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mc:AlternateContent xmlns:mc="http://schemas.openxmlformats.org/markup-compatibility/2006">
    <mc:Choice Requires="x15">
      <x15ac:absPath xmlns:x15ac="http://schemas.microsoft.com/office/spreadsheetml/2010/11/ac" url="C:\Users\Concejo\Desktop\UNIVERSIDAD DEL ATLANTICO\INVITACION PUBLICA\INVITACION PUBLICA 003-2020\ANEXOS 1\"/>
    </mc:Choice>
  </mc:AlternateContent>
  <xr:revisionPtr revIDLastSave="0" documentId="8_{68A83ADA-35EE-4BDD-9120-88BC3ADFD935}" xr6:coauthVersionLast="45" xr6:coauthVersionMax="45" xr10:uidLastSave="{00000000-0000-0000-0000-000000000000}"/>
  <bookViews>
    <workbookView xWindow="-120" yWindow="-120" windowWidth="20730" windowHeight="11160" firstSheet="2" activeTab="2" xr2:uid="{00000000-000D-0000-FFFF-FFFF00000000}"/>
  </bookViews>
  <sheets>
    <sheet name="Resumen caso 2" sheetId="2" state="hidden" r:id="rId1"/>
    <sheet name="Resumen caso ideal" sheetId="3" state="hidden" r:id="rId2"/>
    <sheet name="Presupuesto Especifico" sheetId="10" r:id="rId3"/>
    <sheet name="Presupuesto Interventoria" sheetId="5" state="hidden" r:id="rId4"/>
    <sheet name="APU"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a">[1]PJ!#REF!</definedName>
    <definedName name="\L">#REF!</definedName>
    <definedName name="\P">#REF!</definedName>
    <definedName name="\s">#REF!</definedName>
    <definedName name="\X">#N/A</definedName>
    <definedName name="\Z">#N/A</definedName>
    <definedName name="________________________________PJ50">#REF!</definedName>
    <definedName name="_______________________________PJ50" localSheetId="4">#REF!</definedName>
    <definedName name="_______________________________PJ50" localSheetId="2">#REF!</definedName>
    <definedName name="_______________________________PJ50">#REF!</definedName>
    <definedName name="______________________________APU221">#REF!</definedName>
    <definedName name="______________________________PJ50" localSheetId="4">#REF!</definedName>
    <definedName name="______________________________PJ50" localSheetId="2">#REF!</definedName>
    <definedName name="______________________________PJ50">#REF!</definedName>
    <definedName name="______________________________pj51">#REF!</definedName>
    <definedName name="_____________________________APU221">#REF!</definedName>
    <definedName name="_____________________________pj51">#REF!</definedName>
    <definedName name="____________________________APU221">#REF!</definedName>
    <definedName name="____________________________PJ50" localSheetId="4">#REF!</definedName>
    <definedName name="____________________________PJ50" localSheetId="2">#REF!</definedName>
    <definedName name="____________________________PJ50">#REF!</definedName>
    <definedName name="____________________________pj51" localSheetId="4">#REF!</definedName>
    <definedName name="____________________________pj51" localSheetId="2">#REF!</definedName>
    <definedName name="____________________________pj51">#REF!</definedName>
    <definedName name="____________________________rc" localSheetId="4">#REF!</definedName>
    <definedName name="____________________________rc" localSheetId="2">#REF!</definedName>
    <definedName name="____________________________rc">#REF!</definedName>
    <definedName name="___________________________PJ50" localSheetId="4">#REF!</definedName>
    <definedName name="___________________________PJ50" localSheetId="2">#REF!</definedName>
    <definedName name="___________________________PJ50">#REF!</definedName>
    <definedName name="___________________________rc" localSheetId="4">#REF!</definedName>
    <definedName name="___________________________rc" localSheetId="2">#REF!</definedName>
    <definedName name="___________________________rc">#REF!</definedName>
    <definedName name="__________________________APU221">#REF!</definedName>
    <definedName name="__________________________PJ50">#REF!</definedName>
    <definedName name="__________________________pj51">#REF!</definedName>
    <definedName name="__________________________rc">#REF!</definedName>
    <definedName name="_________________________APU221">#REF!</definedName>
    <definedName name="_________________________PJ50">#REF!</definedName>
    <definedName name="_________________________pj51">#REF!</definedName>
    <definedName name="_________________________rc">#REF!</definedName>
    <definedName name="________________________APU221">#REF!</definedName>
    <definedName name="________________________PJ50" localSheetId="4">#REF!</definedName>
    <definedName name="________________________PJ50" localSheetId="2">#REF!</definedName>
    <definedName name="________________________PJ50">#REF!</definedName>
    <definedName name="________________________pj51">#REF!</definedName>
    <definedName name="________________________rc">#REF!</definedName>
    <definedName name="_______________________APU221">#REF!</definedName>
    <definedName name="_______________________PJ50">#REF!</definedName>
    <definedName name="_______________________pj51">#REF!</definedName>
    <definedName name="_______________________rc" localSheetId="4">#REF!</definedName>
    <definedName name="_______________________rc" localSheetId="2">#REF!</definedName>
    <definedName name="_______________________rc">#REF!</definedName>
    <definedName name="______________________APU221">#REF!</definedName>
    <definedName name="______________________i1">#REF!</definedName>
    <definedName name="______________________PJ50">#REF!</definedName>
    <definedName name="______________________pj51" localSheetId="4">#REF!</definedName>
    <definedName name="______________________pj51" localSheetId="2">#REF!</definedName>
    <definedName name="______________________pj51">#REF!</definedName>
    <definedName name="______________________rc" localSheetId="4">#REF!</definedName>
    <definedName name="______________________rc" localSheetId="2">#REF!</definedName>
    <definedName name="______________________rc">#REF!</definedName>
    <definedName name="_____________________APU221">#REF!</definedName>
    <definedName name="_____________________i1">#REF!</definedName>
    <definedName name="_____________________PJ50">#REF!</definedName>
    <definedName name="_____________________pj51" localSheetId="4">#REF!</definedName>
    <definedName name="_____________________pj51" localSheetId="2">#REF!</definedName>
    <definedName name="_____________________pj51">#REF!</definedName>
    <definedName name="_____________________rc">#REF!</definedName>
    <definedName name="____________________APU221" localSheetId="4">#REF!</definedName>
    <definedName name="____________________APU221" localSheetId="2">#REF!</definedName>
    <definedName name="____________________APU221">#REF!</definedName>
    <definedName name="____________________i1">#REF!</definedName>
    <definedName name="____________________PJ50">#REF!</definedName>
    <definedName name="____________________pj51">#REF!</definedName>
    <definedName name="____________________rc">#REF!</definedName>
    <definedName name="___________________APU221">#REF!</definedName>
    <definedName name="___________________i1">#REF!</definedName>
    <definedName name="___________________PJ50">#REF!</definedName>
    <definedName name="___________________pj51">#REF!</definedName>
    <definedName name="___________________rc">#REF!</definedName>
    <definedName name="__________________APU221" localSheetId="4">#REF!</definedName>
    <definedName name="__________________APU221" localSheetId="2">#REF!</definedName>
    <definedName name="__________________APU221">#REF!</definedName>
    <definedName name="__________________i1">#REF!</definedName>
    <definedName name="__________________PJ50">#REF!</definedName>
    <definedName name="__________________pj51">#REF!</definedName>
    <definedName name="__________________rc">#REF!</definedName>
    <definedName name="_________________APU221">#REF!</definedName>
    <definedName name="_________________i1">#REF!</definedName>
    <definedName name="_________________PJ50">#REF!</definedName>
    <definedName name="_________________pj51">#REF!</definedName>
    <definedName name="_________________rc">#REF!</definedName>
    <definedName name="________________APU221">#REF!</definedName>
    <definedName name="________________i1">#REF!</definedName>
    <definedName name="________________PJ50">#REF!</definedName>
    <definedName name="________________pj51">#REF!</definedName>
    <definedName name="________________rc">#REF!</definedName>
    <definedName name="_______________APU221">#REF!</definedName>
    <definedName name="_______________i1">#REF!</definedName>
    <definedName name="_______________PJ50" localSheetId="4">#REF!</definedName>
    <definedName name="_______________PJ50" localSheetId="2">#REF!</definedName>
    <definedName name="_______________PJ50">#REF!</definedName>
    <definedName name="_______________pj51">#REF!</definedName>
    <definedName name="_______________rc">#REF!</definedName>
    <definedName name="______________APU221">#REF!</definedName>
    <definedName name="______________i1">#REF!</definedName>
    <definedName name="______________PJ50">#REF!</definedName>
    <definedName name="______________pj51">#REF!</definedName>
    <definedName name="______________rc">#REF!</definedName>
    <definedName name="_____________APU221" localSheetId="4">#REF!</definedName>
    <definedName name="_____________APU221" localSheetId="2">#REF!</definedName>
    <definedName name="_____________APU221">#REF!</definedName>
    <definedName name="_____________i1">#REF!</definedName>
    <definedName name="_____________PJ50">#REF!</definedName>
    <definedName name="_____________pj51" localSheetId="4">#REF!</definedName>
    <definedName name="_____________pj51" localSheetId="2">#REF!</definedName>
    <definedName name="_____________pj51">#REF!</definedName>
    <definedName name="_____________rc">#REF!</definedName>
    <definedName name="____________APU221">#REF!</definedName>
    <definedName name="____________i1" localSheetId="4">#REF!</definedName>
    <definedName name="____________i1" localSheetId="2">#REF!</definedName>
    <definedName name="____________i1">#REF!</definedName>
    <definedName name="____________PJ50">#REF!</definedName>
    <definedName name="____________pj51">#REF!</definedName>
    <definedName name="____________rc">#REF!</definedName>
    <definedName name="___________AFC1">[2]INV!$A$25:$D$28</definedName>
    <definedName name="___________AFC3">[2]INV!$F$25:$I$28</definedName>
    <definedName name="___________AFC5">[2]INV!$K$25:$N$28</definedName>
    <definedName name="___________APU221">#REF!</definedName>
    <definedName name="___________BGC1">[2]INV!$A$5:$D$8</definedName>
    <definedName name="___________BGC3">[2]INV!$F$5:$I$8</definedName>
    <definedName name="___________BGC5">[2]INV!$K$5:$N$8</definedName>
    <definedName name="___________CAC1">[2]INV!$A$19:$D$22</definedName>
    <definedName name="___________CAC3">[2]INV!$F$19:$I$22</definedName>
    <definedName name="___________CAC5">[2]INV!$K$19:$N$22</definedName>
    <definedName name="___________i1">#REF!</definedName>
    <definedName name="___________PJ50">#REF!</definedName>
    <definedName name="___________pj51">#REF!</definedName>
    <definedName name="___________rc">#REF!</definedName>
    <definedName name="___________SBC1">[2]INV!$A$12:$D$15</definedName>
    <definedName name="___________SBC3">[2]INV!$F$12:$I$15</definedName>
    <definedName name="___________SBC5">[2]INV!$K$12:$N$15</definedName>
    <definedName name="__________AFC1">[2]INV!$A$25:$D$28</definedName>
    <definedName name="__________AFC3">[2]INV!$F$25:$I$28</definedName>
    <definedName name="__________AFC5">[2]INV!$K$25:$N$28</definedName>
    <definedName name="__________APU221">#REF!</definedName>
    <definedName name="__________BGC1">[2]INV!$A$5:$D$8</definedName>
    <definedName name="__________BGC3">[2]INV!$F$5:$I$8</definedName>
    <definedName name="__________BGC5">[2]INV!$K$5:$N$8</definedName>
    <definedName name="__________CAC1">[2]INV!$A$19:$D$22</definedName>
    <definedName name="__________CAC3">[2]INV!$F$19:$I$22</definedName>
    <definedName name="__________CAC5">[2]INV!$K$19:$N$22</definedName>
    <definedName name="__________i1">#REF!</definedName>
    <definedName name="__________PJ50">#REF!</definedName>
    <definedName name="__________pj51" localSheetId="4">#REF!</definedName>
    <definedName name="__________pj51" localSheetId="2">#REF!</definedName>
    <definedName name="__________pj51">#REF!</definedName>
    <definedName name="__________rc">#REF!</definedName>
    <definedName name="__________SBC1">[2]INV!$A$12:$D$15</definedName>
    <definedName name="__________SBC3">[2]INV!$F$12:$I$15</definedName>
    <definedName name="__________SBC5">[2]INV!$K$12:$N$15</definedName>
    <definedName name="_________AFC1">[2]INV!$A$25:$D$28</definedName>
    <definedName name="_________AFC3">[2]INV!$F$25:$I$28</definedName>
    <definedName name="_________AFC5">[2]INV!$K$25:$N$28</definedName>
    <definedName name="_________APU221" localSheetId="4">#REF!</definedName>
    <definedName name="_________APU221" localSheetId="2">#REF!</definedName>
    <definedName name="_________APU221">#REF!</definedName>
    <definedName name="_________BGC1">[2]INV!$A$5:$D$8</definedName>
    <definedName name="_________BGC3">[2]INV!$F$5:$I$8</definedName>
    <definedName name="_________BGC5">[2]INV!$K$5:$N$8</definedName>
    <definedName name="_________CAC1">[2]INV!$A$19:$D$22</definedName>
    <definedName name="_________CAC3">[2]INV!$F$19:$I$22</definedName>
    <definedName name="_________CAC5">[2]INV!$K$19:$N$22</definedName>
    <definedName name="_________i1">#REF!</definedName>
    <definedName name="_________MA2">#REF!</definedName>
    <definedName name="_________PJ50" localSheetId="4">#REF!</definedName>
    <definedName name="_________PJ50" localSheetId="2">#REF!</definedName>
    <definedName name="_________PJ50">#REF!</definedName>
    <definedName name="_________pj51">#REF!</definedName>
    <definedName name="_________rc">#REF!</definedName>
    <definedName name="_________SBC1">[2]INV!$A$12:$D$15</definedName>
    <definedName name="_________SBC3">[2]INV!$F$12:$I$15</definedName>
    <definedName name="_________SBC5">[2]INV!$K$12:$N$15</definedName>
    <definedName name="________AFC1">[2]INV!$A$25:$D$28</definedName>
    <definedName name="________AFC3">[2]INV!$F$25:$I$28</definedName>
    <definedName name="________AFC5">[2]INV!$K$25:$N$28</definedName>
    <definedName name="________APU221">#REF!</definedName>
    <definedName name="________BGC1">[2]INV!$A$5:$D$8</definedName>
    <definedName name="________BGC3">[2]INV!$F$5:$I$8</definedName>
    <definedName name="________BGC5">[2]INV!$K$5:$N$8</definedName>
    <definedName name="________CAC1">[2]INV!$A$19:$D$22</definedName>
    <definedName name="________CAC3">[2]INV!$F$19:$I$22</definedName>
    <definedName name="________CAC5">[2]INV!$K$19:$N$22</definedName>
    <definedName name="________i1">#REF!</definedName>
    <definedName name="________MA2">#REF!</definedName>
    <definedName name="________PJ50">#REF!</definedName>
    <definedName name="________pj51">#REF!</definedName>
    <definedName name="________rc">#REF!</definedName>
    <definedName name="________SBC1">[2]INV!$A$12:$D$15</definedName>
    <definedName name="________SBC3">[2]INV!$F$12:$I$15</definedName>
    <definedName name="________SBC5">[2]INV!$K$12:$N$15</definedName>
    <definedName name="_______AFC1">[2]INV!$A$25:$D$28</definedName>
    <definedName name="_______AFC3">[2]INV!$F$25:$I$28</definedName>
    <definedName name="_______AFC5">[2]INV!$K$25:$N$28</definedName>
    <definedName name="_______APU221">#REF!</definedName>
    <definedName name="_______BGC1">[2]INV!$A$5:$D$8</definedName>
    <definedName name="_______BGC3">[2]INV!$F$5:$I$8</definedName>
    <definedName name="_______BGC5">[2]INV!$K$5:$N$8</definedName>
    <definedName name="_______CAC1">[2]INV!$A$19:$D$22</definedName>
    <definedName name="_______CAC3">[2]INV!$F$19:$I$22</definedName>
    <definedName name="_______CAC5">[2]INV!$K$19:$N$22</definedName>
    <definedName name="_______cua1">'[3]ALCANTARILLADO RAS'!$A$4:$B$14</definedName>
    <definedName name="_______DMD1">#REF!</definedName>
    <definedName name="_______i1">#REF!</definedName>
    <definedName name="_______MA2">#REF!</definedName>
    <definedName name="_______PJ50">#REF!</definedName>
    <definedName name="_______pj51" localSheetId="4">#REF!</definedName>
    <definedName name="_______pj51" localSheetId="2">#REF!</definedName>
    <definedName name="_______pj51">#REF!</definedName>
    <definedName name="_______rc" localSheetId="4">#REF!</definedName>
    <definedName name="_______rc" localSheetId="2">#REF!</definedName>
    <definedName name="_______rc">#REF!</definedName>
    <definedName name="_______SBC1">[2]INV!$A$12:$D$15</definedName>
    <definedName name="_______SBC3">[2]INV!$F$12:$I$15</definedName>
    <definedName name="_______SBC5">[2]INV!$K$12:$N$15</definedName>
    <definedName name="_______VPD1">[4]TARIFAS!$C$582</definedName>
    <definedName name="_______VPI1">[4]TARIFAS!$C$580</definedName>
    <definedName name="_______VRA1">[4]TARIFAS!$C$579</definedName>
    <definedName name="______AFC1">[2]INV!$A$25:$D$28</definedName>
    <definedName name="______AFC3">[2]INV!$F$25:$I$28</definedName>
    <definedName name="______AFC5">[2]INV!$K$25:$N$28</definedName>
    <definedName name="______APU221">#REF!</definedName>
    <definedName name="______BGC1">[2]INV!$A$5:$D$8</definedName>
    <definedName name="______BGC3">[2]INV!$F$5:$I$8</definedName>
    <definedName name="______BGC5">[2]INV!$K$5:$N$8</definedName>
    <definedName name="______CAC1">[2]INV!$A$19:$D$22</definedName>
    <definedName name="______CAC3">[2]INV!$F$19:$I$22</definedName>
    <definedName name="______CAC5">[2]INV!$K$19:$N$22</definedName>
    <definedName name="______cua1">'[3]ALCANTARILLADO RAS'!$A$4:$B$14</definedName>
    <definedName name="______DMD1">#REF!</definedName>
    <definedName name="______i1">#REF!</definedName>
    <definedName name="______INF1">#REF!</definedName>
    <definedName name="______MA2">#REF!</definedName>
    <definedName name="______PJ50">#REF!</definedName>
    <definedName name="______pj51">#REF!</definedName>
    <definedName name="______rc">#REF!</definedName>
    <definedName name="______SBC1">[2]INV!$A$12:$D$15</definedName>
    <definedName name="______SBC3">[2]INV!$F$12:$I$15</definedName>
    <definedName name="______SBC5">[2]INV!$K$12:$N$15</definedName>
    <definedName name="______VPD1">[4]TARIFAS!$C$582</definedName>
    <definedName name="______VPI1">[4]TARIFAS!$C$580</definedName>
    <definedName name="______VRA1">[4]TARIFAS!$C$579</definedName>
    <definedName name="_____AFC1">[2]INV!$A$25:$D$28</definedName>
    <definedName name="_____AFC3">[2]INV!$F$25:$I$28</definedName>
    <definedName name="_____AFC5">[2]INV!$K$25:$N$28</definedName>
    <definedName name="_____APU221">#REF!</definedName>
    <definedName name="_____BGC1">[2]INV!$A$5:$D$8</definedName>
    <definedName name="_____BGC3">[2]INV!$F$5:$I$8</definedName>
    <definedName name="_____BGC5">[2]INV!$K$5:$N$8</definedName>
    <definedName name="_____CAC1">[2]INV!$A$19:$D$22</definedName>
    <definedName name="_____CAC3">[2]INV!$F$19:$I$22</definedName>
    <definedName name="_____CAC5">[2]INV!$K$19:$N$22</definedName>
    <definedName name="_____cua1">'[3]ALCANTARILLADO RAS'!$A$4:$B$14</definedName>
    <definedName name="_____DMD1">#REF!</definedName>
    <definedName name="_____EST1">#REF!</definedName>
    <definedName name="_____EST10">#REF!</definedName>
    <definedName name="_____EST11">#REF!</definedName>
    <definedName name="_____EST12" localSheetId="4">#REF!</definedName>
    <definedName name="_____EST12" localSheetId="2">#REF!</definedName>
    <definedName name="_____EST12">#REF!</definedName>
    <definedName name="_____EST13">#REF!</definedName>
    <definedName name="_____EST14">#REF!</definedName>
    <definedName name="_____EST15">#REF!</definedName>
    <definedName name="_____EST16" localSheetId="4">#REF!</definedName>
    <definedName name="_____EST16" localSheetId="2">#REF!</definedName>
    <definedName name="_____EST16">#REF!</definedName>
    <definedName name="_____EST17">#REF!</definedName>
    <definedName name="_____EST18" localSheetId="4">#REF!</definedName>
    <definedName name="_____EST18" localSheetId="2">#REF!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3">#REF!</definedName>
    <definedName name="_____EXC4">#REF!</definedName>
    <definedName name="_____EXC5">#REF!</definedName>
    <definedName name="_____EXC8">#REF!</definedName>
    <definedName name="_____EXC9">#REF!</definedName>
    <definedName name="_____i1">#REF!</definedName>
    <definedName name="_____MA2" localSheetId="4">#REF!</definedName>
    <definedName name="_____MA2" localSheetId="2">#REF!</definedName>
    <definedName name="_____MA2">#REF!</definedName>
    <definedName name="_____PJ50">#REF!</definedName>
    <definedName name="_____pj51">#REF!</definedName>
    <definedName name="_____rc">#REF!</definedName>
    <definedName name="_____SBC1">[2]INV!$A$12:$D$15</definedName>
    <definedName name="_____SBC3">[2]INV!$F$12:$I$15</definedName>
    <definedName name="_____SBC5">[2]INV!$K$12:$N$15</definedName>
    <definedName name="_____VPD1">[4]TARIFAS!$C$582</definedName>
    <definedName name="_____VPI1">[4]TARIFAS!$C$580</definedName>
    <definedName name="_____VRA1">[4]TARIFAS!$C$579</definedName>
    <definedName name="____AFC1">[2]INV!$A$25:$D$28</definedName>
    <definedName name="____AFC3">[2]INV!$F$25:$I$28</definedName>
    <definedName name="____AFC5">[2]INV!$K$25:$N$28</definedName>
    <definedName name="____APU221">#REF!</definedName>
    <definedName name="____BGC1">[2]INV!$A$5:$D$8</definedName>
    <definedName name="____BGC3">[2]INV!$F$5:$I$8</definedName>
    <definedName name="____BGC5">[2]INV!$K$5:$N$8</definedName>
    <definedName name="____CAC1">[2]INV!$A$19:$D$22</definedName>
    <definedName name="____CAC3">[2]INV!$F$19:$I$22</definedName>
    <definedName name="____CAC5">[2]INV!$K$19:$N$22</definedName>
    <definedName name="____cua1">'[3]ALCANTARILLADO RAS'!$A$4:$B$14</definedName>
    <definedName name="____DMD1" localSheetId="4">#REF!</definedName>
    <definedName name="____DMD1" localSheetId="2">#REF!</definedName>
    <definedName name="____DMD1">#REF!</definedName>
    <definedName name="____EXC2">#REF!</definedName>
    <definedName name="____EXC6" localSheetId="4">#REF!</definedName>
    <definedName name="____EXC6" localSheetId="2">#REF!</definedName>
    <definedName name="____EXC6">#REF!</definedName>
    <definedName name="____EXC7">#REF!</definedName>
    <definedName name="____i1">#REF!</definedName>
    <definedName name="____MA2">#REF!</definedName>
    <definedName name="____PJ50">#REF!</definedName>
    <definedName name="____pj51">#REF!</definedName>
    <definedName name="____rc">#REF!</definedName>
    <definedName name="____SBC1">[2]INV!$A$12:$D$15</definedName>
    <definedName name="____SBC3">[2]INV!$F$12:$I$15</definedName>
    <definedName name="____SBC5">[2]INV!$K$12:$N$15</definedName>
    <definedName name="____VPD1">[4]TARIFAS!$C$582</definedName>
    <definedName name="____VPI1">[4]TARIFAS!$C$580</definedName>
    <definedName name="____VRA1">[4]TARIFAS!$C$579</definedName>
    <definedName name="___AFC1">[2]INV!$A$25:$D$28</definedName>
    <definedName name="___AFC3">[2]INV!$F$25:$I$28</definedName>
    <definedName name="___AFC5">[2]INV!$K$25:$N$28</definedName>
    <definedName name="___APU221">#REF!</definedName>
    <definedName name="___BGC1">[2]INV!$A$5:$D$8</definedName>
    <definedName name="___BGC3">[2]INV!$F$5:$I$8</definedName>
    <definedName name="___BGC5">[2]INV!$K$5:$N$8</definedName>
    <definedName name="___CAC1">[2]INV!$A$19:$D$22</definedName>
    <definedName name="___CAC3">[2]INV!$F$19:$I$22</definedName>
    <definedName name="___CAC5">[2]INV!$K$19:$N$22</definedName>
    <definedName name="___Cod1">#REF!</definedName>
    <definedName name="___cua1">'[3]ALCANTARILLADO RAS'!$A$4:$B$14</definedName>
    <definedName name="___DMD1">#REF!</definedName>
    <definedName name="___EST1">#REF!</definedName>
    <definedName name="___EST10">#REF!</definedName>
    <definedName name="___EST11">#REF!</definedName>
    <definedName name="___EST12">#REF!</definedName>
    <definedName name="___EST13" localSheetId="4">#REF!</definedName>
    <definedName name="___EST13" localSheetId="2">#REF!</definedName>
    <definedName name="___EST13">#REF!</definedName>
    <definedName name="___EST14">#REF!</definedName>
    <definedName name="___EST15">#REF!</definedName>
    <definedName name="___EST16">#REF!</definedName>
    <definedName name="___EST17">#REF!</definedName>
    <definedName name="___EST18" localSheetId="4">#REF!</definedName>
    <definedName name="___EST18" localSheetId="2">#REF!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 localSheetId="4">#REF!</definedName>
    <definedName name="___ETR13" localSheetId="2">#REF!</definedName>
    <definedName name="___ETR13">#REF!</definedName>
    <definedName name="___EXC1" localSheetId="4">#REF!</definedName>
    <definedName name="___EXC1" localSheetId="2">#REF!</definedName>
    <definedName name="___EXC1">#REF!</definedName>
    <definedName name="___EXC10">#REF!</definedName>
    <definedName name="___EXC11">#REF!</definedName>
    <definedName name="___EXC12">#REF!</definedName>
    <definedName name="___EXC2">#REF!</definedName>
    <definedName name="___EXC3">#REF!</definedName>
    <definedName name="___EXC4" localSheetId="4">#REF!</definedName>
    <definedName name="___EXC4" localSheetId="2">#REF!</definedName>
    <definedName name="___EXC4">#REF!</definedName>
    <definedName name="___EXC5" localSheetId="4">#REF!</definedName>
    <definedName name="___EXC5" localSheetId="2">#REF!</definedName>
    <definedName name="___EXC5">#REF!</definedName>
    <definedName name="___EXC8" localSheetId="4">#REF!</definedName>
    <definedName name="___EXC8" localSheetId="2">#REF!</definedName>
    <definedName name="___EXC8">#REF!</definedName>
    <definedName name="___EXC9">#REF!</definedName>
    <definedName name="___f">[5]Cálculo!$B$67</definedName>
    <definedName name="___i1" localSheetId="4">#REF!</definedName>
    <definedName name="___i1" localSheetId="2">#REF!</definedName>
    <definedName name="___i1">#REF!</definedName>
    <definedName name="___INF1" localSheetId="4">#REF!</definedName>
    <definedName name="___INF1" localSheetId="2">#REF!</definedName>
    <definedName name="___INF1">#REF!</definedName>
    <definedName name="___MA2">#REF!</definedName>
    <definedName name="___MSC1">#REF!</definedName>
    <definedName name="___PJ50">#REF!</definedName>
    <definedName name="___pj51">#REF!</definedName>
    <definedName name="___rc">#REF!</definedName>
    <definedName name="___SBC1">[2]INV!$A$12:$D$15</definedName>
    <definedName name="___SBC3">[2]INV!$F$12:$I$15</definedName>
    <definedName name="___SBC5">[2]INV!$K$12:$N$15</definedName>
    <definedName name="___VPD1">[4]TARIFAS!$C$582</definedName>
    <definedName name="___VPI1">[4]TARIFAS!$C$580</definedName>
    <definedName name="___VRA1">[4]TARIFAS!$C$579</definedName>
    <definedName name="__2008_Database" localSheetId="4">#REF!</definedName>
    <definedName name="__2008_Database" localSheetId="2">#REF!</definedName>
    <definedName name="__2008_Database">#REF!</definedName>
    <definedName name="__a1" localSheetId="4">#REF!</definedName>
    <definedName name="__a1" localSheetId="2">#REF!</definedName>
    <definedName name="__a1">#REF!</definedName>
    <definedName name="__a3" localSheetId="4">#REF!</definedName>
    <definedName name="__a3" localSheetId="2">#REF!</definedName>
    <definedName name="__a3">#REF!</definedName>
    <definedName name="__a4" localSheetId="4">#REF!</definedName>
    <definedName name="__a4" localSheetId="2">#REF!</definedName>
    <definedName name="__a4">#REF!</definedName>
    <definedName name="__a5" localSheetId="4">#REF!</definedName>
    <definedName name="__a5" localSheetId="2">#REF!</definedName>
    <definedName name="__a5">#REF!</definedName>
    <definedName name="__a6" localSheetId="4">#REF!</definedName>
    <definedName name="__a6" localSheetId="2">#REF!</definedName>
    <definedName name="__a6">#REF!</definedName>
    <definedName name="__abr01" localSheetId="4">#REF!</definedName>
    <definedName name="__abr01" localSheetId="2">#REF!</definedName>
    <definedName name="__abr01">#REF!</definedName>
    <definedName name="__abr06" localSheetId="4">#REF!</definedName>
    <definedName name="__abr06" localSheetId="2">#REF!</definedName>
    <definedName name="__abr06">#REF!</definedName>
    <definedName name="__abr97" localSheetId="4">#REF!</definedName>
    <definedName name="__abr97" localSheetId="2">#REF!</definedName>
    <definedName name="__abr97">#REF!</definedName>
    <definedName name="__abr98" localSheetId="4">#REF!</definedName>
    <definedName name="__abr98" localSheetId="2">#REF!</definedName>
    <definedName name="__abr98">#REF!</definedName>
    <definedName name="__abr99" localSheetId="4">#REF!</definedName>
    <definedName name="__abr99" localSheetId="2">#REF!</definedName>
    <definedName name="__abr99">#REF!</definedName>
    <definedName name="__AFC1">[2]INV!$A$25:$D$28</definedName>
    <definedName name="__AFC3">[2]INV!$F$25:$I$28</definedName>
    <definedName name="__AFC5">[2]INV!$K$25:$N$28</definedName>
    <definedName name="__Afe1">'[7]2008 Database'!$D$2:$D$42,'[7]2008 Database'!$D$43:$D$43</definedName>
    <definedName name="__ago01" localSheetId="4">#REF!</definedName>
    <definedName name="__ago01" localSheetId="2">#REF!</definedName>
    <definedName name="__ago01">#REF!</definedName>
    <definedName name="__ago06" localSheetId="4">#REF!</definedName>
    <definedName name="__ago06" localSheetId="2">#REF!</definedName>
    <definedName name="__ago06">#REF!</definedName>
    <definedName name="__ago97" localSheetId="4">#REF!</definedName>
    <definedName name="__ago97" localSheetId="2">#REF!</definedName>
    <definedName name="__ago97">#REF!</definedName>
    <definedName name="__ago98" localSheetId="4">#REF!</definedName>
    <definedName name="__ago98" localSheetId="2">#REF!</definedName>
    <definedName name="__ago98">#REF!</definedName>
    <definedName name="__ago99" localSheetId="4">#REF!</definedName>
    <definedName name="__ago99" localSheetId="2">#REF!</definedName>
    <definedName name="__ago99">#REF!</definedName>
    <definedName name="__ALL4" localSheetId="4">#REF!</definedName>
    <definedName name="__ALL4" localSheetId="2">#REF!</definedName>
    <definedName name="__ALL4">#REF!</definedName>
    <definedName name="__APU221">#REF!</definedName>
    <definedName name="__b2" localSheetId="4">#REF!</definedName>
    <definedName name="__b2" localSheetId="2">#REF!</definedName>
    <definedName name="__b2">#REF!</definedName>
    <definedName name="__b3" localSheetId="4">#REF!</definedName>
    <definedName name="__b3" localSheetId="2">#REF!</definedName>
    <definedName name="__b3">#REF!</definedName>
    <definedName name="__b4" localSheetId="4">#REF!</definedName>
    <definedName name="__b4" localSheetId="2">#REF!</definedName>
    <definedName name="__b4">#REF!</definedName>
    <definedName name="__b5" localSheetId="4">#REF!</definedName>
    <definedName name="__b5" localSheetId="2">#REF!</definedName>
    <definedName name="__b5">#REF!</definedName>
    <definedName name="__b6" localSheetId="4">#REF!</definedName>
    <definedName name="__b6" localSheetId="2">#REF!</definedName>
    <definedName name="__b6">#REF!</definedName>
    <definedName name="__b7" localSheetId="4">#REF!</definedName>
    <definedName name="__b7" localSheetId="2">#REF!</definedName>
    <definedName name="__b7">#REF!</definedName>
    <definedName name="__b8" localSheetId="4">#REF!</definedName>
    <definedName name="__b8" localSheetId="2">#REF!</definedName>
    <definedName name="__b8">#REF!</definedName>
    <definedName name="__bb9" localSheetId="4">#REF!</definedName>
    <definedName name="__bb9" localSheetId="2">#REF!</definedName>
    <definedName name="__bb9">#REF!</definedName>
    <definedName name="__bgb5" localSheetId="4">#REF!</definedName>
    <definedName name="__bgb5" localSheetId="2">#REF!</definedName>
    <definedName name="__bgb5">#REF!</definedName>
    <definedName name="__BGC1">[2]INV!$A$5:$D$8</definedName>
    <definedName name="__BGC3">[2]INV!$F$5:$I$8</definedName>
    <definedName name="__BGC5">[2]INV!$K$5:$N$8</definedName>
    <definedName name="__Bid1">#REF!</definedName>
    <definedName name="__Bid2">#REF!</definedName>
    <definedName name="__Bid3">#REF!</definedName>
    <definedName name="__Bid4">#REF!</definedName>
    <definedName name="__CAC1">[2]INV!$A$19:$D$22</definedName>
    <definedName name="__CAC3">[2]INV!$F$19:$I$22</definedName>
    <definedName name="__CAC5">[2]INV!$K$19:$N$22</definedName>
    <definedName name="__CMU005">#REF!</definedName>
    <definedName name="__cmu05">#REF!</definedName>
    <definedName name="__Cod1">#REF!</definedName>
    <definedName name="__com06" localSheetId="4">#REF!</definedName>
    <definedName name="__com06" localSheetId="2">#REF!</definedName>
    <definedName name="__com06">#REF!</definedName>
    <definedName name="__CON123">#REF!</definedName>
    <definedName name="__CON2200" localSheetId="4">#REF!</definedName>
    <definedName name="__CON2200" localSheetId="2">#REF!</definedName>
    <definedName name="__CON2200">#REF!</definedName>
    <definedName name="__CON2500" localSheetId="4">#REF!</definedName>
    <definedName name="__CON2500" localSheetId="2">#REF!</definedName>
    <definedName name="__CON2500">#REF!</definedName>
    <definedName name="__con3000">#REF!</definedName>
    <definedName name="__cua1">'[3]ALCANTARILLADO RAS'!$A$4:$B$14</definedName>
    <definedName name="__dic01" localSheetId="4">#REF!</definedName>
    <definedName name="__dic01" localSheetId="2">#REF!</definedName>
    <definedName name="__dic01">#REF!</definedName>
    <definedName name="__dic06" localSheetId="4">#REF!</definedName>
    <definedName name="__dic06" localSheetId="2">#REF!</definedName>
    <definedName name="__dic06">#REF!</definedName>
    <definedName name="__dic97" localSheetId="4">#REF!</definedName>
    <definedName name="__dic97" localSheetId="2">#REF!</definedName>
    <definedName name="__dic97">#REF!</definedName>
    <definedName name="__dic98" localSheetId="4">#REF!</definedName>
    <definedName name="__dic98" localSheetId="2">#REF!</definedName>
    <definedName name="__dic98">#REF!</definedName>
    <definedName name="__dic99" localSheetId="4">#REF!</definedName>
    <definedName name="__dic99" localSheetId="2">#REF!</definedName>
    <definedName name="__dic99">#REF!</definedName>
    <definedName name="__DMD1" localSheetId="4">#REF!</definedName>
    <definedName name="__DMD1" localSheetId="2">#REF!</definedName>
    <definedName name="__DMD1">#REF!</definedName>
    <definedName name="__ene01" localSheetId="4">#REF!</definedName>
    <definedName name="__ene01" localSheetId="2">#REF!</definedName>
    <definedName name="__ene01">#REF!</definedName>
    <definedName name="__ene03" localSheetId="4">#REF!</definedName>
    <definedName name="__ene03" localSheetId="2">#REF!</definedName>
    <definedName name="__ene03">#REF!</definedName>
    <definedName name="__ene06" localSheetId="4">#REF!</definedName>
    <definedName name="__ene06" localSheetId="2">#REF!</definedName>
    <definedName name="__ene06">#REF!</definedName>
    <definedName name="__ene97" localSheetId="4">#REF!</definedName>
    <definedName name="__ene97" localSheetId="2">#REF!</definedName>
    <definedName name="__ene97">#REF!</definedName>
    <definedName name="__ene98" localSheetId="4">#REF!</definedName>
    <definedName name="__ene98" localSheetId="2">#REF!</definedName>
    <definedName name="__ene98">#REF!</definedName>
    <definedName name="__ene99" localSheetId="4">#REF!</definedName>
    <definedName name="__ene99" localSheetId="2">#REF!</definedName>
    <definedName name="__ene99">#REF!</definedName>
    <definedName name="__EQP1" localSheetId="4">#REF!</definedName>
    <definedName name="__EQP1" localSheetId="2">#REF!</definedName>
    <definedName name="__EQP1">#REF!</definedName>
    <definedName name="__EQP2">#REF!</definedName>
    <definedName name="__eqp27">#REF!</definedName>
    <definedName name="__EQP3">#REF!</definedName>
    <definedName name="__EQP4">#REF!</definedName>
    <definedName name="__EST1">#REF!</definedName>
    <definedName name="__EST10" localSheetId="4">#REF!</definedName>
    <definedName name="__EST10" localSheetId="2">#REF!</definedName>
    <definedName name="__EST10">#REF!</definedName>
    <definedName name="__EST11">#REF!</definedName>
    <definedName name="__EST12" localSheetId="4">#REF!</definedName>
    <definedName name="__EST12" localSheetId="2">#REF!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 localSheetId="4">#REF!</definedName>
    <definedName name="__EST19" localSheetId="2">#REF!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 localSheetId="4">#REF!</definedName>
    <definedName name="__ETR13" localSheetId="2">#REF!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 localSheetId="4">#REF!</definedName>
    <definedName name="__EXC6" localSheetId="2">#REF!</definedName>
    <definedName name="__EXC6">#REF!</definedName>
    <definedName name="__EXC7">#REF!</definedName>
    <definedName name="__EXC8">#REF!</definedName>
    <definedName name="__EXC9">#REF!</definedName>
    <definedName name="__exp06" localSheetId="4">#REF!</definedName>
    <definedName name="__exp06" localSheetId="2">#REF!</definedName>
    <definedName name="__exp06">#REF!</definedName>
    <definedName name="__f" localSheetId="4">#REF!</definedName>
    <definedName name="__f" localSheetId="2">#REF!</definedName>
    <definedName name="__f">#REF!</definedName>
    <definedName name="__feb01" localSheetId="4">#REF!</definedName>
    <definedName name="__feb01" localSheetId="2">#REF!</definedName>
    <definedName name="__feb01">#REF!</definedName>
    <definedName name="__feb06" localSheetId="4">#REF!</definedName>
    <definedName name="__feb06" localSheetId="2">#REF!</definedName>
    <definedName name="__feb06">#REF!</definedName>
    <definedName name="__feb97" localSheetId="4">#REF!</definedName>
    <definedName name="__feb97" localSheetId="2">#REF!</definedName>
    <definedName name="__feb97">#REF!</definedName>
    <definedName name="__feb98" localSheetId="4">#REF!</definedName>
    <definedName name="__feb98" localSheetId="2">#REF!</definedName>
    <definedName name="__feb98">#REF!</definedName>
    <definedName name="__feb99" localSheetId="4">#REF!</definedName>
    <definedName name="__feb99" localSheetId="2">#REF!</definedName>
    <definedName name="__feb99">#REF!</definedName>
    <definedName name="__FS01" localSheetId="4">#REF!</definedName>
    <definedName name="__FS01" localSheetId="2">#REF!</definedName>
    <definedName name="__FS01">#REF!</definedName>
    <definedName name="__g2" localSheetId="4">#REF!</definedName>
    <definedName name="__g2" localSheetId="2">#REF!</definedName>
    <definedName name="__g2">#REF!</definedName>
    <definedName name="__g3" localSheetId="4">#REF!</definedName>
    <definedName name="__g3" localSheetId="2">#REF!</definedName>
    <definedName name="__g3">#REF!</definedName>
    <definedName name="__g4" localSheetId="4">#REF!</definedName>
    <definedName name="__g4" localSheetId="2">#REF!</definedName>
    <definedName name="__g4">#REF!</definedName>
    <definedName name="__g5" localSheetId="4">#REF!</definedName>
    <definedName name="__g5" localSheetId="2">#REF!</definedName>
    <definedName name="__g5">#REF!</definedName>
    <definedName name="__g6" localSheetId="4">#REF!</definedName>
    <definedName name="__g6" localSheetId="2">#REF!</definedName>
    <definedName name="__g6">#REF!</definedName>
    <definedName name="__g7" localSheetId="4">#REF!</definedName>
    <definedName name="__g7" localSheetId="2">#REF!</definedName>
    <definedName name="__g7">#REF!</definedName>
    <definedName name="__GR1" localSheetId="4">#REF!</definedName>
    <definedName name="__GR1" localSheetId="2">#REF!</definedName>
    <definedName name="__GR1">#REF!</definedName>
    <definedName name="__gtr4" localSheetId="4">#REF!</definedName>
    <definedName name="__gtr4" localSheetId="2">#REF!</definedName>
    <definedName name="__gtr4">#REF!</definedName>
    <definedName name="__h2" localSheetId="4">#REF!</definedName>
    <definedName name="__h2" localSheetId="2">#REF!</definedName>
    <definedName name="__h2">#REF!</definedName>
    <definedName name="__h3" localSheetId="4">#REF!</definedName>
    <definedName name="__h3" localSheetId="2">#REF!</definedName>
    <definedName name="__h3">#REF!</definedName>
    <definedName name="__h4" localSheetId="4">#REF!</definedName>
    <definedName name="__h4" localSheetId="2">#REF!</definedName>
    <definedName name="__h4">#REF!</definedName>
    <definedName name="__h5" localSheetId="4">#REF!</definedName>
    <definedName name="__h5" localSheetId="2">#REF!</definedName>
    <definedName name="__h5">#REF!</definedName>
    <definedName name="__h6" localSheetId="4">#REF!</definedName>
    <definedName name="__h6" localSheetId="2">#REF!</definedName>
    <definedName name="__h6">#REF!</definedName>
    <definedName name="__h7" localSheetId="4">#REF!</definedName>
    <definedName name="__h7" localSheetId="2">#REF!</definedName>
    <definedName name="__h7">#REF!</definedName>
    <definedName name="__h8" localSheetId="4">#REF!</definedName>
    <definedName name="__h8" localSheetId="2">#REF!</definedName>
    <definedName name="__h8">#REF!</definedName>
    <definedName name="__hfh7" localSheetId="4">#REF!</definedName>
    <definedName name="__hfh7" localSheetId="2">#REF!</definedName>
    <definedName name="__hfh7">#REF!</definedName>
    <definedName name="__i1" localSheetId="4">#REF!</definedName>
    <definedName name="__i1" localSheetId="2">#REF!</definedName>
    <definedName name="__i1">#REF!</definedName>
    <definedName name="__i4" localSheetId="4">#REF!</definedName>
    <definedName name="__i4" localSheetId="2">#REF!</definedName>
    <definedName name="__i4">#REF!</definedName>
    <definedName name="__i5" localSheetId="4">#REF!</definedName>
    <definedName name="__i5" localSheetId="2">#REF!</definedName>
    <definedName name="__i5">#REF!</definedName>
    <definedName name="__i6" localSheetId="4">#REF!</definedName>
    <definedName name="__i6" localSheetId="2">#REF!</definedName>
    <definedName name="__i6">#REF!</definedName>
    <definedName name="__i7" localSheetId="4">#REF!</definedName>
    <definedName name="__i7" localSheetId="2">#REF!</definedName>
    <definedName name="__i7">#REF!</definedName>
    <definedName name="__i77" localSheetId="4">#REF!</definedName>
    <definedName name="__i77" localSheetId="2">#REF!</definedName>
    <definedName name="__i77">#REF!</definedName>
    <definedName name="__i8" localSheetId="4">#REF!</definedName>
    <definedName name="__i8" localSheetId="2">#REF!</definedName>
    <definedName name="__i8">#REF!</definedName>
    <definedName name="__i9" localSheetId="4">#REF!</definedName>
    <definedName name="__i9" localSheetId="2">#REF!</definedName>
    <definedName name="__i9">#REF!</definedName>
    <definedName name="__jul01" localSheetId="4">#REF!</definedName>
    <definedName name="__jul01" localSheetId="2">#REF!</definedName>
    <definedName name="__jul01">#REF!</definedName>
    <definedName name="__jul06" localSheetId="4">#REF!</definedName>
    <definedName name="__jul06" localSheetId="2">#REF!</definedName>
    <definedName name="__jul06">#REF!</definedName>
    <definedName name="__jul97" localSheetId="4">#REF!</definedName>
    <definedName name="__jul97" localSheetId="2">#REF!</definedName>
    <definedName name="__jul97">#REF!</definedName>
    <definedName name="__jul98" localSheetId="4">#REF!</definedName>
    <definedName name="__jul98" localSheetId="2">#REF!</definedName>
    <definedName name="__jul98">#REF!</definedName>
    <definedName name="__jul99" localSheetId="4">#REF!</definedName>
    <definedName name="__jul99" localSheetId="2">#REF!</definedName>
    <definedName name="__jul99">#REF!</definedName>
    <definedName name="__jun01" localSheetId="4">#REF!</definedName>
    <definedName name="__jun01" localSheetId="2">#REF!</definedName>
    <definedName name="__jun01">#REF!</definedName>
    <definedName name="__jun06" localSheetId="4">#REF!</definedName>
    <definedName name="__jun06" localSheetId="2">#REF!</definedName>
    <definedName name="__jun06">#REF!</definedName>
    <definedName name="__jun97" localSheetId="4">#REF!</definedName>
    <definedName name="__jun97" localSheetId="2">#REF!</definedName>
    <definedName name="__jun97">#REF!</definedName>
    <definedName name="__jun98" localSheetId="4">#REF!</definedName>
    <definedName name="__jun98" localSheetId="2">#REF!</definedName>
    <definedName name="__jun98">#REF!</definedName>
    <definedName name="__jun99" localSheetId="4">#REF!</definedName>
    <definedName name="__jun99" localSheetId="2">#REF!</definedName>
    <definedName name="__jun99">#REF!</definedName>
    <definedName name="__k3" localSheetId="4">#REF!</definedName>
    <definedName name="__k3" localSheetId="2">#REF!</definedName>
    <definedName name="__k3">#REF!</definedName>
    <definedName name="__k4" localSheetId="4">#REF!</definedName>
    <definedName name="__k4" localSheetId="2">#REF!</definedName>
    <definedName name="__k4">#REF!</definedName>
    <definedName name="__k5" localSheetId="4">#REF!</definedName>
    <definedName name="__k5" localSheetId="2">#REF!</definedName>
    <definedName name="__k5">#REF!</definedName>
    <definedName name="__k6" localSheetId="4">#REF!</definedName>
    <definedName name="__k6" localSheetId="2">#REF!</definedName>
    <definedName name="__k6">#REF!</definedName>
    <definedName name="__k7" localSheetId="4">#REF!</definedName>
    <definedName name="__k7" localSheetId="2">#REF!</definedName>
    <definedName name="__k7">#REF!</definedName>
    <definedName name="__k8" localSheetId="4">#REF!</definedName>
    <definedName name="__k8" localSheetId="2">#REF!</definedName>
    <definedName name="__k8">#REF!</definedName>
    <definedName name="__k9" localSheetId="4">#REF!</definedName>
    <definedName name="__k9" localSheetId="2">#REF!</definedName>
    <definedName name="__k9">#REF!</definedName>
    <definedName name="__kjk6" localSheetId="4">#REF!</definedName>
    <definedName name="__kjk6" localSheetId="2">#REF!</definedName>
    <definedName name="__kjk6">#REF!</definedName>
    <definedName name="__lgc1" localSheetId="4">#REF!</definedName>
    <definedName name="__lgc1" localSheetId="2">#REF!</definedName>
    <definedName name="__lgc1">#REF!</definedName>
    <definedName name="__lgc2" localSheetId="4">#REF!</definedName>
    <definedName name="__lgc2" localSheetId="2">#REF!</definedName>
    <definedName name="__lgc2">#REF!</definedName>
    <definedName name="__lgc3" localSheetId="4">#REF!</definedName>
    <definedName name="__lgc3" localSheetId="2">#REF!</definedName>
    <definedName name="__lgc3">#REF!</definedName>
    <definedName name="__LMO1">[8]MO!$A$2:$A$188</definedName>
    <definedName name="__M14" localSheetId="4">#REF!</definedName>
    <definedName name="__M14" localSheetId="2">#REF!</definedName>
    <definedName name="__M14">#REF!</definedName>
    <definedName name="__m3" localSheetId="4">#REF!</definedName>
    <definedName name="__m3" localSheetId="2">#REF!</definedName>
    <definedName name="__m3">#REF!</definedName>
    <definedName name="__m4" localSheetId="4">#REF!</definedName>
    <definedName name="__m4" localSheetId="2">#REF!</definedName>
    <definedName name="__m4">#REF!</definedName>
    <definedName name="__m5" localSheetId="4">#REF!</definedName>
    <definedName name="__m5" localSheetId="2">#REF!</definedName>
    <definedName name="__m5">#REF!</definedName>
    <definedName name="__m6" localSheetId="4">#REF!</definedName>
    <definedName name="__m6" localSheetId="2">#REF!</definedName>
    <definedName name="__m6">#REF!</definedName>
    <definedName name="__m7" localSheetId="4">#REF!</definedName>
    <definedName name="__m7" localSheetId="2">#REF!</definedName>
    <definedName name="__m7">#REF!</definedName>
    <definedName name="__m8" localSheetId="4">#REF!</definedName>
    <definedName name="__m8" localSheetId="2">#REF!</definedName>
    <definedName name="__m8">#REF!</definedName>
    <definedName name="__m9" localSheetId="4">#REF!</definedName>
    <definedName name="__m9" localSheetId="2">#REF!</definedName>
    <definedName name="__m9">#REF!</definedName>
    <definedName name="__MA2">#REF!</definedName>
    <definedName name="__mar01" localSheetId="4">#REF!</definedName>
    <definedName name="__mar01" localSheetId="2">#REF!</definedName>
    <definedName name="__mar01">#REF!</definedName>
    <definedName name="__mar06" localSheetId="4">#REF!</definedName>
    <definedName name="__mar06" localSheetId="2">#REF!</definedName>
    <definedName name="__mar06">#REF!</definedName>
    <definedName name="__mar97" localSheetId="4">#REF!</definedName>
    <definedName name="__mar97" localSheetId="2">#REF!</definedName>
    <definedName name="__mar97">#REF!</definedName>
    <definedName name="__mar98" localSheetId="4">#REF!</definedName>
    <definedName name="__mar98" localSheetId="2">#REF!</definedName>
    <definedName name="__mar98">#REF!</definedName>
    <definedName name="__mar99" localSheetId="4">#REF!</definedName>
    <definedName name="__mar99" localSheetId="2">#REF!</definedName>
    <definedName name="__mar99">#REF!</definedName>
    <definedName name="__MAT1111">#REF!</definedName>
    <definedName name="__MAT170">#REF!</definedName>
    <definedName name="__MAT171">#REF!</definedName>
    <definedName name="__MAT832">#REF!</definedName>
    <definedName name="__may01" localSheetId="4">#REF!</definedName>
    <definedName name="__may01" localSheetId="2">#REF!</definedName>
    <definedName name="__may01">#REF!</definedName>
    <definedName name="__may06" localSheetId="4">#REF!</definedName>
    <definedName name="__may06" localSheetId="2">#REF!</definedName>
    <definedName name="__may06">#REF!</definedName>
    <definedName name="__may97" localSheetId="4">#REF!</definedName>
    <definedName name="__may97" localSheetId="2">#REF!</definedName>
    <definedName name="__may97">#REF!</definedName>
    <definedName name="__may98" localSheetId="4">#REF!</definedName>
    <definedName name="__may98" localSheetId="2">#REF!</definedName>
    <definedName name="__may98">#REF!</definedName>
    <definedName name="__may99" localSheetId="4">#REF!</definedName>
    <definedName name="__may99" localSheetId="2">#REF!</definedName>
    <definedName name="__may99">#REF!</definedName>
    <definedName name="__mor15">#REF!</definedName>
    <definedName name="__Mux1">[9]CALCULO!$B$19</definedName>
    <definedName name="__Mux2">[9]CALCULO!$E$19</definedName>
    <definedName name="__Mux3">[9]CALCULO!$H$19</definedName>
    <definedName name="__Muy1">[9]CALCULO!$B$20</definedName>
    <definedName name="__Muy2">[9]CALCULO!$E$20</definedName>
    <definedName name="__Muy3">[9]CALCULO!$H$20</definedName>
    <definedName name="__n3" localSheetId="4">#REF!</definedName>
    <definedName name="__n3" localSheetId="2">#REF!</definedName>
    <definedName name="__n3">#REF!</definedName>
    <definedName name="__n4" localSheetId="4">#REF!</definedName>
    <definedName name="__n4" localSheetId="2">#REF!</definedName>
    <definedName name="__n4">#REF!</definedName>
    <definedName name="__n5" localSheetId="4">#REF!</definedName>
    <definedName name="__n5" localSheetId="2">#REF!</definedName>
    <definedName name="__n5">#REF!</definedName>
    <definedName name="__nov01" localSheetId="4">#REF!</definedName>
    <definedName name="__nov01" localSheetId="2">#REF!</definedName>
    <definedName name="__nov01">#REF!</definedName>
    <definedName name="__nov06" localSheetId="4">#REF!</definedName>
    <definedName name="__nov06" localSheetId="2">#REF!</definedName>
    <definedName name="__nov06">#REF!</definedName>
    <definedName name="__nov97" localSheetId="4">#REF!</definedName>
    <definedName name="__nov97" localSheetId="2">#REF!</definedName>
    <definedName name="__nov97">#REF!</definedName>
    <definedName name="__nov98" localSheetId="4">#REF!</definedName>
    <definedName name="__nov98" localSheetId="2">#REF!</definedName>
    <definedName name="__nov98">#REF!</definedName>
    <definedName name="__nov99" localSheetId="4">#REF!</definedName>
    <definedName name="__nov99" localSheetId="2">#REF!</definedName>
    <definedName name="__nov99">#REF!</definedName>
    <definedName name="__num10">#REF!</definedName>
    <definedName name="__num2">#REF!</definedName>
    <definedName name="__num3" localSheetId="4">#REF!</definedName>
    <definedName name="__num3" localSheetId="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nyn7" localSheetId="4">#REF!</definedName>
    <definedName name="__nyn7" localSheetId="2">#REF!</definedName>
    <definedName name="__nyn7">#REF!</definedName>
    <definedName name="__o4" localSheetId="4">#REF!</definedName>
    <definedName name="__o4" localSheetId="2">#REF!</definedName>
    <definedName name="__o4">#REF!</definedName>
    <definedName name="__o5" localSheetId="4">#REF!</definedName>
    <definedName name="__o5" localSheetId="2">#REF!</definedName>
    <definedName name="__o5">#REF!</definedName>
    <definedName name="__o6" localSheetId="4">#REF!</definedName>
    <definedName name="__o6" localSheetId="2">#REF!</definedName>
    <definedName name="__o6">#REF!</definedName>
    <definedName name="__o7" localSheetId="4">#REF!</definedName>
    <definedName name="__o7" localSheetId="2">#REF!</definedName>
    <definedName name="__o7">#REF!</definedName>
    <definedName name="__o8" localSheetId="4">#REF!</definedName>
    <definedName name="__o8" localSheetId="2">#REF!</definedName>
    <definedName name="__o8">#REF!</definedName>
    <definedName name="__o9" localSheetId="4">#REF!</definedName>
    <definedName name="__o9" localSheetId="2">#REF!</definedName>
    <definedName name="__o9">#REF!</definedName>
    <definedName name="__occ1" localSheetId="4">#REF!</definedName>
    <definedName name="__occ1" localSheetId="2">#REF!</definedName>
    <definedName name="__occ1">#REF!</definedName>
    <definedName name="__occ2" localSheetId="4">#REF!</definedName>
    <definedName name="__occ2" localSheetId="2">#REF!</definedName>
    <definedName name="__occ2">#REF!</definedName>
    <definedName name="__oct01" localSheetId="4">#REF!</definedName>
    <definedName name="__oct01" localSheetId="2">#REF!</definedName>
    <definedName name="__oct01">#REF!</definedName>
    <definedName name="__oct06" localSheetId="4">#REF!</definedName>
    <definedName name="__oct06" localSheetId="2">#REF!</definedName>
    <definedName name="__oct06">#REF!</definedName>
    <definedName name="__oct97" localSheetId="4">#REF!</definedName>
    <definedName name="__oct97" localSheetId="2">#REF!</definedName>
    <definedName name="__oct97">#REF!</definedName>
    <definedName name="__oct98" localSheetId="4">#REF!</definedName>
    <definedName name="__oct98" localSheetId="2">#REF!</definedName>
    <definedName name="__oct98">#REF!</definedName>
    <definedName name="__oct99" localSheetId="4">#REF!</definedName>
    <definedName name="__oct99" localSheetId="2">#REF!</definedName>
    <definedName name="__oct99">#REF!</definedName>
    <definedName name="__p6" localSheetId="4">#REF!</definedName>
    <definedName name="__p6" localSheetId="2">#REF!</definedName>
    <definedName name="__p6">#REF!</definedName>
    <definedName name="__p7" localSheetId="4">#REF!</definedName>
    <definedName name="__p7" localSheetId="2">#REF!</definedName>
    <definedName name="__p7">#REF!</definedName>
    <definedName name="__p8" localSheetId="4">#REF!</definedName>
    <definedName name="__p8" localSheetId="2">#REF!</definedName>
    <definedName name="__p8">#REF!</definedName>
    <definedName name="__PJ50">#REF!</definedName>
    <definedName name="__pj51" localSheetId="4">#REF!</definedName>
    <definedName name="__pj51" localSheetId="2">#REF!</definedName>
    <definedName name="__pj51">#REF!</definedName>
    <definedName name="__PRE12" localSheetId="4">#REF!</definedName>
    <definedName name="__PRE12" localSheetId="2">#REF!</definedName>
    <definedName name="__PRE12">#REF!</definedName>
    <definedName name="__Pu1">[9]CALCULO!$B$18</definedName>
    <definedName name="__Pu2">[9]CALCULO!$E$18</definedName>
    <definedName name="__Pu3">[9]CALCULO!$H$18</definedName>
    <definedName name="__r" localSheetId="4">#REF!</definedName>
    <definedName name="__r" localSheetId="2">#REF!</definedName>
    <definedName name="__r">#REF!</definedName>
    <definedName name="__r4r" localSheetId="4">#REF!</definedName>
    <definedName name="__r4r" localSheetId="2">#REF!</definedName>
    <definedName name="__r4r">#REF!</definedName>
    <definedName name="__Rc">#REF!</definedName>
    <definedName name="__ref4">#REF!</definedName>
    <definedName name="__rtu6" localSheetId="4">#REF!</definedName>
    <definedName name="__rtu6" localSheetId="2">#REF!</definedName>
    <definedName name="__rtu6">#REF!</definedName>
    <definedName name="__s1" localSheetId="4">#REF!</definedName>
    <definedName name="__s1" localSheetId="2">#REF!</definedName>
    <definedName name="__s1">#REF!</definedName>
    <definedName name="__s2" localSheetId="4">#REF!</definedName>
    <definedName name="__s2" localSheetId="2">#REF!</definedName>
    <definedName name="__s2">#REF!</definedName>
    <definedName name="__s3" localSheetId="4">#REF!</definedName>
    <definedName name="__s3" localSheetId="2">#REF!</definedName>
    <definedName name="__s3">#REF!</definedName>
    <definedName name="__s4" localSheetId="4">#REF!</definedName>
    <definedName name="__s4" localSheetId="2">#REF!</definedName>
    <definedName name="__s4">#REF!</definedName>
    <definedName name="__s5" localSheetId="4">#REF!</definedName>
    <definedName name="__s5" localSheetId="2">#REF!</definedName>
    <definedName name="__s5">#REF!</definedName>
    <definedName name="__s6" localSheetId="4">#REF!</definedName>
    <definedName name="__s6" localSheetId="2">#REF!</definedName>
    <definedName name="__s6">#REF!</definedName>
    <definedName name="__s7" localSheetId="4">#REF!</definedName>
    <definedName name="__s7" localSheetId="2">#REF!</definedName>
    <definedName name="__s7">#REF!</definedName>
    <definedName name="__SBC1">[2]INV!$A$12:$D$15</definedName>
    <definedName name="__SBC3">[2]INV!$F$12:$I$15</definedName>
    <definedName name="__SBC5">[2]INV!$K$12:$N$15</definedName>
    <definedName name="__sep01" localSheetId="4">#REF!</definedName>
    <definedName name="__sep01" localSheetId="2">#REF!</definedName>
    <definedName name="__sep01">#REF!</definedName>
    <definedName name="__sep06" localSheetId="4">#REF!</definedName>
    <definedName name="__sep06" localSheetId="2">#REF!</definedName>
    <definedName name="__sep06">#REF!</definedName>
    <definedName name="__sep97" localSheetId="4">#REF!</definedName>
    <definedName name="__sep97" localSheetId="2">#REF!</definedName>
    <definedName name="__sep97">#REF!</definedName>
    <definedName name="__sep98" localSheetId="4">#REF!</definedName>
    <definedName name="__sep98" localSheetId="2">#REF!</definedName>
    <definedName name="__sep98">#REF!</definedName>
    <definedName name="__sep99" localSheetId="4">#REF!</definedName>
    <definedName name="__sep99" localSheetId="2">#REF!</definedName>
    <definedName name="__sep99">#REF!</definedName>
    <definedName name="__t3" localSheetId="4">#REF!</definedName>
    <definedName name="__t3" localSheetId="2">#REF!</definedName>
    <definedName name="__t3">#REF!</definedName>
    <definedName name="__t4" localSheetId="4">#REF!</definedName>
    <definedName name="__t4" localSheetId="2">#REF!</definedName>
    <definedName name="__t4">#REF!</definedName>
    <definedName name="__t5" localSheetId="4">#REF!</definedName>
    <definedName name="__t5" localSheetId="2">#REF!</definedName>
    <definedName name="__t5">#REF!</definedName>
    <definedName name="__t6" localSheetId="4">#REF!</definedName>
    <definedName name="__t6" localSheetId="2">#REF!</definedName>
    <definedName name="__t6">#REF!</definedName>
    <definedName name="__t66" localSheetId="4">#REF!</definedName>
    <definedName name="__t66" localSheetId="2">#REF!</definedName>
    <definedName name="__t66">#REF!</definedName>
    <definedName name="__t7" localSheetId="4">#REF!</definedName>
    <definedName name="__t7" localSheetId="2">#REF!</definedName>
    <definedName name="__t7">#REF!</definedName>
    <definedName name="__t77" localSheetId="4">#REF!</definedName>
    <definedName name="__t77" localSheetId="2">#REF!</definedName>
    <definedName name="__t77">#REF!</definedName>
    <definedName name="__t8" localSheetId="4">#REF!</definedName>
    <definedName name="__t8" localSheetId="2">#REF!</definedName>
    <definedName name="__t8">#REF!</definedName>
    <definedName name="__t88" localSheetId="4">#REF!</definedName>
    <definedName name="__t88" localSheetId="2">#REF!</definedName>
    <definedName name="__t88">#REF!</definedName>
    <definedName name="__t9" localSheetId="4">#REF!</definedName>
    <definedName name="__t9" localSheetId="2">#REF!</definedName>
    <definedName name="__t9">#REF!</definedName>
    <definedName name="__t99" localSheetId="4">#REF!</definedName>
    <definedName name="__t99" localSheetId="2">#REF!</definedName>
    <definedName name="__t99">#REF!</definedName>
    <definedName name="__tab1">#REF!</definedName>
    <definedName name="__tab2">#REF!</definedName>
    <definedName name="__tab3">#REF!</definedName>
    <definedName name="__TAB4" localSheetId="4">#REF!</definedName>
    <definedName name="__TAB4" localSheetId="2">#REF!</definedName>
    <definedName name="__TAB4">#REF!</definedName>
    <definedName name="__tf3813" localSheetId="4">#REF!</definedName>
    <definedName name="__tf3813" localSheetId="2">#REF!</definedName>
    <definedName name="__tf3813">#REF!</definedName>
    <definedName name="__u4" localSheetId="4">#REF!</definedName>
    <definedName name="__u4" localSheetId="2">#REF!</definedName>
    <definedName name="__u4">#REF!</definedName>
    <definedName name="__u5" localSheetId="4">#REF!</definedName>
    <definedName name="__u5" localSheetId="2">#REF!</definedName>
    <definedName name="__u5">#REF!</definedName>
    <definedName name="__u6" localSheetId="4">#REF!</definedName>
    <definedName name="__u6" localSheetId="2">#REF!</definedName>
    <definedName name="__u6">#REF!</definedName>
    <definedName name="__u7" localSheetId="4">#REF!</definedName>
    <definedName name="__u7" localSheetId="2">#REF!</definedName>
    <definedName name="__u7">#REF!</definedName>
    <definedName name="__u8" localSheetId="4">#REF!</definedName>
    <definedName name="__u8" localSheetId="2">#REF!</definedName>
    <definedName name="__u8">#REF!</definedName>
    <definedName name="__u9" localSheetId="4">#REF!</definedName>
    <definedName name="__u9" localSheetId="2">#REF!</definedName>
    <definedName name="__u9">#REF!</definedName>
    <definedName name="__ur7" localSheetId="4">#REF!</definedName>
    <definedName name="__ur7" localSheetId="2">#REF!</definedName>
    <definedName name="__ur7">#REF!</definedName>
    <definedName name="__v2" localSheetId="4">#REF!</definedName>
    <definedName name="__v2" localSheetId="2">#REF!</definedName>
    <definedName name="__v2">#REF!</definedName>
    <definedName name="__v3" localSheetId="4">#REF!</definedName>
    <definedName name="__v3" localSheetId="2">#REF!</definedName>
    <definedName name="__v3">#REF!</definedName>
    <definedName name="__v4" localSheetId="4">#REF!</definedName>
    <definedName name="__v4" localSheetId="2">#REF!</definedName>
    <definedName name="__v4">#REF!</definedName>
    <definedName name="__v5" localSheetId="4">#REF!</definedName>
    <definedName name="__v5" localSheetId="2">#REF!</definedName>
    <definedName name="__v5">#REF!</definedName>
    <definedName name="__v6" localSheetId="4">#REF!</definedName>
    <definedName name="__v6" localSheetId="2">#REF!</definedName>
    <definedName name="__v6">#REF!</definedName>
    <definedName name="__v7" localSheetId="4">#REF!</definedName>
    <definedName name="__v7" localSheetId="2">#REF!</definedName>
    <definedName name="__v7">#REF!</definedName>
    <definedName name="__v8" localSheetId="4">#REF!</definedName>
    <definedName name="__v8" localSheetId="2">#REF!</definedName>
    <definedName name="__v8">#REF!</definedName>
    <definedName name="__v9" localSheetId="4">#REF!</definedName>
    <definedName name="__v9" localSheetId="2">#REF!</definedName>
    <definedName name="__v9">#REF!</definedName>
    <definedName name="__vfv4" localSheetId="4">#REF!</definedName>
    <definedName name="__vfv4" localSheetId="2">#REF!</definedName>
    <definedName name="__vfv4">#REF!</definedName>
    <definedName name="__VPD1">[4]TARIFAS!$C$582</definedName>
    <definedName name="__VPI1">[4]TARIFAS!$C$580</definedName>
    <definedName name="__VRA1">[4]TARIFAS!$C$579</definedName>
    <definedName name="__Vu1">[9]CALCULO!$B$23</definedName>
    <definedName name="__Vu2">[9]CALCULO!$E$23</definedName>
    <definedName name="__Vu3">[9]CALCULO!$H$23</definedName>
    <definedName name="__x1" localSheetId="4">#REF!</definedName>
    <definedName name="__x1" localSheetId="2">#REF!</definedName>
    <definedName name="__x1">#REF!</definedName>
    <definedName name="__x2" localSheetId="4">#REF!</definedName>
    <definedName name="__x2" localSheetId="2">#REF!</definedName>
    <definedName name="__x2">#REF!</definedName>
    <definedName name="__x3" localSheetId="4">#REF!</definedName>
    <definedName name="__x3" localSheetId="2">#REF!</definedName>
    <definedName name="__x3">#REF!</definedName>
    <definedName name="__x4" localSheetId="4">#REF!</definedName>
    <definedName name="__x4" localSheetId="2">#REF!</definedName>
    <definedName name="__x4">#REF!</definedName>
    <definedName name="__x5" localSheetId="4">#REF!</definedName>
    <definedName name="__x5" localSheetId="2">#REF!</definedName>
    <definedName name="__x5">#REF!</definedName>
    <definedName name="__x6" localSheetId="4">#REF!</definedName>
    <definedName name="__x6" localSheetId="2">#REF!</definedName>
    <definedName name="__x6">#REF!</definedName>
    <definedName name="__x7" localSheetId="4">#REF!</definedName>
    <definedName name="__x7" localSheetId="2">#REF!</definedName>
    <definedName name="__x7">#REF!</definedName>
    <definedName name="__x8" localSheetId="4">#REF!</definedName>
    <definedName name="__x8" localSheetId="2">#REF!</definedName>
    <definedName name="__x8">#REF!</definedName>
    <definedName name="__x9" localSheetId="4">#REF!</definedName>
    <definedName name="__x9" localSheetId="2">#REF!</definedName>
    <definedName name="__x9">#REF!</definedName>
    <definedName name="__xlfn.BAHTTEXT" hidden="1">#NAME?</definedName>
    <definedName name="__y2" localSheetId="4">#REF!</definedName>
    <definedName name="__y2" localSheetId="2">#REF!</definedName>
    <definedName name="__y2">#REF!</definedName>
    <definedName name="__y3" localSheetId="4">#REF!</definedName>
    <definedName name="__y3" localSheetId="2">#REF!</definedName>
    <definedName name="__y3">#REF!</definedName>
    <definedName name="__y4" localSheetId="4">#REF!</definedName>
    <definedName name="__y4" localSheetId="2">#REF!</definedName>
    <definedName name="__y4">#REF!</definedName>
    <definedName name="__y5" localSheetId="4">#REF!</definedName>
    <definedName name="__y5" localSheetId="2">#REF!</definedName>
    <definedName name="__y5">#REF!</definedName>
    <definedName name="__y6" localSheetId="4">#REF!</definedName>
    <definedName name="__y6" localSheetId="2">#REF!</definedName>
    <definedName name="__y6">#REF!</definedName>
    <definedName name="__y7" localSheetId="4">#REF!</definedName>
    <definedName name="__y7" localSheetId="2">#REF!</definedName>
    <definedName name="__y7">#REF!</definedName>
    <definedName name="__y8" localSheetId="4">#REF!</definedName>
    <definedName name="__y8" localSheetId="2">#REF!</definedName>
    <definedName name="__y8">#REF!</definedName>
    <definedName name="__y9" localSheetId="4">#REF!</definedName>
    <definedName name="__y9" localSheetId="2">#REF!</definedName>
    <definedName name="__y9">#REF!</definedName>
    <definedName name="__z1" localSheetId="4">#REF!</definedName>
    <definedName name="__z1" localSheetId="2">#REF!</definedName>
    <definedName name="__z1">#REF!</definedName>
    <definedName name="__z2" localSheetId="4">#REF!</definedName>
    <definedName name="__z2" localSheetId="2">#REF!</definedName>
    <definedName name="__z2">#REF!</definedName>
    <definedName name="__z3" localSheetId="4">#REF!</definedName>
    <definedName name="__z3" localSheetId="2">#REF!</definedName>
    <definedName name="__z3">#REF!</definedName>
    <definedName name="__z4" localSheetId="4">#REF!</definedName>
    <definedName name="__z4" localSheetId="2">#REF!</definedName>
    <definedName name="__z4">#REF!</definedName>
    <definedName name="__z5" localSheetId="4">#REF!</definedName>
    <definedName name="__z5" localSheetId="2">#REF!</definedName>
    <definedName name="__z5">#REF!</definedName>
    <definedName name="__z6" localSheetId="4">#REF!</definedName>
    <definedName name="__z6" localSheetId="2">#REF!</definedName>
    <definedName name="__z6">#REF!</definedName>
    <definedName name="_1.10" localSheetId="4">#REF!</definedName>
    <definedName name="_1.10" localSheetId="2">#REF!</definedName>
    <definedName name="_1.10">#REF!</definedName>
    <definedName name="_1.11" localSheetId="4">#REF!</definedName>
    <definedName name="_1.11" localSheetId="2">#REF!</definedName>
    <definedName name="_1.11">#REF!</definedName>
    <definedName name="_1.12" localSheetId="4">#REF!</definedName>
    <definedName name="_1.12" localSheetId="2">#REF!</definedName>
    <definedName name="_1.12">#REF!</definedName>
    <definedName name="_1.13" localSheetId="4">#REF!</definedName>
    <definedName name="_1.13" localSheetId="2">#REF!</definedName>
    <definedName name="_1.13">#REF!</definedName>
    <definedName name="_1.14" localSheetId="4">#REF!</definedName>
    <definedName name="_1.14" localSheetId="2">#REF!</definedName>
    <definedName name="_1.14">#REF!</definedName>
    <definedName name="_1.15" localSheetId="4">#REF!</definedName>
    <definedName name="_1.15" localSheetId="2">#REF!</definedName>
    <definedName name="_1.15">#REF!</definedName>
    <definedName name="_1.16" localSheetId="4">#REF!</definedName>
    <definedName name="_1.16" localSheetId="2">#REF!</definedName>
    <definedName name="_1.16">#REF!</definedName>
    <definedName name="_1.17" localSheetId="4">#REF!</definedName>
    <definedName name="_1.17" localSheetId="2">#REF!</definedName>
    <definedName name="_1.17">#REF!</definedName>
    <definedName name="_1.18" localSheetId="4">#REF!</definedName>
    <definedName name="_1.18" localSheetId="2">#REF!</definedName>
    <definedName name="_1.18">#REF!</definedName>
    <definedName name="_1.19" localSheetId="4">#REF!</definedName>
    <definedName name="_1.19" localSheetId="2">#REF!</definedName>
    <definedName name="_1.19">#REF!</definedName>
    <definedName name="_1.20" localSheetId="4">#REF!</definedName>
    <definedName name="_1.20" localSheetId="2">#REF!</definedName>
    <definedName name="_1.20">#REF!</definedName>
    <definedName name="_10INV_11_4" localSheetId="4">#REF!</definedName>
    <definedName name="_10INV_11_4" localSheetId="2">#REF!</definedName>
    <definedName name="_10INV_11_4">#REF!</definedName>
    <definedName name="_11INV_11_5">#REF!</definedName>
    <definedName name="_12INV_11_6">#REF!</definedName>
    <definedName name="_2_10" localSheetId="4">#REF!</definedName>
    <definedName name="_2_10" localSheetId="2">#REF!</definedName>
    <definedName name="_2_10">#REF!</definedName>
    <definedName name="_2_11" localSheetId="4">#REF!</definedName>
    <definedName name="_2_11" localSheetId="2">#REF!</definedName>
    <definedName name="_2_11">#REF!</definedName>
    <definedName name="_2_12" localSheetId="4">#REF!</definedName>
    <definedName name="_2_12" localSheetId="2">#REF!</definedName>
    <definedName name="_2_12">#REF!</definedName>
    <definedName name="_2_13" localSheetId="4">#REF!</definedName>
    <definedName name="_2_13" localSheetId="2">#REF!</definedName>
    <definedName name="_2_13">#REF!</definedName>
    <definedName name="_2_14" localSheetId="4">#REF!</definedName>
    <definedName name="_2_14" localSheetId="2">#REF!</definedName>
    <definedName name="_2_14">#REF!</definedName>
    <definedName name="_2_15" localSheetId="4">#REF!</definedName>
    <definedName name="_2_15" localSheetId="2">#REF!</definedName>
    <definedName name="_2_15">#REF!</definedName>
    <definedName name="_2_16" localSheetId="4">#REF!</definedName>
    <definedName name="_2_16" localSheetId="2">#REF!</definedName>
    <definedName name="_2_16">#REF!</definedName>
    <definedName name="_2_17" localSheetId="4">#REF!</definedName>
    <definedName name="_2_17" localSheetId="2">#REF!</definedName>
    <definedName name="_2_17">#REF!</definedName>
    <definedName name="_2_18" localSheetId="4">#REF!</definedName>
    <definedName name="_2_18" localSheetId="2">#REF!</definedName>
    <definedName name="_2_18">#REF!</definedName>
    <definedName name="_3_10_1" localSheetId="4">#REF!</definedName>
    <definedName name="_3_10_1" localSheetId="2">#REF!</definedName>
    <definedName name="_3_10_1">#REF!</definedName>
    <definedName name="_3_10_2" localSheetId="4">#REF!</definedName>
    <definedName name="_3_10_2" localSheetId="2">#REF!</definedName>
    <definedName name="_3_10_2">#REF!</definedName>
    <definedName name="_3_10_3" localSheetId="4">#REF!</definedName>
    <definedName name="_3_10_3" localSheetId="2">#REF!</definedName>
    <definedName name="_3_10_3">#REF!</definedName>
    <definedName name="_3_10_4" localSheetId="4">#REF!</definedName>
    <definedName name="_3_10_4" localSheetId="2">#REF!</definedName>
    <definedName name="_3_10_4">#REF!</definedName>
    <definedName name="_3_10_5" localSheetId="4">#REF!</definedName>
    <definedName name="_3_10_5" localSheetId="2">#REF!</definedName>
    <definedName name="_3_10_5">#REF!</definedName>
    <definedName name="_3_11" localSheetId="4">#REF!</definedName>
    <definedName name="_3_11" localSheetId="2">#REF!</definedName>
    <definedName name="_3_11">#REF!</definedName>
    <definedName name="_4_10" localSheetId="4">#REF!</definedName>
    <definedName name="_4_10" localSheetId="2">#REF!</definedName>
    <definedName name="_4_10">#REF!</definedName>
    <definedName name="_4_11" localSheetId="4">#REF!</definedName>
    <definedName name="_4_11" localSheetId="2">#REF!</definedName>
    <definedName name="_4_11">#REF!</definedName>
    <definedName name="_4_12" localSheetId="4">#REF!</definedName>
    <definedName name="_4_12" localSheetId="2">#REF!</definedName>
    <definedName name="_4_12">#REF!</definedName>
    <definedName name="_5" localSheetId="4">#REF!</definedName>
    <definedName name="_5" localSheetId="2">#REF!</definedName>
    <definedName name="_5">#REF!</definedName>
    <definedName name="_5_10" localSheetId="4">#REF!</definedName>
    <definedName name="_5_10" localSheetId="2">#REF!</definedName>
    <definedName name="_5_10">#REF!</definedName>
    <definedName name="_5_11" localSheetId="4">#REF!</definedName>
    <definedName name="_5_11" localSheetId="2">#REF!</definedName>
    <definedName name="_5_11">#REF!</definedName>
    <definedName name="_5_12" localSheetId="4">#REF!</definedName>
    <definedName name="_5_12" localSheetId="2">#REF!</definedName>
    <definedName name="_5_12">#REF!</definedName>
    <definedName name="_5_13" localSheetId="4">#REF!</definedName>
    <definedName name="_5_13" localSheetId="2">#REF!</definedName>
    <definedName name="_5_13">#REF!</definedName>
    <definedName name="_5_14" localSheetId="4">#REF!</definedName>
    <definedName name="_5_14" localSheetId="2">#REF!</definedName>
    <definedName name="_5_14">#REF!</definedName>
    <definedName name="_5_15" localSheetId="4">#REF!</definedName>
    <definedName name="_5_15" localSheetId="2">#REF!</definedName>
    <definedName name="_5_15">#REF!</definedName>
    <definedName name="_5_16" localSheetId="4">#REF!</definedName>
    <definedName name="_5_16" localSheetId="2">#REF!</definedName>
    <definedName name="_5_16">#REF!</definedName>
    <definedName name="_5_17" localSheetId="4">#REF!</definedName>
    <definedName name="_5_17" localSheetId="2">#REF!</definedName>
    <definedName name="_5_17">#REF!</definedName>
    <definedName name="_5_18" localSheetId="4">#REF!</definedName>
    <definedName name="_5_18" localSheetId="2">#REF!</definedName>
    <definedName name="_5_18">#REF!</definedName>
    <definedName name="_5_19" localSheetId="4">#REF!</definedName>
    <definedName name="_5_19" localSheetId="2">#REF!</definedName>
    <definedName name="_5_19">#REF!</definedName>
    <definedName name="_5_20" localSheetId="4">#REF!</definedName>
    <definedName name="_5_20" localSheetId="2">#REF!</definedName>
    <definedName name="_5_20">#REF!</definedName>
    <definedName name="_5_21" localSheetId="4">#REF!</definedName>
    <definedName name="_5_21" localSheetId="2">#REF!</definedName>
    <definedName name="_5_21">#REF!</definedName>
    <definedName name="_5_22" localSheetId="4">#REF!</definedName>
    <definedName name="_5_22" localSheetId="2">#REF!</definedName>
    <definedName name="_5_22">#REF!</definedName>
    <definedName name="_7INV_11_1">#REF!</definedName>
    <definedName name="_8INV_11_2" localSheetId="4">#REF!</definedName>
    <definedName name="_8INV_11_2" localSheetId="2">#REF!</definedName>
    <definedName name="_8INV_11_2">#REF!</definedName>
    <definedName name="_9INV_11_3" localSheetId="4">#REF!</definedName>
    <definedName name="_9INV_11_3" localSheetId="2">#REF!</definedName>
    <definedName name="_9INV_11_3">#REF!</definedName>
    <definedName name="_a1" localSheetId="4">#REF!</definedName>
    <definedName name="_a1" localSheetId="2">#REF!</definedName>
    <definedName name="_a1">#REF!</definedName>
    <definedName name="_a3" localSheetId="4">#REF!</definedName>
    <definedName name="_a3" localSheetId="2">#REF!</definedName>
    <definedName name="_a3">#REF!</definedName>
    <definedName name="_a4" localSheetId="4">#REF!</definedName>
    <definedName name="_a4" localSheetId="2">#REF!</definedName>
    <definedName name="_a4">#REF!</definedName>
    <definedName name="_a5" localSheetId="4">#REF!</definedName>
    <definedName name="_a5" localSheetId="2">#REF!</definedName>
    <definedName name="_a5">#REF!</definedName>
    <definedName name="_a6" localSheetId="4">#REF!</definedName>
    <definedName name="_a6" localSheetId="2">#REF!</definedName>
    <definedName name="_a6">#REF!</definedName>
    <definedName name="_ADH12">[10]BASE!$D$218</definedName>
    <definedName name="_ADM12">[10]BASE!$D$219</definedName>
    <definedName name="_ADM4">[10]BASE!$D$120</definedName>
    <definedName name="_AFC1">[2]INV!$A$25:$D$28</definedName>
    <definedName name="_AFC3">[2]INV!$F$25:$I$28</definedName>
    <definedName name="_AFC5">[2]INV!$K$25:$N$28</definedName>
    <definedName name="_Afe1">'[11]2007 Database'!$E$2:$E$171,'[11]2007 Database'!$E$171:$E$172</definedName>
    <definedName name="_aiu2">[12]AIU!$J$105</definedName>
    <definedName name="_ALL4" localSheetId="4">#REF!</definedName>
    <definedName name="_ALL4" localSheetId="2">#REF!</definedName>
    <definedName name="_ALL4">#REF!</definedName>
    <definedName name="_APU101">#REF!</definedName>
    <definedName name="_APU1010">#REF!</definedName>
    <definedName name="_APU1011">#REF!</definedName>
    <definedName name="_APU1012">#REF!</definedName>
    <definedName name="_APU1013">#REF!</definedName>
    <definedName name="_APU1014">#REF!</definedName>
    <definedName name="_APU102">#REF!</definedName>
    <definedName name="_APU103">#REF!</definedName>
    <definedName name="_APU104">#REF!</definedName>
    <definedName name="_APU105" localSheetId="4">#REF!</definedName>
    <definedName name="_APU105" localSheetId="2">#REF!</definedName>
    <definedName name="_APU105">#REF!</definedName>
    <definedName name="_APU106">#REF!</definedName>
    <definedName name="_APU107">#REF!</definedName>
    <definedName name="_APU108">#REF!</definedName>
    <definedName name="_APU109">#REF!</definedName>
    <definedName name="_APU11">#REF!</definedName>
    <definedName name="_APU110">#REF!</definedName>
    <definedName name="_APU1101">#REF!</definedName>
    <definedName name="_APU1102">#REF!</definedName>
    <definedName name="_APU1103">#REF!</definedName>
    <definedName name="_APU1104">#REF!</definedName>
    <definedName name="_APU1105">#REF!</definedName>
    <definedName name="_APU1106">#REF!</definedName>
    <definedName name="_APU1107">#REF!</definedName>
    <definedName name="_APU1108">#REF!</definedName>
    <definedName name="_APU1109" localSheetId="4">#REF!</definedName>
    <definedName name="_APU1109" localSheetId="2">#REF!</definedName>
    <definedName name="_APU1109">#REF!</definedName>
    <definedName name="_APU1110">#REF!</definedName>
    <definedName name="_APU1111" localSheetId="4">#REF!</definedName>
    <definedName name="_APU1111" localSheetId="2">#REF!</definedName>
    <definedName name="_APU1111">#REF!</definedName>
    <definedName name="_APU1112" localSheetId="4">#REF!</definedName>
    <definedName name="_APU1112" localSheetId="2">#REF!</definedName>
    <definedName name="_APU1112">#REF!</definedName>
    <definedName name="_APU1113">#REF!</definedName>
    <definedName name="_APU1114">#REF!</definedName>
    <definedName name="_APU1115">#REF!</definedName>
    <definedName name="_APU1116" localSheetId="4">#REF!</definedName>
    <definedName name="_APU1116" localSheetId="2">#REF!</definedName>
    <definedName name="_APU1116">#REF!</definedName>
    <definedName name="_APU1117" localSheetId="4">#REF!</definedName>
    <definedName name="_APU1117" localSheetId="2">#REF!</definedName>
    <definedName name="_APU1117">#REF!</definedName>
    <definedName name="_APU12">#REF!</definedName>
    <definedName name="_APU1201">#REF!</definedName>
    <definedName name="_APU1202">#REF!</definedName>
    <definedName name="_APU1203">#REF!</definedName>
    <definedName name="_APU1204">#REF!</definedName>
    <definedName name="_APU1205">#REF!</definedName>
    <definedName name="_APU1206">#REF!</definedName>
    <definedName name="_APU1207">#REF!</definedName>
    <definedName name="_APU1208">#REF!</definedName>
    <definedName name="_APU1209">#REF!</definedName>
    <definedName name="_APU1210">#REF!</definedName>
    <definedName name="_APU1211" localSheetId="4">#REF!</definedName>
    <definedName name="_APU1211" localSheetId="2">#REF!</definedName>
    <definedName name="_APU1211">#REF!</definedName>
    <definedName name="_APU1212">#REF!</definedName>
    <definedName name="_APU1213" localSheetId="4">#REF!</definedName>
    <definedName name="_APU1213" localSheetId="2">#REF!</definedName>
    <definedName name="_APU1213">#REF!</definedName>
    <definedName name="_APU1214">#REF!</definedName>
    <definedName name="_APU1215">#REF!</definedName>
    <definedName name="_APU1216">#REF!</definedName>
    <definedName name="_APU1217" localSheetId="4">#REF!</definedName>
    <definedName name="_APU1217" localSheetId="2">#REF!</definedName>
    <definedName name="_APU1217">#REF!</definedName>
    <definedName name="_APU1218" localSheetId="4">#REF!</definedName>
    <definedName name="_APU1218" localSheetId="2">#REF!</definedName>
    <definedName name="_APU1218">#REF!</definedName>
    <definedName name="_APU1219">#REF!</definedName>
    <definedName name="_APU1220" localSheetId="4">#REF!</definedName>
    <definedName name="_APU1220" localSheetId="2">#REF!</definedName>
    <definedName name="_APU1220">#REF!</definedName>
    <definedName name="_APU13" localSheetId="4">#REF!</definedName>
    <definedName name="_APU13" localSheetId="2">#REF!</definedName>
    <definedName name="_APU13">#REF!</definedName>
    <definedName name="_APU1301">#REF!</definedName>
    <definedName name="_APU1302">#REF!</definedName>
    <definedName name="_APU1303">#REF!</definedName>
    <definedName name="_APU1304" localSheetId="4">#REF!</definedName>
    <definedName name="_APU1304" localSheetId="2">#REF!</definedName>
    <definedName name="_APU1304">#REF!</definedName>
    <definedName name="_APU1305">#REF!</definedName>
    <definedName name="_APU1306" localSheetId="4">#REF!</definedName>
    <definedName name="_APU1306" localSheetId="2">#REF!</definedName>
    <definedName name="_APU1306">#REF!</definedName>
    <definedName name="_APU1307">#REF!</definedName>
    <definedName name="_APU1308">#REF!</definedName>
    <definedName name="_APU1309">#REF!</definedName>
    <definedName name="_APU1310">#REF!</definedName>
    <definedName name="_APU1311">#REF!</definedName>
    <definedName name="_APU1312">#REF!</definedName>
    <definedName name="_APU1313">#REF!</definedName>
    <definedName name="_APU1314">#REF!</definedName>
    <definedName name="_APU1315">#REF!</definedName>
    <definedName name="_APU1316">#REF!</definedName>
    <definedName name="_APU1317">#REF!</definedName>
    <definedName name="_APU1318">#REF!</definedName>
    <definedName name="_APU1319">#REF!</definedName>
    <definedName name="_APU1320">#REF!</definedName>
    <definedName name="_APU1321">#REF!</definedName>
    <definedName name="_APU1322">#REF!</definedName>
    <definedName name="_APU1323">#REF!</definedName>
    <definedName name="_APU1324">#REF!</definedName>
    <definedName name="_APU1325">#REF!</definedName>
    <definedName name="_APU1326">#REF!</definedName>
    <definedName name="_APU1327">#REF!</definedName>
    <definedName name="_APU1328">#REF!</definedName>
    <definedName name="_APU1329">#REF!</definedName>
    <definedName name="_APU1330">#REF!</definedName>
    <definedName name="_APU1331" localSheetId="4">#REF!</definedName>
    <definedName name="_APU1331" localSheetId="2">#REF!</definedName>
    <definedName name="_APU1331">#REF!</definedName>
    <definedName name="_APU1332">#REF!</definedName>
    <definedName name="_APU1333">#REF!</definedName>
    <definedName name="_APU1334" localSheetId="4">#REF!</definedName>
    <definedName name="_APU1334" localSheetId="2">#REF!</definedName>
    <definedName name="_APU1334">#REF!</definedName>
    <definedName name="_APU1335">#REF!</definedName>
    <definedName name="_APU14">#REF!</definedName>
    <definedName name="_APU1401">#REF!</definedName>
    <definedName name="_APU1402" localSheetId="4">#REF!</definedName>
    <definedName name="_APU1402" localSheetId="2">#REF!</definedName>
    <definedName name="_APU1402">#REF!</definedName>
    <definedName name="_APU1403">#REF!</definedName>
    <definedName name="_APU1404">#REF!</definedName>
    <definedName name="_APU15">#REF!</definedName>
    <definedName name="_APU1501">#REF!</definedName>
    <definedName name="_APU1502" localSheetId="4">#REF!</definedName>
    <definedName name="_APU1502" localSheetId="2">#REF!</definedName>
    <definedName name="_APU1502">#REF!</definedName>
    <definedName name="_APU1503">#REF!</definedName>
    <definedName name="_APU1504">#REF!</definedName>
    <definedName name="_APU1505">#REF!</definedName>
    <definedName name="_APU1506" localSheetId="4">#REF!</definedName>
    <definedName name="_APU1506" localSheetId="2">#REF!</definedName>
    <definedName name="_APU1506">#REF!</definedName>
    <definedName name="_APU1507">#REF!</definedName>
    <definedName name="_APU1508">#REF!</definedName>
    <definedName name="_APU1509">#REF!</definedName>
    <definedName name="_APU16">#REF!</definedName>
    <definedName name="_APU17">#REF!</definedName>
    <definedName name="_APU18">#REF!</definedName>
    <definedName name="_APU19">#REF!</definedName>
    <definedName name="_APU21" localSheetId="4">#REF!</definedName>
    <definedName name="_APU21" localSheetId="2">#REF!</definedName>
    <definedName name="_APU21">#REF!</definedName>
    <definedName name="_APU22">#REF!</definedName>
    <definedName name="_APU221">#REF!</definedName>
    <definedName name="_APU23">#REF!</definedName>
    <definedName name="_APU24">#REF!</definedName>
    <definedName name="_APU25">#REF!</definedName>
    <definedName name="_APU26">#REF!</definedName>
    <definedName name="_APU27">#REF!</definedName>
    <definedName name="_APU28">#REF!</definedName>
    <definedName name="_APU3">#REF!</definedName>
    <definedName name="_APU31">#REF!</definedName>
    <definedName name="_APU310">#REF!</definedName>
    <definedName name="_APU311" localSheetId="4">#REF!</definedName>
    <definedName name="_APU311" localSheetId="2">#REF!</definedName>
    <definedName name="_APU311">#REF!</definedName>
    <definedName name="_APU312">#REF!</definedName>
    <definedName name="_APU313">#REF!</definedName>
    <definedName name="_APU314">#REF!</definedName>
    <definedName name="_APU315" localSheetId="4">#REF!</definedName>
    <definedName name="_APU315" localSheetId="2">#REF!</definedName>
    <definedName name="_APU315">#REF!</definedName>
    <definedName name="_APU32">#REF!</definedName>
    <definedName name="_APU33" localSheetId="4">#REF!</definedName>
    <definedName name="_APU33" localSheetId="2">#REF!</definedName>
    <definedName name="_APU33">#REF!</definedName>
    <definedName name="_APU34">#REF!</definedName>
    <definedName name="_APU35">#REF!</definedName>
    <definedName name="_APU36">#REF!</definedName>
    <definedName name="_APU37">#REF!</definedName>
    <definedName name="_APU38">#REF!</definedName>
    <definedName name="_APU39">#REF!</definedName>
    <definedName name="_APU41">#REF!</definedName>
    <definedName name="_APU410" localSheetId="4">#REF!</definedName>
    <definedName name="_APU410" localSheetId="2">#REF!</definedName>
    <definedName name="_APU410">#REF!</definedName>
    <definedName name="_APU411">#REF!</definedName>
    <definedName name="_APU412">#REF!</definedName>
    <definedName name="_APU413">#REF!</definedName>
    <definedName name="_APU414">#REF!</definedName>
    <definedName name="_APU415">#REF!</definedName>
    <definedName name="_APU416">#REF!</definedName>
    <definedName name="_APU417">#REF!</definedName>
    <definedName name="_APU42">#REF!</definedName>
    <definedName name="_APU43">#REF!</definedName>
    <definedName name="_APU44">#REF!</definedName>
    <definedName name="_APU45">#REF!</definedName>
    <definedName name="_APU46">#REF!</definedName>
    <definedName name="_APU465">[13]!absc</definedName>
    <definedName name="_APU47" localSheetId="4">#REF!</definedName>
    <definedName name="_APU47" localSheetId="2">#REF!</definedName>
    <definedName name="_APU47">#REF!</definedName>
    <definedName name="_APU48">#REF!</definedName>
    <definedName name="_APU49">#REF!</definedName>
    <definedName name="_APU51">#REF!</definedName>
    <definedName name="_APU510">#REF!</definedName>
    <definedName name="_APU511">#REF!</definedName>
    <definedName name="_APU512">#REF!</definedName>
    <definedName name="_APU513">#REF!</definedName>
    <definedName name="_APU514">#REF!</definedName>
    <definedName name="_APU515">#REF!</definedName>
    <definedName name="_APU516">#REF!</definedName>
    <definedName name="_APU517">#REF!</definedName>
    <definedName name="_APU518" localSheetId="4">#REF!</definedName>
    <definedName name="_APU518" localSheetId="2">#REF!</definedName>
    <definedName name="_APU518">#REF!</definedName>
    <definedName name="_APU519">#REF!</definedName>
    <definedName name="_APU52">#REF!</definedName>
    <definedName name="_APU520">#REF!</definedName>
    <definedName name="_APU521">#REF!</definedName>
    <definedName name="_APU522">#REF!</definedName>
    <definedName name="_APU523">#REF!</definedName>
    <definedName name="_APU524">#REF!</definedName>
    <definedName name="_APU525">#REF!</definedName>
    <definedName name="_APU526">#REF!</definedName>
    <definedName name="_APU527">#REF!</definedName>
    <definedName name="_APU528">#REF!</definedName>
    <definedName name="_APU529">#REF!</definedName>
    <definedName name="_APU53">#REF!</definedName>
    <definedName name="_APU530">#REF!</definedName>
    <definedName name="_APU531" localSheetId="4">#REF!</definedName>
    <definedName name="_APU531" localSheetId="2">#REF!</definedName>
    <definedName name="_APU531">#REF!</definedName>
    <definedName name="_APU532">#REF!</definedName>
    <definedName name="_APU533">#REF!</definedName>
    <definedName name="_APU54">#REF!</definedName>
    <definedName name="_APU55">#REF!</definedName>
    <definedName name="_APU56" localSheetId="4">#REF!</definedName>
    <definedName name="_APU56" localSheetId="2">#REF!</definedName>
    <definedName name="_APU56">#REF!</definedName>
    <definedName name="_APU57">#REF!</definedName>
    <definedName name="_APU58">#REF!</definedName>
    <definedName name="_APU59">#REF!</definedName>
    <definedName name="_APU61">#REF!</definedName>
    <definedName name="_APU610">#REF!</definedName>
    <definedName name="_APU611">#REF!</definedName>
    <definedName name="_APU612">#REF!</definedName>
    <definedName name="_APU613">#REF!</definedName>
    <definedName name="_APU614">#REF!</definedName>
    <definedName name="_APU62">#REF!</definedName>
    <definedName name="_APU63">#REF!</definedName>
    <definedName name="_APU64">#REF!</definedName>
    <definedName name="_APU65">#REF!</definedName>
    <definedName name="_APU66">#REF!</definedName>
    <definedName name="_APU67">#REF!</definedName>
    <definedName name="_APU68">#REF!</definedName>
    <definedName name="_APU69">#REF!</definedName>
    <definedName name="_APU71" localSheetId="4">#REF!</definedName>
    <definedName name="_APU71" localSheetId="2">#REF!</definedName>
    <definedName name="_APU71">#REF!</definedName>
    <definedName name="_APU72">#REF!</definedName>
    <definedName name="_APU73">#REF!</definedName>
    <definedName name="_APU74">#REF!</definedName>
    <definedName name="_APU75">#REF!</definedName>
    <definedName name="_APU76" localSheetId="4">#REF!</definedName>
    <definedName name="_APU76" localSheetId="2">#REF!</definedName>
    <definedName name="_APU76">#REF!</definedName>
    <definedName name="_APU77">#REF!</definedName>
    <definedName name="_APU78">#REF!</definedName>
    <definedName name="_APU81" localSheetId="4">#REF!</definedName>
    <definedName name="_APU81" localSheetId="2">#REF!</definedName>
    <definedName name="_APU81">#REF!</definedName>
    <definedName name="_APU810" localSheetId="4">#REF!</definedName>
    <definedName name="_APU810" localSheetId="2">#REF!</definedName>
    <definedName name="_APU810">#REF!</definedName>
    <definedName name="_APU811" localSheetId="4">#REF!</definedName>
    <definedName name="_APU811" localSheetId="2">#REF!</definedName>
    <definedName name="_APU811">#REF!</definedName>
    <definedName name="_APU812">#REF!</definedName>
    <definedName name="_APU813">#REF!</definedName>
    <definedName name="_APU814">#REF!</definedName>
    <definedName name="_APU82">#REF!</definedName>
    <definedName name="_APU83">#REF!</definedName>
    <definedName name="_APU84">#REF!</definedName>
    <definedName name="_APU85">#REF!</definedName>
    <definedName name="_APU86">#REF!</definedName>
    <definedName name="_APU87">#REF!</definedName>
    <definedName name="_APU88">#REF!</definedName>
    <definedName name="_APU89">#REF!</definedName>
    <definedName name="_APU91">#REF!</definedName>
    <definedName name="_APU910">#REF!</definedName>
    <definedName name="_APU911">#REF!</definedName>
    <definedName name="_APU912">#REF!</definedName>
    <definedName name="_APU913" localSheetId="4">#REF!</definedName>
    <definedName name="_APU913" localSheetId="2">#REF!</definedName>
    <definedName name="_APU913">#REF!</definedName>
    <definedName name="_APU914" localSheetId="4">#REF!</definedName>
    <definedName name="_APU914" localSheetId="2">#REF!</definedName>
    <definedName name="_APU914">#REF!</definedName>
    <definedName name="_APU915">#REF!</definedName>
    <definedName name="_APU92" localSheetId="4">#REF!</definedName>
    <definedName name="_APU92" localSheetId="2">#REF!</definedName>
    <definedName name="_APU92">#REF!</definedName>
    <definedName name="_APU93" localSheetId="4">#REF!</definedName>
    <definedName name="_APU93" localSheetId="2">#REF!</definedName>
    <definedName name="_APU93">#REF!</definedName>
    <definedName name="_APU94">#REF!</definedName>
    <definedName name="_APU95" localSheetId="4">#REF!</definedName>
    <definedName name="_APU95" localSheetId="2">#REF!</definedName>
    <definedName name="_APU95">#REF!</definedName>
    <definedName name="_APU96" localSheetId="4">#REF!</definedName>
    <definedName name="_APU96" localSheetId="2">#REF!</definedName>
    <definedName name="_APU96">#REF!</definedName>
    <definedName name="_APU97">#REF!</definedName>
    <definedName name="_APU98">#REF!</definedName>
    <definedName name="_APU99">#REF!</definedName>
    <definedName name="_ARO1" localSheetId="4">#REF!</definedName>
    <definedName name="_ARO1" localSheetId="2">#REF!</definedName>
    <definedName name="_ARO1">#REF!</definedName>
    <definedName name="_ARO2" localSheetId="4">#REF!</definedName>
    <definedName name="_ARO2" localSheetId="2">#REF!</definedName>
    <definedName name="_ARO2">#REF!</definedName>
    <definedName name="_ARO3" localSheetId="4">#REF!</definedName>
    <definedName name="_ARO3" localSheetId="2">#REF!</definedName>
    <definedName name="_ARO3">#REF!</definedName>
    <definedName name="_b2" localSheetId="4">#REF!</definedName>
    <definedName name="_b2" localSheetId="2">#REF!</definedName>
    <definedName name="_b2">#REF!</definedName>
    <definedName name="_b3" localSheetId="4">#REF!</definedName>
    <definedName name="_b3" localSheetId="2">#REF!</definedName>
    <definedName name="_b3">#REF!</definedName>
    <definedName name="_b4" localSheetId="4">#REF!</definedName>
    <definedName name="_b4" localSheetId="2">#REF!</definedName>
    <definedName name="_b4">#REF!</definedName>
    <definedName name="_b5" localSheetId="4">#REF!</definedName>
    <definedName name="_b5" localSheetId="2">#REF!</definedName>
    <definedName name="_b5">#REF!</definedName>
    <definedName name="_b6" localSheetId="4">#REF!</definedName>
    <definedName name="_b6" localSheetId="2">#REF!</definedName>
    <definedName name="_b6">#REF!</definedName>
    <definedName name="_b7" localSheetId="4">#REF!</definedName>
    <definedName name="_b7" localSheetId="2">#REF!</definedName>
    <definedName name="_b7">#REF!</definedName>
    <definedName name="_b8" localSheetId="4">#REF!</definedName>
    <definedName name="_b8" localSheetId="2">#REF!</definedName>
    <definedName name="_b8">#REF!</definedName>
    <definedName name="_BAZ10">[10]BASE!$D$270</definedName>
    <definedName name="_bb9" localSheetId="4">#REF!</definedName>
    <definedName name="_bb9" localSheetId="2">#REF!</definedName>
    <definedName name="_bb9">#REF!</definedName>
    <definedName name="_bgb5" localSheetId="4">#REF!</definedName>
    <definedName name="_bgb5" localSheetId="2">#REF!</definedName>
    <definedName name="_bgb5">#REF!</definedName>
    <definedName name="_BGC1">[2]INV!$A$5:$D$8</definedName>
    <definedName name="_BGC3">[2]INV!$F$5:$I$8</definedName>
    <definedName name="_BGC5">[2]INV!$K$5:$N$8</definedName>
    <definedName name="_BLO20">[10]BASE!$D$56</definedName>
    <definedName name="_CAC1">[2]INV!$A$19:$D$22</definedName>
    <definedName name="_CAC3">[2]INV!$F$19:$I$22</definedName>
    <definedName name="_CAC5">[2]INV!$K$19:$N$22</definedName>
    <definedName name="_CAN28">[10]BASE!$D$315</definedName>
    <definedName name="_cap01">#REF!</definedName>
    <definedName name="_cap02">#REF!</definedName>
    <definedName name="_cap03">#REF!</definedName>
    <definedName name="_cap04">#REF!</definedName>
    <definedName name="_cap05">#REF!</definedName>
    <definedName name="_cap06">#REF!</definedName>
    <definedName name="_cap07">#REF!</definedName>
    <definedName name="_cap08">#REF!</definedName>
    <definedName name="_cap09">#REF!</definedName>
    <definedName name="_CAP1">#REF!</definedName>
    <definedName name="_CAP10">#REF!</definedName>
    <definedName name="_CAP11" localSheetId="4">#REF!</definedName>
    <definedName name="_CAP11" localSheetId="2">#REF!</definedName>
    <definedName name="_CAP11">#REF!</definedName>
    <definedName name="_CAP12">#REF!</definedName>
    <definedName name="_CAP13">#REF!</definedName>
    <definedName name="_CAP14" localSheetId="4">#REF!</definedName>
    <definedName name="_CAP14" localSheetId="2">#REF!</definedName>
    <definedName name="_CAP14">#REF!</definedName>
    <definedName name="_CAP15">#REF!</definedName>
    <definedName name="_CAP16">#REF!</definedName>
    <definedName name="_CAP17">#REF!</definedName>
    <definedName name="_CAP18">#REF!</definedName>
    <definedName name="_CAP19">#REF!</definedName>
    <definedName name="_CAP2">#REF!</definedName>
    <definedName name="_CAP20">#REF!</definedName>
    <definedName name="_CAP3">#REF!</definedName>
    <definedName name="_CAP4" localSheetId="4">#REF!</definedName>
    <definedName name="_CAP4" localSheetId="2">#REF!</definedName>
    <definedName name="_CAP4">#REF!</definedName>
    <definedName name="_CAP5">#REF!</definedName>
    <definedName name="_CAP6" localSheetId="4">#REF!</definedName>
    <definedName name="_CAP6" localSheetId="2">#REF!</definedName>
    <definedName name="_CAP6">#REF!</definedName>
    <definedName name="_CAP7">#REF!</definedName>
    <definedName name="_CAP8" localSheetId="4">#REF!</definedName>
    <definedName name="_CAP8" localSheetId="2">#REF!</definedName>
    <definedName name="_CAP8">#REF!</definedName>
    <definedName name="_CAP9">#REF!</definedName>
    <definedName name="_CMU005">#REF!</definedName>
    <definedName name="_cmu05" localSheetId="4">#REF!</definedName>
    <definedName name="_cmu05" localSheetId="2">#REF!</definedName>
    <definedName name="_cmu05">#REF!</definedName>
    <definedName name="_Cod1">#REF!</definedName>
    <definedName name="_CON123" localSheetId="4">#REF!</definedName>
    <definedName name="_CON123" localSheetId="2">#REF!</definedName>
    <definedName name="_CON123">#REF!</definedName>
    <definedName name="_CON2200">#REF!</definedName>
    <definedName name="_CON2500" localSheetId="4">#REF!</definedName>
    <definedName name="_CON2500" localSheetId="2">#REF!</definedName>
    <definedName name="_CON2500">#REF!</definedName>
    <definedName name="_con3000" localSheetId="4">#REF!</definedName>
    <definedName name="_con3000" localSheetId="2">#REF!</definedName>
    <definedName name="_con3000">#REF!</definedName>
    <definedName name="_cua1">'[3]ALCANTARILLADO RAS'!$A$4:$B$14</definedName>
    <definedName name="_CUA44">[10]BASE!$D$253</definedName>
    <definedName name="_DMD1">#REF!</definedName>
    <definedName name="_EQP1">#REF!</definedName>
    <definedName name="_EQP2">#REF!</definedName>
    <definedName name="_eqp27">#REF!</definedName>
    <definedName name="_EQP3" localSheetId="4">#REF!</definedName>
    <definedName name="_EQP3" localSheetId="2">#REF!</definedName>
    <definedName name="_EQP3">#REF!</definedName>
    <definedName name="_EQP4">#REF!</definedName>
    <definedName name="_EST1">#REF!</definedName>
    <definedName name="_EST10">#REF!</definedName>
    <definedName name="_EST11" localSheetId="4">#REF!</definedName>
    <definedName name="_EST11" localSheetId="2">#REF!</definedName>
    <definedName name="_EST11">#REF!</definedName>
    <definedName name="_EST12">#REF!</definedName>
    <definedName name="_EST13">#REF!</definedName>
    <definedName name="_EST14">#REF!</definedName>
    <definedName name="_EST15">#REF!</definedName>
    <definedName name="_EST16" localSheetId="4">#REF!</definedName>
    <definedName name="_EST16" localSheetId="2">#REF!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 localSheetId="4">#REF!</definedName>
    <definedName name="_EST9" localSheetId="2">#REF!</definedName>
    <definedName name="_EST9">#REF!</definedName>
    <definedName name="_ETR13">#REF!</definedName>
    <definedName name="_EXC02">[14]MEM!$E$53</definedName>
    <definedName name="_EXC1">#REF!</definedName>
    <definedName name="_EXC10" localSheetId="4">#REF!</definedName>
    <definedName name="_EXC10" localSheetId="2">#REF!</definedName>
    <definedName name="_EXC10">#REF!</definedName>
    <definedName name="_EXC11">#REF!</definedName>
    <definedName name="_EXC12">#REF!</definedName>
    <definedName name="_EXC2">#REF!</definedName>
    <definedName name="_EXC23">[14]MEM!$E$55</definedName>
    <definedName name="_EXC3">#REF!</definedName>
    <definedName name="_EXC4">#REF!</definedName>
    <definedName name="_EXC5">#REF!</definedName>
    <definedName name="_EXC6">#REF!</definedName>
    <definedName name="_EXC7">#REF!</definedName>
    <definedName name="_EXC8">#REF!</definedName>
    <definedName name="_EXC9" localSheetId="4">#REF!</definedName>
    <definedName name="_EXC9" localSheetId="2">#REF!</definedName>
    <definedName name="_EXC9">#REF!</definedName>
    <definedName name="_EXT02">[14]MEM!$E$54</definedName>
    <definedName name="_EXT23">[14]MEM!$E$56</definedName>
    <definedName name="_f">#REF!</definedName>
    <definedName name="_fcv1">#REF!</definedName>
    <definedName name="_FEB1" localSheetId="4">#REF!</definedName>
    <definedName name="_FEB1" localSheetId="2">#REF!</definedName>
    <definedName name="_FEB1">#REF!</definedName>
    <definedName name="_Fill">#REF!</definedName>
    <definedName name="_xlnm._FilterDatabase" localSheetId="2" hidden="1">'Presupuesto Especifico'!$A$5:$G$652</definedName>
    <definedName name="_FS01" localSheetId="4">#REF!</definedName>
    <definedName name="_FS01" localSheetId="2">#REF!</definedName>
    <definedName name="_FS01">#REF!</definedName>
    <definedName name="_g2" localSheetId="4">#REF!</definedName>
    <definedName name="_g2" localSheetId="2">#REF!</definedName>
    <definedName name="_g2">#REF!</definedName>
    <definedName name="_g3" localSheetId="4">#REF!</definedName>
    <definedName name="_g3" localSheetId="2">#REF!</definedName>
    <definedName name="_g3">#REF!</definedName>
    <definedName name="_g4" localSheetId="4">#REF!</definedName>
    <definedName name="_g4" localSheetId="2">#REF!</definedName>
    <definedName name="_g4">#REF!</definedName>
    <definedName name="_g5" localSheetId="4">#REF!</definedName>
    <definedName name="_g5" localSheetId="2">#REF!</definedName>
    <definedName name="_g5">#REF!</definedName>
    <definedName name="_g6" localSheetId="4">#REF!</definedName>
    <definedName name="_g6" localSheetId="2">#REF!</definedName>
    <definedName name="_g6">#REF!</definedName>
    <definedName name="_g7" localSheetId="4">#REF!</definedName>
    <definedName name="_g7" localSheetId="2">#REF!</definedName>
    <definedName name="_g7">#REF!</definedName>
    <definedName name="_GR1" localSheetId="4">#REF!</definedName>
    <definedName name="_GR1" localSheetId="2">#REF!</definedName>
    <definedName name="_GR1">#REF!</definedName>
    <definedName name="_gtr4" localSheetId="4">#REF!</definedName>
    <definedName name="_gtr4" localSheetId="2">#REF!</definedName>
    <definedName name="_gtr4">#REF!</definedName>
    <definedName name="_h2" localSheetId="4">#REF!</definedName>
    <definedName name="_h2" localSheetId="2">#REF!</definedName>
    <definedName name="_h2">#REF!</definedName>
    <definedName name="_h3" localSheetId="4">#REF!</definedName>
    <definedName name="_h3" localSheetId="2">#REF!</definedName>
    <definedName name="_h3">#REF!</definedName>
    <definedName name="_h4" localSheetId="4">#REF!</definedName>
    <definedName name="_h4" localSheetId="2">#REF!</definedName>
    <definedName name="_h4">#REF!</definedName>
    <definedName name="_h5" localSheetId="4">#REF!</definedName>
    <definedName name="_h5" localSheetId="2">#REF!</definedName>
    <definedName name="_h5">#REF!</definedName>
    <definedName name="_h6" localSheetId="4">#REF!</definedName>
    <definedName name="_h6" localSheetId="2">#REF!</definedName>
    <definedName name="_h6">#REF!</definedName>
    <definedName name="_h7" localSheetId="4">#REF!</definedName>
    <definedName name="_h7" localSheetId="2">#REF!</definedName>
    <definedName name="_h7">#REF!</definedName>
    <definedName name="_h8" localSheetId="4">#REF!</definedName>
    <definedName name="_h8" localSheetId="2">#REF!</definedName>
    <definedName name="_h8">#REF!</definedName>
    <definedName name="_hfh7" localSheetId="4">#REF!</definedName>
    <definedName name="_hfh7" localSheetId="2">#REF!</definedName>
    <definedName name="_hfh7">#REF!</definedName>
    <definedName name="_i1">#REF!</definedName>
    <definedName name="_i4" localSheetId="4">#REF!</definedName>
    <definedName name="_i4" localSheetId="2">#REF!</definedName>
    <definedName name="_i4">#REF!</definedName>
    <definedName name="_i5" localSheetId="4">#REF!</definedName>
    <definedName name="_i5" localSheetId="2">#REF!</definedName>
    <definedName name="_i5">#REF!</definedName>
    <definedName name="_i6" localSheetId="4">#REF!</definedName>
    <definedName name="_i6" localSheetId="2">#REF!</definedName>
    <definedName name="_i6">#REF!</definedName>
    <definedName name="_i7" localSheetId="4">#REF!</definedName>
    <definedName name="_i7" localSheetId="2">#REF!</definedName>
    <definedName name="_i7">#REF!</definedName>
    <definedName name="_i77" localSheetId="4">#REF!</definedName>
    <definedName name="_i77" localSheetId="2">#REF!</definedName>
    <definedName name="_i77">#REF!</definedName>
    <definedName name="_i8" localSheetId="4">#REF!</definedName>
    <definedName name="_i8" localSheetId="2">#REF!</definedName>
    <definedName name="_i8">#REF!</definedName>
    <definedName name="_i9" localSheetId="4">#REF!</definedName>
    <definedName name="_i9" localSheetId="2">#REF!</definedName>
    <definedName name="_i9">#REF!</definedName>
    <definedName name="_INF1">#REF!</definedName>
    <definedName name="_IPC2002">#REF!</definedName>
    <definedName name="_k3" localSheetId="4">#REF!</definedName>
    <definedName name="_k3" localSheetId="2">#REF!</definedName>
    <definedName name="_k3">#REF!</definedName>
    <definedName name="_k4" localSheetId="4">#REF!</definedName>
    <definedName name="_k4" localSheetId="2">#REF!</definedName>
    <definedName name="_k4">#REF!</definedName>
    <definedName name="_k5" localSheetId="4">#REF!</definedName>
    <definedName name="_k5" localSheetId="2">#REF!</definedName>
    <definedName name="_k5">#REF!</definedName>
    <definedName name="_k6" localSheetId="4">#REF!</definedName>
    <definedName name="_k6" localSheetId="2">#REF!</definedName>
    <definedName name="_k6">#REF!</definedName>
    <definedName name="_k7" localSheetId="4">#REF!</definedName>
    <definedName name="_k7" localSheetId="2">#REF!</definedName>
    <definedName name="_k7">#REF!</definedName>
    <definedName name="_k8" localSheetId="4">#REF!</definedName>
    <definedName name="_k8" localSheetId="2">#REF!</definedName>
    <definedName name="_k8">#REF!</definedName>
    <definedName name="_k9" localSheetId="4">#REF!</definedName>
    <definedName name="_k9" localSheetId="2">#REF!</definedName>
    <definedName name="_k9">#REF!</definedName>
    <definedName name="_Key1">#REF!</definedName>
    <definedName name="_kjk6" localSheetId="4">#REF!</definedName>
    <definedName name="_kjk6" localSheetId="2">#REF!</definedName>
    <definedName name="_kjk6">#REF!</definedName>
    <definedName name="_LA124">[10]BASE!$D$64</definedName>
    <definedName name="_LAC18">[15]BASE!$D$252</definedName>
    <definedName name="_lar03">#REF!</definedName>
    <definedName name="_LMO1">[8]MO!$A$2:$A$188</definedName>
    <definedName name="_M14">#REF!</definedName>
    <definedName name="_m3" localSheetId="4">#REF!</definedName>
    <definedName name="_m3" localSheetId="2">#REF!</definedName>
    <definedName name="_m3">#REF!</definedName>
    <definedName name="_m4" localSheetId="4">#REF!</definedName>
    <definedName name="_m4" localSheetId="2">#REF!</definedName>
    <definedName name="_m4">#REF!</definedName>
    <definedName name="_m5" localSheetId="4">#REF!</definedName>
    <definedName name="_m5" localSheetId="2">#REF!</definedName>
    <definedName name="_m5">#REF!</definedName>
    <definedName name="_m6" localSheetId="4">#REF!</definedName>
    <definedName name="_m6" localSheetId="2">#REF!</definedName>
    <definedName name="_m6">#REF!</definedName>
    <definedName name="_m7" localSheetId="4">#REF!</definedName>
    <definedName name="_m7" localSheetId="2">#REF!</definedName>
    <definedName name="_m7">#REF!</definedName>
    <definedName name="_m8" localSheetId="4">#REF!</definedName>
    <definedName name="_m8" localSheetId="2">#REF!</definedName>
    <definedName name="_m8">#REF!</definedName>
    <definedName name="_m9" localSheetId="4">#REF!</definedName>
    <definedName name="_m9" localSheetId="2">#REF!</definedName>
    <definedName name="_m9">#REF!</definedName>
    <definedName name="_MA2">#REF!</definedName>
    <definedName name="_MAR01" localSheetId="4">#REF!</definedName>
    <definedName name="_MAR01" localSheetId="2">#REF!</definedName>
    <definedName name="_MAR01">#REF!</definedName>
    <definedName name="_MAT1111">#REF!</definedName>
    <definedName name="_MAT170">#REF!</definedName>
    <definedName name="_MAT171">#REF!</definedName>
    <definedName name="_MAT832">#REF!</definedName>
    <definedName name="_mor15">#REF!</definedName>
    <definedName name="_MSC1">#REF!</definedName>
    <definedName name="_Mux1">[9]CALCULO!$B$19</definedName>
    <definedName name="_Mux2">[9]CALCULO!$E$19</definedName>
    <definedName name="_Mux3">[9]CALCULO!$H$19</definedName>
    <definedName name="_Muy1">[9]CALCULO!$B$20</definedName>
    <definedName name="_Muy2">[9]CALCULO!$E$20</definedName>
    <definedName name="_Muy3">[9]CALCULO!$H$20</definedName>
    <definedName name="_n3" localSheetId="4">#REF!</definedName>
    <definedName name="_n3" localSheetId="2">#REF!</definedName>
    <definedName name="_n3">#REF!</definedName>
    <definedName name="_n4" localSheetId="4">#REF!</definedName>
    <definedName name="_n4" localSheetId="2">#REF!</definedName>
    <definedName name="_n4">#REF!</definedName>
    <definedName name="_n5" localSheetId="4">#REF!</definedName>
    <definedName name="_n5" localSheetId="2">#REF!</definedName>
    <definedName name="_n5">#REF!</definedName>
    <definedName name="_noa2">#REF!</definedName>
    <definedName name="_NOM1">#REF!</definedName>
    <definedName name="_NOM10" localSheetId="4">#REF!</definedName>
    <definedName name="_NOM10" localSheetId="2">#REF!</definedName>
    <definedName name="_NOM10">#REF!</definedName>
    <definedName name="_NOM11">#REF!</definedName>
    <definedName name="_NOM12">#REF!</definedName>
    <definedName name="_NOM13">#REF!</definedName>
    <definedName name="_NOM14">#REF!</definedName>
    <definedName name="_NOM15">#REF!</definedName>
    <definedName name="_NOM16">#REF!</definedName>
    <definedName name="_NOM17">#REF!</definedName>
    <definedName name="_NOM18" localSheetId="4">#REF!</definedName>
    <definedName name="_NOM18" localSheetId="2">#REF!</definedName>
    <definedName name="_NOM18">#REF!</definedName>
    <definedName name="_NOM19">#REF!</definedName>
    <definedName name="_NOM2">#REF!</definedName>
    <definedName name="_NOM20">#REF!</definedName>
    <definedName name="_NOM3">#REF!</definedName>
    <definedName name="_NOM4">#REF!</definedName>
    <definedName name="_NOM5">#REF!</definedName>
    <definedName name="_NOM6">#REF!</definedName>
    <definedName name="_NOM7">#REF!</definedName>
    <definedName name="_NOM8">#REF!</definedName>
    <definedName name="_NOM9">#REF!</definedName>
    <definedName name="_num10">#REF!</definedName>
    <definedName name="_num2">#REF!</definedName>
    <definedName name="_num3">#REF!</definedName>
    <definedName name="_num4">#REF!</definedName>
    <definedName name="_num5">#REF!</definedName>
    <definedName name="_num6">#REF!</definedName>
    <definedName name="_num7" localSheetId="4">#REF!</definedName>
    <definedName name="_num7" localSheetId="2">#REF!</definedName>
    <definedName name="_num7">#REF!</definedName>
    <definedName name="_num8">#REF!</definedName>
    <definedName name="_num9">#REF!</definedName>
    <definedName name="_nyn7" localSheetId="4">#REF!</definedName>
    <definedName name="_nyn7" localSheetId="2">#REF!</definedName>
    <definedName name="_nyn7">#REF!</definedName>
    <definedName name="_o4" localSheetId="4">#REF!</definedName>
    <definedName name="_o4" localSheetId="2">#REF!</definedName>
    <definedName name="_o4">#REF!</definedName>
    <definedName name="_o5" localSheetId="4">#REF!</definedName>
    <definedName name="_o5" localSheetId="2">#REF!</definedName>
    <definedName name="_o5">#REF!</definedName>
    <definedName name="_o6" localSheetId="4">#REF!</definedName>
    <definedName name="_o6" localSheetId="2">#REF!</definedName>
    <definedName name="_o6">#REF!</definedName>
    <definedName name="_o7" localSheetId="4">#REF!</definedName>
    <definedName name="_o7" localSheetId="2">#REF!</definedName>
    <definedName name="_o7">#REF!</definedName>
    <definedName name="_o8" localSheetId="4">#REF!</definedName>
    <definedName name="_o8" localSheetId="2">#REF!</definedName>
    <definedName name="_o8">#REF!</definedName>
    <definedName name="_o9" localSheetId="4">#REF!</definedName>
    <definedName name="_o9" localSheetId="2">#REF!</definedName>
    <definedName name="_o9">#REF!</definedName>
    <definedName name="_Order1" hidden="1">0</definedName>
    <definedName name="_Order2" hidden="1">255</definedName>
    <definedName name="_ORO10">#REF!</definedName>
    <definedName name="_ORO11">#REF!</definedName>
    <definedName name="_ORO12">#REF!</definedName>
    <definedName name="_ORO13">#REF!</definedName>
    <definedName name="_ORO14" localSheetId="4">#REF!</definedName>
    <definedName name="_ORO14" localSheetId="2">#REF!</definedName>
    <definedName name="_ORO14">#REF!</definedName>
    <definedName name="_ORO15">#REF!</definedName>
    <definedName name="_ORO16">#REF!</definedName>
    <definedName name="_ORO17">#REF!</definedName>
    <definedName name="_ORO18">#REF!</definedName>
    <definedName name="_ORO19">#REF!</definedName>
    <definedName name="_p6" localSheetId="4">#REF!</definedName>
    <definedName name="_p6" localSheetId="2">#REF!</definedName>
    <definedName name="_p6">#REF!</definedName>
    <definedName name="_p7" localSheetId="4">#REF!</definedName>
    <definedName name="_p7" localSheetId="2">#REF!</definedName>
    <definedName name="_p7">#REF!</definedName>
    <definedName name="_p8" localSheetId="4">#REF!</definedName>
    <definedName name="_p8" localSheetId="2">#REF!</definedName>
    <definedName name="_p8">#REF!</definedName>
    <definedName name="_PJ50">#REF!</definedName>
    <definedName name="_pj51">#REF!</definedName>
    <definedName name="_PL02" localSheetId="4">#REF!</definedName>
    <definedName name="_PL02" localSheetId="2">#REF!</definedName>
    <definedName name="_PL02">#REF!</definedName>
    <definedName name="_PMT5671" localSheetId="4">#REF!</definedName>
    <definedName name="_PMT5671" localSheetId="2">#REF!</definedName>
    <definedName name="_PMT5671">#REF!</definedName>
    <definedName name="_PMT5805" localSheetId="4">#REF!</definedName>
    <definedName name="_PMT5805" localSheetId="2">#REF!</definedName>
    <definedName name="_PMT5805">#REF!</definedName>
    <definedName name="_PMT5806" localSheetId="4">#REF!</definedName>
    <definedName name="_PMT5806" localSheetId="2">#REF!</definedName>
    <definedName name="_PMT5806">#REF!</definedName>
    <definedName name="_PMT5815" localSheetId="4">#REF!</definedName>
    <definedName name="_PMT5815" localSheetId="2">#REF!</definedName>
    <definedName name="_PMT5815">#REF!</definedName>
    <definedName name="_PMT5820" localSheetId="4">#REF!</definedName>
    <definedName name="_PMT5820" localSheetId="2">#REF!</definedName>
    <definedName name="_PMT5820">#REF!</definedName>
    <definedName name="_PRE1" localSheetId="4">#REF!</definedName>
    <definedName name="_PRE1" localSheetId="2">#REF!</definedName>
    <definedName name="_PRE1">#REF!</definedName>
    <definedName name="_PRE12">#REF!</definedName>
    <definedName name="_Pu1">[9]CALCULO!$B$18</definedName>
    <definedName name="_Pu2">[9]CALCULO!$E$18</definedName>
    <definedName name="_Pu3">[9]CALCULO!$H$18</definedName>
    <definedName name="_r" localSheetId="4">#REF!</definedName>
    <definedName name="_r" localSheetId="2">#REF!</definedName>
    <definedName name="_r">#REF!</definedName>
    <definedName name="_r4r" localSheetId="4">#REF!</definedName>
    <definedName name="_r4r" localSheetId="2">#REF!</definedName>
    <definedName name="_r4r">#REF!</definedName>
    <definedName name="_R84JH">[15]BASE!$D$172</definedName>
    <definedName name="_Rc">#REF!</definedName>
    <definedName name="_ref4">#REF!</definedName>
    <definedName name="_REWQ">#REF!</definedName>
    <definedName name="_rtu6" localSheetId="4">#REF!</definedName>
    <definedName name="_rtu6" localSheetId="2">#REF!</definedName>
    <definedName name="_rtu6">#REF!</definedName>
    <definedName name="_s1" localSheetId="4">#REF!</definedName>
    <definedName name="_s1" localSheetId="2">#REF!</definedName>
    <definedName name="_s1">#REF!</definedName>
    <definedName name="_s2" localSheetId="4">#REF!</definedName>
    <definedName name="_s2" localSheetId="2">#REF!</definedName>
    <definedName name="_s2">#REF!</definedName>
    <definedName name="_s3" localSheetId="4">#REF!</definedName>
    <definedName name="_s3" localSheetId="2">#REF!</definedName>
    <definedName name="_s3">#REF!</definedName>
    <definedName name="_s4" localSheetId="4">#REF!</definedName>
    <definedName name="_s4" localSheetId="2">#REF!</definedName>
    <definedName name="_s4">#REF!</definedName>
    <definedName name="_s5" localSheetId="4">#REF!</definedName>
    <definedName name="_s5" localSheetId="2">#REF!</definedName>
    <definedName name="_s5">#REF!</definedName>
    <definedName name="_s6" localSheetId="4">#REF!</definedName>
    <definedName name="_s6" localSheetId="2">#REF!</definedName>
    <definedName name="_s6">#REF!</definedName>
    <definedName name="_s7" localSheetId="4">#REF!</definedName>
    <definedName name="_s7" localSheetId="2">#REF!</definedName>
    <definedName name="_s7">#REF!</definedName>
    <definedName name="_SBC1">[2]INV!$A$12:$D$15</definedName>
    <definedName name="_SBC3">[2]INV!$F$12:$I$15</definedName>
    <definedName name="_SBC5">[2]INV!$K$12:$N$15</definedName>
    <definedName name="_SD02">[14]MEM!$E$59</definedName>
    <definedName name="_SD23">[14]MEM!$E$60</definedName>
    <definedName name="_Sort">#REF!</definedName>
    <definedName name="_srn001">#REF!</definedName>
    <definedName name="_t3" localSheetId="4">#REF!</definedName>
    <definedName name="_t3" localSheetId="2">#REF!</definedName>
    <definedName name="_t3">#REF!</definedName>
    <definedName name="_t4" localSheetId="4">#REF!</definedName>
    <definedName name="_t4" localSheetId="2">#REF!</definedName>
    <definedName name="_t4">#REF!</definedName>
    <definedName name="_t5" localSheetId="4">#REF!</definedName>
    <definedName name="_t5" localSheetId="2">#REF!</definedName>
    <definedName name="_t5">#REF!</definedName>
    <definedName name="_t6" localSheetId="4">#REF!</definedName>
    <definedName name="_t6" localSheetId="2">#REF!</definedName>
    <definedName name="_t6">#REF!</definedName>
    <definedName name="_t66" localSheetId="4">#REF!</definedName>
    <definedName name="_t66" localSheetId="2">#REF!</definedName>
    <definedName name="_t66">#REF!</definedName>
    <definedName name="_t7" localSheetId="4">#REF!</definedName>
    <definedName name="_t7" localSheetId="2">#REF!</definedName>
    <definedName name="_t7">#REF!</definedName>
    <definedName name="_t77" localSheetId="4">#REF!</definedName>
    <definedName name="_t77" localSheetId="2">#REF!</definedName>
    <definedName name="_t77">#REF!</definedName>
    <definedName name="_t8" localSheetId="4">#REF!</definedName>
    <definedName name="_t8" localSheetId="2">#REF!</definedName>
    <definedName name="_t8">#REF!</definedName>
    <definedName name="_t88" localSheetId="4">#REF!</definedName>
    <definedName name="_t88" localSheetId="2">#REF!</definedName>
    <definedName name="_t88">#REF!</definedName>
    <definedName name="_t9" localSheetId="4">#REF!</definedName>
    <definedName name="_t9" localSheetId="2">#REF!</definedName>
    <definedName name="_t9">#REF!</definedName>
    <definedName name="_t99" localSheetId="4">#REF!</definedName>
    <definedName name="_t99" localSheetId="2">#REF!</definedName>
    <definedName name="_t99">#REF!</definedName>
    <definedName name="_tab1" localSheetId="4">#REF!</definedName>
    <definedName name="_tab1" localSheetId="2">#REF!</definedName>
    <definedName name="_tab1">#REF!</definedName>
    <definedName name="_tab2">#REF!</definedName>
    <definedName name="_tab3">#REF!</definedName>
    <definedName name="_TAB4">#REF!</definedName>
    <definedName name="_Table2_Out">#REF!</definedName>
    <definedName name="_TBV1">#REF!</definedName>
    <definedName name="_TBV1606" localSheetId="4">#REF!</definedName>
    <definedName name="_TBV1606" localSheetId="2">#REF!</definedName>
    <definedName name="_TBV1606">#REF!</definedName>
    <definedName name="_TBV3">#REF!</definedName>
    <definedName name="_TC12">[14]MEM!$M$79</definedName>
    <definedName name="_TC15">[14]MEM!$M$80</definedName>
    <definedName name="_TEP44">[10]BASE!$D$103</definedName>
    <definedName name="_tf3813">#REF!</definedName>
    <definedName name="_TOT1">#REF!</definedName>
    <definedName name="_TOT10">#REF!</definedName>
    <definedName name="_TOT11">#REF!</definedName>
    <definedName name="_TOT7">#REF!</definedName>
    <definedName name="_TPF12">[10]BASE!$D$217</definedName>
    <definedName name="_TRM2">#REF!</definedName>
    <definedName name="_TUZ22" localSheetId="4">#REF!</definedName>
    <definedName name="_TUZ22" localSheetId="2">#REF!</definedName>
    <definedName name="_TUZ22">#REF!</definedName>
    <definedName name="_TUZ36" localSheetId="4">#REF!</definedName>
    <definedName name="_TUZ36" localSheetId="2">#REF!</definedName>
    <definedName name="_TUZ36">#REF!</definedName>
    <definedName name="_TZ2110">[10]BASE!$D$79</definedName>
    <definedName name="_TZ214">[10]BASE!$D$76</definedName>
    <definedName name="_TZ216">[10]BASE!$D$77</definedName>
    <definedName name="_TZ268">[15]BASE!$D$85</definedName>
    <definedName name="_TZ323" localSheetId="4">#REF!</definedName>
    <definedName name="_TZ323" localSheetId="2">#REF!</definedName>
    <definedName name="_TZ323">#REF!</definedName>
    <definedName name="_TZ324" localSheetId="4">#REF!</definedName>
    <definedName name="_TZ324" localSheetId="2">#REF!</definedName>
    <definedName name="_TZ324">#REF!</definedName>
    <definedName name="_u4" localSheetId="4">#REF!</definedName>
    <definedName name="_u4" localSheetId="2">#REF!</definedName>
    <definedName name="_u4">#REF!</definedName>
    <definedName name="_u5" localSheetId="4">#REF!</definedName>
    <definedName name="_u5" localSheetId="2">#REF!</definedName>
    <definedName name="_u5">#REF!</definedName>
    <definedName name="_u6" localSheetId="4">#REF!</definedName>
    <definedName name="_u6" localSheetId="2">#REF!</definedName>
    <definedName name="_u6">#REF!</definedName>
    <definedName name="_u7" localSheetId="4">#REF!</definedName>
    <definedName name="_u7" localSheetId="2">#REF!</definedName>
    <definedName name="_u7">#REF!</definedName>
    <definedName name="_u8" localSheetId="4">#REF!</definedName>
    <definedName name="_u8" localSheetId="2">#REF!</definedName>
    <definedName name="_u8">#REF!</definedName>
    <definedName name="_u9" localSheetId="4">#REF!</definedName>
    <definedName name="_u9" localSheetId="2">#REF!</definedName>
    <definedName name="_u9">#REF!</definedName>
    <definedName name="_ur7" localSheetId="4">#REF!</definedName>
    <definedName name="_ur7" localSheetId="2">#REF!</definedName>
    <definedName name="_ur7">#REF!</definedName>
    <definedName name="_v2" localSheetId="4">#REF!</definedName>
    <definedName name="_v2" localSheetId="2">#REF!</definedName>
    <definedName name="_v2">#REF!</definedName>
    <definedName name="_v3" localSheetId="4">#REF!</definedName>
    <definedName name="_v3" localSheetId="2">#REF!</definedName>
    <definedName name="_v3">#REF!</definedName>
    <definedName name="_v4" localSheetId="4">#REF!</definedName>
    <definedName name="_v4" localSheetId="2">#REF!</definedName>
    <definedName name="_v4">#REF!</definedName>
    <definedName name="_v5" localSheetId="4">#REF!</definedName>
    <definedName name="_v5" localSheetId="2">#REF!</definedName>
    <definedName name="_v5">#REF!</definedName>
    <definedName name="_v6" localSheetId="4">#REF!</definedName>
    <definedName name="_v6" localSheetId="2">#REF!</definedName>
    <definedName name="_v6">#REF!</definedName>
    <definedName name="_v7" localSheetId="4">#REF!</definedName>
    <definedName name="_v7" localSheetId="2">#REF!</definedName>
    <definedName name="_v7">#REF!</definedName>
    <definedName name="_v8" localSheetId="4">#REF!</definedName>
    <definedName name="_v8" localSheetId="2">#REF!</definedName>
    <definedName name="_v8">#REF!</definedName>
    <definedName name="_v9" localSheetId="4">#REF!</definedName>
    <definedName name="_v9" localSheetId="2">#REF!</definedName>
    <definedName name="_v9">#REF!</definedName>
    <definedName name="_vfv4" localSheetId="4">#REF!</definedName>
    <definedName name="_vfv4" localSheetId="2">#REF!</definedName>
    <definedName name="_vfv4">#REF!</definedName>
    <definedName name="_VPD1">[4]TARIFAS!$C$582</definedName>
    <definedName name="_VPI1">[4]TARIFAS!$C$580</definedName>
    <definedName name="_VRA1">[4]TARIFAS!$C$579</definedName>
    <definedName name="_Vu1">[9]CALCULO!$B$23</definedName>
    <definedName name="_Vu2">[9]CALCULO!$E$23</definedName>
    <definedName name="_Vu3">[9]CALCULO!$H$23</definedName>
    <definedName name="_x1" localSheetId="4">#REF!</definedName>
    <definedName name="_x1" localSheetId="2">#REF!</definedName>
    <definedName name="_x1">#REF!</definedName>
    <definedName name="_x2" localSheetId="4">#REF!</definedName>
    <definedName name="_x2" localSheetId="2">#REF!</definedName>
    <definedName name="_x2">#REF!</definedName>
    <definedName name="_x3" localSheetId="4">#REF!</definedName>
    <definedName name="_x3" localSheetId="2">#REF!</definedName>
    <definedName name="_x3">#REF!</definedName>
    <definedName name="_x4" localSheetId="4">#REF!</definedName>
    <definedName name="_x4" localSheetId="2">#REF!</definedName>
    <definedName name="_x4">#REF!</definedName>
    <definedName name="_x5" localSheetId="4">#REF!</definedName>
    <definedName name="_x5" localSheetId="2">#REF!</definedName>
    <definedName name="_x5">#REF!</definedName>
    <definedName name="_x6" localSheetId="4">#REF!</definedName>
    <definedName name="_x6" localSheetId="2">#REF!</definedName>
    <definedName name="_x6">#REF!</definedName>
    <definedName name="_x7" localSheetId="4">#REF!</definedName>
    <definedName name="_x7" localSheetId="2">#REF!</definedName>
    <definedName name="_x7">#REF!</definedName>
    <definedName name="_x8" localSheetId="4">#REF!</definedName>
    <definedName name="_x8" localSheetId="2">#REF!</definedName>
    <definedName name="_x8">#REF!</definedName>
    <definedName name="_x9" localSheetId="4">#REF!</definedName>
    <definedName name="_x9" localSheetId="2">#REF!</definedName>
    <definedName name="_x9">#REF!</definedName>
    <definedName name="_y2" localSheetId="4">#REF!</definedName>
    <definedName name="_y2" localSheetId="2">#REF!</definedName>
    <definedName name="_y2">#REF!</definedName>
    <definedName name="_y3" localSheetId="4">#REF!</definedName>
    <definedName name="_y3" localSheetId="2">#REF!</definedName>
    <definedName name="_y3">#REF!</definedName>
    <definedName name="_y4" localSheetId="4">#REF!</definedName>
    <definedName name="_y4" localSheetId="2">#REF!</definedName>
    <definedName name="_y4">#REF!</definedName>
    <definedName name="_y5" localSheetId="4">#REF!</definedName>
    <definedName name="_y5" localSheetId="2">#REF!</definedName>
    <definedName name="_y5">#REF!</definedName>
    <definedName name="_y6" localSheetId="4">#REF!</definedName>
    <definedName name="_y6" localSheetId="2">#REF!</definedName>
    <definedName name="_y6">#REF!</definedName>
    <definedName name="_y7" localSheetId="4">#REF!</definedName>
    <definedName name="_y7" localSheetId="2">#REF!</definedName>
    <definedName name="_y7">#REF!</definedName>
    <definedName name="_y8" localSheetId="4">#REF!</definedName>
    <definedName name="_y8" localSheetId="2">#REF!</definedName>
    <definedName name="_y8">#REF!</definedName>
    <definedName name="_y9" localSheetId="4">#REF!</definedName>
    <definedName name="_y9" localSheetId="2">#REF!</definedName>
    <definedName name="_y9">#REF!</definedName>
    <definedName name="_z1" localSheetId="4">#REF!</definedName>
    <definedName name="_z1" localSheetId="2">#REF!</definedName>
    <definedName name="_z1">#REF!</definedName>
    <definedName name="_z2" localSheetId="4">#REF!</definedName>
    <definedName name="_z2" localSheetId="2">#REF!</definedName>
    <definedName name="_z2">#REF!</definedName>
    <definedName name="_z3" localSheetId="4">#REF!</definedName>
    <definedName name="_z3" localSheetId="2">#REF!</definedName>
    <definedName name="_z3">#REF!</definedName>
    <definedName name="_z4" localSheetId="4">#REF!</definedName>
    <definedName name="_z4" localSheetId="2">#REF!</definedName>
    <definedName name="_z4">#REF!</definedName>
    <definedName name="_z5" localSheetId="4">#REF!</definedName>
    <definedName name="_z5" localSheetId="2">#REF!</definedName>
    <definedName name="_z5">#REF!</definedName>
    <definedName name="_z6" localSheetId="4">#REF!</definedName>
    <definedName name="_z6" localSheetId="2">#REF!</definedName>
    <definedName name="_z6">#REF!</definedName>
    <definedName name="A" localSheetId="4">#REF!</definedName>
    <definedName name="A" localSheetId="2">#REF!</definedName>
    <definedName name="A">#REF!</definedName>
    <definedName name="A.1">#REF!</definedName>
    <definedName name="A.D.CV1_Moisture">#REF!</definedName>
    <definedName name="A.D.CV2_Al">#REF!</definedName>
    <definedName name="A.D.CV2_Co" localSheetId="4">#REF!</definedName>
    <definedName name="A.D.CV2_Co" localSheetId="2">#REF!</definedName>
    <definedName name="A.D.CV2_Co">#REF!</definedName>
    <definedName name="A.D.CV2_ContainedAl">#REF!</definedName>
    <definedName name="A.D.CV2_ContainedCo">#REF!</definedName>
    <definedName name="A.D.CV2_ContainedFe" localSheetId="4">#REF!</definedName>
    <definedName name="A.D.CV2_ContainedFe" localSheetId="2">#REF!</definedName>
    <definedName name="A.D.CV2_ContainedFe">#REF!</definedName>
    <definedName name="A.D.CV2_ContainedMg">#REF!</definedName>
    <definedName name="A.D.CV2_ContainedNi">#REF!</definedName>
    <definedName name="A.D.CV2_ContainedSi">#REF!</definedName>
    <definedName name="A.D.CV2_DryTonnes">#REF!</definedName>
    <definedName name="A.D.CV2_dtph">#REF!</definedName>
    <definedName name="A.D.CV2_Fe" localSheetId="4">#REF!</definedName>
    <definedName name="A.D.CV2_Fe" localSheetId="2">#REF!</definedName>
    <definedName name="A.D.CV2_Fe">#REF!</definedName>
    <definedName name="A.D.CV2_Mg">#REF!</definedName>
    <definedName name="A.D.CV2_Ni">#REF!</definedName>
    <definedName name="A.D.CV2_Si">#REF!</definedName>
    <definedName name="A.D.Mill_Availability">#REF!</definedName>
    <definedName name="A.D.Mill_Downtime">#REF!</definedName>
    <definedName name="A.D.Mill_DryTonnes">#REF!</definedName>
    <definedName name="A.D.Mill_DryTph">#REF!</definedName>
    <definedName name="A.D.Mill_PowerDraw">#REF!</definedName>
    <definedName name="A.D.Mill_PowerDrawPerTonne">#REF!</definedName>
    <definedName name="A.D.Mill_Uptime">#REF!</definedName>
    <definedName name="A.D.Mill_Utilization">#REF!</definedName>
    <definedName name="A.D.Mill_WetTonnes" localSheetId="4">#REF!</definedName>
    <definedName name="A.D.Mill_WetTonnes" localSheetId="2">#REF!</definedName>
    <definedName name="A.D.Mill_WetTonnes">#REF!</definedName>
    <definedName name="A.D.Mill_WetTph">#REF!</definedName>
    <definedName name="A.D.MillFeed_Al">#REF!</definedName>
    <definedName name="A.D.MillFeed_Co">#REF!</definedName>
    <definedName name="A.D.MillFeed_Fe">#REF!</definedName>
    <definedName name="A.D.MillFeed_Mg">#REF!</definedName>
    <definedName name="A.D.MillFeed_Ni">#REF!</definedName>
    <definedName name="A.D.MillFeed_Si" localSheetId="4">#REF!</definedName>
    <definedName name="A.D.MillFeed_Si" localSheetId="2">#REF!</definedName>
    <definedName name="A.D.MillFeed_Si">#REF!</definedName>
    <definedName name="A.D.MillH2O_Head" localSheetId="4">#REF!</definedName>
    <definedName name="A.D.MillH2O_Head" localSheetId="2">#REF!</definedName>
    <definedName name="A.D.MillH2O_Head">#REF!</definedName>
    <definedName name="A.D.MillH2O_Screen">#REF!</definedName>
    <definedName name="A.D.MillH2O_Total">#REF!</definedName>
    <definedName name="A.D.OreToStorage_Al">#REF!</definedName>
    <definedName name="A.D.OreToStorage_Co" localSheetId="4">#REF!</definedName>
    <definedName name="A.D.OreToStorage_Co" localSheetId="2">#REF!</definedName>
    <definedName name="A.D.OreToStorage_Co">#REF!</definedName>
    <definedName name="A.D.OreToStorage_ContainedAl">#REF!</definedName>
    <definedName name="A.D.OreToStorage_ContainedCo" localSheetId="4">#REF!</definedName>
    <definedName name="A.D.OreToStorage_ContainedCo" localSheetId="2">#REF!</definedName>
    <definedName name="A.D.OreToStorage_ContainedCo">#REF!</definedName>
    <definedName name="A.D.OreToStorage_ContainedFe">#REF!</definedName>
    <definedName name="A.D.OreToStorage_ContainedMg">#REF!</definedName>
    <definedName name="A.D.OreToStorage_ContainedNi">#REF!</definedName>
    <definedName name="A.D.OreToStorage_ContainedSi">#REF!</definedName>
    <definedName name="A.D.OreToStorage_DryTonnes" localSheetId="4">#REF!</definedName>
    <definedName name="A.D.OreToStorage_DryTonnes" localSheetId="2">#REF!</definedName>
    <definedName name="A.D.OreToStorage_DryTonnes">#REF!</definedName>
    <definedName name="A.D.OreToStorage_DryTph" localSheetId="4">#REF!</definedName>
    <definedName name="A.D.OreToStorage_DryTph" localSheetId="2">#REF!</definedName>
    <definedName name="A.D.OreToStorage_DryTph">#REF!</definedName>
    <definedName name="A.D.OreToStorage_Fe">#REF!</definedName>
    <definedName name="A.D.OreToStorage_Mg">#REF!</definedName>
    <definedName name="A.D.OreToStorage_Ni">#REF!</definedName>
    <definedName name="A.D.OreToStorage_PulpDensity" localSheetId="4">#REF!</definedName>
    <definedName name="A.D.OreToStorage_PulpDensity" localSheetId="2">#REF!</definedName>
    <definedName name="A.D.OreToStorage_PulpDensity">#REF!</definedName>
    <definedName name="A.D.OreToStorage_PulpYieldStress">#REF!</definedName>
    <definedName name="A.D.OreToStorage_Si">#REF!</definedName>
    <definedName name="A.D.OreToStorage_Tank1Level">#REF!</definedName>
    <definedName name="A.D.OreToStorage_Tank2Level">#REF!</definedName>
    <definedName name="A.D.OreToStorage_Tank3Level">#REF!</definedName>
    <definedName name="A.D.OreToStorage_Tank4Level">#REF!</definedName>
    <definedName name="A.D.OreToStorage_Volume">#REF!</definedName>
    <definedName name="A.D.OreToStorage_VolumePerHr">#REF!</definedName>
    <definedName name="A.D.ROM1_PercentFed">#REF!</definedName>
    <definedName name="A.D.ROM1_TonnesFed">#REF!</definedName>
    <definedName name="A.D.ROM2_PercentFed">#REF!</definedName>
    <definedName name="A.D.ROM2_TonnesFed">#REF!</definedName>
    <definedName name="A.D.ROM3_PercentFed">#REF!</definedName>
    <definedName name="A.D.ROM3_TonnesFed">#REF!</definedName>
    <definedName name="A.D.ROM4_PercentFed" localSheetId="4">#REF!</definedName>
    <definedName name="A.D.ROM4_PercentFed" localSheetId="2">#REF!</definedName>
    <definedName name="A.D.ROM4_PercentFed">#REF!</definedName>
    <definedName name="A.D.ROM4_TonnesFed">#REF!</definedName>
    <definedName name="A.D.ROM5_PercentFed">#REF!</definedName>
    <definedName name="A.D.ROM5_TonnesFed">#REF!</definedName>
    <definedName name="A.D.Total_ContainedAl">#REF!</definedName>
    <definedName name="A.D.Total_ContainedCo">#REF!</definedName>
    <definedName name="A.D.Total_ContainedFe">#REF!</definedName>
    <definedName name="A.D.Total_ContainedMg" localSheetId="4">#REF!</definedName>
    <definedName name="A.D.Total_ContainedMg" localSheetId="2">#REF!</definedName>
    <definedName name="A.D.Total_ContainedMg">#REF!</definedName>
    <definedName name="A.D.Total_ContainedNi">#REF!</definedName>
    <definedName name="A.D.Total_ContainedSi">#REF!</definedName>
    <definedName name="A.M.CV1_Moisture">#REF!</definedName>
    <definedName name="A.M.CV2_Al" localSheetId="4">#REF!</definedName>
    <definedName name="A.M.CV2_Al" localSheetId="2">#REF!</definedName>
    <definedName name="A.M.CV2_Al">#REF!</definedName>
    <definedName name="A.M.CV2_Co" localSheetId="4">#REF!</definedName>
    <definedName name="A.M.CV2_Co" localSheetId="2">#REF!</definedName>
    <definedName name="A.M.CV2_Co">#REF!</definedName>
    <definedName name="A.M.CV2_DryTonnes">#REF!</definedName>
    <definedName name="A.M.CV2_dtph">#REF!</definedName>
    <definedName name="A.M.CV2_Fe">#REF!</definedName>
    <definedName name="A.M.CV2_Mg">#REF!</definedName>
    <definedName name="A.M.CV2_Ni">#REF!</definedName>
    <definedName name="A.M.CV2_Si">#REF!</definedName>
    <definedName name="A.M.Mill_Availability">#REF!</definedName>
    <definedName name="A.M.Mill_Downtime" localSheetId="4">#REF!</definedName>
    <definedName name="A.M.Mill_Downtime" localSheetId="2">#REF!</definedName>
    <definedName name="A.M.Mill_Downtime">#REF!</definedName>
    <definedName name="A.M.Mill_DryTonnes">#REF!</definedName>
    <definedName name="A.M.Mill_DryTph">#REF!</definedName>
    <definedName name="A.M.Mill_PowerDraw">#REF!</definedName>
    <definedName name="A.M.Mill_PowerDrawPerTonne">#REF!</definedName>
    <definedName name="A.M.Mill_Uptime">#REF!</definedName>
    <definedName name="A.M.Mill_Utilization">#REF!</definedName>
    <definedName name="A.M.Mill_WetTonnes" localSheetId="4">#REF!</definedName>
    <definedName name="A.M.Mill_WetTonnes" localSheetId="2">#REF!</definedName>
    <definedName name="A.M.Mill_WetTonnes">#REF!</definedName>
    <definedName name="A.M.Mill_WetTph">#REF!</definedName>
    <definedName name="A.M.MillFeed_Al">#REF!</definedName>
    <definedName name="A.M.MillFeed_Co">#REF!</definedName>
    <definedName name="A.M.MillFeed_Fe">#REF!</definedName>
    <definedName name="A.M.MillFeed_Mg">#REF!</definedName>
    <definedName name="A.M.MillFeed_Ni">#REF!</definedName>
    <definedName name="A.M.MillFeed_Si">#REF!</definedName>
    <definedName name="A.M.MillH2O_Head">#REF!</definedName>
    <definedName name="A.M.MillH2O_Screen">#REF!</definedName>
    <definedName name="A.M.MillH2O_Total">#REF!</definedName>
    <definedName name="A.M.OreToStorage_Al">#REF!</definedName>
    <definedName name="A.M.OreToStorage_Co">#REF!</definedName>
    <definedName name="A.M.OreToStorage_DryTonnes">#REF!</definedName>
    <definedName name="A.M.OreToStorage_DryTph">#REF!</definedName>
    <definedName name="A.M.OreToStorage_Fe">#REF!</definedName>
    <definedName name="A.M.OreToStorage_Mg">#REF!</definedName>
    <definedName name="A.M.OreToStorage_Ni">#REF!</definedName>
    <definedName name="A.M.OreToStorage_PulpDensity">#REF!</definedName>
    <definedName name="A.M.OreToStorage_PulpYieldStress">#REF!</definedName>
    <definedName name="A.M.OreToStorage_Si" localSheetId="4">#REF!</definedName>
    <definedName name="A.M.OreToStorage_Si" localSheetId="2">#REF!</definedName>
    <definedName name="A.M.OreToStorage_Si">#REF!</definedName>
    <definedName name="A.M.OreToStorage_Volume" localSheetId="4">#REF!</definedName>
    <definedName name="A.M.OreToStorage_Volume" localSheetId="2">#REF!</definedName>
    <definedName name="A.M.OreToStorage_Volume">#REF!</definedName>
    <definedName name="A.M.OreToStorage_VolumePerHr">#REF!</definedName>
    <definedName name="A.Y.CV1_Moisture">#REF!</definedName>
    <definedName name="A.Y.CV2_Al">#REF!</definedName>
    <definedName name="A.Y.CV2_Co" localSheetId="4">#REF!</definedName>
    <definedName name="A.Y.CV2_Co" localSheetId="2">#REF!</definedName>
    <definedName name="A.Y.CV2_Co">#REF!</definedName>
    <definedName name="A.Y.CV2_DryTonnes">#REF!</definedName>
    <definedName name="A.Y.CV2_dtph">#REF!</definedName>
    <definedName name="A.Y.CV2_Fe" localSheetId="4">#REF!</definedName>
    <definedName name="A.Y.CV2_Fe" localSheetId="2">#REF!</definedName>
    <definedName name="A.Y.CV2_Fe">#REF!</definedName>
    <definedName name="A.Y.CV2_Mg" localSheetId="4">#REF!</definedName>
    <definedName name="A.Y.CV2_Mg" localSheetId="2">#REF!</definedName>
    <definedName name="A.Y.CV2_Mg">#REF!</definedName>
    <definedName name="A.Y.CV2_Ni">#REF!</definedName>
    <definedName name="A.Y.CV2_Si">#REF!</definedName>
    <definedName name="A.Y.Mill_Availability">#REF!</definedName>
    <definedName name="A.Y.Mill_Downtime">#REF!</definedName>
    <definedName name="A.Y.Mill_DryTonnes">#REF!</definedName>
    <definedName name="A.Y.Mill_DryTph">#REF!</definedName>
    <definedName name="A.Y.Mill_PowerDraw">#REF!</definedName>
    <definedName name="A.Y.Mill_PowerDrawPerTonne">#REF!</definedName>
    <definedName name="A.Y.Mill_Uptime">#REF!</definedName>
    <definedName name="A.Y.Mill_Utilization">#REF!</definedName>
    <definedName name="A.Y.Mill_WetTonnes">#REF!</definedName>
    <definedName name="A.Y.Mill_WetTph">#REF!</definedName>
    <definedName name="A.Y.MillFeed_Al">#REF!</definedName>
    <definedName name="A.Y.MillFeed_Co">#REF!</definedName>
    <definedName name="A.Y.MillFeed_Fe">#REF!</definedName>
    <definedName name="A.Y.MillFeed_Mg">#REF!</definedName>
    <definedName name="A.Y.MillFeed_Ni">#REF!</definedName>
    <definedName name="A.Y.MillFeed_Si">#REF!</definedName>
    <definedName name="A.Y.MillH2O_Head">#REF!</definedName>
    <definedName name="A.Y.MillH2O_Screen">#REF!</definedName>
    <definedName name="A.Y.MillH2O_Total">#REF!</definedName>
    <definedName name="A.Y.OreToStorage_Al">#REF!</definedName>
    <definedName name="A.Y.OreToStorage_Co">#REF!</definedName>
    <definedName name="A.Y.OreToStorage_DryTonnes">#REF!</definedName>
    <definedName name="A.Y.OreToStorage_DryTph">#REF!</definedName>
    <definedName name="A.Y.OreToStorage_Fe">#REF!</definedName>
    <definedName name="A.Y.OreToStorage_Mg">#REF!</definedName>
    <definedName name="A.Y.OreToStorage_Ni">#REF!</definedName>
    <definedName name="A.Y.OreToStorage_PulpDensity">#REF!</definedName>
    <definedName name="A.Y.OreToStorage_PulpYieldStress">#REF!</definedName>
    <definedName name="A.Y.OreToStorage_Si" localSheetId="4">#REF!</definedName>
    <definedName name="A.Y.OreToStorage_Si" localSheetId="2">#REF!</definedName>
    <definedName name="A.Y.OreToStorage_Si">#REF!</definedName>
    <definedName name="A.Y.OreToStorage_Volume" localSheetId="4">#REF!</definedName>
    <definedName name="A.Y.OreToStorage_Volume" localSheetId="2">#REF!</definedName>
    <definedName name="A.Y.OreToStorage_Volume">#REF!</definedName>
    <definedName name="A.Y.OreToStorage_VolumePerHr">#REF!</definedName>
    <definedName name="a_1">#REF!</definedName>
    <definedName name="a_2">#REF!</definedName>
    <definedName name="a_3">#REF!</definedName>
    <definedName name="a_4">#REF!</definedName>
    <definedName name="A_impresión_IM">#REF!</definedName>
    <definedName name="A_impresion_IM1">#REF!</definedName>
    <definedName name="A0">#REF!</definedName>
    <definedName name="a2a" localSheetId="4">#REF!</definedName>
    <definedName name="a2a" localSheetId="2">#REF!</definedName>
    <definedName name="a2a">#REF!</definedName>
    <definedName name="A40LI">[10]BASE!$D$22</definedName>
    <definedName name="A60FI">[10]BASE!$D$21</definedName>
    <definedName name="AA">#REF!</definedName>
    <definedName name="AAA">#REF!</definedName>
    <definedName name="AAAA">'[16]PU (2)'!$F$10</definedName>
    <definedName name="AAAAA" localSheetId="4">#REF!</definedName>
    <definedName name="AAAAA" localSheetId="2">#REF!</definedName>
    <definedName name="AAAAA">#REF!</definedName>
    <definedName name="aaaaaaaa" localSheetId="4">#REF!</definedName>
    <definedName name="aaaaaaaa" localSheetId="2">#REF!</definedName>
    <definedName name="aaaaaaaa">#REF!</definedName>
    <definedName name="aaaaaaaaaaaaaaaaaa">#REF!</definedName>
    <definedName name="aaaaas" localSheetId="4">#REF!</definedName>
    <definedName name="aaaaas" localSheetId="2">#REF!</definedName>
    <definedName name="aaaaas">#REF!</definedName>
    <definedName name="AAC">[2]AASHTO!$A$14:$F$17</definedName>
    <definedName name="AADOQUINVEH">#REF!</definedName>
    <definedName name="AANDENES">#REF!</definedName>
    <definedName name="Ab">#REF!</definedName>
    <definedName name="abc">#REF!</definedName>
    <definedName name="ABG">[2]AASHTO!$A$2:$F$5</definedName>
    <definedName name="abr00">[6]Dólar!#REF!</definedName>
    <definedName name="absc">[17]!absc</definedName>
    <definedName name="absc_" localSheetId="4">#REF!</definedName>
    <definedName name="absc_" localSheetId="2">#REF!</definedName>
    <definedName name="absc_">#REF!</definedName>
    <definedName name="absc_1" localSheetId="4">#REF!</definedName>
    <definedName name="absc_1" localSheetId="2">#REF!</definedName>
    <definedName name="absc_1">#REF!</definedName>
    <definedName name="absc1">[18]!absc</definedName>
    <definedName name="Ac">#REF!</definedName>
    <definedName name="ACALZADA">#REF!</definedName>
    <definedName name="ACCE2">#REF!</definedName>
    <definedName name="ACCE4">#REF!</definedName>
    <definedName name="ACCE6">#REF!</definedName>
    <definedName name="AccessDatabase" hidden="1">"C:\C-314\VOLUMENES\volfin4.mdb"</definedName>
    <definedName name="acero" localSheetId="4">#REF!</definedName>
    <definedName name="acero" localSheetId="2">#REF!</definedName>
    <definedName name="acero">#REF!</definedName>
    <definedName name="ACERO60">#REF!</definedName>
    <definedName name="ACOM" localSheetId="4">#REF!</definedName>
    <definedName name="ACOM" localSheetId="2">#REF!</definedName>
    <definedName name="ACOM">#REF!</definedName>
    <definedName name="ACOND">[10]BASE!$D$215</definedName>
    <definedName name="acondicionamientopozo">#REF!</definedName>
    <definedName name="ACTIVIDAD">#REF!</definedName>
    <definedName name="Ad">#REF!</definedName>
    <definedName name="Ad_Un">#REF!</definedName>
    <definedName name="ADAPTADOR_HEMBRA_P.V.C_1_2">#REF!</definedName>
    <definedName name="ADAPTADOR_MACHO_P.V.C_1_2">#REF!</definedName>
    <definedName name="adasd" localSheetId="4">#REF!</definedName>
    <definedName name="adasd" localSheetId="2">#REF!</definedName>
    <definedName name="adasd">#REF!</definedName>
    <definedName name="ADC">[19]ANALISIS!$J$5</definedName>
    <definedName name="AdditionalCosts_Lumpsum" localSheetId="4">#REF!</definedName>
    <definedName name="AdditionalCosts_Lumpsum" localSheetId="2">#REF!</definedName>
    <definedName name="AdditionalCosts_Lumpsum">#REF!</definedName>
    <definedName name="AdditionalCosts_Percent">#REF!</definedName>
    <definedName name="ADFGSDB" localSheetId="4">#REF!</definedName>
    <definedName name="ADFGSDB" localSheetId="2">#REF!</definedName>
    <definedName name="ADFGSDB">#REF!</definedName>
    <definedName name="ADI">#REF!</definedName>
    <definedName name="administrador">#REF!</definedName>
    <definedName name="Admon">#REF!</definedName>
    <definedName name="adoc1">[18]!absc</definedName>
    <definedName name="adoq">[20]!absc</definedName>
    <definedName name="ADSAD" localSheetId="4">#REF!</definedName>
    <definedName name="ADSAD" localSheetId="2">#REF!</definedName>
    <definedName name="ADSAD">#REF!</definedName>
    <definedName name="Ae">#REF!</definedName>
    <definedName name="aefa" localSheetId="4">#REF!</definedName>
    <definedName name="aefa" localSheetId="2">#REF!</definedName>
    <definedName name="aefa">#REF!</definedName>
    <definedName name="Af">#REF!</definedName>
    <definedName name="afdsw" localSheetId="4">#REF!</definedName>
    <definedName name="afdsw" localSheetId="2">#REF!</definedName>
    <definedName name="afdsw">#REF!</definedName>
    <definedName name="Afe">'[21]2009 Jagua'!$C$2:$C$27</definedName>
    <definedName name="afecompletions" localSheetId="4">#REF!</definedName>
    <definedName name="afecompletions" localSheetId="2">#REF!</definedName>
    <definedName name="afecompletions">#REF!</definedName>
    <definedName name="Ag">#REF!</definedName>
    <definedName name="agdsgg" localSheetId="4">#REF!</definedName>
    <definedName name="agdsgg" localSheetId="2">#REF!</definedName>
    <definedName name="agdsgg">#REF!</definedName>
    <definedName name="ago00">[6]Dólar!#REF!</definedName>
    <definedName name="AGUA">[10]BASE!$D$340</definedName>
    <definedName name="Ah" localSheetId="4">#REF!</definedName>
    <definedName name="Ah" localSheetId="2">#REF!</definedName>
    <definedName name="Ah">#REF!</definedName>
    <definedName name="ahe">#REF!</definedName>
    <definedName name="Ai">#REF!</definedName>
    <definedName name="AIU">[10]BASE!$C$3</definedName>
    <definedName name="aj">#REF!</definedName>
    <definedName name="AjustDelAIU">#REF!</definedName>
    <definedName name="Ajuste">[22]Datos!$B$11</definedName>
    <definedName name="Ak">#REF!</definedName>
    <definedName name="ALAMBRE">#REF!</definedName>
    <definedName name="ALAMBRE_">#REF!</definedName>
    <definedName name="ALANR">[10]BASE!$D$20</definedName>
    <definedName name="alc">[23]!absc</definedName>
    <definedName name="ALCANT24" localSheetId="4">#REF!</definedName>
    <definedName name="ALCANT24" localSheetId="2">#REF!</definedName>
    <definedName name="ALCANT24">#REF!</definedName>
    <definedName name="ALPUA">[10]BASE!$D$244</definedName>
    <definedName name="ALUMTE" localSheetId="4">#REF!</definedName>
    <definedName name="ALUMTE" localSheetId="2">#REF!</definedName>
    <definedName name="ALUMTE">#REF!</definedName>
    <definedName name="Am">#REF!</definedName>
    <definedName name="AMBIENTAL" localSheetId="4">#REF!</definedName>
    <definedName name="AMBIENTAL" localSheetId="2">#REF!</definedName>
    <definedName name="AMBIENTAL">#REF!</definedName>
    <definedName name="An">#REF!</definedName>
    <definedName name="ANA">#REF!</definedName>
    <definedName name="Analyst">#REF!</definedName>
    <definedName name="ANDAM">[10]BASE!$D$320</definedName>
    <definedName name="andenes">#REF!</definedName>
    <definedName name="ANOMarch02">#REF!</definedName>
    <definedName name="ANOPLMarch02">#REF!</definedName>
    <definedName name="ANORev2">#REF!</definedName>
    <definedName name="ANOTB_JUN01">#REF!</definedName>
    <definedName name="anscount" hidden="1">10</definedName>
    <definedName name="ANTI">#REF!</definedName>
    <definedName name="ANTIC" localSheetId="4">#REF!</definedName>
    <definedName name="ANTIC" localSheetId="2">#REF!</definedName>
    <definedName name="ANTIC">#REF!</definedName>
    <definedName name="ANTICORROSIVO" localSheetId="4">#REF!</definedName>
    <definedName name="ANTICORROSIVO" localSheetId="2">#REF!</definedName>
    <definedName name="ANTICORROSIVO">#REF!</definedName>
    <definedName name="Añ" localSheetId="4">#REF!</definedName>
    <definedName name="Añ" localSheetId="2">#REF!</definedName>
    <definedName name="Añ">#REF!</definedName>
    <definedName name="AÑOWUIE">'[24]Res-Accide-10'!$R$2:$R$7</definedName>
    <definedName name="Ao">#REF!</definedName>
    <definedName name="Ap">#REF!</definedName>
    <definedName name="APIJA">#REF!</definedName>
    <definedName name="aprdata">#REF!</definedName>
    <definedName name="APU">[25]!absc</definedName>
    <definedName name="APU_directos" localSheetId="4">#REF!</definedName>
    <definedName name="APU_directos" localSheetId="2">#REF!</definedName>
    <definedName name="APU_directos">#REF!</definedName>
    <definedName name="APU221.1" localSheetId="4">#REF!</definedName>
    <definedName name="APU221.1" localSheetId="2">#REF!</definedName>
    <definedName name="APU221.1">#REF!</definedName>
    <definedName name="APU221.2">#REF!</definedName>
    <definedName name="APUs">'[26]Hoja1 (2)'!$C$1:$G$4365</definedName>
    <definedName name="Aq" localSheetId="4">#REF!</definedName>
    <definedName name="Aq" localSheetId="2">#REF!</definedName>
    <definedName name="Aq">#REF!</definedName>
    <definedName name="aqaq" localSheetId="4">#REF!</definedName>
    <definedName name="aqaq" localSheetId="2">#REF!</definedName>
    <definedName name="aqaq">#REF!</definedName>
    <definedName name="Ar">#REF!</definedName>
    <definedName name="AREA">#REF!</definedName>
    <definedName name="Área_de_Cantidades">#REF!</definedName>
    <definedName name="_xlnm.Extract">#REF!</definedName>
    <definedName name="_xlnm.Print_Area">#REF!</definedName>
    <definedName name="AREAPRIVADA">#REF!</definedName>
    <definedName name="ARELC">[15]BASE!$D$62</definedName>
    <definedName name="ARENA">#REF!</definedName>
    <definedName name="ARENC">[10]BASE!$D$53</definedName>
    <definedName name="ARENP">[10]BASE!$D$51</definedName>
    <definedName name="arg" localSheetId="4">#REF!</definedName>
    <definedName name="arg" localSheetId="2">#REF!</definedName>
    <definedName name="arg">#REF!</definedName>
    <definedName name="armuve" localSheetId="4">#REF!</definedName>
    <definedName name="armuve" localSheetId="2">#REF!</definedName>
    <definedName name="armuve">#REF!</definedName>
    <definedName name="Arrendamiento">#REF!</definedName>
    <definedName name="ArrendamientoCostos">#REF!</definedName>
    <definedName name="ARTICULO">#REF!</definedName>
    <definedName name="As" localSheetId="4">#REF!</definedName>
    <definedName name="As" localSheetId="2">#REF!</definedName>
    <definedName name="As">#REF!</definedName>
    <definedName name="asas">#REF!</definedName>
    <definedName name="asaSASASAS">#REF!</definedName>
    <definedName name="ASB">[2]AASHTO!$A$8:$F$11</definedName>
    <definedName name="ASD" localSheetId="4">#REF!</definedName>
    <definedName name="ASD" localSheetId="2">#REF!</definedName>
    <definedName name="ASD">#REF!</definedName>
    <definedName name="ASDA" localSheetId="4">#REF!</definedName>
    <definedName name="ASDA" localSheetId="2">#REF!</definedName>
    <definedName name="ASDA">#REF!</definedName>
    <definedName name="asdasd" localSheetId="4">#REF!</definedName>
    <definedName name="asdasd" localSheetId="2">#REF!</definedName>
    <definedName name="asdasd">#REF!</definedName>
    <definedName name="asdd" localSheetId="4">#REF!</definedName>
    <definedName name="asdd" localSheetId="2">#REF!</definedName>
    <definedName name="asdd">#REF!</definedName>
    <definedName name="asdf" localSheetId="4">#REF!</definedName>
    <definedName name="asdf" localSheetId="2">#REF!</definedName>
    <definedName name="asdf">#REF!</definedName>
    <definedName name="asdfa" localSheetId="4">#REF!</definedName>
    <definedName name="asdfa" localSheetId="2">#REF!</definedName>
    <definedName name="asdfa">#REF!</definedName>
    <definedName name="ASDFGHJKLÑ" localSheetId="4">#REF!</definedName>
    <definedName name="ASDFGHJKLÑ" localSheetId="2">#REF!</definedName>
    <definedName name="ASDFGHJKLÑ">#REF!</definedName>
    <definedName name="asdfñk">[17]!absc</definedName>
    <definedName name="asfasd" localSheetId="4">#REF!</definedName>
    <definedName name="asfasd" localSheetId="2">#REF!</definedName>
    <definedName name="asfasd">#REF!</definedName>
    <definedName name="asfasdl" localSheetId="4">#REF!</definedName>
    <definedName name="asfasdl" localSheetId="2">#REF!</definedName>
    <definedName name="asfasdl">#REF!</definedName>
    <definedName name="asff" localSheetId="4">#REF!</definedName>
    <definedName name="asff" localSheetId="2">#REF!</definedName>
    <definedName name="asff">#REF!</definedName>
    <definedName name="asfghjoi" localSheetId="4">#REF!</definedName>
    <definedName name="asfghjoi" localSheetId="2">#REF!</definedName>
    <definedName name="asfghjoi">#REF!</definedName>
    <definedName name="AsistenciaCarretera">#REF!</definedName>
    <definedName name="AsistenciaCostos">#REF!</definedName>
    <definedName name="asojkdr" localSheetId="4">#REF!</definedName>
    <definedName name="asojkdr" localSheetId="2">#REF!</definedName>
    <definedName name="asojkdr">#REF!</definedName>
    <definedName name="assdf">#REF!</definedName>
    <definedName name="assetclass">#REF!</definedName>
    <definedName name="assetclass2">#REF!</definedName>
    <definedName name="assetclass3" localSheetId="4">#REF!</definedName>
    <definedName name="assetclass3" localSheetId="2">#REF!</definedName>
    <definedName name="assetclass3">#REF!</definedName>
    <definedName name="astrid" localSheetId="4">#REF!</definedName>
    <definedName name="astrid" localSheetId="2">#REF!</definedName>
    <definedName name="astrid">#REF!</definedName>
    <definedName name="At">#REF!</definedName>
    <definedName name="Au">#REF!</definedName>
    <definedName name="aur">#REF!</definedName>
    <definedName name="auto1" localSheetId="4">#REF!</definedName>
    <definedName name="auto1" localSheetId="2">#REF!</definedName>
    <definedName name="auto1">#REF!</definedName>
    <definedName name="auto123">#REF!</definedName>
    <definedName name="auto2">#REF!</definedName>
    <definedName name="av">#REF!</definedName>
    <definedName name="AVIGA">#REF!</definedName>
    <definedName name="AW">#REF!</definedName>
    <definedName name="Ax" localSheetId="4">#REF!</definedName>
    <definedName name="Ax" localSheetId="2">#REF!</definedName>
    <definedName name="Ax">#REF!</definedName>
    <definedName name="Ay">#REF!</definedName>
    <definedName name="AYUDA">[10]BASE!$D$10</definedName>
    <definedName name="AYUDR">[10]BASE!$D$11</definedName>
    <definedName name="azaz" localSheetId="4">#REF!</definedName>
    <definedName name="azaz" localSheetId="2">#REF!</definedName>
    <definedName name="azaz">#REF!</definedName>
    <definedName name="b">#REF!</definedName>
    <definedName name="B.DATOS">[4]BS.DATOS!$B$5:$N$30</definedName>
    <definedName name="B_impresión_IM">#REF!</definedName>
    <definedName name="Ba" localSheetId="4">#REF!</definedName>
    <definedName name="Ba" localSheetId="2">#REF!</definedName>
    <definedName name="Ba">#REF!</definedName>
    <definedName name="BAJA">#REF!</definedName>
    <definedName name="BALASTO">#REF!</definedName>
    <definedName name="BALDOSIN">#REF!</definedName>
    <definedName name="Ballincourt">'[27]REF - Listas'!$B$13:$B$23</definedName>
    <definedName name="Banda2">#REF!</definedName>
    <definedName name="Banda2a">#REF!</definedName>
    <definedName name="Base">#REF!</definedName>
    <definedName name="Base_datos_IM">#REF!</definedName>
    <definedName name="base_datos_t45" localSheetId="4">#REF!</definedName>
    <definedName name="base_datos_t45" localSheetId="2">#REF!</definedName>
    <definedName name="base_datos_t45">#REF!</definedName>
    <definedName name="Base_Mat">#REF!</definedName>
    <definedName name="Base_MO">#REF!</definedName>
    <definedName name="base_VaR">#REF!</definedName>
    <definedName name="BaseDate">[28]Parameters!$D$17</definedName>
    <definedName name="BaseDatos_Ore1" localSheetId="4">#REF!</definedName>
    <definedName name="BaseDatos_Ore1" localSheetId="2">#REF!</definedName>
    <definedName name="BaseDatos_Ore1">#REF!</definedName>
    <definedName name="BaseDatos_T831" localSheetId="4">#REF!</definedName>
    <definedName name="BaseDatos_T831" localSheetId="2">#REF!</definedName>
    <definedName name="BaseDatos_T831">#REF!</definedName>
    <definedName name="_xlnm.Database">#REF!</definedName>
    <definedName name="BasePeriod">#REF!</definedName>
    <definedName name="Bb" localSheetId="4">#REF!</definedName>
    <definedName name="Bb" localSheetId="2">#REF!</definedName>
    <definedName name="Bb">#REF!</definedName>
    <definedName name="BBA">#REF!</definedName>
    <definedName name="bbb">#REF!</definedName>
    <definedName name="bbbbbb" localSheetId="4">#REF!</definedName>
    <definedName name="bbbbbb" localSheetId="2">#REF!</definedName>
    <definedName name="bbbbbb">#REF!</definedName>
    <definedName name="BBBBBBBBBBBB">#REF!</definedName>
    <definedName name="bbbbbh" localSheetId="4">#REF!</definedName>
    <definedName name="bbbbbh" localSheetId="2">#REF!</definedName>
    <definedName name="bbbbbh">#REF!</definedName>
    <definedName name="bbd" localSheetId="4">#REF!</definedName>
    <definedName name="bbd" localSheetId="2">#REF!</definedName>
    <definedName name="bbd">#REF!</definedName>
    <definedName name="Bc">#REF!</definedName>
    <definedName name="BCXBDFG" localSheetId="4">#REF!</definedName>
    <definedName name="BCXBDFG" localSheetId="2">#REF!</definedName>
    <definedName name="BCXBDFG">#REF!</definedName>
    <definedName name="Bd">#REF!</definedName>
    <definedName name="BDFB" localSheetId="4">#REF!</definedName>
    <definedName name="BDFB" localSheetId="2">#REF!</definedName>
    <definedName name="BDFB">#REF!</definedName>
    <definedName name="BDFGDG" localSheetId="4">#REF!</definedName>
    <definedName name="BDFGDG" localSheetId="2">#REF!</definedName>
    <definedName name="BDFGDG">#REF!</definedName>
    <definedName name="Be">#REF!</definedName>
    <definedName name="Bf">#REF!</definedName>
    <definedName name="bfgxddvd">#REF!</definedName>
    <definedName name="bfnfv" localSheetId="4">#REF!</definedName>
    <definedName name="bfnfv" localSheetId="2">#REF!</definedName>
    <definedName name="bfnfv">#REF!</definedName>
    <definedName name="Bg" localSheetId="4">#REF!</definedName>
    <definedName name="Bg" localSheetId="2">#REF!</definedName>
    <definedName name="Bg">#REF!</definedName>
    <definedName name="bgb" localSheetId="4">#REF!</definedName>
    <definedName name="bgb" localSheetId="2">#REF!</definedName>
    <definedName name="bgb">#REF!</definedName>
    <definedName name="BGDGFRT" localSheetId="4">#REF!</definedName>
    <definedName name="BGDGFRT" localSheetId="2">#REF!</definedName>
    <definedName name="BGDGFRT">#REF!</definedName>
    <definedName name="BGFBFH" localSheetId="4">#REF!</definedName>
    <definedName name="BGFBFH" localSheetId="2">#REF!</definedName>
    <definedName name="BGFBFH">#REF!</definedName>
    <definedName name="bgh">#REF!</definedName>
    <definedName name="bgvfcdx" localSheetId="4">#REF!</definedName>
    <definedName name="bgvfcdx" localSheetId="2">#REF!</definedName>
    <definedName name="bgvfcdx">#REF!</definedName>
    <definedName name="Bh" localSheetId="4">#REF!</definedName>
    <definedName name="Bh" localSheetId="2">#REF!</definedName>
    <definedName name="Bh">#REF!</definedName>
    <definedName name="BHT">#REF!</definedName>
    <definedName name="Bi">#REF!</definedName>
    <definedName name="bid_expiration" localSheetId="4">#REF!</definedName>
    <definedName name="bid_expiration" localSheetId="2">#REF!</definedName>
    <definedName name="bid_expiration">#REF!</definedName>
    <definedName name="Bid_Received">#REF!</definedName>
    <definedName name="BID_SENT">#REF!</definedName>
    <definedName name="Bid1DOD">#REF!</definedName>
    <definedName name="Bid1Ext">#REF!</definedName>
    <definedName name="Bid1Qty">#REF!</definedName>
    <definedName name="Bid1TAC">#REF!</definedName>
    <definedName name="Bid1Unevalcost">#REF!</definedName>
    <definedName name="Bid1UNIT" localSheetId="4">#REF!</definedName>
    <definedName name="Bid1UNIT" localSheetId="2">#REF!</definedName>
    <definedName name="Bid1UNIT">#REF!</definedName>
    <definedName name="Bid2DOD">#REF!</definedName>
    <definedName name="Bid2Ext">#REF!</definedName>
    <definedName name="Bid2Qty">#REF!</definedName>
    <definedName name="Bid2TAC">#REF!</definedName>
    <definedName name="Bid2Unevalcost">#REF!</definedName>
    <definedName name="Bid2UNIT">#REF!</definedName>
    <definedName name="Bid3DOD">#REF!</definedName>
    <definedName name="Bid3Ext">#REF!</definedName>
    <definedName name="Bid3Qty">#REF!</definedName>
    <definedName name="Bid3TAC">#REF!</definedName>
    <definedName name="Bid3unevalcost">#REF!</definedName>
    <definedName name="Bid3Unit">#REF!</definedName>
    <definedName name="Bid4DOD">#REF!</definedName>
    <definedName name="Bid4Ext" localSheetId="4">#REF!</definedName>
    <definedName name="Bid4Ext" localSheetId="2">#REF!</definedName>
    <definedName name="Bid4Ext">#REF!</definedName>
    <definedName name="Bid4Qty">#REF!</definedName>
    <definedName name="Bid4TAC">#REF!</definedName>
    <definedName name="Bid4unevalcost">#REF!</definedName>
    <definedName name="Bid4Unit">#REF!</definedName>
    <definedName name="Bidlist">"List Box 6"</definedName>
    <definedName name="BidRange">#REF!</definedName>
    <definedName name="bimestre">'[29]ESTADO RED'!$E$8</definedName>
    <definedName name="BISCO">[15]BASE!$D$253</definedName>
    <definedName name="BJK">#REF!</definedName>
    <definedName name="Bk">#REF!</definedName>
    <definedName name="bl">#REF!</definedName>
    <definedName name="BLOQUE" localSheetId="4">#REF!</definedName>
    <definedName name="BLOQUE" localSheetId="2">#REF!</definedName>
    <definedName name="BLOQUE">#REF!</definedName>
    <definedName name="Bm">#REF!</definedName>
    <definedName name="BMBTU">[28]Parameters!$K$18</definedName>
    <definedName name="BMCoalPrice">#REF!</definedName>
    <definedName name="Bn">#REF!</definedName>
    <definedName name="bnm">#REF!</definedName>
    <definedName name="BOMBA">[10]BASE!$D$323</definedName>
    <definedName name="BOMBAS" localSheetId="4">#REF!</definedName>
    <definedName name="BOMBAS" localSheetId="2">#REF!</definedName>
    <definedName name="BOMBAS">#REF!</definedName>
    <definedName name="BOMBASTABLA2.2">#REF!</definedName>
    <definedName name="BOMBEOALCANTARILLADOTABLA1.9">'[4]INFORMACIÓN REFERENCIA'!$B$415:$N$426</definedName>
    <definedName name="bordillo">#REF!</definedName>
    <definedName name="BorraR" localSheetId="4">#REF!</definedName>
    <definedName name="BorraR" localSheetId="2">#REF!</definedName>
    <definedName name="BorraR">#REF!</definedName>
    <definedName name="BOTAD">[10]BASE!$D$331</definedName>
    <definedName name="BOTES">[10]BASE!$D$335</definedName>
    <definedName name="Bp">[9]CALCULO!$E$66</definedName>
    <definedName name="BPSRate_Month">#REF!</definedName>
    <definedName name="br" localSheetId="4">#REF!</definedName>
    <definedName name="br" localSheetId="2">#REF!</definedName>
    <definedName name="br">#REF!</definedName>
    <definedName name="BS_Data_Col">#REF!</definedName>
    <definedName name="bsb" localSheetId="4">#REF!</definedName>
    <definedName name="bsb" localSheetId="2">#REF!</definedName>
    <definedName name="bsb">#REF!</definedName>
    <definedName name="BSOL64">[10]BASE!$D$122</definedName>
    <definedName name="BSpb" localSheetId="4">#REF!</definedName>
    <definedName name="BSpb" localSheetId="2">#REF!</definedName>
    <definedName name="BSpb">#REF!</definedName>
    <definedName name="bspoi" localSheetId="4">#REF!</definedName>
    <definedName name="bspoi" localSheetId="2">#REF!</definedName>
    <definedName name="bspoi">#REF!</definedName>
    <definedName name="bt" localSheetId="4">#REF!</definedName>
    <definedName name="bt" localSheetId="2">#REF!</definedName>
    <definedName name="bt">#REF!</definedName>
    <definedName name="BTYJHTR" localSheetId="4">#REF!</definedName>
    <definedName name="BTYJHTR" localSheetId="2">#REF!</definedName>
    <definedName name="BTYJHTR">#REF!</definedName>
    <definedName name="BUDGET">#REF!</definedName>
    <definedName name="BUDGET_VALUE" localSheetId="4">#REF!</definedName>
    <definedName name="BUDGET_VALUE" localSheetId="2">#REF!</definedName>
    <definedName name="BUDGET_VALUE">#REF!</definedName>
    <definedName name="budgeted">#REF!</definedName>
    <definedName name="BuiltIn_Print_Area" localSheetId="4">#REF!</definedName>
    <definedName name="BuiltIn_Print_Area" localSheetId="2">#REF!</definedName>
    <definedName name="BuiltIn_Print_Area">#REF!</definedName>
    <definedName name="BuiltIn_Print_Area___0">#REF!</definedName>
    <definedName name="BuiltIn_Print_Area___0___0" localSheetId="4">#REF!</definedName>
    <definedName name="BuiltIn_Print_Area___0___0" localSheetId="2">#REF!</definedName>
    <definedName name="BuiltIn_Print_Area___0___0">#REF!</definedName>
    <definedName name="BuiltIn_Print_Area___0___0___0">#REF!</definedName>
    <definedName name="BuiltIn_Print_Titles">#REF!</definedName>
    <definedName name="bv">#REF!</definedName>
    <definedName name="bvbc" localSheetId="4">#REF!</definedName>
    <definedName name="bvbc" localSheetId="2">#REF!</definedName>
    <definedName name="bvbc">#REF!</definedName>
    <definedName name="bvcb" localSheetId="4">#REF!</definedName>
    <definedName name="bvcb" localSheetId="2">#REF!</definedName>
    <definedName name="bvcb">#REF!</definedName>
    <definedName name="bvn" localSheetId="4">#REF!</definedName>
    <definedName name="bvn" localSheetId="2">#REF!</definedName>
    <definedName name="bvn">#REF!</definedName>
    <definedName name="bw">#REF!</definedName>
    <definedName name="by" localSheetId="4">#REF!</definedName>
    <definedName name="by" localSheetId="2">#REF!</definedName>
    <definedName name="by">#REF!</definedName>
    <definedName name="BytMesInicioInctoMmto">#REF!</definedName>
    <definedName name="C.1">#REF!</definedName>
    <definedName name="C.10">#REF!</definedName>
    <definedName name="C.11">#REF!</definedName>
    <definedName name="C.2">#REF!</definedName>
    <definedName name="C.3">#REF!</definedName>
    <definedName name="C.4">#REF!</definedName>
    <definedName name="C.5" localSheetId="4">#REF!</definedName>
    <definedName name="C.5" localSheetId="2">#REF!</definedName>
    <definedName name="C.5">#REF!</definedName>
    <definedName name="C.6">#REF!</definedName>
    <definedName name="C.7" localSheetId="4">#REF!</definedName>
    <definedName name="C.7" localSheetId="2">#REF!</definedName>
    <definedName name="C.7">#REF!</definedName>
    <definedName name="C.8">#REF!</definedName>
    <definedName name="C.9">#REF!</definedName>
    <definedName name="C_">#REF!</definedName>
    <definedName name="Ca">#REF!</definedName>
    <definedName name="CAB" localSheetId="4">#REF!</definedName>
    <definedName name="CAB" localSheetId="2">#REF!</definedName>
    <definedName name="CAB">#REF!</definedName>
    <definedName name="CABAL">[10]BASE!$D$257</definedName>
    <definedName name="CABALLETE" localSheetId="4">#REF!</definedName>
    <definedName name="CABALLETE" localSheetId="2">#REF!</definedName>
    <definedName name="CABALLETE">#REF!</definedName>
    <definedName name="caja">#REF!</definedName>
    <definedName name="CAJAV">[10]BASE!$D$296</definedName>
    <definedName name="CALCULO" localSheetId="4">#REF!</definedName>
    <definedName name="CALCULO" localSheetId="2">#REF!</definedName>
    <definedName name="CALCULO">#REF!</definedName>
    <definedName name="calculopozo1" localSheetId="4">#REF!</definedName>
    <definedName name="calculopozo1" localSheetId="2">#REF!</definedName>
    <definedName name="calculopozo1">#REF!</definedName>
    <definedName name="CALCULOPOZOS" localSheetId="4">#REF!</definedName>
    <definedName name="CALCULOPOZOS" localSheetId="2">#REF!</definedName>
    <definedName name="CALCULOPOZOS">#REF!</definedName>
    <definedName name="calculopozos1">'[4]CALCULO POI'!$B$120:$C$154</definedName>
    <definedName name="CALCULOS">'[4]CALCULO POI'!$B$118:$CV$154</definedName>
    <definedName name="CALCULOSALCANTARILLADO">'[4]CALCULO POI'!$B$324:$BP$360</definedName>
    <definedName name="CALE" localSheetId="4">#REF!</definedName>
    <definedName name="CALE" localSheetId="2">#REF!</definedName>
    <definedName name="CALE">#REF!</definedName>
    <definedName name="CALEND" localSheetId="4">#REF!</definedName>
    <definedName name="CALEND" localSheetId="2">#REF!</definedName>
    <definedName name="CALEND">#REF!</definedName>
    <definedName name="CALENDA" localSheetId="4">#REF!</definedName>
    <definedName name="CALENDA" localSheetId="2">#REF!</definedName>
    <definedName name="CALENDA">#REF!</definedName>
    <definedName name="Calendar" localSheetId="4">#REF!</definedName>
    <definedName name="Calendar" localSheetId="2">#REF!</definedName>
    <definedName name="Calendar">#REF!</definedName>
    <definedName name="CALENDARIO" localSheetId="4">#REF!</definedName>
    <definedName name="CALENDARIO" localSheetId="2">#REF!</definedName>
    <definedName name="CALENDARIO">#REF!</definedName>
    <definedName name="Caliche">#REF!</definedName>
    <definedName name="CalP" localSheetId="4">#REF!</definedName>
    <definedName name="CalP" localSheetId="2">#REF!</definedName>
    <definedName name="CalP">#REF!</definedName>
    <definedName name="CAM0A15">[14]MEM!$I$46</definedName>
    <definedName name="CAM15A20">[14]MEM!$I$47</definedName>
    <definedName name="CAM20A25">[14]MEM!$I$48</definedName>
    <definedName name="CAM25A30">[14]MEM!$I$49</definedName>
    <definedName name="cambio">'[30]PSM05-055'!$C$289</definedName>
    <definedName name="CANAL6">[10]BASE!$D$264</definedName>
    <definedName name="CANGU">[10]BASE!$D$308</definedName>
    <definedName name="CanonesMedida">#REF!</definedName>
    <definedName name="CanonFcro">#REF!</definedName>
    <definedName name="CanonImpuestos">#REF!</definedName>
    <definedName name="CanonMedidaEspecial">#REF!</definedName>
    <definedName name="CanonMmto">#REF!</definedName>
    <definedName name="CanonSeguro">#REF!</definedName>
    <definedName name="CanonSoat">#REF!</definedName>
    <definedName name="CanonTotal">#REF!</definedName>
    <definedName name="CanonTramites" localSheetId="4">#REF!</definedName>
    <definedName name="CanonTramites" localSheetId="2">#REF!</definedName>
    <definedName name="CanonTramites">#REF!</definedName>
    <definedName name="CANT">#REF!</definedName>
    <definedName name="CANT1.1" localSheetId="4">#REF!</definedName>
    <definedName name="CANT1.1" localSheetId="2">#REF!</definedName>
    <definedName name="CANT1.1">#REF!</definedName>
    <definedName name="CANT1.2">#REF!</definedName>
    <definedName name="CANT1.3">#REF!</definedName>
    <definedName name="CANT1.5">#REF!</definedName>
    <definedName name="CANT1.6">#REF!</definedName>
    <definedName name="CANT1.7" localSheetId="4">#REF!</definedName>
    <definedName name="CANT1.7" localSheetId="2">#REF!</definedName>
    <definedName name="CANT1.7">#REF!</definedName>
    <definedName name="CANT1.9">#REF!</definedName>
    <definedName name="CANT2.11">#REF!</definedName>
    <definedName name="CANT2.12">#REF!</definedName>
    <definedName name="CANT2.2">#REF!</definedName>
    <definedName name="CANT2.3" localSheetId="4">#REF!</definedName>
    <definedName name="CANT2.3" localSheetId="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 localSheetId="4">#REF!</definedName>
    <definedName name="CANT8.6" localSheetId="2">#REF!</definedName>
    <definedName name="CANT8.6">#REF!</definedName>
    <definedName name="CANT8.7">#REF!</definedName>
    <definedName name="CANTIDADESDEOBRA">'[4]CALCULO POI'!$B$161:$R$196</definedName>
    <definedName name="CAOLIN">#REF!</definedName>
    <definedName name="CAP" localSheetId="4">#REF!</definedName>
    <definedName name="CAP" localSheetId="2">#REF!</definedName>
    <definedName name="CAP">#REF!</definedName>
    <definedName name="CapActividad">#REF!</definedName>
    <definedName name="CAPATAZ_I">"TABLA1"</definedName>
    <definedName name="CapCom">#REF!</definedName>
    <definedName name="CapComponent" localSheetId="4">#REF!</definedName>
    <definedName name="CapComponent" localSheetId="2">#REF!</definedName>
    <definedName name="CapComponent">#REF!</definedName>
    <definedName name="Capex">#REF!</definedName>
    <definedName name="CapexFac">[28]Sensitivities!$I$13</definedName>
    <definedName name="CapitalCongelado">#REF!</definedName>
    <definedName name="Capitalpb">#REF!</definedName>
    <definedName name="CapitalStructure" localSheetId="4">#REF!</definedName>
    <definedName name="CapitalStructure" localSheetId="2">#REF!</definedName>
    <definedName name="CapitalStructure">#REF!</definedName>
    <definedName name="CapResumen">#REF!</definedName>
    <definedName name="Captafaros" localSheetId="4">#REF!</definedName>
    <definedName name="Captafaros" localSheetId="2">#REF!</definedName>
    <definedName name="Captafaros">#REF!</definedName>
    <definedName name="Captafaros2">#REF!</definedName>
    <definedName name="CapTarget">#REF!</definedName>
    <definedName name="CapTotalCol">#REF!</definedName>
    <definedName name="CARBON" localSheetId="4">#REF!</definedName>
    <definedName name="CARBON" localSheetId="2">#REF!</definedName>
    <definedName name="CARBON">#REF!</definedName>
    <definedName name="CARGA" localSheetId="4">#REF!</definedName>
    <definedName name="CARGA" localSheetId="2">#REF!</definedName>
    <definedName name="CARGA">#REF!</definedName>
    <definedName name="CARGO">#REF!</definedName>
    <definedName name="carlos" localSheetId="4">#REF!</definedName>
    <definedName name="carlos" localSheetId="2">#REF!</definedName>
    <definedName name="carlos">#REF!</definedName>
    <definedName name="Cashpb">#REF!</definedName>
    <definedName name="cat">[31]Parameters!$I$31</definedName>
    <definedName name="Cat1Life">[32]Parameters!$I$31</definedName>
    <definedName name="Cat1Rate">[32]Parameters!$J$31</definedName>
    <definedName name="Cat1Salvage">[28]Deprec!$H$58</definedName>
    <definedName name="Cat2Life">[33]Index!$T$66</definedName>
    <definedName name="Cat2Rate">[33]Index!$U$66</definedName>
    <definedName name="Cat2Salvage">#REF!</definedName>
    <definedName name="Cat3Life">[32]Parameters!$I$33</definedName>
    <definedName name="Cat3Rate">[32]Parameters!$J$33</definedName>
    <definedName name="Cat3Salvage">[28]Deprec!$H$132</definedName>
    <definedName name="Cat4Life">[32]Parameters!$I$34</definedName>
    <definedName name="Cat4Rate">[32]Parameters!$J$34</definedName>
    <definedName name="Cat4Salvage">[28]Deprec!$H$132</definedName>
    <definedName name="causa">#REF!</definedName>
    <definedName name="CB" localSheetId="4">#REF!</definedName>
    <definedName name="CB" localSheetId="2">#REF!</definedName>
    <definedName name="CB">#REF!</definedName>
    <definedName name="Cc">#REF!</definedName>
    <definedName name="cccc">#REF!</definedName>
    <definedName name="ccccc" localSheetId="4">#REF!</definedName>
    <definedName name="ccccc" localSheetId="2">#REF!</definedName>
    <definedName name="ccccc">#REF!</definedName>
    <definedName name="CCCCCC" localSheetId="4">#REF!</definedName>
    <definedName name="CCCCCC" localSheetId="2">#REF!</definedName>
    <definedName name="CCCCCC">#REF!</definedName>
    <definedName name="CContLab">#REF!</definedName>
    <definedName name="CContParts">#REF!</definedName>
    <definedName name="ccto210">#REF!</definedName>
    <definedName name="Cd">#REF!</definedName>
    <definedName name="CD454JH">[10]BASE!$D$201</definedName>
    <definedName name="cdcdc" localSheetId="4">#REF!</definedName>
    <definedName name="cdcdc" localSheetId="2">#REF!</definedName>
    <definedName name="cdcdc">#REF!</definedName>
    <definedName name="CDIRECTO">#REF!</definedName>
    <definedName name="Ce" localSheetId="4">#REF!</definedName>
    <definedName name="Ce" localSheetId="2">#REF!</definedName>
    <definedName name="Ce">#REF!</definedName>
    <definedName name="CEBLANCO">#REF!</definedName>
    <definedName name="ceerf" localSheetId="4">#REF!</definedName>
    <definedName name="ceerf" localSheetId="2">#REF!</definedName>
    <definedName name="ceerf">#REF!</definedName>
    <definedName name="CEMEG">[10]BASE!$D$55</definedName>
    <definedName name="CEMENTO" localSheetId="4">#REF!</definedName>
    <definedName name="CEMENTO" localSheetId="2">#REF!</definedName>
    <definedName name="CEMENTO">#REF!</definedName>
    <definedName name="Cf">#REF!</definedName>
    <definedName name="Cg" localSheetId="4">#REF!</definedName>
    <definedName name="Cg" localSheetId="2">#REF!</definedName>
    <definedName name="Cg">#REF!</definedName>
    <definedName name="CGET">#REF!</definedName>
    <definedName name="Ch">#REF!</definedName>
    <definedName name="CH_Infra_Capex">[34]Workings!$H$299:$BR$299</definedName>
    <definedName name="Change_in_Cash" localSheetId="4">#REF!</definedName>
    <definedName name="Change_in_Cash" localSheetId="2">#REF!</definedName>
    <definedName name="Change_in_Cash">#REF!</definedName>
    <definedName name="CHAPA">[10]BASE!$D$249</definedName>
    <definedName name="Check_to_Cash">#REF!</definedName>
    <definedName name="CHEQUE_CORTINA_1_2__GRIVAL">'[35]INSUMOS-EQUIPOS'!$B$198</definedName>
    <definedName name="CHINA">#REF!</definedName>
    <definedName name="chofer">#REF!</definedName>
    <definedName name="Ci">#REF!</definedName>
    <definedName name="CINTA_V_15">#REF!</definedName>
    <definedName name="CIRCUITOS">[36]Circuitos!$C$2:$C$891</definedName>
    <definedName name="CIRCUNVALAR">#REF!</definedName>
    <definedName name="Cj">#REF!</definedName>
    <definedName name="Ck">#REF!</definedName>
    <definedName name="clase">#REF!</definedName>
    <definedName name="class2">'[27]REF - Listas'!$D$27:$D$28</definedName>
    <definedName name="class3">'[27]REF - Listas'!$F$4:$F$7</definedName>
    <definedName name="classification">'[27]REF - Listas'!$D$15:$D$24</definedName>
    <definedName name="CLAVO">[10]BASE!$D$69</definedName>
    <definedName name="Client">#REF!</definedName>
    <definedName name="Client_name">#REF!</definedName>
    <definedName name="Client_ref_number">#REF!</definedName>
    <definedName name="Cll">#REF!</definedName>
    <definedName name="CLube" localSheetId="4">#REF!</definedName>
    <definedName name="CLube" localSheetId="2">#REF!</definedName>
    <definedName name="CLube">#REF!</definedName>
    <definedName name="Cm">#REF!</definedName>
    <definedName name="CMina">[37]Cuentas!$P$11:$P$111</definedName>
    <definedName name="cmuooo5">#REF!</definedName>
    <definedName name="Cn">#REF!</definedName>
    <definedName name="Cñ" localSheetId="4">#REF!</definedName>
    <definedName name="Cñ" localSheetId="2">#REF!</definedName>
    <definedName name="Cñ">#REF!</definedName>
    <definedName name="Co">#REF!</definedName>
    <definedName name="CO456JH">[10]BASE!$D$203</definedName>
    <definedName name="CO458JH">[15]BASE!$D$191</definedName>
    <definedName name="CO904JH">[10]BASE!$D$196</definedName>
    <definedName name="CO906JH">[10]BASE!$D$197</definedName>
    <definedName name="CO908JH">[15]BASE!$D$190</definedName>
    <definedName name="CO90S4">[10]BASE!$D$130</definedName>
    <definedName name="Coal">#REF!</definedName>
    <definedName name="Coal_Closing_Stock" localSheetId="4">#REF!</definedName>
    <definedName name="Coal_Closing_Stock" localSheetId="2">#REF!</definedName>
    <definedName name="Coal_Closing_Stock">#REF!</definedName>
    <definedName name="Coal_DB">#REF!</definedName>
    <definedName name="Coal1">#REF!</definedName>
    <definedName name="Coal2" localSheetId="4">#REF!</definedName>
    <definedName name="Coal2" localSheetId="2">#REF!</definedName>
    <definedName name="Coal2">#REF!</definedName>
    <definedName name="Coal3" localSheetId="4">#REF!</definedName>
    <definedName name="Coal3" localSheetId="2">#REF!</definedName>
    <definedName name="Coal3">#REF!</definedName>
    <definedName name="Coal4">#REF!</definedName>
    <definedName name="CoalFleet">#REF!</definedName>
    <definedName name="CoalLoad">#REF!</definedName>
    <definedName name="CoalOpCost">#REF!</definedName>
    <definedName name="CoalOverCap" localSheetId="4">#REF!</definedName>
    <definedName name="CoalOverCap" localSheetId="2">#REF!</definedName>
    <definedName name="CoalOverCap">#REF!</definedName>
    <definedName name="CoalPriceFac">[28]Sensitivities!$I$10</definedName>
    <definedName name="CoalRepl">#REF!</definedName>
    <definedName name="CoalUtil">#REF!</definedName>
    <definedName name="Cod">#REF!</definedName>
    <definedName name="Codigo">#REF!</definedName>
    <definedName name="Codigo_M.Obra">#REF!</definedName>
    <definedName name="codigos">[38]Banderas!$A:$A</definedName>
    <definedName name="CODO_45___3__GRAN_RADIO_C_x_E">#REF!</definedName>
    <definedName name="CODO_45___3__P.V.C">#REF!</definedName>
    <definedName name="CODO_45__2__P.V.C">#REF!</definedName>
    <definedName name="CODO_90___3__GRAN_RADIO_C_x_E">#REF!</definedName>
    <definedName name="CODO_90___3__P.V.C" localSheetId="4">#REF!</definedName>
    <definedName name="CODO_90___3__P.V.C" localSheetId="2">#REF!</definedName>
    <definedName name="CODO_90___3__P.V.C">#REF!</definedName>
    <definedName name="CODO_90_x_3__B_x_B" localSheetId="4">#REF!</definedName>
    <definedName name="CODO_90_x_3__B_x_B" localSheetId="2">#REF!</definedName>
    <definedName name="CODO_90_x_3__B_x_B">#REF!</definedName>
    <definedName name="CODO_90_x_3__B_x_EL">#REF!</definedName>
    <definedName name="CODO_P.V.C_90___1_2">#REF!</definedName>
    <definedName name="CODOS">#REF!</definedName>
    <definedName name="coeficienterugosidad">'[4]INFORMACIÓN REFERENCIA'!$B$90:$C$101</definedName>
    <definedName name="COHaul">#REF!</definedName>
    <definedName name="COLBOR">#REF!</definedName>
    <definedName name="COLLAR_DE_DERIVACION_2____1_2" localSheetId="4">#REF!</definedName>
    <definedName name="COLLAR_DE_DERIVACION_2____1_2" localSheetId="2">#REF!</definedName>
    <definedName name="COLLAR_DE_DERIVACION_2____1_2">#REF!</definedName>
    <definedName name="COLLAR_DE_DERIVACION_3____1_2" localSheetId="4">#REF!</definedName>
    <definedName name="COLLAR_DE_DERIVACION_3____1_2" localSheetId="2">#REF!</definedName>
    <definedName name="COLLAR_DE_DERIVACION_3____1_2">#REF!</definedName>
    <definedName name="COLLAR_DE_DERIVACION_DE_HF_DE_3____1_2__PARA_INSTALACION_DE_VENTOSA_EN_TUBERIA_DE_P.V.C">#REF!</definedName>
    <definedName name="ComBid1">#REF!</definedName>
    <definedName name="ComBid1CurrCode">#REF!</definedName>
    <definedName name="ComBid1EvalTotal">#REF!</definedName>
    <definedName name="ComBid1LeadTime">#REF!</definedName>
    <definedName name="ComBid1Number">#REF!</definedName>
    <definedName name="ComBid1PayTerms" localSheetId="4">#REF!</definedName>
    <definedName name="ComBid1PayTerms" localSheetId="2">#REF!</definedName>
    <definedName name="ComBid1PayTerms">#REF!</definedName>
    <definedName name="ComBid1Penalty">#REF!</definedName>
    <definedName name="ComBid1PromiseDate">#REF!</definedName>
    <definedName name="ComBid1Rate">#REF!</definedName>
    <definedName name="ComBid1Retention" localSheetId="4">#REF!</definedName>
    <definedName name="ComBid1Retention" localSheetId="2">#REF!</definedName>
    <definedName name="ComBid1Retention">#REF!</definedName>
    <definedName name="ComBid1Total">#REF!</definedName>
    <definedName name="ComBid2">#REF!</definedName>
    <definedName name="ComBid2CurrCode">#REF!</definedName>
    <definedName name="ComBid2EvalTotal">#REF!</definedName>
    <definedName name="ComBid2LeadTime">#REF!</definedName>
    <definedName name="ComBid2Number">#REF!</definedName>
    <definedName name="ComBid2PayTerms">#REF!</definedName>
    <definedName name="ComBid2Penalty">#REF!</definedName>
    <definedName name="ComBid2PromiseDate">#REF!</definedName>
    <definedName name="ComBid2Rate">#REF!</definedName>
    <definedName name="ComBid2Retention">#REF!</definedName>
    <definedName name="ComBid2Total">#REF!</definedName>
    <definedName name="ComBid3">#REF!</definedName>
    <definedName name="ComBid3CurrCode">#REF!</definedName>
    <definedName name="ComBid3EvalTotal">#REF!</definedName>
    <definedName name="ComBid3LeadTime">#REF!</definedName>
    <definedName name="comBid3Number">#REF!</definedName>
    <definedName name="ComBid3PayTerms" localSheetId="4">#REF!</definedName>
    <definedName name="ComBid3PayTerms" localSheetId="2">#REF!</definedName>
    <definedName name="ComBid3PayTerms">#REF!</definedName>
    <definedName name="ComBid3Penalty">#REF!</definedName>
    <definedName name="ComBid3PromiseDate">#REF!</definedName>
    <definedName name="ComBid3Rate">#REF!</definedName>
    <definedName name="ComBid3Retention">#REF!</definedName>
    <definedName name="ComBid3Total">#REF!</definedName>
    <definedName name="ComBid4">#REF!</definedName>
    <definedName name="ComBid4CurrCode">#REF!</definedName>
    <definedName name="ComBid4EvalTotal">#REF!</definedName>
    <definedName name="ComBid4LeadTime">#REF!</definedName>
    <definedName name="ComBid4Number">#REF!</definedName>
    <definedName name="ComBid4PayTerms">#REF!</definedName>
    <definedName name="ComBid4Penalty">#REF!</definedName>
    <definedName name="ComBid4PromiseDate" localSheetId="4">#REF!</definedName>
    <definedName name="ComBid4PromiseDate" localSheetId="2">#REF!</definedName>
    <definedName name="ComBid4PromiseDate">#REF!</definedName>
    <definedName name="ComBid4Rate" localSheetId="4">#REF!</definedName>
    <definedName name="ComBid4Rate" localSheetId="2">#REF!</definedName>
    <definedName name="ComBid4Rate">#REF!</definedName>
    <definedName name="ComBid4Retention" localSheetId="4">#REF!</definedName>
    <definedName name="ComBid4Retention" localSheetId="2">#REF!</definedName>
    <definedName name="ComBid4Retention">#REF!</definedName>
    <definedName name="ComBid4Total" localSheetId="4">#REF!</definedName>
    <definedName name="ComBid4Total" localSheetId="2">#REF!</definedName>
    <definedName name="ComBid4Total">#REF!</definedName>
    <definedName name="ComBidRange">#REF!</definedName>
    <definedName name="Combustible">#REF!</definedName>
    <definedName name="CombustibleCostos" localSheetId="4">#REF!</definedName>
    <definedName name="CombustibleCostos" localSheetId="2">#REF!</definedName>
    <definedName name="CombustibleCostos">#REF!</definedName>
    <definedName name="COMEstAward_date">#REF!</definedName>
    <definedName name="COMJob_Number" localSheetId="4">#REF!</definedName>
    <definedName name="COMJob_Number" localSheetId="2">#REF!</definedName>
    <definedName name="COMJob_Number">#REF!</definedName>
    <definedName name="COMMR_description" localSheetId="4">#REF!</definedName>
    <definedName name="COMMR_description" localSheetId="2">#REF!</definedName>
    <definedName name="COMMR_description">#REF!</definedName>
    <definedName name="COMMRNumber" localSheetId="4">#REF!</definedName>
    <definedName name="COMMRNumber" localSheetId="2">#REF!</definedName>
    <definedName name="COMMRNumber">#REF!</definedName>
    <definedName name="comp">[39]PRESUP!$A:$IV</definedName>
    <definedName name="compactacion">#REF!</definedName>
    <definedName name="COMPenalty">#REF!</definedName>
    <definedName name="Compilado">#REF!</definedName>
    <definedName name="COMProject_Currency">#REF!</definedName>
    <definedName name="COMProject_name">#REF!</definedName>
    <definedName name="CON_3000">#REF!</definedName>
    <definedName name="CONCD">#REF!</definedName>
    <definedName name="CONCRE123">#REF!</definedName>
    <definedName name="CONCRE124" localSheetId="4">#REF!</definedName>
    <definedName name="CONCRE124" localSheetId="2">#REF!</definedName>
    <definedName name="CONCRE124">#REF!</definedName>
    <definedName name="concre15">#REF!</definedName>
    <definedName name="CONCRE25" localSheetId="4">#REF!</definedName>
    <definedName name="CONCRE25" localSheetId="2">#REF!</definedName>
    <definedName name="CONCRE25">#REF!</definedName>
    <definedName name="concre3000">#REF!</definedName>
    <definedName name="concre35" localSheetId="4">#REF!</definedName>
    <definedName name="concre35" localSheetId="2">#REF!</definedName>
    <definedName name="concre35">#REF!</definedName>
    <definedName name="concreto" localSheetId="4">#REF!</definedName>
    <definedName name="concreto" localSheetId="2">#REF!</definedName>
    <definedName name="concreto">#REF!</definedName>
    <definedName name="CONCRETO123">#REF!</definedName>
    <definedName name="concreto14">#REF!</definedName>
    <definedName name="CONCRETO20">#REF!</definedName>
    <definedName name="concreto25">#REF!</definedName>
    <definedName name="concreto3000" localSheetId="4">#REF!</definedName>
    <definedName name="concreto3000" localSheetId="2">#REF!</definedName>
    <definedName name="concreto3000">#REF!</definedName>
    <definedName name="concreto35">#REF!</definedName>
    <definedName name="concretoplaca">#REF!</definedName>
    <definedName name="CONCT">#REF!</definedName>
    <definedName name="CONDUCCION331">'[4]INFORMACIÓN REFERENCIA'!$B$122:$E$133</definedName>
    <definedName name="CONDUCCIONTABLA3.3.1">'[4]INFORMACIÓN REFERENCIA'!$B$122:$D$133</definedName>
    <definedName name="Conductores" localSheetId="4">#REF!</definedName>
    <definedName name="Conductores" localSheetId="2">#REF!</definedName>
    <definedName name="Conductores">#REF!</definedName>
    <definedName name="ConductoresCostos">#REF!</definedName>
    <definedName name="conexiondomiciliaria">#REF!</definedName>
    <definedName name="Congelar_Capital_Vencido">#REF!</definedName>
    <definedName name="CONM1">[10]BASE!$D$309</definedName>
    <definedName name="CONM2">[10]BASE!$D$310</definedName>
    <definedName name="cons">#REF!</definedName>
    <definedName name="CONSOLIDADO">#REF!</definedName>
    <definedName name="CONSORCIO" localSheetId="4">#REF!</definedName>
    <definedName name="CONSORCIO" localSheetId="2">#REF!</definedName>
    <definedName name="CONSORCIO">#REF!</definedName>
    <definedName name="Consulta_PRECIOS_BASICOS">#REF!</definedName>
    <definedName name="Consultor">[40]Datos!$B$3</definedName>
    <definedName name="consum">#REF!</definedName>
    <definedName name="consumo">[41]consumo1!$A$1:$IV$65536</definedName>
    <definedName name="CONTADO">#REF!</definedName>
    <definedName name="ContLabCostOutput">#REF!</definedName>
    <definedName name="ContPartsCostOutput">#REF!</definedName>
    <definedName name="contrato">#REF!</definedName>
    <definedName name="Coordinador">[40]Datos!$B$6</definedName>
    <definedName name="COPIA" localSheetId="4">#REF!</definedName>
    <definedName name="COPIA" localSheetId="2">#REF!</definedName>
    <definedName name="COPIA">#REF!</definedName>
    <definedName name="copiao4" localSheetId="4">#REF!</definedName>
    <definedName name="copiao4" localSheetId="2">#REF!</definedName>
    <definedName name="copiao4">#REF!</definedName>
    <definedName name="Coraza">#REF!</definedName>
    <definedName name="corri" localSheetId="4">#REF!</definedName>
    <definedName name="corri" localSheetId="2">#REF!</definedName>
    <definedName name="corri">#REF!</definedName>
    <definedName name="CORTA">[10]BASE!$D$319</definedName>
    <definedName name="corte">#REF!</definedName>
    <definedName name="corterocoso">#REF!</definedName>
    <definedName name="cost_analysis" localSheetId="4">#REF!</definedName>
    <definedName name="cost_analysis" localSheetId="2">#REF!</definedName>
    <definedName name="cost_analysis">#REF!</definedName>
    <definedName name="COST_CENTRES">'[42]C - CENTROS DE COSTO Y GASTOS'!$A$5:$B$248</definedName>
    <definedName name="CostCode">'[43]cost codes'!$B$2:$F$54</definedName>
    <definedName name="COSTODIRECTO">#REF!</definedName>
    <definedName name="COSTOPERSONALTABLA1.5.3">'[4]INFORMACIÓN REFERENCIA'!$B$542:$F$545</definedName>
    <definedName name="COSTOPERSONALTABLA1.5.4">'[4]INFORMACIÓN REFERENCIA'!$B$549:$G$560</definedName>
    <definedName name="COSTOPERSONALTABLA1.5.5">'[4]INFORMACIÓN REFERENCIA'!$B$564:$G$621</definedName>
    <definedName name="COSTOREDESALCTABLA7.4">#REF!</definedName>
    <definedName name="COSTOREDESTABLA7.3">#REF!</definedName>
    <definedName name="COSTOSCONDUCCIONACU">'[4]BD COSTOS UNIDAD CONSTRUCTIVA'!$B$34:$J$49</definedName>
    <definedName name="cota">'[44]Base de Diseño'!$A$1:$D$290</definedName>
    <definedName name="COTAS">[45]Hoja3!$A$5:$B$154</definedName>
    <definedName name="count">'[34]Inputs-SUMMARY'!$H$3:$BR$3</definedName>
    <definedName name="counter">[46]ASSUMPTIONS!$H$6:$AP$6</definedName>
    <definedName name="COUNTRY_OF_ORIGIN">#REF!</definedName>
    <definedName name="COYLL" localSheetId="4">#REF!</definedName>
    <definedName name="COYLL" localSheetId="2">#REF!</definedName>
    <definedName name="COYLL">#REF!</definedName>
    <definedName name="cp">#REF!</definedName>
    <definedName name="CPlanta">[37]Cuentas!$S$11:$S$56</definedName>
    <definedName name="Cq">#REF!</definedName>
    <definedName name="Cr">#REF!</definedName>
    <definedName name="CR66JH">[10]BASE!$D$178</definedName>
    <definedName name="CRandM">#REF!</definedName>
    <definedName name="CREDITO">#REF!</definedName>
    <definedName name="CRP">#REF!</definedName>
    <definedName name="CRUCE_200_CANAL_S1" localSheetId="4">#REF!</definedName>
    <definedName name="CRUCE_200_CANAL_S1" localSheetId="2">#REF!</definedName>
    <definedName name="CRUCE_200_CANAL_S1">#REF!</definedName>
    <definedName name="CRUCE_200_CANAL_S2">#REF!</definedName>
    <definedName name="CRUCE_200_CANAL_S3" localSheetId="4">#REF!</definedName>
    <definedName name="CRUCE_200_CANAL_S3" localSheetId="2">#REF!</definedName>
    <definedName name="CRUCE_200_CANAL_S3">#REF!</definedName>
    <definedName name="CRUCE_200_CANAL_S4">#REF!</definedName>
    <definedName name="CRUCE_200_CANAL_S5">#REF!</definedName>
    <definedName name="CRUCE_200_CANAL_S6" localSheetId="4">#REF!</definedName>
    <definedName name="CRUCE_200_CANAL_S6" localSheetId="2">#REF!</definedName>
    <definedName name="CRUCE_200_CANAL_S6">#REF!</definedName>
    <definedName name="CRUCE_8__A_S1" localSheetId="4">#REF!</definedName>
    <definedName name="CRUCE_8__A_S1" localSheetId="2">#REF!</definedName>
    <definedName name="CRUCE_8__A_S1">#REF!</definedName>
    <definedName name="CRUCE_8__A_S2">#REF!</definedName>
    <definedName name="CRUCE_8__A_S3">#REF!</definedName>
    <definedName name="CRUCE_8__A_S4">#REF!</definedName>
    <definedName name="CRUCE_8__A_S5">#REF!</definedName>
    <definedName name="CRUCE_8__A_S6">#REF!</definedName>
    <definedName name="CRUCE12__A_S1">#REF!</definedName>
    <definedName name="CRUCE12__A_S2">#REF!</definedName>
    <definedName name="CRUCE12__A_S3">#REF!</definedName>
    <definedName name="CRUCE12__A_S4">#REF!</definedName>
    <definedName name="CRUCE12__A_S5">#REF!</definedName>
    <definedName name="CRUCE12__A_S6">#REF!</definedName>
    <definedName name="CRUCE12_B_S1">#REF!</definedName>
    <definedName name="CRUCE12_B_S2">#REF!</definedName>
    <definedName name="CRUCE12_B_S3">#REF!</definedName>
    <definedName name="CRUCE12_B_S4">#REF!</definedName>
    <definedName name="CRUCE12_B_S5" localSheetId="4">#REF!</definedName>
    <definedName name="CRUCE12_B_S5" localSheetId="2">#REF!</definedName>
    <definedName name="CRUCE12_B_S5">#REF!</definedName>
    <definedName name="CRUCE12_B_S6" localSheetId="4">#REF!</definedName>
    <definedName name="CRUCE12_B_S6" localSheetId="2">#REF!</definedName>
    <definedName name="CRUCE12_B_S6">#REF!</definedName>
    <definedName name="CRUCE160_CANAL_S1">#REF!</definedName>
    <definedName name="CRUCE160_CANAL_S2">#REF!</definedName>
    <definedName name="CRUCE160_CANAL_S3">#REF!</definedName>
    <definedName name="CRUCE160_CANAL_S4">#REF!</definedName>
    <definedName name="CRUCE160_CANAL_S5">#REF!</definedName>
    <definedName name="CRUCE160_CANAL_S6">#REF!</definedName>
    <definedName name="CRUCE90_CANAL_S1">#REF!</definedName>
    <definedName name="CRUCE90_CANAL_S2">#REF!</definedName>
    <definedName name="CRUCE90_CANAL_S3" localSheetId="4">#REF!</definedName>
    <definedName name="CRUCE90_CANAL_S3" localSheetId="2">#REF!</definedName>
    <definedName name="CRUCE90_CANAL_S3">#REF!</definedName>
    <definedName name="CRUCE90_CANAL_S4">#REF!</definedName>
    <definedName name="CRUCE90_CANAL_S5">#REF!</definedName>
    <definedName name="CRUCE90_CANAL_S6">#REF!</definedName>
    <definedName name="CRUCE90_S1">#REF!</definedName>
    <definedName name="CRUCE90_S2">#REF!</definedName>
    <definedName name="CRUCE90_S3">#REF!</definedName>
    <definedName name="CRUCE90_S4">#REF!</definedName>
    <definedName name="CRUCE90_S5">#REF!</definedName>
    <definedName name="CRUCE90_S6">#REF!</definedName>
    <definedName name="Cruceta_metálica_en_ángulo_de__2m_x_2_5__x_2_5__x_1_4_.">"Prueba1"</definedName>
    <definedName name="Cs">#REF!</definedName>
    <definedName name="CSIKA">[10]BASE!$D$231</definedName>
    <definedName name="Ct">#REF!</definedName>
    <definedName name="CT110K">[47]PRELIM!$B$311</definedName>
    <definedName name="CT110KG">[10]BASE!$D$36</definedName>
    <definedName name="CT140K">[47]PRELIM!$B$329</definedName>
    <definedName name="CT140KG">[10]BASE!$D$35</definedName>
    <definedName name="CT180K">[47]PRELIM!$B$346</definedName>
    <definedName name="CT210K">[47]PRELIM!$B$363</definedName>
    <definedName name="CT210KG">[10]BASE!$D$33</definedName>
    <definedName name="CT245K">[47]PRELIM!$B$380</definedName>
    <definedName name="CT245KG">[10]BASE!$D$32</definedName>
    <definedName name="CTA">#REF!</definedName>
    <definedName name="CTC140KG">[10]BASE!$D$37</definedName>
    <definedName name="CTyre" localSheetId="4">#REF!</definedName>
    <definedName name="CTyre" localSheetId="2">#REF!</definedName>
    <definedName name="CTyre">#REF!</definedName>
    <definedName name="Cu">#REF!</definedName>
    <definedName name="CUAD" localSheetId="4">#REF!</definedName>
    <definedName name="CUAD" localSheetId="2">#REF!</definedName>
    <definedName name="CUAD">#REF!</definedName>
    <definedName name="cuad1" localSheetId="4">#REF!</definedName>
    <definedName name="cuad1" localSheetId="2">#REF!</definedName>
    <definedName name="cuad1">#REF!</definedName>
    <definedName name="cuad2">#REF!</definedName>
    <definedName name="cuad3">#REF!</definedName>
    <definedName name="cuad4" localSheetId="4">#REF!</definedName>
    <definedName name="cuad4" localSheetId="2">#REF!</definedName>
    <definedName name="cuad4">#REF!</definedName>
    <definedName name="CUAD5">#REF!</definedName>
    <definedName name="cuado">#REF!</definedName>
    <definedName name="cuadr">#REF!</definedName>
    <definedName name="CUADRIA">#REF!</definedName>
    <definedName name="CUADRIB">#REF!</definedName>
    <definedName name="CUADRIC">#REF!</definedName>
    <definedName name="CUADRILLA">#REF!</definedName>
    <definedName name="cuadrillas" localSheetId="4">#REF!</definedName>
    <definedName name="cuadrillas" localSheetId="2">#REF!</definedName>
    <definedName name="cuadrillas">#REF!</definedName>
    <definedName name="CUADRO1">#REF!</definedName>
    <definedName name="CUAL" localSheetId="4">#REF!</definedName>
    <definedName name="CUAL" localSheetId="2">#REF!</definedName>
    <definedName name="CUAL">#REF!</definedName>
    <definedName name="CUAPLO">#REF!</definedName>
    <definedName name="CUATOP">#REF!</definedName>
    <definedName name="cube">#REF!</definedName>
    <definedName name="CUBE_UNIT">#REF!</definedName>
    <definedName name="CUBS">[48]Hoja1!$A:$IV</definedName>
    <definedName name="CUCON">#REF!</definedName>
    <definedName name="CUEXC">#REF!</definedName>
    <definedName name="Cumm_Us_inf">[34]Workings!$H$8:$BR$8</definedName>
    <definedName name="CUMPL" localSheetId="4">#REF!</definedName>
    <definedName name="CUMPL" localSheetId="2">#REF!</definedName>
    <definedName name="CUMPL">#REF!</definedName>
    <definedName name="CUNET" localSheetId="4">#REF!</definedName>
    <definedName name="CUNET" localSheetId="2">#REF!</definedName>
    <definedName name="CUNET">#REF!</definedName>
    <definedName name="cuneta">#REF!</definedName>
    <definedName name="CUPLOM">#REF!</definedName>
    <definedName name="CURADURIA">#REF!</definedName>
    <definedName name="curAsisCarr1A">#REF!</definedName>
    <definedName name="curCanDTFSemana">#REF!</definedName>
    <definedName name="CurCanonPorMillon" localSheetId="4">#REF!</definedName>
    <definedName name="CurCanonPorMillon" localSheetId="2">#REF!</definedName>
    <definedName name="CurCanonPorMillon">#REF!</definedName>
    <definedName name="CurCostComGl1a">#REF!</definedName>
    <definedName name="CurCostoCondMes">#REF!</definedName>
    <definedName name="CurCostoImptoTimbre" localSheetId="4">#REF!</definedName>
    <definedName name="CurCostoImptoTimbre" localSheetId="2">#REF!</definedName>
    <definedName name="CurCostoImptoTimbre">#REF!</definedName>
    <definedName name="CurCostoKm10A">#REF!</definedName>
    <definedName name="CurCostoKm11A" localSheetId="4">#REF!</definedName>
    <definedName name="CurCostoKm11A" localSheetId="2">#REF!</definedName>
    <definedName name="CurCostoKm11A">#REF!</definedName>
    <definedName name="CurCostoKm1A">#REF!</definedName>
    <definedName name="CurCostoKm2A">#REF!</definedName>
    <definedName name="CurCostoKm3A">#REF!</definedName>
    <definedName name="CurCostoKm4A">#REF!</definedName>
    <definedName name="CurCostoKm5A">#REF!</definedName>
    <definedName name="CurCostoKm6A">#REF!</definedName>
    <definedName name="CurCostoKm7A">#REF!</definedName>
    <definedName name="CurCostoKm8A" localSheetId="4">#REF!</definedName>
    <definedName name="CurCostoKm8A" localSheetId="2">#REF!</definedName>
    <definedName name="CurCostoKm8A">#REF!</definedName>
    <definedName name="CurCostoKm9A">#REF!</definedName>
    <definedName name="CurCostoLlantas">#REF!</definedName>
    <definedName name="CurCostoMttoFKm10A">#REF!</definedName>
    <definedName name="CurCostoMttoFKm1A">#REF!</definedName>
    <definedName name="CurCostoMttoFKm2A">#REF!</definedName>
    <definedName name="CurCostoMttoFKm3A" localSheetId="4">#REF!</definedName>
    <definedName name="CurCostoMttoFKm3A" localSheetId="2">#REF!</definedName>
    <definedName name="CurCostoMttoFKm3A">#REF!</definedName>
    <definedName name="CurCostoMttoFKm4A">#REF!</definedName>
    <definedName name="CurCostoMttoFKm5A">#REF!</definedName>
    <definedName name="CurCostoMttoFKm6A" localSheetId="4">#REF!</definedName>
    <definedName name="CurCostoMttoFKm6A" localSheetId="2">#REF!</definedName>
    <definedName name="CurCostoMttoFKm6A">#REF!</definedName>
    <definedName name="CurCostoMttoFKm7A">#REF!</definedName>
    <definedName name="CurCostoMttoFKm8A">#REF!</definedName>
    <definedName name="CurCostoMttoFKm9A" localSheetId="4">#REF!</definedName>
    <definedName name="CurCostoMttoFKm9A" localSheetId="2">#REF!</definedName>
    <definedName name="CurCostoMttoFKm9A">#REF!</definedName>
    <definedName name="CurCostoOportunidadFcroEntrega" localSheetId="4">#REF!</definedName>
    <definedName name="CurCostoOportunidadFcroEntrega" localSheetId="2">#REF!</definedName>
    <definedName name="CurCostoOportunidadFcroEntrega">#REF!</definedName>
    <definedName name="CurCostosMargendeNegociacion">#REF!</definedName>
    <definedName name="CurCostoVentaVehCliente">#REF!</definedName>
    <definedName name="CurDescuentoAccesorio">#REF!</definedName>
    <definedName name="CurDTFMaxima">#REF!</definedName>
    <definedName name="CurDTFminima">#REF!</definedName>
    <definedName name="CurDTFSemaTriAntic">#REF!</definedName>
    <definedName name="CurFuelCargoMensual">#REF!</definedName>
    <definedName name="CurFuelEquipo">#REF!</definedName>
    <definedName name="CurGPSCargoMensual">#REF!</definedName>
    <definedName name="CurGPSEquipo">#REF!</definedName>
    <definedName name="CurImptoRod1A">#REF!</definedName>
    <definedName name="CurImptoTimRetoma">#REF!</definedName>
    <definedName name="curIpcProye10A" localSheetId="4">#REF!</definedName>
    <definedName name="curIpcProye10A" localSheetId="2">#REF!</definedName>
    <definedName name="curIpcProye10A">#REF!</definedName>
    <definedName name="curIpcProye1A">#REF!</definedName>
    <definedName name="CurIpcProye2A">#REF!</definedName>
    <definedName name="CurIpcProye3A">#REF!</definedName>
    <definedName name="CurIpcProye4A">#REF!</definedName>
    <definedName name="CurIpcProye5A" localSheetId="4">#REF!</definedName>
    <definedName name="CurIpcProye5A" localSheetId="2">#REF!</definedName>
    <definedName name="CurIpcProye5A">#REF!</definedName>
    <definedName name="curIpcProye6A" localSheetId="4">#REF!</definedName>
    <definedName name="curIpcProye6A" localSheetId="2">#REF!</definedName>
    <definedName name="curIpcProye6A">#REF!</definedName>
    <definedName name="curIpcProye7A">#REF!</definedName>
    <definedName name="curIpcProye8A" localSheetId="4">#REF!</definedName>
    <definedName name="curIpcProye8A" localSheetId="2">#REF!</definedName>
    <definedName name="curIpcProye8A">#REF!</definedName>
    <definedName name="curIpcProye9A" localSheetId="4">#REF!</definedName>
    <definedName name="curIpcProye9A" localSheetId="2">#REF!</definedName>
    <definedName name="curIpcProye9A">#REF!</definedName>
    <definedName name="CurIvaAccesorios">#REF!</definedName>
    <definedName name="CurKitCarretera">#REF!</definedName>
    <definedName name="CurMerchand">#REF!</definedName>
    <definedName name="CurMontoMinImptoTimbre">#REF!</definedName>
    <definedName name="CurPickup">#REF!</definedName>
    <definedName name="currency_code">#REF!</definedName>
    <definedName name="currency_conversion_factor">#REF!</definedName>
    <definedName name="CurSeguroCanon">#REF!</definedName>
    <definedName name="CurServicioGPSDelClienteMensual">#REF!</definedName>
    <definedName name="curSOAT1A">#REF!</definedName>
    <definedName name="CurStandby" localSheetId="4">#REF!</definedName>
    <definedName name="CurStandby" localSheetId="2">#REF!</definedName>
    <definedName name="CurStandby">#REF!</definedName>
    <definedName name="CurTramiteAnual" localSheetId="4">#REF!</definedName>
    <definedName name="CurTramiteAnual" localSheetId="2">#REF!</definedName>
    <definedName name="CurTramiteAnual">#REF!</definedName>
    <definedName name="CurTramTransito">#REF!</definedName>
    <definedName name="CurUtilidadNominal">#REF!</definedName>
    <definedName name="CurValorAccesConIva">#REF!</definedName>
    <definedName name="CurValorMinAccriosReventa">#REF!</definedName>
    <definedName name="CurVariable1">#REF!</definedName>
    <definedName name="CurVariable2">#REF!</definedName>
    <definedName name="CurVariable3">#REF!</definedName>
    <definedName name="CurVlrAsegurado">#REF!</definedName>
    <definedName name="CurVlrVentaVehCliente">#REF!</definedName>
    <definedName name="curVPN">#REF!</definedName>
    <definedName name="CurVrVehicPrecPubConIvaSinDtos">#REF!</definedName>
    <definedName name="CurVrVehícPrecPubConIvaSinDtos">#REF!</definedName>
    <definedName name="CUTOP">#REF!</definedName>
    <definedName name="Cv">#REF!</definedName>
    <definedName name="CV2.Daily_Tonnes">#REF!</definedName>
    <definedName name="CV2.Moisture">#REF!</definedName>
    <definedName name="cvcvcvcv" localSheetId="4">#REF!</definedName>
    <definedName name="cvcvcvcv" localSheetId="2">#REF!</definedName>
    <definedName name="cvcvcvcv">#REF!</definedName>
    <definedName name="cvfvd" localSheetId="4">#REF!</definedName>
    <definedName name="cvfvd" localSheetId="2">#REF!</definedName>
    <definedName name="cvfvd">#REF!</definedName>
    <definedName name="cvn" localSheetId="4">#REF!</definedName>
    <definedName name="cvn" localSheetId="2">#REF!</definedName>
    <definedName name="cvn">#REF!</definedName>
    <definedName name="CVXC" localSheetId="4">#REF!</definedName>
    <definedName name="CVXC" localSheetId="2">#REF!</definedName>
    <definedName name="CVXC">#REF!</definedName>
    <definedName name="Cw">#REF!</definedName>
    <definedName name="Cx">#REF!</definedName>
    <definedName name="cxcxcxc">#REF!</definedName>
    <definedName name="cxz">#REF!</definedName>
    <definedName name="Cy">#REF!</definedName>
    <definedName name="CYLL2">[10]BASE!$D$220</definedName>
    <definedName name="CZN_north_perc">50</definedName>
    <definedName name="CZN_south_perc">0</definedName>
    <definedName name="d">#REF!</definedName>
    <definedName name="DASD" localSheetId="4">#REF!</definedName>
    <definedName name="DASD" localSheetId="2">#REF!</definedName>
    <definedName name="DASD">#REF!</definedName>
    <definedName name="DAT">#REF!</definedName>
    <definedName name="Data">[49]Sheet1!$F$18:$H$977</definedName>
    <definedName name="Data_Base" localSheetId="4">#REF!</definedName>
    <definedName name="Data_Base" localSheetId="2">#REF!</definedName>
    <definedName name="Data_Base">#REF!</definedName>
    <definedName name="Date">[50]Constants!$B$9</definedName>
    <definedName name="DATOS">'[51]DATOS EPANET'!$A$5:$B$189</definedName>
    <definedName name="DATOS_CONTRATO">#REF!</definedName>
    <definedName name="datos1">'[52]Base de Diseño'!$A$1:$D$204</definedName>
    <definedName name="Days_in_Month">#REF!</definedName>
    <definedName name="dbfdfbi" localSheetId="4">#REF!</definedName>
    <definedName name="dbfdfbi" localSheetId="2">#REF!</definedName>
    <definedName name="dbfdfbi">#REF!</definedName>
    <definedName name="Dbgcm" localSheetId="4">#REF!</definedName>
    <definedName name="Dbgcm" localSheetId="2">#REF!</definedName>
    <definedName name="Dbgcm">#REF!</definedName>
    <definedName name="dblgarantiaExtendida">#REF!</definedName>
    <definedName name="dblPunRentabilidad">#REF!</definedName>
    <definedName name="dblUtilVehiculo">#REF!</definedName>
    <definedName name="dc">#REF!</definedName>
    <definedName name="Dcacm">#REF!</definedName>
    <definedName name="DCF">#REF!</definedName>
    <definedName name="DCSDCTV" localSheetId="4">#REF!</definedName>
    <definedName name="DCSDCTV" localSheetId="2">#REF!</definedName>
    <definedName name="DCSDCTV">#REF!</definedName>
    <definedName name="dd">#REF!</definedName>
    <definedName name="ddd" localSheetId="4">#REF!</definedName>
    <definedName name="ddd" localSheetId="2">#REF!</definedName>
    <definedName name="ddd">#REF!</definedName>
    <definedName name="ddddd" localSheetId="4">#REF!</definedName>
    <definedName name="ddddd" localSheetId="2">#REF!</definedName>
    <definedName name="ddddd">#REF!</definedName>
    <definedName name="ddddddddd" localSheetId="4">#REF!</definedName>
    <definedName name="ddddddddd" localSheetId="2">#REF!</definedName>
    <definedName name="ddddddddd">#REF!</definedName>
    <definedName name="ddddddddddddddd">#REF!</definedName>
    <definedName name="ddddt" localSheetId="4">#REF!</definedName>
    <definedName name="ddddt" localSheetId="2">#REF!</definedName>
    <definedName name="ddddt">#REF!</definedName>
    <definedName name="ddewdw" localSheetId="4">#REF!</definedName>
    <definedName name="ddewdw" localSheetId="2">#REF!</definedName>
    <definedName name="ddewdw">#REF!</definedName>
    <definedName name="ddfdh" localSheetId="4">#REF!</definedName>
    <definedName name="ddfdh" localSheetId="2">#REF!</definedName>
    <definedName name="ddfdh">#REF!</definedName>
    <definedName name="DDGSDP" localSheetId="4">#REF!</definedName>
    <definedName name="DDGSDP" localSheetId="2">#REF!</definedName>
    <definedName name="DDGSDP">#REF!</definedName>
    <definedName name="de">#REF!</definedName>
    <definedName name="Dealpb">#REF!</definedName>
    <definedName name="Debt_Purchase_Price_Funding">[53]CONTROL!$G$45</definedName>
    <definedName name="Debt_S5_EA_Sch" localSheetId="4">#REF!</definedName>
    <definedName name="Debt_S5_EA_Sch" localSheetId="2">#REF!</definedName>
    <definedName name="Debt_S5_EA_Sch">#REF!</definedName>
    <definedName name="Debt_S6_EA_Sch" localSheetId="4">#REF!</definedName>
    <definedName name="Debt_S6_EA_Sch" localSheetId="2">#REF!</definedName>
    <definedName name="Debt_S6_EA_Sch">#REF!</definedName>
    <definedName name="DEC">#REF!</definedName>
    <definedName name="decbs" localSheetId="4">#REF!</definedName>
    <definedName name="decbs" localSheetId="2">#REF!</definedName>
    <definedName name="decbs">#REF!</definedName>
    <definedName name="Decjv">#REF!</definedName>
    <definedName name="Decjv2">#REF!</definedName>
    <definedName name="deded" localSheetId="4">#REF!</definedName>
    <definedName name="deded" localSheetId="2">#REF!</definedName>
    <definedName name="deded">#REF!</definedName>
    <definedName name="default_leadtime">#REF!</definedName>
    <definedName name="defd" localSheetId="4">#REF!</definedName>
    <definedName name="defd" localSheetId="2">#REF!</definedName>
    <definedName name="defd">#REF!</definedName>
    <definedName name="DEMANDA">#REF!</definedName>
    <definedName name="demanto">#REF!</definedName>
    <definedName name="demolicion">#REF!</definedName>
    <definedName name="demolicioncuneta">#REF!</definedName>
    <definedName name="DENS">#REF!</definedName>
    <definedName name="densi">#REF!</definedName>
    <definedName name="densidad">#REF!</definedName>
    <definedName name="Dep_IAS_tot" localSheetId="4">#REF!</definedName>
    <definedName name="Dep_IAS_tot" localSheetId="2">#REF!</definedName>
    <definedName name="Dep_IAS_tot">#REF!</definedName>
    <definedName name="Department">'[54]REF - Listas'!$D$4:$D$12</definedName>
    <definedName name="Depreciation">#REF!</definedName>
    <definedName name="DepreciationPB">#REF!</definedName>
    <definedName name="DES">#REF!</definedName>
    <definedName name="DESC1">[55]ITEMS!$B$2</definedName>
    <definedName name="DESC521">[56]ITEMS!$B$522</definedName>
    <definedName name="Descripcion">#REF!</definedName>
    <definedName name="descripciones">[57]!tabla_precios[[#All],[DESCRIPCION ]]</definedName>
    <definedName name="description">#REF!</definedName>
    <definedName name="design">'[58]Design (3)'!$A$12:$CM$71</definedName>
    <definedName name="design2">[58]Design!$A$24:$CM$66</definedName>
    <definedName name="Designer" localSheetId="4">#REF!</definedName>
    <definedName name="Designer" localSheetId="2">#REF!</definedName>
    <definedName name="Designer">#REF!</definedName>
    <definedName name="DetailsBid1">#REF!</definedName>
    <definedName name="DetailsBid2">#REF!</definedName>
    <definedName name="DetailsBid3">#REF!</definedName>
    <definedName name="DetailsBid4" localSheetId="4">#REF!</definedName>
    <definedName name="DetailsBid4" localSheetId="2">#REF!</definedName>
    <definedName name="DetailsBid4">#REF!</definedName>
    <definedName name="DetailsBidRange">#REF!</definedName>
    <definedName name="deuda">[41]deuda!$A$1:$IV$65536</definedName>
    <definedName name="deuda2">[59]deuda!$A$1:$IV$65536</definedName>
    <definedName name="DEX" localSheetId="4">#REF!</definedName>
    <definedName name="DEX" localSheetId="2">#REF!</definedName>
    <definedName name="DEX">#REF!</definedName>
    <definedName name="df">#REF!</definedName>
    <definedName name="dfa" localSheetId="4">#REF!</definedName>
    <definedName name="dfa" localSheetId="2">#REF!</definedName>
    <definedName name="dfa">#REF!</definedName>
    <definedName name="dfasd" localSheetId="4">#REF!</definedName>
    <definedName name="dfasd" localSheetId="2">#REF!</definedName>
    <definedName name="dfasd">#REF!</definedName>
    <definedName name="DFBNJ" localSheetId="4">#REF!</definedName>
    <definedName name="DFBNJ" localSheetId="2">#REF!</definedName>
    <definedName name="DFBNJ">#REF!</definedName>
    <definedName name="dfcvc">#REF!</definedName>
    <definedName name="dfdaa">#REF!</definedName>
    <definedName name="dfdf">#REF!</definedName>
    <definedName name="dfds" localSheetId="4">#REF!</definedName>
    <definedName name="dfds" localSheetId="2">#REF!</definedName>
    <definedName name="dfds">#REF!</definedName>
    <definedName name="dfdsfi" localSheetId="4">#REF!</definedName>
    <definedName name="dfdsfi" localSheetId="2">#REF!</definedName>
    <definedName name="dfdsfi">#REF!</definedName>
    <definedName name="dffffe" localSheetId="4">#REF!</definedName>
    <definedName name="dffffe" localSheetId="2">#REF!</definedName>
    <definedName name="dffffe">#REF!</definedName>
    <definedName name="DFG" localSheetId="4">#REF!</definedName>
    <definedName name="DFG" localSheetId="2">#REF!</definedName>
    <definedName name="DFG">#REF!</definedName>
    <definedName name="DFGBHJ" localSheetId="4">#REF!</definedName>
    <definedName name="DFGBHJ" localSheetId="2">#REF!</definedName>
    <definedName name="DFGBHJ">#REF!</definedName>
    <definedName name="DFGDFG" localSheetId="4">#REF!</definedName>
    <definedName name="DFGDFG" localSheetId="2">#REF!</definedName>
    <definedName name="DFGDFG">#REF!</definedName>
    <definedName name="DFGDYYB" localSheetId="4">#REF!</definedName>
    <definedName name="DFGDYYB" localSheetId="2">#REF!</definedName>
    <definedName name="DFGDYYB">#REF!</definedName>
    <definedName name="dfgf" localSheetId="4">#REF!</definedName>
    <definedName name="dfgf" localSheetId="2">#REF!</definedName>
    <definedName name="dfgf">#REF!</definedName>
    <definedName name="DFGFBOP" localSheetId="4">#REF!</definedName>
    <definedName name="DFGFBOP" localSheetId="2">#REF!</definedName>
    <definedName name="DFGFBOP">#REF!</definedName>
    <definedName name="DFGFDG" localSheetId="4">#REF!</definedName>
    <definedName name="DFGFDG" localSheetId="2">#REF!</definedName>
    <definedName name="DFGFDG">#REF!</definedName>
    <definedName name="DFGV" localSheetId="4">#REF!</definedName>
    <definedName name="DFGV" localSheetId="2">#REF!</definedName>
    <definedName name="DFGV">#REF!</definedName>
    <definedName name="dfgypuj" localSheetId="4">#REF!</definedName>
    <definedName name="dfgypuj" localSheetId="2">#REF!</definedName>
    <definedName name="dfgypuj">#REF!</definedName>
    <definedName name="dfh" localSheetId="4">#REF!</definedName>
    <definedName name="dfh" localSheetId="2">#REF!</definedName>
    <definedName name="dfh">#REF!</definedName>
    <definedName name="dfhdr" localSheetId="4">#REF!</definedName>
    <definedName name="dfhdr" localSheetId="2">#REF!</definedName>
    <definedName name="dfhdr">#REF!</definedName>
    <definedName name="dfhgh" localSheetId="4">#REF!</definedName>
    <definedName name="dfhgh" localSheetId="2">#REF!</definedName>
    <definedName name="dfhgh">#REF!</definedName>
    <definedName name="dfj" localSheetId="4">#REF!</definedName>
    <definedName name="dfj" localSheetId="2">#REF!</definedName>
    <definedName name="dfj">#REF!</definedName>
    <definedName name="DFRFRF" localSheetId="4">#REF!</definedName>
    <definedName name="DFRFRF" localSheetId="2">#REF!</definedName>
    <definedName name="DFRFRF">#REF!</definedName>
    <definedName name="DFVUI" localSheetId="4">#REF!</definedName>
    <definedName name="DFVUI" localSheetId="2">#REF!</definedName>
    <definedName name="DFVUI">#REF!</definedName>
    <definedName name="dg" localSheetId="4">#REF!</definedName>
    <definedName name="dg" localSheetId="2">#REF!</definedName>
    <definedName name="dg">#REF!</definedName>
    <definedName name="dgd" localSheetId="4">#REF!</definedName>
    <definedName name="dgd" localSheetId="2">#REF!</definedName>
    <definedName name="dgd">#REF!</definedName>
    <definedName name="dgdgr" localSheetId="4">#REF!</definedName>
    <definedName name="dgdgr" localSheetId="2">#REF!</definedName>
    <definedName name="dgdgr">#REF!</definedName>
    <definedName name="dgfd" localSheetId="4">#REF!</definedName>
    <definedName name="dgfd" localSheetId="2">#REF!</definedName>
    <definedName name="dgfd">#REF!</definedName>
    <definedName name="DGFDFVSDF" localSheetId="4">#REF!</definedName>
    <definedName name="DGFDFVSDF" localSheetId="2">#REF!</definedName>
    <definedName name="DGFDFVSDF">#REF!</definedName>
    <definedName name="dgfdg" localSheetId="4">#REF!</definedName>
    <definedName name="dgfdg" localSheetId="2">#REF!</definedName>
    <definedName name="dgfdg">#REF!</definedName>
    <definedName name="DGFG" localSheetId="4">#REF!</definedName>
    <definedName name="DGFG" localSheetId="2">#REF!</definedName>
    <definedName name="DGFG">#REF!</definedName>
    <definedName name="dgfsado" localSheetId="4">#REF!</definedName>
    <definedName name="dgfsado" localSheetId="2">#REF!</definedName>
    <definedName name="dgfsado">#REF!</definedName>
    <definedName name="dghfs">#REF!</definedName>
    <definedName name="dgrdeb" localSheetId="4">#REF!</definedName>
    <definedName name="dgrdeb" localSheetId="2">#REF!</definedName>
    <definedName name="dgrdeb">#REF!</definedName>
    <definedName name="dgreg" localSheetId="4">#REF!</definedName>
    <definedName name="dgreg" localSheetId="2">#REF!</definedName>
    <definedName name="dgreg">#REF!</definedName>
    <definedName name="DH" localSheetId="4">#REF!</definedName>
    <definedName name="DH" localSheetId="2">#REF!</definedName>
    <definedName name="DH">#REF!</definedName>
    <definedName name="dhdth" localSheetId="4">#REF!</definedName>
    <definedName name="dhdth" localSheetId="2">#REF!</definedName>
    <definedName name="dhdth">#REF!</definedName>
    <definedName name="dhgh" localSheetId="4">#REF!</definedName>
    <definedName name="dhgh" localSheetId="2">#REF!</definedName>
    <definedName name="dhgh">#REF!</definedName>
    <definedName name="di">#REF!</definedName>
    <definedName name="dia24hr">#REF!</definedName>
    <definedName name="diametros">#REF!</definedName>
    <definedName name="dias">#REF!</definedName>
    <definedName name="DIAS_DEL_MES">#REF!</definedName>
    <definedName name="dias_semana">#REF!</definedName>
    <definedName name="Dias_semanales" localSheetId="4">#REF!</definedName>
    <definedName name="Dias_semanales" localSheetId="2">#REF!</definedName>
    <definedName name="Dias_semanales">#REF!</definedName>
    <definedName name="DIAS_SEMANAS">#REF!</definedName>
    <definedName name="DIASDELMES">#REF!</definedName>
    <definedName name="DIASROTACION">#REF!</definedName>
    <definedName name="DiasSupuestosCierre">#REF!</definedName>
    <definedName name="dic00">[6]Dólar!#REF!</definedName>
    <definedName name="diego">#REF!</definedName>
    <definedName name="diego1" localSheetId="4">#REF!</definedName>
    <definedName name="diego1" localSheetId="2">#REF!</definedName>
    <definedName name="diego1">#REF!</definedName>
    <definedName name="DIRECTO1" localSheetId="4">APU!$U$132</definedName>
    <definedName name="DIRECTO1">[60]APU!$U$132</definedName>
    <definedName name="DIRECTO10" localSheetId="4">APU!$U$681</definedName>
    <definedName name="DIRECTO10">[60]APU!$U$681</definedName>
    <definedName name="DIRECTO100" localSheetId="4">APU!$U$5189</definedName>
    <definedName name="DIRECTO100">[60]APU!$U$6171</definedName>
    <definedName name="DIRECTO101" localSheetId="4">APU!$U$5250</definedName>
    <definedName name="DIRECTO101">[60]APU!$U$6232</definedName>
    <definedName name="DIRECTO102" localSheetId="4">APU!#REF!</definedName>
    <definedName name="DIRECTO102">[60]APU!$U$6293</definedName>
    <definedName name="DIRECTO103" localSheetId="4">APU!$U$5308</definedName>
    <definedName name="DIRECTO103">[60]APU!$U$6354</definedName>
    <definedName name="DIRECTO104" localSheetId="4">APU!$U$5369</definedName>
    <definedName name="DIRECTO104">[60]APU!$U$6415</definedName>
    <definedName name="DIRECTO105" localSheetId="4">APU!$U$5430</definedName>
    <definedName name="DIRECTO105">[60]APU!$U$6476</definedName>
    <definedName name="DIRECTO11" localSheetId="4">APU!$U$799</definedName>
    <definedName name="DIRECTO11">[60]APU!$U$742</definedName>
    <definedName name="DIRECTO12" localSheetId="4">APU!$U$860</definedName>
    <definedName name="DIRECTO12">[60]APU!$U$803</definedName>
    <definedName name="DIRECTO124" localSheetId="4">APU!$U$6531</definedName>
    <definedName name="DIRECTO124">[60]APU!$U$7635</definedName>
    <definedName name="DIRECTO125" localSheetId="4">APU!$U$6592</definedName>
    <definedName name="DIRECTO125">[60]APU!$U$7696</definedName>
    <definedName name="DIRECTO126" localSheetId="4">APU!$U$6653</definedName>
    <definedName name="DIRECTO126">[60]APU!$U$7757</definedName>
    <definedName name="DIRECTO127" localSheetId="4">APU!$U$6714</definedName>
    <definedName name="DIRECTO127">[60]APU!$U$7818</definedName>
    <definedName name="DIRECTO128" localSheetId="4">APU!$U$6775</definedName>
    <definedName name="DIRECTO128">[60]APU!$U$7879</definedName>
    <definedName name="DIRECTO129" localSheetId="4">APU!$U$6836</definedName>
    <definedName name="DIRECTO129">[60]APU!$U$7940</definedName>
    <definedName name="DIRECTO13" localSheetId="4">APU!$U$921</definedName>
    <definedName name="DIRECTO13">[60]APU!$U$864</definedName>
    <definedName name="DIRECTO130" localSheetId="4">APU!$U$6897</definedName>
    <definedName name="DIRECTO130">[60]APU!$U$8001</definedName>
    <definedName name="DIRECTO131" localSheetId="4">APU!$U$6958</definedName>
    <definedName name="DIRECTO131">[60]APU!$U$8062</definedName>
    <definedName name="DIRECTO132" localSheetId="4">APU!$U$7019</definedName>
    <definedName name="DIRECTO132">[60]APU!$U$8123</definedName>
    <definedName name="DIRECTO133" localSheetId="4">APU!$U$7080</definedName>
    <definedName name="DIRECTO133">[60]APU!$U$8184</definedName>
    <definedName name="DIRECTO134" localSheetId="4">APU!$U$7141</definedName>
    <definedName name="DIRECTO134">[60]APU!$U$8245</definedName>
    <definedName name="DIRECTO14" localSheetId="4">APU!$U$982</definedName>
    <definedName name="DIRECTO14">[60]APU!$U$925</definedName>
    <definedName name="DIRECTO15" localSheetId="4">APU!$U$1043</definedName>
    <definedName name="DIRECTO15">[60]APU!$U$986</definedName>
    <definedName name="DIRECTO16" localSheetId="4">APU!$U$1104</definedName>
    <definedName name="DIRECTO16">[60]APU!$U$1047</definedName>
    <definedName name="DIRECTO17" localSheetId="4">APU!$U$1165</definedName>
    <definedName name="DIRECTO17">[60]APU!$U$1108</definedName>
    <definedName name="DIRECTO18" localSheetId="4">APU!$U$1226</definedName>
    <definedName name="DIRECTO18">[60]APU!$U$1169</definedName>
    <definedName name="DIRECTO2" localSheetId="4">APU!$U$193</definedName>
    <definedName name="DIRECTO2">[60]APU!$U$193</definedName>
    <definedName name="DIRECTO2.10" localSheetId="4">APU!$U$13725</definedName>
    <definedName name="DIRECTO2.10">[60]APU!$U$14889</definedName>
    <definedName name="DIRECTO2.11" localSheetId="4">APU!$U$13786</definedName>
    <definedName name="DIRECTO2.11">[60]APU!$U$14950</definedName>
    <definedName name="DIRECTO2.12" localSheetId="4">APU!$U$13847</definedName>
    <definedName name="DIRECTO2.12">[60]APU!$U$15011</definedName>
    <definedName name="DIRECTO2.9" localSheetId="4">APU!$U$10675</definedName>
    <definedName name="DIRECTO2.9">[60]APU!$U$11839</definedName>
    <definedName name="DIRECTO21" localSheetId="4">APU!$U$1409</definedName>
    <definedName name="DIRECTO21">[60]APU!$U$1352</definedName>
    <definedName name="DIRECTO22" localSheetId="4">APU!$U$1470</definedName>
    <definedName name="DIRECTO22">[60]APU!$U$1413</definedName>
    <definedName name="DIRECTO23" localSheetId="4">APU!$U$1531</definedName>
    <definedName name="DIRECTO23">[60]APU!$U$1474</definedName>
    <definedName name="DIRECTO24" localSheetId="4">APU!$U$1592</definedName>
    <definedName name="DIRECTO24">[60]APU!$U$1535</definedName>
    <definedName name="DIRECTO25" localSheetId="4">APU!$U$1653</definedName>
    <definedName name="DIRECTO25">[60]APU!$U$1596</definedName>
    <definedName name="DIRECTO26" localSheetId="4">APU!$U$1714</definedName>
    <definedName name="DIRECTO26">[60]APU!$U$1657</definedName>
    <definedName name="DIRECTO27" localSheetId="4">APU!$U$1775</definedName>
    <definedName name="DIRECTO27">[60]APU!$U$1718</definedName>
    <definedName name="DIRECTO28" localSheetId="4">APU!$U$1836</definedName>
    <definedName name="DIRECTO28">[60]APU!$U$1779</definedName>
    <definedName name="DIRECTO29" localSheetId="4">APU!$U$1897</definedName>
    <definedName name="DIRECTO29">[60]APU!$U$1840</definedName>
    <definedName name="DIRECTO3" localSheetId="4">APU!$U$254</definedName>
    <definedName name="DIRECTO3">[60]APU!$U$254</definedName>
    <definedName name="DIRECTO3.15" localSheetId="4">APU!$U$7563</definedName>
    <definedName name="DIRECTO3.15">[60]APU!$U$8667</definedName>
    <definedName name="DIRECTO3.16" localSheetId="4">APU!$U$7624</definedName>
    <definedName name="DIRECTO3.16">[60]APU!$U$8728</definedName>
    <definedName name="DIRECTO3.17" localSheetId="4">APU!$U$7685</definedName>
    <definedName name="DIRECTO3.17">[60]APU!$U$8789</definedName>
    <definedName name="DIRECTO3.18" localSheetId="4">APU!$U$7746</definedName>
    <definedName name="DIRECTO3.18">[60]APU!$U$8850</definedName>
    <definedName name="DIRECTO3.19" localSheetId="4">APU!$U$7807</definedName>
    <definedName name="DIRECTO3.19">[60]APU!$U$8911</definedName>
    <definedName name="DIRECTO3.20" localSheetId="4">APU!$U$7868</definedName>
    <definedName name="DIRECTO3.20">[60]APU!$U$8972</definedName>
    <definedName name="DIRECTO3.21" localSheetId="4">APU!$U$10797</definedName>
    <definedName name="DIRECTO3.21">[60]APU!$U$11961</definedName>
    <definedName name="DIRECTO3.22" localSheetId="4">APU!$U$13356</definedName>
    <definedName name="DIRECTO3.22">[60]APU!$U$14523</definedName>
    <definedName name="DIRECTO3.23" localSheetId="4">APU!$U$13969</definedName>
    <definedName name="DIRECTO3.23">[60]APU!$U$15133</definedName>
    <definedName name="DIRECTO3.24" localSheetId="4">APU!$U$15128</definedName>
    <definedName name="DIRECTO3.24">[60]APU!$U$16292</definedName>
    <definedName name="DIRECTO3.25" localSheetId="4">APU!$U$15189</definedName>
    <definedName name="DIRECTO3.25">[60]APU!$U$16353</definedName>
    <definedName name="DIRECTO3.26" localSheetId="4">APU!$U$15250</definedName>
    <definedName name="DIRECTO3.26">[60]APU!$U$16414</definedName>
    <definedName name="DIRECTO3.27" localSheetId="4">APU!$U$15311</definedName>
    <definedName name="DIRECTO3.27">[60]APU!$U$16475</definedName>
    <definedName name="DIRECTO3.28" localSheetId="4">APU!$U$15372</definedName>
    <definedName name="DIRECTO3.28">[60]APU!$U$16536</definedName>
    <definedName name="DIRECTO30" localSheetId="4">APU!$U$1958</definedName>
    <definedName name="DIRECTO30">[60]APU!$U$1901</definedName>
    <definedName name="DIRECTO31" localSheetId="4">APU!$U$2019</definedName>
    <definedName name="DIRECTO31">[60]APU!$U$1962</definedName>
    <definedName name="DIRECTO32" localSheetId="4">APU!$U$2080</definedName>
    <definedName name="DIRECTO32">[60]APU!$U$2023</definedName>
    <definedName name="DIRECTO33" localSheetId="4">APU!$U$2141</definedName>
    <definedName name="DIRECTO33">[60]APU!$U$2084</definedName>
    <definedName name="DIRECTO34" localSheetId="4">APU!$U$2202</definedName>
    <definedName name="DIRECTO34">[60]APU!$U$2145</definedName>
    <definedName name="DIRECTO35" localSheetId="4">APU!$U$2263</definedName>
    <definedName name="DIRECTO35">[60]APU!$U$2206</definedName>
    <definedName name="DIRECTO36" localSheetId="4">APU!$U$2324</definedName>
    <definedName name="DIRECTO36">[60]APU!$U$2267</definedName>
    <definedName name="DIRECTO37" localSheetId="4">APU!$U$2385</definedName>
    <definedName name="DIRECTO37">[60]APU!$U$2328</definedName>
    <definedName name="DIRECTO38" localSheetId="4">APU!$U$2446</definedName>
    <definedName name="DIRECTO38">[60]APU!$U$2389</definedName>
    <definedName name="DIRECTO39" localSheetId="4">APU!$U$2507</definedName>
    <definedName name="DIRECTO39">[60]APU!$U$2450</definedName>
    <definedName name="DIRECTO4" localSheetId="4">APU!$U$315</definedName>
    <definedName name="DIRECTO4">[60]APU!$U$315</definedName>
    <definedName name="DIRECTO4.20" localSheetId="4">APU!$U$8112</definedName>
    <definedName name="DIRECTO4.20">[60]APU!$U$9216</definedName>
    <definedName name="DIRECTO4.21" localSheetId="4">APU!$U$8173</definedName>
    <definedName name="DIRECTO4.21">[60]APU!$U$9277</definedName>
    <definedName name="DIRECTO4.22" localSheetId="4">APU!$U$8234</definedName>
    <definedName name="DIRECTO4.22">[60]APU!$U$9338</definedName>
    <definedName name="DIRECTO4.23" localSheetId="4">APU!$U$8295</definedName>
    <definedName name="DIRECTO4.23">[60]APU!$U$9399</definedName>
    <definedName name="DIRECTO4.24" localSheetId="4">APU!#REF!</definedName>
    <definedName name="DIRECTO4.24">[60]APU!$U$9460</definedName>
    <definedName name="DIRECTO4.25" localSheetId="4">APU!$U$8360</definedName>
    <definedName name="DIRECTO4.25">[60]APU!$U$9521</definedName>
    <definedName name="DIRECTO4.26" localSheetId="4">APU!$U$8421</definedName>
    <definedName name="DIRECTO4.26">[60]APU!$U$9582</definedName>
    <definedName name="DIRECTO4.27" localSheetId="4">APU!$U$8482</definedName>
    <definedName name="DIRECTO4.27">[60]APU!$U$9643</definedName>
    <definedName name="DIRECTO4.28" localSheetId="4">APU!$U$8543</definedName>
    <definedName name="DIRECTO4.28">[60]APU!$U$9704</definedName>
    <definedName name="DIRECTO4.29" localSheetId="4">APU!$U$8604</definedName>
    <definedName name="DIRECTO4.29">[60]APU!$U$9765</definedName>
    <definedName name="DIRECTO4.30" localSheetId="4">APU!$U$8665</definedName>
    <definedName name="DIRECTO4.30">[60]APU!$U$9826</definedName>
    <definedName name="DIRECTO4.31" localSheetId="4">APU!$U$8726</definedName>
    <definedName name="DIRECTO4.31">[60]APU!$U$9887</definedName>
    <definedName name="DIRECTO4.32" localSheetId="4">APU!$U$8787</definedName>
    <definedName name="DIRECTO4.32">[60]APU!$U$9948</definedName>
    <definedName name="DIRECTO4.33" localSheetId="4">APU!$U$8848</definedName>
    <definedName name="DIRECTO4.33">[60]APU!$U$10009</definedName>
    <definedName name="DIRECTO4.34" localSheetId="4">APU!$U$8909</definedName>
    <definedName name="DIRECTO4.34">[60]APU!$U$10070</definedName>
    <definedName name="DIRECTO4.35" localSheetId="4">APU!$U$10431</definedName>
    <definedName name="DIRECTO4.35">[60]APU!$U$11595</definedName>
    <definedName name="DIRECTO4.36" localSheetId="4">APU!$U$10492</definedName>
    <definedName name="DIRECTO4.36">[60]APU!$U$11656</definedName>
    <definedName name="DIRECTO4.37" localSheetId="4">APU!$U$14823</definedName>
    <definedName name="DIRECTO4.37">[60]APU!$U$15987</definedName>
    <definedName name="DIRECTO4.38" localSheetId="4">APU!$U$14030</definedName>
    <definedName name="DIRECTO4.38">[60]APU!$U$15194</definedName>
    <definedName name="DIRECTO4.39" localSheetId="4">APU!$U$13112</definedName>
    <definedName name="DIRECTO4.39">[60]APU!$U$14279</definedName>
    <definedName name="DIRECTO4.40" localSheetId="4">APU!$U$13173</definedName>
    <definedName name="DIRECTO4.40">[60]APU!$U$14340</definedName>
    <definedName name="DIRECTO4.41" localSheetId="4">APU!$U$13234</definedName>
    <definedName name="DIRECTO4.41">[60]APU!$U$14401</definedName>
    <definedName name="DIRECTO4.42" localSheetId="4">APU!$U$13295</definedName>
    <definedName name="DIRECTO4.42">[60]APU!$U$14462</definedName>
    <definedName name="DIRECTO4.43" localSheetId="4">APU!$U$13420</definedName>
    <definedName name="DIRECTO4.43">[60]APU!$U$14584</definedName>
    <definedName name="DIRECTO4.44" localSheetId="4">APU!$U$14884</definedName>
    <definedName name="DIRECTO4.44">[60]APU!$U$16048</definedName>
    <definedName name="DIRECTO4.45" localSheetId="4">APU!$U$14945</definedName>
    <definedName name="DIRECTO4.45">[60]APU!$U$16109</definedName>
    <definedName name="DIRECTO4.46" localSheetId="4">APU!$U$13542</definedName>
    <definedName name="DIRECTO4.46">[60]APU!$U$14706</definedName>
    <definedName name="DIRECTO4.47" localSheetId="4">APU!$U$14762</definedName>
    <definedName name="DIRECTO4.47">[60]APU!$U$15926</definedName>
    <definedName name="DIRECTO4.48" localSheetId="4">APU!$U$15006</definedName>
    <definedName name="DIRECTO4.48">[60]APU!$U$16170</definedName>
    <definedName name="DIRECTO4.49" localSheetId="4">APU!$U$15067</definedName>
    <definedName name="DIRECTO4.49">[60]APU!$U$16231</definedName>
    <definedName name="DIRECTO4.50" localSheetId="4">APU!$U$15738</definedName>
    <definedName name="DIRECTO4.50">[60]APU!$U$16902</definedName>
    <definedName name="DIRECTO4.51" localSheetId="4">APU!$U$16470</definedName>
    <definedName name="DIRECTO4.51">[60]APU!$U$17634</definedName>
    <definedName name="DIRECTO4.52" localSheetId="4">APU!$U$16531</definedName>
    <definedName name="DIRECTO4.52">[60]APU!$U$17695</definedName>
    <definedName name="DIRECTO40" localSheetId="4">APU!$U$2568</definedName>
    <definedName name="DIRECTO40">[60]APU!$U$2511</definedName>
    <definedName name="DIRECTO41" localSheetId="4">APU!$U$2629</definedName>
    <definedName name="DIRECTO41">[60]APU!$U$2572</definedName>
    <definedName name="DIRECTO42" localSheetId="4">APU!$U$2690</definedName>
    <definedName name="DIRECTO42">[60]APU!$U$2633</definedName>
    <definedName name="DIRECTO43" localSheetId="4">APU!$U$2751</definedName>
    <definedName name="DIRECTO43">[60]APU!$U$2694</definedName>
    <definedName name="DIRECTO44" localSheetId="4">APU!$U$2812</definedName>
    <definedName name="DIRECTO44">[60]APU!$U$2755</definedName>
    <definedName name="DIRECTO45" localSheetId="4">APU!$U$2873</definedName>
    <definedName name="DIRECTO45">[60]APU!$U$2816</definedName>
    <definedName name="DIRECTO46" localSheetId="4">APU!$U$2934</definedName>
    <definedName name="DIRECTO46">[60]APU!$U$2877</definedName>
    <definedName name="DIRECTO47" localSheetId="4">APU!$U$2995</definedName>
    <definedName name="DIRECTO47">[60]APU!$U$2938</definedName>
    <definedName name="DIRECTO48" localSheetId="4">APU!$U$3056</definedName>
    <definedName name="DIRECTO48">[60]APU!$U$2999</definedName>
    <definedName name="DIRECTO49" localSheetId="4">APU!$U$3117</definedName>
    <definedName name="DIRECTO49">[60]APU!$U$3060</definedName>
    <definedName name="DIRECTO5" localSheetId="4">APU!$U$376</definedName>
    <definedName name="DIRECTO5">[60]APU!$U$376</definedName>
    <definedName name="DIRECTO5.100" localSheetId="4">APU!$U$11284</definedName>
    <definedName name="DIRECTO5.100">[60]APU!$U$12449</definedName>
    <definedName name="DIRECTO5.101" localSheetId="4">APU!$U$11345</definedName>
    <definedName name="DIRECTO5.101">[60]APU!$U$12510</definedName>
    <definedName name="DIRECTO5.104" localSheetId="4">APU!$U$11406</definedName>
    <definedName name="DIRECTO5.104">[60]APU!$U$12571</definedName>
    <definedName name="DIRECTO5.105" localSheetId="4">APU!$U$11467</definedName>
    <definedName name="DIRECTO5.105">[60]APU!$U$12632</definedName>
    <definedName name="DIRECTO5.106" localSheetId="4">APU!$U$11528</definedName>
    <definedName name="DIRECTO5.106">[60]APU!$U$12693</definedName>
    <definedName name="DIRECTO5.107" localSheetId="4">APU!$U$11588</definedName>
    <definedName name="DIRECTO5.107">[60]APU!$U$12754</definedName>
    <definedName name="DIRECTO5.108" localSheetId="4">APU!$U$11649</definedName>
    <definedName name="DIRECTO5.108">[60]APU!$U$12815</definedName>
    <definedName name="DIRECTO5.109" localSheetId="4">APU!$U$11710</definedName>
    <definedName name="DIRECTO5.109">[60]APU!$U$12876</definedName>
    <definedName name="DIRECTO5.111" localSheetId="4">APU!$U$11771</definedName>
    <definedName name="DIRECTO5.111">[60]APU!$U$12937</definedName>
    <definedName name="DIRECTO5.112" localSheetId="4">APU!$U$11832</definedName>
    <definedName name="DIRECTO5.112">[60]APU!$U$12998</definedName>
    <definedName name="DIRECTO5.113" localSheetId="4">APU!$U$13603</definedName>
    <definedName name="DIRECTO5.113">[60]APU!$U$14767</definedName>
    <definedName name="DIRECTO5.114" localSheetId="4">APU!$U$13664</definedName>
    <definedName name="DIRECTO5.114">[60]APU!$U$14828</definedName>
    <definedName name="DIRECTO5.115" localSheetId="4">APU!$U$13908</definedName>
    <definedName name="DIRECTO5.115">[60]APU!$U$15072</definedName>
    <definedName name="DIRECTO5.53" localSheetId="4">APU!$U$8970</definedName>
    <definedName name="DIRECTO5.53">[60]APU!$U$10131</definedName>
    <definedName name="DIRECTO5.54" localSheetId="4">APU!$U$9135</definedName>
    <definedName name="DIRECTO5.54">[60]APU!$U$10192</definedName>
    <definedName name="DIRECTO5.55" localSheetId="4">APU!$U$9196</definedName>
    <definedName name="DIRECTO5.55">[60]APU!$U$10253</definedName>
    <definedName name="DIRECTO5.56" localSheetId="4">APU!$U$9257</definedName>
    <definedName name="DIRECTO5.56">[60]APU!$U$10314</definedName>
    <definedName name="DIRECTO5.57" localSheetId="4">APU!$U$9318</definedName>
    <definedName name="DIRECTO5.57">[60]APU!$U$10375</definedName>
    <definedName name="DIRECTO5.58" localSheetId="4">APU!$U$9379</definedName>
    <definedName name="DIRECTO5.58">[60]APU!$U$10436</definedName>
    <definedName name="DIRECTO5.59" localSheetId="4">APU!$U$9440</definedName>
    <definedName name="DIRECTO5.59">[60]APU!$U$10497</definedName>
    <definedName name="DIRECTO5.60" localSheetId="4">APU!$U$9501</definedName>
    <definedName name="DIRECTO5.60">[60]APU!$U$10558</definedName>
    <definedName name="DIRECTO5.61" localSheetId="4">APU!$U$9562</definedName>
    <definedName name="DIRECTO5.61">[60]APU!$U$10619</definedName>
    <definedName name="DIRECTO5.62" localSheetId="4">APU!$U$9623</definedName>
    <definedName name="DIRECTO5.62">[60]APU!$U$10680</definedName>
    <definedName name="DIRECTO5.63" localSheetId="4">APU!$U$9684</definedName>
    <definedName name="DIRECTO5.63">[60]APU!$U$10741</definedName>
    <definedName name="DIRECTO5.64" localSheetId="4">APU!$U$9745</definedName>
    <definedName name="DIRECTO5.64">[60]APU!$U$10802</definedName>
    <definedName name="DIRECTO5.65" localSheetId="4">APU!$U$9806</definedName>
    <definedName name="DIRECTO5.65">[60]APU!$U$10863</definedName>
    <definedName name="DIRECTO5.66" localSheetId="4">APU!$U$9867</definedName>
    <definedName name="DIRECTO5.66">[60]APU!$U$10924</definedName>
    <definedName name="DIRECTO5.67" localSheetId="4">APU!$U$9928</definedName>
    <definedName name="DIRECTO5.67">[60]APU!$U$10985</definedName>
    <definedName name="DIRECTO5.68" localSheetId="4">APU!$U$9989</definedName>
    <definedName name="DIRECTO5.68">[60]APU!$U$11046</definedName>
    <definedName name="DIRECTO5.69" localSheetId="4">APU!#REF!</definedName>
    <definedName name="DIRECTO5.69">[60]APU!$U$11107</definedName>
    <definedName name="DIRECTO5.70" localSheetId="4">APU!#REF!</definedName>
    <definedName name="DIRECTO5.70">[60]APU!$U$11168</definedName>
    <definedName name="DIRECTO5.71" localSheetId="4">APU!$U$10065</definedName>
    <definedName name="DIRECTO5.71">[60]APU!$U$11229</definedName>
    <definedName name="DIRECTO5.72" localSheetId="4">APU!$U$10858</definedName>
    <definedName name="DIRECTO5.72">[60]APU!$U$12022</definedName>
    <definedName name="DIRECTO5.73" localSheetId="4">APU!$U$10919</definedName>
    <definedName name="DIRECTO5.73">[60]APU!$U$12083</definedName>
    <definedName name="DIRECTO5.74" localSheetId="4">APU!$U$10980</definedName>
    <definedName name="DIRECTO5.74">[60]APU!$U$12144</definedName>
    <definedName name="DIRECTO5.77" localSheetId="4">APU!$U$11040</definedName>
    <definedName name="DIRECTO5.77">[60]APU!$U$12205</definedName>
    <definedName name="DIRECTO5.78" localSheetId="4">APU!$U$11159</definedName>
    <definedName name="DIRECTO5.78">[60]APU!$U$12327</definedName>
    <definedName name="DIRECTO5.79" localSheetId="4">APU!$U$11220</definedName>
    <definedName name="DIRECTO5.79">[60]APU!$U$12388</definedName>
    <definedName name="DIRECTO5.80" localSheetId="4">APU!$U$11095</definedName>
    <definedName name="DIRECTO5.80">[60]APU!$U$12266</definedName>
    <definedName name="DIRECTO5.82" localSheetId="4">APU!$U$12868</definedName>
    <definedName name="DIRECTO5.82">[60]APU!$U$14035</definedName>
    <definedName name="DIRECTO5.83" localSheetId="4">APU!$U$12929</definedName>
    <definedName name="DIRECTO5.83">[60]APU!$U$14096</definedName>
    <definedName name="DIRECTO5.84" localSheetId="4">APU!$U$12198</definedName>
    <definedName name="DIRECTO5.84">[60]APU!$U$13364</definedName>
    <definedName name="DIRECTO5.85" localSheetId="4">APU!$U$12259</definedName>
    <definedName name="DIRECTO5.85">[60]APU!$U$13425</definedName>
    <definedName name="DIRECTO5.86" localSheetId="4">APU!$U$12320</definedName>
    <definedName name="DIRECTO5.86">[60]APU!$U$13486</definedName>
    <definedName name="DIRECTO5.87" localSheetId="4">APU!$U$12380</definedName>
    <definedName name="DIRECTO5.87">[60]APU!$U$13547</definedName>
    <definedName name="DIRECTO5.88" localSheetId="4">APU!$U$12441</definedName>
    <definedName name="DIRECTO5.88">[60]APU!$U$13608</definedName>
    <definedName name="DIRECTO5.89" localSheetId="4">APU!$U$12502</definedName>
    <definedName name="DIRECTO5.89">[60]APU!$U$13669</definedName>
    <definedName name="DIRECTO5.90" localSheetId="4">APU!$U$12563</definedName>
    <definedName name="DIRECTO5.90">[60]APU!$U$13730</definedName>
    <definedName name="DIRECTO5.91" localSheetId="4">APU!$U$12624</definedName>
    <definedName name="DIRECTO5.91">[60]APU!$U$13791</definedName>
    <definedName name="DIRECTO5.92" localSheetId="4">APU!$U$12685</definedName>
    <definedName name="DIRECTO5.92">[60]APU!$U$13852</definedName>
    <definedName name="DIRECTO5.93" localSheetId="4">APU!$U$12746</definedName>
    <definedName name="DIRECTO5.93">[60]APU!$U$13913</definedName>
    <definedName name="DIRECTO5.94" localSheetId="4">APU!$U$12807</definedName>
    <definedName name="DIRECTO5.94">[60]APU!$U$13974</definedName>
    <definedName name="DIRECTO5.95" localSheetId="4">APU!$U$11893</definedName>
    <definedName name="DIRECTO5.95">[60]APU!$U$13059</definedName>
    <definedName name="DIRECTO5.96" localSheetId="4">APU!$U$11954</definedName>
    <definedName name="DIRECTO5.96">[60]APU!$U$13120</definedName>
    <definedName name="DIRECTO5.97" localSheetId="4">APU!$U$12015</definedName>
    <definedName name="DIRECTO5.97">[60]APU!$U$13181</definedName>
    <definedName name="DIRECTO5.98" localSheetId="4">APU!$U$12076</definedName>
    <definedName name="DIRECTO5.98">[60]APU!$U$13242</definedName>
    <definedName name="DIRECTO5.99" localSheetId="4">APU!$U$12137</definedName>
    <definedName name="DIRECTO5.99">[60]APU!$U$13303</definedName>
    <definedName name="DIRECTO50" localSheetId="4">APU!$U$3227</definedName>
    <definedName name="DIRECTO50">[60]APU!$U$3121</definedName>
    <definedName name="DIRECTO51" localSheetId="4">APU!$U$3288</definedName>
    <definedName name="DIRECTO51">[60]APU!$U$3182</definedName>
    <definedName name="DIRECTO52" localSheetId="4">APU!$U$3349</definedName>
    <definedName name="DIRECTO52">[60]APU!$U$3243</definedName>
    <definedName name="DIRECTO53" localSheetId="4">APU!$U$3410</definedName>
    <definedName name="DIRECTO53">[60]APU!$U$3304</definedName>
    <definedName name="DIRECTO54" localSheetId="4">APU!$U$3471</definedName>
    <definedName name="DIRECTO54">[60]APU!$U$3365</definedName>
    <definedName name="DIRECTO55" localSheetId="4">APU!$U$3532</definedName>
    <definedName name="DIRECTO55">[60]APU!$U$3426</definedName>
    <definedName name="DIRECTO56" localSheetId="4">APU!$U$3593</definedName>
    <definedName name="DIRECTO56">[60]APU!$U$3487</definedName>
    <definedName name="DIRECTO57" localSheetId="4">APU!$U$3654</definedName>
    <definedName name="DIRECTO57">[60]APU!$U$3548</definedName>
    <definedName name="DIRECTO58" localSheetId="4">APU!$U$3715</definedName>
    <definedName name="DIRECTO58">[60]APU!$U$3609</definedName>
    <definedName name="DIRECTO59" localSheetId="4">APU!$U$3776</definedName>
    <definedName name="DIRECTO59">[60]APU!$U$3670</definedName>
    <definedName name="DIRECTO6" localSheetId="4">APU!$U$437</definedName>
    <definedName name="DIRECTO6">[60]APU!$U$437</definedName>
    <definedName name="DIRECTO60" localSheetId="4">APU!$U$3837</definedName>
    <definedName name="DIRECTO60">[60]APU!$U$3731</definedName>
    <definedName name="DIRECTO61" localSheetId="4">APU!$U$3898</definedName>
    <definedName name="DIRECTO61">[60]APU!$U$3792</definedName>
    <definedName name="DIRECTO62" localSheetId="4">APU!$U$3959</definedName>
    <definedName name="DIRECTO62">[60]APU!$U$3853</definedName>
    <definedName name="DIRECTO63" localSheetId="4">APU!$U$4020</definedName>
    <definedName name="DIRECTO63">[60]APU!$U$3914</definedName>
    <definedName name="DIRECTO64" localSheetId="4">APU!$U$4081</definedName>
    <definedName name="DIRECTO64">[60]APU!$U$3975</definedName>
    <definedName name="DIRECTO65" localSheetId="4">APU!$U$4142</definedName>
    <definedName name="DIRECTO65">[60]APU!$U$4036</definedName>
    <definedName name="DIRECTO66" localSheetId="4">APU!$U$4203</definedName>
    <definedName name="DIRECTO66">[60]APU!$U$4097</definedName>
    <definedName name="DIRECTO67" localSheetId="4">APU!$U$4264</definedName>
    <definedName name="DIRECTO67">[60]APU!$U$4158</definedName>
    <definedName name="DIRECTO68" localSheetId="4">APU!$U$4325</definedName>
    <definedName name="DIRECTO68">[60]APU!$U$4219</definedName>
    <definedName name="DIRECTO69" localSheetId="4">APU!$U$4386</definedName>
    <definedName name="DIRECTO69">[60]APU!$U$4280</definedName>
    <definedName name="DIRECTO7" localSheetId="4">APU!$U$498</definedName>
    <definedName name="DIRECTO7">[60]APU!$U$498</definedName>
    <definedName name="DIRECTO7.12" localSheetId="4">APU!$U$7201</definedName>
    <definedName name="DIRECTO7.12">[60]APU!$U$8305</definedName>
    <definedName name="DIRECTO7.13" localSheetId="4">APU!$U$7262</definedName>
    <definedName name="DIRECTO7.13">[60]APU!$U$8366</definedName>
    <definedName name="DIRECTO7.14" localSheetId="4">APU!$U$7323</definedName>
    <definedName name="DIRECTO7.14">[60]APU!$U$8427</definedName>
    <definedName name="DIRECTO7.15" localSheetId="4">APU!$U$7384</definedName>
    <definedName name="DIRECTO7.15">[60]APU!$U$8488</definedName>
    <definedName name="DIRECTO7.16" localSheetId="4">APU!$U$7502</definedName>
    <definedName name="DIRECTO7.16">[60]APU!$U$8606</definedName>
    <definedName name="DIRECTO7.17" localSheetId="4">APU!$U$10126</definedName>
    <definedName name="DIRECTO7.17">[60]APU!$U$11290</definedName>
    <definedName name="DIRECTO7.18" localSheetId="4">APU!$U$10187</definedName>
    <definedName name="DIRECTO7.18">[60]APU!$U$11351</definedName>
    <definedName name="DIRECTO7.19" localSheetId="4">APU!$U$10248</definedName>
    <definedName name="DIRECTO7.19">[60]APU!$U$11412</definedName>
    <definedName name="DIRECTO7.20" localSheetId="4">APU!$U$10309</definedName>
    <definedName name="DIRECTO7.20">[60]APU!$U$11473</definedName>
    <definedName name="DIRECTO7.21" localSheetId="4">APU!$U$10370</definedName>
    <definedName name="DIRECTO7.21">[60]APU!$U$11534</definedName>
    <definedName name="DIRECTO7.22" localSheetId="4">APU!$U$10553</definedName>
    <definedName name="DIRECTO7.22">[60]APU!$U$11717</definedName>
    <definedName name="DIRECTO7.23" localSheetId="4">APU!$U$10614</definedName>
    <definedName name="DIRECTO7.23">[60]APU!$U$11778</definedName>
    <definedName name="DIRECTO7.24" localSheetId="4">APU!$U$13481</definedName>
    <definedName name="DIRECTO7.24">[60]APU!$U$14645</definedName>
    <definedName name="DIRECTO7.25" localSheetId="4">APU!$U$14091</definedName>
    <definedName name="DIRECTO7.25">[60]APU!$U$15255</definedName>
    <definedName name="DIRECTO7.26" localSheetId="4">APU!$U$14152</definedName>
    <definedName name="DIRECTO7.26">[60]APU!$U$15316</definedName>
    <definedName name="DIRECTO7.27" localSheetId="4">APU!$U$14213</definedName>
    <definedName name="DIRECTO7.27">[60]APU!$U$15377</definedName>
    <definedName name="DIRECTO7.28" localSheetId="4">APU!$U$14274</definedName>
    <definedName name="DIRECTO7.28">[60]APU!$U$15438</definedName>
    <definedName name="DIRECTO7.29" localSheetId="4">APU!$U$14335</definedName>
    <definedName name="DIRECTO7.29">[60]APU!$U$15499</definedName>
    <definedName name="DIRECTO7.30" localSheetId="4">APU!$U$14396</definedName>
    <definedName name="DIRECTO7.30">[60]APU!$U$15560</definedName>
    <definedName name="DIRECTO7.31" localSheetId="4">APU!$U$14457</definedName>
    <definedName name="DIRECTO7.31">[60]APU!$U$15621</definedName>
    <definedName name="DIRECTO7.32" localSheetId="4">APU!$U$14518</definedName>
    <definedName name="DIRECTO7.32">[60]APU!$U$15682</definedName>
    <definedName name="DIRECTO7.33" localSheetId="4">APU!$U$14579</definedName>
    <definedName name="DIRECTO7.33">[60]APU!$U$15743</definedName>
    <definedName name="DIRECTO7.34" localSheetId="4">APU!$U$14640</definedName>
    <definedName name="DIRECTO7.34">[60]APU!$U$15804</definedName>
    <definedName name="DIRECTO7.35" localSheetId="4">APU!$U$14701</definedName>
    <definedName name="DIRECTO7.35">[60]APU!$U$15865</definedName>
    <definedName name="DIRECTO7.36" localSheetId="4">APU!$U$15921</definedName>
    <definedName name="DIRECTO7.36">[60]APU!$U$17085</definedName>
    <definedName name="DIRECTO7.37" localSheetId="4">APU!$U$16104</definedName>
    <definedName name="DIRECTO7.37">[60]APU!$U$17268</definedName>
    <definedName name="DIRECTO7.38" localSheetId="4">APU!$U$16043</definedName>
    <definedName name="DIRECTO7.38">[60]APU!$U$17207</definedName>
    <definedName name="DIRECTO7.39" localSheetId="4">APU!$U$16226</definedName>
    <definedName name="DIRECTO7.39">[60]APU!$U$17390</definedName>
    <definedName name="DIRECTO7.40" localSheetId="4">APU!$U$16287</definedName>
    <definedName name="DIRECTO7.40">[60]APU!$U$17451</definedName>
    <definedName name="DIRECTO7.41" localSheetId="4">APU!$U$16348</definedName>
    <definedName name="DIRECTO7.41">[60]APU!$U$17512</definedName>
    <definedName name="DIRECTO7.42" localSheetId="4">APU!$U$15982</definedName>
    <definedName name="DIRECTO7.42">[60]APU!$U$17146</definedName>
    <definedName name="DIRECTO7.43" localSheetId="4">APU!$U$16409</definedName>
    <definedName name="DIRECTO7.43">[60]APU!$U$17573</definedName>
    <definedName name="DIRECTO7.44" localSheetId="4">APU!$U$16165</definedName>
    <definedName name="DIRECTO7.44">[60]APU!$U$17329</definedName>
    <definedName name="DIRECTO70" localSheetId="4">APU!$U$4447</definedName>
    <definedName name="DIRECTO70">[60]APU!$U$4341</definedName>
    <definedName name="DIRECTO71" localSheetId="4">APU!$U$4508</definedName>
    <definedName name="DIRECTO71">[60]APU!$U$4402</definedName>
    <definedName name="DIRECTO72" localSheetId="4">APU!$U$4569</definedName>
    <definedName name="DIRECTO72">[60]APU!$U$4463</definedName>
    <definedName name="DIRECTO73" localSheetId="4">APU!#REF!</definedName>
    <definedName name="DIRECTO73">[60]APU!$U$4524</definedName>
    <definedName name="DIRECTO74" localSheetId="4">APU!$U$4632</definedName>
    <definedName name="DIRECTO74">[60]APU!$U$4585</definedName>
    <definedName name="DIRECTO75" localSheetId="4">APU!$U$4693</definedName>
    <definedName name="DIRECTO75">[60]APU!$U$4646</definedName>
    <definedName name="DIRECTO76" localSheetId="4">APU!$U$4754</definedName>
    <definedName name="DIRECTO76">[60]APU!$U$4707</definedName>
    <definedName name="DIRECTO77" localSheetId="4">APU!$U$4815</definedName>
    <definedName name="DIRECTO77">[60]APU!$U$4768</definedName>
    <definedName name="DIRECTO78" localSheetId="4">APU!$U$4876</definedName>
    <definedName name="DIRECTO78">[60]APU!$U$4829</definedName>
    <definedName name="DIRECTO79" localSheetId="4">APU!$U$4937</definedName>
    <definedName name="DIRECTO79">[60]APU!$U$4890</definedName>
    <definedName name="DIRECTO8" localSheetId="4">APU!$U$559</definedName>
    <definedName name="DIRECTO8">[60]APU!$U$559</definedName>
    <definedName name="DIRECTO80" localSheetId="4">APU!$U$4998</definedName>
    <definedName name="DIRECTO80">[60]APU!$U$4951</definedName>
    <definedName name="DIRECTO81" localSheetId="4">APU!$U$5059</definedName>
    <definedName name="DIRECTO81">[60]APU!$U$5012</definedName>
    <definedName name="DIRECTO82" localSheetId="4">APU!$U$5115</definedName>
    <definedName name="DIRECTO82">[60]APU!$U$5073</definedName>
    <definedName name="DIRECTO83" localSheetId="4">APU!#REF!</definedName>
    <definedName name="DIRECTO83">[60]APU!$U$5134</definedName>
    <definedName name="DIRECTO84" localSheetId="4">APU!#REF!</definedName>
    <definedName name="DIRECTO84">[60]APU!$U$5195</definedName>
    <definedName name="DIRECTO85" localSheetId="4">APU!#REF!</definedName>
    <definedName name="DIRECTO85">[60]APU!$U$5256</definedName>
    <definedName name="DIRECTO86" localSheetId="4">APU!#REF!</definedName>
    <definedName name="DIRECTO86">[60]APU!$U$5317</definedName>
    <definedName name="DIRECTO87" localSheetId="4">APU!#REF!</definedName>
    <definedName name="DIRECTO87">[60]APU!$U$5378</definedName>
    <definedName name="DIRECTO88" localSheetId="4">APU!#REF!</definedName>
    <definedName name="DIRECTO88">[60]APU!$U$5439</definedName>
    <definedName name="DIRECTO89" localSheetId="4">APU!#REF!</definedName>
    <definedName name="DIRECTO89">[60]APU!$U$5500</definedName>
    <definedName name="DIRECTO9" localSheetId="4">APU!$U$620</definedName>
    <definedName name="DIRECTO9">[60]APU!$U$620</definedName>
    <definedName name="DIRECTO9.1" localSheetId="4">APU!$U$15433</definedName>
    <definedName name="DIRECTO9.1">[60]APU!$U$16597</definedName>
    <definedName name="DIRECTO9.2" localSheetId="4">APU!$U$15494</definedName>
    <definedName name="DIRECTO9.2">[60]APU!$U$16658</definedName>
    <definedName name="DIRECTO9.3" localSheetId="4">APU!$U$15555</definedName>
    <definedName name="DIRECTO9.3">[60]APU!$U$16719</definedName>
    <definedName name="DIRECTO9.4" localSheetId="4">APU!$U$15616</definedName>
    <definedName name="DIRECTO9.4">[60]APU!$U$16780</definedName>
    <definedName name="DIRECTO9.5" localSheetId="4">APU!$U$15677</definedName>
    <definedName name="DIRECTO9.5">[60]APU!$U$16841</definedName>
    <definedName name="DIRECTO90" localSheetId="4">APU!#REF!</definedName>
    <definedName name="DIRECTO90">[60]APU!$U$5561</definedName>
    <definedName name="DIRECTO91" localSheetId="4">APU!#REF!</definedName>
    <definedName name="DIRECTO91">[60]APU!$U$5622</definedName>
    <definedName name="DIRECTO92" localSheetId="4">APU!#REF!</definedName>
    <definedName name="DIRECTO92">[60]APU!$U$5683</definedName>
    <definedName name="DIRECTO93" localSheetId="4">APU!#REF!</definedName>
    <definedName name="DIRECTO93">[60]APU!$U$5744</definedName>
    <definedName name="DIRECTO94" localSheetId="4">APU!#REF!</definedName>
    <definedName name="DIRECTO94">[60]APU!$U$5805</definedName>
    <definedName name="DIRECTO95" localSheetId="4">APU!#REF!</definedName>
    <definedName name="DIRECTO95">[60]APU!$U$5866</definedName>
    <definedName name="DIRECTO96" localSheetId="4">APU!#REF!</definedName>
    <definedName name="DIRECTO96">[60]APU!$U$5927</definedName>
    <definedName name="DIRECTO97" localSheetId="4">APU!#REF!</definedName>
    <definedName name="DIRECTO97">[60]APU!$U$5988</definedName>
    <definedName name="DIRECTO98" localSheetId="4">APU!#REF!</definedName>
    <definedName name="DIRECTO98">[60]APU!$U$6049</definedName>
    <definedName name="DIRECTO99" localSheetId="4">APU!#REF!</definedName>
    <definedName name="DIRECTO99">[60]APU!$U$6110</definedName>
    <definedName name="Discount_Lumpsum">#REF!</definedName>
    <definedName name="discount_percent">#REF!</definedName>
    <definedName name="discount2" localSheetId="4">#REF!</definedName>
    <definedName name="discount2" localSheetId="2">#REF!</definedName>
    <definedName name="discount2">#REF!</definedName>
    <definedName name="discount3" localSheetId="4">#REF!</definedName>
    <definedName name="discount3" localSheetId="2">#REF!</definedName>
    <definedName name="discount3">#REF!</definedName>
    <definedName name="discount4" localSheetId="4">#REF!</definedName>
    <definedName name="discount4" localSheetId="2">#REF!</definedName>
    <definedName name="discount4">#REF!</definedName>
    <definedName name="DiscRateHigh">#REF!</definedName>
    <definedName name="DiscRateMed">#REF!</definedName>
    <definedName name="DISPONIBILIDAD" localSheetId="4">#REF!</definedName>
    <definedName name="DISPONIBILIDAD" localSheetId="2">#REF!</definedName>
    <definedName name="DISPONIBILIDAD">#REF!</definedName>
    <definedName name="DISTANCIA">[14]MEM!$E$39</definedName>
    <definedName name="div_pay" localSheetId="4">#REF!</definedName>
    <definedName name="div_pay" localSheetId="2">#REF!</definedName>
    <definedName name="div_pay">#REF!</definedName>
    <definedName name="dj">#REF!</definedName>
    <definedName name="djdytj" localSheetId="4">#REF!</definedName>
    <definedName name="djdytj" localSheetId="2">#REF!</definedName>
    <definedName name="djdytj">#REF!</definedName>
    <definedName name="dl" localSheetId="4">#REF!</definedName>
    <definedName name="dl" localSheetId="2">#REF!</definedName>
    <definedName name="dl">#REF!</definedName>
    <definedName name="dm">#REF!</definedName>
    <definedName name="DMD">#REF!</definedName>
    <definedName name="DNS" localSheetId="4">#REF!</definedName>
    <definedName name="DNS" localSheetId="2">#REF!</definedName>
    <definedName name="DNS">#REF!</definedName>
    <definedName name="do">#REF!</definedName>
    <definedName name="Documentstatus">#REF!</definedName>
    <definedName name="Documentstatus1">'[27]REF - Listas'!$B$4:$B$11</definedName>
    <definedName name="DOM160X20_S1">#REF!</definedName>
    <definedName name="DOM160X20_S2">#REF!</definedName>
    <definedName name="DOM160X20_S3">#REF!</definedName>
    <definedName name="DOM160X20_S4">#REF!</definedName>
    <definedName name="DOM160X20_S5">#REF!</definedName>
    <definedName name="DOM160X20_S6">#REF!</definedName>
    <definedName name="DOM160X32_S1" localSheetId="4">#REF!</definedName>
    <definedName name="DOM160X32_S1" localSheetId="2">#REF!</definedName>
    <definedName name="DOM160X32_S1">#REF!</definedName>
    <definedName name="DOM160X32_S2">#REF!</definedName>
    <definedName name="DOM160X32_S3">#REF!</definedName>
    <definedName name="DOM160X32_S4">#REF!</definedName>
    <definedName name="DOM160X32_S5" localSheetId="4">#REF!</definedName>
    <definedName name="DOM160X32_S5" localSheetId="2">#REF!</definedName>
    <definedName name="DOM160X32_S5">#REF!</definedName>
    <definedName name="DOM160X32_S6">#REF!</definedName>
    <definedName name="DOM200X20_S1">#REF!</definedName>
    <definedName name="DOM200X20_S2" localSheetId="4">#REF!</definedName>
    <definedName name="DOM200X20_S2" localSheetId="2">#REF!</definedName>
    <definedName name="DOM200X20_S2">#REF!</definedName>
    <definedName name="DOM200X20_S3">#REF!</definedName>
    <definedName name="DOM200X20_S4">#REF!</definedName>
    <definedName name="DOM200X20_S5">#REF!</definedName>
    <definedName name="DOM200X20_S6">#REF!</definedName>
    <definedName name="DOM200X32_S1">#REF!</definedName>
    <definedName name="DOM200X32_S2">#REF!</definedName>
    <definedName name="DOM200X32_S3" localSheetId="4">#REF!</definedName>
    <definedName name="DOM200X32_S3" localSheetId="2">#REF!</definedName>
    <definedName name="DOM200X32_S3">#REF!</definedName>
    <definedName name="DOM200X32_S4" localSheetId="4">#REF!</definedName>
    <definedName name="DOM200X32_S4" localSheetId="2">#REF!</definedName>
    <definedName name="DOM200X32_S4">#REF!</definedName>
    <definedName name="DOM200X32_S5" localSheetId="4">#REF!</definedName>
    <definedName name="DOM200X32_S5" localSheetId="2">#REF!</definedName>
    <definedName name="DOM200X32_S5">#REF!</definedName>
    <definedName name="DOM200X32_S6">#REF!</definedName>
    <definedName name="DOM90X20_S1">#REF!</definedName>
    <definedName name="DOM90X20_S2">#REF!</definedName>
    <definedName name="DOM90X20_S3" localSheetId="4">#REF!</definedName>
    <definedName name="DOM90X20_S3" localSheetId="2">#REF!</definedName>
    <definedName name="DOM90X20_S3">#REF!</definedName>
    <definedName name="DOM90X20_S4">#REF!</definedName>
    <definedName name="DOM90X20_S5">#REF!</definedName>
    <definedName name="DOM90X20_S6">#REF!</definedName>
    <definedName name="DOM90X32_S1" localSheetId="4">#REF!</definedName>
    <definedName name="DOM90X32_S1" localSheetId="2">#REF!</definedName>
    <definedName name="DOM90X32_S1">#REF!</definedName>
    <definedName name="DOM90X32_S2" localSheetId="4">#REF!</definedName>
    <definedName name="DOM90X32_S2" localSheetId="2">#REF!</definedName>
    <definedName name="DOM90X32_S2">#REF!</definedName>
    <definedName name="DOM90X32_S3">#REF!</definedName>
    <definedName name="DOM90X32_S4" localSheetId="4">#REF!</definedName>
    <definedName name="DOM90X32_S4" localSheetId="2">#REF!</definedName>
    <definedName name="DOM90X32_S4">#REF!</definedName>
    <definedName name="DOM90X32_S5" localSheetId="4">#REF!</definedName>
    <definedName name="DOM90X32_S5" localSheetId="2">#REF!</definedName>
    <definedName name="DOM90X32_S5">#REF!</definedName>
    <definedName name="DOM90X32_S6">#REF!</definedName>
    <definedName name="DOMAC">[14]MEM!$N$45</definedName>
    <definedName name="DOMALC">[14]MEM!$N$46</definedName>
    <definedName name="DOMESP90X63_S1">#REF!</definedName>
    <definedName name="DOMESP90X63_S2">#REF!</definedName>
    <definedName name="DOMESP90X63_S3">#REF!</definedName>
    <definedName name="DOMESP90X63_S4">#REF!</definedName>
    <definedName name="DOMESP90X63_S5">#REF!</definedName>
    <definedName name="DOMESP90X63_S6" localSheetId="4">#REF!</definedName>
    <definedName name="DOMESP90X63_S6" localSheetId="2">#REF!</definedName>
    <definedName name="DOMESP90X63_S6">#REF!</definedName>
    <definedName name="DONDEESTA">[57]!tabla_precios[[#All],[DESCRIPCION ]]</definedName>
    <definedName name="DOR">#REF!</definedName>
    <definedName name="dos" localSheetId="4">#REF!</definedName>
    <definedName name="dos" localSheetId="2">#REF!</definedName>
    <definedName name="dos">#REF!</definedName>
    <definedName name="DOT">#REF!</definedName>
    <definedName name="dota">#REF!</definedName>
    <definedName name="DRAWING_LEAD_TIME">#REF!</definedName>
    <definedName name="drf">#REF!</definedName>
    <definedName name="DRTOS1">'[61]Cost Codes'!$B$4:$G$331</definedName>
    <definedName name="dry" localSheetId="4">#REF!</definedName>
    <definedName name="dry" localSheetId="2">#REF!</definedName>
    <definedName name="dry">#REF!</definedName>
    <definedName name="DSA">#REF!</definedName>
    <definedName name="DSAD" localSheetId="4">#REF!</definedName>
    <definedName name="DSAD" localSheetId="2">#REF!</definedName>
    <definedName name="DSAD">#REF!</definedName>
    <definedName name="dsadfp" localSheetId="4">#REF!</definedName>
    <definedName name="dsadfp" localSheetId="2">#REF!</definedName>
    <definedName name="dsadfp">#REF!</definedName>
    <definedName name="Dsbcm">#REF!</definedName>
    <definedName name="DSD" localSheetId="4">#REF!</definedName>
    <definedName name="DSD" localSheetId="2">#REF!</definedName>
    <definedName name="DSD">#REF!</definedName>
    <definedName name="dsdads4" localSheetId="4">#REF!</definedName>
    <definedName name="dsdads4" localSheetId="2">#REF!</definedName>
    <definedName name="dsdads4">#REF!</definedName>
    <definedName name="dse">#REF!</definedName>
    <definedName name="DSF" localSheetId="4">#REF!</definedName>
    <definedName name="DSF" localSheetId="2">#REF!</definedName>
    <definedName name="DSF">#REF!</definedName>
    <definedName name="DSFCVTY" localSheetId="4">#REF!</definedName>
    <definedName name="DSFCVTY" localSheetId="2">#REF!</definedName>
    <definedName name="DSFCVTY">#REF!</definedName>
    <definedName name="dsfg" localSheetId="4">#REF!</definedName>
    <definedName name="dsfg" localSheetId="2">#REF!</definedName>
    <definedName name="dsfg">#REF!</definedName>
    <definedName name="dsfhgfdh" localSheetId="4">#REF!</definedName>
    <definedName name="dsfhgfdh" localSheetId="2">#REF!</definedName>
    <definedName name="dsfhgfdh">#REF!</definedName>
    <definedName name="dsfsdf" localSheetId="4">#REF!</definedName>
    <definedName name="dsfsdf" localSheetId="2">#REF!</definedName>
    <definedName name="dsfsdf">#REF!</definedName>
    <definedName name="DSFSDFCXV" localSheetId="4">#REF!</definedName>
    <definedName name="DSFSDFCXV" localSheetId="2">#REF!</definedName>
    <definedName name="DSFSDFCXV">#REF!</definedName>
    <definedName name="dsfsvm" localSheetId="4">#REF!</definedName>
    <definedName name="dsfsvm" localSheetId="2">#REF!</definedName>
    <definedName name="dsfsvm">#REF!</definedName>
    <definedName name="dsftbv" localSheetId="4">#REF!</definedName>
    <definedName name="dsftbv" localSheetId="2">#REF!</definedName>
    <definedName name="dsftbv">#REF!</definedName>
    <definedName name="dt">#REF!</definedName>
    <definedName name="dtf">#REF!</definedName>
    <definedName name="DTFSMedida" localSheetId="4">#REF!</definedName>
    <definedName name="DTFSMedida" localSheetId="2">#REF!</definedName>
    <definedName name="DTFSMedida">#REF!</definedName>
    <definedName name="DtmFechaCotizacion">#REF!</definedName>
    <definedName name="DtmFechVigenCotiza" localSheetId="4">#REF!</definedName>
    <definedName name="DtmFechVigenCotiza" localSheetId="2">#REF!</definedName>
    <definedName name="DtmFechVigenCotiza">#REF!</definedName>
    <definedName name="dtrhj" localSheetId="4">#REF!</definedName>
    <definedName name="dtrhj" localSheetId="2">#REF!</definedName>
    <definedName name="dtrhj">#REF!</definedName>
    <definedName name="DTS" localSheetId="4">#REF!</definedName>
    <definedName name="DTS" localSheetId="2">#REF!</definedName>
    <definedName name="DTS">#REF!</definedName>
    <definedName name="dutr">#REF!</definedName>
    <definedName name="dxd">[9]CALCULO!$E$75</definedName>
    <definedName name="dxfgg" localSheetId="4">#REF!</definedName>
    <definedName name="dxfgg" localSheetId="2">#REF!</definedName>
    <definedName name="dxfgg">#REF!</definedName>
    <definedName name="DZ.Main">#REF!</definedName>
    <definedName name="E">#REF!</definedName>
    <definedName name="E_03">#REF!</definedName>
    <definedName name="e3e33" localSheetId="4">#REF!</definedName>
    <definedName name="e3e33" localSheetId="2">#REF!</definedName>
    <definedName name="e3e33">#REF!</definedName>
    <definedName name="ED">#REF!</definedName>
    <definedName name="EDEDWSWQA" localSheetId="4">#REF!</definedName>
    <definedName name="EDEDWSWQA" localSheetId="2">#REF!</definedName>
    <definedName name="EDEDWSWQA">#REF!</definedName>
    <definedName name="edgfhmn" localSheetId="4">#REF!</definedName>
    <definedName name="edgfhmn" localSheetId="2">#REF!</definedName>
    <definedName name="edgfhmn">#REF!</definedName>
    <definedName name="EDWIN" localSheetId="4">#REF!</definedName>
    <definedName name="EDWIN" localSheetId="2">#REF!</definedName>
    <definedName name="EDWIN">#REF!</definedName>
    <definedName name="ee">#REF!</definedName>
    <definedName name="EEE">#REF!</definedName>
    <definedName name="eeedfr" localSheetId="4">#REF!</definedName>
    <definedName name="eeedfr" localSheetId="2">#REF!</definedName>
    <definedName name="eeedfr">#REF!</definedName>
    <definedName name="eeeeeeeeee" localSheetId="4">#REF!</definedName>
    <definedName name="eeeeeeeeee" localSheetId="2">#REF!</definedName>
    <definedName name="eeeeeeeeee">#REF!</definedName>
    <definedName name="eeeeeeeeeee">#REF!</definedName>
    <definedName name="EEEEEEEEEEEEEEEEEEE" localSheetId="4">#REF!</definedName>
    <definedName name="EEEEEEEEEEEEEEEEEEE" localSheetId="2">#REF!</definedName>
    <definedName name="EEEEEEEEEEEEEEEEEEE">#REF!</definedName>
    <definedName name="EEEEEEEEEEEEEEEEEEEEEE">#REF!</definedName>
    <definedName name="eeeeer" localSheetId="4">#REF!</definedName>
    <definedName name="eeeeer" localSheetId="2">#REF!</definedName>
    <definedName name="eeeeer">#REF!</definedName>
    <definedName name="EEEGR">#REF!</definedName>
    <definedName name="eeerfd" localSheetId="4">#REF!</definedName>
    <definedName name="eeerfd" localSheetId="2">#REF!</definedName>
    <definedName name="eeerfd">#REF!</definedName>
    <definedName name="ef">#REF!</definedName>
    <definedName name="efef" localSheetId="4">#REF!</definedName>
    <definedName name="efef" localSheetId="2">#REF!</definedName>
    <definedName name="efef">#REF!</definedName>
    <definedName name="efer" localSheetId="4">#REF!</definedName>
    <definedName name="efer" localSheetId="2">#REF!</definedName>
    <definedName name="efer">#REF!</definedName>
    <definedName name="egeg" localSheetId="4">#REF!</definedName>
    <definedName name="egeg" localSheetId="2">#REF!</definedName>
    <definedName name="egeg">#REF!</definedName>
    <definedName name="egtrgthrt" localSheetId="4">#REF!</definedName>
    <definedName name="egtrgthrt" localSheetId="2">#REF!</definedName>
    <definedName name="egtrgthrt">#REF!</definedName>
    <definedName name="EINAR" localSheetId="4">#REF!</definedName>
    <definedName name="EINAR" localSheetId="2">#REF!</definedName>
    <definedName name="EINAR">#REF!</definedName>
    <definedName name="el">#REF!</definedName>
    <definedName name="ElectConsPrice">[28]Parameters!$R$15</definedName>
    <definedName name="ElectDemandPrice">#REF!</definedName>
    <definedName name="ELECTROMAG">#REF!</definedName>
    <definedName name="ELTOTAL" localSheetId="4">#REF!</definedName>
    <definedName name="ELTOTAL" localSheetId="2">#REF!</definedName>
    <definedName name="ELTOTAL">#REF!</definedName>
    <definedName name="emanto">#REF!</definedName>
    <definedName name="eme" localSheetId="4">#REF!</definedName>
    <definedName name="eme" localSheetId="2">#REF!</definedName>
    <definedName name="eme">#REF!</definedName>
    <definedName name="EMPAQUE">#REF!</definedName>
    <definedName name="EMTUB">[14]MEM!$M$66</definedName>
    <definedName name="ene00">[6]Dólar!#REF!</definedName>
    <definedName name="ENERGIATABLA1.2.4">'[4]CALCULO COSTOS DE OPERACIÓN'!$B$127:$AF$163</definedName>
    <definedName name="Engine" localSheetId="4">#REF!</definedName>
    <definedName name="Engine" localSheetId="2">#REF!</definedName>
    <definedName name="Engine">#REF!</definedName>
    <definedName name="ENTRADASP">#REF!</definedName>
    <definedName name="EQUI">[62]Equipo!$A:$IV</definedName>
    <definedName name="EQUI3">[63]Equipo!$A:$IV</definedName>
    <definedName name="EquipData">'[28]Equip Data'!$B$14:$AQ$75</definedName>
    <definedName name="EquipInput">#REF!</definedName>
    <definedName name="EquipLifeRank">#REF!</definedName>
    <definedName name="EQUIPO" localSheetId="4">#REF!</definedName>
    <definedName name="EQUIPO" localSheetId="2">#REF!</definedName>
    <definedName name="EQUIPO">#REF!</definedName>
    <definedName name="equipo_mayor" localSheetId="4">#REF!</definedName>
    <definedName name="equipo_mayor" localSheetId="2">#REF!</definedName>
    <definedName name="equipo_mayor">#REF!</definedName>
    <definedName name="equipomayor2" localSheetId="4">#REF!</definedName>
    <definedName name="equipomayor2" localSheetId="2">#REF!</definedName>
    <definedName name="equipomayor2">#REF!</definedName>
    <definedName name="EquipOpCostOutput">#REF!</definedName>
    <definedName name="EquipOpFleet">#REF!</definedName>
    <definedName name="equipos">#REF!</definedName>
    <definedName name="equiprecord">[49]Sheet1!$A$18:$A$1072</definedName>
    <definedName name="EquipReplOutput" localSheetId="4">#REF!</definedName>
    <definedName name="EquipReplOutput" localSheetId="2">#REF!</definedName>
    <definedName name="EquipReplOutput">#REF!</definedName>
    <definedName name="EquipRow">#REF!</definedName>
    <definedName name="eqw" localSheetId="4">#REF!</definedName>
    <definedName name="eqw" localSheetId="2">#REF!</definedName>
    <definedName name="eqw">#REF!</definedName>
    <definedName name="ER">#REF!</definedName>
    <definedName name="erg" localSheetId="4">#REF!</definedName>
    <definedName name="erg" localSheetId="2">#REF!</definedName>
    <definedName name="erg">#REF!</definedName>
    <definedName name="erger" localSheetId="4">#REF!</definedName>
    <definedName name="erger" localSheetId="2">#REF!</definedName>
    <definedName name="erger">#REF!</definedName>
    <definedName name="ergerg" localSheetId="4">#REF!</definedName>
    <definedName name="ergerg" localSheetId="2">#REF!</definedName>
    <definedName name="ergerg">#REF!</definedName>
    <definedName name="ergfegr" localSheetId="4">#REF!</definedName>
    <definedName name="ergfegr" localSheetId="2">#REF!</definedName>
    <definedName name="ergfegr">#REF!</definedName>
    <definedName name="ergge" localSheetId="4">#REF!</definedName>
    <definedName name="ergge" localSheetId="2">#REF!</definedName>
    <definedName name="ergge">#REF!</definedName>
    <definedName name="erggewg" localSheetId="4">#REF!</definedName>
    <definedName name="erggewg" localSheetId="2">#REF!</definedName>
    <definedName name="erggewg">#REF!</definedName>
    <definedName name="ergreg" localSheetId="4">#REF!</definedName>
    <definedName name="ergreg" localSheetId="2">#REF!</definedName>
    <definedName name="ergreg">#REF!</definedName>
    <definedName name="ergregerg" localSheetId="4">#REF!</definedName>
    <definedName name="ergregerg" localSheetId="2">#REF!</definedName>
    <definedName name="ergregerg">#REF!</definedName>
    <definedName name="ergrg" localSheetId="4">#REF!</definedName>
    <definedName name="ergrg" localSheetId="2">#REF!</definedName>
    <definedName name="ergrg">#REF!</definedName>
    <definedName name="ergweg" localSheetId="4">#REF!</definedName>
    <definedName name="ergweg" localSheetId="2">#REF!</definedName>
    <definedName name="ergweg">#REF!</definedName>
    <definedName name="ergwreg" localSheetId="4">#REF!</definedName>
    <definedName name="ergwreg" localSheetId="2">#REF!</definedName>
    <definedName name="ergwreg">#REF!</definedName>
    <definedName name="erheyh" localSheetId="4">#REF!</definedName>
    <definedName name="erheyh" localSheetId="2">#REF!</definedName>
    <definedName name="erheyh">#REF!</definedName>
    <definedName name="ERR" localSheetId="4">#REF!</definedName>
    <definedName name="ERR" localSheetId="2">#REF!</definedName>
    <definedName name="ERR">#REF!</definedName>
    <definedName name="erra">#REF!</definedName>
    <definedName name="ERROR">#REF!</definedName>
    <definedName name="ERROR1" localSheetId="4">#REF!</definedName>
    <definedName name="ERROR1" localSheetId="2">#REF!</definedName>
    <definedName name="ERROR1">#REF!</definedName>
    <definedName name="ERROR2">#REF!</definedName>
    <definedName name="ERROR3" localSheetId="4">#REF!</definedName>
    <definedName name="ERROR3" localSheetId="2">#REF!</definedName>
    <definedName name="ERROR3">#REF!</definedName>
    <definedName name="ERROR5" localSheetId="4">#REF!</definedName>
    <definedName name="ERROR5" localSheetId="2">#REF!</definedName>
    <definedName name="ERROR5">#REF!</definedName>
    <definedName name="ert" localSheetId="4">#REF!</definedName>
    <definedName name="ert" localSheetId="2">#REF!</definedName>
    <definedName name="ert">#REF!</definedName>
    <definedName name="erte" localSheetId="4">#REF!</definedName>
    <definedName name="erte" localSheetId="2">#REF!</definedName>
    <definedName name="erte">#REF!</definedName>
    <definedName name="erter" localSheetId="4">#REF!</definedName>
    <definedName name="erter" localSheetId="2">#REF!</definedName>
    <definedName name="erter">#REF!</definedName>
    <definedName name="ertert" localSheetId="4">#REF!</definedName>
    <definedName name="ertert" localSheetId="2">#REF!</definedName>
    <definedName name="ertert">#REF!</definedName>
    <definedName name="ertgyhik" localSheetId="4">#REF!</definedName>
    <definedName name="ertgyhik" localSheetId="2">#REF!</definedName>
    <definedName name="ertgyhik">#REF!</definedName>
    <definedName name="ertreb" localSheetId="4">#REF!</definedName>
    <definedName name="ertreb" localSheetId="2">#REF!</definedName>
    <definedName name="ertreb">#REF!</definedName>
    <definedName name="ertret" localSheetId="4">#REF!</definedName>
    <definedName name="ertret" localSheetId="2">#REF!</definedName>
    <definedName name="ertret">#REF!</definedName>
    <definedName name="ERTRT">#REF!</definedName>
    <definedName name="erttret" localSheetId="4">#REF!</definedName>
    <definedName name="erttret" localSheetId="2">#REF!</definedName>
    <definedName name="erttret">#REF!</definedName>
    <definedName name="ertuiy" localSheetId="4">#REF!</definedName>
    <definedName name="ertuiy" localSheetId="2">#REF!</definedName>
    <definedName name="ertuiy">#REF!</definedName>
    <definedName name="ertwert" localSheetId="4">#REF!</definedName>
    <definedName name="ertwert" localSheetId="2">#REF!</definedName>
    <definedName name="ertwert">#REF!</definedName>
    <definedName name="eru" localSheetId="4">#REF!</definedName>
    <definedName name="eru" localSheetId="2">#REF!</definedName>
    <definedName name="eru">#REF!</definedName>
    <definedName name="ERV" localSheetId="4">#REF!</definedName>
    <definedName name="ERV" localSheetId="2">#REF!</definedName>
    <definedName name="ERV">#REF!</definedName>
    <definedName name="erware" localSheetId="4">#REF!</definedName>
    <definedName name="erware" localSheetId="2">#REF!</definedName>
    <definedName name="erware">#REF!</definedName>
    <definedName name="ERWER" localSheetId="4">#REF!</definedName>
    <definedName name="ERWER" localSheetId="2">#REF!</definedName>
    <definedName name="ERWER">#REF!</definedName>
    <definedName name="erwertd" localSheetId="4">#REF!</definedName>
    <definedName name="erwertd" localSheetId="2">#REF!</definedName>
    <definedName name="erwertd">#REF!</definedName>
    <definedName name="erwr" localSheetId="4">#REF!</definedName>
    <definedName name="erwr" localSheetId="2">#REF!</definedName>
    <definedName name="erwr">#REF!</definedName>
    <definedName name="ERWRL" localSheetId="4">#REF!</definedName>
    <definedName name="ERWRL" localSheetId="2">#REF!</definedName>
    <definedName name="ERWRL">#REF!</definedName>
    <definedName name="ery" localSheetId="4">#REF!</definedName>
    <definedName name="ery" localSheetId="2">#REF!</definedName>
    <definedName name="ery">#REF!</definedName>
    <definedName name="eryhd" localSheetId="4">#REF!</definedName>
    <definedName name="eryhd" localSheetId="2">#REF!</definedName>
    <definedName name="eryhd">#REF!</definedName>
    <definedName name="eryhdf" localSheetId="4">#REF!</definedName>
    <definedName name="eryhdf" localSheetId="2">#REF!</definedName>
    <definedName name="eryhdf">#REF!</definedName>
    <definedName name="eryhk" localSheetId="4">#REF!</definedName>
    <definedName name="eryhk" localSheetId="2">#REF!</definedName>
    <definedName name="eryhk">#REF!</definedName>
    <definedName name="eryhrf" localSheetId="4">#REF!</definedName>
    <definedName name="eryhrf" localSheetId="2">#REF!</definedName>
    <definedName name="eryhrf">#REF!</definedName>
    <definedName name="eryre" localSheetId="4">#REF!</definedName>
    <definedName name="eryre" localSheetId="2">#REF!</definedName>
    <definedName name="eryre">#REF!</definedName>
    <definedName name="erytd" localSheetId="4">#REF!</definedName>
    <definedName name="erytd" localSheetId="2">#REF!</definedName>
    <definedName name="erytd">#REF!</definedName>
    <definedName name="eryty" localSheetId="4">#REF!</definedName>
    <definedName name="eryty" localSheetId="2">#REF!</definedName>
    <definedName name="eryty">#REF!</definedName>
    <definedName name="eryy" localSheetId="4">#REF!</definedName>
    <definedName name="eryy" localSheetId="2">#REF!</definedName>
    <definedName name="eryy">#REF!</definedName>
    <definedName name="ES" localSheetId="4">#REF!</definedName>
    <definedName name="ES" localSheetId="2">#REF!</definedName>
    <definedName name="ES">#REF!</definedName>
    <definedName name="ES1_1">#REF!</definedName>
    <definedName name="ES1_10">#REF!</definedName>
    <definedName name="ES1_11">#REF!</definedName>
    <definedName name="ES1_12">#REF!</definedName>
    <definedName name="ES1_13">#REF!</definedName>
    <definedName name="ES1_14">#REF!</definedName>
    <definedName name="ES1_15">#REF!</definedName>
    <definedName name="ES1_16">#REF!</definedName>
    <definedName name="ES1_17">#REF!</definedName>
    <definedName name="ES1_18">#REF!</definedName>
    <definedName name="ES1_19" localSheetId="4">#REF!</definedName>
    <definedName name="ES1_19" localSheetId="2">#REF!</definedName>
    <definedName name="ES1_19">#REF!</definedName>
    <definedName name="ES1_2">#REF!</definedName>
    <definedName name="ES1_20">#REF!</definedName>
    <definedName name="ES1_21">#REF!</definedName>
    <definedName name="ES1_22">#REF!</definedName>
    <definedName name="ES1_23">#REF!</definedName>
    <definedName name="ES1_24">#REF!</definedName>
    <definedName name="ES1_25" localSheetId="4">#REF!</definedName>
    <definedName name="ES1_25" localSheetId="2">#REF!</definedName>
    <definedName name="ES1_25">#REF!</definedName>
    <definedName name="ES1_26">#REF!</definedName>
    <definedName name="ES1_27" localSheetId="4">#REF!</definedName>
    <definedName name="ES1_27" localSheetId="2">#REF!</definedName>
    <definedName name="ES1_27">#REF!</definedName>
    <definedName name="ES1_28">#REF!</definedName>
    <definedName name="ES1_29">#REF!</definedName>
    <definedName name="ES1_3">#REF!</definedName>
    <definedName name="ES1_30">#REF!</definedName>
    <definedName name="ES1_31">#REF!</definedName>
    <definedName name="ES1_32">#REF!</definedName>
    <definedName name="ES1_33">#REF!</definedName>
    <definedName name="ES1_34">#REF!</definedName>
    <definedName name="ES1_35">#REF!</definedName>
    <definedName name="ES1_36">#REF!</definedName>
    <definedName name="ES1_37">#REF!</definedName>
    <definedName name="ES1_38" localSheetId="4">#REF!</definedName>
    <definedName name="ES1_38" localSheetId="2">#REF!</definedName>
    <definedName name="ES1_38">#REF!</definedName>
    <definedName name="ES1_39">#REF!</definedName>
    <definedName name="ES1_4">#REF!</definedName>
    <definedName name="ES1_40">#REF!</definedName>
    <definedName name="ES1_41">#REF!</definedName>
    <definedName name="ES1_42">#REF!</definedName>
    <definedName name="ES1_43" localSheetId="4">#REF!</definedName>
    <definedName name="ES1_43" localSheetId="2">#REF!</definedName>
    <definedName name="ES1_43">#REF!</definedName>
    <definedName name="ES1_5">#REF!</definedName>
    <definedName name="ES1_6">#REF!</definedName>
    <definedName name="ES1_7">#REF!</definedName>
    <definedName name="ES1_8">#REF!</definedName>
    <definedName name="ES1_9">#REF!</definedName>
    <definedName name="ES2_1">#REF!</definedName>
    <definedName name="ES2_10">#REF!</definedName>
    <definedName name="ES2_11">#REF!</definedName>
    <definedName name="ES2_12">#REF!</definedName>
    <definedName name="ES2_13">#REF!</definedName>
    <definedName name="ES2_14">#REF!</definedName>
    <definedName name="ES2_15" localSheetId="4">#REF!</definedName>
    <definedName name="ES2_15" localSheetId="2">#REF!</definedName>
    <definedName name="ES2_15">#REF!</definedName>
    <definedName name="ES2_16">#REF!</definedName>
    <definedName name="ES2_17">#REF!</definedName>
    <definedName name="ES2_18">#REF!</definedName>
    <definedName name="ES2_19">#REF!</definedName>
    <definedName name="ES2_2">#REF!</definedName>
    <definedName name="ES2_20" localSheetId="4">#REF!</definedName>
    <definedName name="ES2_20" localSheetId="2">#REF!</definedName>
    <definedName name="ES2_20">#REF!</definedName>
    <definedName name="ES2_21" localSheetId="4">#REF!</definedName>
    <definedName name="ES2_21" localSheetId="2">#REF!</definedName>
    <definedName name="ES2_21">#REF!</definedName>
    <definedName name="ES2_22">#REF!</definedName>
    <definedName name="ES2_23">#REF!</definedName>
    <definedName name="ES2_24">#REF!</definedName>
    <definedName name="ES2_25">#REF!</definedName>
    <definedName name="ES2_26">#REF!</definedName>
    <definedName name="ES2_27">#REF!</definedName>
    <definedName name="ES2_28" localSheetId="4">#REF!</definedName>
    <definedName name="ES2_28" localSheetId="2">#REF!</definedName>
    <definedName name="ES2_28">#REF!</definedName>
    <definedName name="ES2_29">#REF!</definedName>
    <definedName name="ES2_3">#REF!</definedName>
    <definedName name="ES2_30" localSheetId="4">#REF!</definedName>
    <definedName name="ES2_30" localSheetId="2">#REF!</definedName>
    <definedName name="ES2_30">#REF!</definedName>
    <definedName name="ES2_31">#REF!</definedName>
    <definedName name="ES2_32">#REF!</definedName>
    <definedName name="ES2_33">#REF!</definedName>
    <definedName name="ES2_34">#REF!</definedName>
    <definedName name="ES2_35" localSheetId="4">#REF!</definedName>
    <definedName name="ES2_35" localSheetId="2">#REF!</definedName>
    <definedName name="ES2_35">#REF!</definedName>
    <definedName name="ES2_36">#REF!</definedName>
    <definedName name="ES2_37">#REF!</definedName>
    <definedName name="ES2_38">#REF!</definedName>
    <definedName name="ES2_39">#REF!</definedName>
    <definedName name="ES2_4">#REF!</definedName>
    <definedName name="ES2_40" localSheetId="4">#REF!</definedName>
    <definedName name="ES2_40" localSheetId="2">#REF!</definedName>
    <definedName name="ES2_40">#REF!</definedName>
    <definedName name="ES2_41">#REF!</definedName>
    <definedName name="ES2_42">#REF!</definedName>
    <definedName name="ES2_43">#REF!</definedName>
    <definedName name="ES2_5" localSheetId="4">#REF!</definedName>
    <definedName name="ES2_5" localSheetId="2">#REF!</definedName>
    <definedName name="ES2_5">#REF!</definedName>
    <definedName name="ES2_6" localSheetId="4">#REF!</definedName>
    <definedName name="ES2_6" localSheetId="2">#REF!</definedName>
    <definedName name="ES2_6">#REF!</definedName>
    <definedName name="ES2_7">#REF!</definedName>
    <definedName name="ES2_8" localSheetId="4">#REF!</definedName>
    <definedName name="ES2_8" localSheetId="2">#REF!</definedName>
    <definedName name="ES2_8">#REF!</definedName>
    <definedName name="ES2_9">#REF!</definedName>
    <definedName name="ES3_1">#REF!</definedName>
    <definedName name="ES3_10">#REF!</definedName>
    <definedName name="ES3_11">#REF!</definedName>
    <definedName name="ES3_12">#REF!</definedName>
    <definedName name="ES3_13">#REF!</definedName>
    <definedName name="ES3_14" localSheetId="4">#REF!</definedName>
    <definedName name="ES3_14" localSheetId="2">#REF!</definedName>
    <definedName name="ES3_14">#REF!</definedName>
    <definedName name="ES3_15" localSheetId="4">#REF!</definedName>
    <definedName name="ES3_15" localSheetId="2">#REF!</definedName>
    <definedName name="ES3_15">#REF!</definedName>
    <definedName name="ES3_16">#REF!</definedName>
    <definedName name="ES3_17" localSheetId="4">#REF!</definedName>
    <definedName name="ES3_17" localSheetId="2">#REF!</definedName>
    <definedName name="ES3_17">#REF!</definedName>
    <definedName name="ES3_18" localSheetId="4">#REF!</definedName>
    <definedName name="ES3_18" localSheetId="2">#REF!</definedName>
    <definedName name="ES3_18">#REF!</definedName>
    <definedName name="ES3_19">#REF!</definedName>
    <definedName name="ES3_2">#REF!</definedName>
    <definedName name="ES3_20">#REF!</definedName>
    <definedName name="ES3_21" localSheetId="4">#REF!</definedName>
    <definedName name="ES3_21" localSheetId="2">#REF!</definedName>
    <definedName name="ES3_21">#REF!</definedName>
    <definedName name="ES3_22" localSheetId="4">#REF!</definedName>
    <definedName name="ES3_22" localSheetId="2">#REF!</definedName>
    <definedName name="ES3_22">#REF!</definedName>
    <definedName name="ES3_23">#REF!</definedName>
    <definedName name="ES3_24" localSheetId="4">#REF!</definedName>
    <definedName name="ES3_24" localSheetId="2">#REF!</definedName>
    <definedName name="ES3_24">#REF!</definedName>
    <definedName name="ES3_25">#REF!</definedName>
    <definedName name="ES3_26">#REF!</definedName>
    <definedName name="ES3_27">#REF!</definedName>
    <definedName name="ES3_28">#REF!</definedName>
    <definedName name="ES3_29" localSheetId="4">#REF!</definedName>
    <definedName name="ES3_29" localSheetId="2">#REF!</definedName>
    <definedName name="ES3_29">#REF!</definedName>
    <definedName name="ES3_3">#REF!</definedName>
    <definedName name="ES3_30">#REF!</definedName>
    <definedName name="ES3_31">#REF!</definedName>
    <definedName name="ES3_32">#REF!</definedName>
    <definedName name="ES3_33" localSheetId="4">#REF!</definedName>
    <definedName name="ES3_33" localSheetId="2">#REF!</definedName>
    <definedName name="ES3_33">#REF!</definedName>
    <definedName name="ES3_34">#REF!</definedName>
    <definedName name="ES3_35" localSheetId="4">#REF!</definedName>
    <definedName name="ES3_35" localSheetId="2">#REF!</definedName>
    <definedName name="ES3_35">#REF!</definedName>
    <definedName name="ES3_36">#REF!</definedName>
    <definedName name="ES3_37">#REF!</definedName>
    <definedName name="ES3_38">#REF!</definedName>
    <definedName name="ES3_39">#REF!</definedName>
    <definedName name="ES3_4">#REF!</definedName>
    <definedName name="ES3_40">#REF!</definedName>
    <definedName name="ES3_41">#REF!</definedName>
    <definedName name="ES3_42">#REF!</definedName>
    <definedName name="ES3_43">#REF!</definedName>
    <definedName name="ES3_5">#REF!</definedName>
    <definedName name="ES3_6">#REF!</definedName>
    <definedName name="ES3_7">#REF!</definedName>
    <definedName name="ES3_8" localSheetId="4">#REF!</definedName>
    <definedName name="ES3_8" localSheetId="2">#REF!</definedName>
    <definedName name="ES3_8">#REF!</definedName>
    <definedName name="ES3_9">#REF!</definedName>
    <definedName name="ES4_1">#REF!</definedName>
    <definedName name="ES4_10" localSheetId="4">#REF!</definedName>
    <definedName name="ES4_10" localSheetId="2">#REF!</definedName>
    <definedName name="ES4_10">#REF!</definedName>
    <definedName name="ES4_11" localSheetId="4">#REF!</definedName>
    <definedName name="ES4_11" localSheetId="2">#REF!</definedName>
    <definedName name="ES4_11">#REF!</definedName>
    <definedName name="ES4_12">#REF!</definedName>
    <definedName name="ES4_13">#REF!</definedName>
    <definedName name="ES4_14" localSheetId="4">#REF!</definedName>
    <definedName name="ES4_14" localSheetId="2">#REF!</definedName>
    <definedName name="ES4_14">#REF!</definedName>
    <definedName name="ES4_15" localSheetId="4">#REF!</definedName>
    <definedName name="ES4_15" localSheetId="2">#REF!</definedName>
    <definedName name="ES4_15">#REF!</definedName>
    <definedName name="ES4_16" localSheetId="4">#REF!</definedName>
    <definedName name="ES4_16" localSheetId="2">#REF!</definedName>
    <definedName name="ES4_16">#REF!</definedName>
    <definedName name="ES4_17">#REF!</definedName>
    <definedName name="ES4_18">#REF!</definedName>
    <definedName name="ES4_19">#REF!</definedName>
    <definedName name="ES4_2" localSheetId="4">#REF!</definedName>
    <definedName name="ES4_2" localSheetId="2">#REF!</definedName>
    <definedName name="ES4_2">#REF!</definedName>
    <definedName name="ES4_20">#REF!</definedName>
    <definedName name="ES4_21">#REF!</definedName>
    <definedName name="ES4_22">#REF!</definedName>
    <definedName name="ES4_23">#REF!</definedName>
    <definedName name="ES4_24">#REF!</definedName>
    <definedName name="ES4_25" localSheetId="4">#REF!</definedName>
    <definedName name="ES4_25" localSheetId="2">#REF!</definedName>
    <definedName name="ES4_25">#REF!</definedName>
    <definedName name="ES4_26">#REF!</definedName>
    <definedName name="ES4_27">#REF!</definedName>
    <definedName name="ES4_28" localSheetId="4">#REF!</definedName>
    <definedName name="ES4_28" localSheetId="2">#REF!</definedName>
    <definedName name="ES4_28">#REF!</definedName>
    <definedName name="ES4_29">#REF!</definedName>
    <definedName name="ES4_3">#REF!</definedName>
    <definedName name="ES4_30">#REF!</definedName>
    <definedName name="ES4_31">#REF!</definedName>
    <definedName name="ES4_32">#REF!</definedName>
    <definedName name="ES4_33">#REF!</definedName>
    <definedName name="ES4_34" localSheetId="4">#REF!</definedName>
    <definedName name="ES4_34" localSheetId="2">#REF!</definedName>
    <definedName name="ES4_34">#REF!</definedName>
    <definedName name="ES4_35">#REF!</definedName>
    <definedName name="ES4_36">#REF!</definedName>
    <definedName name="ES4_37">#REF!</definedName>
    <definedName name="ES4_38">#REF!</definedName>
    <definedName name="ES4_39">#REF!</definedName>
    <definedName name="ES4_4">#REF!</definedName>
    <definedName name="ES4_40">#REF!</definedName>
    <definedName name="ES4_41">#REF!</definedName>
    <definedName name="ES4_42">#REF!</definedName>
    <definedName name="ES4_43">#REF!</definedName>
    <definedName name="ES4_5">#REF!</definedName>
    <definedName name="ES4_6">#REF!</definedName>
    <definedName name="ES4_7">#REF!</definedName>
    <definedName name="ES4_8">#REF!</definedName>
    <definedName name="ES4_9" localSheetId="4">#REF!</definedName>
    <definedName name="ES4_9" localSheetId="2">#REF!</definedName>
    <definedName name="ES4_9">#REF!</definedName>
    <definedName name="ES5_1" localSheetId="4">#REF!</definedName>
    <definedName name="ES5_1" localSheetId="2">#REF!</definedName>
    <definedName name="ES5_1">#REF!</definedName>
    <definedName name="ES5_10">#REF!</definedName>
    <definedName name="ES5_11" localSheetId="4">#REF!</definedName>
    <definedName name="ES5_11" localSheetId="2">#REF!</definedName>
    <definedName name="ES5_11">#REF!</definedName>
    <definedName name="ES5_12" localSheetId="4">#REF!</definedName>
    <definedName name="ES5_12" localSheetId="2">#REF!</definedName>
    <definedName name="ES5_12">#REF!</definedName>
    <definedName name="ES5_13">#REF!</definedName>
    <definedName name="ES5_14">#REF!</definedName>
    <definedName name="ES5_15">#REF!</definedName>
    <definedName name="ES5_16">#REF!</definedName>
    <definedName name="ES5_17">#REF!</definedName>
    <definedName name="ES5_18">#REF!</definedName>
    <definedName name="ES5_19">#REF!</definedName>
    <definedName name="ES5_2" localSheetId="4">#REF!</definedName>
    <definedName name="ES5_2" localSheetId="2">#REF!</definedName>
    <definedName name="ES5_2">#REF!</definedName>
    <definedName name="ES5_20">#REF!</definedName>
    <definedName name="ES5_21" localSheetId="4">#REF!</definedName>
    <definedName name="ES5_21" localSheetId="2">#REF!</definedName>
    <definedName name="ES5_21">#REF!</definedName>
    <definedName name="ES5_22">#REF!</definedName>
    <definedName name="ES5_23">#REF!</definedName>
    <definedName name="ES5_24">#REF!</definedName>
    <definedName name="ES5_25">#REF!</definedName>
    <definedName name="ES5_26">#REF!</definedName>
    <definedName name="ES5_27">#REF!</definedName>
    <definedName name="ES5_28" localSheetId="4">#REF!</definedName>
    <definedName name="ES5_28" localSheetId="2">#REF!</definedName>
    <definedName name="ES5_28">#REF!</definedName>
    <definedName name="ES5_29">#REF!</definedName>
    <definedName name="ES5_3">#REF!</definedName>
    <definedName name="ES5_30">#REF!</definedName>
    <definedName name="ES5_31">#REF!</definedName>
    <definedName name="ES5_32">#REF!</definedName>
    <definedName name="ES5_33">#REF!</definedName>
    <definedName name="ES5_34">#REF!</definedName>
    <definedName name="ES5_35">#REF!</definedName>
    <definedName name="ES5_36">#REF!</definedName>
    <definedName name="ES5_37">#REF!</definedName>
    <definedName name="ES5_38">#REF!</definedName>
    <definedName name="ES5_39">#REF!</definedName>
    <definedName name="ES5_4">#REF!</definedName>
    <definedName name="ES5_40">#REF!</definedName>
    <definedName name="ES5_41">#REF!</definedName>
    <definedName name="ES5_42">#REF!</definedName>
    <definedName name="ES5_43">#REF!</definedName>
    <definedName name="ES5_5">#REF!</definedName>
    <definedName name="ES5_6">#REF!</definedName>
    <definedName name="ES5_7">#REF!</definedName>
    <definedName name="ES5_8">#REF!</definedName>
    <definedName name="ES5_9">#REF!</definedName>
    <definedName name="ES6_1" localSheetId="4">#REF!</definedName>
    <definedName name="ES6_1" localSheetId="2">#REF!</definedName>
    <definedName name="ES6_1">#REF!</definedName>
    <definedName name="ES6_10">#REF!</definedName>
    <definedName name="ES6_11">#REF!</definedName>
    <definedName name="ES6_12">#REF!</definedName>
    <definedName name="ES6_13">#REF!</definedName>
    <definedName name="ES6_14">#REF!</definedName>
    <definedName name="ES6_15">#REF!</definedName>
    <definedName name="ES6_16" localSheetId="4">#REF!</definedName>
    <definedName name="ES6_16" localSheetId="2">#REF!</definedName>
    <definedName name="ES6_16">#REF!</definedName>
    <definedName name="ES6_17" localSheetId="4">#REF!</definedName>
    <definedName name="ES6_17" localSheetId="2">#REF!</definedName>
    <definedName name="ES6_17">#REF!</definedName>
    <definedName name="ES6_18">#REF!</definedName>
    <definedName name="ES6_19" localSheetId="4">#REF!</definedName>
    <definedName name="ES6_19" localSheetId="2">#REF!</definedName>
    <definedName name="ES6_19">#REF!</definedName>
    <definedName name="ES6_2" localSheetId="4">#REF!</definedName>
    <definedName name="ES6_2" localSheetId="2">#REF!</definedName>
    <definedName name="ES6_2">#REF!</definedName>
    <definedName name="ES6_20">#REF!</definedName>
    <definedName name="ES6_21">#REF!</definedName>
    <definedName name="ES6_22">#REF!</definedName>
    <definedName name="ES6_23">#REF!</definedName>
    <definedName name="ES6_24">#REF!</definedName>
    <definedName name="ES6_25">#REF!</definedName>
    <definedName name="ES6_26">#REF!</definedName>
    <definedName name="ES6_27">#REF!</definedName>
    <definedName name="ES6_28">#REF!</definedName>
    <definedName name="ES6_29">#REF!</definedName>
    <definedName name="ES6_3">#REF!</definedName>
    <definedName name="ES6_30">#REF!</definedName>
    <definedName name="ES6_31">#REF!</definedName>
    <definedName name="ES6_32" localSheetId="4">#REF!</definedName>
    <definedName name="ES6_32" localSheetId="2">#REF!</definedName>
    <definedName name="ES6_32">#REF!</definedName>
    <definedName name="ES6_33">#REF!</definedName>
    <definedName name="ES6_34" localSheetId="4">#REF!</definedName>
    <definedName name="ES6_34" localSheetId="2">#REF!</definedName>
    <definedName name="ES6_34">#REF!</definedName>
    <definedName name="ES6_35">#REF!</definedName>
    <definedName name="ES6_36">#REF!</definedName>
    <definedName name="ES6_37">#REF!</definedName>
    <definedName name="ES6_38">#REF!</definedName>
    <definedName name="ES6_39">#REF!</definedName>
    <definedName name="ES6_4" localSheetId="4">#REF!</definedName>
    <definedName name="ES6_4" localSheetId="2">#REF!</definedName>
    <definedName name="ES6_4">#REF!</definedName>
    <definedName name="ES6_40">#REF!</definedName>
    <definedName name="ES6_41">#REF!</definedName>
    <definedName name="ES6_42" localSheetId="4">#REF!</definedName>
    <definedName name="ES6_42" localSheetId="2">#REF!</definedName>
    <definedName name="ES6_42">#REF!</definedName>
    <definedName name="ES6_43" localSheetId="4">#REF!</definedName>
    <definedName name="ES6_43" localSheetId="2">#REF!</definedName>
    <definedName name="ES6_43">#REF!</definedName>
    <definedName name="ES6_5">#REF!</definedName>
    <definedName name="ES6_6">#REF!</definedName>
    <definedName name="ES6_7">#REF!</definedName>
    <definedName name="ES6_8">#REF!</definedName>
    <definedName name="ES6_9">#REF!</definedName>
    <definedName name="ESE" localSheetId="4">#REF!</definedName>
    <definedName name="ESE" localSheetId="2">#REF!</definedName>
    <definedName name="ESE">#REF!</definedName>
    <definedName name="ESMALTE">#REF!</definedName>
    <definedName name="ESP210.2.2">#REF!</definedName>
    <definedName name="ESP220.1">#REF!</definedName>
    <definedName name="ESP225P">#REF!</definedName>
    <definedName name="ESP330.1">#REF!</definedName>
    <definedName name="ESP640.1.2" localSheetId="4">#REF!</definedName>
    <definedName name="ESP640.1.2" localSheetId="2">#REF!</definedName>
    <definedName name="ESP640.1.2">#REF!</definedName>
    <definedName name="ESP673.1" localSheetId="4">#REF!</definedName>
    <definedName name="ESP673.1" localSheetId="2">#REF!</definedName>
    <definedName name="ESP673.1">#REF!</definedName>
    <definedName name="ESP673.2">#REF!</definedName>
    <definedName name="ESPECIFICACION" localSheetId="4">#REF!</definedName>
    <definedName name="ESPECIFICACION" localSheetId="2">#REF!</definedName>
    <definedName name="ESPECIFICACION">#REF!</definedName>
    <definedName name="Especificación">#REF!</definedName>
    <definedName name="EST10A">#REF!</definedName>
    <definedName name="EST10V1">#REF!</definedName>
    <definedName name="EST11A" localSheetId="4">#REF!</definedName>
    <definedName name="EST11A" localSheetId="2">#REF!</definedName>
    <definedName name="EST11A">#REF!</definedName>
    <definedName name="ESTAC">[10]BASE!$D$242</definedName>
    <definedName name="ESTACION">[64]TABLAS!$B$63:$B$78</definedName>
    <definedName name="ESTADO_ACUEDUCTO">#REF!</definedName>
    <definedName name="ESTADO_ALCANTARILLADO">#REF!</definedName>
    <definedName name="ESTERIL" localSheetId="4">#REF!</definedName>
    <definedName name="ESTERIL" localSheetId="2">#REF!</definedName>
    <definedName name="ESTERIL">#REF!</definedName>
    <definedName name="ESTRUCT06" localSheetId="4">#REF!</definedName>
    <definedName name="ESTRUCT06" localSheetId="2">#REF!</definedName>
    <definedName name="ESTRUCT06">#REF!</definedName>
    <definedName name="ESTRUCT07" localSheetId="4">#REF!</definedName>
    <definedName name="ESTRUCT07" localSheetId="2">#REF!</definedName>
    <definedName name="ESTRUCT07">#REF!</definedName>
    <definedName name="ESTRUCT08" localSheetId="4">#REF!</definedName>
    <definedName name="ESTRUCT08" localSheetId="2">#REF!</definedName>
    <definedName name="ESTRUCT08">#REF!</definedName>
    <definedName name="ESTRUCT09" localSheetId="4">#REF!</definedName>
    <definedName name="ESTRUCT09" localSheetId="2">#REF!</definedName>
    <definedName name="ESTRUCT09">#REF!</definedName>
    <definedName name="ESTRUCT10" localSheetId="4">#REF!</definedName>
    <definedName name="ESTRUCT10" localSheetId="2">#REF!</definedName>
    <definedName name="ESTRUCT10">#REF!</definedName>
    <definedName name="ESTRUCT11" localSheetId="4">#REF!</definedName>
    <definedName name="ESTRUCT11" localSheetId="2">#REF!</definedName>
    <definedName name="ESTRUCT11">#REF!</definedName>
    <definedName name="ESTRUCT12" localSheetId="4">#REF!</definedName>
    <definedName name="ESTRUCT12" localSheetId="2">#REF!</definedName>
    <definedName name="ESTRUCT12">#REF!</definedName>
    <definedName name="ESTRUCT13" localSheetId="4">#REF!</definedName>
    <definedName name="ESTRUCT13" localSheetId="2">#REF!</definedName>
    <definedName name="ESTRUCT13">#REF!</definedName>
    <definedName name="ESTRUCT14" localSheetId="4">#REF!</definedName>
    <definedName name="ESTRUCT14" localSheetId="2">#REF!</definedName>
    <definedName name="ESTRUCT14">#REF!</definedName>
    <definedName name="ESTRUCT15" localSheetId="4">#REF!</definedName>
    <definedName name="ESTRUCT15" localSheetId="2">#REF!</definedName>
    <definedName name="ESTRUCT15">#REF!</definedName>
    <definedName name="ESTRUCT16" localSheetId="4">#REF!</definedName>
    <definedName name="ESTRUCT16" localSheetId="2">#REF!</definedName>
    <definedName name="ESTRUCT16">#REF!</definedName>
    <definedName name="ESTRUCT17" localSheetId="4">#REF!</definedName>
    <definedName name="ESTRUCT17" localSheetId="2">#REF!</definedName>
    <definedName name="ESTRUCT17">#REF!</definedName>
    <definedName name="ESTRUCT18" localSheetId="4">#REF!</definedName>
    <definedName name="ESTRUCT18" localSheetId="2">#REF!</definedName>
    <definedName name="ESTRUCT18">#REF!</definedName>
    <definedName name="ESTRUCT19" localSheetId="4">#REF!</definedName>
    <definedName name="ESTRUCT19" localSheetId="2">#REF!</definedName>
    <definedName name="ESTRUCT19">#REF!</definedName>
    <definedName name="ESTRUCT20" localSheetId="4">#REF!</definedName>
    <definedName name="ESTRUCT20" localSheetId="2">#REF!</definedName>
    <definedName name="ESTRUCT20">#REF!</definedName>
    <definedName name="ESTRUCT21" localSheetId="4">#REF!</definedName>
    <definedName name="ESTRUCT21" localSheetId="2">#REF!</definedName>
    <definedName name="ESTRUCT21">#REF!</definedName>
    <definedName name="ESTRUCT22" localSheetId="4">#REF!</definedName>
    <definedName name="ESTRUCT22" localSheetId="2">#REF!</definedName>
    <definedName name="ESTRUCT22">#REF!</definedName>
    <definedName name="ESTRUCT24" localSheetId="4">#REF!</definedName>
    <definedName name="ESTRUCT24" localSheetId="2">#REF!</definedName>
    <definedName name="ESTRUCT24">#REF!</definedName>
    <definedName name="ESTRUCT25" localSheetId="4">#REF!</definedName>
    <definedName name="ESTRUCT25" localSheetId="2">#REF!</definedName>
    <definedName name="ESTRUCT25">#REF!</definedName>
    <definedName name="ESTRUCT28" localSheetId="4">#REF!</definedName>
    <definedName name="ESTRUCT28" localSheetId="2">#REF!</definedName>
    <definedName name="ESTRUCT28">#REF!</definedName>
    <definedName name="ESTRUCT29" localSheetId="4">#REF!</definedName>
    <definedName name="ESTRUCT29" localSheetId="2">#REF!</definedName>
    <definedName name="ESTRUCT29">#REF!</definedName>
    <definedName name="ESTRUCT31" localSheetId="4">#REF!</definedName>
    <definedName name="ESTRUCT31" localSheetId="2">#REF!</definedName>
    <definedName name="ESTRUCT31">#REF!</definedName>
    <definedName name="ESTRUCT33" localSheetId="4">#REF!</definedName>
    <definedName name="ESTRUCT33" localSheetId="2">#REF!</definedName>
    <definedName name="ESTRUCT33">#REF!</definedName>
    <definedName name="ESTRUCT34" localSheetId="4">#REF!</definedName>
    <definedName name="ESTRUCT34" localSheetId="2">#REF!</definedName>
    <definedName name="ESTRUCT34">#REF!</definedName>
    <definedName name="ESTRUCT43" localSheetId="4">#REF!</definedName>
    <definedName name="ESTRUCT43" localSheetId="2">#REF!</definedName>
    <definedName name="ESTRUCT43">#REF!</definedName>
    <definedName name="ETERNIT6" localSheetId="4">#REF!</definedName>
    <definedName name="ETERNIT6" localSheetId="2">#REF!</definedName>
    <definedName name="ETERNIT6">#REF!</definedName>
    <definedName name="etertgg" localSheetId="4">#REF!</definedName>
    <definedName name="etertgg" localSheetId="2">#REF!</definedName>
    <definedName name="etertgg">#REF!</definedName>
    <definedName name="etewt" localSheetId="4">#REF!</definedName>
    <definedName name="etewt" localSheetId="2">#REF!</definedName>
    <definedName name="etewt">#REF!</definedName>
    <definedName name="etu" localSheetId="4">#REF!</definedName>
    <definedName name="etu" localSheetId="2">#REF!</definedName>
    <definedName name="etu">#REF!</definedName>
    <definedName name="etueh" localSheetId="4">#REF!</definedName>
    <definedName name="etueh" localSheetId="2">#REF!</definedName>
    <definedName name="etueh">#REF!</definedName>
    <definedName name="etyty" localSheetId="4">#REF!</definedName>
    <definedName name="etyty" localSheetId="2">#REF!</definedName>
    <definedName name="etyty">#REF!</definedName>
    <definedName name="etyu" localSheetId="4">#REF!</definedName>
    <definedName name="etyu" localSheetId="2">#REF!</definedName>
    <definedName name="etyu">#REF!</definedName>
    <definedName name="eu" localSheetId="4">#REF!</definedName>
    <definedName name="eu" localSheetId="2">#REF!</definedName>
    <definedName name="eu">#REF!</definedName>
    <definedName name="eut" localSheetId="4">#REF!</definedName>
    <definedName name="eut" localSheetId="2">#REF!</definedName>
    <definedName name="eut">#REF!</definedName>
    <definedName name="euyt" localSheetId="4">#REF!</definedName>
    <definedName name="euyt" localSheetId="2">#REF!</definedName>
    <definedName name="euyt">#REF!</definedName>
    <definedName name="ev.Calculation" hidden="1">-4135</definedName>
    <definedName name="ev.Initialized" hidden="1">FALSE</definedName>
    <definedName name="Eval_Currency">#REF!</definedName>
    <definedName name="ewegt" localSheetId="4">#REF!</definedName>
    <definedName name="ewegt" localSheetId="2">#REF!</definedName>
    <definedName name="ewegt">#REF!</definedName>
    <definedName name="ewfewfg" localSheetId="4">#REF!</definedName>
    <definedName name="ewfewfg" localSheetId="2">#REF!</definedName>
    <definedName name="ewfewfg">#REF!</definedName>
    <definedName name="ewre" localSheetId="4">#REF!</definedName>
    <definedName name="ewre" localSheetId="2">#REF!</definedName>
    <definedName name="ewre">#REF!</definedName>
    <definedName name="ewrewf" localSheetId="4">#REF!</definedName>
    <definedName name="ewrewf" localSheetId="2">#REF!</definedName>
    <definedName name="ewrewf">#REF!</definedName>
    <definedName name="ewrr" localSheetId="4">#REF!</definedName>
    <definedName name="ewrr" localSheetId="2">#REF!</definedName>
    <definedName name="ewrr">#REF!</definedName>
    <definedName name="ewrt" localSheetId="4">#REF!</definedName>
    <definedName name="ewrt" localSheetId="2">#REF!</definedName>
    <definedName name="ewrt">#REF!</definedName>
    <definedName name="ewrwer" localSheetId="4">#REF!</definedName>
    <definedName name="ewrwer" localSheetId="2">#REF!</definedName>
    <definedName name="ewrwer">#REF!</definedName>
    <definedName name="ex" localSheetId="4">#REF!</definedName>
    <definedName name="ex" localSheetId="2">#REF!</definedName>
    <definedName name="ex">#REF!</definedName>
    <definedName name="EXC">#REF!</definedName>
    <definedName name="EXCAVACIONCONGLOMERADO" localSheetId="4">#REF!</definedName>
    <definedName name="EXCAVACIONCONGLOMERADO" localSheetId="2">#REF!</definedName>
    <definedName name="EXCAVACIONCONGLOMERADO">#REF!</definedName>
    <definedName name="EXCAVACIONSIMPLE">#REF!</definedName>
    <definedName name="exCEL">#REF!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 localSheetId="4">#REF!</definedName>
    <definedName name="Excel_BuiltIn_Print_Area_1_1_1_1_1_1" localSheetId="2">#REF!</definedName>
    <definedName name="Excel_BuiltIn_Print_Area_1_1_1_1_1_1">#REF!</definedName>
    <definedName name="Excel_BuiltIn_Print_Area_3">#REF!</definedName>
    <definedName name="Excel_BuiltIn_Print_Area_3_X">#REF!</definedName>
    <definedName name="Excel_BuiltIn_Print_Area_7" localSheetId="4">#REF!</definedName>
    <definedName name="Excel_BuiltIn_Print_Area_7" localSheetId="2">#REF!</definedName>
    <definedName name="Excel_BuiltIn_Print_Area_7">#REF!</definedName>
    <definedName name="Excel_BuiltIn_Print_Titles_1">#REF!</definedName>
    <definedName name="Excel_BuiltIn_Print_Titles_1_1">#REF!</definedName>
    <definedName name="Excel_BuiltIn_Print_Titles_1_1_1" localSheetId="4">#REF!</definedName>
    <definedName name="Excel_BuiltIn_Print_Titles_1_1_1" localSheetId="2">#REF!</definedName>
    <definedName name="Excel_BuiltIn_Print_Titles_1_1_1">#REF!</definedName>
    <definedName name="Excel_BuiltIn_Print_Titles_1_1_1_1">#REF!</definedName>
    <definedName name="Excel_BuiltIn_Print_Titles_10" localSheetId="4">#REF!</definedName>
    <definedName name="Excel_BuiltIn_Print_Titles_10" localSheetId="2">#REF!</definedName>
    <definedName name="Excel_BuiltIn_Print_Titles_10">#REF!</definedName>
    <definedName name="Excel_BuiltIn_Print_Titles_11" localSheetId="4">#REF!</definedName>
    <definedName name="Excel_BuiltIn_Print_Titles_11" localSheetId="2">#REF!</definedName>
    <definedName name="Excel_BuiltIn_Print_Titles_11">#REF!</definedName>
    <definedName name="Excel_BuiltIn_Print_Titles_12" localSheetId="4">#REF!</definedName>
    <definedName name="Excel_BuiltIn_Print_Titles_12" localSheetId="2">#REF!</definedName>
    <definedName name="Excel_BuiltIn_Print_Titles_12">#REF!</definedName>
    <definedName name="Excel_BuiltIn_Print_Titles_13" localSheetId="4">#REF!</definedName>
    <definedName name="Excel_BuiltIn_Print_Titles_13" localSheetId="2">#REF!</definedName>
    <definedName name="Excel_BuiltIn_Print_Titles_13">#REF!</definedName>
    <definedName name="Excel_BuiltIn_Print_Titles_14" localSheetId="4">#REF!</definedName>
    <definedName name="Excel_BuiltIn_Print_Titles_14" localSheetId="2">#REF!</definedName>
    <definedName name="Excel_BuiltIn_Print_Titles_14">#REF!</definedName>
    <definedName name="Excel_BuiltIn_Print_Titles_15">#REF!</definedName>
    <definedName name="Excel_BuiltIn_Print_Titles_16" localSheetId="4">#REF!</definedName>
    <definedName name="Excel_BuiltIn_Print_Titles_16" localSheetId="2">#REF!</definedName>
    <definedName name="Excel_BuiltIn_Print_Titles_16">#REF!</definedName>
    <definedName name="Excel_BuiltIn_Print_Titles_17">#REF!</definedName>
    <definedName name="Excel_BuiltIn_Print_Titles_18" localSheetId="4">#REF!</definedName>
    <definedName name="Excel_BuiltIn_Print_Titles_18" localSheetId="2">#REF!</definedName>
    <definedName name="Excel_BuiltIn_Print_Titles_18">#REF!</definedName>
    <definedName name="Excel_BuiltIn_Print_Titles_19" localSheetId="4">#REF!</definedName>
    <definedName name="Excel_BuiltIn_Print_Titles_19" localSheetId="2">#REF!</definedName>
    <definedName name="Excel_BuiltIn_Print_Titles_19">#REF!</definedName>
    <definedName name="Excel_BuiltIn_Print_Titles_2_1">#REF!</definedName>
    <definedName name="Excel_BuiltIn_Print_Titles_20">#REF!</definedName>
    <definedName name="Excel_BuiltIn_Print_Titles_21" localSheetId="4">#REF!</definedName>
    <definedName name="Excel_BuiltIn_Print_Titles_21" localSheetId="2">#REF!</definedName>
    <definedName name="Excel_BuiltIn_Print_Titles_21">#REF!</definedName>
    <definedName name="Excel_BuiltIn_Print_Titles_23">#REF!</definedName>
    <definedName name="Excel_BuiltIn_Print_Titles_3">#REF!</definedName>
    <definedName name="Excel_BuiltIn_Print_Titles_4">#REF!</definedName>
    <definedName name="Excel_BuiltIn_Print_Titles_5">#REF!</definedName>
    <definedName name="Excel_BuiltIn_Print_Titles_5_XX" localSheetId="4">#REF!</definedName>
    <definedName name="Excel_BuiltIn_Print_Titles_5_XX" localSheetId="2">#REF!</definedName>
    <definedName name="Excel_BuiltIn_Print_Titles_5_XX">#REF!</definedName>
    <definedName name="Excel_BuiltIn_Print_Titles_6">#REF!</definedName>
    <definedName name="Excel_BuiltIn_Print_Titles_7" localSheetId="4">#REF!</definedName>
    <definedName name="Excel_BuiltIn_Print_Titles_7" localSheetId="2">#REF!</definedName>
    <definedName name="Excel_BuiltIn_Print_Titles_7">#REF!</definedName>
    <definedName name="Excel_BuiltIn_Print_Titles_8">#REF!</definedName>
    <definedName name="Excel_BuiltIn_Print_Titles_9" localSheetId="4">#REF!</definedName>
    <definedName name="Excel_BuiltIn_Print_Titles_9" localSheetId="2">#REF!</definedName>
    <definedName name="Excel_BuiltIn_Print_Titles_9">#REF!</definedName>
    <definedName name="Exchange_Rate">#REF!</definedName>
    <definedName name="exchangerate" localSheetId="4">#REF!</definedName>
    <definedName name="exchangerate" localSheetId="2">#REF!</definedName>
    <definedName name="exchangerate">#REF!</definedName>
    <definedName name="EXCROC">'[65]Análisis de precios'!$H$52</definedName>
    <definedName name="Executivepb">#REF!</definedName>
    <definedName name="ExistAge">#REF!</definedName>
    <definedName name="ExistFleet">#REF!</definedName>
    <definedName name="expl1" localSheetId="4">#REF!</definedName>
    <definedName name="expl1" localSheetId="2">#REF!</definedName>
    <definedName name="expl1">#REF!</definedName>
    <definedName name="ExRateAus">[66]ProjectParameters!$G$18</definedName>
    <definedName name="ExRateCountry">[66]ProjectParameters!$B$18:$B$22</definedName>
    <definedName name="ExRates">[66]ProjectParameters!$G$18:$G$22</definedName>
    <definedName name="Extracción_IM">#REF!</definedName>
    <definedName name="F.D.CV1_Moisture">#REF!</definedName>
    <definedName name="F.D.CV2_Al" localSheetId="4">#REF!</definedName>
    <definedName name="F.D.CV2_Al" localSheetId="2">#REF!</definedName>
    <definedName name="F.D.CV2_Al">#REF!</definedName>
    <definedName name="F.D.CV2_Co" localSheetId="4">#REF!</definedName>
    <definedName name="F.D.CV2_Co" localSheetId="2">#REF!</definedName>
    <definedName name="F.D.CV2_Co">#REF!</definedName>
    <definedName name="F.D.CV2_DryTonnes">#REF!</definedName>
    <definedName name="F.D.CV2_dtph">#REF!</definedName>
    <definedName name="F.D.CV2_Fe" localSheetId="4">#REF!</definedName>
    <definedName name="F.D.CV2_Fe" localSheetId="2">#REF!</definedName>
    <definedName name="F.D.CV2_Fe">#REF!</definedName>
    <definedName name="F.D.CV2_Mg" localSheetId="4">#REF!</definedName>
    <definedName name="F.D.CV2_Mg" localSheetId="2">#REF!</definedName>
    <definedName name="F.D.CV2_Mg">#REF!</definedName>
    <definedName name="F.D.CV2_Ni">#REF!</definedName>
    <definedName name="F.D.CV2_Si" localSheetId="4">#REF!</definedName>
    <definedName name="F.D.CV2_Si" localSheetId="2">#REF!</definedName>
    <definedName name="F.D.CV2_Si">#REF!</definedName>
    <definedName name="F.D.Mill_Availability">#REF!</definedName>
    <definedName name="F.D.Mill_Downtime">#REF!</definedName>
    <definedName name="F.D.Mill_DryTonnes">#REF!</definedName>
    <definedName name="F.D.Mill_DryTph">#REF!</definedName>
    <definedName name="F.D.Mill_PowerDraw" localSheetId="4">#REF!</definedName>
    <definedName name="F.D.Mill_PowerDraw" localSheetId="2">#REF!</definedName>
    <definedName name="F.D.Mill_PowerDraw">#REF!</definedName>
    <definedName name="F.D.Mill_PowerDrawPerTonne" localSheetId="4">#REF!</definedName>
    <definedName name="F.D.Mill_PowerDrawPerTonne" localSheetId="2">#REF!</definedName>
    <definedName name="F.D.Mill_PowerDrawPerTonne">#REF!</definedName>
    <definedName name="F.D.Mill_Uptime">#REF!</definedName>
    <definedName name="F.D.Mill_Utilization">#REF!</definedName>
    <definedName name="F.D.Mill_WetTonnes">#REF!</definedName>
    <definedName name="F.D.Mill_WetTph">#REF!</definedName>
    <definedName name="F.D.MillFeed_Al">#REF!</definedName>
    <definedName name="F.D.MillFeed_Co">#REF!</definedName>
    <definedName name="F.D.MillFeed_Fe">#REF!</definedName>
    <definedName name="F.D.MillFeed_Mg" localSheetId="4">#REF!</definedName>
    <definedName name="F.D.MillFeed_Mg" localSheetId="2">#REF!</definedName>
    <definedName name="F.D.MillFeed_Mg">#REF!</definedName>
    <definedName name="F.D.MillFeed_Ni">#REF!</definedName>
    <definedName name="F.D.MillFeed_Si" localSheetId="4">#REF!</definedName>
    <definedName name="F.D.MillFeed_Si" localSheetId="2">#REF!</definedName>
    <definedName name="F.D.MillFeed_Si">#REF!</definedName>
    <definedName name="F.D.MillH2O_Head">#REF!</definedName>
    <definedName name="F.D.MillH2O_Screen">#REF!</definedName>
    <definedName name="F.D.MillH2O_Total">#REF!</definedName>
    <definedName name="F.D.OreToStorage_Al">#REF!</definedName>
    <definedName name="F.D.OreToStorage_Co" localSheetId="4">#REF!</definedName>
    <definedName name="F.D.OreToStorage_Co" localSheetId="2">#REF!</definedName>
    <definedName name="F.D.OreToStorage_Co">#REF!</definedName>
    <definedName name="F.D.OreToStorage_DryTonnes">#REF!</definedName>
    <definedName name="F.D.OreToStorage_DryTph">#REF!</definedName>
    <definedName name="F.D.OreToStorage_Fe" localSheetId="4">#REF!</definedName>
    <definedName name="F.D.OreToStorage_Fe" localSheetId="2">#REF!</definedName>
    <definedName name="F.D.OreToStorage_Fe">#REF!</definedName>
    <definedName name="F.D.OreToStorage_Mg" localSheetId="4">#REF!</definedName>
    <definedName name="F.D.OreToStorage_Mg" localSheetId="2">#REF!</definedName>
    <definedName name="F.D.OreToStorage_Mg">#REF!</definedName>
    <definedName name="F.D.OreToStorage_Ni">#REF!</definedName>
    <definedName name="F.D.OreToStorage_PulpDensity">#REF!</definedName>
    <definedName name="F.D.OreToStorage_PulpYieldStress">#REF!</definedName>
    <definedName name="F.D.OreToStorage_Si">#REF!</definedName>
    <definedName name="F.D.OreToStorage_Tank1Level">#REF!</definedName>
    <definedName name="F.D.OreToStorage_Tank2Level">#REF!</definedName>
    <definedName name="F.D.OreToStorage_Tank3Level" localSheetId="4">#REF!</definedName>
    <definedName name="F.D.OreToStorage_Tank3Level" localSheetId="2">#REF!</definedName>
    <definedName name="F.D.OreToStorage_Tank3Level">#REF!</definedName>
    <definedName name="F.D.OreToStorage_Tank4Level">#REF!</definedName>
    <definedName name="F.D.OreToStorage_Volume">#REF!</definedName>
    <definedName name="F.D.OreToStorage_VolumePerHr">#REF!</definedName>
    <definedName name="F.M.CV1_Moisture" localSheetId="4">#REF!</definedName>
    <definedName name="F.M.CV1_Moisture" localSheetId="2">#REF!</definedName>
    <definedName name="F.M.CV1_Moisture">#REF!</definedName>
    <definedName name="F.M.CV2_Al">#REF!</definedName>
    <definedName name="F.M.CV2_Co" localSheetId="4">#REF!</definedName>
    <definedName name="F.M.CV2_Co" localSheetId="2">#REF!</definedName>
    <definedName name="F.M.CV2_Co">#REF!</definedName>
    <definedName name="F.M.CV2_DryTonnes">#REF!</definedName>
    <definedName name="F.M.CV2_dtph" localSheetId="4">#REF!</definedName>
    <definedName name="F.M.CV2_dtph" localSheetId="2">#REF!</definedName>
    <definedName name="F.M.CV2_dtph">#REF!</definedName>
    <definedName name="F.M.CV2_Fe">#REF!</definedName>
    <definedName name="F.M.CV2_Mg">#REF!</definedName>
    <definedName name="F.M.CV2_Ni">#REF!</definedName>
    <definedName name="F.M.CV2_Si">#REF!</definedName>
    <definedName name="F.M.Mill_Availability" localSheetId="4">#REF!</definedName>
    <definedName name="F.M.Mill_Availability" localSheetId="2">#REF!</definedName>
    <definedName name="F.M.Mill_Availability">#REF!</definedName>
    <definedName name="F.M.Mill_Downtime" localSheetId="4">#REF!</definedName>
    <definedName name="F.M.Mill_Downtime" localSheetId="2">#REF!</definedName>
    <definedName name="F.M.Mill_Downtime">#REF!</definedName>
    <definedName name="F.M.Mill_DryTonnes">#REF!</definedName>
    <definedName name="F.M.Mill_DryTph">#REF!</definedName>
    <definedName name="F.M.Mill_PowerDraw">#REF!</definedName>
    <definedName name="F.M.Mill_PowerDrawPerTonne">#REF!</definedName>
    <definedName name="F.M.Mill_Uptime">#REF!</definedName>
    <definedName name="F.M.Mill_Utilization">#REF!</definedName>
    <definedName name="F.M.Mill_WetTonnes" localSheetId="4">#REF!</definedName>
    <definedName name="F.M.Mill_WetTonnes" localSheetId="2">#REF!</definedName>
    <definedName name="F.M.Mill_WetTonnes">#REF!</definedName>
    <definedName name="F.M.Mill_WetTph" localSheetId="4">#REF!</definedName>
    <definedName name="F.M.Mill_WetTph" localSheetId="2">#REF!</definedName>
    <definedName name="F.M.Mill_WetTph">#REF!</definedName>
    <definedName name="F.M.MillFeed_Al">#REF!</definedName>
    <definedName name="F.M.MillFeed_Co">#REF!</definedName>
    <definedName name="F.M.MillFeed_Fe">#REF!</definedName>
    <definedName name="F.M.MillFeed_Mg">#REF!</definedName>
    <definedName name="F.M.MillFeed_Ni">#REF!</definedName>
    <definedName name="F.M.MillFeed_Si">#REF!</definedName>
    <definedName name="F.M.MillH2O_Head" localSheetId="4">#REF!</definedName>
    <definedName name="F.M.MillH2O_Head" localSheetId="2">#REF!</definedName>
    <definedName name="F.M.MillH2O_Head">#REF!</definedName>
    <definedName name="F.M.MillH2O_Screen">#REF!</definedName>
    <definedName name="F.M.MillH2O_Total">#REF!</definedName>
    <definedName name="F.M.OreToStorage_Al">#REF!</definedName>
    <definedName name="F.M.OreToStorage_Co">#REF!</definedName>
    <definedName name="F.M.OreToStorage_DryTonnes">#REF!</definedName>
    <definedName name="F.M.OreToStorage_DryTph" localSheetId="4">#REF!</definedName>
    <definedName name="F.M.OreToStorage_DryTph" localSheetId="2">#REF!</definedName>
    <definedName name="F.M.OreToStorage_DryTph">#REF!</definedName>
    <definedName name="F.M.OreToStorage_Fe">#REF!</definedName>
    <definedName name="F.M.OreToStorage_Mg">#REF!</definedName>
    <definedName name="F.M.OreToStorage_Ni" localSheetId="4">#REF!</definedName>
    <definedName name="F.M.OreToStorage_Ni" localSheetId="2">#REF!</definedName>
    <definedName name="F.M.OreToStorage_Ni">#REF!</definedName>
    <definedName name="F.M.OreToStorage_PulpDensity">#REF!</definedName>
    <definedName name="F.M.OreToStorage_PulpYieldStress">#REF!</definedName>
    <definedName name="F.M.OreToStorage_Si">#REF!</definedName>
    <definedName name="F.M.OreToStorage_Volume">#REF!</definedName>
    <definedName name="F.M.OreToStorage_VolumePerHr">#REF!</definedName>
    <definedName name="F.Y.CV1_Moisture">#REF!</definedName>
    <definedName name="F.Y.CV2_Al">#REF!</definedName>
    <definedName name="F.Y.CV2_Co" localSheetId="4">#REF!</definedName>
    <definedName name="F.Y.CV2_Co" localSheetId="2">#REF!</definedName>
    <definedName name="F.Y.CV2_Co">#REF!</definedName>
    <definedName name="F.Y.CV2_DryTonnes" localSheetId="4">#REF!</definedName>
    <definedName name="F.Y.CV2_DryTonnes" localSheetId="2">#REF!</definedName>
    <definedName name="F.Y.CV2_DryTonnes">#REF!</definedName>
    <definedName name="F.Y.CV2_dtph" localSheetId="4">#REF!</definedName>
    <definedName name="F.Y.CV2_dtph" localSheetId="2">#REF!</definedName>
    <definedName name="F.Y.CV2_dtph">#REF!</definedName>
    <definedName name="F.Y.CV2_Fe">#REF!</definedName>
    <definedName name="F.Y.CV2_Mg" localSheetId="4">#REF!</definedName>
    <definedName name="F.Y.CV2_Mg" localSheetId="2">#REF!</definedName>
    <definedName name="F.Y.CV2_Mg">#REF!</definedName>
    <definedName name="F.Y.CV2_Ni" localSheetId="4">#REF!</definedName>
    <definedName name="F.Y.CV2_Ni" localSheetId="2">#REF!</definedName>
    <definedName name="F.Y.CV2_Ni">#REF!</definedName>
    <definedName name="F.Y.CV2_Si">#REF!</definedName>
    <definedName name="F.Y.Mill_Availability">#REF!</definedName>
    <definedName name="F.Y.Mill_Downtime">#REF!</definedName>
    <definedName name="F.Y.Mill_DryTonnes">#REF!</definedName>
    <definedName name="F.Y.Mill_DryTph">#REF!</definedName>
    <definedName name="F.Y.Mill_PowerDraw" localSheetId="4">#REF!</definedName>
    <definedName name="F.Y.Mill_PowerDraw" localSheetId="2">#REF!</definedName>
    <definedName name="F.Y.Mill_PowerDraw">#REF!</definedName>
    <definedName name="F.Y.Mill_PowerDrawPerTonne">#REF!</definedName>
    <definedName name="F.Y.Mill_Uptime">#REF!</definedName>
    <definedName name="F.Y.Mill_Utilization">#REF!</definedName>
    <definedName name="F.Y.Mill_WetTonnes">#REF!</definedName>
    <definedName name="F.Y.Mill_WetTph">#REF!</definedName>
    <definedName name="F.Y.MillFeed_Al">#REF!</definedName>
    <definedName name="F.Y.MillFeed_Co">#REF!</definedName>
    <definedName name="F.Y.MillFeed_Fe">#REF!</definedName>
    <definedName name="F.Y.MillFeed_Mg" localSheetId="4">#REF!</definedName>
    <definedName name="F.Y.MillFeed_Mg" localSheetId="2">#REF!</definedName>
    <definedName name="F.Y.MillFeed_Mg">#REF!</definedName>
    <definedName name="F.Y.MillFeed_Ni">#REF!</definedName>
    <definedName name="F.Y.MillFeed_Si" localSheetId="4">#REF!</definedName>
    <definedName name="F.Y.MillFeed_Si" localSheetId="2">#REF!</definedName>
    <definedName name="F.Y.MillFeed_Si">#REF!</definedName>
    <definedName name="F.Y.MillH2O_Head">#REF!</definedName>
    <definedName name="F.Y.MillH2O_Screen">#REF!</definedName>
    <definedName name="F.Y.MillH2O_Total" localSheetId="4">#REF!</definedName>
    <definedName name="F.Y.MillH2O_Total" localSheetId="2">#REF!</definedName>
    <definedName name="F.Y.MillH2O_Total">#REF!</definedName>
    <definedName name="F.Y.OreToStorage_Al">#REF!</definedName>
    <definedName name="F.Y.OreToStorage_Co" localSheetId="4">#REF!</definedName>
    <definedName name="F.Y.OreToStorage_Co" localSheetId="2">#REF!</definedName>
    <definedName name="F.Y.OreToStorage_Co">#REF!</definedName>
    <definedName name="F.Y.OreToStorage_DryTonnes">#REF!</definedName>
    <definedName name="F.Y.OreToStorage_DryTph" localSheetId="4">#REF!</definedName>
    <definedName name="F.Y.OreToStorage_DryTph" localSheetId="2">#REF!</definedName>
    <definedName name="F.Y.OreToStorage_DryTph">#REF!</definedName>
    <definedName name="F.Y.OreToStorage_Fe">#REF!</definedName>
    <definedName name="F.Y.OreToStorage_Mg">#REF!</definedName>
    <definedName name="F.Y.OreToStorage_Ni" localSheetId="4">#REF!</definedName>
    <definedName name="F.Y.OreToStorage_Ni" localSheetId="2">#REF!</definedName>
    <definedName name="F.Y.OreToStorage_Ni">#REF!</definedName>
    <definedName name="F.Y.OreToStorage_PulpDensity" localSheetId="4">#REF!</definedName>
    <definedName name="F.Y.OreToStorage_PulpDensity" localSheetId="2">#REF!</definedName>
    <definedName name="F.Y.OreToStorage_PulpDensity">#REF!</definedName>
    <definedName name="F.Y.OreToStorage_PulpYieldStress">#REF!</definedName>
    <definedName name="F.Y.OreToStorage_Si">#REF!</definedName>
    <definedName name="F.Y.OreToStorage_Volume">#REF!</definedName>
    <definedName name="F.Y.OreToStorage_VolumePerHr">#REF!</definedName>
    <definedName name="F201.1">#REF!</definedName>
    <definedName name="F201.2" localSheetId="4">#REF!</definedName>
    <definedName name="F201.2" localSheetId="2">#REF!</definedName>
    <definedName name="F201.2">#REF!</definedName>
    <definedName name="F201.3">#REF!</definedName>
    <definedName name="F210.2">#REF!</definedName>
    <definedName name="F210.3">#REF!</definedName>
    <definedName name="F211.1">#REF!</definedName>
    <definedName name="F220.1">#REF!</definedName>
    <definedName name="fa">#REF!</definedName>
    <definedName name="factor">#REF!</definedName>
    <definedName name="Factpb">#REF!</definedName>
    <definedName name="Factpb2">#REF!</definedName>
    <definedName name="fb">#REF!</definedName>
    <definedName name="fbc" localSheetId="4">#REF!</definedName>
    <definedName name="fbc" localSheetId="2">#REF!</definedName>
    <definedName name="fbc">#REF!</definedName>
    <definedName name="fcc" localSheetId="4">#REF!</definedName>
    <definedName name="fcc" localSheetId="2">#REF!</definedName>
    <definedName name="fcc">#REF!</definedName>
    <definedName name="fcv">#REF!</definedName>
    <definedName name="fd" localSheetId="4">#REF!</definedName>
    <definedName name="fd" localSheetId="2">#REF!</definedName>
    <definedName name="fd">#REF!</definedName>
    <definedName name="fda">#REF!</definedName>
    <definedName name="fdbjp" localSheetId="4">#REF!</definedName>
    <definedName name="fdbjp" localSheetId="2">#REF!</definedName>
    <definedName name="fdbjp">#REF!</definedName>
    <definedName name="fdf" localSheetId="4">#REF!</definedName>
    <definedName name="fdf" localSheetId="2">#REF!</definedName>
    <definedName name="fdf">#REF!</definedName>
    <definedName name="fdg" localSheetId="4">#REF!</definedName>
    <definedName name="fdg" localSheetId="2">#REF!</definedName>
    <definedName name="fdg">#REF!</definedName>
    <definedName name="FDGD" localSheetId="4">#REF!</definedName>
    <definedName name="FDGD" localSheetId="2">#REF!</definedName>
    <definedName name="FDGD">#REF!</definedName>
    <definedName name="FDGFDBBP" localSheetId="4">#REF!</definedName>
    <definedName name="FDGFDBBP" localSheetId="2">#REF!</definedName>
    <definedName name="FDGFDBBP">#REF!</definedName>
    <definedName name="fdh" localSheetId="4">#REF!</definedName>
    <definedName name="fdh" localSheetId="2">#REF!</definedName>
    <definedName name="fdh">#REF!</definedName>
    <definedName name="fdsa">#REF!</definedName>
    <definedName name="fdsf" localSheetId="4">#REF!</definedName>
    <definedName name="fdsf" localSheetId="2">#REF!</definedName>
    <definedName name="fdsf">#REF!</definedName>
    <definedName name="fdsfds" localSheetId="4">#REF!</definedName>
    <definedName name="fdsfds" localSheetId="2">#REF!</definedName>
    <definedName name="fdsfds">#REF!</definedName>
    <definedName name="fdsfdsf" localSheetId="4">#REF!</definedName>
    <definedName name="fdsfdsf" localSheetId="2">#REF!</definedName>
    <definedName name="fdsfdsf">#REF!</definedName>
    <definedName name="fdsgfds" localSheetId="4">#REF!</definedName>
    <definedName name="fdsgfds" localSheetId="2">#REF!</definedName>
    <definedName name="fdsgfds">#REF!</definedName>
    <definedName name="fdsgsdfu" localSheetId="4">#REF!</definedName>
    <definedName name="fdsgsdfu" localSheetId="2">#REF!</definedName>
    <definedName name="fdsgsdfu">#REF!</definedName>
    <definedName name="FDSIO" localSheetId="4">#REF!</definedName>
    <definedName name="FDSIO" localSheetId="2">#REF!</definedName>
    <definedName name="FDSIO">#REF!</definedName>
    <definedName name="fdwssf">#REF!</definedName>
    <definedName name="feb00">[6]Dólar!#REF!</definedName>
    <definedName name="fec">#REF!</definedName>
    <definedName name="FECHA">#REF!</definedName>
    <definedName name="Fechas">#REF!</definedName>
    <definedName name="ferfer" localSheetId="4">#REF!</definedName>
    <definedName name="ferfer" localSheetId="2">#REF!</definedName>
    <definedName name="ferfer">#REF!</definedName>
    <definedName name="fermel" localSheetId="4">#REF!</definedName>
    <definedName name="fermel" localSheetId="2">#REF!</definedName>
    <definedName name="fermel">#REF!</definedName>
    <definedName name="Fexx">[5]Cálculo!$B$39</definedName>
    <definedName name="FF">'[67]cost codes'!$B$2:$F$54</definedName>
    <definedName name="fff" localSheetId="4">#REF!</definedName>
    <definedName name="fff" localSheetId="2">#REF!</definedName>
    <definedName name="fff">#REF!</definedName>
    <definedName name="ffff">#REF!</definedName>
    <definedName name="ffffd" localSheetId="4">#REF!</definedName>
    <definedName name="ffffd" localSheetId="2">#REF!</definedName>
    <definedName name="ffffd">#REF!</definedName>
    <definedName name="fffffdfdfddf">#REF!</definedName>
    <definedName name="ffffffffffffffff">#REF!</definedName>
    <definedName name="fffffft" localSheetId="4">#REF!</definedName>
    <definedName name="fffffft" localSheetId="2">#REF!</definedName>
    <definedName name="fffffft">#REF!</definedName>
    <definedName name="fffffik" localSheetId="4">#REF!</definedName>
    <definedName name="fffffik" localSheetId="2">#REF!</definedName>
    <definedName name="fffffik">#REF!</definedName>
    <definedName name="fffffj" localSheetId="4">#REF!</definedName>
    <definedName name="fffffj" localSheetId="2">#REF!</definedName>
    <definedName name="fffffj">#REF!</definedName>
    <definedName name="ffffrd" localSheetId="4">#REF!</definedName>
    <definedName name="ffffrd" localSheetId="2">#REF!</definedName>
    <definedName name="ffffrd">#REF!</definedName>
    <definedName name="ffffy" localSheetId="4">#REF!</definedName>
    <definedName name="ffffy" localSheetId="2">#REF!</definedName>
    <definedName name="ffffy">#REF!</definedName>
    <definedName name="fffrfr" localSheetId="4">#REF!</definedName>
    <definedName name="fffrfr" localSheetId="2">#REF!</definedName>
    <definedName name="fffrfr">#REF!</definedName>
    <definedName name="fffs" localSheetId="4">#REF!</definedName>
    <definedName name="fffs" localSheetId="2">#REF!</definedName>
    <definedName name="fffs">#REF!</definedName>
    <definedName name="fg">#REF!</definedName>
    <definedName name="fgdfg" localSheetId="4">#REF!</definedName>
    <definedName name="fgdfg" localSheetId="2">#REF!</definedName>
    <definedName name="fgdfg">#REF!</definedName>
    <definedName name="fgdfsgr" localSheetId="4">#REF!</definedName>
    <definedName name="fgdfsgr" localSheetId="2">#REF!</definedName>
    <definedName name="fgdfsgr">#REF!</definedName>
    <definedName name="fgdsfg" localSheetId="4">#REF!</definedName>
    <definedName name="fgdsfg" localSheetId="2">#REF!</definedName>
    <definedName name="fgdsfg">#REF!</definedName>
    <definedName name="FGFDH" localSheetId="4">#REF!</definedName>
    <definedName name="FGFDH" localSheetId="2">#REF!</definedName>
    <definedName name="FGFDH">#REF!</definedName>
    <definedName name="fgghhj" localSheetId="4">#REF!</definedName>
    <definedName name="fgghhj" localSheetId="2">#REF!</definedName>
    <definedName name="fgghhj">#REF!</definedName>
    <definedName name="FGHFBC" localSheetId="4">#REF!</definedName>
    <definedName name="FGHFBC" localSheetId="2">#REF!</definedName>
    <definedName name="FGHFBC">#REF!</definedName>
    <definedName name="fghfg" localSheetId="4">#REF!</definedName>
    <definedName name="fghfg" localSheetId="2">#REF!</definedName>
    <definedName name="fghfg">#REF!</definedName>
    <definedName name="fghfgh" localSheetId="4">#REF!</definedName>
    <definedName name="fghfgh" localSheetId="2">#REF!</definedName>
    <definedName name="fghfgh">#REF!</definedName>
    <definedName name="FGHFW" localSheetId="4">#REF!</definedName>
    <definedName name="FGHFW" localSheetId="2">#REF!</definedName>
    <definedName name="FGHFW">#REF!</definedName>
    <definedName name="fghhh" localSheetId="4">#REF!</definedName>
    <definedName name="fghhh" localSheetId="2">#REF!</definedName>
    <definedName name="fghhh">#REF!</definedName>
    <definedName name="fghsfgh" localSheetId="4">#REF!</definedName>
    <definedName name="fghsfgh" localSheetId="2">#REF!</definedName>
    <definedName name="fghsfgh">#REF!</definedName>
    <definedName name="fght" localSheetId="4">#REF!</definedName>
    <definedName name="fght" localSheetId="2">#REF!</definedName>
    <definedName name="fght">#REF!</definedName>
    <definedName name="fgjgryi" localSheetId="4">#REF!</definedName>
    <definedName name="fgjgryi" localSheetId="2">#REF!</definedName>
    <definedName name="fgjgryi">#REF!</definedName>
    <definedName name="FGV">#REF!</definedName>
    <definedName name="fhfg" localSheetId="4">#REF!</definedName>
    <definedName name="fhfg" localSheetId="2">#REF!</definedName>
    <definedName name="fhfg">#REF!</definedName>
    <definedName name="fhfgh" localSheetId="4">#REF!</definedName>
    <definedName name="fhfgh" localSheetId="2">#REF!</definedName>
    <definedName name="fhfgh">#REF!</definedName>
    <definedName name="fhgh" localSheetId="4">#REF!</definedName>
    <definedName name="fhgh" localSheetId="2">#REF!</definedName>
    <definedName name="fhgh">#REF!</definedName>
    <definedName name="fhpltyunh" localSheetId="4">#REF!</definedName>
    <definedName name="fhpltyunh" localSheetId="2">#REF!</definedName>
    <definedName name="fhpltyunh">#REF!</definedName>
    <definedName name="fi">#REF!</definedName>
    <definedName name="FIELT">[10]BASE!$D$256</definedName>
    <definedName name="FINANCIACION" localSheetId="4">#REF!</definedName>
    <definedName name="FINANCIACION" localSheetId="2">#REF!</definedName>
    <definedName name="FINANCIACION">#REF!</definedName>
    <definedName name="Financialpb">#REF!</definedName>
    <definedName name="Financialpb2">#REF!</definedName>
    <definedName name="FixEquip_hrs">'[68]Fixed Plant'!$F$109:$AA$168</definedName>
    <definedName name="fk">#REF!</definedName>
    <definedName name="Fleet">#REF!</definedName>
    <definedName name="FleetC" localSheetId="4">#REF!</definedName>
    <definedName name="FleetC" localSheetId="2">#REF!</definedName>
    <definedName name="FleetC">#REF!</definedName>
    <definedName name="fleetRecNo">[69]Fleet!$B$12:$B$80</definedName>
    <definedName name="FleetS">#REF!</definedName>
    <definedName name="FleetW">#REF!</definedName>
    <definedName name="flq" localSheetId="4">#REF!</definedName>
    <definedName name="flq" localSheetId="2">#REF!</definedName>
    <definedName name="flq">#REF!</definedName>
    <definedName name="FOB_POINT">#REF!</definedName>
    <definedName name="forapproval">'[70]LISTS-FOR INTERNAL USE ONLY'!$B$16:$B$25</definedName>
    <definedName name="form_calcmod">'[71]CALC-MOD'!$C$4:$C$11,'[71]CALC-MOD'!$G$4:$G$11,'[71]CALC-MOD'!$C$16:$C$23,'[71]CALC-MOD'!$G$16:$G$23,'[71]CALC-MOD'!$C$29:$C$36,'[71]CALC-MOD'!$B$43:$B$47</definedName>
    <definedName name="form_cons">[72]CONS!$F$14:$F$81,[72]CONS!$G$13:$G$81,[72]CONS!$G$87:$G$90,[72]CONS!$K$13:$K$22,[72]CONS!$M$13:$M$21</definedName>
    <definedName name="form_desglose" localSheetId="4">#REF!</definedName>
    <definedName name="form_desglose" localSheetId="2">#REF!</definedName>
    <definedName name="form_desglose">#REF!</definedName>
    <definedName name="form_equi">[72]EQUI!$D$15:$E$45,[72]EQUI!$E$46,[72]EQUI!$D$52:$E$86,[72]EQUI!$E$87,[72]EQUI!$D$94:$E$109,[72]EQUI!$E$110,[72]EQUI!$D$116:$E$122,[72]EQUI!$E$123,[72]EQUI!$D$131:$E$136,[72]EQUI!$E$137,[72]EQUI!$E$140,[72]EQUI!$D$146:$E$159,[72]EQUI!$E$161,[72]EQUI!$I$2:$I$14,[72]EQUI!$K$2:$K$13</definedName>
    <definedName name="form_indir">[71]INDIR!$C$17:$M$22,[71]INDIR!$O$17:$P$22,[71]INDIR!$R$17:$R$23,[71]INDIR!$C$25:$M$26,[71]INDIR!$O$25:$P$26,[71]INDIR!$R$25:$R$27,[71]INDIR!$C$32:$M$33,[71]INDIR!$O$32:$P$33,[71]INDIR!$R$32:$R$34,[71]INDIR!$R$37,[71]INDIR!$P$43:$P$49,[71]INDIR!$R$43:$R$50,[71]INDIR!$P$54:$P$59,[71]INDIR!$R$54:$R$60,[71]INDIR!$P$65:$P$67,[71]INDIR!$R$65:$R$68,[71]INDIR!$R$71</definedName>
    <definedName name="form_otrosmod">'[72]OTROS MO'!$C$15:$D$19,'[72]OTROS MO'!$F$15:$G$19,'[72]OTROS MO'!$H$15:$H$20,'[72]OTROS MO'!$F$25:$F$26,'[72]OTROS MO'!$H$25:$H$27,'[72]OTROS MO'!$F$33:$F$34,'[72]OTROS MO'!$H$33:$H$35,'[72]OTROS MO'!$H$38</definedName>
    <definedName name="form_resumen" localSheetId="4">#REF!</definedName>
    <definedName name="form_resumen" localSheetId="2">#REF!</definedName>
    <definedName name="form_resumen">#REF!</definedName>
    <definedName name="form_subcon" localSheetId="4">#REF!</definedName>
    <definedName name="form_subcon" localSheetId="2">#REF!</definedName>
    <definedName name="form_subcon">#REF!</definedName>
    <definedName name="form_superv">[71]SUPERV!$C$17:$L$23,[71]SUPERV!$N$17:$O$23,[71]SUPERV!$Q$17:$Q$24</definedName>
    <definedName name="FORM3">[10]BASE!$D$322</definedName>
    <definedName name="formadepago">#REF!</definedName>
    <definedName name="FORMALETAM2">#REF!</definedName>
    <definedName name="FORMATO_5">#REF!</definedName>
    <definedName name="FORMH">[10]BASE!$D$321</definedName>
    <definedName name="formularioCantidades" localSheetId="4">#REF!</definedName>
    <definedName name="formularioCantidades" localSheetId="2">#REF!</definedName>
    <definedName name="formularioCantidades">#REF!</definedName>
    <definedName name="frbgsd" localSheetId="4">#REF!</definedName>
    <definedName name="frbgsd" localSheetId="2">#REF!</definedName>
    <definedName name="frbgsd">#REF!</definedName>
    <definedName name="Fre" localSheetId="4">#REF!</definedName>
    <definedName name="Fre" localSheetId="2">#REF!</definedName>
    <definedName name="Fre">#REF!</definedName>
    <definedName name="FrecInctoMmtoAnno">#REF!</definedName>
    <definedName name="FrecInctoMmtoAno" localSheetId="4">#REF!</definedName>
    <definedName name="FrecInctoMmtoAno" localSheetId="2">#REF!</definedName>
    <definedName name="FrecInctoMmtoAno">#REF!</definedName>
    <definedName name="frefr" localSheetId="4">#REF!</definedName>
    <definedName name="frefr" localSheetId="2">#REF!</definedName>
    <definedName name="frefr">#REF!</definedName>
    <definedName name="FRENTES" localSheetId="4">#REF!</definedName>
    <definedName name="FRENTES" localSheetId="2">#REF!</definedName>
    <definedName name="FRENTES">#REF!</definedName>
    <definedName name="fres">#REF!</definedName>
    <definedName name="frfa" localSheetId="4">#REF!</definedName>
    <definedName name="frfa" localSheetId="2">#REF!</definedName>
    <definedName name="frfa">#REF!</definedName>
    <definedName name="frfr" localSheetId="4">#REF!</definedName>
    <definedName name="frfr" localSheetId="2">#REF!</definedName>
    <definedName name="frfr">#REF!</definedName>
    <definedName name="ft">#REF!</definedName>
    <definedName name="Fu">[5]Cálculo!$B$40</definedName>
    <definedName name="Fub">[5]Cálculo!$B$36</definedName>
    <definedName name="Fuel">'[37]Budget Assumptions'!$J$3</definedName>
    <definedName name="FuelControl">#REF!</definedName>
    <definedName name="FuelCostos">#REF!</definedName>
    <definedName name="FuelFactorA">#REF!</definedName>
    <definedName name="FuelFactorB">#REF!</definedName>
    <definedName name="FuelMedian">#REF!</definedName>
    <definedName name="FuelPrice">[28]Parameters!$R$18</definedName>
    <definedName name="Fup">[5]Cálculo!$B$38</definedName>
    <definedName name="fv">#REF!</definedName>
    <definedName name="fwff" localSheetId="4">#REF!</definedName>
    <definedName name="fwff" localSheetId="2">#REF!</definedName>
    <definedName name="fwff">#REF!</definedName>
    <definedName name="fwwe" localSheetId="4">#REF!</definedName>
    <definedName name="fwwe" localSheetId="2">#REF!</definedName>
    <definedName name="fwwe">#REF!</definedName>
    <definedName name="FX">#REF!</definedName>
    <definedName name="fx_rate" localSheetId="4">#REF!</definedName>
    <definedName name="fx_rate" localSheetId="2">#REF!</definedName>
    <definedName name="fx_rate">#REF!</definedName>
    <definedName name="fy">#REF!</definedName>
    <definedName name="Fyb">[5]Cálculo!$B$35</definedName>
    <definedName name="Fyp">[5]Cálculo!$B$37</definedName>
    <definedName name="fyy">#REF!</definedName>
    <definedName name="g">#REF!</definedName>
    <definedName name="Ga">#REF!</definedName>
    <definedName name="GAJ">#REF!</definedName>
    <definedName name="GANCHO">#REF!</definedName>
    <definedName name="GarantiaExtendida">#REF!</definedName>
    <definedName name="GarantiaExtendidaCostos">#REF!</definedName>
    <definedName name="Gb">#REF!</definedName>
    <definedName name="gbbfghghj" localSheetId="4">#REF!</definedName>
    <definedName name="gbbfghghj" localSheetId="2">#REF!</definedName>
    <definedName name="gbbfghghj">#REF!</definedName>
    <definedName name="Gc" localSheetId="4">#REF!</definedName>
    <definedName name="Gc" localSheetId="2">#REF!</definedName>
    <definedName name="Gc">#REF!</definedName>
    <definedName name="Gd">#REF!</definedName>
    <definedName name="gdj" localSheetId="4">#REF!</definedName>
    <definedName name="gdj" localSheetId="2">#REF!</definedName>
    <definedName name="gdj">#REF!</definedName>
    <definedName name="gdt" localSheetId="4">#REF!</definedName>
    <definedName name="gdt" localSheetId="2">#REF!</definedName>
    <definedName name="gdt">#REF!</definedName>
    <definedName name="Ge">#REF!</definedName>
    <definedName name="gecolsa06" localSheetId="4">#REF!</definedName>
    <definedName name="gecolsa06" localSheetId="2">#REF!</definedName>
    <definedName name="gecolsa06">#REF!</definedName>
    <definedName name="geg" localSheetId="4">#REF!</definedName>
    <definedName name="geg" localSheetId="2">#REF!</definedName>
    <definedName name="geg">#REF!</definedName>
    <definedName name="Geotex">#REF!</definedName>
    <definedName name="gerg" localSheetId="4">#REF!</definedName>
    <definedName name="gerg" localSheetId="2">#REF!</definedName>
    <definedName name="gerg">#REF!</definedName>
    <definedName name="gerg54" localSheetId="4">#REF!</definedName>
    <definedName name="gerg54" localSheetId="2">#REF!</definedName>
    <definedName name="gerg54">#REF!</definedName>
    <definedName name="gergew" localSheetId="4">#REF!</definedName>
    <definedName name="gergew" localSheetId="2">#REF!</definedName>
    <definedName name="gergew">#REF!</definedName>
    <definedName name="gergw" localSheetId="4">#REF!</definedName>
    <definedName name="gergw" localSheetId="2">#REF!</definedName>
    <definedName name="gergw">#REF!</definedName>
    <definedName name="GETCostOutput">#REF!</definedName>
    <definedName name="Gf">#REF!</definedName>
    <definedName name="gfd" localSheetId="4">#REF!</definedName>
    <definedName name="gfd" localSheetId="2">#REF!</definedName>
    <definedName name="gfd">#REF!</definedName>
    <definedName name="gfdg" localSheetId="4">#REF!</definedName>
    <definedName name="gfdg" localSheetId="2">#REF!</definedName>
    <definedName name="gfdg">#REF!</definedName>
    <definedName name="gfgfgr" localSheetId="4">#REF!</definedName>
    <definedName name="gfgfgr" localSheetId="2">#REF!</definedName>
    <definedName name="gfgfgr">#REF!</definedName>
    <definedName name="gfhf" localSheetId="4">#REF!</definedName>
    <definedName name="gfhf" localSheetId="2">#REF!</definedName>
    <definedName name="gfhf">#REF!</definedName>
    <definedName name="gfhfdh" localSheetId="4">#REF!</definedName>
    <definedName name="gfhfdh" localSheetId="2">#REF!</definedName>
    <definedName name="gfhfdh">#REF!</definedName>
    <definedName name="gfhgfh" localSheetId="4">#REF!</definedName>
    <definedName name="gfhgfh" localSheetId="2">#REF!</definedName>
    <definedName name="gfhgfh">#REF!</definedName>
    <definedName name="GFJHGJ" localSheetId="4">#REF!</definedName>
    <definedName name="GFJHGJ" localSheetId="2">#REF!</definedName>
    <definedName name="GFJHGJ">#REF!</definedName>
    <definedName name="gfjjh" localSheetId="4">#REF!</definedName>
    <definedName name="gfjjh" localSheetId="2">#REF!</definedName>
    <definedName name="gfjjh">#REF!</definedName>
    <definedName name="gft">#REF!</definedName>
    <definedName name="gfutyj6" localSheetId="4">#REF!</definedName>
    <definedName name="gfutyj6" localSheetId="2">#REF!</definedName>
    <definedName name="gfutyj6">#REF!</definedName>
    <definedName name="Gg">#REF!</definedName>
    <definedName name="ggdr" localSheetId="4">#REF!</definedName>
    <definedName name="ggdr" localSheetId="2">#REF!</definedName>
    <definedName name="ggdr">#REF!</definedName>
    <definedName name="ggerg" localSheetId="4">#REF!</definedName>
    <definedName name="ggerg" localSheetId="2">#REF!</definedName>
    <definedName name="ggerg">#REF!</definedName>
    <definedName name="GGG" localSheetId="4">#REF!</definedName>
    <definedName name="GGG" localSheetId="2">#REF!</definedName>
    <definedName name="GGG">#REF!</definedName>
    <definedName name="gggb" localSheetId="4">#REF!</definedName>
    <definedName name="gggb" localSheetId="2">#REF!</definedName>
    <definedName name="gggb">#REF!</definedName>
    <definedName name="gggg" localSheetId="4">#REF!</definedName>
    <definedName name="gggg" localSheetId="2">#REF!</definedName>
    <definedName name="gggg">#REF!</definedName>
    <definedName name="ggggd" localSheetId="4">#REF!</definedName>
    <definedName name="ggggd" localSheetId="2">#REF!</definedName>
    <definedName name="ggggd">#REF!</definedName>
    <definedName name="ggggggg">#REF!</definedName>
    <definedName name="gggggt" localSheetId="4">#REF!</definedName>
    <definedName name="gggggt" localSheetId="2">#REF!</definedName>
    <definedName name="gggggt">#REF!</definedName>
    <definedName name="gggghn" localSheetId="4">#REF!</definedName>
    <definedName name="gggghn" localSheetId="2">#REF!</definedName>
    <definedName name="gggghn">#REF!</definedName>
    <definedName name="ggggt" localSheetId="4">#REF!</definedName>
    <definedName name="ggggt" localSheetId="2">#REF!</definedName>
    <definedName name="ggggt">#REF!</definedName>
    <definedName name="ggggy" localSheetId="4">#REF!</definedName>
    <definedName name="ggggy" localSheetId="2">#REF!</definedName>
    <definedName name="ggggy">#REF!</definedName>
    <definedName name="gggtgd" localSheetId="4">#REF!</definedName>
    <definedName name="gggtgd" localSheetId="2">#REF!</definedName>
    <definedName name="gggtgd">#REF!</definedName>
    <definedName name="ggtgt" localSheetId="4">#REF!</definedName>
    <definedName name="ggtgt" localSheetId="2">#REF!</definedName>
    <definedName name="ggtgt">#REF!</definedName>
    <definedName name="Gh" localSheetId="4">#REF!</definedName>
    <definedName name="Gh" localSheetId="2">#REF!</definedName>
    <definedName name="Gh">#REF!</definedName>
    <definedName name="ghdghuy" localSheetId="4">#REF!</definedName>
    <definedName name="ghdghuy" localSheetId="2">#REF!</definedName>
    <definedName name="ghdghuy">#REF!</definedName>
    <definedName name="GHDP" localSheetId="4">#REF!</definedName>
    <definedName name="GHDP" localSheetId="2">#REF!</definedName>
    <definedName name="GHDP">#REF!</definedName>
    <definedName name="ghfg" localSheetId="4">#REF!</definedName>
    <definedName name="ghfg" localSheetId="2">#REF!</definedName>
    <definedName name="ghfg">#REF!</definedName>
    <definedName name="GHG">'[73]GENERALIDADES '!$E$9</definedName>
    <definedName name="ghjghj" localSheetId="4">#REF!</definedName>
    <definedName name="ghjghj" localSheetId="2">#REF!</definedName>
    <definedName name="ghjghj">#REF!</definedName>
    <definedName name="GHKJHK" localSheetId="4">#REF!</definedName>
    <definedName name="GHKJHK" localSheetId="2">#REF!</definedName>
    <definedName name="GHKJHK">#REF!</definedName>
    <definedName name="ghu">#REF!</definedName>
    <definedName name="Gi">#REF!</definedName>
    <definedName name="gj" localSheetId="4">#REF!</definedName>
    <definedName name="gj" localSheetId="2">#REF!</definedName>
    <definedName name="gj">#REF!</definedName>
    <definedName name="GJHVCB" localSheetId="4">#REF!</definedName>
    <definedName name="GJHVCB" localSheetId="2">#REF!</definedName>
    <definedName name="GJHVCB">#REF!</definedName>
    <definedName name="Gk">#REF!</definedName>
    <definedName name="GKJDGDIJZ">"Imagen 3"</definedName>
    <definedName name="gl" localSheetId="4">#REF!</definedName>
    <definedName name="gl" localSheetId="2">#REF!</definedName>
    <definedName name="gl">#REF!</definedName>
    <definedName name="Gmax" localSheetId="4">#REF!</definedName>
    <definedName name="Gmax" localSheetId="2">#REF!</definedName>
    <definedName name="Gmax">#REF!</definedName>
    <definedName name="Gmin">#REF!</definedName>
    <definedName name="gmt" localSheetId="4">#REF!</definedName>
    <definedName name="gmt" localSheetId="2">#REF!</definedName>
    <definedName name="gmt">#REF!</definedName>
    <definedName name="gn" localSheetId="4">#REF!</definedName>
    <definedName name="gn" localSheetId="2">#REF!</definedName>
    <definedName name="gn">#REF!</definedName>
    <definedName name="gnm">#REF!</definedName>
    <definedName name="gñ" localSheetId="4">#REF!</definedName>
    <definedName name="gñ" localSheetId="2">#REF!</definedName>
    <definedName name="gñ">#REF!</definedName>
    <definedName name="gp">#REF!</definedName>
    <definedName name="GPS" localSheetId="4">#REF!</definedName>
    <definedName name="GPS" localSheetId="2">#REF!</definedName>
    <definedName name="GPS">#REF!</definedName>
    <definedName name="GPSCostos">#REF!</definedName>
    <definedName name="_xlnm.Recorder">#REF!</definedName>
    <definedName name="GRAF1ANO" localSheetId="4">#REF!</definedName>
    <definedName name="GRAF1ANO" localSheetId="2">#REF!</definedName>
    <definedName name="GRAF1ANO">#REF!</definedName>
    <definedName name="GRAF1AÑO" localSheetId="4">#REF!</definedName>
    <definedName name="GRAF1AÑO" localSheetId="2">#REF!</definedName>
    <definedName name="GRAF1AÑO">#REF!</definedName>
    <definedName name="GRAF2">#REF!</definedName>
    <definedName name="GRAF3" localSheetId="4">#REF!</definedName>
    <definedName name="GRAF3" localSheetId="2">#REF!</definedName>
    <definedName name="GRAF3">#REF!</definedName>
    <definedName name="GRAMA">[10]BASE!$D$272</definedName>
    <definedName name="GRANITO" localSheetId="4">#REF!</definedName>
    <definedName name="GRANITO" localSheetId="2">#REF!</definedName>
    <definedName name="GRANITO">#REF!</definedName>
    <definedName name="GRANO" localSheetId="4">#REF!</definedName>
    <definedName name="GRANO" localSheetId="2">#REF!</definedName>
    <definedName name="GRANO">#REF!</definedName>
    <definedName name="GRAP">[10]BASE!$D$243</definedName>
    <definedName name="GRAV3">[15]BASE!$D$58</definedName>
    <definedName name="gregds" localSheetId="4">#REF!</definedName>
    <definedName name="gregds" localSheetId="2">#REF!</definedName>
    <definedName name="gregds">#REF!</definedName>
    <definedName name="grehrtyh" localSheetId="4">#REF!</definedName>
    <definedName name="grehrtyh" localSheetId="2">#REF!</definedName>
    <definedName name="grehrtyh">#REF!</definedName>
    <definedName name="grggwero" localSheetId="4">#REF!</definedName>
    <definedName name="grggwero" localSheetId="2">#REF!</definedName>
    <definedName name="grggwero">#REF!</definedName>
    <definedName name="grl" localSheetId="4">#REF!</definedName>
    <definedName name="grl" localSheetId="2">#REF!</definedName>
    <definedName name="grl">#REF!</definedName>
    <definedName name="grtyerh" localSheetId="4">#REF!</definedName>
    <definedName name="grtyerh" localSheetId="2">#REF!</definedName>
    <definedName name="grtyerh">#REF!</definedName>
    <definedName name="GRUPO1" localSheetId="4">#REF!</definedName>
    <definedName name="GRUPO1" localSheetId="2">#REF!</definedName>
    <definedName name="GRUPO1">#REF!</definedName>
    <definedName name="GRUPO123">#REF!</definedName>
    <definedName name="GRUPO13" localSheetId="4">#REF!</definedName>
    <definedName name="GRUPO13" localSheetId="2">#REF!</definedName>
    <definedName name="GRUPO13">#REF!</definedName>
    <definedName name="GRUPO2">#REF!</definedName>
    <definedName name="GSDG" localSheetId="4">#REF!</definedName>
    <definedName name="GSDG" localSheetId="2">#REF!</definedName>
    <definedName name="GSDG">#REF!</definedName>
    <definedName name="gsfsf" localSheetId="4">#REF!</definedName>
    <definedName name="gsfsf" localSheetId="2">#REF!</definedName>
    <definedName name="gsfsf">#REF!</definedName>
    <definedName name="gte">#REF!</definedName>
    <definedName name="gtgt" localSheetId="4">#REF!</definedName>
    <definedName name="gtgt" localSheetId="2">#REF!</definedName>
    <definedName name="gtgt">#REF!</definedName>
    <definedName name="gtgtg" localSheetId="4">#REF!</definedName>
    <definedName name="gtgtg" localSheetId="2">#REF!</definedName>
    <definedName name="gtgtg">#REF!</definedName>
    <definedName name="gtgtgff" localSheetId="4">#REF!</definedName>
    <definedName name="gtgtgff" localSheetId="2">#REF!</definedName>
    <definedName name="gtgtgff">#REF!</definedName>
    <definedName name="gtgtgyh" localSheetId="4">#REF!</definedName>
    <definedName name="gtgtgyh" localSheetId="2">#REF!</definedName>
    <definedName name="gtgtgyh">#REF!</definedName>
    <definedName name="gtgth" localSheetId="4">#REF!</definedName>
    <definedName name="gtgth" localSheetId="2">#REF!</definedName>
    <definedName name="gtgth">#REF!</definedName>
    <definedName name="GTI">#REF!</definedName>
    <definedName name="GTRE" localSheetId="4">#REF!</definedName>
    <definedName name="GTRE" localSheetId="2">#REF!</definedName>
    <definedName name="GTRE">#REF!</definedName>
    <definedName name="gus" localSheetId="4">#REF!</definedName>
    <definedName name="gus" localSheetId="2">#REF!</definedName>
    <definedName name="gus">#REF!</definedName>
    <definedName name="gustavo">#REF!</definedName>
    <definedName name="GUSTRA">#REF!</definedName>
    <definedName name="GUSTRA2" localSheetId="4">#REF!</definedName>
    <definedName name="GUSTRA2" localSheetId="2">#REF!</definedName>
    <definedName name="GUSTRA2">#REF!</definedName>
    <definedName name="Gv" localSheetId="4">#REF!</definedName>
    <definedName name="Gv" localSheetId="2">#REF!</definedName>
    <definedName name="Gv">#REF!</definedName>
    <definedName name="Gw">#REF!</definedName>
    <definedName name="gy">#REF!</definedName>
    <definedName name="H">[64]TABLAS!$D$63:$D$78</definedName>
    <definedName name="H.L._INGENIEROS___API_LTDA" localSheetId="4">#REF!</definedName>
    <definedName name="H.L._INGENIEROS___API_LTDA" localSheetId="2">#REF!</definedName>
    <definedName name="H.L._INGENIEROS___API_LTDA">#REF!</definedName>
    <definedName name="h9h" localSheetId="4">#REF!</definedName>
    <definedName name="h9h" localSheetId="2">#REF!</definedName>
    <definedName name="h9h">#REF!</definedName>
    <definedName name="Ha">#REF!</definedName>
    <definedName name="hayud">#REF!</definedName>
    <definedName name="Hb">#REF!</definedName>
    <definedName name="hbfdhrw" localSheetId="4">#REF!</definedName>
    <definedName name="hbfdhrw" localSheetId="2">#REF!</definedName>
    <definedName name="hbfdhrw">#REF!</definedName>
    <definedName name="HC">#REF!</definedName>
    <definedName name="HC_Accesorios">#REF!</definedName>
    <definedName name="HC_CANON_ESP" localSheetId="4">#REF!</definedName>
    <definedName name="HC_CANON_ESP" localSheetId="2">#REF!</definedName>
    <definedName name="HC_CANON_ESP">#REF!</definedName>
    <definedName name="HC_CanonInterpolado">#REF!</definedName>
    <definedName name="HC_Capital">#REF!</definedName>
    <definedName name="HC_Capital_Congelado">#REF!</definedName>
    <definedName name="HC_CapitalInicio">#REF!</definedName>
    <definedName name="HC78MH">[10]BASE!$D$24</definedName>
    <definedName name="HCAccesoriosPrecPub">#REF!</definedName>
    <definedName name="hcamion">#REF!</definedName>
    <definedName name="hdfh" localSheetId="4">#REF!</definedName>
    <definedName name="hdfh" localSheetId="2">#REF!</definedName>
    <definedName name="hdfh">#REF!</definedName>
    <definedName name="hdfh4" localSheetId="4">#REF!</definedName>
    <definedName name="hdfh4" localSheetId="2">#REF!</definedName>
    <definedName name="hdfh4">#REF!</definedName>
    <definedName name="hdfhwq" localSheetId="4">#REF!</definedName>
    <definedName name="hdfhwq" localSheetId="2">#REF!</definedName>
    <definedName name="hdfhwq">#REF!</definedName>
    <definedName name="hdgh" localSheetId="4">#REF!</definedName>
    <definedName name="hdgh" localSheetId="2">#REF!</definedName>
    <definedName name="hdgh">#REF!</definedName>
    <definedName name="hdhf" localSheetId="4">#REF!</definedName>
    <definedName name="hdhf" localSheetId="2">#REF!</definedName>
    <definedName name="hdhf">#REF!</definedName>
    <definedName name="herr">#REF!</definedName>
    <definedName name="hfgh" localSheetId="4">#REF!</definedName>
    <definedName name="hfgh" localSheetId="2">#REF!</definedName>
    <definedName name="hfgh">#REF!</definedName>
    <definedName name="hfh" localSheetId="4">#REF!</definedName>
    <definedName name="hfh" localSheetId="2">#REF!</definedName>
    <definedName name="hfh">#REF!</definedName>
    <definedName name="hfhg" localSheetId="4">#REF!</definedName>
    <definedName name="hfhg" localSheetId="2">#REF!</definedName>
    <definedName name="hfhg">#REF!</definedName>
    <definedName name="hfthr" localSheetId="4">#REF!</definedName>
    <definedName name="hfthr" localSheetId="2">#REF!</definedName>
    <definedName name="hfthr">#REF!</definedName>
    <definedName name="HG">#REF!</definedName>
    <definedName name="HGFH" localSheetId="4">#REF!</definedName>
    <definedName name="HGFH" localSheetId="2">#REF!</definedName>
    <definedName name="HGFH">#REF!</definedName>
    <definedName name="hgfhty" localSheetId="4">#REF!</definedName>
    <definedName name="hgfhty" localSheetId="2">#REF!</definedName>
    <definedName name="hgfhty">#REF!</definedName>
    <definedName name="HGHFH7" localSheetId="4">#REF!</definedName>
    <definedName name="HGHFH7" localSheetId="2">#REF!</definedName>
    <definedName name="HGHFH7">#REF!</definedName>
    <definedName name="hghhj" localSheetId="4">#REF!</definedName>
    <definedName name="hghhj" localSheetId="2">#REF!</definedName>
    <definedName name="hghhj">#REF!</definedName>
    <definedName name="hghydj" localSheetId="4">#REF!</definedName>
    <definedName name="hghydj" localSheetId="2">#REF!</definedName>
    <definedName name="hghydj">#REF!</definedName>
    <definedName name="hgjfjw" localSheetId="4">#REF!</definedName>
    <definedName name="hgjfjw" localSheetId="2">#REF!</definedName>
    <definedName name="hgjfjw">#REF!</definedName>
    <definedName name="HGJG" localSheetId="4">#REF!</definedName>
    <definedName name="HGJG" localSheetId="2">#REF!</definedName>
    <definedName name="HGJG">#REF!</definedName>
    <definedName name="hgrua">#REF!</definedName>
    <definedName name="hgt">#REF!</definedName>
    <definedName name="hgu">#REF!</definedName>
    <definedName name="HH">#REF!</definedName>
    <definedName name="hhh" localSheetId="4">#REF!</definedName>
    <definedName name="hhh" localSheetId="2">#REF!</definedName>
    <definedName name="hhh">#REF!</definedName>
    <definedName name="hhhh" localSheetId="4">#REF!</definedName>
    <definedName name="hhhh" localSheetId="2">#REF!</definedName>
    <definedName name="hhhh">#REF!</definedName>
    <definedName name="hhhhhh" localSheetId="4">#REF!</definedName>
    <definedName name="hhhhhh" localSheetId="2">#REF!</definedName>
    <definedName name="hhhhhh">#REF!</definedName>
    <definedName name="hhhhhho" localSheetId="4">#REF!</definedName>
    <definedName name="hhhhhho" localSheetId="2">#REF!</definedName>
    <definedName name="hhhhhho">#REF!</definedName>
    <definedName name="hhhhhpy" localSheetId="4">#REF!</definedName>
    <definedName name="hhhhhpy" localSheetId="2">#REF!</definedName>
    <definedName name="hhhhhpy">#REF!</definedName>
    <definedName name="hhhhth" localSheetId="4">#REF!</definedName>
    <definedName name="hhhhth" localSheetId="2">#REF!</definedName>
    <definedName name="hhhhth">#REF!</definedName>
    <definedName name="hhhyhyh" localSheetId="4">#REF!</definedName>
    <definedName name="hhhyhyh" localSheetId="2">#REF!</definedName>
    <definedName name="hhhyhyh">#REF!</definedName>
    <definedName name="hhjh">#REF!</definedName>
    <definedName name="hhtrhreh" localSheetId="4">#REF!</definedName>
    <definedName name="hhtrhreh" localSheetId="2">#REF!</definedName>
    <definedName name="hhtrhreh">#REF!</definedName>
    <definedName name="HIDR160PE_S1">#REF!</definedName>
    <definedName name="HIDR160PE_S2">#REF!</definedName>
    <definedName name="HIDR160PE_S3">#REF!</definedName>
    <definedName name="HIDR160PE_S4" localSheetId="4">#REF!</definedName>
    <definedName name="HIDR160PE_S4" localSheetId="2">#REF!</definedName>
    <definedName name="HIDR160PE_S4">#REF!</definedName>
    <definedName name="HIDR160PE_S5">#REF!</definedName>
    <definedName name="HIDR160PE_S6">#REF!</definedName>
    <definedName name="HIDR200PE_S1">#REF!</definedName>
    <definedName name="HIDR200PE_S2">#REF!</definedName>
    <definedName name="HIDR200PE_S3">#REF!</definedName>
    <definedName name="HIDR200PE_S4">#REF!</definedName>
    <definedName name="HIDR200PE_S5">#REF!</definedName>
    <definedName name="HIDR200PE_S6">#REF!</definedName>
    <definedName name="hierro">#REF!</definedName>
    <definedName name="hierro1">#REF!</definedName>
    <definedName name="hierro2" localSheetId="4">#REF!</definedName>
    <definedName name="hierro2" localSheetId="2">#REF!</definedName>
    <definedName name="hierro2">#REF!</definedName>
    <definedName name="hierro4" localSheetId="4">#REF!</definedName>
    <definedName name="hierro4" localSheetId="2">#REF!</definedName>
    <definedName name="hierro4">#REF!</definedName>
    <definedName name="hing">#REF!</definedName>
    <definedName name="HisYear_0" localSheetId="4">#REF!</definedName>
    <definedName name="HisYear_0" localSheetId="2">#REF!</definedName>
    <definedName name="HisYear_0">#REF!</definedName>
    <definedName name="HisYear_1">#REF!</definedName>
    <definedName name="HisYear_2">#REF!</definedName>
    <definedName name="HisYear_3">#REF!</definedName>
    <definedName name="HJ">#REF!</definedName>
    <definedName name="hjfg" localSheetId="4">#REF!</definedName>
    <definedName name="hjfg" localSheetId="2">#REF!</definedName>
    <definedName name="hjfg">#REF!</definedName>
    <definedName name="hjgh" localSheetId="4">#REF!</definedName>
    <definedName name="hjgh" localSheetId="2">#REF!</definedName>
    <definedName name="hjgh">#REF!</definedName>
    <definedName name="hjghj" localSheetId="4">#REF!</definedName>
    <definedName name="hjghj" localSheetId="2">#REF!</definedName>
    <definedName name="hjghj">#REF!</definedName>
    <definedName name="hjhjhg" localSheetId="4">#REF!</definedName>
    <definedName name="hjhjhg" localSheetId="2">#REF!</definedName>
    <definedName name="hjhjhg">#REF!</definedName>
    <definedName name="hjhjhhhhhhhhhhhhh" localSheetId="4">#REF!</definedName>
    <definedName name="hjhjhhhhhhhhhhhhh" localSheetId="2">#REF!</definedName>
    <definedName name="hjhjhhhhhhhhhhhhh">#REF!</definedName>
    <definedName name="hjhjhj">#REF!</definedName>
    <definedName name="hjhjhjhj">#REF!</definedName>
    <definedName name="hjk" localSheetId="4">#REF!</definedName>
    <definedName name="hjk" localSheetId="2">#REF!</definedName>
    <definedName name="hjk">#REF!</definedName>
    <definedName name="HJKH" localSheetId="4">#REF!</definedName>
    <definedName name="HJKH" localSheetId="2">#REF!</definedName>
    <definedName name="HJKH">#REF!</definedName>
    <definedName name="hjkjk" localSheetId="4">#REF!</definedName>
    <definedName name="hjkjk" localSheetId="2">#REF!</definedName>
    <definedName name="hjkjk">#REF!</definedName>
    <definedName name="HK" localSheetId="4">#REF!</definedName>
    <definedName name="HK" localSheetId="2">#REF!</definedName>
    <definedName name="HK">#REF!</definedName>
    <definedName name="hl">#REF!</definedName>
    <definedName name="HMHF3" localSheetId="4">#REF!</definedName>
    <definedName name="HMHF3" localSheetId="2">#REF!</definedName>
    <definedName name="HMHF3">#REF!</definedName>
    <definedName name="hmont">#REF!</definedName>
    <definedName name="hn" localSheetId="4">#REF!</definedName>
    <definedName name="hn" localSheetId="2">#REF!</definedName>
    <definedName name="hn">#REF!</definedName>
    <definedName name="hn.ConvertZero1" hidden="1">[74]LTM!$G$461:$J$461,[74]LTM!$G$463:$J$464,[74]LTM!$G$468:$J$469,[74]LTM!$G$473:$J$475,[74]LTM!$G$480:$J$480,[74]LTM!$G$484:$J$485,[74]LTM!$G$490:$J$490,[74]LTM!$G$514:$J$518,[74]LTM!$G$525:$J$526,[74]LTM!$G$532:$J$537</definedName>
    <definedName name="hn.ConvertZero2" hidden="1">[74]LTM!$G$560:$J$560,[74]LTM!$H$590:$J$591,[74]LTM!$H$614:$J$614,[74]LTM!$H$635:$J$636,[74]LTM!$G$676:$J$680,[74]LTM!$G$686:$J$686,[74]LTM!$G$688:$J$694,[74]LTM!$G$681:$J$682</definedName>
    <definedName name="hn.ConvertZero3" hidden="1">[74]LTM!$G$699:$J$706,[74]LTM!$G$710:$J$714,[74]LTM!$G$717:$J$734,[74]LTM!$G$738:$J$738,[74]LTM!$G$745:$J$751</definedName>
    <definedName name="hn.ConvertZero4" hidden="1">[74]LTM!$G$840:$J$840,[74]LTM!$H$1266:$J$1266,[74]LTM!$G$1267:$J$1267,[74]LTM!$G$1454:$J$1461,[74]LTM!$J$1462,[74]LTM!$J$1463,[74]LTM!$G$1468:$J$1469,[74]LTM!$L$1469:$N$1469</definedName>
    <definedName name="hn.ConvertZeroUnhide1" hidden="1">[74]LTM!$G$1469:$J$1469,[74]LTM!$L$1469:$N$1469,[74]LTM!$H$1266:$J$1266</definedName>
    <definedName name="hn.Delete015" hidden="1">'[74]CREDIT STATS'!$B$9:$K$11,'[74]CREDIT STATS'!$O$11:$X$14,'[74]CREDIT STATS'!$B$25:$K$30,'[74]CREDIT STATS'!$O$25:$X$26</definedName>
    <definedName name="hn.DZ_MultByFXRates" hidden="1">[74]DropZone!$B$2:$I$118,[74]DropZone!$B$120:$I$132,[74]DropZone!$B$134:$I$136,[74]DropZone!$B$138:$I$146</definedName>
    <definedName name="hn.ExtDb" hidden="1">FALSE</definedName>
    <definedName name="hn.LTM_MultByFXRates" hidden="1">[74]LTM!$G$461:$N$477,[74]LTM!$G$480:$N$539,[74]LTM!$G$548:$N$667,[74]LTM!$G$676:$N$1266,[74]LTM!$G$1454:$N$1461,[74]LTM!$G$1463:$N$1465,[74]LTM!$G$1468:$N$1469</definedName>
    <definedName name="hn.ModelType" hidden="1">"DEAL"</definedName>
    <definedName name="hn.ModelVersion" hidden="1">1</definedName>
    <definedName name="hn.MultbyFXRates" hidden="1">[74]LTM!$G$461:$N$477,[74]LTM!$G$480:$N$539,[74]LTM!$G$548:$N$667,[74]LTM!$G$676:$N$1266,[74]LTM!$G$1454:$N$1461,[74]LTM!$G$1463:$N$1465,[74]LTM!$G$1468:$N$1469</definedName>
    <definedName name="hn.MultByFXRates1" hidden="1">[74]LTM!$G$461:$G$477,[74]LTM!$G$480:$G$539,[74]LTM!$G$548:$G$562,[74]LTM!$G$676:$G$840,[74]LTM!$G$1454:$G$1469</definedName>
    <definedName name="hn.MultByFXRates2" hidden="1">[74]LTM!$H$461:$H$477,[74]LTM!$H$480:$H$539,[74]LTM!$H$548:$H$667,[74]LTM!$H$676:$H$1266,[74]LTM!$H$1454:$H$1469</definedName>
    <definedName name="hn.MultByFXRates3" hidden="1">[74]LTM!$I$461:$I$477,[74]LTM!$I$480:$I$539,[74]LTM!$I$548:$I$667,[74]LTM!$I$676:$I$1266,[74]LTM!$I$1454:$I$1469</definedName>
    <definedName name="hn.MultbyFxrates4" hidden="1">[74]LTM!$J$461:$J$477,[74]LTM!$J$480:$J$539,[74]LTM!$J$548:$J$668,[74]LTM!$J$676:$J$1266,[74]LTM!$J$1454:$J$1461,[74]LTM!$J$1463:$J$1465,[74]LTM!$J$1468</definedName>
    <definedName name="hn.multbyfxrates5" hidden="1">[74]LTM!$L$461:$L$477,[74]LTM!$L$480:$L$539,[74]LTM!$L$548:$L$562,[74]LTM!$L$676:$L$840,[74]LTM!$L$1454:$L$1469</definedName>
    <definedName name="hn.multbyfxrates6" hidden="1">[74]LTM!$M$461:$M$477,[74]LTM!$M$480:$M$539,[74]LTM!$M$548:$M$668,[74]LTM!$M$676:$M$1266,[74]LTM!$M$1454:$M$1469</definedName>
    <definedName name="hn.multbyfxrates7" hidden="1">[74]LTM!$N$461:$N$477,[74]LTM!$N$480:$N$539,[74]LTM!$N$548:$N$667,[74]LTM!$N$676:$N$1266,[74]LTM!$N$1454:$N$1469</definedName>
    <definedName name="hn.MultByFXRatesBot1" hidden="1">[74]LTM!$G$676:$G$682,[74]LTM!$G$686,[74]LTM!$G$688:$G$694,[74]LTM!$G$699:$G$706,[74]LTM!$G$710:$G$714,[74]LTM!$G$717:$G$734,[74]LTM!$G$738,[74]LTM!$G$738,[74]LTM!$G$745:$G$751,[74]LTM!$G$840,[74]LTM!$G$1454:$G$1461,[74]LTM!$G$1468:$G$1469</definedName>
    <definedName name="hn.MultByFXRatesBot2" hidden="1">[74]LTM!$H$676:$H$682,[74]LTM!$H$686,[74]LTM!$H$688:$H$694,[74]LTM!$H$699:$H$706,[74]LTM!$H$710:$H$714,[74]LTM!$H$717:$H$734,[74]LTM!$H$738,[74]LTM!$H$745:$H$751,[74]LTM!$H$840,[74]LTM!$H$1266,[74]LTM!$H$1454:$H$1461,[74]LTM!$H$1468:$H$1469</definedName>
    <definedName name="hn.MultByFXRatesBot3" hidden="1">[74]LTM!$I$676:$I$682,[74]LTM!$I$686,[74]LTM!$I$688:$I$694,[74]LTM!$I$699:$I$706,[74]LTM!$I$710:$I$714,[74]LTM!$I$717:$I$734,[74]LTM!$I$738,[74]LTM!$I$745:$I$751,[74]LTM!$I$840,[74]LTM!$I$1266,[74]LTM!$I$1454:$I$1461,[74]LTM!$I$1468:$I$1469</definedName>
    <definedName name="hn.MultByFXRatesBot4" hidden="1">[74]LTM!$J$676:$J$682,[74]LTM!$J$686,[74]LTM!$J$688:$J$694,[74]LTM!$J$699:$J$706,[74]LTM!$J$710:$J$714,[74]LTM!$J$717:$J$734,[74]LTM!$J$738,[74]LTM!$J$745:$J$751,[74]LTM!$J$840,[74]LTM!$J$1266,[74]LTM!$J$1454:$J$1461,[74]LTM!$J$1463:$J$1465,[74]LTM!$J$1468</definedName>
    <definedName name="hn.MultByFXRatesBot5" hidden="1">[74]LTM!$L$676:$L$682,[74]LTM!$L$686,[74]LTM!$L$688:$L$694,[74]LTM!$L$699:$L$706,[74]LTM!$L$710:$L$714,[74]LTM!$L$717:$L$734,[74]LTM!$L$738,[74]LTM!$L$745:$L$751,[74]LTM!$L$837:$L$838,[74]LTM!$L$1454:$L$1458,[74]LTM!$L$1468:$L$1469</definedName>
    <definedName name="hn.MultByFXRatesBot6" hidden="1">[74]LTM!$M$676:$M$682,[74]LTM!$M$686,[74]LTM!$M$688:$M$694,[74]LTM!$M$699:$M$706,[74]LTM!$M$710:$M$714,[74]LTM!$M$717:$M$734,[74]LTM!$M$738,[74]LTM!$M$745:$M$751,[74]LTM!$M$837:$M$838,[74]LTM!$M$1454:$M$1458,[74]LTM!$M$1468:$M$1469</definedName>
    <definedName name="hn.MultByFXRatesBot7" hidden="1">[74]LTM!$N$676:$N$682,[74]LTM!$N$686,[74]LTM!$N$688:$N$694,[74]LTM!$N$699:$N$706,[74]LTM!$N$710:$N$714,[74]LTM!$N$717:$N$734,[74]LTM!$N$738,[74]LTM!$N$745:$N$751,[74]LTM!$N$837:$N$838,[74]LTM!$N$1454:$N$1458,[74]LTM!$N$1468:$N$1469</definedName>
    <definedName name="hn.MultByFXRatesTop1" hidden="1">[74]LTM!$G$461,[74]LTM!$G$463:$G$464,[74]LTM!$G$468:$G$469,[74]LTM!$G$473:$G$475,[74]LTM!$G$480,[74]LTM!$G$484:$G$485,[74]LTM!$G$490:$G$509,[74]LTM!$G$512,[74]LTM!$G$514:$G$518,[74]LTM!$G$525:$G$526,[74]LTM!$G$532:$G$537,[74]LTM!$G$560</definedName>
    <definedName name="hn.MultByFXRatesTop2" hidden="1">[74]LTM!$H$461,[74]LTM!$H$463:$H$464,[74]LTM!$H$468:$H$469,[74]LTM!$H$473:$H$475,[74]LTM!$H$480,[74]LTM!$H$484:$H$485,[74]LTM!$H$490:$H$509,[74]LTM!$H$512,[74]LTM!$H$514:$H$518,[74]LTM!$H$525:$H$526,[74]LTM!$H$532:$H$537,[74]LTM!$H$560,[74]LTM!$H$590:$H$591,[74]LTM!$H$614:$H$631,[74]LTM!$H$635:$H$636</definedName>
    <definedName name="hn.MultByFXRatesTop3" hidden="1">[74]LTM!$I$461,[74]LTM!$I$463:$I$464,[74]LTM!$I$468:$I$469,[74]LTM!$I$473:$I$475,[74]LTM!$I$480,[74]LTM!$I$484:$I$485,[74]LTM!$I$490:$I$509,[74]LTM!$I$512,[74]LTM!$I$514:$I$518,[74]LTM!$I$525:$I$526,[74]LTM!$I$532:$I$537,[74]LTM!$I$560,[74]LTM!$I$590:$I$591,[74]LTM!$I$614:$I$631,[74]LTM!$I$635:$I$636</definedName>
    <definedName name="hn.MultByFXRatesTop4" hidden="1">[74]LTM!$J$461,[74]LTM!$J$463:$J$464,[74]LTM!$J$468:$J$469,[74]LTM!$J$473:$J$475,[74]LTM!$J$480,[74]LTM!$J$484:$J$485,[74]LTM!$J$490:$J$509,[74]LTM!$J$512,[74]LTM!$J$514:$J$518,[74]LTM!$J$525:$J$526,[74]LTM!$J$532:$J$537,[74]LTM!$J$560,[74]LTM!$J$590:$J$591,[74]LTM!$J$614:$J$631,[74]LTM!$J$635:$J$636</definedName>
    <definedName name="hn.MultByFXRatesTop5" hidden="1">[74]LTM!$L$461,[74]LTM!$L$463:$L$464,[74]LTM!$L$468:$L$469,[74]LTM!$L$473:$L$475,[74]LTM!$L$480,[74]LTM!$L$484:$L$485,[74]LTM!$L$490:$L$509,[74]LTM!$L$512,[74]LTM!$L$514:$L$518,[74]LTM!$L$525:$L$526,[74]LTM!$L$532:$L$537,[74]LTM!$L$560</definedName>
    <definedName name="hn.MultByFXRatesTop6" hidden="1">[74]LTM!$M$461,[74]LTM!$M$463:$M$464,[74]LTM!$M$468:$M$469,[74]LTM!$M$473:$M$475,[74]LTM!$M$480,[74]LTM!$M$484:$M$485,[74]LTM!$M$490:$M$509,[74]LTM!$M$512,[74]LTM!$M$514:$M$518,[74]LTM!$M$525:$M$526,[74]LTM!$M$532:$M$537,[74]LTM!$M$560,[74]LTM!$M$590:$M$591,[74]LTM!$M$614:$M$631,[74]LTM!$M$635:$M$636</definedName>
    <definedName name="hn.MultByFXRatesTop7" hidden="1">[74]LTM!$N$461,[74]LTM!$N$463:$N$464,[74]LTM!$N$468:$N$469,[74]LTM!$N$473:$N$475,[74]LTM!$N$480,[74]LTM!$N$484:$N$485,[74]LTM!$N$490:$N$509,[74]LTM!$N$512,[74]LTM!$N$514:$N$518,[74]LTM!$N$525:$N$526,[74]LTM!$N$532:$N$537,[74]LTM!$N$560,[74]LTM!$N$590:$N$591,[74]LTM!$N$614:$N$631,[74]LTM!$N$635:$N$636</definedName>
    <definedName name="hn.NoUpload" hidden="1">0</definedName>
    <definedName name="hn.YearLabel">#REF!</definedName>
    <definedName name="hnt">#REF!</definedName>
    <definedName name="HOJA1" localSheetId="4">#REF!</definedName>
    <definedName name="HOJA1" localSheetId="2">#REF!</definedName>
    <definedName name="HOJA1">#REF!</definedName>
    <definedName name="HOJA2">#REF!</definedName>
    <definedName name="HORAS">#REF!</definedName>
    <definedName name="HORAS_DIAS" localSheetId="4">#REF!</definedName>
    <definedName name="HORAS_DIAS" localSheetId="2">#REF!</definedName>
    <definedName name="HORAS_DIAS">#REF!</definedName>
    <definedName name="horas_lluvia" localSheetId="4">#REF!</definedName>
    <definedName name="horas_lluvia" localSheetId="2">#REF!</definedName>
    <definedName name="horas_lluvia">#REF!</definedName>
    <definedName name="HORAS_LLUVIAS" localSheetId="4">#REF!</definedName>
    <definedName name="HORAS_LLUVIAS" localSheetId="2">#REF!</definedName>
    <definedName name="HORAS_LLUVIAS">#REF!</definedName>
    <definedName name="HORASLLUVIA" localSheetId="4">#REF!</definedName>
    <definedName name="HORASLLUVIA" localSheetId="2">#REF!</definedName>
    <definedName name="HORASLLUVIA">#REF!</definedName>
    <definedName name="HoursTotCol">#REF!</definedName>
    <definedName name="hp" localSheetId="4">#REF!</definedName>
    <definedName name="hp" localSheetId="2">#REF!</definedName>
    <definedName name="hp">#REF!</definedName>
    <definedName name="hqi">#REF!</definedName>
    <definedName name="hreer" localSheetId="4">#REF!</definedName>
    <definedName name="hreer" localSheetId="2">#REF!</definedName>
    <definedName name="hreer">#REF!</definedName>
    <definedName name="hrhth" localSheetId="4">#REF!</definedName>
    <definedName name="hrhth" localSheetId="2">#REF!</definedName>
    <definedName name="hrhth">#REF!</definedName>
    <definedName name="HrIncrement" localSheetId="4">#REF!</definedName>
    <definedName name="HrIncrement" localSheetId="2">#REF!</definedName>
    <definedName name="HrIncrement">#REF!</definedName>
    <definedName name="hrthtrh" localSheetId="4">#REF!</definedName>
    <definedName name="hrthtrh" localSheetId="2">#REF!</definedName>
    <definedName name="hrthtrh">#REF!</definedName>
    <definedName name="hsfg" localSheetId="4">#REF!</definedName>
    <definedName name="hsfg" localSheetId="2">#REF!</definedName>
    <definedName name="hsfg">#REF!</definedName>
    <definedName name="hsup">#REF!</definedName>
    <definedName name="ht">#REF!</definedName>
    <definedName name="HT75MH">[10]BASE!$D$23</definedName>
    <definedName name="htecn" localSheetId="4">#REF!</definedName>
    <definedName name="htecn" localSheetId="2">#REF!</definedName>
    <definedName name="htecn">#REF!</definedName>
    <definedName name="hthdrf" localSheetId="4">#REF!</definedName>
    <definedName name="hthdrf" localSheetId="2">#REF!</definedName>
    <definedName name="hthdrf">#REF!</definedName>
    <definedName name="htk">#REF!</definedName>
    <definedName name="HTML_CodePage" hidden="1">1252</definedName>
    <definedName name="HTML_Control" hidden="1">{"'Parámetros'!$A$3:$C$3"}</definedName>
    <definedName name="HTML_Control2" hidden="1">{"'Parámetros'!$A$3:$C$3"}</definedName>
    <definedName name="HTML_Description" hidden="1">""</definedName>
    <definedName name="HTML_Email" hidden="1">""</definedName>
    <definedName name="HTML_Header" hidden="1">"Parámetros"</definedName>
    <definedName name="HTML_LastUpdate" hidden="1">"7/06/2001"</definedName>
    <definedName name="HTML_LineAfter" hidden="1">FALSE</definedName>
    <definedName name="HTML_LineBefore" hidden="1">TRUE</definedName>
    <definedName name="HTML_Name" hidden="1">"EMPRESA DE ACUEDUCTO Y ALCANT"</definedName>
    <definedName name="HTML_OBDlg2" hidden="1">TRUE</definedName>
    <definedName name="HTML_OBDlg3" hidden="1">TRUE</definedName>
    <definedName name="HTML_OBDlg4" hidden="1">TRUE</definedName>
    <definedName name="HTML_OS" hidden="1">0</definedName>
    <definedName name="HTML_PathFile" hidden="1">"C:\Verificacion\Modelo.htm"</definedName>
    <definedName name="HTML_PathTemplate" hidden="1">"C:\Verificacion\&lt;!--##Table##--&gt;"</definedName>
    <definedName name="HTML_Title" hidden="1">"Empresarial"</definedName>
    <definedName name="htryrt7" localSheetId="4">#REF!</definedName>
    <definedName name="htryrt7" localSheetId="2">#REF!</definedName>
    <definedName name="htryrt7">#REF!</definedName>
    <definedName name="huygho" localSheetId="4">#REF!</definedName>
    <definedName name="huygho" localSheetId="2">#REF!</definedName>
    <definedName name="huygho">#REF!</definedName>
    <definedName name="hvehiculo">#REF!</definedName>
    <definedName name="HY" localSheetId="4">#REF!</definedName>
    <definedName name="HY" localSheetId="2">#REF!</definedName>
    <definedName name="HY">#REF!</definedName>
    <definedName name="hyhjop" localSheetId="4">#REF!</definedName>
    <definedName name="hyhjop" localSheetId="2">#REF!</definedName>
    <definedName name="hyhjop">#REF!</definedName>
    <definedName name="hyhyh" localSheetId="4">#REF!</definedName>
    <definedName name="hyhyh" localSheetId="2">#REF!</definedName>
    <definedName name="hyhyh">#REF!</definedName>
    <definedName name="HYT">#REF!</definedName>
    <definedName name="hytirs" localSheetId="4">#REF!</definedName>
    <definedName name="hytirs" localSheetId="2">#REF!</definedName>
    <definedName name="hytirs">#REF!</definedName>
    <definedName name="I">#REF!</definedName>
    <definedName name="i1277.">#REF!</definedName>
    <definedName name="i8i" localSheetId="4">#REF!</definedName>
    <definedName name="i8i" localSheetId="2">#REF!</definedName>
    <definedName name="i8i">#REF!</definedName>
    <definedName name="IANC">[4]INPUTS!$D$20</definedName>
    <definedName name="id">#REF!</definedName>
    <definedName name="IF" localSheetId="4">#REF!</definedName>
    <definedName name="IF" localSheetId="2">#REF!</definedName>
    <definedName name="IF">#REF!</definedName>
    <definedName name="ig">#REF!</definedName>
    <definedName name="ii">#REF!</definedName>
    <definedName name="iii" localSheetId="4">#REF!</definedName>
    <definedName name="iii" localSheetId="2">#REF!</definedName>
    <definedName name="iii">#REF!</definedName>
    <definedName name="iiii" localSheetId="4">#REF!</definedName>
    <definedName name="iiii" localSheetId="2">#REF!</definedName>
    <definedName name="iiii">#REF!</definedName>
    <definedName name="IIIII" localSheetId="4">#REF!</definedName>
    <definedName name="IIIII" localSheetId="2">#REF!</definedName>
    <definedName name="IIIII">#REF!</definedName>
    <definedName name="IIIIIIIIIIIIIIII">#REF!</definedName>
    <definedName name="iiiiiiik" localSheetId="4">#REF!</definedName>
    <definedName name="iiiiiiik" localSheetId="2">#REF!</definedName>
    <definedName name="iiiiiiik">#REF!</definedName>
    <definedName name="iiiiuh" localSheetId="4">#REF!</definedName>
    <definedName name="iiiiuh" localSheetId="2">#REF!</definedName>
    <definedName name="iiiiuh">#REF!</definedName>
    <definedName name="ik">#REF!</definedName>
    <definedName name="ikj">#REF!</definedName>
    <definedName name="iktgvfmu" localSheetId="4">#REF!</definedName>
    <definedName name="iktgvfmu" localSheetId="2">#REF!</definedName>
    <definedName name="iktgvfmu">#REF!</definedName>
    <definedName name="Im_Un">#REF!</definedName>
    <definedName name="IMP">[19]ANALISIS!$J$7</definedName>
    <definedName name="ImpdosporMilCostos">#REF!</definedName>
    <definedName name="Impdosxmil" localSheetId="4">#REF!</definedName>
    <definedName name="Impdosxmil" localSheetId="2">#REF!</definedName>
    <definedName name="Impdosxmil">#REF!</definedName>
    <definedName name="IMPRE">2%</definedName>
    <definedName name="imprev">#REF!</definedName>
    <definedName name="Imprevistos_mmto_año1">#REF!</definedName>
    <definedName name="ImpuestoCostos" localSheetId="4">#REF!</definedName>
    <definedName name="ImpuestoCostos" localSheetId="2">#REF!</definedName>
    <definedName name="ImpuestoCostos">#REF!</definedName>
    <definedName name="Impuestos" localSheetId="4">#REF!</definedName>
    <definedName name="Impuestos" localSheetId="2">#REF!</definedName>
    <definedName name="Impuestos">#REF!</definedName>
    <definedName name="IMPULSIONALCANTARILLADOTABLA1.10">'[4]INFORMACIÓN REFERENCIA'!$B$441:$F$452</definedName>
    <definedName name="Incomepb">#REF!</definedName>
    <definedName name="INCONTERMS" localSheetId="4">#REF!</definedName>
    <definedName name="INCONTERMS" localSheetId="2">#REF!</definedName>
    <definedName name="INCONTERMS">#REF!</definedName>
    <definedName name="INCREMENTO1">'[75]CAT-D7H'!$R$3</definedName>
    <definedName name="INCREMENTO2">'[75]CAT-D7H'!$S$3</definedName>
    <definedName name="INCREMENTO3">'[75]CAT-D7H'!$T$3</definedName>
    <definedName name="IncrementoCanon">#REF!</definedName>
    <definedName name="INDICE">[48]INDICE!$A:$IV</definedName>
    <definedName name="INDICEPRECIOSCONSUMIDOR">[4]REFERENCIAS!$A$28:$E$112</definedName>
    <definedName name="INDIE">[76]INDICE!$A:$IV</definedName>
    <definedName name="INDIREC">#REF!</definedName>
    <definedName name="INDJA1">#REF!</definedName>
    <definedName name="induccion">#REF!</definedName>
    <definedName name="inf">#REF!</definedName>
    <definedName name="INFF">#REF!</definedName>
    <definedName name="INFG">#REF!</definedName>
    <definedName name="infi">#REF!</definedName>
    <definedName name="IniCeldaDtfRapida">#REF!</definedName>
    <definedName name="InitFleet" localSheetId="4">#REF!</definedName>
    <definedName name="InitFleet" localSheetId="2">#REF!</definedName>
    <definedName name="InitFleet">#REF!</definedName>
    <definedName name="InitPurch">#REF!</definedName>
    <definedName name="ins">[77]insumos!$A$8:$A$40</definedName>
    <definedName name="INSPECCION" localSheetId="4">#REF!</definedName>
    <definedName name="INSPECCION" localSheetId="2">#REF!</definedName>
    <definedName name="INSPECCION">#REF!</definedName>
    <definedName name="INSPECCION2">#REF!</definedName>
    <definedName name="INST">#REF!</definedName>
    <definedName name="instala">#REF!</definedName>
    <definedName name="INSTALACION">#REF!</definedName>
    <definedName name="instalaciontuberia3">#REF!</definedName>
    <definedName name="INSU">[78]INSUMOS!$A$1:$E$65536</definedName>
    <definedName name="INSUMO">'[79]Base Datos Insumos'!$A$4:$B$483</definedName>
    <definedName name="INSUMOS">'[79]Base Datos Insumos'!$A$4:$B$483</definedName>
    <definedName name="Insumos_basicos">#REF!</definedName>
    <definedName name="Insumos_D18">#REF!</definedName>
    <definedName name="InsuranceRate">[28]Parameters!$K$16</definedName>
    <definedName name="intCosteoMmto">#REF!</definedName>
    <definedName name="intDiasPagoFactura" localSheetId="4">#REF!</definedName>
    <definedName name="intDiasPagoFactura" localSheetId="2">#REF!</definedName>
    <definedName name="intDiasPagoFactura">#REF!</definedName>
    <definedName name="Interest_Rate">#REF!</definedName>
    <definedName name="InterestRate">[28]Parameters!$K$15</definedName>
    <definedName name="Interventor">[40]Datos!$B$5</definedName>
    <definedName name="intFrecIncremInsumosAno">#REF!</definedName>
    <definedName name="intFrecInctoMmtoAno">#REF!</definedName>
    <definedName name="intMesBenTributario">#REF!</definedName>
    <definedName name="intMesCruzarIva" localSheetId="4">#REF!</definedName>
    <definedName name="intMesCruzarIva" localSheetId="2">#REF!</definedName>
    <definedName name="intMesCruzarIva">#REF!</definedName>
    <definedName name="intMesInicioIncremInsumosAno">#REF!</definedName>
    <definedName name="intMesRevFinCont">#REF!</definedName>
    <definedName name="intPlazoVariable1" localSheetId="4">#REF!</definedName>
    <definedName name="intPlazoVariable1" localSheetId="2">#REF!</definedName>
    <definedName name="intPlazoVariable1">#REF!</definedName>
    <definedName name="intPlazoVariable2">#REF!</definedName>
    <definedName name="intPlazoVariable3">#REF!</definedName>
    <definedName name="IntRendCombKmGl">#REF!</definedName>
    <definedName name="IntTipoMmto">#REF!</definedName>
    <definedName name="INV_11" localSheetId="4">#REF!</definedName>
    <definedName name="INV_11" localSheetId="2">#REF!</definedName>
    <definedName name="INV_11">#REF!</definedName>
    <definedName name="Io">#REF!</definedName>
    <definedName name="IOUHH" localSheetId="4">#REF!</definedName>
    <definedName name="IOUHH" localSheetId="2">#REF!</definedName>
    <definedName name="IOUHH">#REF!</definedName>
    <definedName name="IPC">[4]REFERENCIAS!$A$27:$E$112</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38798.4609490741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#REF!</definedName>
    <definedName name="IREM13.4">#REF!</definedName>
    <definedName name="IRMA" localSheetId="4">#REF!</definedName>
    <definedName name="IRMA" localSheetId="2">#REF!</definedName>
    <definedName name="IRMA">#REF!</definedName>
    <definedName name="IsColHidden" hidden="1">FALSE</definedName>
    <definedName name="IsLTMColHidden" hidden="1">FALSE</definedName>
    <definedName name="IsSecureRevolver">#REF!</definedName>
    <definedName name="IsSecureSenior1">#REF!</definedName>
    <definedName name="IsSecureSenior2">#REF!</definedName>
    <definedName name="IsSecureSenior3" localSheetId="4">#REF!</definedName>
    <definedName name="IsSecureSenior3" localSheetId="2">#REF!</definedName>
    <definedName name="IsSecureSenior3">#REF!</definedName>
    <definedName name="IsSecureSenior4" localSheetId="4">#REF!</definedName>
    <definedName name="IsSecureSenior4" localSheetId="2">#REF!</definedName>
    <definedName name="IsSecureSenior4">#REF!</definedName>
    <definedName name="IsSecureSenior5">#REF!</definedName>
    <definedName name="IsSecureSenior6">#REF!</definedName>
    <definedName name="IsSecureSenior7">#REF!</definedName>
    <definedName name="it.">#REF!</definedName>
    <definedName name="ITEM">#REF!</definedName>
    <definedName name="ITEM___1.0">#REF!</definedName>
    <definedName name="ITEM__EXCAVACION_EN_CONGLOMERADO_DE_2.00_A_4.00_M" localSheetId="4">#REF!</definedName>
    <definedName name="ITEM__EXCAVACION_EN_CONGLOMERADO_DE_2.00_A_4.00_M" localSheetId="2">#REF!</definedName>
    <definedName name="ITEM__EXCAVACION_EN_CONGLOMERADO_DE_2.00_A_4.00_M">#REF!</definedName>
    <definedName name="ITEM_1.1">#REF!</definedName>
    <definedName name="ITEM_1.1.1">#REF!</definedName>
    <definedName name="ITEM_1.1.2">#REF!</definedName>
    <definedName name="ITEM_1.2.1" localSheetId="4">#REF!</definedName>
    <definedName name="ITEM_1.2.1" localSheetId="2">#REF!</definedName>
    <definedName name="ITEM_1.2.1">#REF!</definedName>
    <definedName name="ITEM_1.3.1" localSheetId="4">#REF!</definedName>
    <definedName name="ITEM_1.3.1" localSheetId="2">#REF!</definedName>
    <definedName name="ITEM_1.3.1">#REF!</definedName>
    <definedName name="ITEM_1.3.2">#REF!</definedName>
    <definedName name="ITEM_1.3.3">#REF!</definedName>
    <definedName name="ITEM_1.3.4">#REF!</definedName>
    <definedName name="ITEM_1.4">#REF!</definedName>
    <definedName name="ITEM_1.4.1">#REF!</definedName>
    <definedName name="ITEM_1.4.2" localSheetId="4">#REF!</definedName>
    <definedName name="ITEM_1.4.2" localSheetId="2">#REF!</definedName>
    <definedName name="ITEM_1.4.2">#REF!</definedName>
    <definedName name="ITEM_1.4.3" localSheetId="4">#REF!</definedName>
    <definedName name="ITEM_1.4.3" localSheetId="2">#REF!</definedName>
    <definedName name="ITEM_1.4.3">#REF!</definedName>
    <definedName name="ITEM_1.4.4" localSheetId="4">#REF!</definedName>
    <definedName name="ITEM_1.4.4" localSheetId="2">#REF!</definedName>
    <definedName name="ITEM_1.4.4">#REF!</definedName>
    <definedName name="ITEM_1.5">#REF!</definedName>
    <definedName name="ITEM_1.6.1" localSheetId="4">#REF!</definedName>
    <definedName name="ITEM_1.6.1" localSheetId="2">#REF!</definedName>
    <definedName name="ITEM_1.6.1">#REF!</definedName>
    <definedName name="ITEM_1.6.2">#REF!</definedName>
    <definedName name="ITEM_1.7.1">#REF!</definedName>
    <definedName name="ITEM_1.7.2">#REF!</definedName>
    <definedName name="ITEM_1.8" localSheetId="4">#REF!</definedName>
    <definedName name="ITEM_1.8" localSheetId="2">#REF!</definedName>
    <definedName name="ITEM_1.8">#REF!</definedName>
    <definedName name="ITEM_1_FILTRO">#REF!</definedName>
    <definedName name="ITEM_2">#REF!</definedName>
    <definedName name="ITEM_2.11">#REF!</definedName>
    <definedName name="ITEM_2.7">#REF!</definedName>
    <definedName name="ITEM_3.1">#REF!</definedName>
    <definedName name="ITEM_3.11" localSheetId="4">#REF!</definedName>
    <definedName name="ITEM_3.11" localSheetId="2">#REF!</definedName>
    <definedName name="ITEM_3.11">#REF!</definedName>
    <definedName name="ITEM_3.12">#REF!</definedName>
    <definedName name="ITEM_3.13">#REF!</definedName>
    <definedName name="ITEM_3.14">#REF!</definedName>
    <definedName name="ITEM_3.15">#REF!</definedName>
    <definedName name="ITEM_3_FILTRO">#REF!</definedName>
    <definedName name="ITEM_4">#REF!</definedName>
    <definedName name="ITEM_4_FILTRO">#REF!</definedName>
    <definedName name="ITEM_5">#REF!</definedName>
    <definedName name="ITEM_5_FILTRO">#REF!</definedName>
    <definedName name="ITEM_6.2">#REF!</definedName>
    <definedName name="ITEM_6.3">#REF!</definedName>
    <definedName name="ITEM_6.4">#REF!</definedName>
    <definedName name="ITEM_6.5">#REF!</definedName>
    <definedName name="ITEM_6.6">#REF!</definedName>
    <definedName name="ITEM_6.7">#REF!</definedName>
    <definedName name="ITEM_6.8">#REF!</definedName>
    <definedName name="ITEM_6.9">#REF!</definedName>
    <definedName name="ITEM_6_FILTRO">#REF!</definedName>
    <definedName name="ITEM_7" localSheetId="4">#REF!</definedName>
    <definedName name="ITEM_7" localSheetId="2">#REF!</definedName>
    <definedName name="ITEM_7">#REF!</definedName>
    <definedName name="ITEM_8">#REF!</definedName>
    <definedName name="ITEM_9" localSheetId="4">#REF!</definedName>
    <definedName name="ITEM_9" localSheetId="2">#REF!</definedName>
    <definedName name="ITEM_9">#REF!</definedName>
    <definedName name="ITEM_COD45">#REF!</definedName>
    <definedName name="item_exccon">#REF!</definedName>
    <definedName name="ITEM_INST_2">#REF!</definedName>
    <definedName name="ITEM_INST_3">#REF!</definedName>
    <definedName name="ITEM_MEDID">#REF!</definedName>
    <definedName name="Item_number">#REF!</definedName>
    <definedName name="ITEM_REDU">#REF!</definedName>
    <definedName name="ITEM_SIFON" localSheetId="4">#REF!</definedName>
    <definedName name="ITEM_SIFON" localSheetId="2">#REF!</definedName>
    <definedName name="ITEM_SIFON">#REF!</definedName>
    <definedName name="ITEM_TEE_3_2">#REF!</definedName>
    <definedName name="ITEM_TEE_4X4">#REF!</definedName>
    <definedName name="ITEM_TEFLON" localSheetId="4">#REF!</definedName>
    <definedName name="ITEM_TEFLON" localSheetId="2">#REF!</definedName>
    <definedName name="ITEM_TEFLON">#REF!</definedName>
    <definedName name="ITEM_VENTO" localSheetId="4">#REF!</definedName>
    <definedName name="ITEM_VENTO" localSheetId="2">#REF!</definedName>
    <definedName name="ITEM_VENTO">#REF!</definedName>
    <definedName name="ITEM1">#REF!</definedName>
    <definedName name="ITEM1.1">#REF!</definedName>
    <definedName name="ITEM1.10">#REF!</definedName>
    <definedName name="ITEM1.11">#REF!</definedName>
    <definedName name="ITEM1.2">#REF!</definedName>
    <definedName name="ITEM1.3" localSheetId="4">#REF!</definedName>
    <definedName name="ITEM1.3" localSheetId="2">#REF!</definedName>
    <definedName name="ITEM1.3">#REF!</definedName>
    <definedName name="ITEM1.4">#REF!</definedName>
    <definedName name="ITEM1.5">#REF!</definedName>
    <definedName name="ITEM1.6">#REF!</definedName>
    <definedName name="ITEM1.7">#REF!</definedName>
    <definedName name="ITEM1.8" localSheetId="4">#REF!</definedName>
    <definedName name="ITEM1.8" localSheetId="2">#REF!</definedName>
    <definedName name="ITEM1.8">#REF!</definedName>
    <definedName name="ITEM1.9">#REF!</definedName>
    <definedName name="ITEM101" localSheetId="4">#REF!</definedName>
    <definedName name="ITEM101" localSheetId="2">#REF!</definedName>
    <definedName name="ITEM101">#REF!</definedName>
    <definedName name="ITEM1010">#REF!</definedName>
    <definedName name="ITEM1011">#REF!</definedName>
    <definedName name="ITEM1012">#REF!</definedName>
    <definedName name="ITEM1013" localSheetId="4">#REF!</definedName>
    <definedName name="ITEM1013" localSheetId="2">#REF!</definedName>
    <definedName name="ITEM1013">#REF!</definedName>
    <definedName name="ITEM1014">#REF!</definedName>
    <definedName name="ITEM102">#REF!</definedName>
    <definedName name="ITEM103">#REF!</definedName>
    <definedName name="ITEM104" localSheetId="4">#REF!</definedName>
    <definedName name="ITEM104" localSheetId="2">#REF!</definedName>
    <definedName name="ITEM104">#REF!</definedName>
    <definedName name="ITEM105" localSheetId="4">#REF!</definedName>
    <definedName name="ITEM105" localSheetId="2">#REF!</definedName>
    <definedName name="ITEM105">#REF!</definedName>
    <definedName name="ITEM106">#REF!</definedName>
    <definedName name="ITEM107">#REF!</definedName>
    <definedName name="ITEM108">#REF!</definedName>
    <definedName name="ITEM109">#REF!</definedName>
    <definedName name="ITEM11">#REF!</definedName>
    <definedName name="ITEM110" localSheetId="4">#REF!</definedName>
    <definedName name="ITEM110" localSheetId="2">#REF!</definedName>
    <definedName name="ITEM110">#REF!</definedName>
    <definedName name="ITEM1101">#REF!</definedName>
    <definedName name="ITEM1102">#REF!</definedName>
    <definedName name="ITEM1103">#REF!</definedName>
    <definedName name="ITEM1104">#REF!</definedName>
    <definedName name="ITEM1105">#REF!</definedName>
    <definedName name="ITEM1106">#REF!</definedName>
    <definedName name="ITEM1107">#REF!</definedName>
    <definedName name="ITEM1108">#REF!</definedName>
    <definedName name="ITEM1109">#REF!</definedName>
    <definedName name="ITEM1110" localSheetId="4">#REF!</definedName>
    <definedName name="ITEM1110" localSheetId="2">#REF!</definedName>
    <definedName name="ITEM1110">#REF!</definedName>
    <definedName name="ITEM1111">#REF!</definedName>
    <definedName name="ITEM1112">#REF!</definedName>
    <definedName name="ITEM1113">#REF!</definedName>
    <definedName name="ITEM1114">#REF!</definedName>
    <definedName name="ITEM1115">#REF!</definedName>
    <definedName name="ITEM1116" localSheetId="4">#REF!</definedName>
    <definedName name="ITEM1116" localSheetId="2">#REF!</definedName>
    <definedName name="ITEM1116">#REF!</definedName>
    <definedName name="ITEM1117">#REF!</definedName>
    <definedName name="ITEM12">#REF!</definedName>
    <definedName name="ITEM12.2">#REF!</definedName>
    <definedName name="ITEM12.3">#REF!</definedName>
    <definedName name="ITEM12.4">#REF!</definedName>
    <definedName name="ITEM12.5">#REF!</definedName>
    <definedName name="ITEM12.6">#REF!</definedName>
    <definedName name="ITEM1201">#REF!</definedName>
    <definedName name="ITEM1202">#REF!</definedName>
    <definedName name="ITEM1203">#REF!</definedName>
    <definedName name="ITEM1204">#REF!</definedName>
    <definedName name="ITEM1205">#REF!</definedName>
    <definedName name="ITEM1206">#REF!</definedName>
    <definedName name="ITEM1207">#REF!</definedName>
    <definedName name="ITEM1208">#REF!</definedName>
    <definedName name="ITEM1209">#REF!</definedName>
    <definedName name="ITEM1210">#REF!</definedName>
    <definedName name="ITEM1211">#REF!</definedName>
    <definedName name="ITEM1212">#REF!</definedName>
    <definedName name="ITEM1213">#REF!</definedName>
    <definedName name="ITEM1214" localSheetId="4">#REF!</definedName>
    <definedName name="ITEM1214" localSheetId="2">#REF!</definedName>
    <definedName name="ITEM1214">#REF!</definedName>
    <definedName name="ITEM1215">#REF!</definedName>
    <definedName name="ITEM1216" localSheetId="4">#REF!</definedName>
    <definedName name="ITEM1216" localSheetId="2">#REF!</definedName>
    <definedName name="ITEM1216">#REF!</definedName>
    <definedName name="ITEM1217">#REF!</definedName>
    <definedName name="ITEM1218">#REF!</definedName>
    <definedName name="ITEM1219" localSheetId="4">#REF!</definedName>
    <definedName name="ITEM1219" localSheetId="2">#REF!</definedName>
    <definedName name="ITEM1219">#REF!</definedName>
    <definedName name="ITEM1220">#REF!</definedName>
    <definedName name="ITEM13">#REF!</definedName>
    <definedName name="ITEM13.10">#REF!</definedName>
    <definedName name="ITEM13.11">#REF!</definedName>
    <definedName name="ITEM13.12">#REF!</definedName>
    <definedName name="ITEM13.13">#REF!</definedName>
    <definedName name="ITEM13.14" localSheetId="4">#REF!</definedName>
    <definedName name="ITEM13.14" localSheetId="2">#REF!</definedName>
    <definedName name="ITEM13.14">#REF!</definedName>
    <definedName name="ITEM13.15">#REF!</definedName>
    <definedName name="ITEM13.16">#REF!</definedName>
    <definedName name="ITEM13.17">#REF!</definedName>
    <definedName name="ITEM13.18">#REF!</definedName>
    <definedName name="ITEM13.19">#REF!</definedName>
    <definedName name="ITEM13.20">#REF!</definedName>
    <definedName name="ITEM13.5">#REF!</definedName>
    <definedName name="ITEM13.6" localSheetId="4">#REF!</definedName>
    <definedName name="ITEM13.6" localSheetId="2">#REF!</definedName>
    <definedName name="ITEM13.6">#REF!</definedName>
    <definedName name="ITEM13.7">#REF!</definedName>
    <definedName name="ITEM13.8" localSheetId="4">#REF!</definedName>
    <definedName name="ITEM13.8" localSheetId="2">#REF!</definedName>
    <definedName name="ITEM13.8">#REF!</definedName>
    <definedName name="ITEM13.9">#REF!</definedName>
    <definedName name="ITEM1301" localSheetId="4">#REF!</definedName>
    <definedName name="ITEM1301" localSheetId="2">#REF!</definedName>
    <definedName name="ITEM1301">#REF!</definedName>
    <definedName name="ITEM1302" localSheetId="4">#REF!</definedName>
    <definedName name="ITEM1302" localSheetId="2">#REF!</definedName>
    <definedName name="ITEM1302">#REF!</definedName>
    <definedName name="ITEM1303">#REF!</definedName>
    <definedName name="ITEM1304">#REF!</definedName>
    <definedName name="ITEM1305">#REF!</definedName>
    <definedName name="ITEM1306">#REF!</definedName>
    <definedName name="ITEM1307">#REF!</definedName>
    <definedName name="ITEM1308">#REF!</definedName>
    <definedName name="ITEM1309">#REF!</definedName>
    <definedName name="ITEM1310" localSheetId="4">#REF!</definedName>
    <definedName name="ITEM1310" localSheetId="2">#REF!</definedName>
    <definedName name="ITEM1310">#REF!</definedName>
    <definedName name="ITEM1311" localSheetId="4">#REF!</definedName>
    <definedName name="ITEM1311" localSheetId="2">#REF!</definedName>
    <definedName name="ITEM1311">#REF!</definedName>
    <definedName name="ITEM1312">#REF!</definedName>
    <definedName name="ITEM1313" localSheetId="4">#REF!</definedName>
    <definedName name="ITEM1313" localSheetId="2">#REF!</definedName>
    <definedName name="ITEM1313">#REF!</definedName>
    <definedName name="ITEM1314">#REF!</definedName>
    <definedName name="ITEM1315" localSheetId="4">#REF!</definedName>
    <definedName name="ITEM1315" localSheetId="2">#REF!</definedName>
    <definedName name="ITEM1315">#REF!</definedName>
    <definedName name="ITEM1316">#REF!</definedName>
    <definedName name="ITEM1317" localSheetId="4">#REF!</definedName>
    <definedName name="ITEM1317" localSheetId="2">#REF!</definedName>
    <definedName name="ITEM1317">#REF!</definedName>
    <definedName name="ITEM1318">#REF!</definedName>
    <definedName name="ITEM1319">#REF!</definedName>
    <definedName name="ITEM1320" localSheetId="4">#REF!</definedName>
    <definedName name="ITEM1320" localSheetId="2">#REF!</definedName>
    <definedName name="ITEM1320">#REF!</definedName>
    <definedName name="ITEM1321">#REF!</definedName>
    <definedName name="ITEM1322">#REF!</definedName>
    <definedName name="ITEM1323" localSheetId="4">#REF!</definedName>
    <definedName name="ITEM1323" localSheetId="2">#REF!</definedName>
    <definedName name="ITEM1323">#REF!</definedName>
    <definedName name="ITEM1324">#REF!</definedName>
    <definedName name="ITEM1325">#REF!</definedName>
    <definedName name="ITEM1326">#REF!</definedName>
    <definedName name="ITEM1327" localSheetId="4">#REF!</definedName>
    <definedName name="ITEM1327" localSheetId="2">#REF!</definedName>
    <definedName name="ITEM1327">#REF!</definedName>
    <definedName name="ITEM1328">#REF!</definedName>
    <definedName name="ITEM1329" localSheetId="4">#REF!</definedName>
    <definedName name="ITEM1329" localSheetId="2">#REF!</definedName>
    <definedName name="ITEM1329">#REF!</definedName>
    <definedName name="ITEM1330">#REF!</definedName>
    <definedName name="ITEM1331">#REF!</definedName>
    <definedName name="ITEM1332" localSheetId="4">#REF!</definedName>
    <definedName name="ITEM1332" localSheetId="2">#REF!</definedName>
    <definedName name="ITEM1332">#REF!</definedName>
    <definedName name="ITEM1333">#REF!</definedName>
    <definedName name="ITEM1334">#REF!</definedName>
    <definedName name="ITEM1335">#REF!</definedName>
    <definedName name="ITEM14">#REF!</definedName>
    <definedName name="ITEM1401">#REF!</definedName>
    <definedName name="ITEM1402">#REF!</definedName>
    <definedName name="ITEM1403" localSheetId="4">#REF!</definedName>
    <definedName name="ITEM1403" localSheetId="2">#REF!</definedName>
    <definedName name="ITEM1403">#REF!</definedName>
    <definedName name="ITEM1404" localSheetId="4">#REF!</definedName>
    <definedName name="ITEM1404" localSheetId="2">#REF!</definedName>
    <definedName name="ITEM1404">#REF!</definedName>
    <definedName name="ITEM15">#REF!</definedName>
    <definedName name="ITEM1501">#REF!</definedName>
    <definedName name="ITEM1502">#REF!</definedName>
    <definedName name="ITEM1503">#REF!</definedName>
    <definedName name="ITEM1504">#REF!</definedName>
    <definedName name="ITEM1505">#REF!</definedName>
    <definedName name="ITEM1506">#REF!</definedName>
    <definedName name="ITEM1507">#REF!</definedName>
    <definedName name="ITEM1508" localSheetId="4">#REF!</definedName>
    <definedName name="ITEM1508" localSheetId="2">#REF!</definedName>
    <definedName name="ITEM1508">#REF!</definedName>
    <definedName name="ITEM1509">#REF!</definedName>
    <definedName name="ITEM16">#REF!</definedName>
    <definedName name="ITEM1601" localSheetId="4">#REF!</definedName>
    <definedName name="ITEM1601" localSheetId="2">#REF!</definedName>
    <definedName name="ITEM1601">#REF!</definedName>
    <definedName name="ITEM1602">#REF!</definedName>
    <definedName name="ITEM1603">#REF!</definedName>
    <definedName name="ITEM17">#REF!</definedName>
    <definedName name="ITEM1701" localSheetId="4">#REF!</definedName>
    <definedName name="ITEM1701" localSheetId="2">#REF!</definedName>
    <definedName name="ITEM1701">#REF!</definedName>
    <definedName name="ITEM18">#REF!</definedName>
    <definedName name="ITEM1801">#REF!</definedName>
    <definedName name="ITEM19">#REF!</definedName>
    <definedName name="ITEM1901">#REF!</definedName>
    <definedName name="ITEM1902" localSheetId="4">#REF!</definedName>
    <definedName name="ITEM1902" localSheetId="2">#REF!</definedName>
    <definedName name="ITEM1902">#REF!</definedName>
    <definedName name="ITEM1903">#REF!</definedName>
    <definedName name="ITEM1904">#REF!</definedName>
    <definedName name="ITEM1905">#REF!</definedName>
    <definedName name="ITEM1906" localSheetId="4">#REF!</definedName>
    <definedName name="ITEM1906" localSheetId="2">#REF!</definedName>
    <definedName name="ITEM1906">#REF!</definedName>
    <definedName name="ITEM1907">#REF!</definedName>
    <definedName name="ITEM1908">#REF!</definedName>
    <definedName name="ITEM1909">#REF!</definedName>
    <definedName name="ITEM1910">#REF!</definedName>
    <definedName name="ITEM1911">#REF!</definedName>
    <definedName name="ITEM1912">#REF!</definedName>
    <definedName name="ITEM1913">#REF!</definedName>
    <definedName name="ITEM1914">#REF!</definedName>
    <definedName name="ITEM1915">#REF!</definedName>
    <definedName name="ITEM1916" localSheetId="4">#REF!</definedName>
    <definedName name="ITEM1916" localSheetId="2">#REF!</definedName>
    <definedName name="ITEM1916">#REF!</definedName>
    <definedName name="ITEM1917">#REF!</definedName>
    <definedName name="ITEM1918" localSheetId="4">#REF!</definedName>
    <definedName name="ITEM1918" localSheetId="2">#REF!</definedName>
    <definedName name="ITEM1918">#REF!</definedName>
    <definedName name="ITEM2">#REF!</definedName>
    <definedName name="ITEM2.1" localSheetId="4">#REF!</definedName>
    <definedName name="ITEM2.1" localSheetId="2">#REF!</definedName>
    <definedName name="ITEM2.1">#REF!</definedName>
    <definedName name="ITEM2.10" localSheetId="4">APU!$E$17546</definedName>
    <definedName name="ITEM2.10">[60]APU!$E$14843</definedName>
    <definedName name="ITEM2.11" localSheetId="4">APU!$E$17607</definedName>
    <definedName name="ITEM2.11">[60]APU!$E$14904</definedName>
    <definedName name="ITEM2.12" localSheetId="4">APU!$E$17668</definedName>
    <definedName name="ITEM2.12">[60]APU!$E$14965</definedName>
    <definedName name="ITEM2.2">#REF!</definedName>
    <definedName name="ITEM2.3">#REF!</definedName>
    <definedName name="ITEM2.4" localSheetId="4">#REF!</definedName>
    <definedName name="ITEM2.4" localSheetId="2">#REF!</definedName>
    <definedName name="ITEM2.4">#REF!</definedName>
    <definedName name="ITEM2.5">#REF!</definedName>
    <definedName name="ITEM2.6">#REF!</definedName>
    <definedName name="ITEM2.7">#REF!</definedName>
    <definedName name="ITEM2.8">#REF!</definedName>
    <definedName name="ITEM201.1">#REF!</definedName>
    <definedName name="ITEM201.2">#REF!</definedName>
    <definedName name="ITEM201.3">#REF!</definedName>
    <definedName name="ITEM21">#REF!</definedName>
    <definedName name="ITEM210.2">#REF!</definedName>
    <definedName name="item210.3" localSheetId="4">#REF!</definedName>
    <definedName name="item210.3" localSheetId="2">#REF!</definedName>
    <definedName name="item210.3">#REF!</definedName>
    <definedName name="ITEM211.1" localSheetId="4">#REF!</definedName>
    <definedName name="ITEM211.1" localSheetId="2">#REF!</definedName>
    <definedName name="ITEM211.1">#REF!</definedName>
    <definedName name="ITEM22">#REF!</definedName>
    <definedName name="ITEM220.1" localSheetId="4">#REF!</definedName>
    <definedName name="ITEM220.1" localSheetId="2">#REF!</definedName>
    <definedName name="ITEM220.1">#REF!</definedName>
    <definedName name="ITEM222" localSheetId="4">#REF!</definedName>
    <definedName name="ITEM222" localSheetId="2">#REF!</definedName>
    <definedName name="ITEM222">#REF!</definedName>
    <definedName name="ITEM23">#REF!</definedName>
    <definedName name="ITEM230">#REF!</definedName>
    <definedName name="item230.1">#REF!</definedName>
    <definedName name="ITEM24">#REF!</definedName>
    <definedName name="ITEM25" localSheetId="4">#REF!</definedName>
    <definedName name="ITEM25" localSheetId="2">#REF!</definedName>
    <definedName name="ITEM25">#REF!</definedName>
    <definedName name="ITEM26">#REF!</definedName>
    <definedName name="ITEM27" localSheetId="4">#REF!</definedName>
    <definedName name="ITEM27" localSheetId="2">#REF!</definedName>
    <definedName name="ITEM27">#REF!</definedName>
    <definedName name="ITEM28">#REF!</definedName>
    <definedName name="ITEM3">#REF!</definedName>
    <definedName name="ITEM3.1">#REF!</definedName>
    <definedName name="ITEM3.15" localSheetId="4">APU!$E$8485</definedName>
    <definedName name="ITEM3.15">[60]APU!$E$8621</definedName>
    <definedName name="ITEM3.16" localSheetId="4">APU!$E$8546</definedName>
    <definedName name="ITEM3.16">[60]APU!$E$8682</definedName>
    <definedName name="ITEM3.17" localSheetId="4">APU!$E$8607</definedName>
    <definedName name="ITEM3.17">[60]APU!$E$8743</definedName>
    <definedName name="ITEM3.18" localSheetId="4">APU!$E$8668</definedName>
    <definedName name="ITEM3.18">[60]APU!$E$8804</definedName>
    <definedName name="ITEM3.19" localSheetId="4">APU!$E$8729</definedName>
    <definedName name="ITEM3.19">[60]APU!$E$8865</definedName>
    <definedName name="ITEM3.2">#REF!</definedName>
    <definedName name="ITEM3.20" localSheetId="4">APU!$E$8790</definedName>
    <definedName name="ITEM3.20">[60]APU!$E$8926</definedName>
    <definedName name="ITEM3.21" localSheetId="4">APU!$E$14618</definedName>
    <definedName name="ITEM3.21">[60]APU!$E$11915</definedName>
    <definedName name="ITEM3.22" localSheetId="4">APU!$E$17177</definedName>
    <definedName name="ITEM3.22">[60]APU!$E$14477</definedName>
    <definedName name="ITEM3.23" localSheetId="4">APU!$E$17790</definedName>
    <definedName name="ITEM3.23">[60]APU!$E$15087</definedName>
    <definedName name="ITEM3.3">#REF!</definedName>
    <definedName name="ITEM31" localSheetId="4">#REF!</definedName>
    <definedName name="ITEM31" localSheetId="2">#REF!</definedName>
    <definedName name="ITEM31">#REF!</definedName>
    <definedName name="item310">#REF!</definedName>
    <definedName name="ITEM311">#REF!</definedName>
    <definedName name="ITEM312">#REF!</definedName>
    <definedName name="ITEM313" localSheetId="4">#REF!</definedName>
    <definedName name="ITEM313" localSheetId="2">#REF!</definedName>
    <definedName name="ITEM313">#REF!</definedName>
    <definedName name="ITEM314" localSheetId="4">#REF!</definedName>
    <definedName name="ITEM314" localSheetId="2">#REF!</definedName>
    <definedName name="ITEM314">#REF!</definedName>
    <definedName name="ITEM315">#REF!</definedName>
    <definedName name="ITEM32">#REF!</definedName>
    <definedName name="item320">#REF!</definedName>
    <definedName name="item320.2" localSheetId="4">#REF!</definedName>
    <definedName name="item320.2" localSheetId="2">#REF!</definedName>
    <definedName name="item320.2">#REF!</definedName>
    <definedName name="ITEM33">#REF!</definedName>
    <definedName name="ITEM330">#REF!</definedName>
    <definedName name="item330.1">#REF!</definedName>
    <definedName name="ITEM34">#REF!</definedName>
    <definedName name="ITEM35">#REF!</definedName>
    <definedName name="ITEM36">#REF!</definedName>
    <definedName name="ITEM37" localSheetId="4">#REF!</definedName>
    <definedName name="ITEM37" localSheetId="2">#REF!</definedName>
    <definedName name="ITEM37">#REF!</definedName>
    <definedName name="ITEM38">#REF!</definedName>
    <definedName name="ITEM39">#REF!</definedName>
    <definedName name="ITEM4.1">#REF!</definedName>
    <definedName name="ITEM4.10">#REF!</definedName>
    <definedName name="ITEM4.11" localSheetId="4">#REF!</definedName>
    <definedName name="ITEM4.11" localSheetId="2">#REF!</definedName>
    <definedName name="ITEM4.11">#REF!</definedName>
    <definedName name="ITEM4.12">#REF!</definedName>
    <definedName name="ITEM4.13">#REF!</definedName>
    <definedName name="ITEM4.2">#REF!</definedName>
    <definedName name="ITEM4.20" localSheetId="4">APU!#REF!</definedName>
    <definedName name="ITEM4.20">[60]APU!$E$9170</definedName>
    <definedName name="ITEM4.21" localSheetId="4">APU!$E$10040</definedName>
    <definedName name="ITEM4.21">[60]APU!$E$9231</definedName>
    <definedName name="ITEM4.22" localSheetId="4">APU!$E$10101</definedName>
    <definedName name="ITEM4.22">[60]APU!$E$9292</definedName>
    <definedName name="ITEM4.23" localSheetId="4">APU!$E$10162</definedName>
    <definedName name="ITEM4.23">[60]APU!$E$9353</definedName>
    <definedName name="ITEM4.24" localSheetId="4">APU!$E$10223</definedName>
    <definedName name="ITEM4.24">[60]APU!$E$9414</definedName>
    <definedName name="ITEM4.25" localSheetId="4">APU!#REF!</definedName>
    <definedName name="ITEM4.25">[60]APU!$E$9475</definedName>
    <definedName name="ITEM4.26" localSheetId="4">APU!$E$10288</definedName>
    <definedName name="ITEM4.26">[60]APU!$E$9536</definedName>
    <definedName name="ITEM4.27" localSheetId="4">APU!$E$10349</definedName>
    <definedName name="ITEM4.27">[60]APU!$E$9597</definedName>
    <definedName name="ITEM4.28" localSheetId="4">APU!$E$12361</definedName>
    <definedName name="ITEM4.28">[60]APU!$E$9658</definedName>
    <definedName name="ITEM4.29" localSheetId="4">APU!$E$12422</definedName>
    <definedName name="ITEM4.29">[60]APU!$E$9719</definedName>
    <definedName name="ITEM4.3">#REF!</definedName>
    <definedName name="ITEM4.30" localSheetId="4">APU!$E$12483</definedName>
    <definedName name="ITEM4.30">[60]APU!$E$9780</definedName>
    <definedName name="ITEM4.31" localSheetId="4">APU!$E$12544</definedName>
    <definedName name="ITEM4.31">[60]APU!$E$9841</definedName>
    <definedName name="ITEM4.32" localSheetId="4">APU!$E$12605</definedName>
    <definedName name="ITEM4.32">[60]APU!$E$9902</definedName>
    <definedName name="ITEM4.33" localSheetId="4">APU!$E$12666</definedName>
    <definedName name="ITEM4.33">[60]APU!$E$9963</definedName>
    <definedName name="ITEM4.34" localSheetId="4">APU!$E$12727</definedName>
    <definedName name="ITEM4.34">[60]APU!$E$10024</definedName>
    <definedName name="ITEM4.35" localSheetId="4">APU!$E$14252</definedName>
    <definedName name="ITEM4.35">[60]APU!$E$11549</definedName>
    <definedName name="ITEM4.36" localSheetId="4">APU!$E$14313</definedName>
    <definedName name="ITEM4.36">[60]APU!$E$11610</definedName>
    <definedName name="ITEM4.37" localSheetId="4">APU!$E$18644</definedName>
    <definedName name="ITEM4.37">[60]APU!$E$15941</definedName>
    <definedName name="ITEM4.38" localSheetId="4">APU!$E$17851</definedName>
    <definedName name="ITEM4.38">[60]APU!$E$15148</definedName>
    <definedName name="ITEM4.39" localSheetId="4">APU!$E$16933</definedName>
    <definedName name="ITEM4.39">[60]APU!$E$14233</definedName>
    <definedName name="ITEM4.4">#REF!</definedName>
    <definedName name="ITEM4.40" localSheetId="4">APU!$E$16994</definedName>
    <definedName name="ITEM4.40">[60]APU!$E$14294</definedName>
    <definedName name="ITEM4.41" localSheetId="4">APU!$E$17055</definedName>
    <definedName name="ITEM4.41">[60]APU!$E$14355</definedName>
    <definedName name="ITEM4.42" localSheetId="4">APU!$E$17116</definedName>
    <definedName name="ITEM4.42">[60]APU!$E$14416</definedName>
    <definedName name="ITEM4.43" localSheetId="4">APU!$E$17238</definedName>
    <definedName name="ITEM4.43">[60]APU!$E$14538</definedName>
    <definedName name="ITEM4.44" localSheetId="4">APU!$E$18705</definedName>
    <definedName name="ITEM4.44">[60]APU!$E$16002</definedName>
    <definedName name="ITEM4.45" localSheetId="4">APU!$E$18766</definedName>
    <definedName name="ITEM4.45">[60]APU!$E$16063</definedName>
    <definedName name="ITEM4.46" localSheetId="4">APU!$E$17363</definedName>
    <definedName name="ITEM4.46">[60]APU!$E$14660</definedName>
    <definedName name="ITEM4.5">#REF!</definedName>
    <definedName name="ITEM4.6">#REF!</definedName>
    <definedName name="ITEM4.7">#REF!</definedName>
    <definedName name="ITEM4.8" localSheetId="4">#REF!</definedName>
    <definedName name="ITEM4.8" localSheetId="2">#REF!</definedName>
    <definedName name="ITEM4.8">#REF!</definedName>
    <definedName name="ITEM4.9">#REF!</definedName>
    <definedName name="ITEM401" localSheetId="4">#REF!</definedName>
    <definedName name="ITEM401" localSheetId="2">#REF!</definedName>
    <definedName name="ITEM401">#REF!</definedName>
    <definedName name="ITEM402">#REF!</definedName>
    <definedName name="ITEM403">#REF!</definedName>
    <definedName name="ITEM404">#REF!</definedName>
    <definedName name="ITEM405">#REF!</definedName>
    <definedName name="ITEM406">#REF!</definedName>
    <definedName name="ITEM407">#REF!</definedName>
    <definedName name="ITEM408">#REF!</definedName>
    <definedName name="ITEM409">#REF!</definedName>
    <definedName name="ITEM410" localSheetId="4">#REF!</definedName>
    <definedName name="ITEM410" localSheetId="2">#REF!</definedName>
    <definedName name="ITEM410">#REF!</definedName>
    <definedName name="ITEM411">#REF!</definedName>
    <definedName name="ITEM412">#REF!</definedName>
    <definedName name="ITEM413" localSheetId="4">#REF!</definedName>
    <definedName name="ITEM413" localSheetId="2">#REF!</definedName>
    <definedName name="ITEM413">#REF!</definedName>
    <definedName name="ITEM414">#REF!</definedName>
    <definedName name="ITEM415">#REF!</definedName>
    <definedName name="ITEM416">#REF!</definedName>
    <definedName name="ITEM417">#REF!</definedName>
    <definedName name="item420">#REF!</definedName>
    <definedName name="ITEM450">#REF!</definedName>
    <definedName name="item450.2P">#REF!</definedName>
    <definedName name="ITEM5.1">#REF!</definedName>
    <definedName name="ITEM5.100" localSheetId="4">APU!$E$15102</definedName>
    <definedName name="ITEM5.100">[60]APU!$E$12403</definedName>
    <definedName name="ITEM5.101" localSheetId="4">APU!$E$15166</definedName>
    <definedName name="ITEM5.101">[60]APU!$E$12464</definedName>
    <definedName name="ITEM5.104" localSheetId="4">APU!$E$15227</definedName>
    <definedName name="ITEM5.104">[60]APU!$E$12525</definedName>
    <definedName name="ITEM5.105" localSheetId="4">APU!$E$15288</definedName>
    <definedName name="ITEM5.105">[60]APU!$E$12586</definedName>
    <definedName name="ITEM5.106" localSheetId="4">APU!$E$15349</definedName>
    <definedName name="ITEM5.106">[60]APU!$E$12647</definedName>
    <definedName name="ITEM5.107" localSheetId="4">APU!$E$15410</definedName>
    <definedName name="ITEM5.107">[60]APU!$E$12708</definedName>
    <definedName name="ITEM5.108" localSheetId="4">APU!$E$15470</definedName>
    <definedName name="ITEM5.108">[60]APU!$E$12769</definedName>
    <definedName name="ITEM5.109" localSheetId="4">APU!$E$15531</definedName>
    <definedName name="ITEM5.109">[60]APU!$E$12830</definedName>
    <definedName name="ITEM5.111" localSheetId="4">APU!$E$15592</definedName>
    <definedName name="ITEM5.111">[60]APU!$E$12891</definedName>
    <definedName name="ITEM5.112" localSheetId="4">APU!$E$15653</definedName>
    <definedName name="ITEM5.112">[60]APU!$E$12952</definedName>
    <definedName name="ITEM5.113" localSheetId="4">APU!$E$17424</definedName>
    <definedName name="ITEM5.113">[60]APU!$E$14721</definedName>
    <definedName name="ITEM5.114" localSheetId="4">APU!$E$17485</definedName>
    <definedName name="ITEM5.114">[60]APU!$E$14782</definedName>
    <definedName name="ITEM5.115" localSheetId="4">APU!$E$17729</definedName>
    <definedName name="ITEM5.115">[60]APU!$E$15026</definedName>
    <definedName name="ITEM5.2">#REF!</definedName>
    <definedName name="ITEM5.53" localSheetId="4">APU!$E$12788</definedName>
    <definedName name="ITEM5.53">[60]APU!$E$10085</definedName>
    <definedName name="ITEM5.54" localSheetId="4">APU!$E$12849</definedName>
    <definedName name="ITEM5.54">[60]APU!$E$10146</definedName>
    <definedName name="ITEM5.55" localSheetId="4">APU!$E$12910</definedName>
    <definedName name="ITEM5.55">[60]APU!$E$10207</definedName>
    <definedName name="ITEM5.56" localSheetId="4">APU!$E$12971</definedName>
    <definedName name="ITEM5.56">[60]APU!$E$10268</definedName>
    <definedName name="ITEM5.57" localSheetId="4">APU!$E$13032</definedName>
    <definedName name="ITEM5.57">[60]APU!$E$10329</definedName>
    <definedName name="ITEM5.58" localSheetId="4">APU!$E$13093</definedName>
    <definedName name="ITEM5.58">[60]APU!$E$10390</definedName>
    <definedName name="ITEM5.59" localSheetId="4">APU!$E$13154</definedName>
    <definedName name="ITEM5.59">[60]APU!$E$10451</definedName>
    <definedName name="ITEM5.60" localSheetId="4">APU!$E$13215</definedName>
    <definedName name="ITEM5.60">[60]APU!$E$10512</definedName>
    <definedName name="ITEM5.61" localSheetId="4">APU!$E$13276</definedName>
    <definedName name="ITEM5.61">[60]APU!$E$10573</definedName>
    <definedName name="ITEM5.62" localSheetId="4">APU!$E$13337</definedName>
    <definedName name="ITEM5.62">[60]APU!$E$10634</definedName>
    <definedName name="ITEM5.63" localSheetId="4">APU!$E$13398</definedName>
    <definedName name="ITEM5.63">[60]APU!$E$10695</definedName>
    <definedName name="ITEM5.64" localSheetId="4">APU!$E$13459</definedName>
    <definedName name="ITEM5.64">[60]APU!$E$10756</definedName>
    <definedName name="ITEM5.65" localSheetId="4">APU!$E$13520</definedName>
    <definedName name="ITEM5.65">[60]APU!$E$10817</definedName>
    <definedName name="ITEM5.66" localSheetId="4">APU!$E$13581</definedName>
    <definedName name="ITEM5.66">[60]APU!$E$10878</definedName>
    <definedName name="ITEM5.67" localSheetId="4">APU!$E$13642</definedName>
    <definedName name="ITEM5.67">[60]APU!$E$10939</definedName>
    <definedName name="ITEM5.68" localSheetId="4">APU!$E$13703</definedName>
    <definedName name="ITEM5.68">[60]APU!$E$11000</definedName>
    <definedName name="ITEM5.69" localSheetId="4">APU!$E$13764</definedName>
    <definedName name="ITEM5.69">[60]APU!$E$11061</definedName>
    <definedName name="ITEM5.70" localSheetId="4">APU!$E$13825</definedName>
    <definedName name="ITEM5.70">[60]APU!$E$11122</definedName>
    <definedName name="ITEM5.71" localSheetId="4">APU!$E$13886</definedName>
    <definedName name="ITEM5.71">[60]APU!$E$11183</definedName>
    <definedName name="ITEM5.72" localSheetId="4">APU!$E$14679</definedName>
    <definedName name="ITEM5.72">[60]APU!$E$11976</definedName>
    <definedName name="ITEM5.73" localSheetId="4">APU!$E$14740</definedName>
    <definedName name="ITEM5.73">[60]APU!$E$12037</definedName>
    <definedName name="ITEM5.74" localSheetId="4">APU!$E$14801</definedName>
    <definedName name="ITEM5.74">[60]APU!$E$12098</definedName>
    <definedName name="ITEM5.77" localSheetId="4">APU!$E$14862</definedName>
    <definedName name="ITEM5.77">[60]APU!$E$12159</definedName>
    <definedName name="ITEM5.78" localSheetId="4">APU!$E$14980</definedName>
    <definedName name="ITEM5.78">[60]APU!$E$12281</definedName>
    <definedName name="ITEM5.79" localSheetId="4">APU!$E$15041</definedName>
    <definedName name="ITEM5.79">[60]APU!$E$12342</definedName>
    <definedName name="ITEM5.80" localSheetId="4">APU!$E$14922</definedName>
    <definedName name="ITEM5.80">[60]APU!$E$12220</definedName>
    <definedName name="ITEM5.82" localSheetId="4">APU!$E$16689</definedName>
    <definedName name="ITEM5.82">[60]APU!$E$13989</definedName>
    <definedName name="ITEM5.83" localSheetId="4">APU!$E$16750</definedName>
    <definedName name="ITEM5.83">[60]APU!$E$14050</definedName>
    <definedName name="ITEM5.84" localSheetId="4">APU!$E$16019</definedName>
    <definedName name="ITEM5.84">[60]APU!$E$13318</definedName>
    <definedName name="ITEM5.85" localSheetId="4">APU!$E$16080</definedName>
    <definedName name="ITEM5.85">[60]APU!$E$13379</definedName>
    <definedName name="ITEM5.86" localSheetId="4">APU!$E$16141</definedName>
    <definedName name="ITEM5.86">[60]APU!$E$13440</definedName>
    <definedName name="ITEM5.87" localSheetId="4">APU!$E$16202</definedName>
    <definedName name="ITEM5.87">[60]APU!$E$13501</definedName>
    <definedName name="ITEM5.88" localSheetId="4">APU!$E$16262</definedName>
    <definedName name="ITEM5.88">[60]APU!$E$13562</definedName>
    <definedName name="ITEM5.89" localSheetId="4">APU!$E$16323</definedName>
    <definedName name="ITEM5.89">[60]APU!$E$13623</definedName>
    <definedName name="ITEM5.90" localSheetId="4">APU!$E$16384</definedName>
    <definedName name="ITEM5.90">[60]APU!$E$13684</definedName>
    <definedName name="ITEM5.91" localSheetId="4">APU!$E$16445</definedName>
    <definedName name="ITEM5.91">[60]APU!$E$13745</definedName>
    <definedName name="ITEM5.92" localSheetId="4">APU!$E$16506</definedName>
    <definedName name="ITEM5.92">[60]APU!$E$13806</definedName>
    <definedName name="ITEM5.93" localSheetId="4">APU!$E$16567</definedName>
    <definedName name="ITEM5.93">[60]APU!$E$13867</definedName>
    <definedName name="ITEM5.94" localSheetId="4">APU!$E$16628</definedName>
    <definedName name="ITEM5.94">[60]APU!$E$13928</definedName>
    <definedName name="ITEM5.95" localSheetId="4">APU!$E$15714</definedName>
    <definedName name="ITEM5.95">[60]APU!$E$13013</definedName>
    <definedName name="ITEM5.96" localSheetId="4">APU!$E$15775</definedName>
    <definedName name="ITEM5.96">[60]APU!$E$13074</definedName>
    <definedName name="ITEM5.97" localSheetId="4">APU!$E$15836</definedName>
    <definedName name="ITEM5.97">[60]APU!$E$13135</definedName>
    <definedName name="ITEM5.98" localSheetId="4">APU!$E$15897</definedName>
    <definedName name="ITEM5.98">[60]APU!$E$13196</definedName>
    <definedName name="ITEM5.99" localSheetId="4">APU!$E$15958</definedName>
    <definedName name="ITEM5.99">[60]APU!$E$13257</definedName>
    <definedName name="ITEM51">#REF!</definedName>
    <definedName name="ITEM510">#REF!</definedName>
    <definedName name="ITEM511" localSheetId="4">#REF!</definedName>
    <definedName name="ITEM511" localSheetId="2">#REF!</definedName>
    <definedName name="ITEM511">#REF!</definedName>
    <definedName name="ITEM512">#REF!</definedName>
    <definedName name="ITEM513">#REF!</definedName>
    <definedName name="ITEM514" localSheetId="4">#REF!</definedName>
    <definedName name="ITEM514" localSheetId="2">#REF!</definedName>
    <definedName name="ITEM514">#REF!</definedName>
    <definedName name="ITEM515">#REF!</definedName>
    <definedName name="ITEM516" localSheetId="4">#REF!</definedName>
    <definedName name="ITEM516" localSheetId="2">#REF!</definedName>
    <definedName name="ITEM516">#REF!</definedName>
    <definedName name="ITEM517">#REF!</definedName>
    <definedName name="ITEM518">#REF!</definedName>
    <definedName name="ITEM519" localSheetId="4">#REF!</definedName>
    <definedName name="ITEM519" localSheetId="2">#REF!</definedName>
    <definedName name="ITEM519">#REF!</definedName>
    <definedName name="ITEM52">#REF!</definedName>
    <definedName name="ITEM520" localSheetId="4">#REF!</definedName>
    <definedName name="ITEM520" localSheetId="2">#REF!</definedName>
    <definedName name="ITEM520">#REF!</definedName>
    <definedName name="ITEM521">[56]ITEMS!$A$522</definedName>
    <definedName name="ITEM522">#REF!</definedName>
    <definedName name="ITEM523">#REF!</definedName>
    <definedName name="ITEM524">#REF!</definedName>
    <definedName name="ITEM525">#REF!</definedName>
    <definedName name="ITEM526" localSheetId="4">#REF!</definedName>
    <definedName name="ITEM526" localSheetId="2">#REF!</definedName>
    <definedName name="ITEM526">#REF!</definedName>
    <definedName name="ITEM527">#REF!</definedName>
    <definedName name="ITEM528">#REF!</definedName>
    <definedName name="ITEM529">#REF!</definedName>
    <definedName name="ITEM53">#REF!</definedName>
    <definedName name="ITEM530">#REF!</definedName>
    <definedName name="ITEM531" localSheetId="4">#REF!</definedName>
    <definedName name="ITEM531" localSheetId="2">#REF!</definedName>
    <definedName name="ITEM531">#REF!</definedName>
    <definedName name="ITEM532">#REF!</definedName>
    <definedName name="ITEM533">#REF!</definedName>
    <definedName name="ITEM54">#REF!</definedName>
    <definedName name="ITEM55">#REF!</definedName>
    <definedName name="ITEM56">#REF!</definedName>
    <definedName name="ITEM57" localSheetId="4">#REF!</definedName>
    <definedName name="ITEM57" localSheetId="2">#REF!</definedName>
    <definedName name="ITEM57">#REF!</definedName>
    <definedName name="ITEM58">#REF!</definedName>
    <definedName name="ITEM59">#REF!</definedName>
    <definedName name="ITEM6.1">#REF!</definedName>
    <definedName name="ITEM6.3">#REF!</definedName>
    <definedName name="ITEM6.4">#REF!</definedName>
    <definedName name="ITEM6.5">#REF!</definedName>
    <definedName name="item600.1">#REF!</definedName>
    <definedName name="ITEM61">#REF!</definedName>
    <definedName name="ITEM610" localSheetId="4">#REF!</definedName>
    <definedName name="ITEM610" localSheetId="2">#REF!</definedName>
    <definedName name="ITEM610">#REF!</definedName>
    <definedName name="item610.1">#REF!</definedName>
    <definedName name="item610.2" localSheetId="4">#REF!</definedName>
    <definedName name="item610.2" localSheetId="2">#REF!</definedName>
    <definedName name="item610.2">#REF!</definedName>
    <definedName name="ITEM611">#REF!</definedName>
    <definedName name="ITEM612">#REF!</definedName>
    <definedName name="ITEM613" localSheetId="4">#REF!</definedName>
    <definedName name="ITEM613" localSheetId="2">#REF!</definedName>
    <definedName name="ITEM613">#REF!</definedName>
    <definedName name="ITEM614">#REF!</definedName>
    <definedName name="ITEM62">#REF!</definedName>
    <definedName name="ITEM63" localSheetId="4">#REF!</definedName>
    <definedName name="ITEM63" localSheetId="2">#REF!</definedName>
    <definedName name="ITEM63">#REF!</definedName>
    <definedName name="item630.4" localSheetId="4">#REF!</definedName>
    <definedName name="item630.4" localSheetId="2">#REF!</definedName>
    <definedName name="item630.4">#REF!</definedName>
    <definedName name="ITEM630.5" localSheetId="4">#REF!</definedName>
    <definedName name="ITEM630.5" localSheetId="2">#REF!</definedName>
    <definedName name="ITEM630.5">#REF!</definedName>
    <definedName name="item630.6">#REF!</definedName>
    <definedName name="item630.7">#REF!</definedName>
    <definedName name="ITEM630.8" localSheetId="4">#REF!</definedName>
    <definedName name="ITEM630.8" localSheetId="2">#REF!</definedName>
    <definedName name="ITEM630.8">#REF!</definedName>
    <definedName name="ITEM632">#REF!</definedName>
    <definedName name="ITEM64">#REF!</definedName>
    <definedName name="ITEM640" localSheetId="4">#REF!</definedName>
    <definedName name="ITEM640" localSheetId="2">#REF!</definedName>
    <definedName name="ITEM640">#REF!</definedName>
    <definedName name="item640.3">#REF!</definedName>
    <definedName name="ITEM65" localSheetId="4">#REF!</definedName>
    <definedName name="ITEM65" localSheetId="2">#REF!</definedName>
    <definedName name="ITEM65">#REF!</definedName>
    <definedName name="ITEM66">#REF!</definedName>
    <definedName name="item661">#REF!</definedName>
    <definedName name="ITEM67">#REF!</definedName>
    <definedName name="item671">#REF!</definedName>
    <definedName name="item673.1" localSheetId="4">#REF!</definedName>
    <definedName name="item673.1" localSheetId="2">#REF!</definedName>
    <definedName name="item673.1">#REF!</definedName>
    <definedName name="item673.3">#REF!</definedName>
    <definedName name="ITEM68" localSheetId="4">#REF!</definedName>
    <definedName name="ITEM68" localSheetId="2">#REF!</definedName>
    <definedName name="ITEM68">#REF!</definedName>
    <definedName name="item681">#REF!</definedName>
    <definedName name="ITEM69">#REF!</definedName>
    <definedName name="ITEM7.1" localSheetId="4">APU!$E$7453</definedName>
    <definedName name="ITEM7.1">[60]APU!$E$7589</definedName>
    <definedName name="ITEM7.10" localSheetId="4">APU!$E$8002</definedName>
    <definedName name="ITEM7.10">[60]APU!$E$8138</definedName>
    <definedName name="ITEM7.11" localSheetId="4">APU!$E$8063</definedName>
    <definedName name="ITEM7.11">[60]APU!$E$8199</definedName>
    <definedName name="ITEM7.12" localSheetId="4">APU!$E$8123</definedName>
    <definedName name="ITEM7.12">[60]APU!$E$8259</definedName>
    <definedName name="ITEM7.13" localSheetId="4">APU!$E$8184</definedName>
    <definedName name="ITEM7.13">[60]APU!$E$8320</definedName>
    <definedName name="ITEM7.14" localSheetId="4">APU!$E$8245</definedName>
    <definedName name="ITEM7.14">[60]APU!$E$8381</definedName>
    <definedName name="ITEM7.15" localSheetId="4">APU!$E$8306</definedName>
    <definedName name="ITEM7.15">[60]APU!$E$8442</definedName>
    <definedName name="ITEM7.16" localSheetId="4">APU!$E$8424</definedName>
    <definedName name="ITEM7.16">[60]APU!$E$8560</definedName>
    <definedName name="ITEM7.17" localSheetId="4">APU!$E$13947</definedName>
    <definedName name="ITEM7.17">[60]APU!$E$11244</definedName>
    <definedName name="ITEM7.18" localSheetId="4">APU!$E$14008</definedName>
    <definedName name="ITEM7.18">[60]APU!$E$11305</definedName>
    <definedName name="ITEM7.19" localSheetId="4">APU!$E$14069</definedName>
    <definedName name="ITEM7.19">[60]APU!$E$11366</definedName>
    <definedName name="ITEM7.2" localSheetId="4">APU!$E$7514</definedName>
    <definedName name="ITEM7.2">[60]APU!$E$7650</definedName>
    <definedName name="ITEM7.20" localSheetId="4">APU!$E$14130</definedName>
    <definedName name="ITEM7.20">[60]APU!$E$11427</definedName>
    <definedName name="ITEM7.21" localSheetId="4">APU!$E$14191</definedName>
    <definedName name="ITEM7.21">[60]APU!$E$11488</definedName>
    <definedName name="ITEM7.22" localSheetId="4">APU!$E$14374</definedName>
    <definedName name="ITEM7.22">[60]APU!$E$11671</definedName>
    <definedName name="ITEM7.23" localSheetId="4">APU!$E$14435</definedName>
    <definedName name="ITEM7.23">[60]APU!$E$11732</definedName>
    <definedName name="ITEM7.24" localSheetId="4">APU!$E$17302</definedName>
    <definedName name="ITEM7.24">[60]APU!$E$14599</definedName>
    <definedName name="ITEM7.25" localSheetId="4">APU!$E$17912</definedName>
    <definedName name="ITEM7.25">[60]APU!$E$15209</definedName>
    <definedName name="ITEM7.26" localSheetId="4">APU!$E$17973</definedName>
    <definedName name="ITEM7.26">[60]APU!$E$15270</definedName>
    <definedName name="ITEM7.27" localSheetId="4">APU!$E$18034</definedName>
    <definedName name="ITEM7.27">[60]APU!$E$15331</definedName>
    <definedName name="ITEM7.28" localSheetId="4">APU!$E$18095</definedName>
    <definedName name="ITEM7.28">[60]APU!$E$15392</definedName>
    <definedName name="ITEM7.29" localSheetId="4">APU!$E$18156</definedName>
    <definedName name="ITEM7.29">[60]APU!$E$15453</definedName>
    <definedName name="ITEM7.3" localSheetId="4">APU!$E$7575</definedName>
    <definedName name="ITEM7.3">[60]APU!$E$7711</definedName>
    <definedName name="ITEM7.30" localSheetId="4">APU!$E$18217</definedName>
    <definedName name="ITEM7.30">[60]APU!$E$15514</definedName>
    <definedName name="ITEM7.31" localSheetId="4">APU!$E$18278</definedName>
    <definedName name="ITEM7.31">[60]APU!$E$15575</definedName>
    <definedName name="ITEM7.32" localSheetId="4">APU!$E$18339</definedName>
    <definedName name="ITEM7.32">[60]APU!$E$15636</definedName>
    <definedName name="ITEM7.33" localSheetId="4">APU!$E$18400</definedName>
    <definedName name="ITEM7.33">[60]APU!$E$15697</definedName>
    <definedName name="ITEM7.34" localSheetId="4">APU!$E$18461</definedName>
    <definedName name="ITEM7.34">[60]APU!$E$15758</definedName>
    <definedName name="ITEM7.35" localSheetId="4">APU!$E$18522</definedName>
    <definedName name="ITEM7.35">[60]APU!$E$15819</definedName>
    <definedName name="ITEM7.4" localSheetId="4">APU!$E$7636</definedName>
    <definedName name="ITEM7.4">[60]APU!$E$7772</definedName>
    <definedName name="ITEM7.5" localSheetId="4">APU!$E$7697</definedName>
    <definedName name="ITEM7.5">[60]APU!$E$7833</definedName>
    <definedName name="ITEM7.6" localSheetId="4">APU!$E$7758</definedName>
    <definedName name="ITEM7.6">[60]APU!$E$7894</definedName>
    <definedName name="ITEM7.7" localSheetId="4">APU!$E$7819</definedName>
    <definedName name="ITEM7.7">[60]APU!$E$7955</definedName>
    <definedName name="ITEM7.8" localSheetId="4">APU!$E$7880</definedName>
    <definedName name="ITEM7.8">[60]APU!$E$8016</definedName>
    <definedName name="ITEM7.9" localSheetId="4">APU!$E$7941</definedName>
    <definedName name="ITEM7.9">[60]APU!$E$8077</definedName>
    <definedName name="item700.1">#REF!</definedName>
    <definedName name="ITEM704">#REF!</definedName>
    <definedName name="ITEM71">#REF!</definedName>
    <definedName name="item710.1" localSheetId="4">#REF!</definedName>
    <definedName name="item710.1" localSheetId="2">#REF!</definedName>
    <definedName name="item710.1">#REF!</definedName>
    <definedName name="item710.2">#REF!</definedName>
    <definedName name="ITEM72">#REF!</definedName>
    <definedName name="ITEM720" localSheetId="4">#REF!</definedName>
    <definedName name="ITEM720" localSheetId="2">#REF!</definedName>
    <definedName name="ITEM720">#REF!</definedName>
    <definedName name="ITEM73" localSheetId="4">#REF!</definedName>
    <definedName name="ITEM73" localSheetId="2">#REF!</definedName>
    <definedName name="ITEM73">#REF!</definedName>
    <definedName name="item730.1">#REF!</definedName>
    <definedName name="item730.2">#REF!</definedName>
    <definedName name="item730.2.4">#REF!</definedName>
    <definedName name="ITEM74">#REF!</definedName>
    <definedName name="ITEM75" localSheetId="4">#REF!</definedName>
    <definedName name="ITEM75" localSheetId="2">#REF!</definedName>
    <definedName name="ITEM75">#REF!</definedName>
    <definedName name="ITEM76" localSheetId="4">#REF!</definedName>
    <definedName name="ITEM76" localSheetId="2">#REF!</definedName>
    <definedName name="ITEM76">#REF!</definedName>
    <definedName name="ITEM77">#REF!</definedName>
    <definedName name="ITEM78">#REF!</definedName>
    <definedName name="ITEM8.10">#REF!</definedName>
    <definedName name="ITEM8.2">#REF!</definedName>
    <definedName name="ITEM8.3">#REF!</definedName>
    <definedName name="ITEM8.4">#REF!</definedName>
    <definedName name="ITEM8.5">#REF!</definedName>
    <definedName name="ITEM8.6">#REF!</definedName>
    <definedName name="ITEM8.7">#REF!</definedName>
    <definedName name="ITEM8.8">#REF!</definedName>
    <definedName name="ITEM8.9">#REF!</definedName>
    <definedName name="ITEM81">#REF!</definedName>
    <definedName name="ITEM810">#REF!</definedName>
    <definedName name="ITEM811">#REF!</definedName>
    <definedName name="ITEM812">#REF!</definedName>
    <definedName name="ITEM813">#REF!</definedName>
    <definedName name="ITEM814">#REF!</definedName>
    <definedName name="ITEM82" localSheetId="4">#REF!</definedName>
    <definedName name="ITEM82" localSheetId="2">#REF!</definedName>
    <definedName name="ITEM82">#REF!</definedName>
    <definedName name="ITEM83">#REF!</definedName>
    <definedName name="ITEM84">#REF!</definedName>
    <definedName name="ITEM85">#REF!</definedName>
    <definedName name="ITEM86">#REF!</definedName>
    <definedName name="ITEM87">#REF!</definedName>
    <definedName name="ITEM88" localSheetId="4">#REF!</definedName>
    <definedName name="ITEM88" localSheetId="2">#REF!</definedName>
    <definedName name="ITEM88">#REF!</definedName>
    <definedName name="ITEM89">#REF!</definedName>
    <definedName name="ITEM9.1">#REF!</definedName>
    <definedName name="ITEM9.2">#REF!</definedName>
    <definedName name="ITEM9.3">#REF!</definedName>
    <definedName name="ITEM900">#REF!</definedName>
    <definedName name="item900.2">#REF!</definedName>
    <definedName name="ITEM901">#REF!</definedName>
    <definedName name="ITEM902">#REF!</definedName>
    <definedName name="ITEM903">#REF!</definedName>
    <definedName name="ITEM904">#REF!</definedName>
    <definedName name="ITEM905" localSheetId="4">#REF!</definedName>
    <definedName name="ITEM905" localSheetId="2">#REF!</definedName>
    <definedName name="ITEM905">#REF!</definedName>
    <definedName name="ITEM906" localSheetId="4">#REF!</definedName>
    <definedName name="ITEM906" localSheetId="2">#REF!</definedName>
    <definedName name="ITEM906">#REF!</definedName>
    <definedName name="ITEM907">#REF!</definedName>
    <definedName name="ITEM908" localSheetId="4">#REF!</definedName>
    <definedName name="ITEM908" localSheetId="2">#REF!</definedName>
    <definedName name="ITEM908">#REF!</definedName>
    <definedName name="ITEM909">#REF!</definedName>
    <definedName name="ITEM910">#REF!</definedName>
    <definedName name="ITEM911">#REF!</definedName>
    <definedName name="ITEM912">#REF!</definedName>
    <definedName name="ITEM913">#REF!</definedName>
    <definedName name="ITEM914" localSheetId="4">#REF!</definedName>
    <definedName name="ITEM914" localSheetId="2">#REF!</definedName>
    <definedName name="ITEM914">#REF!</definedName>
    <definedName name="ITEM915" localSheetId="4">#REF!</definedName>
    <definedName name="ITEM915" localSheetId="2">#REF!</definedName>
    <definedName name="ITEM915">#REF!</definedName>
    <definedName name="ITEM916">#REF!</definedName>
    <definedName name="ITEMCOD90">#REF!</definedName>
    <definedName name="ItemCodos">#REF!</definedName>
    <definedName name="ITEN_2_FILTRO">#REF!</definedName>
    <definedName name="ITEN320" localSheetId="4">#REF!</definedName>
    <definedName name="ITEN320" localSheetId="2">#REF!</definedName>
    <definedName name="ITEN320">#REF!</definedName>
    <definedName name="ITENM_DOMIC">#REF!</definedName>
    <definedName name="IU" localSheetId="4">#REF!</definedName>
    <definedName name="IU" localSheetId="2">#REF!</definedName>
    <definedName name="IU">#REF!</definedName>
    <definedName name="IUI" localSheetId="4">#REF!</definedName>
    <definedName name="IUI" localSheetId="2">#REF!</definedName>
    <definedName name="IUI">#REF!</definedName>
    <definedName name="iuit7" localSheetId="4">#REF!</definedName>
    <definedName name="iuit7" localSheetId="2">#REF!</definedName>
    <definedName name="iuit7">#REF!</definedName>
    <definedName name="iul" localSheetId="4">#REF!</definedName>
    <definedName name="iul" localSheetId="2">#REF!</definedName>
    <definedName name="iul">#REF!</definedName>
    <definedName name="iuouio" localSheetId="4">#REF!</definedName>
    <definedName name="iuouio" localSheetId="2">#REF!</definedName>
    <definedName name="iuouio">#REF!</definedName>
    <definedName name="iuyi9" localSheetId="4">#REF!</definedName>
    <definedName name="iuyi9" localSheetId="2">#REF!</definedName>
    <definedName name="iuyi9">#REF!</definedName>
    <definedName name="iva" localSheetId="4">#REF!</definedName>
    <definedName name="iva" localSheetId="2">#REF!</definedName>
    <definedName name="iva">#REF!</definedName>
    <definedName name="iyuiuyi" localSheetId="4">#REF!</definedName>
    <definedName name="iyuiuyi" localSheetId="2">#REF!</definedName>
    <definedName name="iyuiuyi">#REF!</definedName>
    <definedName name="j">#REF!</definedName>
    <definedName name="Ja">#REF!</definedName>
    <definedName name="JACK_RYAN">#REF!</definedName>
    <definedName name="jan02a">#REF!</definedName>
    <definedName name="Jb">#REF!</definedName>
    <definedName name="Jc" localSheetId="4">#REF!</definedName>
    <definedName name="Jc" localSheetId="2">#REF!</definedName>
    <definedName name="Jc">#REF!</definedName>
    <definedName name="Jd" localSheetId="4">#REF!</definedName>
    <definedName name="Jd" localSheetId="2">#REF!</definedName>
    <definedName name="Jd">#REF!</definedName>
    <definedName name="jdfjkd">#REF!</definedName>
    <definedName name="jdh" localSheetId="4">#REF!</definedName>
    <definedName name="jdh" localSheetId="2">#REF!</definedName>
    <definedName name="jdh">#REF!</definedName>
    <definedName name="Je">#REF!</definedName>
    <definedName name="jeytj" localSheetId="4">#REF!</definedName>
    <definedName name="jeytj" localSheetId="2">#REF!</definedName>
    <definedName name="jeytj">#REF!</definedName>
    <definedName name="Jf">#REF!</definedName>
    <definedName name="jfhjfrt" localSheetId="4">#REF!</definedName>
    <definedName name="jfhjfrt" localSheetId="2">#REF!</definedName>
    <definedName name="jfhjfrt">#REF!</definedName>
    <definedName name="jgfj" localSheetId="4">#REF!</definedName>
    <definedName name="jgfj" localSheetId="2">#REF!</definedName>
    <definedName name="jgfj">#REF!</definedName>
    <definedName name="jghj" localSheetId="4">#REF!</definedName>
    <definedName name="jghj" localSheetId="2">#REF!</definedName>
    <definedName name="jghj">#REF!</definedName>
    <definedName name="jgj" localSheetId="4">#REF!</definedName>
    <definedName name="jgj" localSheetId="2">#REF!</definedName>
    <definedName name="jgj">#REF!</definedName>
    <definedName name="jh" localSheetId="4">#REF!</definedName>
    <definedName name="jh" localSheetId="2">#REF!</definedName>
    <definedName name="jh">#REF!</definedName>
    <definedName name="jhg" localSheetId="4">#REF!</definedName>
    <definedName name="jhg" localSheetId="2">#REF!</definedName>
    <definedName name="jhg">#REF!</definedName>
    <definedName name="jhjyj" localSheetId="4">#REF!</definedName>
    <definedName name="jhjyj" localSheetId="2">#REF!</definedName>
    <definedName name="jhjyj">#REF!</definedName>
    <definedName name="JHK" localSheetId="4">#REF!</definedName>
    <definedName name="JHK" localSheetId="2">#REF!</definedName>
    <definedName name="JHK">#REF!</definedName>
    <definedName name="jhkgjkvf" localSheetId="4">#REF!</definedName>
    <definedName name="jhkgjkvf" localSheetId="2">#REF!</definedName>
    <definedName name="jhkgjkvf">#REF!</definedName>
    <definedName name="jj">#REF!</definedName>
    <definedName name="jjfq" localSheetId="4">#REF!</definedName>
    <definedName name="jjfq" localSheetId="2">#REF!</definedName>
    <definedName name="jjfq">#REF!</definedName>
    <definedName name="jjj">#REF!</definedName>
    <definedName name="jjjhjddfg" localSheetId="4">#REF!</definedName>
    <definedName name="jjjhjddfg" localSheetId="2">#REF!</definedName>
    <definedName name="jjjhjddfg">#REF!</definedName>
    <definedName name="JJJJJ">#REF!</definedName>
    <definedName name="jjjjjjjjjjjjjjj">#REF!</definedName>
    <definedName name="jjjjju" localSheetId="4">#REF!</definedName>
    <definedName name="jjjjju" localSheetId="2">#REF!</definedName>
    <definedName name="jjjjju">#REF!</definedName>
    <definedName name="jjujujty" localSheetId="4">#REF!</definedName>
    <definedName name="jjujujty" localSheetId="2">#REF!</definedName>
    <definedName name="jjujujty">#REF!</definedName>
    <definedName name="jjyjy" localSheetId="4">#REF!</definedName>
    <definedName name="jjyjy" localSheetId="2">#REF!</definedName>
    <definedName name="jjyjy">#REF!</definedName>
    <definedName name="jk">#REF!</definedName>
    <definedName name="jkjh" localSheetId="4">#REF!</definedName>
    <definedName name="jkjh" localSheetId="2">#REF!</definedName>
    <definedName name="jkjh">#REF!</definedName>
    <definedName name="jkk" localSheetId="4">#REF!</definedName>
    <definedName name="jkk" localSheetId="2">#REF!</definedName>
    <definedName name="jkk">#REF!</definedName>
    <definedName name="jkl" localSheetId="4">#REF!</definedName>
    <definedName name="jkl" localSheetId="2">#REF!</definedName>
    <definedName name="jkl">#REF!</definedName>
    <definedName name="jklj">#REF!</definedName>
    <definedName name="jn">#REF!</definedName>
    <definedName name="jñ" localSheetId="4">#REF!</definedName>
    <definedName name="jñ" localSheetId="2">#REF!</definedName>
    <definedName name="jñ">#REF!</definedName>
    <definedName name="jo">#REF!</definedName>
    <definedName name="Job_number">#REF!</definedName>
    <definedName name="JobNo">#REF!</definedName>
    <definedName name="JOHNNY" localSheetId="4">#REF!</definedName>
    <definedName name="JOHNNY" localSheetId="2">#REF!</definedName>
    <definedName name="JOHNNY">#REF!</definedName>
    <definedName name="Jornal">[22]Jornal!$A$12:$I$31</definedName>
    <definedName name="jose">#REF!</definedName>
    <definedName name="JRYJ" localSheetId="4">#REF!</definedName>
    <definedName name="JRYJ" localSheetId="2">#REF!</definedName>
    <definedName name="JRYJ">#REF!</definedName>
    <definedName name="jt">#REF!</definedName>
    <definedName name="jtyj" localSheetId="4">#REF!</definedName>
    <definedName name="jtyj" localSheetId="2">#REF!</definedName>
    <definedName name="jtyj">#REF!</definedName>
    <definedName name="jtyry" localSheetId="4">#REF!</definedName>
    <definedName name="jtyry" localSheetId="2">#REF!</definedName>
    <definedName name="jtyry">#REF!</definedName>
    <definedName name="jui">#REF!</definedName>
    <definedName name="juj" localSheetId="4">#REF!</definedName>
    <definedName name="juj" localSheetId="2">#REF!</definedName>
    <definedName name="juj">#REF!</definedName>
    <definedName name="jujcx" localSheetId="4">#REF!</definedName>
    <definedName name="jujcx" localSheetId="2">#REF!</definedName>
    <definedName name="jujcx">#REF!</definedName>
    <definedName name="jujuj" localSheetId="4">#REF!</definedName>
    <definedName name="jujuj" localSheetId="2">#REF!</definedName>
    <definedName name="jujuj">#REF!</definedName>
    <definedName name="jujujuju" localSheetId="4">#REF!</definedName>
    <definedName name="jujujuju" localSheetId="2">#REF!</definedName>
    <definedName name="jujujuju">#REF!</definedName>
    <definedName name="jul00">[6]Dólar!#REF!</definedName>
    <definedName name="jun">#REF!</definedName>
    <definedName name="jun00">[6]Dólar!#REF!</definedName>
    <definedName name="JUNE3">#REF!</definedName>
    <definedName name="junebs">#REF!</definedName>
    <definedName name="juneint">#REF!</definedName>
    <definedName name="juneint1">#REF!</definedName>
    <definedName name="juneint2">#REF!</definedName>
    <definedName name="JUNEINT3">#REF!</definedName>
    <definedName name="juuuhb" localSheetId="4">#REF!</definedName>
    <definedName name="juuuhb" localSheetId="2">#REF!</definedName>
    <definedName name="juuuhb">#REF!</definedName>
    <definedName name="juy">#REF!</definedName>
    <definedName name="jvv">#REF!</definedName>
    <definedName name="jyjt7" localSheetId="4">#REF!</definedName>
    <definedName name="jyjt7" localSheetId="2">#REF!</definedName>
    <definedName name="jyjt7">#REF!</definedName>
    <definedName name="jyt" localSheetId="4">#REF!</definedName>
    <definedName name="jyt" localSheetId="2">#REF!</definedName>
    <definedName name="jyt">#REF!</definedName>
    <definedName name="jytj" localSheetId="4">#REF!</definedName>
    <definedName name="jytj" localSheetId="2">#REF!</definedName>
    <definedName name="jytj">#REF!</definedName>
    <definedName name="jyuju" localSheetId="4">#REF!</definedName>
    <definedName name="jyuju" localSheetId="2">#REF!</definedName>
    <definedName name="jyuju">#REF!</definedName>
    <definedName name="jyujyuj" localSheetId="4">#REF!</definedName>
    <definedName name="jyujyuj" localSheetId="2">#REF!</definedName>
    <definedName name="jyujyuj">#REF!</definedName>
    <definedName name="K">#REF!</definedName>
    <definedName name="K0F1" localSheetId="4">#REF!</definedName>
    <definedName name="K0F1" localSheetId="2">#REF!</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 localSheetId="4">#REF!</definedName>
    <definedName name="K4F1" localSheetId="2">#REF!</definedName>
    <definedName name="K4F1">#REF!</definedName>
    <definedName name="K4F2">#REF!</definedName>
    <definedName name="K5F1">#REF!</definedName>
    <definedName name="K5F2">#REF!</definedName>
    <definedName name="K6F1">#REF!</definedName>
    <definedName name="K6F2">#REF!</definedName>
    <definedName name="K7F1" localSheetId="4">#REF!</definedName>
    <definedName name="K7F1" localSheetId="2">#REF!</definedName>
    <definedName name="K7F1">#REF!</definedName>
    <definedName name="K7F2">#REF!</definedName>
    <definedName name="K8ALO">#REF!</definedName>
    <definedName name="K8F1">#REF!</definedName>
    <definedName name="K8F2">#REF!</definedName>
    <definedName name="K9ALO">#REF!</definedName>
    <definedName name="karen">'[54]2008 Capital Budget'!$E$2:$E$171,'[54]2008 Capital Budget'!$E$171:$E$172</definedName>
    <definedName name="KHGGH" localSheetId="4">#REF!</definedName>
    <definedName name="KHGGH" localSheetId="2">#REF!</definedName>
    <definedName name="KHGGH">#REF!</definedName>
    <definedName name="khjk7" localSheetId="4">#REF!</definedName>
    <definedName name="khjk7" localSheetId="2">#REF!</definedName>
    <definedName name="khjk7">#REF!</definedName>
    <definedName name="kikik" localSheetId="4">#REF!</definedName>
    <definedName name="kikik" localSheetId="2">#REF!</definedName>
    <definedName name="kikik">#REF!</definedName>
    <definedName name="kio">#REF!</definedName>
    <definedName name="kip" localSheetId="4">#REF!</definedName>
    <definedName name="kip" localSheetId="2">#REF!</definedName>
    <definedName name="kip">#REF!</definedName>
    <definedName name="KitCarretera" localSheetId="4">#REF!</definedName>
    <definedName name="KitCarretera" localSheetId="2">#REF!</definedName>
    <definedName name="KitCarretera">#REF!</definedName>
    <definedName name="KitCarreteraCostos" localSheetId="4">#REF!</definedName>
    <definedName name="KitCarreteraCostos" localSheetId="2">#REF!</definedName>
    <definedName name="KitCarreteraCostos">#REF!</definedName>
    <definedName name="Kiunga_Elec">[68]Inputs!$J$26</definedName>
    <definedName name="KJH">#REF!</definedName>
    <definedName name="kjhkd" localSheetId="4">#REF!</definedName>
    <definedName name="kjhkd" localSheetId="2">#REF!</definedName>
    <definedName name="kjhkd">#REF!</definedName>
    <definedName name="kjk" localSheetId="4">#REF!</definedName>
    <definedName name="kjk" localSheetId="2">#REF!</definedName>
    <definedName name="kjk">#REF!</definedName>
    <definedName name="kjkjk">#REF!</definedName>
    <definedName name="kjljkl">#REF!</definedName>
    <definedName name="kjtrkjr" localSheetId="4">#REF!</definedName>
    <definedName name="kjtrkjr" localSheetId="2">#REF!</definedName>
    <definedName name="kjtrkjr">#REF!</definedName>
    <definedName name="kk" localSheetId="4">#REF!</definedName>
    <definedName name="kk" localSheetId="2">#REF!</definedName>
    <definedName name="kk">#REF!</definedName>
    <definedName name="KKJ" localSheetId="4">#REF!</definedName>
    <definedName name="KKJ" localSheetId="2">#REF!</definedName>
    <definedName name="KKJ">#REF!</definedName>
    <definedName name="kkkki" localSheetId="4">#REF!</definedName>
    <definedName name="kkkki" localSheetId="2">#REF!</definedName>
    <definedName name="kkkki">#REF!</definedName>
    <definedName name="kkkkkki" localSheetId="4">#REF!</definedName>
    <definedName name="kkkkkki" localSheetId="2">#REF!</definedName>
    <definedName name="kkkkkki">#REF!</definedName>
    <definedName name="kkkkkkk">#REF!</definedName>
    <definedName name="kkkkkkkk">#REF!</definedName>
    <definedName name="KKKKKKKKK">#REF!</definedName>
    <definedName name="kkkkkkkkkkk">#REF!</definedName>
    <definedName name="KKKKKKKKKKKK" localSheetId="4">#REF!</definedName>
    <definedName name="KKKKKKKKKKKK" localSheetId="2">#REF!</definedName>
    <definedName name="KKKKKKKKKKKK">#REF!</definedName>
    <definedName name="kl" localSheetId="4">#REF!</definedName>
    <definedName name="kl" localSheetId="2">#REF!</definedName>
    <definedName name="kl">#REF!</definedName>
    <definedName name="klklk">#REF!</definedName>
    <definedName name="kñy">#REF!</definedName>
    <definedName name="ko">#REF!</definedName>
    <definedName name="krtrk" localSheetId="4">#REF!</definedName>
    <definedName name="krtrk" localSheetId="2">#REF!</definedName>
    <definedName name="krtrk">#REF!</definedName>
    <definedName name="KTES_AL" localSheetId="4">#REF!</definedName>
    <definedName name="KTES_AL" localSheetId="2">#REF!</definedName>
    <definedName name="KTES_AL">#REF!</definedName>
    <definedName name="KU">[64]TABLAS!$D$252:$D$256</definedName>
    <definedName name="kuh">#REF!</definedName>
    <definedName name="kuy" localSheetId="4">#REF!</definedName>
    <definedName name="kuy" localSheetId="2">#REF!</definedName>
    <definedName name="kuy">#REF!</definedName>
    <definedName name="kyr" localSheetId="4">#REF!</definedName>
    <definedName name="kyr" localSheetId="2">#REF!</definedName>
    <definedName name="kyr">#REF!</definedName>
    <definedName name="L" localSheetId="4">#REF!</definedName>
    <definedName name="L" localSheetId="2">#REF!</definedName>
    <definedName name="L">#REF!</definedName>
    <definedName name="La">#REF!</definedName>
    <definedName name="Labour">[50]Constants!$B$10</definedName>
    <definedName name="Lb">#REF!</definedName>
    <definedName name="Ld" localSheetId="4">#REF!</definedName>
    <definedName name="Ld" localSheetId="2">#REF!</definedName>
    <definedName name="Ld">#REF!</definedName>
    <definedName name="Le">#REF!</definedName>
    <definedName name="LECHO">[14]MEM!$M$60</definedName>
    <definedName name="LECHOS">#REF!</definedName>
    <definedName name="lechosdos">#REF!</definedName>
    <definedName name="Left_Header">#REF!</definedName>
    <definedName name="lev0.1" localSheetId="4">#REF!</definedName>
    <definedName name="lev0.1" localSheetId="2">#REF!</definedName>
    <definedName name="lev0.1">#REF!</definedName>
    <definedName name="Lf" localSheetId="4">#REF!</definedName>
    <definedName name="Lf" localSheetId="2">#REF!</definedName>
    <definedName name="Lf">#REF!</definedName>
    <definedName name="Lh" localSheetId="4">#REF!</definedName>
    <definedName name="Lh" localSheetId="2">#REF!</definedName>
    <definedName name="Lh">#REF!</definedName>
    <definedName name="Li" localSheetId="4">#REF!</definedName>
    <definedName name="Li" localSheetId="2">#REF!</definedName>
    <definedName name="Li">#REF!</definedName>
    <definedName name="lia">#REF!</definedName>
    <definedName name="LICITACION">#REF!</definedName>
    <definedName name="lides">#REF!</definedName>
    <definedName name="LIGBOQ">#REF!</definedName>
    <definedName name="LIGGARDE" localSheetId="4">#REF!</definedName>
    <definedName name="LIGGARDE" localSheetId="2">#REF!</definedName>
    <definedName name="LIGGARDE">#REF!</definedName>
    <definedName name="LIGRECAP" localSheetId="4">#REF!</definedName>
    <definedName name="LIGRECAP" localSheetId="2">#REF!</definedName>
    <definedName name="LIGRECAP">#REF!</definedName>
    <definedName name="LIGTITRE">#REF!</definedName>
    <definedName name="LIJOIJOI">#REF!</definedName>
    <definedName name="LIMATESA" localSheetId="4">#REF!</definedName>
    <definedName name="LIMATESA" localSheetId="2">#REF!</definedName>
    <definedName name="LIMATESA">#REF!</definedName>
    <definedName name="limcount" hidden="1">1</definedName>
    <definedName name="LIMPIADOR__ACONDICIONADOR___PARA_PVC_Y_CPVC__1_4_GAL.">'[35]INSUMOS-EQUIPOS'!$B$76</definedName>
    <definedName name="LINA">#REF!</definedName>
    <definedName name="Liner_Bolts">'[68]Fixed Plant Maintenance'!$C$12:$AA$32</definedName>
    <definedName name="Liquor.SG" localSheetId="4">#REF!</definedName>
    <definedName name="Liquor.SG" localSheetId="2">#REF!</definedName>
    <definedName name="Liquor.SG">#REF!</definedName>
    <definedName name="LIST" localSheetId="4">#REF!</definedName>
    <definedName name="LIST" localSheetId="2">#REF!</definedName>
    <definedName name="LIST">#REF!</definedName>
    <definedName name="lista" localSheetId="4">#REF!</definedName>
    <definedName name="lista" localSheetId="2">#REF!</definedName>
    <definedName name="lista">#REF!</definedName>
    <definedName name="Lista_Mater">#REF!</definedName>
    <definedName name="Lista_MO">#REF!</definedName>
    <definedName name="lista1">[80]Hoja2!$A$2:$A$6</definedName>
    <definedName name="LISTA2">'[81]LISTA DE PRECIOS'!$A$4:$A$26</definedName>
    <definedName name="lista3">[80]Hoja2!$C$2:$C$5</definedName>
    <definedName name="ListaCantidad">#REF!</definedName>
    <definedName name="LISTADO_ACTIVIDADES">#REF!</definedName>
    <definedName name="ListaItem">#REF!</definedName>
    <definedName name="ListaUni">[82]TOTALES!$D$7:$D$654</definedName>
    <definedName name="LISTON_DE_2X4X15">#REF!</definedName>
    <definedName name="liuoo" localSheetId="4">#REF!</definedName>
    <definedName name="liuoo" localSheetId="2">#REF!</definedName>
    <definedName name="liuoo">#REF!</definedName>
    <definedName name="Lj" localSheetId="4">#REF!</definedName>
    <definedName name="Lj" localSheetId="2">#REF!</definedName>
    <definedName name="Lj">#REF!</definedName>
    <definedName name="Lk">#REF!</definedName>
    <definedName name="lkj" localSheetId="4">#REF!</definedName>
    <definedName name="lkj" localSheetId="2">#REF!</definedName>
    <definedName name="lkj">#REF!</definedName>
    <definedName name="LKJLJK" localSheetId="4">#REF!</definedName>
    <definedName name="LKJLJK" localSheetId="2">#REF!</definedName>
    <definedName name="LKJLJK">#REF!</definedName>
    <definedName name="lkkl">#REF!</definedName>
    <definedName name="ll">#REF!</definedName>
    <definedName name="LLAVE_DE_CHORRO_1_2">#REF!</definedName>
    <definedName name="LLAVE_DE_PASO_1_2">#REF!</definedName>
    <definedName name="LLC_north_perc">50</definedName>
    <definedName name="LLC_south_perc">100</definedName>
    <definedName name="LLDODOD" localSheetId="4">#REF!</definedName>
    <definedName name="LLDODOD" localSheetId="2">#REF!</definedName>
    <definedName name="LLDODOD">#REF!</definedName>
    <definedName name="Lll" localSheetId="4">#REF!</definedName>
    <definedName name="Lll" localSheetId="2">#REF!</definedName>
    <definedName name="Lll">#REF!</definedName>
    <definedName name="llll">#REF!</definedName>
    <definedName name="lllllh" localSheetId="4">#REF!</definedName>
    <definedName name="lllllh" localSheetId="2">#REF!</definedName>
    <definedName name="lllllh">#REF!</definedName>
    <definedName name="LLLLLLL">#REF!</definedName>
    <definedName name="lllllllllll">#REF!</definedName>
    <definedName name="lllllllo" localSheetId="4">#REF!</definedName>
    <definedName name="lllllllo" localSheetId="2">#REF!</definedName>
    <definedName name="lllllllo">#REF!</definedName>
    <definedName name="LLUVIA">#REF!</definedName>
    <definedName name="Lm">#REF!</definedName>
    <definedName name="lmf" localSheetId="4">#REF!</definedName>
    <definedName name="lmf" localSheetId="2">#REF!</definedName>
    <definedName name="lmf">#REF!</definedName>
    <definedName name="LMO">[83]MO!$A$2:$A$188</definedName>
    <definedName name="Ln" localSheetId="4">#REF!</definedName>
    <definedName name="Ln" localSheetId="2">#REF!</definedName>
    <definedName name="Ln">#REF!</definedName>
    <definedName name="LngCantVehic">#REF!</definedName>
    <definedName name="LngKilometrajeAnno">#REF!</definedName>
    <definedName name="LngKilometrajeAno">#REF!</definedName>
    <definedName name="LngNumPeriodosGracia">#REF!</definedName>
    <definedName name="LngPickupKilometros">#REF!</definedName>
    <definedName name="LngPlazoRenting" localSheetId="4">#REF!</definedName>
    <definedName name="LngPlazoRenting" localSheetId="2">#REF!</definedName>
    <definedName name="LngPlazoRenting">#REF!</definedName>
    <definedName name="LngTiempoDepreciarMeses">#REF!</definedName>
    <definedName name="Lñ">#REF!</definedName>
    <definedName name="LÑP">#REF!</definedName>
    <definedName name="Lo">#REF!</definedName>
    <definedName name="LOCA">[25]!absc</definedName>
    <definedName name="LOCA1">[25]!absc</definedName>
    <definedName name="LOCALIZACION">#REF!</definedName>
    <definedName name="LOCALIZACION_Y_REPLANTEO">#REF!</definedName>
    <definedName name="LOCALIZACIÓN_Y_REPLANTEO._ESTRUCTURAS" localSheetId="4">#REF!</definedName>
    <definedName name="LOCALIZACIÓN_Y_REPLANTEO._ESTRUCTURAS" localSheetId="2">#REF!</definedName>
    <definedName name="LOCALIZACIÓN_Y_REPLANTEO._ESTRUCTURAS">#REF!</definedName>
    <definedName name="location">'[54]REF - Listas'!$B$41:$B$47</definedName>
    <definedName name="location1" localSheetId="4">#REF!</definedName>
    <definedName name="location1" localSheetId="2">#REF!</definedName>
    <definedName name="location1">#REF!</definedName>
    <definedName name="logLiquida">#REF!</definedName>
    <definedName name="LOGO" localSheetId="4">#REF!</definedName>
    <definedName name="LOGO" localSheetId="2">#REF!</definedName>
    <definedName name="LOGO">#REF!</definedName>
    <definedName name="LOI">#REF!</definedName>
    <definedName name="LOLA">#REF!</definedName>
    <definedName name="lolol" localSheetId="4">#REF!</definedName>
    <definedName name="lolol" localSheetId="2">#REF!</definedName>
    <definedName name="lolol">#REF!</definedName>
    <definedName name="Longitud">#REF!</definedName>
    <definedName name="Longitud1">#REF!</definedName>
    <definedName name="Longitud2">#REF!</definedName>
    <definedName name="LOPE">#REF!</definedName>
    <definedName name="Lp">#REF!</definedName>
    <definedName name="lplpl" localSheetId="4">#REF!</definedName>
    <definedName name="lplpl" localSheetId="2">#REF!</definedName>
    <definedName name="lplpl">#REF!</definedName>
    <definedName name="Lq" localSheetId="4">#REF!</definedName>
    <definedName name="Lq" localSheetId="2">#REF!</definedName>
    <definedName name="Lq">#REF!</definedName>
    <definedName name="Lr">#REF!</definedName>
    <definedName name="Ls">#REF!</definedName>
    <definedName name="Lt">#REF!</definedName>
    <definedName name="Lu">#REF!</definedName>
    <definedName name="LubeCostOutput">#REF!</definedName>
    <definedName name="LUBRI">[10]BASE!$D$213</definedName>
    <definedName name="LUPVC">[10]BASE!$D$70</definedName>
    <definedName name="Lw">[5]Cálculo!$B$130</definedName>
    <definedName name="Lz">#REF!</definedName>
    <definedName name="M">[64]TABLAS!$E$63:$E$78</definedName>
    <definedName name="M.O_D18C">#REF!</definedName>
    <definedName name="M240K">[10]BASE!$D$39</definedName>
    <definedName name="M280K">[10]BASE!$D$38</definedName>
    <definedName name="Ma">#REF!</definedName>
    <definedName name="MACROMEDIDOR__3__B_x_B">#REF!</definedName>
    <definedName name="MACROMEDIDOR_4__B_x_B">#REF!</definedName>
    <definedName name="MACROMEDIDORES" localSheetId="4">#REF!</definedName>
    <definedName name="MACROMEDIDORES" localSheetId="2">#REF!</definedName>
    <definedName name="MACROMEDIDORES">#REF!</definedName>
    <definedName name="MADCJ">[10]BASE!$D$269</definedName>
    <definedName name="mafdsf" localSheetId="4">#REF!</definedName>
    <definedName name="mafdsf" localSheetId="2">#REF!</definedName>
    <definedName name="mafdsf">#REF!</definedName>
    <definedName name="Maint_Labour_Factor">[84]Index!$U$62</definedName>
    <definedName name="MaintManHours">[28]Parameters!$R$19</definedName>
    <definedName name="MAL" localSheetId="4">#REF!</definedName>
    <definedName name="MAL" localSheetId="2">#REF!</definedName>
    <definedName name="MAL">#REF!</definedName>
    <definedName name="MALLA">#REF!</definedName>
    <definedName name="MALO" localSheetId="4">#REF!</definedName>
    <definedName name="MALO" localSheetId="2">#REF!</definedName>
    <definedName name="MALO">#REF!</definedName>
    <definedName name="MANGLE" localSheetId="4">#REF!</definedName>
    <definedName name="MANGLE" localSheetId="2">#REF!</definedName>
    <definedName name="MANGLE">#REF!</definedName>
    <definedName name="MANOAA">'[85]factor prestacional '!$E$79</definedName>
    <definedName name="ManObrac16">#REF!</definedName>
    <definedName name="mantenimiento" localSheetId="4">#REF!</definedName>
    <definedName name="mantenimiento" localSheetId="2">#REF!</definedName>
    <definedName name="mantenimiento">#REF!</definedName>
    <definedName name="MANTO" localSheetId="4">#REF!</definedName>
    <definedName name="MANTO" localSheetId="2">#REF!</definedName>
    <definedName name="MANTO">#REF!</definedName>
    <definedName name="manufactures_lead_time" localSheetId="4">#REF!</definedName>
    <definedName name="manufactures_lead_time" localSheetId="2">#REF!</definedName>
    <definedName name="manufactures_lead_time">#REF!</definedName>
    <definedName name="mao" localSheetId="4">#REF!</definedName>
    <definedName name="mao" localSheetId="2">#REF!</definedName>
    <definedName name="mao">#REF!</definedName>
    <definedName name="maow" localSheetId="4">#REF!</definedName>
    <definedName name="maow" localSheetId="2">#REF!</definedName>
    <definedName name="maow">#REF!</definedName>
    <definedName name="MAP" localSheetId="4">#REF!</definedName>
    <definedName name="MAP" localSheetId="2">#REF!</definedName>
    <definedName name="MAP">#REF!</definedName>
    <definedName name="maq">[77]insumos!$G$8:$G$40</definedName>
    <definedName name="MAQUINAR">[86]Insum!$A$68:$H$98</definedName>
    <definedName name="mar00">[6]Dólar!#REF!</definedName>
    <definedName name="MARABA">[10]BASE!$D$248</definedName>
    <definedName name="marc06" localSheetId="4">#REF!</definedName>
    <definedName name="marc06" localSheetId="2">#REF!</definedName>
    <definedName name="marc06">#REF!</definedName>
    <definedName name="MargenComercial" localSheetId="4">#REF!</definedName>
    <definedName name="MargenComercial" localSheetId="2">#REF!</definedName>
    <definedName name="MargenComercial">#REF!</definedName>
    <definedName name="MargenFinanciero" localSheetId="4">#REF!</definedName>
    <definedName name="MargenFinanciero" localSheetId="2">#REF!</definedName>
    <definedName name="MargenFinanciero">#REF!</definedName>
    <definedName name="MARHR">[14]MEM!$M$68</definedName>
    <definedName name="MARIA">#REF!</definedName>
    <definedName name="marol">#REF!</definedName>
    <definedName name="marol1">#REF!</definedName>
    <definedName name="masor" localSheetId="4">#REF!</definedName>
    <definedName name="masor" localSheetId="2">#REF!</definedName>
    <definedName name="masor">#REF!</definedName>
    <definedName name="MAT">#REF!</definedName>
    <definedName name="MATE">[62]Materiales!$A:$IV</definedName>
    <definedName name="MATERIAL_FILTRANTE" localSheetId="4">#REF!</definedName>
    <definedName name="MATERIAL_FILTRANTE" localSheetId="2">#REF!</definedName>
    <definedName name="MATERIAL_FILTRANTE">#REF!</definedName>
    <definedName name="Materiales">#REF!</definedName>
    <definedName name="MaterialTub">#REF!</definedName>
    <definedName name="MATPR">[10]BASE!$D$49</definedName>
    <definedName name="MATRIZRICS">'[87]RICS NUEVA HOJA DIARIA'!$A$1:$AB$42</definedName>
    <definedName name="may00">[6]Dólar!#REF!</definedName>
    <definedName name="Mb">#REF!</definedName>
    <definedName name="mdd" localSheetId="4">#REF!</definedName>
    <definedName name="mdd" localSheetId="2">#REF!</definedName>
    <definedName name="mdd">#REF!</definedName>
    <definedName name="MDEO" localSheetId="4">#REF!</definedName>
    <definedName name="MDEO" localSheetId="2">#REF!</definedName>
    <definedName name="MDEO">#REF!</definedName>
    <definedName name="MEDID">[88]BASE!$D$221</definedName>
    <definedName name="MEDIDA" localSheetId="4">#REF!</definedName>
    <definedName name="MEDIDA" localSheetId="2">#REF!</definedName>
    <definedName name="MEDIDA">#REF!</definedName>
    <definedName name="meg" localSheetId="4">#REF!</definedName>
    <definedName name="meg" localSheetId="2">#REF!</definedName>
    <definedName name="meg">#REF!</definedName>
    <definedName name="MEJORA">#REF!</definedName>
    <definedName name="mejoramientosubrasante" localSheetId="4">#REF!</definedName>
    <definedName name="mejoramientosubrasante" localSheetId="2">#REF!</definedName>
    <definedName name="mejoramientosubrasante">#REF!</definedName>
    <definedName name="merchandCostos" localSheetId="4">#REF!</definedName>
    <definedName name="merchandCostos" localSheetId="2">#REF!</definedName>
    <definedName name="merchandCostos">#REF!</definedName>
    <definedName name="Merchandisig">#REF!</definedName>
    <definedName name="MES">#REF!</definedName>
    <definedName name="meses">#REF!</definedName>
    <definedName name="METROAGUA">#REF!</definedName>
    <definedName name="MEZCLADORA">#REF!</definedName>
    <definedName name="mf">#REF!</definedName>
    <definedName name="mfgjrdt" localSheetId="4">#REF!</definedName>
    <definedName name="mfgjrdt" localSheetId="2">#REF!</definedName>
    <definedName name="mfgjrdt">#REF!</definedName>
    <definedName name="mghm" localSheetId="4">#REF!</definedName>
    <definedName name="mghm" localSheetId="2">#REF!</definedName>
    <definedName name="mghm">#REF!</definedName>
    <definedName name="mhg">#REF!</definedName>
    <definedName name="mht" localSheetId="4">#REF!</definedName>
    <definedName name="mht" localSheetId="2">#REF!</definedName>
    <definedName name="mht">#REF!</definedName>
    <definedName name="mhy">#REF!</definedName>
    <definedName name="Mill_Head_H2O.Total_Volume">#REF!</definedName>
    <definedName name="Mill_Screen_H2O.Total_Volume">#REF!</definedName>
    <definedName name="Mill_Weight" localSheetId="4">#REF!</definedName>
    <definedName name="Mill_Weight" localSheetId="2">#REF!</definedName>
    <definedName name="Mill_Weight">#REF!</definedName>
    <definedName name="Mine_Equip_Hrs">'[37]Mine Hours'!$A$11:$BX$30</definedName>
    <definedName name="Mine_Equip_Hrs_MARC">'[37]Mine Hours'!$A$94:$BX$112</definedName>
    <definedName name="Mine_Equip_Hrs_Remaining" localSheetId="4">#REF!</definedName>
    <definedName name="Mine_Equip_Hrs_Remaining" localSheetId="2">#REF!</definedName>
    <definedName name="Mine_Equip_Hrs_Remaining">#REF!</definedName>
    <definedName name="MineUsed">[49]Sheet1!$M$18:$M$977</definedName>
    <definedName name="Mínimo">#REF!</definedName>
    <definedName name="mjk" localSheetId="4">#REF!</definedName>
    <definedName name="mjk" localSheetId="2">#REF!</definedName>
    <definedName name="mjk">#REF!</definedName>
    <definedName name="mjmj" localSheetId="4">#REF!</definedName>
    <definedName name="mjmj" localSheetId="2">#REF!</definedName>
    <definedName name="mjmj">#REF!</definedName>
    <definedName name="mjmjmn" localSheetId="4">#REF!</definedName>
    <definedName name="mjmjmn" localSheetId="2">#REF!</definedName>
    <definedName name="mjmjmn">#REF!</definedName>
    <definedName name="mjnhgkio" localSheetId="4">#REF!</definedName>
    <definedName name="mjnhgkio" localSheetId="2">#REF!</definedName>
    <definedName name="mjnhgkio">#REF!</definedName>
    <definedName name="mju">#REF!</definedName>
    <definedName name="mku" localSheetId="4">#REF!</definedName>
    <definedName name="mku" localSheetId="2">#REF!</definedName>
    <definedName name="mku">#REF!</definedName>
    <definedName name="mm" localSheetId="4">#REF!</definedName>
    <definedName name="mm" localSheetId="2">#REF!</definedName>
    <definedName name="mm">#REF!</definedName>
    <definedName name="MMH">'[89]MMH WORKINGS'!$A$1:$A$65536</definedName>
    <definedName name="MMHBS" localSheetId="4">#REF!</definedName>
    <definedName name="MMHBS" localSheetId="2">#REF!</definedName>
    <definedName name="MMHBS">#REF!</definedName>
    <definedName name="mmhcosts">'[90]Cost Ledger 30-6-99'!$A$1:$C$84</definedName>
    <definedName name="MMHJUN02">#REF!</definedName>
    <definedName name="mmhmarch2000">#REF!</definedName>
    <definedName name="mmjmjh" localSheetId="4">#REF!</definedName>
    <definedName name="mmjmjh" localSheetId="2">#REF!</definedName>
    <definedName name="mmjmjh">#REF!</definedName>
    <definedName name="MMJV">#REF!</definedName>
    <definedName name="mmm">#REF!</definedName>
    <definedName name="mmmh" localSheetId="4">#REF!</definedName>
    <definedName name="mmmh" localSheetId="2">#REF!</definedName>
    <definedName name="mmmh">#REF!</definedName>
    <definedName name="MMMM">#REF!</definedName>
    <definedName name="mmmmmjyt" localSheetId="4">#REF!</definedName>
    <definedName name="mmmmmjyt" localSheetId="2">#REF!</definedName>
    <definedName name="mmmmmjyt">#REF!</definedName>
    <definedName name="mmmmmmg" localSheetId="4">#REF!</definedName>
    <definedName name="mmmmmmg" localSheetId="2">#REF!</definedName>
    <definedName name="mmmmmmg">#REF!</definedName>
    <definedName name="Mmto">#REF!</definedName>
    <definedName name="MN" localSheetId="4">#REF!</definedName>
    <definedName name="MN" localSheetId="2">#REF!</definedName>
    <definedName name="MN">#REF!</definedName>
    <definedName name="MNO">#REF!</definedName>
    <definedName name="mo">#REF!</definedName>
    <definedName name="MO120K">[47]PRELIM!$B$427</definedName>
    <definedName name="MO240K">[47]PRELIM!$B$412</definedName>
    <definedName name="MO280K">[47]PRELIM!$B$397</definedName>
    <definedName name="mobil06" localSheetId="4">#REF!</definedName>
    <definedName name="mobil06" localSheetId="2">#REF!</definedName>
    <definedName name="mobil06">#REF!</definedName>
    <definedName name="MOENC">[10]BASE!$D$17</definedName>
    <definedName name="MOIHF">[10]BASE!$D$15</definedName>
    <definedName name="MOMATECA">#REF!</definedName>
    <definedName name="MONETARY" localSheetId="4">#REF!</definedName>
    <definedName name="MONETARY" localSheetId="2">#REF!</definedName>
    <definedName name="MONETARY">#REF!</definedName>
    <definedName name="MOPRE">[10]BASE!$D$13</definedName>
    <definedName name="MOR1_4">#REF!</definedName>
    <definedName name="MORTE12">#REF!</definedName>
    <definedName name="MORTE12IMP">#REF!</definedName>
    <definedName name="MORTE13">#REF!</definedName>
    <definedName name="MORTE13IMP">#REF!</definedName>
    <definedName name="MORTE14">#REF!</definedName>
    <definedName name="morte15">#REF!</definedName>
    <definedName name="MORTE16">#REF!</definedName>
    <definedName name="mortero" localSheetId="4">#REF!</definedName>
    <definedName name="mortero" localSheetId="2">#REF!</definedName>
    <definedName name="mortero">#REF!</definedName>
    <definedName name="mortero14" localSheetId="4">#REF!</definedName>
    <definedName name="mortero14" localSheetId="2">#REF!</definedName>
    <definedName name="mortero14">#REF!</definedName>
    <definedName name="mortero15" localSheetId="4">#REF!</definedName>
    <definedName name="mortero15" localSheetId="2">#REF!</definedName>
    <definedName name="mortero15">#REF!</definedName>
    <definedName name="MOTOP">[10]BASE!$D$12</definedName>
    <definedName name="mr">#REF!</definedName>
    <definedName name="MR_DESCRIPTION">#REF!</definedName>
    <definedName name="MRNumber">#REF!</definedName>
    <definedName name="MTD.ROM1_PercentFed">#REF!</definedName>
    <definedName name="MTD.ROM2_PercentFed">#REF!</definedName>
    <definedName name="MTD.ROM3_PercentFed">#REF!</definedName>
    <definedName name="MTD.ROM4_PercentFed">#REF!</definedName>
    <definedName name="MTD.ROM5_PercentFed" localSheetId="4">#REF!</definedName>
    <definedName name="MTD.ROM5_PercentFed" localSheetId="2">#REF!</definedName>
    <definedName name="MTD.ROM5_PercentFed">#REF!</definedName>
    <definedName name="MTD_Days">#REF!</definedName>
    <definedName name="muro">#REF!</definedName>
    <definedName name="murocontencion">#REF!</definedName>
    <definedName name="MXSMAR">#REF!</definedName>
    <definedName name="MY" localSheetId="4">#REF!</definedName>
    <definedName name="MY" localSheetId="2">#REF!</definedName>
    <definedName name="MY">#REF!</definedName>
    <definedName name="N">#REF!</definedName>
    <definedName name="Na">#REF!</definedName>
    <definedName name="Nb">#REF!</definedName>
    <definedName name="nbnbv">#REF!</definedName>
    <definedName name="nbv">#REF!</definedName>
    <definedName name="nbvnv" localSheetId="4">#REF!</definedName>
    <definedName name="nbvnv" localSheetId="2">#REF!</definedName>
    <definedName name="nbvnv">#REF!</definedName>
    <definedName name="Nc" localSheetId="4">#REF!</definedName>
    <definedName name="Nc" localSheetId="2">#REF!</definedName>
    <definedName name="Nc">#REF!</definedName>
    <definedName name="Nd">#REF!</definedName>
    <definedName name="NDHS" localSheetId="4">#REF!</definedName>
    <definedName name="NDHS" localSheetId="2">#REF!</definedName>
    <definedName name="NDHS">#REF!</definedName>
    <definedName name="Ne">#REF!</definedName>
    <definedName name="Necesidad_entorchado_Zonas">#REF!</definedName>
    <definedName name="NEOLAI">#REF!</definedName>
    <definedName name="NES" localSheetId="4">#REF!</definedName>
    <definedName name="NES" localSheetId="2">#REF!</definedName>
    <definedName name="NES">#REF!</definedName>
    <definedName name="Nett_Rev_COL_Nom">[46]W_REV!$H$115:$AP$115</definedName>
    <definedName name="nf" localSheetId="4">#REF!</definedName>
    <definedName name="nf" localSheetId="2">#REF!</definedName>
    <definedName name="nf">#REF!</definedName>
    <definedName name="nfg" localSheetId="4">#REF!</definedName>
    <definedName name="nfg" localSheetId="2">#REF!</definedName>
    <definedName name="nfg">#REF!</definedName>
    <definedName name="nfgn" localSheetId="4">#REF!</definedName>
    <definedName name="nfgn" localSheetId="2">#REF!</definedName>
    <definedName name="nfgn">#REF!</definedName>
    <definedName name="ngdn" localSheetId="4">#REF!</definedName>
    <definedName name="ngdn" localSheetId="2">#REF!</definedName>
    <definedName name="ngdn">#REF!</definedName>
    <definedName name="ngfh" localSheetId="4">#REF!</definedName>
    <definedName name="ngfh" localSheetId="2">#REF!</definedName>
    <definedName name="ngfh">#REF!</definedName>
    <definedName name="NHG">#REF!</definedName>
    <definedName name="nhgf">#REF!</definedName>
    <definedName name="nhn" localSheetId="4">#REF!</definedName>
    <definedName name="nhn" localSheetId="2">#REF!</definedName>
    <definedName name="nhn">#REF!</definedName>
    <definedName name="nhncfgn" localSheetId="4">#REF!</definedName>
    <definedName name="nhncfgn" localSheetId="2">#REF!</definedName>
    <definedName name="nhncfgn">#REF!</definedName>
    <definedName name="nhndr" localSheetId="4">#REF!</definedName>
    <definedName name="nhndr" localSheetId="2">#REF!</definedName>
    <definedName name="nhndr">#REF!</definedName>
    <definedName name="nic_nis">[91]Hoja1!$A$1:$IV$65536</definedName>
    <definedName name="NIPLE_DE_1_2__ROSCADO_DE_HG_x_L__3_PULGADAS">#REF!</definedName>
    <definedName name="NIPLE_DE_3__B_x_EL_L__0.25_MTS">#REF!</definedName>
    <definedName name="NIPLE_DE_4__B_x_EL_L__0.25_MTS">#REF!</definedName>
    <definedName name="NIPLE_L__0.25" localSheetId="4">#REF!</definedName>
    <definedName name="NIPLE_L__0.25" localSheetId="2">#REF!</definedName>
    <definedName name="NIPLE_L__0.25">#REF!</definedName>
    <definedName name="NIVEL" localSheetId="4">#REF!</definedName>
    <definedName name="NIVEL" localSheetId="2">#REF!</definedName>
    <definedName name="NIVEL">#REF!</definedName>
    <definedName name="NJH">#REF!</definedName>
    <definedName name="nm">#REF!</definedName>
    <definedName name="nmmmm" localSheetId="4">#REF!</definedName>
    <definedName name="nmmmm" localSheetId="2">#REF!</definedName>
    <definedName name="nmmmm">#REF!</definedName>
    <definedName name="NN" localSheetId="4">#REF!</definedName>
    <definedName name="NN" localSheetId="2">#REF!</definedName>
    <definedName name="NN">#REF!</definedName>
    <definedName name="nndng" localSheetId="4">#REF!</definedName>
    <definedName name="nndng" localSheetId="2">#REF!</definedName>
    <definedName name="nndng">#REF!</definedName>
    <definedName name="NNN">[13]!absc</definedName>
    <definedName name="nnnhd" localSheetId="4">#REF!</definedName>
    <definedName name="nnnhd" localSheetId="2">#REF!</definedName>
    <definedName name="nnnhd">#REF!</definedName>
    <definedName name="nnnnn" localSheetId="4">#REF!</definedName>
    <definedName name="nnnnn" localSheetId="2">#REF!</definedName>
    <definedName name="nnnnn">#REF!</definedName>
    <definedName name="nnnnnd" localSheetId="4">#REF!</definedName>
    <definedName name="nnnnnd" localSheetId="2">#REF!</definedName>
    <definedName name="nnnnnd">#REF!</definedName>
    <definedName name="nnnnnf" localSheetId="4">#REF!</definedName>
    <definedName name="nnnnnf" localSheetId="2">#REF!</definedName>
    <definedName name="nnnnnf">#REF!</definedName>
    <definedName name="nnnnnh" localSheetId="4">#REF!</definedName>
    <definedName name="nnnnnh" localSheetId="2">#REF!</definedName>
    <definedName name="nnnnnh">#REF!</definedName>
    <definedName name="NO" localSheetId="4">#REF!</definedName>
    <definedName name="NO" localSheetId="2">#REF!</definedName>
    <definedName name="NO">#REF!</definedName>
    <definedName name="NOA_4">#REF!</definedName>
    <definedName name="NOA_7">#REF!</definedName>
    <definedName name="NOMB5">#REF!</definedName>
    <definedName name="NOMBRE">#REF!</definedName>
    <definedName name="NOMBREOBRA">#REF!</definedName>
    <definedName name="NOMINA">#REF!</definedName>
    <definedName name="Nomina06" localSheetId="4">#REF!</definedName>
    <definedName name="Nomina06" localSheetId="2">#REF!</definedName>
    <definedName name="Nomina06">#REF!</definedName>
    <definedName name="NoRepAtEnd">#REF!</definedName>
    <definedName name="Norte">#REF!</definedName>
    <definedName name="North_sales" localSheetId="4">#REF!</definedName>
    <definedName name="North_sales" localSheetId="2">#REF!</definedName>
    <definedName name="North_sales">#REF!</definedName>
    <definedName name="NOSE">[57]!tabla_precios[[#All],[DESCRIPCION ]]</definedName>
    <definedName name="NOTARIA">#REF!</definedName>
    <definedName name="NOTAS">#REF!</definedName>
    <definedName name="nov00">[6]Dólar!#REF!</definedName>
    <definedName name="NOXE" localSheetId="4">#REF!</definedName>
    <definedName name="NOXE" localSheetId="2">#REF!</definedName>
    <definedName name="NOXE">#REF!</definedName>
    <definedName name="nr">#REF!</definedName>
    <definedName name="nt">#REF!</definedName>
    <definedName name="NUEVO">#REF!</definedName>
    <definedName name="NUNI">#REF!</definedName>
    <definedName name="nxn" localSheetId="4">#REF!</definedName>
    <definedName name="nxn" localSheetId="2">#REF!</definedName>
    <definedName name="nxn">#REF!</definedName>
    <definedName name="ñ">#REF!</definedName>
    <definedName name="ñl">#REF!</definedName>
    <definedName name="ññ">#REF!</definedName>
    <definedName name="ÑÑÑ">#REF!</definedName>
    <definedName name="ÑÑÑÑÑÑÑÑÑÑÑÑÑ" localSheetId="4">#REF!</definedName>
    <definedName name="ÑÑÑÑÑÑÑÑÑÑÑÑÑ" localSheetId="2">#REF!</definedName>
    <definedName name="ÑÑÑÑÑÑÑÑÑÑÑÑÑ">#REF!</definedName>
    <definedName name="ñok">#REF!</definedName>
    <definedName name="ñp">#REF!</definedName>
    <definedName name="ñpñpñ" localSheetId="4">#REF!</definedName>
    <definedName name="ñpñpñ" localSheetId="2">#REF!</definedName>
    <definedName name="ñpñpñ">#REF!</definedName>
    <definedName name="ñpo">#REF!</definedName>
    <definedName name="O">#REF!</definedName>
    <definedName name="º1">#REF!</definedName>
    <definedName name="o9o9" localSheetId="4">#REF!</definedName>
    <definedName name="o9o9" localSheetId="2">#REF!</definedName>
    <definedName name="o9o9">#REF!</definedName>
    <definedName name="Obra">#REF!</definedName>
    <definedName name="OBS_Data_Col">#REF!</definedName>
    <definedName name="OCEquipData">#REF!</definedName>
    <definedName name="oct00">[6]Dólar!#REF!</definedName>
    <definedName name="OFFICE_ENTITY">#REF!</definedName>
    <definedName name="OFICI">[10]BASE!$D$9</definedName>
    <definedName name="OHaulCostOutput">#REF!</definedName>
    <definedName name="oiret" localSheetId="4">#REF!</definedName>
    <definedName name="oiret" localSheetId="2">#REF!</definedName>
    <definedName name="oiret">#REF!</definedName>
    <definedName name="oirgrth" localSheetId="4">#REF!</definedName>
    <definedName name="oirgrth" localSheetId="2">#REF!</definedName>
    <definedName name="oirgrth">#REF!</definedName>
    <definedName name="OIUOIU" localSheetId="4">#REF!</definedName>
    <definedName name="OIUOIU" localSheetId="2">#REF!</definedName>
    <definedName name="OIUOIU">#REF!</definedName>
    <definedName name="ojuojoijojoijdlf">#REF!</definedName>
    <definedName name="OK">#REF!</definedName>
    <definedName name="om">'[4]CALCULO POI'!$B$120:$C$154</definedName>
    <definedName name="OMAR" localSheetId="4">#REF!</definedName>
    <definedName name="OMAR" localSheetId="2">#REF!</definedName>
    <definedName name="OMAR">#REF!</definedName>
    <definedName name="OO">#REF!</definedName>
    <definedName name="ooo">#REF!</definedName>
    <definedName name="ooooiii" localSheetId="4">#REF!</definedName>
    <definedName name="ooooiii" localSheetId="2">#REF!</definedName>
    <definedName name="ooooiii">#REF!</definedName>
    <definedName name="ooooo" localSheetId="4">#REF!</definedName>
    <definedName name="ooooo" localSheetId="2">#REF!</definedName>
    <definedName name="ooooo">#REF!</definedName>
    <definedName name="OOOOOOOOOOOOOOOOOO" localSheetId="4">#REF!</definedName>
    <definedName name="OOOOOOOOOOOOOOOOOO" localSheetId="2">#REF!</definedName>
    <definedName name="OOOOOOOOOOOOOOOOOO">#REF!</definedName>
    <definedName name="oooos" localSheetId="4">#REF!</definedName>
    <definedName name="oooos" localSheetId="2">#REF!</definedName>
    <definedName name="oooos">#REF!</definedName>
    <definedName name="OP">#REF!</definedName>
    <definedName name="Openingpb">#REF!</definedName>
    <definedName name="OpEquip">#REF!</definedName>
    <definedName name="OpexFac">[28]Sensitivities!$I$12</definedName>
    <definedName name="Option">[33]Title!$L$28</definedName>
    <definedName name="Orden">[92]Hoja2!$C$2:$C$6</definedName>
    <definedName name="OreToStorage.Check_tonne_error" localSheetId="4">#REF!</definedName>
    <definedName name="OreToStorage.Check_tonne_error" localSheetId="2">#REF!</definedName>
    <definedName name="OreToStorage.Check_tonne_error">#REF!</definedName>
    <definedName name="OreToStorage.Check_Tonnes">#REF!</definedName>
    <definedName name="OreToStorage.Check_Volume">#REF!</definedName>
    <definedName name="OreToStorage.Pulp_Density">#REF!</definedName>
    <definedName name="ORO">#REF!</definedName>
    <definedName name="os" localSheetId="4">#REF!</definedName>
    <definedName name="os" localSheetId="2">#REF!</definedName>
    <definedName name="os">#REF!</definedName>
    <definedName name="OtherCosts">#REF!</definedName>
    <definedName name="OTR">[93]Otros!$A:$IV</definedName>
    <definedName name="OTRO">[62]Otros!$A:$IV</definedName>
    <definedName name="otro2">[63]Otros!$A:$IV</definedName>
    <definedName name="otros" localSheetId="4">#REF!</definedName>
    <definedName name="otros" localSheetId="2">#REF!</definedName>
    <definedName name="otros">#REF!</definedName>
    <definedName name="OtrosServicios">#REF!</definedName>
    <definedName name="OtrosServiciosCostos">#REF!</definedName>
    <definedName name="ØuRn1v" localSheetId="4">#REF!</definedName>
    <definedName name="ØuRn1v" localSheetId="2">#REF!</definedName>
    <definedName name="ØuRn1v">#REF!</definedName>
    <definedName name="ØuRn2v" localSheetId="4">#REF!</definedName>
    <definedName name="ØuRn2v" localSheetId="2">#REF!</definedName>
    <definedName name="ØuRn2v">#REF!</definedName>
    <definedName name="OVER">#REF!</definedName>
    <definedName name="OWNER" localSheetId="4">#REF!</definedName>
    <definedName name="OWNER" localSheetId="2">#REF!</definedName>
    <definedName name="OWNER">#REF!</definedName>
    <definedName name="P">[64]TABLAS!$C$252:$C$256</definedName>
    <definedName name="p.BS" localSheetId="4">#REF!</definedName>
    <definedName name="p.BS" localSheetId="2">#REF!</definedName>
    <definedName name="p.BS">#REF!</definedName>
    <definedName name="p.BSAssumptions" localSheetId="4">#REF!</definedName>
    <definedName name="p.BSAssumptions" localSheetId="2">#REF!</definedName>
    <definedName name="p.BSAssumptions">#REF!</definedName>
    <definedName name="p.CapStructure">#REF!</definedName>
    <definedName name="p.CashFlow" localSheetId="4">#REF!</definedName>
    <definedName name="p.CashFlow" localSheetId="2">#REF!</definedName>
    <definedName name="p.CashFlow">#REF!</definedName>
    <definedName name="p.Cover">#REF!</definedName>
    <definedName name="p.Depreciation">#REF!</definedName>
    <definedName name="p.Executive">#REF!</definedName>
    <definedName name="p.FactSheet" localSheetId="4">#REF!</definedName>
    <definedName name="p.FactSheet" localSheetId="2">#REF!</definedName>
    <definedName name="p.FactSheet">#REF!</definedName>
    <definedName name="p.IS">#REF!</definedName>
    <definedName name="p.ISAssumptions">#REF!</definedName>
    <definedName name="p.OpeningBS">#REF!</definedName>
    <definedName name="p.TaxCalculation">#REF!</definedName>
    <definedName name="p0p0" localSheetId="4">#REF!</definedName>
    <definedName name="p0p0" localSheetId="2">#REF!</definedName>
    <definedName name="p0p0">#REF!</definedName>
    <definedName name="P80X200">[10]BASE!$D$246</definedName>
    <definedName name="P90X200">[10]BASE!$D$245</definedName>
    <definedName name="Pa" localSheetId="4">#REF!</definedName>
    <definedName name="Pa" localSheetId="2">#REF!</definedName>
    <definedName name="Pa">#REF!</definedName>
    <definedName name="PA14X">[15]BASE!$D$225</definedName>
    <definedName name="PAG" localSheetId="4">#REF!</definedName>
    <definedName name="PAG" localSheetId="2">#REF!</definedName>
    <definedName name="PAG">#REF!</definedName>
    <definedName name="PagoFinanciero">#REF!</definedName>
    <definedName name="pagos">#REF!</definedName>
    <definedName name="PANEL" localSheetId="4">#REF!</definedName>
    <definedName name="PANEL" localSheetId="2">#REF!</definedName>
    <definedName name="PANEL">#REF!</definedName>
    <definedName name="pañet">#REF!</definedName>
    <definedName name="PAPA" localSheetId="4">#REF!</definedName>
    <definedName name="PAPA" localSheetId="2">#REF!</definedName>
    <definedName name="PAPA">#REF!</definedName>
    <definedName name="PARAMETROS" localSheetId="4">#REF!</definedName>
    <definedName name="PARAMETROS" localSheetId="2">#REF!</definedName>
    <definedName name="PARAMETROS">#REF!</definedName>
    <definedName name="PASAMURO_B_x_EL_L_0.25_Z_0.125_M">#REF!</definedName>
    <definedName name="patch8" localSheetId="4">#REF!</definedName>
    <definedName name="patch8" localSheetId="2">#REF!</definedName>
    <definedName name="patch8">#REF!</definedName>
    <definedName name="payment_terms">#REF!</definedName>
    <definedName name="Pb">#REF!</definedName>
    <definedName name="PBEA">'[94]PPTO REP'!$G$44</definedName>
    <definedName name="Pc">#REF!</definedName>
    <definedName name="Pd">#REF!</definedName>
    <definedName name="PDR">'[94]PPTO REP'!$G$13</definedName>
    <definedName name="Pe" localSheetId="4">#REF!</definedName>
    <definedName name="Pe" localSheetId="2">#REF!</definedName>
    <definedName name="Pe">#REF!</definedName>
    <definedName name="PEC">'[94]PPTO REP'!$G$27</definedName>
    <definedName name="pedro" localSheetId="4">#REF!</definedName>
    <definedName name="pedro" localSheetId="2">#REF!</definedName>
    <definedName name="pedro">#REF!</definedName>
    <definedName name="PEGANTE_P.V.C">#REF!</definedName>
    <definedName name="PEGCO">[10]BASE!$D$268</definedName>
    <definedName name="PEPE" localSheetId="4">#REF!</definedName>
    <definedName name="PEPE" localSheetId="2">#REF!</definedName>
    <definedName name="PEPE">#REF!</definedName>
    <definedName name="PERA">#REF!</definedName>
    <definedName name="PERALTA" localSheetId="4">#REF!</definedName>
    <definedName name="PERALTA" localSheetId="2">#REF!</definedName>
    <definedName name="PERALTA">#REF!</definedName>
    <definedName name="perDate">[69]Parameters!$E$9:$E$38</definedName>
    <definedName name="PERFIL_DEL_TRAMO">#REF!</definedName>
    <definedName name="PeriodInc">[33]Index!$L$57</definedName>
    <definedName name="perLabel">[69]Parameters!$C$9:$C$38</definedName>
    <definedName name="PERNO">[10]BASE!$D$232</definedName>
    <definedName name="PERSONALTABLA1.1.1">'[4]CALCULO COSTOS DE OPERACIÓN'!$B$50:$AJ$85</definedName>
    <definedName name="PERSONALTABLA1.2">'[4]INFORMACIÓN REFERENCIA'!$B$477:$F$489</definedName>
    <definedName name="PERSONALTABLA1.3">'[4]INFORMACIÓN REFERENCIA'!$B$494:$F$506</definedName>
    <definedName name="PESO14.2">#REF!</definedName>
    <definedName name="PESO14.3">#REF!</definedName>
    <definedName name="PESO14.4">#REF!</definedName>
    <definedName name="pi">#REF!</definedName>
    <definedName name="PIEDR">[10]BASE!$D$50</definedName>
    <definedName name="Piedra">#REF!</definedName>
    <definedName name="PILOTE">#REF!</definedName>
    <definedName name="PINBAR">[10]BASE!$D$250</definedName>
    <definedName name="pinturavinilo">#REF!</definedName>
    <definedName name="PKHK" localSheetId="4">#REF!</definedName>
    <definedName name="PKHK" localSheetId="2">#REF!</definedName>
    <definedName name="PKHK">#REF!</definedName>
    <definedName name="pkj" localSheetId="4">#REF!</definedName>
    <definedName name="pkj" localSheetId="2">#REF!</definedName>
    <definedName name="pkj">#REF!</definedName>
    <definedName name="PLAD" localSheetId="4">#REF!</definedName>
    <definedName name="PLAD" localSheetId="2">#REF!</definedName>
    <definedName name="PLAD">#REF!</definedName>
    <definedName name="plan" localSheetId="4">#REF!</definedName>
    <definedName name="plan" localSheetId="2">#REF!</definedName>
    <definedName name="plan">#REF!</definedName>
    <definedName name="Plan_Vallejo_Sens">'[34]Inputs-SUMMARY'!$H$279:$BR$279</definedName>
    <definedName name="PLANT7">#REF!</definedName>
    <definedName name="PLANTASALCANTARILLADO1.1">'[4]INFORMACIÓN REFERENCIA'!$B$313:$I$324</definedName>
    <definedName name="PLANTASALCANTARILLADOTABLA1.7">'[4]INFORMACIÓN REFERENCIA'!$B$393:$C$404</definedName>
    <definedName name="PLANTASTRATAMIENTOTABLA5.1">'[4]INFORMACIÓN REFERENCIA'!$B$216:$F$220</definedName>
    <definedName name="PLANTASTRATAMIENTOTABLA5.2" localSheetId="4">#REF!</definedName>
    <definedName name="PLANTASTRATAMIENTOTABLA5.2" localSheetId="2">#REF!</definedName>
    <definedName name="PLANTASTRATAMIENTOTABLA5.2">#REF!</definedName>
    <definedName name="PlanVallejo">#REF!</definedName>
    <definedName name="PLAST">[10]BASE!$D$229</definedName>
    <definedName name="PLASTROCRETE_DM">#REF!</definedName>
    <definedName name="PlazoAIU">#REF!</definedName>
    <definedName name="PLPLUNN" localSheetId="4">#REF!</definedName>
    <definedName name="PLPLUNN" localSheetId="2">#REF!</definedName>
    <definedName name="PLPLUNN">#REF!</definedName>
    <definedName name="PLUG">#REF!</definedName>
    <definedName name="PMA">'[94]PPTO REP'!$G$30</definedName>
    <definedName name="PMT">#REF!</definedName>
    <definedName name="pñ">#REF!</definedName>
    <definedName name="po">#REF!</definedName>
    <definedName name="POBRE">#REF!</definedName>
    <definedName name="POCETAS">#REF!</definedName>
    <definedName name="poi">#REF!</definedName>
    <definedName name="POIPOZOS">'[4]CALCULO POI'!$B$118:$I$154</definedName>
    <definedName name="POIUP" localSheetId="4">#REF!</definedName>
    <definedName name="POIUP" localSheetId="2">#REF!</definedName>
    <definedName name="POIUP">#REF!</definedName>
    <definedName name="POLINOMIAL1" localSheetId="4">#REF!</definedName>
    <definedName name="POLINOMIAL1" localSheetId="2">#REF!</definedName>
    <definedName name="POLINOMIAL1">#REF!</definedName>
    <definedName name="Polynomial">#REF!</definedName>
    <definedName name="POO">#REF!</definedName>
    <definedName name="popop" localSheetId="4">#REF!</definedName>
    <definedName name="popop" localSheetId="2">#REF!</definedName>
    <definedName name="popop">#REF!</definedName>
    <definedName name="popp" localSheetId="4">#REF!</definedName>
    <definedName name="popp" localSheetId="2">#REF!</definedName>
    <definedName name="popp">#REF!</definedName>
    <definedName name="popu" localSheetId="4">#REF!</definedName>
    <definedName name="popu" localSheetId="2">#REF!</definedName>
    <definedName name="popu">#REF!</definedName>
    <definedName name="popvds" localSheetId="4">#REF!</definedName>
    <definedName name="popvds" localSheetId="2">#REF!</definedName>
    <definedName name="popvds">#REF!</definedName>
    <definedName name="porc">#REF!</definedName>
    <definedName name="PorcAdicCostoLlantasCliente">#REF!</definedName>
    <definedName name="PorcAdicCostoMtto">#REF!</definedName>
    <definedName name="PorcCostosOcultos">#REF!</definedName>
    <definedName name="PorContribConduct">#REF!</definedName>
    <definedName name="PorContribImpRod">#REF!</definedName>
    <definedName name="PorContribLlantas">#REF!</definedName>
    <definedName name="PorContribMtto">#REF!</definedName>
    <definedName name="PorContribSeguro" localSheetId="4">#REF!</definedName>
    <definedName name="PorContribSeguro" localSheetId="2">#REF!</definedName>
    <definedName name="PorContribSeguro">#REF!</definedName>
    <definedName name="PorcPAAG">#REF!</definedName>
    <definedName name="PorcPuntosAdicCredito">#REF!</definedName>
    <definedName name="PorcPuntosAdicLeasing" localSheetId="4">#REF!</definedName>
    <definedName name="PorcPuntosAdicLeasing" localSheetId="2">#REF!</definedName>
    <definedName name="PorcPuntosAdicLeasing">#REF!</definedName>
    <definedName name="PorcTasaSeguroCanon">#REF!</definedName>
    <definedName name="PorcTasaSeguroCliente">#REF!</definedName>
    <definedName name="PorDecremImptosRodamto">#REF!</definedName>
    <definedName name="porDemerito1">#REF!</definedName>
    <definedName name="porDemerito10">#REF!</definedName>
    <definedName name="porDemerito11">#REF!</definedName>
    <definedName name="porDemerito2">#REF!</definedName>
    <definedName name="porDemerito3">#REF!</definedName>
    <definedName name="porDemerito4" localSheetId="4">#REF!</definedName>
    <definedName name="porDemerito4" localSheetId="2">#REF!</definedName>
    <definedName name="porDemerito4">#REF!</definedName>
    <definedName name="porDemerito5">#REF!</definedName>
    <definedName name="porDemerito6">#REF!</definedName>
    <definedName name="porDemerito7">#REF!</definedName>
    <definedName name="porDemerito8">#REF!</definedName>
    <definedName name="porDemerito9">#REF!</definedName>
    <definedName name="porDemeritoAcces">#REF!</definedName>
    <definedName name="PorDesctoTransfdoVehicClien" localSheetId="4">#REF!</definedName>
    <definedName name="PorDesctoTransfdoVehicClien" localSheetId="2">#REF!</definedName>
    <definedName name="PorDesctoTransfdoVehicClien">#REF!</definedName>
    <definedName name="PorDesctoVehicCliente">#REF!</definedName>
    <definedName name="PorDesctoVehicSurenting">#REF!</definedName>
    <definedName name="PorDesctoVehícSurenting" localSheetId="4">#REF!</definedName>
    <definedName name="PorDesctoVehícSurenting" localSheetId="2">#REF!</definedName>
    <definedName name="PorDesctoVehícSurenting">#REF!</definedName>
    <definedName name="PorFactorIvaCanon">#REF!</definedName>
    <definedName name="PorFactPrestacConduct">#REF!</definedName>
    <definedName name="porImprevistos">#REF!</definedName>
    <definedName name="PorImpto2Xmil">#REF!</definedName>
    <definedName name="PorIncremAnualComb">#REF!</definedName>
    <definedName name="PorIncremAnualCostos" localSheetId="4">#REF!</definedName>
    <definedName name="PorIncremAnualCostos" localSheetId="2">#REF!</definedName>
    <definedName name="PorIncremAnualCostos">#REF!</definedName>
    <definedName name="PorIncremAnualCostos10">#REF!</definedName>
    <definedName name="PorIncremAnualCostos11">#REF!</definedName>
    <definedName name="PorIncremAnualCostos2">#REF!</definedName>
    <definedName name="PorIncremAnualCostos3">#REF!</definedName>
    <definedName name="PorIncremAnualCostos4">#REF!</definedName>
    <definedName name="PorIncremAnualCostos5">#REF!</definedName>
    <definedName name="PorIncremAnualCostos6">#REF!</definedName>
    <definedName name="PorIncremAnualCostos7">#REF!</definedName>
    <definedName name="PorIncremAnualCostos8" localSheetId="4">#REF!</definedName>
    <definedName name="PorIncremAnualCostos8" localSheetId="2">#REF!</definedName>
    <definedName name="PorIncremAnualCostos8">#REF!</definedName>
    <definedName name="PorIncremAnualCostos9" localSheetId="4">#REF!</definedName>
    <definedName name="PorIncremAnualCostos9" localSheetId="2">#REF!</definedName>
    <definedName name="PorIncremAnualCostos9">#REF!</definedName>
    <definedName name="PorIncremAnualManoObra">#REF!</definedName>
    <definedName name="PorIncreSeguro10A">#REF!</definedName>
    <definedName name="PorIncreSeguro11A">#REF!</definedName>
    <definedName name="PorIncreSeguro2A" localSheetId="4">#REF!</definedName>
    <definedName name="PorIncreSeguro2A" localSheetId="2">#REF!</definedName>
    <definedName name="PorIncreSeguro2A">#REF!</definedName>
    <definedName name="PorIncreSeguro3A">#REF!</definedName>
    <definedName name="PorIncreSeguro4A">#REF!</definedName>
    <definedName name="PorIncreSeguro5A">#REF!</definedName>
    <definedName name="PorIncreSeguro6A">#REF!</definedName>
    <definedName name="PorIncreSeguro7A">#REF!</definedName>
    <definedName name="PorIncreSeguro8A" localSheetId="4">#REF!</definedName>
    <definedName name="PorIncreSeguro8A" localSheetId="2">#REF!</definedName>
    <definedName name="PorIncreSeguro8A">#REF!</definedName>
    <definedName name="PorIncreSeguro9A" localSheetId="4">#REF!</definedName>
    <definedName name="PorIncreSeguro9A" localSheetId="2">#REF!</definedName>
    <definedName name="PorIncreSeguro9A">#REF!</definedName>
    <definedName name="porInsumos">#REF!</definedName>
    <definedName name="PorIvaVehic">#REF!</definedName>
    <definedName name="porManoObra" localSheetId="4">#REF!</definedName>
    <definedName name="porManoObra" localSheetId="2">#REF!</definedName>
    <definedName name="porManoObra">#REF!</definedName>
    <definedName name="PorMargenFuel" localSheetId="4">#REF!</definedName>
    <definedName name="PorMargenFuel" localSheetId="2">#REF!</definedName>
    <definedName name="PorMargenFuel">#REF!</definedName>
    <definedName name="PorMargenGeneral">#REF!</definedName>
    <definedName name="PorMargenGPS">#REF!</definedName>
    <definedName name="porMargenReventa">#REF!</definedName>
    <definedName name="PorMargenStandby">#REF!</definedName>
    <definedName name="PorPuntosAdicionDTF">#REF!</definedName>
    <definedName name="PorPuntosAdicServicios">#REF!</definedName>
    <definedName name="PorPuntosPromTAFondeo">#REF!</definedName>
    <definedName name="PorRetomaCliente">#REF!</definedName>
    <definedName name="PorRetomaLeasing">#REF!</definedName>
    <definedName name="porReventaCliente">#REF!</definedName>
    <definedName name="PorReventaSurenting">#REF!</definedName>
    <definedName name="PorRiesgoReventa">#REF!</definedName>
    <definedName name="PorTasaImpoPagoImptoRenta">#REF!</definedName>
    <definedName name="PorTasaMensualDesctarVPN">#REF!</definedName>
    <definedName name="PorTasaSeguro">#REF!</definedName>
    <definedName name="PorTasaSgro">#REF!</definedName>
    <definedName name="PorUtilidadDesctoCompra">#REF!</definedName>
    <definedName name="PorUtilidadFinanciera">#REF!</definedName>
    <definedName name="pou">#REF!</definedName>
    <definedName name="pouig" localSheetId="4">#REF!</definedName>
    <definedName name="pouig" localSheetId="2">#REF!</definedName>
    <definedName name="pouig">#REF!</definedName>
    <definedName name="POZOSACTUAL">'[4]INFORMACIÓN REFERENCIA'!$B$23:$M$34</definedName>
    <definedName name="pozosconduccion">'[4]INFORMACIÓN REFERENCIA'!$B$122:$F$133</definedName>
    <definedName name="pp">#REF!</definedName>
    <definedName name="PPPP" localSheetId="4">#REF!</definedName>
    <definedName name="PPPP" localSheetId="2">#REF!</definedName>
    <definedName name="PPPP">#REF!</definedName>
    <definedName name="ppppp9" localSheetId="4">#REF!</definedName>
    <definedName name="ppppp9" localSheetId="2">#REF!</definedName>
    <definedName name="ppppp9">#REF!</definedName>
    <definedName name="pppppd" localSheetId="4">#REF!</definedName>
    <definedName name="pppppd" localSheetId="2">#REF!</definedName>
    <definedName name="pppppd">#REF!</definedName>
    <definedName name="pppppppppppp">#REF!</definedName>
    <definedName name="PPPPPPPPPPPPEE" localSheetId="4">#REF!</definedName>
    <definedName name="PPPPPPPPPPPPEE" localSheetId="2">#REF!</definedName>
    <definedName name="PPPPPPPPPPPPEE">#REF!</definedName>
    <definedName name="PPtoNorte">#REF!</definedName>
    <definedName name="pqroj" localSheetId="4">#REF!</definedName>
    <definedName name="pqroj" localSheetId="2">#REF!</definedName>
    <definedName name="pqroj">#REF!</definedName>
    <definedName name="PRE">#REF!</definedName>
    <definedName name="Precio">#REF!</definedName>
    <definedName name="precio2">#REF!</definedName>
    <definedName name="PrecioS" localSheetId="4">#REF!</definedName>
    <definedName name="PrecioS" localSheetId="2">#REF!</definedName>
    <definedName name="PrecioS">#REF!</definedName>
    <definedName name="PRES">#REF!</definedName>
    <definedName name="PRESIPISTO" localSheetId="4">#REF!</definedName>
    <definedName name="PRESIPISTO" localSheetId="2">#REF!</definedName>
    <definedName name="PRESIPISTO">#REF!</definedName>
    <definedName name="PREST">#REF!</definedName>
    <definedName name="presta">[95]BASE!$D$8</definedName>
    <definedName name="Presu" localSheetId="4">#REF!</definedName>
    <definedName name="Presu" localSheetId="2">#REF!</definedName>
    <definedName name="Presu">#REF!</definedName>
    <definedName name="PRESUP">#REF!</definedName>
    <definedName name="Presupuest" localSheetId="4">#REF!</definedName>
    <definedName name="Presupuest" localSheetId="2">#REF!</definedName>
    <definedName name="Presupuest">#REF!</definedName>
    <definedName name="PRESUPUESTO" localSheetId="4">#REF!</definedName>
    <definedName name="PRESUPUESTO" localSheetId="2">#REF!</definedName>
    <definedName name="PRESUPUESTO">#REF!</definedName>
    <definedName name="PresupuestoCentrocomuntario">#REF!</definedName>
    <definedName name="PResupuestos">'[96]CtaGeneral-A'!$F$12:$AH$131</definedName>
    <definedName name="PrevFleet">#REF!</definedName>
    <definedName name="PRICES_FIRM">#REF!</definedName>
    <definedName name="PRIMER" localSheetId="4">#REF!</definedName>
    <definedName name="PRIMER" localSheetId="2">#REF!</definedName>
    <definedName name="PRIMER">#REF!</definedName>
    <definedName name="PRIMET" localSheetId="4">#REF!</definedName>
    <definedName name="PRIMET" localSheetId="2">#REF!</definedName>
    <definedName name="PRIMET">#REF!</definedName>
    <definedName name="PRINT_AREA" localSheetId="4">#REF!</definedName>
    <definedName name="PRINT_AREA" localSheetId="2">#REF!</definedName>
    <definedName name="PRINT_AREA">#REF!</definedName>
    <definedName name="PRINT_AREA_MI">#REF!</definedName>
    <definedName name="PRINT_TITLES" localSheetId="4">#REF!</definedName>
    <definedName name="PRINT_TITLES" localSheetId="2">#REF!</definedName>
    <definedName name="PRINT_TITLES">#REF!</definedName>
    <definedName name="PRINT_TITLES_MI" localSheetId="4">#REF!</definedName>
    <definedName name="PRINT_TITLES_MI" localSheetId="2">#REF!</definedName>
    <definedName name="PRINT_TITLES_MI">#REF!</definedName>
    <definedName name="PRINT2" localSheetId="4">#REF!</definedName>
    <definedName name="PRINT2" localSheetId="2">#REF!</definedName>
    <definedName name="PRINT2">#REF!</definedName>
    <definedName name="PrintEnd">#REF!</definedName>
    <definedName name="PrintStart">#REF!</definedName>
    <definedName name="PrintTitle" localSheetId="4">#REF!</definedName>
    <definedName name="PrintTitle" localSheetId="2">#REF!</definedName>
    <definedName name="PrintTitle">#REF!</definedName>
    <definedName name="Prioridad">[97]Sheet1!$D$2:$D$4</definedName>
    <definedName name="prod" localSheetId="4">#REF!</definedName>
    <definedName name="prod" localSheetId="2">#REF!</definedName>
    <definedName name="prod">#REF!</definedName>
    <definedName name="prod1" localSheetId="4">#REF!</definedName>
    <definedName name="prod1" localSheetId="2">#REF!</definedName>
    <definedName name="prod1">#REF!</definedName>
    <definedName name="prod98" localSheetId="4">#REF!</definedName>
    <definedName name="prod98" localSheetId="2">#REF!</definedName>
    <definedName name="prod98">#REF!</definedName>
    <definedName name="prodcal" localSheetId="4">#REF!</definedName>
    <definedName name="prodcal" localSheetId="2">#REF!</definedName>
    <definedName name="prodcal">#REF!</definedName>
    <definedName name="prodeco" localSheetId="4">#REF!</definedName>
    <definedName name="prodeco" localSheetId="2">#REF!</definedName>
    <definedName name="prodeco">#REF!</definedName>
    <definedName name="prodhati" localSheetId="4">#REF!</definedName>
    <definedName name="prodhati" localSheetId="2">#REF!</definedName>
    <definedName name="prodhati">#REF!</definedName>
    <definedName name="PRODUCCIONACTUAL">'[4]INFORMACIÓN REFERENCIA'!$B$8:$C$19</definedName>
    <definedName name="PRODUCTCARB" localSheetId="4">#REF!</definedName>
    <definedName name="PRODUCTCARB" localSheetId="2">#REF!</definedName>
    <definedName name="PRODUCTCARB">#REF!</definedName>
    <definedName name="PRODUCTEST">#REF!</definedName>
    <definedName name="PROF">#REF!</definedName>
    <definedName name="profit_margin">#REF!</definedName>
    <definedName name="Profundidad">#REF!</definedName>
    <definedName name="programainv" localSheetId="4">#REF!</definedName>
    <definedName name="programainv" localSheetId="2">#REF!</definedName>
    <definedName name="programainv">#REF!</definedName>
    <definedName name="Project" localSheetId="4">#REF!</definedName>
    <definedName name="Project" localSheetId="2">#REF!</definedName>
    <definedName name="Project">#REF!</definedName>
    <definedName name="PROJECT_CURRENCY">#REF!</definedName>
    <definedName name="Project_Name">#REF!</definedName>
    <definedName name="Project_name_1">#REF!</definedName>
    <definedName name="Project_name_2" localSheetId="4">#REF!</definedName>
    <definedName name="Project_name_2" localSheetId="2">#REF!</definedName>
    <definedName name="Project_name_2">#REF!</definedName>
    <definedName name="Proponente">#REF!</definedName>
    <definedName name="Prov">#REF!</definedName>
    <definedName name="Proy_01">#REF!</definedName>
    <definedName name="Proy_02">#REF!</definedName>
    <definedName name="Proy_03">#REF!</definedName>
    <definedName name="Proy_04">#REF!</definedName>
    <definedName name="Proy_05">#REF!</definedName>
    <definedName name="Proy_06" localSheetId="4">#REF!</definedName>
    <definedName name="Proy_06" localSheetId="2">#REF!</definedName>
    <definedName name="Proy_06">#REF!</definedName>
    <definedName name="Proy_07" localSheetId="4">#REF!</definedName>
    <definedName name="Proy_07" localSheetId="2">#REF!</definedName>
    <definedName name="Proy_07">#REF!</definedName>
    <definedName name="Proy_08" localSheetId="4">#REF!</definedName>
    <definedName name="Proy_08" localSheetId="2">#REF!</definedName>
    <definedName name="Proy_08">#REF!</definedName>
    <definedName name="Proy_09">#REF!</definedName>
    <definedName name="Proy_10">#REF!</definedName>
    <definedName name="Proy_11">#REF!</definedName>
    <definedName name="Proy_12" localSheetId="4">#REF!</definedName>
    <definedName name="Proy_12" localSheetId="2">#REF!</definedName>
    <definedName name="Proy_12">#REF!</definedName>
    <definedName name="Proy_13" localSheetId="4">#REF!</definedName>
    <definedName name="Proy_13" localSheetId="2">#REF!</definedName>
    <definedName name="Proy_13">#REF!</definedName>
    <definedName name="Proy_14">#REF!</definedName>
    <definedName name="Proy_15" localSheetId="4">#REF!</definedName>
    <definedName name="Proy_15" localSheetId="2">#REF!</definedName>
    <definedName name="Proy_15">#REF!</definedName>
    <definedName name="Proy_16" localSheetId="4">#REF!</definedName>
    <definedName name="Proy_16" localSheetId="2">#REF!</definedName>
    <definedName name="Proy_16">#REF!</definedName>
    <definedName name="Proy_17">#REF!</definedName>
    <definedName name="Proy_18">#REF!</definedName>
    <definedName name="Proy_19">#REF!</definedName>
    <definedName name="Proy_20">#REF!</definedName>
    <definedName name="Proy_21" localSheetId="4">#REF!</definedName>
    <definedName name="Proy_21" localSheetId="2">#REF!</definedName>
    <definedName name="Proy_21">#REF!</definedName>
    <definedName name="Proy_22">#REF!</definedName>
    <definedName name="Proy_23">#REF!</definedName>
    <definedName name="Proy_24">#REF!</definedName>
    <definedName name="Proy_25">#REF!</definedName>
    <definedName name="Proy_26">#REF!</definedName>
    <definedName name="Proy_27">#REF!</definedName>
    <definedName name="Proy_28" localSheetId="4">#REF!</definedName>
    <definedName name="Proy_28" localSheetId="2">#REF!</definedName>
    <definedName name="Proy_28">#REF!</definedName>
    <definedName name="Proy_29">#REF!</definedName>
    <definedName name="Proy_30">#REF!</definedName>
    <definedName name="Proy_31">#REF!</definedName>
    <definedName name="Proy_32">#REF!</definedName>
    <definedName name="Proy_33" localSheetId="4">#REF!</definedName>
    <definedName name="Proy_33" localSheetId="2">#REF!</definedName>
    <definedName name="Proy_33">#REF!</definedName>
    <definedName name="Proy_34">#REF!</definedName>
    <definedName name="Proy_35">#REF!</definedName>
    <definedName name="Proy_36">#REF!</definedName>
    <definedName name="Proy_37">#REF!</definedName>
    <definedName name="Proy_38">#REF!</definedName>
    <definedName name="Proy_39" localSheetId="4">#REF!</definedName>
    <definedName name="Proy_39" localSheetId="2">#REF!</definedName>
    <definedName name="Proy_39">#REF!</definedName>
    <definedName name="Proy_40">#REF!</definedName>
    <definedName name="Proy_41">#REF!</definedName>
    <definedName name="Proy_42">#REF!</definedName>
    <definedName name="Proy_43">#REF!</definedName>
    <definedName name="Proy_44">#REF!</definedName>
    <definedName name="Proy_45">#REF!</definedName>
    <definedName name="Proy_46">#REF!</definedName>
    <definedName name="Proy_47">#REF!</definedName>
    <definedName name="Proy_48" localSheetId="4">#REF!</definedName>
    <definedName name="Proy_48" localSheetId="2">#REF!</definedName>
    <definedName name="Proy_48">#REF!</definedName>
    <definedName name="Proy_49">#REF!</definedName>
    <definedName name="Proy_50">#REF!</definedName>
    <definedName name="PROYECCION" localSheetId="4">#REF!</definedName>
    <definedName name="PROYECCION" localSheetId="2">#REF!</definedName>
    <definedName name="PROYECCION">#REF!</definedName>
    <definedName name="PROYECCIONDEMANDATABLA1">[4]DEMANDABASEAND!$B$7:$F$19</definedName>
    <definedName name="PROYECTO">#REF!</definedName>
    <definedName name="PROYECTOS">[4]REFERENCIAS!$A$3:$F$25</definedName>
    <definedName name="PRUEBA" localSheetId="4">#REF!</definedName>
    <definedName name="PRUEBA" localSheetId="2">#REF!</definedName>
    <definedName name="PRUEBA">#REF!</definedName>
    <definedName name="PRUEBA2" localSheetId="4">#REF!</definedName>
    <definedName name="PRUEBA2" localSheetId="2">#REF!</definedName>
    <definedName name="PRUEBA2">#REF!</definedName>
    <definedName name="PTAJE">#REF!</definedName>
    <definedName name="ptope" localSheetId="4">#REF!</definedName>
    <definedName name="ptope" localSheetId="2">#REF!</definedName>
    <definedName name="ptope">#REF!</definedName>
    <definedName name="ptopes" localSheetId="4">#REF!</definedName>
    <definedName name="ptopes" localSheetId="2">#REF!</definedName>
    <definedName name="ptopes">#REF!</definedName>
    <definedName name="PTU">'[94]PPTO REP'!$G$41</definedName>
    <definedName name="PUNTI">[10]BASE!$D$230</definedName>
    <definedName name="PUNTILLA">#REF!</definedName>
    <definedName name="PuntosRentabilidad">#REF!</definedName>
    <definedName name="Purchase">#REF!</definedName>
    <definedName name="PVH">'[94]PPTO REP'!$G$34</definedName>
    <definedName name="Q">#REF!</definedName>
    <definedName name="q1q1q" localSheetId="4">#REF!</definedName>
    <definedName name="q1q1q" localSheetId="2">#REF!</definedName>
    <definedName name="q1q1q">#REF!</definedName>
    <definedName name="qaedtguj" localSheetId="4">#REF!</definedName>
    <definedName name="qaedtguj" localSheetId="2">#REF!</definedName>
    <definedName name="qaedtguj">#REF!</definedName>
    <definedName name="QAQSWS" localSheetId="4">#REF!</definedName>
    <definedName name="QAQSWS" localSheetId="2">#REF!</definedName>
    <definedName name="QAQSWS">#REF!</definedName>
    <definedName name="qaqwwxcr" localSheetId="4">#REF!</definedName>
    <definedName name="qaqwwxcr" localSheetId="2">#REF!</definedName>
    <definedName name="qaqwwxcr">#REF!</definedName>
    <definedName name="qaz">#REF!</definedName>
    <definedName name="QE" localSheetId="4">#REF!</definedName>
    <definedName name="QE" localSheetId="2">#REF!</definedName>
    <definedName name="QE">#REF!</definedName>
    <definedName name="QE_TE" localSheetId="4">#REF!</definedName>
    <definedName name="QE_TE" localSheetId="2">#REF!</definedName>
    <definedName name="QE_TE">#REF!</definedName>
    <definedName name="qedcd" localSheetId="4">#REF!</definedName>
    <definedName name="qedcd" localSheetId="2">#REF!</definedName>
    <definedName name="qedcd">#REF!</definedName>
    <definedName name="qeqewe" localSheetId="4">#REF!</definedName>
    <definedName name="qeqewe" localSheetId="2">#REF!</definedName>
    <definedName name="qeqewe">#REF!</definedName>
    <definedName name="qewj" localSheetId="4">#REF!</definedName>
    <definedName name="qewj" localSheetId="2">#REF!</definedName>
    <definedName name="qewj">#REF!</definedName>
    <definedName name="QI" localSheetId="4">#REF!</definedName>
    <definedName name="QI" localSheetId="2">#REF!</definedName>
    <definedName name="QI">#REF!</definedName>
    <definedName name="QI_TI" localSheetId="4">#REF!</definedName>
    <definedName name="QI_TI" localSheetId="2">#REF!</definedName>
    <definedName name="QI_TI">#REF!</definedName>
    <definedName name="QMAXDIARIO">'[4]CALCULO POI'!$B$118:$C$154</definedName>
    <definedName name="QN" localSheetId="4">#REF!</definedName>
    <definedName name="QN" localSheetId="2">#REF!</definedName>
    <definedName name="QN">#REF!</definedName>
    <definedName name="QN_QI" localSheetId="4">#REF!</definedName>
    <definedName name="QN_QI" localSheetId="2">#REF!</definedName>
    <definedName name="QN_QI">#REF!</definedName>
    <definedName name="QNS" localSheetId="4">#REF!</definedName>
    <definedName name="QNS" localSheetId="2">#REF!</definedName>
    <definedName name="QNS">#REF!</definedName>
    <definedName name="QPROM">[4]TARIFAS!$C$570</definedName>
    <definedName name="qq">#REF!</definedName>
    <definedName name="qqq">#REF!</definedName>
    <definedName name="QQQQ">#REF!</definedName>
    <definedName name="qqqqqqqqqqqqqqqq">#REF!</definedName>
    <definedName name="qqqqqw" localSheetId="4">#REF!</definedName>
    <definedName name="qqqqqw" localSheetId="2">#REF!</definedName>
    <definedName name="qqqqqw">#REF!</definedName>
    <definedName name="QRS">#REF!</definedName>
    <definedName name="Quality_PvT">#REF!</definedName>
    <definedName name="QualityF">#REF!</definedName>
    <definedName name="quantity">#REF!</definedName>
    <definedName name="QUIMICOSTABLA1.3.1">'[4]CALCULO COSTOS DE OPERACIÓN'!$B$176:$J$211</definedName>
    <definedName name="qw">#REF!</definedName>
    <definedName name="qwdas2" localSheetId="4">#REF!</definedName>
    <definedName name="qwdas2" localSheetId="2">#REF!</definedName>
    <definedName name="qwdas2">#REF!</definedName>
    <definedName name="qweqe" localSheetId="4">#REF!</definedName>
    <definedName name="qweqe" localSheetId="2">#REF!</definedName>
    <definedName name="qweqe">#REF!</definedName>
    <definedName name="qwer">#REF!</definedName>
    <definedName name="QWERTY" localSheetId="4">#REF!</definedName>
    <definedName name="QWERTY" localSheetId="2">#REF!</definedName>
    <definedName name="QWERTY">#REF!</definedName>
    <definedName name="qwqw">#REF!</definedName>
    <definedName name="qwqwas">#REF!</definedName>
    <definedName name="qwqwqwj" localSheetId="4">#REF!</definedName>
    <definedName name="qwqwqwj" localSheetId="2">#REF!</definedName>
    <definedName name="qwqwqwj">#REF!</definedName>
    <definedName name="R.1">#REF!</definedName>
    <definedName name="R.10">#REF!</definedName>
    <definedName name="R.11">#REF!</definedName>
    <definedName name="R.12">#REF!</definedName>
    <definedName name="R.13">#REF!</definedName>
    <definedName name="R.14">#REF!</definedName>
    <definedName name="R.15">#REF!</definedName>
    <definedName name="R.16">#REF!</definedName>
    <definedName name="R.17" localSheetId="4">#REF!</definedName>
    <definedName name="R.17" localSheetId="2">#REF!</definedName>
    <definedName name="R.17">#REF!</definedName>
    <definedName name="R.18">#REF!</definedName>
    <definedName name="R.19" localSheetId="4">#REF!</definedName>
    <definedName name="R.19" localSheetId="2">#REF!</definedName>
    <definedName name="R.19">#REF!</definedName>
    <definedName name="R.2">#REF!</definedName>
    <definedName name="R.3">#REF!</definedName>
    <definedName name="R.4" localSheetId="4">#REF!</definedName>
    <definedName name="R.4" localSheetId="2">#REF!</definedName>
    <definedName name="R.4">#REF!</definedName>
    <definedName name="R.5">#REF!</definedName>
    <definedName name="R.6">#REF!</definedName>
    <definedName name="R.7">#REF!</definedName>
    <definedName name="R.8" localSheetId="4">#REF!</definedName>
    <definedName name="R.8" localSheetId="2">#REF!</definedName>
    <definedName name="R.8">#REF!</definedName>
    <definedName name="R.9">#REF!</definedName>
    <definedName name="r.CashFlow">#REF!</definedName>
    <definedName name="r.Leverage">#REF!</definedName>
    <definedName name="r.Liquidity" localSheetId="4">#REF!</definedName>
    <definedName name="r.Liquidity" localSheetId="2">#REF!</definedName>
    <definedName name="r.Liquidity">#REF!</definedName>
    <definedName name="r.Market" localSheetId="4">#REF!</definedName>
    <definedName name="r.Market" localSheetId="2">#REF!</definedName>
    <definedName name="r.Market">#REF!</definedName>
    <definedName name="r.Profitability">#REF!</definedName>
    <definedName name="r.Summary">#REF!</definedName>
    <definedName name="Ra">#REF!</definedName>
    <definedName name="rango" localSheetId="4">#REF!</definedName>
    <definedName name="rango" localSheetId="2">#REF!</definedName>
    <definedName name="rango">#REF!</definedName>
    <definedName name="Rate1">[98]Summary!$D$6</definedName>
    <definedName name="rate2">[98]Summary!$D$7</definedName>
    <definedName name="ratio">#REF!</definedName>
    <definedName name="Rb">#REF!</definedName>
    <definedName name="Rd">#REF!</definedName>
    <definedName name="RD_CP" localSheetId="4">#REF!</definedName>
    <definedName name="RD_CP" localSheetId="2">#REF!</definedName>
    <definedName name="RD_CP">#REF!</definedName>
    <definedName name="RD_CP_VL" localSheetId="4">#REF!</definedName>
    <definedName name="RD_CP_VL" localSheetId="2">#REF!</definedName>
    <definedName name="RD_CP_VL">#REF!</definedName>
    <definedName name="rds">#REF!</definedName>
    <definedName name="Re">#REF!</definedName>
    <definedName name="RE4NTA">[99]EQUIPOS!$D$8</definedName>
    <definedName name="rec" localSheetId="4">#REF!</definedName>
    <definedName name="rec" localSheetId="2">#REF!</definedName>
    <definedName name="rec">#REF!</definedName>
    <definedName name="Recurso">[97]Sheet1!$B$2:$B$3</definedName>
    <definedName name="red">#REF!</definedName>
    <definedName name="REDESALCANTARILLADOTABLA1.2">'[4]INFORMACIÓN REFERENCIA'!$B$330:$F$341</definedName>
    <definedName name="REDESALCANTARILLADOTABLA1.4">'[4]INFORMACIÓN REFERENCIA'!$B$352:$F$364</definedName>
    <definedName name="REDESALCANTARILLADOTABLA1.5">#REF!</definedName>
    <definedName name="REDESTABLA6.1">'[4]INFORMACIÓN REFERENCIA'!$B$245:$E$256</definedName>
    <definedName name="REDESTABLA6.2">'[4]INFORMACIÓN REFERENCIA'!$B$260:$K$272</definedName>
    <definedName name="REDESTABLA6.3">'[4]INFORMACIÓN REFERENCIA'!$B$276:$C$287</definedName>
    <definedName name="REDUCCION_3__x_2">#REF!</definedName>
    <definedName name="REDUCCION_4__x_3">#REF!</definedName>
    <definedName name="REF">#REF!</definedName>
    <definedName name="REFERENCIAPROYECTOS">[4]REFERENCIAS!$A$3:$F$24</definedName>
    <definedName name="REFMAR">#REF!</definedName>
    <definedName name="REG">#REF!</definedName>
    <definedName name="REGBT" localSheetId="4">#REF!</definedName>
    <definedName name="REGBT" localSheetId="2">#REF!</definedName>
    <definedName name="REGBT">#REF!</definedName>
    <definedName name="rege" localSheetId="4">#REF!</definedName>
    <definedName name="rege" localSheetId="2">#REF!</definedName>
    <definedName name="rege">#REF!</definedName>
    <definedName name="regional">[29]CARRETERAS!$A$2</definedName>
    <definedName name="REGISTRO">#REF!</definedName>
    <definedName name="REGRESA">#REF!</definedName>
    <definedName name="regresd" localSheetId="4">#REF!</definedName>
    <definedName name="regresd" localSheetId="2">#REF!</definedName>
    <definedName name="regresd">#REF!</definedName>
    <definedName name="regthio" localSheetId="4">#REF!</definedName>
    <definedName name="regthio" localSheetId="2">#REF!</definedName>
    <definedName name="regthio">#REF!</definedName>
    <definedName name="REGULAR">#REF!</definedName>
    <definedName name="REICIO" localSheetId="4">#REF!</definedName>
    <definedName name="REICIO" localSheetId="2">#REF!</definedName>
    <definedName name="REICIO">#REF!</definedName>
    <definedName name="reinicio" localSheetId="4">#REF!</definedName>
    <definedName name="reinicio" localSheetId="2">#REF!</definedName>
    <definedName name="reinicio">#REF!</definedName>
    <definedName name="REJHE" localSheetId="4">#REF!</definedName>
    <definedName name="REJHE" localSheetId="2">#REF!</definedName>
    <definedName name="REJHE">#REF!</definedName>
    <definedName name="rell">#REF!</definedName>
    <definedName name="relle">#REF!</definedName>
    <definedName name="relleno" localSheetId="4">#REF!</definedName>
    <definedName name="relleno" localSheetId="2">#REF!</definedName>
    <definedName name="relleno">#REF!</definedName>
    <definedName name="RELLG">#REF!</definedName>
    <definedName name="relo">#REF!</definedName>
    <definedName name="rendimiento" localSheetId="4">#REF!</definedName>
    <definedName name="rendimiento" localSheetId="2">#REF!</definedName>
    <definedName name="rendimiento">#REF!</definedName>
    <definedName name="repello">#REF!</definedName>
    <definedName name="replanteo">#REF!</definedName>
    <definedName name="REPOSICIONACU">'[4]INFORMACIÓN REFERENCIA'!$B$674:$H$685</definedName>
    <definedName name="REPOSICIONACUREDES">'[4]INFORMACIÓN REFERENCIA'!$B$688:$D$699</definedName>
    <definedName name="REPOSICIONALC">'[4]INFORMACIÓN REFERENCIA'!$B$704:$D$715</definedName>
    <definedName name="REPOSICIONALCREDES">'[4]INFORMACIÓN REFERENCIA'!$B$718:$O$729</definedName>
    <definedName name="req">#REF!</definedName>
    <definedName name="Required_Delivery">#REF!</definedName>
    <definedName name="rer" localSheetId="4">#REF!</definedName>
    <definedName name="rer" localSheetId="2">#REF!</definedName>
    <definedName name="rer">#REF!</definedName>
    <definedName name="rererw" localSheetId="4">#REF!</definedName>
    <definedName name="rererw" localSheetId="2">#REF!</definedName>
    <definedName name="rererw">#REF!</definedName>
    <definedName name="rerg" localSheetId="4">#REF!</definedName>
    <definedName name="rerg" localSheetId="2">#REF!</definedName>
    <definedName name="rerg">#REF!</definedName>
    <definedName name="rerrrrw" localSheetId="4">#REF!</definedName>
    <definedName name="rerrrrw" localSheetId="2">#REF!</definedName>
    <definedName name="rerrrrw">#REF!</definedName>
    <definedName name="RES">#REF!</definedName>
    <definedName name="Reserva" localSheetId="4">#REF!</definedName>
    <definedName name="Reserva" localSheetId="2">#REF!</definedName>
    <definedName name="Reserva">#REF!</definedName>
    <definedName name="residente">'[29]GENERALIDADES '!$E$9</definedName>
    <definedName name="Responsible">'[21]2009 Jagua'!$G$2:$G$27</definedName>
    <definedName name="RESU">#REF!</definedName>
    <definedName name="RESUM" localSheetId="4">#REF!</definedName>
    <definedName name="RESUM" localSheetId="2">#REF!</definedName>
    <definedName name="RESUM">#REF!</definedName>
    <definedName name="resum2" localSheetId="4">#REF!</definedName>
    <definedName name="resum2" localSheetId="2">#REF!</definedName>
    <definedName name="resum2">#REF!</definedName>
    <definedName name="resumen">#REF!</definedName>
    <definedName name="RESUMENALCANTARILLADO">#REF!</definedName>
    <definedName name="ResumenAPU">[100]ResumenMaterial!$A$12:$AB$169</definedName>
    <definedName name="RESUMENCOSTOSOPERACIÓN">'[4]CALCULO COSTOS DE OPERACIÓN'!$B$6:$Q$41</definedName>
    <definedName name="RESUMENINVERSIONESACU">'[4]CALCULO POI'!$A$6:$M$41</definedName>
    <definedName name="RESUMENINVERSIONESACUEDUCTO">'[4]CALCULO POI'!$A$6:$M$41</definedName>
    <definedName name="RESUMENINVERSIONESALC">'[4]CALCULO POI'!$A$202:$K$237</definedName>
    <definedName name="RESUMENMODELODEMANDA">#REF!</definedName>
    <definedName name="RESUMENOPTIMIZACIONACU">'[4]CALCULO POI'!$A$46:$L$81</definedName>
    <definedName name="RESUMENOPTIMIZACIONALC">'[4]CALCULO POI'!$A$242:$I$277</definedName>
    <definedName name="RET">#REF!</definedName>
    <definedName name="reten" localSheetId="4">#REF!</definedName>
    <definedName name="reten" localSheetId="2">#REF!</definedName>
    <definedName name="reten">#REF!</definedName>
    <definedName name="retiroarbol">#REF!</definedName>
    <definedName name="retirocorte">#REF!</definedName>
    <definedName name="retr">#REF!</definedName>
    <definedName name="RETRO">[10]BASE!$D$307</definedName>
    <definedName name="RETTRE" localSheetId="4">#REF!</definedName>
    <definedName name="RETTRE" localSheetId="2">#REF!</definedName>
    <definedName name="RETTRE">#REF!</definedName>
    <definedName name="rety" localSheetId="4">#REF!</definedName>
    <definedName name="rety" localSheetId="2">#REF!</definedName>
    <definedName name="rety">#REF!</definedName>
    <definedName name="rewfreg" localSheetId="4">#REF!</definedName>
    <definedName name="rewfreg" localSheetId="2">#REF!</definedName>
    <definedName name="rewfreg">#REF!</definedName>
    <definedName name="REWQ">#REF!</definedName>
    <definedName name="rewr" localSheetId="4">#REF!</definedName>
    <definedName name="rewr" localSheetId="2">#REF!</definedName>
    <definedName name="rewr">#REF!</definedName>
    <definedName name="REWWER" localSheetId="4">#REF!</definedName>
    <definedName name="REWWER" localSheetId="2">#REF!</definedName>
    <definedName name="REWWER">#REF!</definedName>
    <definedName name="rey">#REF!</definedName>
    <definedName name="reyepoi" localSheetId="4">#REF!</definedName>
    <definedName name="reyepoi" localSheetId="2">#REF!</definedName>
    <definedName name="reyepoi">#REF!</definedName>
    <definedName name="reyety" localSheetId="4">#REF!</definedName>
    <definedName name="reyety" localSheetId="2">#REF!</definedName>
    <definedName name="reyety">#REF!</definedName>
    <definedName name="reyty" localSheetId="4">#REF!</definedName>
    <definedName name="reyty" localSheetId="2">#REF!</definedName>
    <definedName name="reyty">#REF!</definedName>
    <definedName name="reyyt" localSheetId="4">#REF!</definedName>
    <definedName name="reyyt" localSheetId="2">#REF!</definedName>
    <definedName name="reyyt">#REF!</definedName>
    <definedName name="Rf" localSheetId="4">#REF!</definedName>
    <definedName name="Rf" localSheetId="2">#REF!</definedName>
    <definedName name="Rf">#REF!</definedName>
    <definedName name="rfhnhjyu" localSheetId="4">#REF!</definedName>
    <definedName name="rfhnhjyu" localSheetId="2">#REF!</definedName>
    <definedName name="rfhnhjyu">#REF!</definedName>
    <definedName name="rfrf" localSheetId="4">#REF!</definedName>
    <definedName name="rfrf" localSheetId="2">#REF!</definedName>
    <definedName name="rfrf">#REF!</definedName>
    <definedName name="Rg">#REF!</definedName>
    <definedName name="rge" localSheetId="4">#REF!</definedName>
    <definedName name="rge" localSheetId="2">#REF!</definedName>
    <definedName name="rge">#REF!</definedName>
    <definedName name="rgegg" localSheetId="4">#REF!</definedName>
    <definedName name="rgegg" localSheetId="2">#REF!</definedName>
    <definedName name="rgegg">#REF!</definedName>
    <definedName name="Rh">#REF!</definedName>
    <definedName name="rhh" localSheetId="4">#REF!</definedName>
    <definedName name="rhh" localSheetId="2">#REF!</definedName>
    <definedName name="rhh">#REF!</definedName>
    <definedName name="rhrtd" localSheetId="4">#REF!</definedName>
    <definedName name="rhrtd" localSheetId="2">#REF!</definedName>
    <definedName name="rhrtd">#REF!</definedName>
    <definedName name="rhtry" localSheetId="4">#REF!</definedName>
    <definedName name="rhtry" localSheetId="2">#REF!</definedName>
    <definedName name="rhtry">#REF!</definedName>
    <definedName name="Ri">#REF!</definedName>
    <definedName name="Ripio">#REF!</definedName>
    <definedName name="RiskInd">[101]RefTables!$K$2:$K$26</definedName>
    <definedName name="RiskRanking">[101]RefTables!$L$2:$L$26</definedName>
    <definedName name="rj" localSheetId="4">#REF!</definedName>
    <definedName name="rj" localSheetId="2">#REF!</definedName>
    <definedName name="rj">#REF!</definedName>
    <definedName name="rjjth" localSheetId="4">#REF!</definedName>
    <definedName name="rjjth" localSheetId="2">#REF!</definedName>
    <definedName name="rjjth">#REF!</definedName>
    <definedName name="rjy" localSheetId="4">#REF!</definedName>
    <definedName name="rjy" localSheetId="2">#REF!</definedName>
    <definedName name="rjy">#REF!</definedName>
    <definedName name="Rk">#REF!</definedName>
    <definedName name="rkjyk" localSheetId="4">#REF!</definedName>
    <definedName name="rkjyk" localSheetId="2">#REF!</definedName>
    <definedName name="rkjyk">#REF!</definedName>
    <definedName name="rkru" localSheetId="4">#REF!</definedName>
    <definedName name="rkru" localSheetId="2">#REF!</definedName>
    <definedName name="rkru">#REF!</definedName>
    <definedName name="rky" localSheetId="4">#REF!</definedName>
    <definedName name="rky" localSheetId="2">#REF!</definedName>
    <definedName name="rky">#REF!</definedName>
    <definedName name="rl">#REF!</definedName>
    <definedName name="rlo">#REF!</definedName>
    <definedName name="Rm" localSheetId="4">#REF!</definedName>
    <definedName name="Rm" localSheetId="2">#REF!</definedName>
    <definedName name="Rm">#REF!</definedName>
    <definedName name="RMCostOutput">#REF!</definedName>
    <definedName name="Rmm">#REF!</definedName>
    <definedName name="RMSE">[14]MEM!$M$64</definedName>
    <definedName name="RMSI">[14]MEM!$M$63</definedName>
    <definedName name="Rn">#REF!</definedName>
    <definedName name="Rñ">#REF!</definedName>
    <definedName name="Ro">#REF!</definedName>
    <definedName name="RoA_N" localSheetId="4">#REF!</definedName>
    <definedName name="RoA_N" localSheetId="2">#REF!</definedName>
    <definedName name="RoA_N">#REF!</definedName>
    <definedName name="ROCIO">#REF!</definedName>
    <definedName name="rolando">#REF!</definedName>
    <definedName name="Roster1">[28]Parameters!$O$30</definedName>
    <definedName name="Roster2">[28]Parameters!$P$30</definedName>
    <definedName name="Roster3">[28]Parameters!$Q$30</definedName>
    <definedName name="Roster4">[28]Parameters!$R$30</definedName>
    <definedName name="Rosters">[28]Parameters!$O$26:$R$29</definedName>
    <definedName name="Rows2Unhide">#REF!</definedName>
    <definedName name="Roy_price_sens">'[34]Inputs-SUMMARY'!$H$266:$BR$266</definedName>
    <definedName name="Royal_Col_Nom">[46]W_OPEX!$H$220:$AP$220</definedName>
    <definedName name="royalphalumi">[102]datosluminariasRoyAlPHa!$A$1:$A$65536</definedName>
    <definedName name="Royalty_CDC_LLC" localSheetId="4">#REF!</definedName>
    <definedName name="Royalty_CDC_LLC" localSheetId="2">#REF!</definedName>
    <definedName name="Royalty_CDC_LLC">#REF!</definedName>
    <definedName name="Royalty_CZN_SA" localSheetId="4">#REF!</definedName>
    <definedName name="Royalty_CZN_SA" localSheetId="2">#REF!</definedName>
    <definedName name="Royalty_CZN_SA">#REF!</definedName>
    <definedName name="Royalty_total" localSheetId="4">#REF!</definedName>
    <definedName name="Royalty_total" localSheetId="2">#REF!</definedName>
    <definedName name="Royalty_total">#REF!</definedName>
    <definedName name="Rp">#REF!</definedName>
    <definedName name="Rq">#REF!</definedName>
    <definedName name="rr">#REF!</definedName>
    <definedName name="rrr" localSheetId="4">#REF!</definedName>
    <definedName name="rrr" localSheetId="2">#REF!</definedName>
    <definedName name="rrr">#REF!</definedName>
    <definedName name="rrrrrb" localSheetId="4">#REF!</definedName>
    <definedName name="rrrrrb" localSheetId="2">#REF!</definedName>
    <definedName name="rrrrrb">#REF!</definedName>
    <definedName name="rrrrrrre" localSheetId="4">#REF!</definedName>
    <definedName name="rrrrrrre" localSheetId="2">#REF!</definedName>
    <definedName name="rrrrrrre">#REF!</definedName>
    <definedName name="rrrrrrrr">#REF!</definedName>
    <definedName name="RRRRRRRRRRRRRRR">#REF!</definedName>
    <definedName name="rrrrt" localSheetId="4">#REF!</definedName>
    <definedName name="rrrrt" localSheetId="2">#REF!</definedName>
    <definedName name="rrrrt">#REF!</definedName>
    <definedName name="Rs">#REF!</definedName>
    <definedName name="rsdgsd5" localSheetId="4">#REF!</definedName>
    <definedName name="rsdgsd5" localSheetId="2">#REF!</definedName>
    <definedName name="rsdgsd5">#REF!</definedName>
    <definedName name="Rt">#REF!</definedName>
    <definedName name="rte">#REF!</definedName>
    <definedName name="rteg" localSheetId="4">#REF!</definedName>
    <definedName name="rteg" localSheetId="2">#REF!</definedName>
    <definedName name="rteg">#REF!</definedName>
    <definedName name="rtert" localSheetId="4">#REF!</definedName>
    <definedName name="rtert" localSheetId="2">#REF!</definedName>
    <definedName name="rtert">#REF!</definedName>
    <definedName name="rtes" localSheetId="4">#REF!</definedName>
    <definedName name="rtes" localSheetId="2">#REF!</definedName>
    <definedName name="rtes">#REF!</definedName>
    <definedName name="rtewth" localSheetId="4">#REF!</definedName>
    <definedName name="rtewth" localSheetId="2">#REF!</definedName>
    <definedName name="rtewth">#REF!</definedName>
    <definedName name="rthjtj" localSheetId="4">#REF!</definedName>
    <definedName name="rthjtj" localSheetId="2">#REF!</definedName>
    <definedName name="rthjtj">#REF!</definedName>
    <definedName name="rthrthg" localSheetId="4">#REF!</definedName>
    <definedName name="rthrthg" localSheetId="2">#REF!</definedName>
    <definedName name="rthrthg">#REF!</definedName>
    <definedName name="rthtrh" localSheetId="4">#REF!</definedName>
    <definedName name="rthtrh" localSheetId="2">#REF!</definedName>
    <definedName name="rthtrh">#REF!</definedName>
    <definedName name="rtkk" localSheetId="4">#REF!</definedName>
    <definedName name="rtkk" localSheetId="2">#REF!</definedName>
    <definedName name="rtkk">#REF!</definedName>
    <definedName name="RTME">[14]MEM!$M$62</definedName>
    <definedName name="rttthy" localSheetId="4">#REF!</definedName>
    <definedName name="rttthy" localSheetId="2">#REF!</definedName>
    <definedName name="rttthy">#REF!</definedName>
    <definedName name="rtu" localSheetId="4">#REF!</definedName>
    <definedName name="rtu" localSheetId="2">#REF!</definedName>
    <definedName name="rtu">#REF!</definedName>
    <definedName name="rtug" localSheetId="4">#REF!</definedName>
    <definedName name="rtug" localSheetId="2">#REF!</definedName>
    <definedName name="rtug">#REF!</definedName>
    <definedName name="rtugsd" localSheetId="4">#REF!</definedName>
    <definedName name="rtugsd" localSheetId="2">#REF!</definedName>
    <definedName name="rtugsd">#REF!</definedName>
    <definedName name="rturtu" localSheetId="4">#REF!</definedName>
    <definedName name="rturtu" localSheetId="2">#REF!</definedName>
    <definedName name="rturtu">#REF!</definedName>
    <definedName name="rturu" localSheetId="4">#REF!</definedName>
    <definedName name="rturu" localSheetId="2">#REF!</definedName>
    <definedName name="rturu">#REF!</definedName>
    <definedName name="rtut" localSheetId="4">#REF!</definedName>
    <definedName name="rtut" localSheetId="2">#REF!</definedName>
    <definedName name="rtut">#REF!</definedName>
    <definedName name="rtutru" localSheetId="4">#REF!</definedName>
    <definedName name="rtutru" localSheetId="2">#REF!</definedName>
    <definedName name="rtutru">#REF!</definedName>
    <definedName name="rtuy" localSheetId="4">#REF!</definedName>
    <definedName name="rtuy" localSheetId="2">#REF!</definedName>
    <definedName name="rtuy">#REF!</definedName>
    <definedName name="rty">#REF!</definedName>
    <definedName name="rtyhr" localSheetId="4">#REF!</definedName>
    <definedName name="rtyhr" localSheetId="2">#REF!</definedName>
    <definedName name="rtyhr">#REF!</definedName>
    <definedName name="rtym" localSheetId="4">#REF!</definedName>
    <definedName name="rtym" localSheetId="2">#REF!</definedName>
    <definedName name="rtym">#REF!</definedName>
    <definedName name="rtyrey" localSheetId="4">#REF!</definedName>
    <definedName name="rtyrey" localSheetId="2">#REF!</definedName>
    <definedName name="rtyrey">#REF!</definedName>
    <definedName name="rtyrh" localSheetId="4">#REF!</definedName>
    <definedName name="rtyrh" localSheetId="2">#REF!</definedName>
    <definedName name="rtyrh">#REF!</definedName>
    <definedName name="RTYRTY" localSheetId="4">#REF!</definedName>
    <definedName name="RTYRTY" localSheetId="2">#REF!</definedName>
    <definedName name="RTYRTY">#REF!</definedName>
    <definedName name="rtyt" localSheetId="4">#REF!</definedName>
    <definedName name="rtyt" localSheetId="2">#REF!</definedName>
    <definedName name="rtyt">#REF!</definedName>
    <definedName name="rtytry" localSheetId="4">#REF!</definedName>
    <definedName name="rtytry" localSheetId="2">#REF!</definedName>
    <definedName name="rtytry">#REF!</definedName>
    <definedName name="rugosidad">#REF!</definedName>
    <definedName name="ruru" localSheetId="4">#REF!</definedName>
    <definedName name="ruru" localSheetId="2">#REF!</definedName>
    <definedName name="ruru">#REF!</definedName>
    <definedName name="rutu" localSheetId="4">#REF!</definedName>
    <definedName name="rutu" localSheetId="2">#REF!</definedName>
    <definedName name="rutu">#REF!</definedName>
    <definedName name="Rv" localSheetId="4">#REF!</definedName>
    <definedName name="Rv" localSheetId="2">#REF!</definedName>
    <definedName name="Rv">#REF!</definedName>
    <definedName name="Rw">#REF!</definedName>
    <definedName name="rwt" localSheetId="4">#REF!</definedName>
    <definedName name="rwt" localSheetId="2">#REF!</definedName>
    <definedName name="rwt">#REF!</definedName>
    <definedName name="Rx">#REF!</definedName>
    <definedName name="Ry">#REF!</definedName>
    <definedName name="ryeryb" localSheetId="4">#REF!</definedName>
    <definedName name="ryeryb" localSheetId="2">#REF!</definedName>
    <definedName name="ryeryb">#REF!</definedName>
    <definedName name="rytrsdg" localSheetId="4">#REF!</definedName>
    <definedName name="rytrsdg" localSheetId="2">#REF!</definedName>
    <definedName name="rytrsdg">#REF!</definedName>
    <definedName name="Rz" localSheetId="4">#REF!</definedName>
    <definedName name="Rz" localSheetId="2">#REF!</definedName>
    <definedName name="Rz">#REF!</definedName>
    <definedName name="s" localSheetId="4">#REF!</definedName>
    <definedName name="s" localSheetId="2">#REF!</definedName>
    <definedName name="s">#REF!</definedName>
    <definedName name="Sa">#REF!</definedName>
    <definedName name="saa" localSheetId="4">#REF!</definedName>
    <definedName name="saa" localSheetId="2">#REF!</definedName>
    <definedName name="saa">#REF!</definedName>
    <definedName name="SAD" localSheetId="4">#REF!</definedName>
    <definedName name="SAD" localSheetId="2">#REF!</definedName>
    <definedName name="SAD">#REF!</definedName>
    <definedName name="SADASDFSDF">#REF!</definedName>
    <definedName name="SADF" localSheetId="4">#REF!</definedName>
    <definedName name="SADF" localSheetId="2">#REF!</definedName>
    <definedName name="SADF">#REF!</definedName>
    <definedName name="sadff" localSheetId="4">#REF!</definedName>
    <definedName name="sadff" localSheetId="2">#REF!</definedName>
    <definedName name="sadff">#REF!</definedName>
    <definedName name="sadfo" localSheetId="4">#REF!</definedName>
    <definedName name="sadfo" localSheetId="2">#REF!</definedName>
    <definedName name="sadfo">#REF!</definedName>
    <definedName name="safdp" localSheetId="4">#REF!</definedName>
    <definedName name="safdp" localSheetId="2">#REF!</definedName>
    <definedName name="safdp">#REF!</definedName>
    <definedName name="Salarios">#REF!</definedName>
    <definedName name="Saldo_Capital">#REF!</definedName>
    <definedName name="sasa" localSheetId="4">#REF!</definedName>
    <definedName name="sasa" localSheetId="2">#REF!</definedName>
    <definedName name="sasa">#REF!</definedName>
    <definedName name="Sb">#REF!</definedName>
    <definedName name="sbe">#REF!</definedName>
    <definedName name="Sbf">[9]CALCULO!$E$61</definedName>
    <definedName name="sbgfbgdr" localSheetId="4">#REF!</definedName>
    <definedName name="sbgfbgdr" localSheetId="2">#REF!</definedName>
    <definedName name="sbgfbgdr">#REF!</definedName>
    <definedName name="Sc" localSheetId="4">#REF!</definedName>
    <definedName name="Sc" localSheetId="2">#REF!</definedName>
    <definedName name="Sc">#REF!</definedName>
    <definedName name="SContLab">#REF!</definedName>
    <definedName name="SContParts">#REF!</definedName>
    <definedName name="scope">#REF!</definedName>
    <definedName name="scope1">'[27]REF - Listas'!$D$32:$D$38</definedName>
    <definedName name="Sd">#REF!</definedName>
    <definedName name="sdaf" localSheetId="4">#REF!</definedName>
    <definedName name="sdaf" localSheetId="2">#REF!</definedName>
    <definedName name="sdaf">#REF!</definedName>
    <definedName name="sdas" localSheetId="4">#REF!</definedName>
    <definedName name="sdas" localSheetId="2">#REF!</definedName>
    <definedName name="sdas">#REF!</definedName>
    <definedName name="sdasdf" localSheetId="4">#REF!</definedName>
    <definedName name="sdasdf" localSheetId="2">#REF!</definedName>
    <definedName name="sdasdf">#REF!</definedName>
    <definedName name="SDCDSCT" localSheetId="4">#REF!</definedName>
    <definedName name="SDCDSCT" localSheetId="2">#REF!</definedName>
    <definedName name="SDCDSCT">#REF!</definedName>
    <definedName name="SDE">#REF!</definedName>
    <definedName name="sdf" localSheetId="4">#REF!</definedName>
    <definedName name="sdf" localSheetId="2">#REF!</definedName>
    <definedName name="sdf">#REF!</definedName>
    <definedName name="SDFCE" localSheetId="4">#REF!</definedName>
    <definedName name="SDFCE" localSheetId="2">#REF!</definedName>
    <definedName name="SDFCE">#REF!</definedName>
    <definedName name="sdfd" localSheetId="4">#REF!</definedName>
    <definedName name="sdfd" localSheetId="2">#REF!</definedName>
    <definedName name="sdfd">#REF!</definedName>
    <definedName name="sdfds" localSheetId="4">#REF!</definedName>
    <definedName name="sdfds" localSheetId="2">#REF!</definedName>
    <definedName name="sdfds">#REF!</definedName>
    <definedName name="SDFDSO" localSheetId="4">#REF!</definedName>
    <definedName name="SDFDSO" localSheetId="2">#REF!</definedName>
    <definedName name="SDFDSO">#REF!</definedName>
    <definedName name="sdfdstp" localSheetId="4">#REF!</definedName>
    <definedName name="sdfdstp" localSheetId="2">#REF!</definedName>
    <definedName name="sdfdstp">#REF!</definedName>
    <definedName name="SDFEO" localSheetId="4">#REF!</definedName>
    <definedName name="SDFEO" localSheetId="2">#REF!</definedName>
    <definedName name="SDFEO">#REF!</definedName>
    <definedName name="sdfg" localSheetId="4">#REF!</definedName>
    <definedName name="sdfg" localSheetId="2">#REF!</definedName>
    <definedName name="sdfg">#REF!</definedName>
    <definedName name="sdfgdsfk" localSheetId="4">#REF!</definedName>
    <definedName name="sdfgdsfk" localSheetId="2">#REF!</definedName>
    <definedName name="sdfgdsfk">#REF!</definedName>
    <definedName name="sdfgsg" localSheetId="4">#REF!</definedName>
    <definedName name="sdfgsg" localSheetId="2">#REF!</definedName>
    <definedName name="sdfgsg">#REF!</definedName>
    <definedName name="SDFLJK" localSheetId="4">#REF!</definedName>
    <definedName name="SDFLJK" localSheetId="2">#REF!</definedName>
    <definedName name="SDFLJK">#REF!</definedName>
    <definedName name="sdfsd">#REF!</definedName>
    <definedName name="sdfsd4" localSheetId="4">#REF!</definedName>
    <definedName name="sdfsd4" localSheetId="2">#REF!</definedName>
    <definedName name="sdfsd4">#REF!</definedName>
    <definedName name="SDFSDF" localSheetId="4">#REF!</definedName>
    <definedName name="SDFSDF" localSheetId="2">#REF!</definedName>
    <definedName name="SDFSDF">#REF!</definedName>
    <definedName name="sdfsdfb" localSheetId="4">#REF!</definedName>
    <definedName name="sdfsdfb" localSheetId="2">#REF!</definedName>
    <definedName name="sdfsdfb">#REF!</definedName>
    <definedName name="SDFSF" localSheetId="4">#REF!</definedName>
    <definedName name="SDFSF" localSheetId="2">#REF!</definedName>
    <definedName name="SDFSF">#REF!</definedName>
    <definedName name="sdfsv" localSheetId="4">#REF!</definedName>
    <definedName name="sdfsv" localSheetId="2">#REF!</definedName>
    <definedName name="sdfsv">#REF!</definedName>
    <definedName name="sdgfd" localSheetId="4">#REF!</definedName>
    <definedName name="sdgfd" localSheetId="2">#REF!</definedName>
    <definedName name="sdgfd">#REF!</definedName>
    <definedName name="sdgfgp" localSheetId="4">#REF!</definedName>
    <definedName name="sdgfgp" localSheetId="2">#REF!</definedName>
    <definedName name="sdgfgp">#REF!</definedName>
    <definedName name="sdgfiu" localSheetId="4">#REF!</definedName>
    <definedName name="sdgfiu" localSheetId="2">#REF!</definedName>
    <definedName name="sdgfiu">#REF!</definedName>
    <definedName name="sdgsd" localSheetId="4">#REF!</definedName>
    <definedName name="sdgsd" localSheetId="2">#REF!</definedName>
    <definedName name="sdgsd">#REF!</definedName>
    <definedName name="sdgsg" localSheetId="4">#REF!</definedName>
    <definedName name="sdgsg" localSheetId="2">#REF!</definedName>
    <definedName name="sdgsg">#REF!</definedName>
    <definedName name="SDIKOM" localSheetId="4">#REF!</definedName>
    <definedName name="SDIKOM" localSheetId="2">#REF!</definedName>
    <definedName name="SDIKOM">#REF!</definedName>
    <definedName name="sdsd">#REF!</definedName>
    <definedName name="sdsdfh" localSheetId="4">#REF!</definedName>
    <definedName name="sdsdfh" localSheetId="2">#REF!</definedName>
    <definedName name="sdsdfh">#REF!</definedName>
    <definedName name="Se" localSheetId="4">#REF!</definedName>
    <definedName name="Se" localSheetId="2">#REF!</definedName>
    <definedName name="Se">#REF!</definedName>
    <definedName name="SECTOR" localSheetId="4">#REF!</definedName>
    <definedName name="SECTOR" localSheetId="2">#REF!</definedName>
    <definedName name="SECTOR">#REF!</definedName>
    <definedName name="Seguro">#REF!</definedName>
    <definedName name="SeguroCostos" localSheetId="4">#REF!</definedName>
    <definedName name="SeguroCostos" localSheetId="2">#REF!</definedName>
    <definedName name="SeguroCostos">#REF!</definedName>
    <definedName name="SEM_DEL_MES" localSheetId="4">#REF!</definedName>
    <definedName name="SEM_DEL_MES" localSheetId="2">#REF!</definedName>
    <definedName name="SEM_DEL_MES">#REF!</definedName>
    <definedName name="Semanas_mes">#REF!</definedName>
    <definedName name="sencount" hidden="1">1</definedName>
    <definedName name="sep00">[6]Dólar!#REF!</definedName>
    <definedName name="Sepjv2" localSheetId="4">#REF!</definedName>
    <definedName name="Sepjv2" localSheetId="2">#REF!</definedName>
    <definedName name="Sepjv2">#REF!</definedName>
    <definedName name="septdetail">#REF!</definedName>
    <definedName name="septico">#REF!</definedName>
    <definedName name="septtb">#REF!</definedName>
    <definedName name="SequenceF">#REF!</definedName>
    <definedName name="SERO" localSheetId="4">#REF!</definedName>
    <definedName name="SERO" localSheetId="2">#REF!</definedName>
    <definedName name="SERO">#REF!</definedName>
    <definedName name="servicioingreso">#REF!</definedName>
    <definedName name="ServicioSurentingExpress">#REF!</definedName>
    <definedName name="servicioutilidad" localSheetId="4">#REF!</definedName>
    <definedName name="servicioutilidad" localSheetId="2">#REF!</definedName>
    <definedName name="servicioutilidad">#REF!</definedName>
    <definedName name="ServicioVehSustituto">#REF!</definedName>
    <definedName name="setrj" localSheetId="4">#REF!</definedName>
    <definedName name="setrj" localSheetId="2">#REF!</definedName>
    <definedName name="setrj">#REF!</definedName>
    <definedName name="sett" localSheetId="4">#REF!</definedName>
    <definedName name="sett" localSheetId="2">#REF!</definedName>
    <definedName name="sett">#REF!</definedName>
    <definedName name="Sf">#REF!</definedName>
    <definedName name="sfasf" localSheetId="4">#REF!</definedName>
    <definedName name="sfasf" localSheetId="2">#REF!</definedName>
    <definedName name="sfasf">#REF!</definedName>
    <definedName name="SFHSGFH" localSheetId="4">#REF!</definedName>
    <definedName name="SFHSGFH" localSheetId="2">#REF!</definedName>
    <definedName name="SFHSGFH">#REF!</definedName>
    <definedName name="sfsd" localSheetId="4">#REF!</definedName>
    <definedName name="sfsd" localSheetId="2">#REF!</definedName>
    <definedName name="sfsd">#REF!</definedName>
    <definedName name="sfsdf" localSheetId="4">#REF!</definedName>
    <definedName name="sfsdf" localSheetId="2">#REF!</definedName>
    <definedName name="sfsdf">#REF!</definedName>
    <definedName name="sfsdferg" localSheetId="4">#REF!</definedName>
    <definedName name="sfsdferg" localSheetId="2">#REF!</definedName>
    <definedName name="sfsdferg">#REF!</definedName>
    <definedName name="sfsdfs" localSheetId="4">#REF!</definedName>
    <definedName name="sfsdfs" localSheetId="2">#REF!</definedName>
    <definedName name="sfsdfs">#REF!</definedName>
    <definedName name="Sg">#REF!</definedName>
    <definedName name="SGET">#REF!</definedName>
    <definedName name="Sh" localSheetId="4">#REF!</definedName>
    <definedName name="Sh" localSheetId="2">#REF!</definedName>
    <definedName name="Sh">#REF!</definedName>
    <definedName name="Share" localSheetId="4">#REF!</definedName>
    <definedName name="Share" localSheetId="2">#REF!</definedName>
    <definedName name="Share">#REF!</definedName>
    <definedName name="SHARED_FORMULA_21" localSheetId="4">#REF!</definedName>
    <definedName name="SHARED_FORMULA_21" localSheetId="2">#REF!</definedName>
    <definedName name="SHARED_FORMULA_21">#REF!</definedName>
    <definedName name="ship_terms" localSheetId="4">#REF!</definedName>
    <definedName name="ship_terms" localSheetId="2">#REF!</definedName>
    <definedName name="ship_terms">#REF!</definedName>
    <definedName name="SHIP_VIA">#REF!</definedName>
    <definedName name="Shovel_1">#REF!</definedName>
    <definedName name="Shovel_2">#REF!</definedName>
    <definedName name="Shovel_3">#REF!</definedName>
    <definedName name="Shovel_4">#REF!</definedName>
    <definedName name="Shovel_5">#REF!</definedName>
    <definedName name="show_all" localSheetId="4">#REF!</definedName>
    <definedName name="show_all" localSheetId="2">#REF!</definedName>
    <definedName name="show_all">#REF!</definedName>
    <definedName name="si">#REF!</definedName>
    <definedName name="SIFON_180_2">#REF!</definedName>
    <definedName name="SIKA">#REF!</definedName>
    <definedName name="SIKADUR">#REF!</definedName>
    <definedName name="Sim_Model_Input_1" localSheetId="4">#REF!</definedName>
    <definedName name="Sim_Model_Input_1" localSheetId="2">#REF!</definedName>
    <definedName name="Sim_Model_Input_1">#REF!</definedName>
    <definedName name="Sim_Model_Input_4" localSheetId="4">#REF!</definedName>
    <definedName name="Sim_Model_Input_4" localSheetId="2">#REF!</definedName>
    <definedName name="Sim_Model_Input_4">#REF!</definedName>
    <definedName name="Sim_Model_Output_1" localSheetId="4">#REF!</definedName>
    <definedName name="Sim_Model_Output_1" localSheetId="2">#REF!</definedName>
    <definedName name="Sim_Model_Output_1">#REF!</definedName>
    <definedName name="SISISIS" localSheetId="4">#REF!</definedName>
    <definedName name="SISISIS" localSheetId="2">#REF!</definedName>
    <definedName name="SISISIS">#REF!</definedName>
    <definedName name="Sitio">[97]Sheet1!$C$2:$C$4</definedName>
    <definedName name="sk">#REF!</definedName>
    <definedName name="SLPVC">[10]BASE!$D$214</definedName>
    <definedName name="SLube">#REF!</definedName>
    <definedName name="sm">#REF!</definedName>
    <definedName name="sn">#REF!</definedName>
    <definedName name="snw">#REF!</definedName>
    <definedName name="sñ">#REF!</definedName>
    <definedName name="so">#REF!</definedName>
    <definedName name="Soat">#REF!</definedName>
    <definedName name="SoatCostos">#REF!</definedName>
    <definedName name="SOBRE2H">#REF!</definedName>
    <definedName name="sobrecimiento">#REF!</definedName>
    <definedName name="SOCIAL">#REF!</definedName>
    <definedName name="SOHaul">#REF!</definedName>
    <definedName name="SOL">#REF!</definedName>
    <definedName name="solado">#REF!</definedName>
    <definedName name="SOLDA">#REF!</definedName>
    <definedName name="SOLDADURA">#REF!</definedName>
    <definedName name="SOLDADURA_LIQ_PVC___1_8_GAL.">'[35]INSUMOS-EQUIPOS'!$B$74</definedName>
    <definedName name="Solids.SG">#REF!</definedName>
    <definedName name="solo" localSheetId="4">#REF!</definedName>
    <definedName name="solo" localSheetId="2">#REF!</definedName>
    <definedName name="solo">#REF!</definedName>
    <definedName name="solver_adj" localSheetId="3">'Presupuesto Interventoria'!$G$36</definedName>
    <definedName name="solver_lhs1" localSheetId="3">'Presupuesto Interventoria'!$H$39</definedName>
    <definedName name="solver_opt" localSheetId="3">'Presupuesto Interventoria'!$H$39</definedName>
    <definedName name="solver_rhs1" localSheetId="3">'Presupuesto Interventoria'!$I$39</definedName>
    <definedName name="spread" localSheetId="4">#REF!</definedName>
    <definedName name="spread" localSheetId="2">#REF!</definedName>
    <definedName name="spread">#REF!</definedName>
    <definedName name="SpreadDesctos">#REF!</definedName>
    <definedName name="SpreadFcro">#REF!</definedName>
    <definedName name="SpreadServicios">#REF!</definedName>
    <definedName name="Spreadsheet_name" localSheetId="4">#REF!</definedName>
    <definedName name="Spreadsheet_name" localSheetId="2">#REF!</definedName>
    <definedName name="Spreadsheet_name">#REF!</definedName>
    <definedName name="SpreadTotal">#REF!</definedName>
    <definedName name="sr">#REF!</definedName>
    <definedName name="SRandM">#REF!</definedName>
    <definedName name="srwrwr" localSheetId="4">#REF!</definedName>
    <definedName name="srwrwr" localSheetId="2">#REF!</definedName>
    <definedName name="srwrwr">#REF!</definedName>
    <definedName name="ss">#REF!</definedName>
    <definedName name="SSDSD">#REF!</definedName>
    <definedName name="sss">#REF!</definedName>
    <definedName name="ssss">#REF!</definedName>
    <definedName name="sssss">#REF!</definedName>
    <definedName name="sssss7" localSheetId="4">#REF!</definedName>
    <definedName name="sssss7" localSheetId="2">#REF!</definedName>
    <definedName name="sssss7">#REF!</definedName>
    <definedName name="sssssa" localSheetId="4">#REF!</definedName>
    <definedName name="sssssa" localSheetId="2">#REF!</definedName>
    <definedName name="sssssa">#REF!</definedName>
    <definedName name="ssssssssss">#REF!</definedName>
    <definedName name="sssssssssss">#REF!</definedName>
    <definedName name="ssssssssssssssssss">#REF!</definedName>
    <definedName name="ssssssssssssssssssss">#REF!</definedName>
    <definedName name="sssssy" localSheetId="4">#REF!</definedName>
    <definedName name="sssssy" localSheetId="2">#REF!</definedName>
    <definedName name="sssssy">#REF!</definedName>
    <definedName name="st">#REF!</definedName>
    <definedName name="Standby">#REF!</definedName>
    <definedName name="StandbyCostos" localSheetId="4">#REF!</definedName>
    <definedName name="StandbyCostos" localSheetId="2">#REF!</definedName>
    <definedName name="StandbyCostos">#REF!</definedName>
    <definedName name="StartBid">#REF!</definedName>
    <definedName name="StartItems">#REF!</definedName>
    <definedName name="StartPeriod">[103]Index!$S$41</definedName>
    <definedName name="StartRates" localSheetId="4">#REF!</definedName>
    <definedName name="StartRates" localSheetId="2">#REF!</definedName>
    <definedName name="StartRates">#REF!</definedName>
    <definedName name="StartTags" localSheetId="4">#REF!</definedName>
    <definedName name="StartTags" localSheetId="2">#REF!</definedName>
    <definedName name="StartTags">#REF!</definedName>
    <definedName name="status">'[70]LISTS-FOR INTERNAL USE ONLY'!$B$8:$B$13</definedName>
    <definedName name="statusofexecution">#REF!</definedName>
    <definedName name="STOCK_CODE" localSheetId="4">#REF!</definedName>
    <definedName name="STOCK_CODE" localSheetId="2">#REF!</definedName>
    <definedName name="STOCK_CODE">#REF!</definedName>
    <definedName name="stock_oreganal" localSheetId="4">#REF!</definedName>
    <definedName name="stock_oreganal" localSheetId="2">#REF!</definedName>
    <definedName name="stock_oreganal">#REF!</definedName>
    <definedName name="StorageTank_Height">#REF!</definedName>
    <definedName name="StorageTank_Radius">#REF!</definedName>
    <definedName name="StorageTank_TotalVolume">#REF!</definedName>
    <definedName name="StorageTank1_DryTonnes">#REF!</definedName>
    <definedName name="StorageTank1_SlurryVolume" localSheetId="4">#REF!</definedName>
    <definedName name="StorageTank1_SlurryVolume" localSheetId="2">#REF!</definedName>
    <definedName name="StorageTank1_SlurryVolume">#REF!</definedName>
    <definedName name="StorageTank2_DryTonnes">#REF!</definedName>
    <definedName name="StorageTank2_SlurryVolume">#REF!</definedName>
    <definedName name="StorageTank3_DryTonnes">#REF!</definedName>
    <definedName name="StorageTank3_SlurryVolume">#REF!</definedName>
    <definedName name="StorageTank4_DryTonnes">#REF!</definedName>
    <definedName name="StorageTank4_SlurryVolume">#REF!</definedName>
    <definedName name="StrBaseIncremCanon">#REF!</definedName>
    <definedName name="StrBaseReliquidacion">#REF!</definedName>
    <definedName name="StrClienDescontarIVA">#REF!</definedName>
    <definedName name="StrCliente">#REF!</definedName>
    <definedName name="StrClienTributaRentaPresun">#REF!</definedName>
    <definedName name="strDescAccesorios">#REF!</definedName>
    <definedName name="strDescPlanSeguro" localSheetId="4">#REF!</definedName>
    <definedName name="strDescPlanSeguro" localSheetId="2">#REF!</definedName>
    <definedName name="strDescPlanSeguro">#REF!</definedName>
    <definedName name="strEstado">#REF!</definedName>
    <definedName name="StrFrecPago" localSheetId="4">#REF!</definedName>
    <definedName name="StrFrecPago" localSheetId="2">#REF!</definedName>
    <definedName name="StrFrecPago">#REF!</definedName>
    <definedName name="StrFrecReliquidacion">#REF!</definedName>
    <definedName name="StrGerenteCuenta" localSheetId="4">#REF!</definedName>
    <definedName name="StrGerenteCuenta" localSheetId="2">#REF!</definedName>
    <definedName name="StrGerenteCuenta">#REF!</definedName>
    <definedName name="StrImpDosXMil">#REF!</definedName>
    <definedName name="StrMarcaVehicModelo">#REF!</definedName>
    <definedName name="StrMarcaVehícModelo">#REF!</definedName>
    <definedName name="StrModalidadCanon">#REF!</definedName>
    <definedName name="StrModalidadPago">#REF!</definedName>
    <definedName name="strNomVariable1">#REF!</definedName>
    <definedName name="strNomVariable2">#REF!</definedName>
    <definedName name="strNomVariable3">#REF!</definedName>
    <definedName name="StrNumeroCotizacion">#REF!</definedName>
    <definedName name="StrNumeroCotización">#REF!</definedName>
    <definedName name="strPlaca" localSheetId="4">#REF!</definedName>
    <definedName name="strPlaca" localSheetId="2">#REF!</definedName>
    <definedName name="strPlaca">#REF!</definedName>
    <definedName name="StrRentBack" localSheetId="4">#REF!</definedName>
    <definedName name="StrRentBack" localSheetId="2">#REF!</definedName>
    <definedName name="StrRentBack">#REF!</definedName>
    <definedName name="strTipoCliente">#REF!</definedName>
    <definedName name="StrTipoContrato">#REF!</definedName>
    <definedName name="stt" localSheetId="4">#REF!</definedName>
    <definedName name="stt" localSheetId="2">#REF!</definedName>
    <definedName name="stt">#REF!</definedName>
    <definedName name="Stub">#REF!</definedName>
    <definedName name="Stub_Header1" localSheetId="4">#REF!</definedName>
    <definedName name="Stub_Header1" localSheetId="2">#REF!</definedName>
    <definedName name="Stub_Header1">#REF!</definedName>
    <definedName name="Stub_Header2">#REF!</definedName>
    <definedName name="Stub_Header3">#REF!</definedName>
    <definedName name="STyre" localSheetId="4">#REF!</definedName>
    <definedName name="STyre" localSheetId="2">#REF!</definedName>
    <definedName name="STyre">#REF!</definedName>
    <definedName name="SUBTOTAL">#REF!</definedName>
    <definedName name="SUELDOS">'[79]Base Datos Sueldo'!$B$7:$C$26</definedName>
    <definedName name="SUMA">[104]Hoja1!$F$60</definedName>
    <definedName name="SUMIN">[10]BASE!$D$251</definedName>
    <definedName name="SUMINISTRO">#REF!</definedName>
    <definedName name="suministros" localSheetId="4">#REF!</definedName>
    <definedName name="suministros" localSheetId="2">#REF!</definedName>
    <definedName name="suministros">#REF!</definedName>
    <definedName name="Summary">#REF!</definedName>
    <definedName name="SUMTB">[14]MEM!$N$47</definedName>
    <definedName name="SUPERCEL">#REF!</definedName>
    <definedName name="Supervía" localSheetId="4">#REF!</definedName>
    <definedName name="Supervía" localSheetId="2">#REF!</definedName>
    <definedName name="Supervía">#REF!</definedName>
    <definedName name="supervision">#REF!</definedName>
    <definedName name="SupportFleet" localSheetId="4">#REF!</definedName>
    <definedName name="SupportFleet" localSheetId="2">#REF!</definedName>
    <definedName name="SupportFleet">#REF!</definedName>
    <definedName name="SupportOpCost">#REF!</definedName>
    <definedName name="SupportRepl">#REF!</definedName>
    <definedName name="sw" localSheetId="4">#REF!</definedName>
    <definedName name="sw" localSheetId="2">#REF!</definedName>
    <definedName name="sw">#REF!</definedName>
    <definedName name="swssdecs" localSheetId="4">#REF!</definedName>
    <definedName name="swssdecs" localSheetId="2">#REF!</definedName>
    <definedName name="swssdecs">#REF!</definedName>
    <definedName name="swsw" localSheetId="4">#REF!</definedName>
    <definedName name="swsw" localSheetId="2">#REF!</definedName>
    <definedName name="swsw">#REF!</definedName>
    <definedName name="swsw3" localSheetId="4">#REF!</definedName>
    <definedName name="swsw3" localSheetId="2">#REF!</definedName>
    <definedName name="swsw3">#REF!</definedName>
    <definedName name="T">#REF!</definedName>
    <definedName name="T.1" localSheetId="4">#REF!</definedName>
    <definedName name="T.1" localSheetId="2">#REF!</definedName>
    <definedName name="T.1">#REF!</definedName>
    <definedName name="T.10">#REF!</definedName>
    <definedName name="T.11">#REF!</definedName>
    <definedName name="T.12" localSheetId="4">#REF!</definedName>
    <definedName name="T.12" localSheetId="2">#REF!</definedName>
    <definedName name="T.12">#REF!</definedName>
    <definedName name="T.13">#REF!</definedName>
    <definedName name="T.14">#REF!</definedName>
    <definedName name="T.15" localSheetId="4">#REF!</definedName>
    <definedName name="T.15" localSheetId="2">#REF!</definedName>
    <definedName name="T.15">#REF!</definedName>
    <definedName name="T.16">#REF!</definedName>
    <definedName name="T.17">#REF!</definedName>
    <definedName name="T.2">#REF!</definedName>
    <definedName name="T.3" localSheetId="4">#REF!</definedName>
    <definedName name="T.3" localSheetId="2">#REF!</definedName>
    <definedName name="T.3">#REF!</definedName>
    <definedName name="T.4">#REF!</definedName>
    <definedName name="T.5" localSheetId="4">#REF!</definedName>
    <definedName name="T.5" localSheetId="2">#REF!</definedName>
    <definedName name="T.5">#REF!</definedName>
    <definedName name="T.6">#REF!</definedName>
    <definedName name="T.7">#REF!</definedName>
    <definedName name="T.8">#REF!</definedName>
    <definedName name="T.9">#REF!</definedName>
    <definedName name="t5t5" localSheetId="4">#REF!</definedName>
    <definedName name="t5t5" localSheetId="2">#REF!</definedName>
    <definedName name="t5t5">#REF!</definedName>
    <definedName name="T66JH">[10]BASE!$D$163</definedName>
    <definedName name="T84JH">[15]BASE!$D$168</definedName>
    <definedName name="Ta" localSheetId="4">#REF!</definedName>
    <definedName name="Ta" localSheetId="2">#REF!</definedName>
    <definedName name="Ta">#REF!</definedName>
    <definedName name="Tab_Elec">[68]Inputs!$J$25</definedName>
    <definedName name="Tab_Expense">[68]Inputs!$P$127:$Q$161</definedName>
    <definedName name="Tab_Process">[68]Inputs!$N$127:$O$173</definedName>
    <definedName name="Tab_Respons">[68]Inputs!$L$127:$M$139</definedName>
    <definedName name="TABLA">[10]BASE!$D$255</definedName>
    <definedName name="TABLA_CMI">[4]BS.DATOS!$Q$5:$X$17</definedName>
    <definedName name="TABLA_DE_CARACOLI">#REF!</definedName>
    <definedName name="TABLA_DE_CONTENIDO__A1">#REF!</definedName>
    <definedName name="TABLA_RN">[4]BS.DATOS!$AA$5:$AH$17</definedName>
    <definedName name="TABLA1" localSheetId="4">#REF!</definedName>
    <definedName name="TABLA1" localSheetId="2">#REF!</definedName>
    <definedName name="TABLA1">#REF!</definedName>
    <definedName name="tabla2">#REF!</definedName>
    <definedName name="tablaDeDTFS">#REF!</definedName>
    <definedName name="TablaR">#REF!</definedName>
    <definedName name="tablilla" localSheetId="4">#REF!</definedName>
    <definedName name="tablilla" localSheetId="2">#REF!</definedName>
    <definedName name="tablilla">#REF!</definedName>
    <definedName name="tachas">#REF!</definedName>
    <definedName name="TACOM">[10]BASE!$D$316</definedName>
    <definedName name="TACOR">[10]BASE!$D$314</definedName>
    <definedName name="TagBid1">#REF!</definedName>
    <definedName name="tagbid1ext">#REF!</definedName>
    <definedName name="tagbid1UnevalCost">#REF!</definedName>
    <definedName name="tagbid1unit" localSheetId="4">#REF!</definedName>
    <definedName name="tagbid1unit" localSheetId="2">#REF!</definedName>
    <definedName name="tagbid1unit">#REF!</definedName>
    <definedName name="TagBid2">#REF!</definedName>
    <definedName name="tagbid2ext">#REF!</definedName>
    <definedName name="tagbid2UnEvalCost">#REF!</definedName>
    <definedName name="tagbid2unit">#REF!</definedName>
    <definedName name="TagBid3">#REF!</definedName>
    <definedName name="tagbid3ext">#REF!</definedName>
    <definedName name="tagBid3UnevalCost">#REF!</definedName>
    <definedName name="tagbid3unit">#REF!</definedName>
    <definedName name="TagBid4">#REF!</definedName>
    <definedName name="tagbid4ext">#REF!</definedName>
    <definedName name="tagBid4UnEvalCost" localSheetId="4">#REF!</definedName>
    <definedName name="tagBid4UnEvalCost" localSheetId="2">#REF!</definedName>
    <definedName name="tagBid4UnEvalCost">#REF!</definedName>
    <definedName name="tagbid4unit">#REF!</definedName>
    <definedName name="TagBidRange">#REF!</definedName>
    <definedName name="TagCurrency_conversion_factor" localSheetId="4">#REF!</definedName>
    <definedName name="TagCurrency_conversion_factor" localSheetId="2">#REF!</definedName>
    <definedName name="TagCurrency_conversion_factor">#REF!</definedName>
    <definedName name="TagDescription">#REF!</definedName>
    <definedName name="tagid">#REF!</definedName>
    <definedName name="TagLineNo">#REF!</definedName>
    <definedName name="TagList.EndDate">#REF!</definedName>
    <definedName name="TagList.StartDate">#REF!</definedName>
    <definedName name="TagQuantity">#REF!</definedName>
    <definedName name="TagRefer">#REF!</definedName>
    <definedName name="tagunit">#REF!</definedName>
    <definedName name="TANQUES4.1">#REF!</definedName>
    <definedName name="TANTIKO">#REF!</definedName>
    <definedName name="TAPA_HF">#REF!</definedName>
    <definedName name="TAPON_2__P.V.C">#REF!</definedName>
    <definedName name="TARIFAS_SUBSIDIOS" localSheetId="4">#REF!</definedName>
    <definedName name="TARIFAS_SUBSIDIOS" localSheetId="2">#REF!</definedName>
    <definedName name="TARIFAS_SUBSIDIOS">#REF!</definedName>
    <definedName name="TARIFAS1">#REF!</definedName>
    <definedName name="Tasa_Efectiva_Mensual_Fondeo">#REF!</definedName>
    <definedName name="Tax_Rate_Col">'[34]Inputs-SUMMARY'!$H$466:$BR$466</definedName>
    <definedName name="Taxpb" localSheetId="4">#REF!</definedName>
    <definedName name="Taxpb" localSheetId="2">#REF!</definedName>
    <definedName name="Taxpb">#REF!</definedName>
    <definedName name="Tb">#REF!</definedName>
    <definedName name="TBCUR">[105]Sheet4!$A$2:$E$235</definedName>
    <definedName name="TBMAYINT">#REF!</definedName>
    <definedName name="tbres">#REF!</definedName>
    <definedName name="TBV1A">#REF!</definedName>
    <definedName name="Tc">#REF!</definedName>
    <definedName name="Td">#REF!</definedName>
    <definedName name="tdy" localSheetId="4">#REF!</definedName>
    <definedName name="tdy" localSheetId="2">#REF!</definedName>
    <definedName name="tdy">#REF!</definedName>
    <definedName name="Te">#REF!</definedName>
    <definedName name="TechAccept">#REF!</definedName>
    <definedName name="tecpro06" localSheetId="4">#REF!</definedName>
    <definedName name="tecpro06" localSheetId="2">#REF!</definedName>
    <definedName name="tecpro06">#REF!</definedName>
    <definedName name="TEE_2_____2____P.V.C" localSheetId="4">#REF!</definedName>
    <definedName name="TEE_2_____2____P.V.C" localSheetId="2">#REF!</definedName>
    <definedName name="TEE_2_____2____P.V.C">#REF!</definedName>
    <definedName name="TEE_3____3____2____P.V.C" localSheetId="4">#REF!</definedName>
    <definedName name="TEE_3____3____2____P.V.C" localSheetId="2">#REF!</definedName>
    <definedName name="TEE_3____3____2____P.V.C">#REF!</definedName>
    <definedName name="TEE_3____3____2____P.V.C_UM">#REF!</definedName>
    <definedName name="TEE_3____3____3____P.V.C">#REF!</definedName>
    <definedName name="TEE_3__x_3__B_x_B">#REF!</definedName>
    <definedName name="TEE_4____4____4____P.V.C_UM">#REF!</definedName>
    <definedName name="TEFLON">#REF!</definedName>
    <definedName name="TEJAB">[10]BASE!$D$65</definedName>
    <definedName name="TEJAJ">[15]BASE!$D$245</definedName>
    <definedName name="TELEP">[10]BASE!$D$313</definedName>
    <definedName name="TEMP2">'[61]Cost Codes'!$B$4:$G$361</definedName>
    <definedName name="TER" localSheetId="4">#REF!</definedName>
    <definedName name="TER" localSheetId="2">#REF!</definedName>
    <definedName name="TER">#REF!</definedName>
    <definedName name="TERM" localSheetId="4">#REF!</definedName>
    <definedName name="TERM" localSheetId="2">#REF!</definedName>
    <definedName name="TERM">#REF!</definedName>
    <definedName name="TÉRMINOS" localSheetId="4">#REF!</definedName>
    <definedName name="TÉRMINOS" localSheetId="2">#REF!</definedName>
    <definedName name="TÉRMINOS">#REF!</definedName>
    <definedName name="test">#REF!</definedName>
    <definedName name="tewst" localSheetId="4">#REF!</definedName>
    <definedName name="tewst" localSheetId="2">#REF!</definedName>
    <definedName name="tewst">#REF!</definedName>
    <definedName name="teytrh" localSheetId="4">#REF!</definedName>
    <definedName name="teytrh" localSheetId="2">#REF!</definedName>
    <definedName name="teytrh">#REF!</definedName>
    <definedName name="Tf" localSheetId="4">#REF!</definedName>
    <definedName name="Tf" localSheetId="2">#REF!</definedName>
    <definedName name="Tf">#REF!</definedName>
    <definedName name="Tg">#REF!</definedName>
    <definedName name="TGRASA">[106]BASE!$D$280</definedName>
    <definedName name="Th">#REF!</definedName>
    <definedName name="thdh" localSheetId="4">#REF!</definedName>
    <definedName name="thdh" localSheetId="2">#REF!</definedName>
    <definedName name="thdh">#REF!</definedName>
    <definedName name="THF6RO">[10]BASE!$D$190</definedName>
    <definedName name="thtj" localSheetId="4">#REF!</definedName>
    <definedName name="thtj" localSheetId="2">#REF!</definedName>
    <definedName name="thtj">#REF!</definedName>
    <definedName name="Ti">#REF!</definedName>
    <definedName name="Tipo">[97]Sheet1!$A$2:$A$6</definedName>
    <definedName name="tipo_pintura">#REF!</definedName>
    <definedName name="tipov">#REF!</definedName>
    <definedName name="TIT" localSheetId="4">#REF!</definedName>
    <definedName name="TIT" localSheetId="2">#REF!</definedName>
    <definedName name="TIT">#REF!</definedName>
    <definedName name="Titlepb">#REF!</definedName>
    <definedName name="TITU">#REF!</definedName>
    <definedName name="TITULO">#REF!</definedName>
    <definedName name="Titulos_a_imprimir">#REF!</definedName>
    <definedName name="_xlnm.Print_Titles">#N/A</definedName>
    <definedName name="Títulos_a_imprimir_IM" localSheetId="4">#REF!</definedName>
    <definedName name="Títulos_a_imprimir_IM" localSheetId="2">#REF!</definedName>
    <definedName name="Títulos_a_imprimir_IM">#REF!</definedName>
    <definedName name="Tj">#REF!</definedName>
    <definedName name="Tk">#REF!</definedName>
    <definedName name="tl" localSheetId="4">#REF!</definedName>
    <definedName name="tl" localSheetId="2">#REF!</definedName>
    <definedName name="tl">#REF!</definedName>
    <definedName name="Tll">#REF!</definedName>
    <definedName name="Tm">#REF!</definedName>
    <definedName name="Tn">#REF!</definedName>
    <definedName name="TNOV12">[10]BASE!$D$147</definedName>
    <definedName name="TNOV8">[10]BASE!$D$145</definedName>
    <definedName name="Tñ">#REF!</definedName>
    <definedName name="To">#REF!</definedName>
    <definedName name="TORNI">[10]BASE!$D$265</definedName>
    <definedName name="TORNILLO_3">#REF!</definedName>
    <definedName name="TORNILLOS_2.5" localSheetId="4">#REF!</definedName>
    <definedName name="TORNILLOS_2.5" localSheetId="2">#REF!</definedName>
    <definedName name="TORNILLOS_2.5">#REF!</definedName>
    <definedName name="tortas" localSheetId="4">#REF!</definedName>
    <definedName name="tortas" localSheetId="2">#REF!</definedName>
    <definedName name="tortas">#REF!</definedName>
    <definedName name="tortas2" localSheetId="4">#REF!</definedName>
    <definedName name="tortas2" localSheetId="2">#REF!</definedName>
    <definedName name="tortas2">#REF!</definedName>
    <definedName name="TOT">#REF!</definedName>
    <definedName name="Tot_Con_Ins" localSheetId="4">#REF!</definedName>
    <definedName name="Tot_Con_Ins" localSheetId="2">#REF!</definedName>
    <definedName name="Tot_Con_Ins">#REF!</definedName>
    <definedName name="Tot_EA_CAPEX" localSheetId="4">#REF!</definedName>
    <definedName name="Tot_EA_CAPEX" localSheetId="2">#REF!</definedName>
    <definedName name="Tot_EA_CAPEX">#REF!</definedName>
    <definedName name="Tot_Elect" localSheetId="4">#REF!</definedName>
    <definedName name="Tot_Elect" localSheetId="2">#REF!</definedName>
    <definedName name="Tot_Elect">#REF!</definedName>
    <definedName name="Tot_Elect1" localSheetId="4">#REF!</definedName>
    <definedName name="Tot_Elect1" localSheetId="2">#REF!</definedName>
    <definedName name="Tot_Elect1">#REF!</definedName>
    <definedName name="Tot_Ops_Ins" localSheetId="4">#REF!</definedName>
    <definedName name="Tot_Ops_Ins" localSheetId="2">#REF!</definedName>
    <definedName name="Tot_Ops_Ins">#REF!</definedName>
    <definedName name="TOTAL">#REF!</definedName>
    <definedName name="TOTAL_CIVIL">#REF!</definedName>
    <definedName name="TOTAL_ELECTRICO" localSheetId="4">#REF!</definedName>
    <definedName name="TOTAL_ELECTRICO" localSheetId="2">#REF!</definedName>
    <definedName name="TOTAL_ELECTRICO">#REF!</definedName>
    <definedName name="TOTAL_SERVICIOS" localSheetId="4">#REF!</definedName>
    <definedName name="TOTAL_SERVICIOS" localSheetId="2">#REF!</definedName>
    <definedName name="TOTAL_SERVICIOS">#REF!</definedName>
    <definedName name="TotalBidCost">#REF!</definedName>
    <definedName name="TotalCost" localSheetId="4">#REF!</definedName>
    <definedName name="TotalCost" localSheetId="2">#REF!</definedName>
    <definedName name="TotalCost">#REF!</definedName>
    <definedName name="TotalCostosDirectos">#REF!</definedName>
    <definedName name="totales" localSheetId="4">#REF!</definedName>
    <definedName name="totales" localSheetId="2">#REF!</definedName>
    <definedName name="totales">#REF!</definedName>
    <definedName name="TotalItemsCost">#REF!</definedName>
    <definedName name="TotalPickedCost">#REF!</definedName>
    <definedName name="TotEquipos1.1.3">#REF!</definedName>
    <definedName name="TotEquipos1.2.2.10">#REF!</definedName>
    <definedName name="TotEquipos1.2.2.11" localSheetId="4">#REF!</definedName>
    <definedName name="TotEquipos1.2.2.11" localSheetId="2">#REF!</definedName>
    <definedName name="TotEquipos1.2.2.11">#REF!</definedName>
    <definedName name="TotEquipos1.2.2.3">#REF!</definedName>
    <definedName name="TotEquipos1.2.2.4">#REF!</definedName>
    <definedName name="TotEquipos1.2.2.5">#REF!</definedName>
    <definedName name="TotEquipos1.2.2.6" localSheetId="4">#REF!</definedName>
    <definedName name="TotEquipos1.2.2.6" localSheetId="2">#REF!</definedName>
    <definedName name="TotEquipos1.2.2.6">#REF!</definedName>
    <definedName name="TotEquipos1.2.2.7">#REF!</definedName>
    <definedName name="TotEquipos1.2.2.8">#REF!</definedName>
    <definedName name="TotEquipos1.2.2.9" localSheetId="4">#REF!</definedName>
    <definedName name="TotEquipos1.2.2.9" localSheetId="2">#REF!</definedName>
    <definedName name="TotEquipos1.2.2.9">#REF!</definedName>
    <definedName name="TotEquipos1.2.3.1">#REF!</definedName>
    <definedName name="TotEquipos1.2.3.3">#REF!</definedName>
    <definedName name="TotEquipos1.2.3.4">#REF!</definedName>
    <definedName name="TotEquipos1.3.2">#REF!</definedName>
    <definedName name="TotManodeobra1.1.3">#REF!</definedName>
    <definedName name="TotManodeobra1.2.2.10">#REF!</definedName>
    <definedName name="TotManodeobra1.2.2.11">#REF!</definedName>
    <definedName name="TotManodeobra1.2.2.3">#REF!</definedName>
    <definedName name="TotManodeobra1.2.2.4">#REF!</definedName>
    <definedName name="TotManodeobra1.2.2.5">#REF!</definedName>
    <definedName name="TotManodeobra1.2.2.6">#REF!</definedName>
    <definedName name="TotManodeobra1.2.2.7">#REF!</definedName>
    <definedName name="TotManodeobra1.2.2.8">#REF!</definedName>
    <definedName name="TotManodeobra1.2.2.9">#REF!</definedName>
    <definedName name="TotManodeobra1.2.3.1">#REF!</definedName>
    <definedName name="TotManodeobra1.2.3.3">#REF!</definedName>
    <definedName name="TotManodeobra1.2.3.4" localSheetId="4">#REF!</definedName>
    <definedName name="TotManodeobra1.2.3.4" localSheetId="2">#REF!</definedName>
    <definedName name="TotManodeobra1.2.3.4">#REF!</definedName>
    <definedName name="TotManodeobra1.3.2" localSheetId="4">#REF!</definedName>
    <definedName name="TotManodeobra1.3.2" localSheetId="2">#REF!</definedName>
    <definedName name="TotManodeobra1.3.2">#REF!</definedName>
    <definedName name="TotMateriales1.1.3" localSheetId="4">#REF!</definedName>
    <definedName name="TotMateriales1.1.3" localSheetId="2">#REF!</definedName>
    <definedName name="TotMateriales1.1.3">#REF!</definedName>
    <definedName name="TotMateriales1.2.2.10" localSheetId="4">#REF!</definedName>
    <definedName name="TotMateriales1.2.2.10" localSheetId="2">#REF!</definedName>
    <definedName name="TotMateriales1.2.2.10">#REF!</definedName>
    <definedName name="TotMateriales1.2.2.11">#REF!</definedName>
    <definedName name="TotMateriales1.2.2.3">#REF!</definedName>
    <definedName name="TotMateriales1.2.2.4">#REF!</definedName>
    <definedName name="TotMateriales1.2.2.5">#REF!</definedName>
    <definedName name="TotMateriales1.2.2.6">#REF!</definedName>
    <definedName name="TotMateriales1.2.2.7" localSheetId="4">#REF!</definedName>
    <definedName name="TotMateriales1.2.2.7" localSheetId="2">#REF!</definedName>
    <definedName name="TotMateriales1.2.2.7">#REF!</definedName>
    <definedName name="TotMateriales1.2.2.8">#REF!</definedName>
    <definedName name="TotMateriales1.2.2.9">#REF!</definedName>
    <definedName name="TotMateriales1.2.3.1" localSheetId="4">#REF!</definedName>
    <definedName name="TotMateriales1.2.3.1" localSheetId="2">#REF!</definedName>
    <definedName name="TotMateriales1.2.3.1">#REF!</definedName>
    <definedName name="TotMateriales1.2.3.3">#REF!</definedName>
    <definedName name="TotMateriales1.2.3.4">#REF!</definedName>
    <definedName name="TotMateriales1.3.2">#REF!</definedName>
    <definedName name="TotTransportes1.1.3">#REF!</definedName>
    <definedName name="TotTransportes1.2.2.10">#REF!</definedName>
    <definedName name="TotTransportes1.2.2.11" localSheetId="4">#REF!</definedName>
    <definedName name="TotTransportes1.2.2.11" localSheetId="2">#REF!</definedName>
    <definedName name="TotTransportes1.2.2.11">#REF!</definedName>
    <definedName name="TotTransportes1.2.2.3">#REF!</definedName>
    <definedName name="TotTransportes1.2.2.4">#REF!</definedName>
    <definedName name="TotTransportes1.2.2.5">#REF!</definedName>
    <definedName name="TotTransportes1.2.2.6">#REF!</definedName>
    <definedName name="TotTransportes1.2.2.7" localSheetId="4">#REF!</definedName>
    <definedName name="TotTransportes1.2.2.7" localSheetId="2">#REF!</definedName>
    <definedName name="TotTransportes1.2.2.7">#REF!</definedName>
    <definedName name="TotTransportes1.2.2.8">#REF!</definedName>
    <definedName name="TotTransportes1.2.2.9" localSheetId="4">#REF!</definedName>
    <definedName name="TotTransportes1.2.2.9" localSheetId="2">#REF!</definedName>
    <definedName name="TotTransportes1.2.2.9">#REF!</definedName>
    <definedName name="TotTransportes1.2.3.1">#REF!</definedName>
    <definedName name="TotTransportes1.2.3.3">#REF!</definedName>
    <definedName name="TotTransportes1.2.3.4">#REF!</definedName>
    <definedName name="TotTransportes1.3.2">#REF!</definedName>
    <definedName name="Tp">#REF!</definedName>
    <definedName name="tpte" localSheetId="4">#REF!</definedName>
    <definedName name="tpte" localSheetId="2">#REF!</definedName>
    <definedName name="tpte">#REF!</definedName>
    <definedName name="tptee">#REF!</definedName>
    <definedName name="TPVCS3" localSheetId="4">#REF!</definedName>
    <definedName name="TPVCS3" localSheetId="2">#REF!</definedName>
    <definedName name="TPVCS3">#REF!</definedName>
    <definedName name="Tq">#REF!</definedName>
    <definedName name="Tr">#REF!</definedName>
    <definedName name="TRAFO" localSheetId="4">#REF!</definedName>
    <definedName name="TRAFO" localSheetId="2">#REF!</definedName>
    <definedName name="TRAFO">#REF!</definedName>
    <definedName name="Tramites">#REF!</definedName>
    <definedName name="TramitesCostos">#REF!</definedName>
    <definedName name="TRANA" localSheetId="4">#REF!</definedName>
    <definedName name="TRANA" localSheetId="2">#REF!</definedName>
    <definedName name="TRANA">#REF!</definedName>
    <definedName name="TRANAG">[10]BASE!$D$336</definedName>
    <definedName name="TRANAR">[10]BASE!$D$332</definedName>
    <definedName name="TRANS">[10]BASE!$D$333</definedName>
    <definedName name="Transfer_Price">'[34]Inputs-SUMMARY'!$H$464:$BR$464</definedName>
    <definedName name="TRANSPORI" localSheetId="4">#REF!</definedName>
    <definedName name="TRANSPORI" localSheetId="2">#REF!</definedName>
    <definedName name="TRANSPORI">#REF!</definedName>
    <definedName name="TRANSPORTE" localSheetId="4">#REF!</definedName>
    <definedName name="TRANSPORTE" localSheetId="2">#REF!</definedName>
    <definedName name="TRANSPORTE">#REF!</definedName>
    <definedName name="TRAT">[107]desmonte!$E$48</definedName>
    <definedName name="trest" localSheetId="4">#REF!</definedName>
    <definedName name="trest" localSheetId="2">#REF!</definedName>
    <definedName name="trest">#REF!</definedName>
    <definedName name="tret" localSheetId="4">#REF!</definedName>
    <definedName name="tret" localSheetId="2">#REF!</definedName>
    <definedName name="tret">#REF!</definedName>
    <definedName name="trh" localSheetId="4">#REF!</definedName>
    <definedName name="trh" localSheetId="2">#REF!</definedName>
    <definedName name="trh">#REF!</definedName>
    <definedName name="trhfh" localSheetId="4">#REF!</definedName>
    <definedName name="trhfh" localSheetId="2">#REF!</definedName>
    <definedName name="trhfh">#REF!</definedName>
    <definedName name="TRIPLEX">#REF!</definedName>
    <definedName name="TRITU">[10]BASE!$D$54</definedName>
    <definedName name="trjfgjh" localSheetId="4">#REF!</definedName>
    <definedName name="trjfgjh" localSheetId="2">#REF!</definedName>
    <definedName name="trjfgjh">#REF!</definedName>
    <definedName name="TRM">'[108]Cuadro p. Capital Vs estimado'!$G$1</definedName>
    <definedName name="tru" localSheetId="4">#REF!</definedName>
    <definedName name="tru" localSheetId="2">#REF!</definedName>
    <definedName name="tru">#REF!</definedName>
    <definedName name="truds" localSheetId="4">#REF!</definedName>
    <definedName name="truds" localSheetId="2">#REF!</definedName>
    <definedName name="truds">#REF!</definedName>
    <definedName name="trutu" localSheetId="4">#REF!</definedName>
    <definedName name="trutu" localSheetId="2">#REF!</definedName>
    <definedName name="trutu">#REF!</definedName>
    <definedName name="trydfg" localSheetId="4">#REF!</definedName>
    <definedName name="trydfg" localSheetId="2">#REF!</definedName>
    <definedName name="trydfg">#REF!</definedName>
    <definedName name="trydtrygf" localSheetId="4">#REF!</definedName>
    <definedName name="trydtrygf" localSheetId="2">#REF!</definedName>
    <definedName name="trydtrygf">#REF!</definedName>
    <definedName name="tryery" localSheetId="4">#REF!</definedName>
    <definedName name="tryery" localSheetId="2">#REF!</definedName>
    <definedName name="tryery">#REF!</definedName>
    <definedName name="tryi6" localSheetId="4">#REF!</definedName>
    <definedName name="tryi6" localSheetId="2">#REF!</definedName>
    <definedName name="tryi6">#REF!</definedName>
    <definedName name="tryrth" localSheetId="4">#REF!</definedName>
    <definedName name="tryrth" localSheetId="2">#REF!</definedName>
    <definedName name="tryrth">#REF!</definedName>
    <definedName name="Ts">#REF!</definedName>
    <definedName name="tsert" localSheetId="4">#REF!</definedName>
    <definedName name="tsert" localSheetId="2">#REF!</definedName>
    <definedName name="tsert">#REF!</definedName>
    <definedName name="Tt">#REF!</definedName>
    <definedName name="TtCD">#REF!</definedName>
    <definedName name="TTCostOutput">#REF!</definedName>
    <definedName name="TTR" localSheetId="4">#REF!</definedName>
    <definedName name="TTR" localSheetId="2">#REF!</definedName>
    <definedName name="TTR">#REF!</definedName>
    <definedName name="ttrff" localSheetId="4">#REF!</definedName>
    <definedName name="ttrff" localSheetId="2">#REF!</definedName>
    <definedName name="ttrff">#REF!</definedName>
    <definedName name="ttt" localSheetId="4">#REF!</definedName>
    <definedName name="ttt" localSheetId="2">#REF!</definedName>
    <definedName name="ttt">#REF!</definedName>
    <definedName name="TTTT">#REF!</definedName>
    <definedName name="tttt7" localSheetId="4">#REF!</definedName>
    <definedName name="tttt7" localSheetId="2">#REF!</definedName>
    <definedName name="tttt7">#REF!</definedName>
    <definedName name="tttthy" localSheetId="4">#REF!</definedName>
    <definedName name="tttthy" localSheetId="2">#REF!</definedName>
    <definedName name="tttthy">#REF!</definedName>
    <definedName name="ttttr" localSheetId="4">#REF!</definedName>
    <definedName name="ttttr" localSheetId="2">#REF!</definedName>
    <definedName name="ttttr">#REF!</definedName>
    <definedName name="ttttt" localSheetId="4">#REF!</definedName>
    <definedName name="ttttt" localSheetId="2">#REF!</definedName>
    <definedName name="ttttt">#REF!</definedName>
    <definedName name="TTTTTT" localSheetId="4">#REF!</definedName>
    <definedName name="TTTTTT" localSheetId="2">#REF!</definedName>
    <definedName name="TTTTTT">#REF!</definedName>
    <definedName name="TTTTTTTT">#REF!</definedName>
    <definedName name="Tu">#REF!</definedName>
    <definedName name="TUB._ACC_3__Bx_B_SCH_40">#REF!</definedName>
    <definedName name="TUB6DOM">[14]MEM!$N$51</definedName>
    <definedName name="TUB8SUM">[14]MEM!$N$49</definedName>
    <definedName name="TUBERIA_P.V.C_RDE_9">#REF!</definedName>
    <definedName name="TUBERIA_P.V.C_UM_RDE_41____2" localSheetId="4">#REF!</definedName>
    <definedName name="TUBERIA_P.V.C_UM_RDE_41____2" localSheetId="2">#REF!</definedName>
    <definedName name="TUBERIA_P.V.C_UM_RDE_41____2">#REF!</definedName>
    <definedName name="TUBERIA_P.V.C_UM_RDE_41____3">#REF!</definedName>
    <definedName name="tuberia3" localSheetId="4">#REF!</definedName>
    <definedName name="tuberia3" localSheetId="2">#REF!</definedName>
    <definedName name="tuberia3">#REF!</definedName>
    <definedName name="TUBO_1_2">#REF!</definedName>
    <definedName name="TUBO_1_2__HG">#REF!</definedName>
    <definedName name="TUBO_PRESIÓN_PVC_1_2_RDE_13.5">'[35]INSUMOS-EQUIPOS'!$B$14</definedName>
    <definedName name="TUBS3">[10]BASE!$D$124</definedName>
    <definedName name="TUBS4">[10]BASE!$D$125</definedName>
    <definedName name="TUBS6">[10]BASE!$D$126</definedName>
    <definedName name="tur" localSheetId="4">#REF!</definedName>
    <definedName name="tur" localSheetId="2">#REF!</definedName>
    <definedName name="tur">#REF!</definedName>
    <definedName name="turu" localSheetId="4">#REF!</definedName>
    <definedName name="turu" localSheetId="2">#REF!</definedName>
    <definedName name="turu">#REF!</definedName>
    <definedName name="Tw">#REF!</definedName>
    <definedName name="twer" localSheetId="4">#REF!</definedName>
    <definedName name="twer" localSheetId="2">#REF!</definedName>
    <definedName name="twer">#REF!</definedName>
    <definedName name="twet" localSheetId="4">#REF!</definedName>
    <definedName name="twet" localSheetId="2">#REF!</definedName>
    <definedName name="twet">#REF!</definedName>
    <definedName name="Tx">#REF!</definedName>
    <definedName name="Ty">#REF!</definedName>
    <definedName name="tyery" localSheetId="4">#REF!</definedName>
    <definedName name="tyery" localSheetId="2">#REF!</definedName>
    <definedName name="tyery">#REF!</definedName>
    <definedName name="tyj" localSheetId="4">#REF!</definedName>
    <definedName name="tyj" localSheetId="2">#REF!</definedName>
    <definedName name="tyj">#REF!</definedName>
    <definedName name="tyjtyj" localSheetId="4">#REF!</definedName>
    <definedName name="tyjtyj" localSheetId="2">#REF!</definedName>
    <definedName name="tyjtyj">#REF!</definedName>
    <definedName name="tyjytjuyjuy" localSheetId="4">#REF!</definedName>
    <definedName name="tyjytjuyjuy" localSheetId="2">#REF!</definedName>
    <definedName name="tyjytjuyjuy">#REF!</definedName>
    <definedName name="tyk" localSheetId="4">#REF!</definedName>
    <definedName name="tyk" localSheetId="2">#REF!</definedName>
    <definedName name="tyk">#REF!</definedName>
    <definedName name="tym" localSheetId="4">#REF!</definedName>
    <definedName name="tym" localSheetId="2">#REF!</definedName>
    <definedName name="tym">#REF!</definedName>
    <definedName name="TYPE">#REF!</definedName>
    <definedName name="typeofcommittment">#REF!</definedName>
    <definedName name="tyr" localSheetId="4">#REF!</definedName>
    <definedName name="tyr" localSheetId="2">#REF!</definedName>
    <definedName name="tyr">#REF!</definedName>
    <definedName name="tytfy">#REF!</definedName>
    <definedName name="tytgfhgfh" localSheetId="4">#REF!</definedName>
    <definedName name="tytgfhgfh" localSheetId="2">#REF!</definedName>
    <definedName name="tytgfhgfh">#REF!</definedName>
    <definedName name="tyty" localSheetId="4">#REF!</definedName>
    <definedName name="tyty" localSheetId="2">#REF!</definedName>
    <definedName name="tyty">#REF!</definedName>
    <definedName name="tyu">#REF!</definedName>
    <definedName name="TYUIYI" localSheetId="4">#REF!</definedName>
    <definedName name="TYUIYI" localSheetId="2">#REF!</definedName>
    <definedName name="TYUIYI">#REF!</definedName>
    <definedName name="tyujh" localSheetId="4">#REF!</definedName>
    <definedName name="tyujh" localSheetId="2">#REF!</definedName>
    <definedName name="tyujh">#REF!</definedName>
    <definedName name="tyuty" localSheetId="4">#REF!</definedName>
    <definedName name="tyuty" localSheetId="2">#REF!</definedName>
    <definedName name="tyuty">#REF!</definedName>
    <definedName name="tyutyu" localSheetId="4">#REF!</definedName>
    <definedName name="tyutyu" localSheetId="2">#REF!</definedName>
    <definedName name="tyutyu">#REF!</definedName>
    <definedName name="tyxg" localSheetId="4">#REF!</definedName>
    <definedName name="tyxg" localSheetId="2">#REF!</definedName>
    <definedName name="tyxg">#REF!</definedName>
    <definedName name="Tz">#REF!</definedName>
    <definedName name="u" localSheetId="4">#REF!</definedName>
    <definedName name="u" localSheetId="2">#REF!</definedName>
    <definedName name="u">#REF!</definedName>
    <definedName name="u3u" localSheetId="4">#REF!</definedName>
    <definedName name="u3u" localSheetId="2">#REF!</definedName>
    <definedName name="u3u">#REF!</definedName>
    <definedName name="u7u7" localSheetId="4">#REF!</definedName>
    <definedName name="u7u7" localSheetId="2">#REF!</definedName>
    <definedName name="u7u7">#REF!</definedName>
    <definedName name="Ua">#REF!</definedName>
    <definedName name="UALU">[10]BASE!$D$233</definedName>
    <definedName name="Ub">#REF!</definedName>
    <definedName name="Ubicación">#REF!</definedName>
    <definedName name="Uc">#REF!</definedName>
    <definedName name="Ud">#REF!</definedName>
    <definedName name="Ue">#REF!</definedName>
    <definedName name="Uf">#REF!</definedName>
    <definedName name="UFInanzas">[96]Cuentas!$P$11:$P$111</definedName>
    <definedName name="Ug" localSheetId="4">#REF!</definedName>
    <definedName name="Ug" localSheetId="2">#REF!</definedName>
    <definedName name="Ug">#REF!</definedName>
    <definedName name="UGEquipData" localSheetId="4">#REF!</definedName>
    <definedName name="UGEquipData" localSheetId="2">#REF!</definedName>
    <definedName name="UGEquipData">#REF!</definedName>
    <definedName name="Uh">#REF!</definedName>
    <definedName name="ui">#REF!</definedName>
    <definedName name="uijhj" localSheetId="4">#REF!</definedName>
    <definedName name="uijhj" localSheetId="2">#REF!</definedName>
    <definedName name="uijhj">#REF!</definedName>
    <definedName name="uio" localSheetId="4">#REF!</definedName>
    <definedName name="uio" localSheetId="2">#REF!</definedName>
    <definedName name="uio">#REF!</definedName>
    <definedName name="uiou" localSheetId="4">#REF!</definedName>
    <definedName name="uiou" localSheetId="2">#REF!</definedName>
    <definedName name="uiou">#REF!</definedName>
    <definedName name="uir" localSheetId="4">#REF!</definedName>
    <definedName name="uir" localSheetId="2">#REF!</definedName>
    <definedName name="uir">#REF!</definedName>
    <definedName name="uituii" localSheetId="4">#REF!</definedName>
    <definedName name="uituii" localSheetId="2">#REF!</definedName>
    <definedName name="uituii">#REF!</definedName>
    <definedName name="uityjj" localSheetId="4">#REF!</definedName>
    <definedName name="uityjj" localSheetId="2">#REF!</definedName>
    <definedName name="uityjj">#REF!</definedName>
    <definedName name="uiufgj" localSheetId="4">#REF!</definedName>
    <definedName name="uiufgj" localSheetId="2">#REF!</definedName>
    <definedName name="uiufgj">#REF!</definedName>
    <definedName name="UIUYI" localSheetId="4">#REF!</definedName>
    <definedName name="UIUYI" localSheetId="2">#REF!</definedName>
    <definedName name="UIUYI">#REF!</definedName>
    <definedName name="Uj">#REF!</definedName>
    <definedName name="ujyyu">#REF!</definedName>
    <definedName name="Uk">#REF!</definedName>
    <definedName name="Ull">#REF!</definedName>
    <definedName name="Um" localSheetId="4">#REF!</definedName>
    <definedName name="Um" localSheetId="2">#REF!</definedName>
    <definedName name="Um">#REF!</definedName>
    <definedName name="UMina">[37]Cuentas!$Q$11:$Q$46</definedName>
    <definedName name="Un">#REF!</definedName>
    <definedName name="und" localSheetId="4">#REF!</definedName>
    <definedName name="und" localSheetId="2">#REF!</definedName>
    <definedName name="und">#REF!</definedName>
    <definedName name="UNIDAD1">[55]ITEMS!$C$2</definedName>
    <definedName name="UNIDAD521">[56]ITEMS!$C$522</definedName>
    <definedName name="UNION_DE_MECANICA_2">#REF!</definedName>
    <definedName name="UNION_DE_MECANICA_3">#REF!</definedName>
    <definedName name="UNION_DE_MECANICA_4">#REF!</definedName>
    <definedName name="UNION_DE_REPARACION_2__P.V.C">#REF!</definedName>
    <definedName name="UNION_DE_REPARACION_3">#REF!</definedName>
    <definedName name="UNION_DE_REPARACION_3__P.V.C">#REF!</definedName>
    <definedName name="UNION_DE_REPARACION_4">#REF!</definedName>
    <definedName name="UNION_P.V.C_1_2">#REF!</definedName>
    <definedName name="UNIÓN_PRESIÓN_PVC_1_2">'[35]INSUMOS-EQUIPOS'!$B$33</definedName>
    <definedName name="Unit">#REF!</definedName>
    <definedName name="UNITARIO">[109]Unitarios!$A$3:$D$13</definedName>
    <definedName name="Unitarios">#REF!</definedName>
    <definedName name="units">'[54]REF - Listas'!$G$10:$G$18</definedName>
    <definedName name="uno" localSheetId="4">#REF!</definedName>
    <definedName name="uno" localSheetId="2">#REF!</definedName>
    <definedName name="uno">#REF!</definedName>
    <definedName name="UNOV30">[10]BASE!$D$104</definedName>
    <definedName name="UNOV36">[10]BASE!$D$105</definedName>
    <definedName name="Uñ">#REF!</definedName>
    <definedName name="Uo" localSheetId="4">#REF!</definedName>
    <definedName name="Uo" localSheetId="2">#REF!</definedName>
    <definedName name="Uo">#REF!</definedName>
    <definedName name="UOUIV" localSheetId="4">#REF!</definedName>
    <definedName name="UOUIV" localSheetId="2">#REF!</definedName>
    <definedName name="UOUIV">#REF!</definedName>
    <definedName name="Up" localSheetId="4">#REF!</definedName>
    <definedName name="Up" localSheetId="2">#REF!</definedName>
    <definedName name="Up">#REF!</definedName>
    <definedName name="UPlanta">[37]Cuentas!$T$11:$T$56</definedName>
    <definedName name="Uq" localSheetId="4">#REF!</definedName>
    <definedName name="Uq" localSheetId="2">#REF!</definedName>
    <definedName name="Uq">#REF!</definedName>
    <definedName name="Ur">#REF!</definedName>
    <definedName name="uriel" localSheetId="4">#REF!</definedName>
    <definedName name="uriel" localSheetId="2">#REF!</definedName>
    <definedName name="uriel">#REF!</definedName>
    <definedName name="uryur" localSheetId="4">#REF!</definedName>
    <definedName name="uryur" localSheetId="2">#REF!</definedName>
    <definedName name="uryur">#REF!</definedName>
    <definedName name="Us">#REF!</definedName>
    <definedName name="ut">#REF!</definedName>
    <definedName name="Ut_Un">#REF!</definedName>
    <definedName name="Util">#REF!</definedName>
    <definedName name="UtilidadMensual" localSheetId="4">#REF!</definedName>
    <definedName name="UtilidadMensual" localSheetId="2">#REF!</definedName>
    <definedName name="UtilidadMensual">#REF!</definedName>
    <definedName name="UTMAR">#REF!</definedName>
    <definedName name="uu" localSheetId="4">#REF!</definedName>
    <definedName name="uu" localSheetId="2">#REF!</definedName>
    <definedName name="uu">#REF!</definedName>
    <definedName name="uuu" localSheetId="4">#REF!</definedName>
    <definedName name="uuu" localSheetId="2">#REF!</definedName>
    <definedName name="uuu">#REF!</definedName>
    <definedName name="UUUU">#REF!</definedName>
    <definedName name="uuuuo" localSheetId="4">#REF!</definedName>
    <definedName name="uuuuo" localSheetId="2">#REF!</definedName>
    <definedName name="uuuuo">#REF!</definedName>
    <definedName name="uuuuuj" localSheetId="4">#REF!</definedName>
    <definedName name="uuuuuj" localSheetId="2">#REF!</definedName>
    <definedName name="uuuuuj">#REF!</definedName>
    <definedName name="uuuuutiyt" localSheetId="4">#REF!</definedName>
    <definedName name="uuuuutiyt" localSheetId="2">#REF!</definedName>
    <definedName name="uuuuutiyt">#REF!</definedName>
    <definedName name="uuuuuu">#REF!</definedName>
    <definedName name="uuuuuuuuuu">#REF!</definedName>
    <definedName name="UUUUUUUUUUUUUU">#REF!</definedName>
    <definedName name="Uv">#REF!</definedName>
    <definedName name="Uw">#REF!</definedName>
    <definedName name="uwkap" localSheetId="4">#REF!</definedName>
    <definedName name="uwkap" localSheetId="2">#REF!</definedName>
    <definedName name="uwkap">#REF!</definedName>
    <definedName name="uxd" localSheetId="4">#REF!</definedName>
    <definedName name="uxd" localSheetId="2">#REF!</definedName>
    <definedName name="uxd">#REF!</definedName>
    <definedName name="uy">#REF!</definedName>
    <definedName name="uyiyiy" localSheetId="4">#REF!</definedName>
    <definedName name="uyiyiy" localSheetId="2">#REF!</definedName>
    <definedName name="uyiyiy">#REF!</definedName>
    <definedName name="uytu" localSheetId="4">#REF!</definedName>
    <definedName name="uytu" localSheetId="2">#REF!</definedName>
    <definedName name="uytu">#REF!</definedName>
    <definedName name="UYU" localSheetId="4">#REF!</definedName>
    <definedName name="UYU" localSheetId="2">#REF!</definedName>
    <definedName name="UYU">#REF!</definedName>
    <definedName name="uyur" localSheetId="4">#REF!</definedName>
    <definedName name="uyur" localSheetId="2">#REF!</definedName>
    <definedName name="uyur">#REF!</definedName>
    <definedName name="Uz">#REF!</definedName>
    <definedName name="v" localSheetId="4">#REF!</definedName>
    <definedName name="v" localSheetId="2">#REF!</definedName>
    <definedName name="v">#REF!</definedName>
    <definedName name="V.M.CV1_Moisture" localSheetId="4">#REF!</definedName>
    <definedName name="V.M.CV1_Moisture" localSheetId="2">#REF!</definedName>
    <definedName name="V.M.CV1_Moisture">#REF!</definedName>
    <definedName name="V.M.CV2_Al">#REF!</definedName>
    <definedName name="V.M.CV2_Co">#REF!</definedName>
    <definedName name="V.M.CV2_DryTonnes">#REF!</definedName>
    <definedName name="V.M.CV2_dtph">#REF!</definedName>
    <definedName name="V.M.CV2_Fe">#REF!</definedName>
    <definedName name="V.M.CV2_Mg" localSheetId="4">#REF!</definedName>
    <definedName name="V.M.CV2_Mg" localSheetId="2">#REF!</definedName>
    <definedName name="V.M.CV2_Mg">#REF!</definedName>
    <definedName name="V.M.CV2_Ni">#REF!</definedName>
    <definedName name="V.M.CV2_Si">#REF!</definedName>
    <definedName name="V.M.Mill_Availability">#REF!</definedName>
    <definedName name="V.M.Mill_Downtime">#REF!</definedName>
    <definedName name="V.M.Mill_DryTonnes">#REF!</definedName>
    <definedName name="V.M.Mill_DryTph">#REF!</definedName>
    <definedName name="V.M.Mill_PowerDraw">#REF!</definedName>
    <definedName name="V.M.Mill_PowerDrawPerTonne">#REF!</definedName>
    <definedName name="V.M.Mill_Uptime">#REF!</definedName>
    <definedName name="V.M.Mill_Utilization">#REF!</definedName>
    <definedName name="V.M.Mill_WetTonnes">#REF!</definedName>
    <definedName name="V.M.Mill_WetTph">#REF!</definedName>
    <definedName name="V.M.MillFeed_Al" localSheetId="4">#REF!</definedName>
    <definedName name="V.M.MillFeed_Al" localSheetId="2">#REF!</definedName>
    <definedName name="V.M.MillFeed_Al">#REF!</definedName>
    <definedName name="V.M.MillFeed_Co">#REF!</definedName>
    <definedName name="V.M.MillFeed_Fe">#REF!</definedName>
    <definedName name="V.M.MillFeed_Mg">#REF!</definedName>
    <definedName name="V.M.MillFeed_Ni">#REF!</definedName>
    <definedName name="V.M.MillFeed_Si">#REF!</definedName>
    <definedName name="V.M.MillH2O_Head">#REF!</definedName>
    <definedName name="V.M.MillH2O_Screen">#REF!</definedName>
    <definedName name="V.M.MillH2O_Total">#REF!</definedName>
    <definedName name="V.M.OreToStorage_Al">#REF!</definedName>
    <definedName name="V.M.OreToStorage_Co">#REF!</definedName>
    <definedName name="V.M.OreToStorage_DryTonnes" localSheetId="4">#REF!</definedName>
    <definedName name="V.M.OreToStorage_DryTonnes" localSheetId="2">#REF!</definedName>
    <definedName name="V.M.OreToStorage_DryTonnes">#REF!</definedName>
    <definedName name="V.M.OreToStorage_DryTph">#REF!</definedName>
    <definedName name="V.M.OreToStorage_Fe">#REF!</definedName>
    <definedName name="V.M.OreToStorage_Mg">#REF!</definedName>
    <definedName name="V.M.OreToStorage_Ni" localSheetId="4">#REF!</definedName>
    <definedName name="V.M.OreToStorage_Ni" localSheetId="2">#REF!</definedName>
    <definedName name="V.M.OreToStorage_Ni">#REF!</definedName>
    <definedName name="V.M.OreToStorage_PulpDensity">#REF!</definedName>
    <definedName name="V.M.OreToStorage_PulpYieldStress">#REF!</definedName>
    <definedName name="V.M.OreToStorage_Si">#REF!</definedName>
    <definedName name="V.M.OreToStorage_Volume">#REF!</definedName>
    <definedName name="V.M.OreToStorage_VolumePerHr">#REF!</definedName>
    <definedName name="V.Y.CV1_Moisture">#REF!</definedName>
    <definedName name="V.Y.CV2_Al">#REF!</definedName>
    <definedName name="V.Y.CV2_Co">#REF!</definedName>
    <definedName name="V.Y.CV2_DryTonnes">#REF!</definedName>
    <definedName name="V.Y.CV2_dtph" localSheetId="4">#REF!</definedName>
    <definedName name="V.Y.CV2_dtph" localSheetId="2">#REF!</definedName>
    <definedName name="V.Y.CV2_dtph">#REF!</definedName>
    <definedName name="V.Y.CV2_Fe">#REF!</definedName>
    <definedName name="V.Y.CV2_Mg" localSheetId="4">#REF!</definedName>
    <definedName name="V.Y.CV2_Mg" localSheetId="2">#REF!</definedName>
    <definedName name="V.Y.CV2_Mg">#REF!</definedName>
    <definedName name="V.Y.CV2_Ni">#REF!</definedName>
    <definedName name="V.Y.CV2_Si">#REF!</definedName>
    <definedName name="V.Y.Mill_Availability" localSheetId="4">#REF!</definedName>
    <definedName name="V.Y.Mill_Availability" localSheetId="2">#REF!</definedName>
    <definedName name="V.Y.Mill_Availability">#REF!</definedName>
    <definedName name="V.Y.Mill_Downtime">#REF!</definedName>
    <definedName name="V.Y.Mill_DryTonnes">#REF!</definedName>
    <definedName name="V.Y.Mill_DryTph">#REF!</definedName>
    <definedName name="V.Y.Mill_PowerDraw">#REF!</definedName>
    <definedName name="V.Y.Mill_PowerDrawPerTonne">#REF!</definedName>
    <definedName name="V.Y.Mill_Uptime">#REF!</definedName>
    <definedName name="V.Y.Mill_Utilization">#REF!</definedName>
    <definedName name="V.Y.Mill_WetTonnes">#REF!</definedName>
    <definedName name="V.Y.Mill_WetTph">#REF!</definedName>
    <definedName name="V.Y.MillFeed_Al">#REF!</definedName>
    <definedName name="V.Y.MillFeed_Co" localSheetId="4">#REF!</definedName>
    <definedName name="V.Y.MillFeed_Co" localSheetId="2">#REF!</definedName>
    <definedName name="V.Y.MillFeed_Co">#REF!</definedName>
    <definedName name="V.Y.MillFeed_Fe" localSheetId="4">#REF!</definedName>
    <definedName name="V.Y.MillFeed_Fe" localSheetId="2">#REF!</definedName>
    <definedName name="V.Y.MillFeed_Fe">#REF!</definedName>
    <definedName name="V.Y.MillFeed_Mg" localSheetId="4">#REF!</definedName>
    <definedName name="V.Y.MillFeed_Mg" localSheetId="2">#REF!</definedName>
    <definedName name="V.Y.MillFeed_Mg">#REF!</definedName>
    <definedName name="V.Y.MillFeed_Ni" localSheetId="4">#REF!</definedName>
    <definedName name="V.Y.MillFeed_Ni" localSheetId="2">#REF!</definedName>
    <definedName name="V.Y.MillFeed_Ni">#REF!</definedName>
    <definedName name="V.Y.MillFeed_Si">#REF!</definedName>
    <definedName name="V.Y.MillH2O_Head" localSheetId="4">#REF!</definedName>
    <definedName name="V.Y.MillH2O_Head" localSheetId="2">#REF!</definedName>
    <definedName name="V.Y.MillH2O_Head">#REF!</definedName>
    <definedName name="V.Y.MillH2O_Screen">#REF!</definedName>
    <definedName name="V.Y.MillH2O_Total" localSheetId="4">#REF!</definedName>
    <definedName name="V.Y.MillH2O_Total" localSheetId="2">#REF!</definedName>
    <definedName name="V.Y.MillH2O_Total">#REF!</definedName>
    <definedName name="V.Y.OreToStorage_Al">#REF!</definedName>
    <definedName name="V.Y.OreToStorage_Co">#REF!</definedName>
    <definedName name="V.Y.OreToStorage_DryTonnes">#REF!</definedName>
    <definedName name="V.Y.OreToStorage_DryTph">#REF!</definedName>
    <definedName name="V.Y.OreToStorage_Fe">#REF!</definedName>
    <definedName name="V.Y.OreToStorage_Mg">#REF!</definedName>
    <definedName name="V.Y.OreToStorage_Ni">#REF!</definedName>
    <definedName name="V.Y.OreToStorage_PulpDensity" localSheetId="4">#REF!</definedName>
    <definedName name="V.Y.OreToStorage_PulpDensity" localSheetId="2">#REF!</definedName>
    <definedName name="V.Y.OreToStorage_PulpDensity">#REF!</definedName>
    <definedName name="V.Y.OreToStorage_PulpYieldStress">#REF!</definedName>
    <definedName name="V.Y.OreToStorage_Si" localSheetId="4">#REF!</definedName>
    <definedName name="V.Y.OreToStorage_Si" localSheetId="2">#REF!</definedName>
    <definedName name="V.Y.OreToStorage_Si">#REF!</definedName>
    <definedName name="V.Y.OreToStorage_Volume">#REF!</definedName>
    <definedName name="V.Y.OreToStorage_VolumePerHr">#REF!</definedName>
    <definedName name="Va">#REF!</definedName>
    <definedName name="vabs">#REF!</definedName>
    <definedName name="VAL_100PE_S1">#REF!</definedName>
    <definedName name="VAL_100PE_S2" localSheetId="4">#REF!</definedName>
    <definedName name="VAL_100PE_S2" localSheetId="2">#REF!</definedName>
    <definedName name="VAL_100PE_S2">#REF!</definedName>
    <definedName name="VAL_100PE_S3">#REF!</definedName>
    <definedName name="VAL_100PE_S4">#REF!</definedName>
    <definedName name="VAL_100PE_S5">#REF!</definedName>
    <definedName name="VAL_100PE_S6">#REF!</definedName>
    <definedName name="VAL150PE_S1" localSheetId="4">#REF!</definedName>
    <definedName name="VAL150PE_S1" localSheetId="2">#REF!</definedName>
    <definedName name="VAL150PE_S1">#REF!</definedName>
    <definedName name="VAL150PE_S2">#REF!</definedName>
    <definedName name="VAL150PE_S3">#REF!</definedName>
    <definedName name="VAL150PE_S4" localSheetId="4">#REF!</definedName>
    <definedName name="VAL150PE_S4" localSheetId="2">#REF!</definedName>
    <definedName name="VAL150PE_S4">#REF!</definedName>
    <definedName name="VAL150PE_S5">#REF!</definedName>
    <definedName name="VAL150PE_S6">#REF!</definedName>
    <definedName name="VAL200PE_S1">#REF!</definedName>
    <definedName name="VAL200PE_S2">#REF!</definedName>
    <definedName name="VAL200PE_S3">#REF!</definedName>
    <definedName name="VAL200PE_S4">#REF!</definedName>
    <definedName name="VAL200PE_S5" localSheetId="4">#REF!</definedName>
    <definedName name="VAL200PE_S5" localSheetId="2">#REF!</definedName>
    <definedName name="VAL200PE_S5">#REF!</definedName>
    <definedName name="VAL200PE_S6">#REF!</definedName>
    <definedName name="VAL250PE_S1" localSheetId="4">#REF!</definedName>
    <definedName name="VAL250PE_S1" localSheetId="2">#REF!</definedName>
    <definedName name="VAL250PE_S1">#REF!</definedName>
    <definedName name="VAL250PE_S2" localSheetId="4">#REF!</definedName>
    <definedName name="VAL250PE_S2" localSheetId="2">#REF!</definedName>
    <definedName name="VAL250PE_S2">#REF!</definedName>
    <definedName name="VAL250PE_S3">#REF!</definedName>
    <definedName name="VAL250PE_S4">#REF!</definedName>
    <definedName name="VAL250PE_S5">#REF!</definedName>
    <definedName name="VAL250PE_S6">#REF!</definedName>
    <definedName name="VAL300HD_S1">#REF!</definedName>
    <definedName name="VAL300HD_S2">#REF!</definedName>
    <definedName name="VAL300HD_S3">#REF!</definedName>
    <definedName name="VAL300HD_S4">#REF!</definedName>
    <definedName name="VAL300HD_S5">#REF!</definedName>
    <definedName name="VAL300HD_S6">#REF!</definedName>
    <definedName name="VAL300PVC_S1">#REF!</definedName>
    <definedName name="VAL300PVC_S2" localSheetId="4">#REF!</definedName>
    <definedName name="VAL300PVC_S2" localSheetId="2">#REF!</definedName>
    <definedName name="VAL300PVC_S2">#REF!</definedName>
    <definedName name="VAL300PVC_S3" localSheetId="4">#REF!</definedName>
    <definedName name="VAL300PVC_S3" localSheetId="2">#REF!</definedName>
    <definedName name="VAL300PVC_S3">#REF!</definedName>
    <definedName name="VAL300PVC_S4">#REF!</definedName>
    <definedName name="VAL300PVC_S5">#REF!</definedName>
    <definedName name="VAL300PVC_S6" localSheetId="4">#REF!</definedName>
    <definedName name="VAL300PVC_S6" localSheetId="2">#REF!</definedName>
    <definedName name="VAL300PVC_S6">#REF!</definedName>
    <definedName name="VAL80PE_S1">#REF!</definedName>
    <definedName name="VAL80PE_S2">#REF!</definedName>
    <definedName name="VAL80PE_S3">#REF!</definedName>
    <definedName name="VAL80PE_S4">#REF!</definedName>
    <definedName name="VAL80PE_S5" localSheetId="4">#REF!</definedName>
    <definedName name="VAL80PE_S5" localSheetId="2">#REF!</definedName>
    <definedName name="VAL80PE_S5">#REF!</definedName>
    <definedName name="VAL80PE_S6">#REF!</definedName>
    <definedName name="valcal" localSheetId="4">#REF!</definedName>
    <definedName name="valcal" localSheetId="2">#REF!</definedName>
    <definedName name="valcal">#REF!</definedName>
    <definedName name="VALDES">#REF!</definedName>
    <definedName name="valhati" localSheetId="4">#REF!</definedName>
    <definedName name="valhati" localSheetId="2">#REF!</definedName>
    <definedName name="valhati">#REF!</definedName>
    <definedName name="VALLA_2_3_MTS_CON_3_CERCHAS" localSheetId="4">#REF!</definedName>
    <definedName name="VALLA_2_3_MTS_CON_3_CERCHAS" localSheetId="2">#REF!</definedName>
    <definedName name="VALLA_2_3_MTS_CON_3_CERCHAS">#REF!</definedName>
    <definedName name="Valor">#REF!</definedName>
    <definedName name="valor_consumibles">#REF!</definedName>
    <definedName name="valor_cuadrilla">#REF!</definedName>
    <definedName name="valor_equipos" localSheetId="4">#REF!</definedName>
    <definedName name="valor_equipos" localSheetId="2">#REF!</definedName>
    <definedName name="valor_equipos">#REF!</definedName>
    <definedName name="valor_nomina1">#REF!</definedName>
    <definedName name="valor_nomina2">#REF!</definedName>
    <definedName name="valor_nomina3">#REF!</definedName>
    <definedName name="valor1">#REF!</definedName>
    <definedName name="valor2">#REF!</definedName>
    <definedName name="VALOR3">#REF!</definedName>
    <definedName name="valorcal" localSheetId="4">#REF!</definedName>
    <definedName name="valorcal" localSheetId="2">#REF!</definedName>
    <definedName name="valorcal">#REF!</definedName>
    <definedName name="ValoresCanon">#REF!</definedName>
    <definedName name="ValoresIva">#REF!</definedName>
    <definedName name="ValorFuturoFcro">#REF!</definedName>
    <definedName name="ValorImpuestoTimbre">#REF!</definedName>
    <definedName name="ValorTot">#REF!</definedName>
    <definedName name="VALVULA_DE_COMPUERTA_2__SELLO_ELASTICO_Y_VNA_CON_CUADRANTE">#REF!</definedName>
    <definedName name="VALVULA_DE_COMPUERTA_3__BxB_CON_RUEDA_MECANICA">#REF!</definedName>
    <definedName name="VALVULA_DE_COMPUERTA_3__SELLO_ELASTICO_Y_VNA_CON_CUADRANTE">#REF!</definedName>
    <definedName name="VALVULA_DE_COMPUERTA_4__SELLO_ELASTICO_Y_VNA_CON_CUADRANTE">#REF!</definedName>
    <definedName name="VALVULA_DE_NO_RETORNO_CHEQUE__3__PARA_TRABAJAR_HORIZONTALMENTE_B_x_B">#REF!</definedName>
    <definedName name="VALVULA_DE_NO_RETORNO_CHEQUE__4__PARA_TRABAJAR_HORIZONTALMENTE_B_x_B">#REF!</definedName>
    <definedName name="VarEquip" localSheetId="4">#REF!</definedName>
    <definedName name="VarEquip" localSheetId="2">#REF!</definedName>
    <definedName name="VarEquip">#REF!</definedName>
    <definedName name="variacion">[22]Datos!$B$8</definedName>
    <definedName name="Varios">#REF!</definedName>
    <definedName name="Varios2" localSheetId="4">#REF!</definedName>
    <definedName name="Varios2" localSheetId="2">#REF!</definedName>
    <definedName name="Varios2">#REF!</definedName>
    <definedName name="VarRange" localSheetId="4">#REF!</definedName>
    <definedName name="VarRange" localSheetId="2">#REF!</definedName>
    <definedName name="VarRange">#REF!</definedName>
    <definedName name="VAT" localSheetId="4">#REF!</definedName>
    <definedName name="VAT" localSheetId="2">#REF!</definedName>
    <definedName name="VAT">#REF!</definedName>
    <definedName name="vaton" localSheetId="4">#REF!</definedName>
    <definedName name="vaton" localSheetId="2">#REF!</definedName>
    <definedName name="vaton">#REF!</definedName>
    <definedName name="Vb">#REF!</definedName>
    <definedName name="VBOL2">[10]BASE!$D$294</definedName>
    <definedName name="VBOL4">[10]BASE!$D$295</definedName>
    <definedName name="vbvbvbvb" localSheetId="4">#REF!</definedName>
    <definedName name="vbvbvbvb" localSheetId="2">#REF!</definedName>
    <definedName name="vbvbvbvb">#REF!</definedName>
    <definedName name="Vc">#REF!</definedName>
    <definedName name="VCAB" localSheetId="4">#REF!</definedName>
    <definedName name="VCAB" localSheetId="2">#REF!</definedName>
    <definedName name="VCAB">#REF!</definedName>
    <definedName name="VCEL3">[10]BASE!$D$285</definedName>
    <definedName name="VCEL6">[10]BASE!$D$283</definedName>
    <definedName name="VCEL8" localSheetId="4">#REF!</definedName>
    <definedName name="VCEL8" localSheetId="2">#REF!</definedName>
    <definedName name="VCEL8">#REF!</definedName>
    <definedName name="vck">#REF!</definedName>
    <definedName name="Vd">#REF!</definedName>
    <definedName name="vdfvuio" localSheetId="4">#REF!</definedName>
    <definedName name="vdfvuio" localSheetId="2">#REF!</definedName>
    <definedName name="vdfvuio">#REF!</definedName>
    <definedName name="vdsvnj" localSheetId="4">#REF!</definedName>
    <definedName name="vdsvnj" localSheetId="2">#REF!</definedName>
    <definedName name="vdsvnj">#REF!</definedName>
    <definedName name="Ve">#REF!</definedName>
    <definedName name="VENDOR_ID">#REF!</definedName>
    <definedName name="Vendor_name">#REF!</definedName>
    <definedName name="vendor_name2">#REF!</definedName>
    <definedName name="VENT100_S1">#REF!</definedName>
    <definedName name="VENT100_S2">#REF!</definedName>
    <definedName name="VENT100_S3">#REF!</definedName>
    <definedName name="VENT100_S4">#REF!</definedName>
    <definedName name="VENT100_S5" localSheetId="4">#REF!</definedName>
    <definedName name="VENT100_S5" localSheetId="2">#REF!</definedName>
    <definedName name="VENT100_S5">#REF!</definedName>
    <definedName name="VENT100_S6">#REF!</definedName>
    <definedName name="VentaAiu">#REF!</definedName>
    <definedName name="VENTI">[10]BASE!$D$258</definedName>
    <definedName name="VENTOSAS_PARA_INSTALACION_EN_TUBERIA_DE_3">#REF!</definedName>
    <definedName name="Verifier">#REF!</definedName>
    <definedName name="Vf">#REF!</definedName>
    <definedName name="vfbgnhyt" localSheetId="4">#REF!</definedName>
    <definedName name="vfbgnhyt" localSheetId="2">#REF!</definedName>
    <definedName name="vfbgnhyt">#REF!</definedName>
    <definedName name="vfggchbh">#REF!</definedName>
    <definedName name="vfgtfgvfgv">#REF!</definedName>
    <definedName name="vfn">#REF!</definedName>
    <definedName name="vfvdv" localSheetId="4">#REF!</definedName>
    <definedName name="vfvdv" localSheetId="2">#REF!</definedName>
    <definedName name="vfvdv">#REF!</definedName>
    <definedName name="vfvf" localSheetId="4">#REF!</definedName>
    <definedName name="vfvf" localSheetId="2">#REF!</definedName>
    <definedName name="vfvf">#REF!</definedName>
    <definedName name="Vg">#REF!</definedName>
    <definedName name="Vh">#REF!</definedName>
    <definedName name="via" localSheetId="4">#REF!</definedName>
    <definedName name="via" localSheetId="2">#REF!</definedName>
    <definedName name="via">#REF!</definedName>
    <definedName name="VIAJE">[10]BASE!$D$334</definedName>
    <definedName name="VIBGA">[10]BASE!$D$311</definedName>
    <definedName name="VIBRADOR">#REF!</definedName>
    <definedName name="VIBRE">[10]BASE!$D$312</definedName>
    <definedName name="VIDRI">[10]BASE!$D$259</definedName>
    <definedName name="VIDRIO4">#REF!</definedName>
    <definedName name="VINILO" localSheetId="4">#REF!</definedName>
    <definedName name="VINILO" localSheetId="2">#REF!</definedName>
    <definedName name="VINILO">#REF!</definedName>
    <definedName name="viscosidad">#REF!</definedName>
    <definedName name="vk" localSheetId="4">#REF!</definedName>
    <definedName name="vk" localSheetId="2">#REF!</definedName>
    <definedName name="vk">#REF!</definedName>
    <definedName name="vm">#REF!</definedName>
    <definedName name="vnbvxb" localSheetId="4">#REF!</definedName>
    <definedName name="vnbvxb" localSheetId="2">#REF!</definedName>
    <definedName name="vnbvxb">#REF!</definedName>
    <definedName name="VNVBN" localSheetId="4">#REF!</definedName>
    <definedName name="VNVBN" localSheetId="2">#REF!</definedName>
    <definedName name="VNVBN">#REF!</definedName>
    <definedName name="vodijvoe">#REF!</definedName>
    <definedName name="VOLQUETA">#REF!</definedName>
    <definedName name="VPD">[4]TARIFAS!$C$569</definedName>
    <definedName name="VPDACUE">#REF!</definedName>
    <definedName name="VPI">[4]TARIFAS!$C$567</definedName>
    <definedName name="VPNIngresos">#REF!</definedName>
    <definedName name="VPNSurenting">#REF!</definedName>
    <definedName name="VPOC" localSheetId="4">#REF!</definedName>
    <definedName name="VPOC" localSheetId="2">#REF!</definedName>
    <definedName name="VPOC">#REF!</definedName>
    <definedName name="vr_equipos">#REF!</definedName>
    <definedName name="VRA">[4]TARIFAS!$C$566</definedName>
    <definedName name="vrunit" localSheetId="4">#REF!</definedName>
    <definedName name="vrunit" localSheetId="2">#REF!</definedName>
    <definedName name="vrunit">#REF!</definedName>
    <definedName name="VSCanonTotal">#REF!</definedName>
    <definedName name="vsdfj" localSheetId="4">#REF!</definedName>
    <definedName name="vsdfj" localSheetId="2">#REF!</definedName>
    <definedName name="vsdfj">#REF!</definedName>
    <definedName name="VSPunRentabilidad">#REF!</definedName>
    <definedName name="VSTablaDTF">#REF!</definedName>
    <definedName name="VSTablaDTFDatos" localSheetId="4">#REF!</definedName>
    <definedName name="VSTablaDTFDatos" localSheetId="2">#REF!</definedName>
    <definedName name="VSTablaDTFDatos">#REF!</definedName>
    <definedName name="VSUtilidadMensual">#REF!</definedName>
    <definedName name="VSVariablesRenting">#REF!</definedName>
    <definedName name="vt" localSheetId="4">#REF!</definedName>
    <definedName name="vt" localSheetId="2">#REF!</definedName>
    <definedName name="vt">#REF!</definedName>
    <definedName name="VTOTAL">#REF!</definedName>
    <definedName name="VTUB" localSheetId="4">#REF!</definedName>
    <definedName name="VTUB" localSheetId="2">#REF!</definedName>
    <definedName name="VTUB">#REF!</definedName>
    <definedName name="vv">#REF!</definedName>
    <definedName name="vvcxv" localSheetId="4">#REF!</definedName>
    <definedName name="vvcxv" localSheetId="2">#REF!</definedName>
    <definedName name="vvcxv">#REF!</definedName>
    <definedName name="VVV">#REF!</definedName>
    <definedName name="vvvvt" localSheetId="4">#REF!</definedName>
    <definedName name="vvvvt" localSheetId="2">#REF!</definedName>
    <definedName name="vvvvt">#REF!</definedName>
    <definedName name="vvvvvvf" localSheetId="4">#REF!</definedName>
    <definedName name="vvvvvvf" localSheetId="2">#REF!</definedName>
    <definedName name="vvvvvvf">#REF!</definedName>
    <definedName name="VVVVVVVVVVV">#REF!</definedName>
    <definedName name="vy" localSheetId="4">#REF!</definedName>
    <definedName name="vy" localSheetId="2">#REF!</definedName>
    <definedName name="vy">#REF!</definedName>
    <definedName name="w" localSheetId="4">#REF!</definedName>
    <definedName name="w" localSheetId="2">#REF!</definedName>
    <definedName name="w">#REF!</definedName>
    <definedName name="w2w2w" localSheetId="4">#REF!</definedName>
    <definedName name="w2w2w" localSheetId="2">#REF!</definedName>
    <definedName name="w2w2w">#REF!</definedName>
    <definedName name="Waste_DB" localSheetId="4">#REF!</definedName>
    <definedName name="Waste_DB" localSheetId="2">#REF!</definedName>
    <definedName name="Waste_DB">#REF!</definedName>
    <definedName name="Waste1">#REF!</definedName>
    <definedName name="Waste2" localSheetId="4">#REF!</definedName>
    <definedName name="Waste2" localSheetId="2">#REF!</definedName>
    <definedName name="Waste2">#REF!</definedName>
    <definedName name="Waste3">#REF!</definedName>
    <definedName name="Waste4">#REF!</definedName>
    <definedName name="WasteFleet">#REF!</definedName>
    <definedName name="WasteLoad" localSheetId="4">#REF!</definedName>
    <definedName name="WasteLoad" localSheetId="2">#REF!</definedName>
    <definedName name="WasteLoad">#REF!</definedName>
    <definedName name="WasteOpCost" localSheetId="4">#REF!</definedName>
    <definedName name="WasteOpCost" localSheetId="2">#REF!</definedName>
    <definedName name="WasteOpCost">#REF!</definedName>
    <definedName name="WasteOverCap" localSheetId="4">#REF!</definedName>
    <definedName name="WasteOverCap" localSheetId="2">#REF!</definedName>
    <definedName name="WasteOverCap">#REF!</definedName>
    <definedName name="WasteRepl" localSheetId="4">#REF!</definedName>
    <definedName name="WasteRepl" localSheetId="2">#REF!</definedName>
    <definedName name="WasteRepl">#REF!</definedName>
    <definedName name="WasteUtil">#REF!</definedName>
    <definedName name="WContLab">#REF!</definedName>
    <definedName name="WContParts">#REF!</definedName>
    <definedName name="we">#REF!</definedName>
    <definedName name="weight">#REF!</definedName>
    <definedName name="WEIGHT_UNIT">#REF!</definedName>
    <definedName name="WER">'[24]Res-Accide-10'!$S$2:$S$7</definedName>
    <definedName name="werew" localSheetId="4">#REF!</definedName>
    <definedName name="werew" localSheetId="2">#REF!</definedName>
    <definedName name="werew">#REF!</definedName>
    <definedName name="WEREWR" localSheetId="4">#REF!</definedName>
    <definedName name="WEREWR" localSheetId="2">#REF!</definedName>
    <definedName name="WEREWR">#REF!</definedName>
    <definedName name="WERF">#REF!</definedName>
    <definedName name="werfdsf" localSheetId="4">#REF!</definedName>
    <definedName name="werfdsf" localSheetId="2">#REF!</definedName>
    <definedName name="werfdsf">#REF!</definedName>
    <definedName name="werh" localSheetId="4">#REF!</definedName>
    <definedName name="werh" localSheetId="2">#REF!</definedName>
    <definedName name="werh">#REF!</definedName>
    <definedName name="wersfdfrguyo" localSheetId="4">#REF!</definedName>
    <definedName name="wersfdfrguyo" localSheetId="2">#REF!</definedName>
    <definedName name="wersfdfrguyo">#REF!</definedName>
    <definedName name="werwr" localSheetId="4">#REF!</definedName>
    <definedName name="werwr" localSheetId="2">#REF!</definedName>
    <definedName name="werwr">#REF!</definedName>
    <definedName name="WERWVN" localSheetId="4">#REF!</definedName>
    <definedName name="WERWVN" localSheetId="2">#REF!</definedName>
    <definedName name="WERWVN">#REF!</definedName>
    <definedName name="wetrew" localSheetId="4">#REF!</definedName>
    <definedName name="wetrew" localSheetId="2">#REF!</definedName>
    <definedName name="wetrew">#REF!</definedName>
    <definedName name="wettt" localSheetId="4">#REF!</definedName>
    <definedName name="wettt" localSheetId="2">#REF!</definedName>
    <definedName name="wettt">#REF!</definedName>
    <definedName name="wetwretd" localSheetId="4">#REF!</definedName>
    <definedName name="wetwretd" localSheetId="2">#REF!</definedName>
    <definedName name="wetwretd">#REF!</definedName>
    <definedName name="wew" localSheetId="4">#REF!</definedName>
    <definedName name="wew" localSheetId="2">#REF!</definedName>
    <definedName name="wew">#REF!</definedName>
    <definedName name="wffag" localSheetId="4">#REF!</definedName>
    <definedName name="wffag" localSheetId="2">#REF!</definedName>
    <definedName name="wffag">#REF!</definedName>
    <definedName name="WGET">#REF!</definedName>
    <definedName name="WILSON" localSheetId="4">#REF!</definedName>
    <definedName name="WILSON" localSheetId="2">#REF!</definedName>
    <definedName name="WILSON">#REF!</definedName>
    <definedName name="wj">#REF!</definedName>
    <definedName name="wl">#REF!</definedName>
    <definedName name="WLube">#REF!</definedName>
    <definedName name="WOHaul" localSheetId="4">#REF!</definedName>
    <definedName name="WOHaul" localSheetId="2">#REF!</definedName>
    <definedName name="WOHaul">#REF!</definedName>
    <definedName name="WQEEWQ" localSheetId="4">#REF!</definedName>
    <definedName name="WQEEWQ" localSheetId="2">#REF!</definedName>
    <definedName name="WQEEWQ">#REF!</definedName>
    <definedName name="wqw">#REF!</definedName>
    <definedName name="WRandM">#REF!</definedName>
    <definedName name="wrn.Acueducto." localSheetId="4">#REF!</definedName>
    <definedName name="wrn.Acueducto." localSheetId="2">#REF!</definedName>
    <definedName name="wrn.Acueducto.">#REF!</definedName>
    <definedName name="wrn.Financial._.Statements." localSheetId="4">#REF!</definedName>
    <definedName name="wrn.Financial._.Statements." localSheetId="2">#REF!</definedName>
    <definedName name="wrn.Financial._.Statements.">#REF!</definedName>
    <definedName name="wrn.FORMATOS." localSheetId="4">#REF!</definedName>
    <definedName name="wrn.FORMATOS." localSheetId="2">#REF!</definedName>
    <definedName name="wrn.FORMATOS.">#REF!</definedName>
    <definedName name="wrn.FUll._.Model." localSheetId="4">#REF!</definedName>
    <definedName name="wrn.FUll._.Model." localSheetId="2">#REF!</definedName>
    <definedName name="wrn.FUll._.Model.">#REF!</definedName>
    <definedName name="wrn.GENERAL." localSheetId="4">#REF!</definedName>
    <definedName name="wrn.GENERAL." localSheetId="2">#REF!</definedName>
    <definedName name="wrn.GENERAL.">#REF!</definedName>
    <definedName name="wrn.GERENCIA." localSheetId="4">#REF!</definedName>
    <definedName name="wrn.GERENCIA." localSheetId="2">#REF!</definedName>
    <definedName name="wrn.GERENCIA.">#REF!</definedName>
    <definedName name="wrn.LL0004A." localSheetId="4">#REF!</definedName>
    <definedName name="wrn.LL0004A." localSheetId="2">#REF!</definedName>
    <definedName name="wrn.LL0004A.">#REF!</definedName>
    <definedName name="wrn.Restructuring._.Summaries." localSheetId="4">#REF!</definedName>
    <definedName name="wrn.Restructuring._.Summaries." localSheetId="2">#REF!</definedName>
    <definedName name="wrn.Restructuring._.Summaries.">#REF!</definedName>
    <definedName name="wrn.via." localSheetId="4">#REF!</definedName>
    <definedName name="wrn.via." localSheetId="2">#REF!</definedName>
    <definedName name="wrn.via.">#REF!</definedName>
    <definedName name="ws">#REF!</definedName>
    <definedName name="wsnhed" localSheetId="4">#REF!</definedName>
    <definedName name="wsnhed" localSheetId="2">#REF!</definedName>
    <definedName name="wsnhed">#REF!</definedName>
    <definedName name="wswswsqa" localSheetId="4">#REF!</definedName>
    <definedName name="wswswsqa" localSheetId="2">#REF!</definedName>
    <definedName name="wswswsqa">#REF!</definedName>
    <definedName name="wtt" localSheetId="4">#REF!</definedName>
    <definedName name="wtt" localSheetId="2">#REF!</definedName>
    <definedName name="wtt">#REF!</definedName>
    <definedName name="WTyre">#REF!</definedName>
    <definedName name="Ww">#REF!</definedName>
    <definedName name="wwded3" localSheetId="4">#REF!</definedName>
    <definedName name="wwded3" localSheetId="2">#REF!</definedName>
    <definedName name="wwded3">#REF!</definedName>
    <definedName name="www">#REF!</definedName>
    <definedName name="wwwwe" localSheetId="4">#REF!</definedName>
    <definedName name="wwwwe" localSheetId="2">#REF!</definedName>
    <definedName name="wwwwe">#REF!</definedName>
    <definedName name="wwwwwwwwww">#REF!</definedName>
    <definedName name="wwwwwwwwwwww">#REF!</definedName>
    <definedName name="wyty" localSheetId="4">#REF!</definedName>
    <definedName name="wyty" localSheetId="2">#REF!</definedName>
    <definedName name="wyty">#REF!</definedName>
    <definedName name="x">[31]Parameters!$R$18</definedName>
    <definedName name="xb">#REF!</definedName>
    <definedName name="xcbvbs" localSheetId="4">#REF!</definedName>
    <definedName name="xcbvbs" localSheetId="2">#REF!</definedName>
    <definedName name="xcbvbs">#REF!</definedName>
    <definedName name="xgdfg" localSheetId="4">#REF!</definedName>
    <definedName name="xgdfg" localSheetId="2">#REF!</definedName>
    <definedName name="xgdfg">#REF!</definedName>
    <definedName name="xo">#REF!</definedName>
    <definedName name="xsxs" localSheetId="4">#REF!</definedName>
    <definedName name="xsxs" localSheetId="2">#REF!</definedName>
    <definedName name="xsxs">#REF!</definedName>
    <definedName name="xvrcsdrasxz">#REF!</definedName>
    <definedName name="xx">#REF!</definedName>
    <definedName name="xxfg" localSheetId="4">#REF!</definedName>
    <definedName name="xxfg" localSheetId="2">#REF!</definedName>
    <definedName name="xxfg">#REF!</definedName>
    <definedName name="XXX">#REF!</definedName>
    <definedName name="xxxxxds" localSheetId="4">#REF!</definedName>
    <definedName name="xxxxxds" localSheetId="2">#REF!</definedName>
    <definedName name="xxxxxds">#REF!</definedName>
    <definedName name="XXXXXXX">#REF!</definedName>
    <definedName name="XXXXXXXXXX">#REF!</definedName>
    <definedName name="xxxxxxxxxx29" localSheetId="4">#REF!</definedName>
    <definedName name="xxxxxxxxxx29" localSheetId="2">#REF!</definedName>
    <definedName name="xxxxxxxxxx29">#REF!</definedName>
    <definedName name="XXXXXXXXXXXX">#REF!</definedName>
    <definedName name="xyz">#REF!</definedName>
    <definedName name="xzczxczxc">#REF!</definedName>
    <definedName name="XZXZV" localSheetId="4">#REF!</definedName>
    <definedName name="XZXZV" localSheetId="2">#REF!</definedName>
    <definedName name="XZXZV">#REF!</definedName>
    <definedName name="y">#REF!</definedName>
    <definedName name="y6y6" localSheetId="4">#REF!</definedName>
    <definedName name="y6y6" localSheetId="2">#REF!</definedName>
    <definedName name="y6y6">#REF!</definedName>
    <definedName name="YA">#REF!</definedName>
    <definedName name="Year">#REF!</definedName>
    <definedName name="years">[46]ASSUMPTIONS!$H$7:$AP$7</definedName>
    <definedName name="YEE">#REF!</definedName>
    <definedName name="yery" localSheetId="4">#REF!</definedName>
    <definedName name="yery" localSheetId="2">#REF!</definedName>
    <definedName name="yery">#REF!</definedName>
    <definedName name="yesno">'[54]REF - Listas'!$B$26:$B$27</definedName>
    <definedName name="YESO">#REF!</definedName>
    <definedName name="yhy" localSheetId="4">#REF!</definedName>
    <definedName name="yhy" localSheetId="2">#REF!</definedName>
    <definedName name="yhy">#REF!</definedName>
    <definedName name="yjyj" localSheetId="4">#REF!</definedName>
    <definedName name="yjyj" localSheetId="2">#REF!</definedName>
    <definedName name="yjyj">#REF!</definedName>
    <definedName name="yn">#REF!</definedName>
    <definedName name="yorlanys" localSheetId="4">#REF!</definedName>
    <definedName name="yorlanys" localSheetId="2">#REF!</definedName>
    <definedName name="yorlanys">#REF!</definedName>
    <definedName name="yrey" localSheetId="4">#REF!</definedName>
    <definedName name="yrey" localSheetId="2">#REF!</definedName>
    <definedName name="yrey">#REF!</definedName>
    <definedName name="yry" localSheetId="4">#REF!</definedName>
    <definedName name="yry" localSheetId="2">#REF!</definedName>
    <definedName name="yry">#REF!</definedName>
    <definedName name="YTD.ROM1_PercentFed" localSheetId="4">#REF!</definedName>
    <definedName name="YTD.ROM1_PercentFed" localSheetId="2">#REF!</definedName>
    <definedName name="YTD.ROM1_PercentFed">#REF!</definedName>
    <definedName name="YTD.ROM2_PercentFed">#REF!</definedName>
    <definedName name="YTD.ROM3_PercentFed">#REF!</definedName>
    <definedName name="YTD.ROM4_PercentFed">#REF!</definedName>
    <definedName name="YTD.ROM5_PercentFed">#REF!</definedName>
    <definedName name="YTD_Days">#REF!</definedName>
    <definedName name="ytj" localSheetId="4">#REF!</definedName>
    <definedName name="ytj" localSheetId="2">#REF!</definedName>
    <definedName name="ytj">#REF!</definedName>
    <definedName name="ytjt6" localSheetId="4">#REF!</definedName>
    <definedName name="ytjt6" localSheetId="2">#REF!</definedName>
    <definedName name="ytjt6">#REF!</definedName>
    <definedName name="ytrwyr" localSheetId="4">#REF!</definedName>
    <definedName name="ytrwyr" localSheetId="2">#REF!</definedName>
    <definedName name="ytrwyr">#REF!</definedName>
    <definedName name="ytry" localSheetId="4">#REF!</definedName>
    <definedName name="ytry" localSheetId="2">#REF!</definedName>
    <definedName name="ytry">#REF!</definedName>
    <definedName name="ytryrty" localSheetId="4">#REF!</definedName>
    <definedName name="ytryrty" localSheetId="2">#REF!</definedName>
    <definedName name="ytryrty">#REF!</definedName>
    <definedName name="YTRYUYT" localSheetId="4">#REF!</definedName>
    <definedName name="YTRYUYT" localSheetId="2">#REF!</definedName>
    <definedName name="YTRYUYT">#REF!</definedName>
    <definedName name="ytudfgd" localSheetId="4">#REF!</definedName>
    <definedName name="ytudfgd" localSheetId="2">#REF!</definedName>
    <definedName name="ytudfgd">#REF!</definedName>
    <definedName name="yturtu7" localSheetId="4">#REF!</definedName>
    <definedName name="yturtu7" localSheetId="2">#REF!</definedName>
    <definedName name="yturtu7">#REF!</definedName>
    <definedName name="yturu" localSheetId="4">#REF!</definedName>
    <definedName name="yturu" localSheetId="2">#REF!</definedName>
    <definedName name="yturu">#REF!</definedName>
    <definedName name="ytuytfgh" localSheetId="4">#REF!</definedName>
    <definedName name="ytuytfgh" localSheetId="2">#REF!</definedName>
    <definedName name="ytuytfgh">#REF!</definedName>
    <definedName name="yty" localSheetId="4">#REF!</definedName>
    <definedName name="yty" localSheetId="2">#REF!</definedName>
    <definedName name="yty">#REF!</definedName>
    <definedName name="ytyyh" localSheetId="4">#REF!</definedName>
    <definedName name="ytyyh" localSheetId="2">#REF!</definedName>
    <definedName name="ytyyh">#REF!</definedName>
    <definedName name="ytzacdfg" localSheetId="4">#REF!</definedName>
    <definedName name="ytzacdfg" localSheetId="2">#REF!</definedName>
    <definedName name="ytzacdfg">#REF!</definedName>
    <definedName name="yu" localSheetId="4">#REF!</definedName>
    <definedName name="yu" localSheetId="2">#REF!</definedName>
    <definedName name="yu">#REF!</definedName>
    <definedName name="yudre54" localSheetId="4">#REF!</definedName>
    <definedName name="yudre54" localSheetId="2">#REF!</definedName>
    <definedName name="yudre54">#REF!</definedName>
    <definedName name="yuhgh" localSheetId="4">#REF!</definedName>
    <definedName name="yuhgh" localSheetId="2">#REF!</definedName>
    <definedName name="yuhgh">#REF!</definedName>
    <definedName name="yui">#REF!</definedName>
    <definedName name="yuilo">#REF!</definedName>
    <definedName name="yutu" localSheetId="4">#REF!</definedName>
    <definedName name="yutu" localSheetId="2">#REF!</definedName>
    <definedName name="yutu">#REF!</definedName>
    <definedName name="yuuiiy" localSheetId="4">#REF!</definedName>
    <definedName name="yuuiiy" localSheetId="2">#REF!</definedName>
    <definedName name="yuuiiy">#REF!</definedName>
    <definedName name="yuuuuuu" localSheetId="4">#REF!</definedName>
    <definedName name="yuuuuuu" localSheetId="2">#REF!</definedName>
    <definedName name="yuuuuuu">#REF!</definedName>
    <definedName name="yy">#REF!</definedName>
    <definedName name="YYY" localSheetId="4">#REF!</definedName>
    <definedName name="YYY" localSheetId="2">#REF!</definedName>
    <definedName name="YYY">#REF!</definedName>
    <definedName name="yyyuh" localSheetId="4">#REF!</definedName>
    <definedName name="yyyuh" localSheetId="2">#REF!</definedName>
    <definedName name="yyyuh">#REF!</definedName>
    <definedName name="yyyyhhh" localSheetId="4">#REF!</definedName>
    <definedName name="yyyyhhh" localSheetId="2">#REF!</definedName>
    <definedName name="yyyyhhh">#REF!</definedName>
    <definedName name="yyyyyf" localSheetId="4">#REF!</definedName>
    <definedName name="yyyyyf" localSheetId="2">#REF!</definedName>
    <definedName name="yyyyyf">#REF!</definedName>
    <definedName name="yyyyyy" localSheetId="4">#REF!</definedName>
    <definedName name="yyyyyy" localSheetId="2">#REF!</definedName>
    <definedName name="yyyyyy">#REF!</definedName>
    <definedName name="YYYYYYYYYYYYYYYYYYYYYYY">#REF!</definedName>
    <definedName name="Z">#REF!</definedName>
    <definedName name="zc">#REF!</definedName>
    <definedName name="zd" localSheetId="4">#REF!</definedName>
    <definedName name="zd" localSheetId="2">#REF!</definedName>
    <definedName name="zd">#REF!</definedName>
    <definedName name="zdervr" localSheetId="4">#REF!</definedName>
    <definedName name="zdervr" localSheetId="2">#REF!</definedName>
    <definedName name="zdervr">#REF!</definedName>
    <definedName name="ZDF">#REF!</definedName>
    <definedName name="zdr" localSheetId="4">#REF!</definedName>
    <definedName name="zdr" localSheetId="2">#REF!</definedName>
    <definedName name="zdr">#REF!</definedName>
    <definedName name="zorra" hidden="1">{"'Parámetros'!$A$3:$C$3"}</definedName>
    <definedName name="zx">#REF!</definedName>
    <definedName name="zxcv">#REF!</definedName>
    <definedName name="zxczds" localSheetId="4">#REF!</definedName>
    <definedName name="zxczds" localSheetId="2">#REF!</definedName>
    <definedName name="zxczds">#REF!</definedName>
    <definedName name="zxsdftyu" localSheetId="4">#REF!</definedName>
    <definedName name="zxsdftyu" localSheetId="2">#REF!</definedName>
    <definedName name="zxsdftyu">#REF!</definedName>
    <definedName name="zxvxczv" localSheetId="4">#REF!</definedName>
    <definedName name="zxvxczv" localSheetId="2">#REF!</definedName>
    <definedName name="zxvxczv">#REF!</definedName>
    <definedName name="zz">#REF!</definedName>
    <definedName name="ZZZZZZZZZZZ" localSheetId="4">#REF!</definedName>
    <definedName name="ZZZZZZZZZZZ" localSheetId="2">#REF!</definedName>
    <definedName name="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82" i="10" l="1"/>
  <c r="G282" i="10" s="1"/>
  <c r="D9043" i="9"/>
  <c r="F9043" i="9" s="1"/>
  <c r="F9042" i="9"/>
  <c r="F9041" i="9"/>
  <c r="F9001" i="9"/>
  <c r="F9064" i="9"/>
  <c r="F9066" i="9" s="1"/>
  <c r="E9057" i="9"/>
  <c r="D9057" i="9"/>
  <c r="D9056" i="9"/>
  <c r="F9056" i="9" s="1"/>
  <c r="F9014" i="9"/>
  <c r="F9016" i="9" s="1"/>
  <c r="E9007" i="9"/>
  <c r="D9007" i="9"/>
  <c r="D9006" i="9"/>
  <c r="F9006" i="9" s="1"/>
  <c r="F8996" i="9"/>
  <c r="F9007" i="9" l="1"/>
  <c r="F9057" i="9"/>
  <c r="F9060" i="9" s="1"/>
  <c r="F9052" i="9" s="1"/>
  <c r="F9046" i="9"/>
  <c r="F9010" i="9"/>
  <c r="F9002" i="9"/>
  <c r="F9069" i="9" l="1"/>
  <c r="H9069" i="9" s="1"/>
  <c r="F9019" i="9"/>
  <c r="H9019" i="9" s="1"/>
  <c r="F12280" i="9"/>
  <c r="F12281" i="9"/>
  <c r="F12287" i="9" s="1"/>
  <c r="F12282" i="9"/>
  <c r="D12300" i="9"/>
  <c r="F12300" i="9" s="1"/>
  <c r="D12301" i="9"/>
  <c r="F12301" i="9" s="1"/>
  <c r="E12301" i="9"/>
  <c r="D12302" i="9"/>
  <c r="F12302" i="9" s="1"/>
  <c r="D12303" i="9"/>
  <c r="F12303" i="9" s="1"/>
  <c r="E12303" i="9"/>
  <c r="F12309" i="9"/>
  <c r="F12311" i="9" s="1"/>
  <c r="F12216" i="9"/>
  <c r="F12223" i="9" s="1"/>
  <c r="F12217" i="9"/>
  <c r="F12218" i="9"/>
  <c r="D12236" i="9"/>
  <c r="F12236" i="9"/>
  <c r="F12241" i="9" s="1"/>
  <c r="F12227" i="9" s="1"/>
  <c r="F12232" i="9" s="1"/>
  <c r="D12237" i="9"/>
  <c r="F12237" i="9" s="1"/>
  <c r="E12237" i="9"/>
  <c r="F12245" i="9"/>
  <c r="F12247" i="9"/>
  <c r="F12151" i="9"/>
  <c r="F12152" i="9"/>
  <c r="F12153" i="9"/>
  <c r="F12158" i="9"/>
  <c r="D12171" i="9"/>
  <c r="F12171" i="9" s="1"/>
  <c r="D12172" i="9"/>
  <c r="F12172" i="9" s="1"/>
  <c r="E12172" i="9"/>
  <c r="F12180" i="9"/>
  <c r="F12182" i="9" s="1"/>
  <c r="F12087" i="9"/>
  <c r="F12094" i="9" s="1"/>
  <c r="F12088" i="9"/>
  <c r="F12089" i="9"/>
  <c r="D12107" i="9"/>
  <c r="F12107" i="9" s="1"/>
  <c r="D12108" i="9"/>
  <c r="E12108" i="9"/>
  <c r="F12108" i="9" s="1"/>
  <c r="F12116" i="9"/>
  <c r="F12118" i="9" s="1"/>
  <c r="F12022" i="9"/>
  <c r="F12029" i="9" s="1"/>
  <c r="F12023" i="9"/>
  <c r="F12024" i="9"/>
  <c r="D12042" i="9"/>
  <c r="F12042" i="9"/>
  <c r="D12043" i="9"/>
  <c r="E12043" i="9"/>
  <c r="F12043" i="9"/>
  <c r="D12044" i="9"/>
  <c r="F12044" i="9" s="1"/>
  <c r="D12045" i="9"/>
  <c r="E12045" i="9"/>
  <c r="F12045" i="9"/>
  <c r="F12051" i="9"/>
  <c r="F12053" i="9" s="1"/>
  <c r="F11957" i="9"/>
  <c r="F11964" i="9" s="1"/>
  <c r="F11958" i="9"/>
  <c r="F11959" i="9"/>
  <c r="D11977" i="9"/>
  <c r="F11977" i="9" s="1"/>
  <c r="D11978" i="9"/>
  <c r="F11978" i="9" s="1"/>
  <c r="E11978" i="9"/>
  <c r="D11979" i="9"/>
  <c r="F11979" i="9" s="1"/>
  <c r="D11980" i="9"/>
  <c r="E11980" i="9"/>
  <c r="F11980" i="9" s="1"/>
  <c r="F11986" i="9"/>
  <c r="F11988" i="9" s="1"/>
  <c r="F11893" i="9"/>
  <c r="F11900" i="9" s="1"/>
  <c r="F11894" i="9"/>
  <c r="F11895" i="9"/>
  <c r="D11913" i="9"/>
  <c r="F11913" i="9"/>
  <c r="D11914" i="9"/>
  <c r="E11914" i="9"/>
  <c r="F11914" i="9"/>
  <c r="D11915" i="9"/>
  <c r="F11915" i="9" s="1"/>
  <c r="D11916" i="9"/>
  <c r="E11916" i="9"/>
  <c r="F11916" i="9"/>
  <c r="F11922" i="9"/>
  <c r="F11924" i="9" s="1"/>
  <c r="F11828" i="9"/>
  <c r="F11835" i="9" s="1"/>
  <c r="F11829" i="9"/>
  <c r="F11830" i="9"/>
  <c r="D11848" i="9"/>
  <c r="F11848" i="9" s="1"/>
  <c r="D11849" i="9"/>
  <c r="F11849" i="9" s="1"/>
  <c r="E11849" i="9"/>
  <c r="D11850" i="9"/>
  <c r="F11850" i="9" s="1"/>
  <c r="D11851" i="9"/>
  <c r="E11851" i="9"/>
  <c r="F11851" i="9" s="1"/>
  <c r="F11857" i="9"/>
  <c r="F11859" i="9" s="1"/>
  <c r="F11764" i="9"/>
  <c r="F11771" i="9" s="1"/>
  <c r="F11765" i="9"/>
  <c r="F11766" i="9"/>
  <c r="D11784" i="9"/>
  <c r="F11784" i="9"/>
  <c r="D11785" i="9"/>
  <c r="E11785" i="9"/>
  <c r="F11785" i="9"/>
  <c r="F11792" i="9"/>
  <c r="F11794" i="9"/>
  <c r="F11700" i="9"/>
  <c r="F11701" i="9"/>
  <c r="F11707" i="9" s="1"/>
  <c r="F11702" i="9"/>
  <c r="D11720" i="9"/>
  <c r="F11720" i="9" s="1"/>
  <c r="F11724" i="9" s="1"/>
  <c r="F11711" i="9" s="1"/>
  <c r="F11716" i="9" s="1"/>
  <c r="D11721" i="9"/>
  <c r="F11721" i="9" s="1"/>
  <c r="E11721" i="9"/>
  <c r="F11728" i="9"/>
  <c r="F11730" i="9" s="1"/>
  <c r="F11636" i="9"/>
  <c r="F11637" i="9"/>
  <c r="F11638" i="9"/>
  <c r="F11643" i="9" s="1"/>
  <c r="D11656" i="9"/>
  <c r="F11656" i="9"/>
  <c r="D11657" i="9"/>
  <c r="E11657" i="9"/>
  <c r="F11657" i="9" s="1"/>
  <c r="F11665" i="9"/>
  <c r="F11667" i="9"/>
  <c r="F11571" i="9"/>
  <c r="F11572" i="9"/>
  <c r="F11573" i="9"/>
  <c r="F11578" i="9"/>
  <c r="D11591" i="9"/>
  <c r="F11591" i="9" s="1"/>
  <c r="F11596" i="9" s="1"/>
  <c r="F11582" i="9" s="1"/>
  <c r="F11587" i="9" s="1"/>
  <c r="D11592" i="9"/>
  <c r="E11592" i="9"/>
  <c r="F11592" i="9"/>
  <c r="F11600" i="9"/>
  <c r="F11602" i="9" s="1"/>
  <c r="F11506" i="9"/>
  <c r="F11507" i="9"/>
  <c r="F11513" i="9" s="1"/>
  <c r="F11508" i="9"/>
  <c r="D11526" i="9"/>
  <c r="F11526" i="9" s="1"/>
  <c r="D11527" i="9"/>
  <c r="F11527" i="9" s="1"/>
  <c r="E11527" i="9"/>
  <c r="F11534" i="9"/>
  <c r="F11536" i="9" s="1"/>
  <c r="F11442" i="9"/>
  <c r="F11443" i="9"/>
  <c r="F11444" i="9"/>
  <c r="F11449" i="9" s="1"/>
  <c r="D11462" i="9"/>
  <c r="F11462" i="9"/>
  <c r="D11463" i="9"/>
  <c r="F11463" i="9" s="1"/>
  <c r="E11463" i="9"/>
  <c r="F11471" i="9"/>
  <c r="F11473" i="9"/>
  <c r="F11376" i="9"/>
  <c r="F11377" i="9"/>
  <c r="F11378" i="9"/>
  <c r="F11383" i="9"/>
  <c r="D11396" i="9"/>
  <c r="F11396" i="9" s="1"/>
  <c r="F11401" i="9" s="1"/>
  <c r="F11387" i="9" s="1"/>
  <c r="F11392" i="9" s="1"/>
  <c r="F11410" i="9" s="1"/>
  <c r="D11397" i="9"/>
  <c r="F11397" i="9" s="1"/>
  <c r="E11397" i="9"/>
  <c r="F11405" i="9"/>
  <c r="F11407" i="9" s="1"/>
  <c r="F11311" i="9"/>
  <c r="F11318" i="9" s="1"/>
  <c r="F11312" i="9"/>
  <c r="F11313" i="9"/>
  <c r="D11331" i="9"/>
  <c r="F11331" i="9" s="1"/>
  <c r="F11336" i="9" s="1"/>
  <c r="F11322" i="9" s="1"/>
  <c r="F11327" i="9" s="1"/>
  <c r="D11332" i="9"/>
  <c r="E11332" i="9"/>
  <c r="F11332" i="9" s="1"/>
  <c r="F11340" i="9"/>
  <c r="F11342" i="9" s="1"/>
  <c r="F11246" i="9"/>
  <c r="F11253" i="9" s="1"/>
  <c r="F11247" i="9"/>
  <c r="F11248" i="9"/>
  <c r="D11266" i="9"/>
  <c r="F11266" i="9"/>
  <c r="F11271" i="9" s="1"/>
  <c r="F11257" i="9" s="1"/>
  <c r="D11267" i="9"/>
  <c r="E11267" i="9"/>
  <c r="F11267" i="9"/>
  <c r="D11268" i="9"/>
  <c r="F11268" i="9" s="1"/>
  <c r="D11269" i="9"/>
  <c r="E11269" i="9"/>
  <c r="F11269" i="9"/>
  <c r="F11262" i="9"/>
  <c r="F11275" i="9"/>
  <c r="F11277" i="9" s="1"/>
  <c r="F11183" i="9"/>
  <c r="F11190" i="9" s="1"/>
  <c r="F11184" i="9"/>
  <c r="F11185" i="9"/>
  <c r="D11203" i="9"/>
  <c r="F11203" i="9" s="1"/>
  <c r="D11204" i="9"/>
  <c r="F11204" i="9" s="1"/>
  <c r="E11204" i="9"/>
  <c r="F11211" i="9"/>
  <c r="F11213" i="9" s="1"/>
  <c r="F11121" i="9"/>
  <c r="F11122" i="9"/>
  <c r="F11123" i="9"/>
  <c r="F11128" i="9" s="1"/>
  <c r="D11141" i="9"/>
  <c r="F11141" i="9"/>
  <c r="D11142" i="9"/>
  <c r="F11142" i="9" s="1"/>
  <c r="E11142" i="9"/>
  <c r="F11149" i="9"/>
  <c r="F11151" i="9"/>
  <c r="F11060" i="9"/>
  <c r="F11061" i="9"/>
  <c r="F11062" i="9"/>
  <c r="F11067" i="9"/>
  <c r="D11080" i="9"/>
  <c r="F11080" i="9" s="1"/>
  <c r="F11084" i="9" s="1"/>
  <c r="F11071" i="9" s="1"/>
  <c r="F11076" i="9" s="1"/>
  <c r="F11093" i="9" s="1"/>
  <c r="D11081" i="9"/>
  <c r="F11081" i="9" s="1"/>
  <c r="E11081" i="9"/>
  <c r="F11088" i="9"/>
  <c r="F11090" i="9" s="1"/>
  <c r="F10998" i="9"/>
  <c r="F11005" i="9" s="1"/>
  <c r="F10999" i="9"/>
  <c r="F11000" i="9"/>
  <c r="D11018" i="9"/>
  <c r="F11018" i="9" s="1"/>
  <c r="D11019" i="9"/>
  <c r="E11019" i="9"/>
  <c r="F11019" i="9" s="1"/>
  <c r="F11026" i="9"/>
  <c r="F11028" i="9" s="1"/>
  <c r="F10937" i="9"/>
  <c r="F10944" i="9" s="1"/>
  <c r="F10938" i="9"/>
  <c r="F10939" i="9"/>
  <c r="D10957" i="9"/>
  <c r="F10957" i="9"/>
  <c r="D10958" i="9"/>
  <c r="E10958" i="9"/>
  <c r="F10958" i="9"/>
  <c r="F10965" i="9"/>
  <c r="F10967" i="9"/>
  <c r="F10877" i="9"/>
  <c r="F10878" i="9"/>
  <c r="F10884" i="9" s="1"/>
  <c r="F10879" i="9"/>
  <c r="D10897" i="9"/>
  <c r="F10897" i="9" s="1"/>
  <c r="D10898" i="9"/>
  <c r="F10898" i="9" s="1"/>
  <c r="F10901" i="9" s="1"/>
  <c r="F10888" i="9" s="1"/>
  <c r="F10893" i="9" s="1"/>
  <c r="E10898" i="9"/>
  <c r="F10905" i="9"/>
  <c r="F10907" i="9" s="1"/>
  <c r="F10817" i="9"/>
  <c r="F10818" i="9"/>
  <c r="F10819" i="9"/>
  <c r="F10824" i="9" s="1"/>
  <c r="D10837" i="9"/>
  <c r="F10837" i="9" s="1"/>
  <c r="D10838" i="9"/>
  <c r="E10838" i="9"/>
  <c r="F10838" i="9" s="1"/>
  <c r="F10845" i="9"/>
  <c r="F10847" i="9" s="1"/>
  <c r="F10758" i="9"/>
  <c r="F10759" i="9"/>
  <c r="F10760" i="9"/>
  <c r="F10765" i="9"/>
  <c r="D10778" i="9"/>
  <c r="F10778" i="9" s="1"/>
  <c r="F10782" i="9" s="1"/>
  <c r="F10769" i="9" s="1"/>
  <c r="F10774" i="9" s="1"/>
  <c r="D10779" i="9"/>
  <c r="E10779" i="9"/>
  <c r="F10779" i="9"/>
  <c r="F10786" i="9"/>
  <c r="F10788" i="9" s="1"/>
  <c r="F10693" i="9"/>
  <c r="F10700" i="9"/>
  <c r="D10713" i="9"/>
  <c r="F10713" i="9" s="1"/>
  <c r="F10717" i="9" s="1"/>
  <c r="F10704" i="9" s="1"/>
  <c r="F10709" i="9" s="1"/>
  <c r="F10726" i="9" s="1"/>
  <c r="D10714" i="9"/>
  <c r="F10714" i="9" s="1"/>
  <c r="E10714" i="9"/>
  <c r="F10721" i="9"/>
  <c r="F10723" i="9" s="1"/>
  <c r="F10628" i="9"/>
  <c r="F10635" i="9" s="1"/>
  <c r="D10648" i="9"/>
  <c r="F10648" i="9" s="1"/>
  <c r="D10649" i="9"/>
  <c r="F10649" i="9" s="1"/>
  <c r="E10649" i="9"/>
  <c r="F10652" i="9"/>
  <c r="F10639" i="9" s="1"/>
  <c r="F10644" i="9" s="1"/>
  <c r="F10656" i="9"/>
  <c r="F10658" i="9" s="1"/>
  <c r="F10565" i="9"/>
  <c r="F10572" i="9" s="1"/>
  <c r="D10585" i="9"/>
  <c r="F10585" i="9" s="1"/>
  <c r="D10586" i="9"/>
  <c r="F10586" i="9" s="1"/>
  <c r="E10586" i="9"/>
  <c r="F10593" i="9"/>
  <c r="F10595" i="9" s="1"/>
  <c r="F10502" i="9"/>
  <c r="F10503" i="9"/>
  <c r="F10509" i="9"/>
  <c r="D10522" i="9"/>
  <c r="F10522" i="9" s="1"/>
  <c r="F10526" i="9" s="1"/>
  <c r="F10513" i="9" s="1"/>
  <c r="F10518" i="9" s="1"/>
  <c r="F10535" i="9" s="1"/>
  <c r="D10523" i="9"/>
  <c r="F10523" i="9" s="1"/>
  <c r="E10523" i="9"/>
  <c r="F10530" i="9"/>
  <c r="F10532" i="9" s="1"/>
  <c r="F10439" i="9"/>
  <c r="F10446" i="9" s="1"/>
  <c r="F10472" i="9" s="1"/>
  <c r="F10440" i="9"/>
  <c r="F10441" i="9"/>
  <c r="F10442" i="9"/>
  <c r="F10443" i="9"/>
  <c r="F10444" i="9"/>
  <c r="D10459" i="9"/>
  <c r="F10459" i="9" s="1"/>
  <c r="F10463" i="9" s="1"/>
  <c r="F10450" i="9" s="1"/>
  <c r="F10455" i="9" s="1"/>
  <c r="D10460" i="9"/>
  <c r="F10460" i="9" s="1"/>
  <c r="E10460" i="9"/>
  <c r="F10467" i="9"/>
  <c r="F10469" i="9" s="1"/>
  <c r="F10377" i="9"/>
  <c r="F10378" i="9"/>
  <c r="F10379" i="9"/>
  <c r="F10380" i="9"/>
  <c r="F10381" i="9"/>
  <c r="F10382" i="9"/>
  <c r="D10397" i="9"/>
  <c r="F10397" i="9"/>
  <c r="D10398" i="9"/>
  <c r="E10398" i="9"/>
  <c r="F10398" i="9" s="1"/>
  <c r="F10405" i="9"/>
  <c r="F10407" i="9" s="1"/>
  <c r="F9991" i="9"/>
  <c r="F9996" i="9" s="1"/>
  <c r="F9992" i="9"/>
  <c r="D10009" i="9"/>
  <c r="F10009" i="9" s="1"/>
  <c r="F10013" i="9" s="1"/>
  <c r="F10000" i="9" s="1"/>
  <c r="F10005" i="9" s="1"/>
  <c r="D10010" i="9"/>
  <c r="F10010" i="9" s="1"/>
  <c r="E10010" i="9"/>
  <c r="F10017" i="9"/>
  <c r="F10019" i="9" s="1"/>
  <c r="F9930" i="9"/>
  <c r="F9931" i="9"/>
  <c r="F9935" i="9"/>
  <c r="D9948" i="9"/>
  <c r="F9948" i="9" s="1"/>
  <c r="D9949" i="9"/>
  <c r="F9949" i="9" s="1"/>
  <c r="E9949" i="9"/>
  <c r="F9956" i="9"/>
  <c r="F9958" i="9" s="1"/>
  <c r="F9869" i="9"/>
  <c r="F9874" i="9" s="1"/>
  <c r="D9887" i="9"/>
  <c r="F9887" i="9"/>
  <c r="D9888" i="9"/>
  <c r="F9888" i="9" s="1"/>
  <c r="E9888" i="9"/>
  <c r="F9891" i="9"/>
  <c r="F9878" i="9" s="1"/>
  <c r="F9883" i="9" s="1"/>
  <c r="F9895" i="9"/>
  <c r="F9897" i="9"/>
  <c r="F9808" i="9"/>
  <c r="F9813" i="9" s="1"/>
  <c r="D9826" i="9"/>
  <c r="F9826" i="9" s="1"/>
  <c r="F9830" i="9" s="1"/>
  <c r="F9817" i="9" s="1"/>
  <c r="F9822" i="9" s="1"/>
  <c r="D9827" i="9"/>
  <c r="E9827" i="9"/>
  <c r="F9827" i="9"/>
  <c r="F9834" i="9"/>
  <c r="F9836" i="9" s="1"/>
  <c r="F9749" i="9"/>
  <c r="F9754" i="9" s="1"/>
  <c r="D9767" i="9"/>
  <c r="F9767" i="9" s="1"/>
  <c r="F9771" i="9" s="1"/>
  <c r="F9758" i="9" s="1"/>
  <c r="F9763" i="9" s="1"/>
  <c r="D9768" i="9"/>
  <c r="E9768" i="9"/>
  <c r="F9768" i="9" s="1"/>
  <c r="F9759" i="9"/>
  <c r="F9760" i="9"/>
  <c r="F9761" i="9"/>
  <c r="F9775" i="9"/>
  <c r="F9777" i="9" s="1"/>
  <c r="F9690" i="9"/>
  <c r="F9691" i="9"/>
  <c r="F9695" i="9"/>
  <c r="D9708" i="9"/>
  <c r="F9708" i="9" s="1"/>
  <c r="D9709" i="9"/>
  <c r="F9709" i="9" s="1"/>
  <c r="E9709" i="9"/>
  <c r="F9700" i="9"/>
  <c r="F9716" i="9"/>
  <c r="F9718" i="9"/>
  <c r="F9633" i="9"/>
  <c r="F9634" i="9"/>
  <c r="F9635" i="9"/>
  <c r="F9638" i="9"/>
  <c r="D9651" i="9"/>
  <c r="F9651" i="9" s="1"/>
  <c r="D9652" i="9"/>
  <c r="F9652" i="9" s="1"/>
  <c r="E9652" i="9"/>
  <c r="F9659" i="9"/>
  <c r="F9661" i="9" s="1"/>
  <c r="F9576" i="9"/>
  <c r="F9581" i="9" s="1"/>
  <c r="F9577" i="9"/>
  <c r="D9594" i="9"/>
  <c r="F9594" i="9"/>
  <c r="F9598" i="9" s="1"/>
  <c r="F9585" i="9" s="1"/>
  <c r="F9590" i="9" s="1"/>
  <c r="D9595" i="9"/>
  <c r="E9595" i="9"/>
  <c r="F9595" i="9"/>
  <c r="F9602" i="9"/>
  <c r="F9604" i="9"/>
  <c r="F9519" i="9"/>
  <c r="F9520" i="9"/>
  <c r="F9521" i="9"/>
  <c r="D9537" i="9"/>
  <c r="F9537" i="9"/>
  <c r="D9538" i="9"/>
  <c r="F9538" i="9" s="1"/>
  <c r="F9541" i="9" s="1"/>
  <c r="F9528" i="9" s="1"/>
  <c r="F9533" i="9" s="1"/>
  <c r="E9538" i="9"/>
  <c r="F9529" i="9"/>
  <c r="F9545" i="9"/>
  <c r="F9547" i="9"/>
  <c r="F9463" i="9"/>
  <c r="F9468" i="9"/>
  <c r="D9481" i="9"/>
  <c r="F9481" i="9" s="1"/>
  <c r="F9485" i="9" s="1"/>
  <c r="F9472" i="9" s="1"/>
  <c r="D9482" i="9"/>
  <c r="E9482" i="9"/>
  <c r="F9482" i="9"/>
  <c r="F9473" i="9"/>
  <c r="F9474" i="9"/>
  <c r="F9489" i="9"/>
  <c r="F9491" i="9" s="1"/>
  <c r="F9407" i="9"/>
  <c r="F9408" i="9"/>
  <c r="F9409" i="9"/>
  <c r="F9412" i="9" s="1"/>
  <c r="D9425" i="9"/>
  <c r="F9425" i="9" s="1"/>
  <c r="D9426" i="9"/>
  <c r="E9426" i="9"/>
  <c r="F9426" i="9" s="1"/>
  <c r="F9433" i="9"/>
  <c r="F9435" i="9" s="1"/>
  <c r="F9352" i="9"/>
  <c r="F9357" i="9" s="1"/>
  <c r="F9353" i="9"/>
  <c r="F9354" i="9"/>
  <c r="F9355" i="9"/>
  <c r="D9370" i="9"/>
  <c r="F9370" i="9" s="1"/>
  <c r="D9371" i="9"/>
  <c r="E9371" i="9"/>
  <c r="F9371" i="9" s="1"/>
  <c r="F9378" i="9"/>
  <c r="F9380" i="9" s="1"/>
  <c r="F9298" i="9"/>
  <c r="F9299" i="9"/>
  <c r="F9300" i="9"/>
  <c r="F9303" i="9"/>
  <c r="D9316" i="9"/>
  <c r="F9316" i="9" s="1"/>
  <c r="F9320" i="9" s="1"/>
  <c r="F9307" i="9" s="1"/>
  <c r="F9312" i="9" s="1"/>
  <c r="D9317" i="9"/>
  <c r="E9317" i="9"/>
  <c r="F9317" i="9"/>
  <c r="F9324" i="9"/>
  <c r="F9326" i="9" s="1"/>
  <c r="F9244" i="9"/>
  <c r="F9249" i="9" s="1"/>
  <c r="F9245" i="9"/>
  <c r="F9246" i="9"/>
  <c r="D9262" i="9"/>
  <c r="F9262" i="9" s="1"/>
  <c r="F9266" i="9" s="1"/>
  <c r="F9253" i="9" s="1"/>
  <c r="F9258" i="9" s="1"/>
  <c r="D9263" i="9"/>
  <c r="E9263" i="9"/>
  <c r="F9263" i="9"/>
  <c r="F9270" i="9"/>
  <c r="F9272" i="9" s="1"/>
  <c r="F9190" i="9"/>
  <c r="F9195" i="9" s="1"/>
  <c r="F9191" i="9"/>
  <c r="F9192" i="9"/>
  <c r="F9193" i="9"/>
  <c r="D9208" i="9"/>
  <c r="F9208" i="9" s="1"/>
  <c r="F9212" i="9" s="1"/>
  <c r="F9199" i="9" s="1"/>
  <c r="F9204" i="9" s="1"/>
  <c r="D9209" i="9"/>
  <c r="E9209" i="9"/>
  <c r="F9209" i="9"/>
  <c r="F9200" i="9"/>
  <c r="F9201" i="9"/>
  <c r="F9202" i="9"/>
  <c r="F9216" i="9"/>
  <c r="F9218" i="9" s="1"/>
  <c r="F9140" i="9"/>
  <c r="F9141" i="9"/>
  <c r="F9145" i="9"/>
  <c r="D9155" i="9"/>
  <c r="F9155" i="9" s="1"/>
  <c r="F9159" i="9" s="1"/>
  <c r="F9149" i="9" s="1"/>
  <c r="F9151" i="9" s="1"/>
  <c r="D9156" i="9"/>
  <c r="F9156" i="9" s="1"/>
  <c r="E9156" i="9"/>
  <c r="F9163" i="9"/>
  <c r="F9165" i="9" s="1"/>
  <c r="F9089" i="9"/>
  <c r="F9095" i="9" s="1"/>
  <c r="F9118" i="9" s="1"/>
  <c r="F9090" i="9"/>
  <c r="F9091" i="9"/>
  <c r="D9105" i="9"/>
  <c r="F9105" i="9" s="1"/>
  <c r="F9109" i="9" s="1"/>
  <c r="F9099" i="9" s="1"/>
  <c r="F9101" i="9" s="1"/>
  <c r="D9106" i="9"/>
  <c r="E9106" i="9"/>
  <c r="F9106" i="9"/>
  <c r="F9113" i="9"/>
  <c r="F9115" i="9" s="1"/>
  <c r="F6406" i="9"/>
  <c r="F6413" i="9" s="1"/>
  <c r="F6407" i="9"/>
  <c r="F6408" i="9"/>
  <c r="F6409" i="9"/>
  <c r="F6410" i="9"/>
  <c r="F6411" i="9"/>
  <c r="D6428" i="9"/>
  <c r="F6428" i="9"/>
  <c r="D6429" i="9"/>
  <c r="F6429" i="9" s="1"/>
  <c r="E6429" i="9"/>
  <c r="F6438" i="9"/>
  <c r="F6349" i="9"/>
  <c r="F6350" i="9"/>
  <c r="F6351" i="9"/>
  <c r="F6352" i="9"/>
  <c r="F6353" i="9"/>
  <c r="D6370" i="9"/>
  <c r="F6370" i="9" s="1"/>
  <c r="F6374" i="9" s="1"/>
  <c r="F6359" i="9" s="1"/>
  <c r="F6366" i="9" s="1"/>
  <c r="D6371" i="9"/>
  <c r="F6371" i="9" s="1"/>
  <c r="E6371" i="9"/>
  <c r="F6380" i="9"/>
  <c r="F6077" i="9"/>
  <c r="F6083" i="9" s="1"/>
  <c r="F6078" i="9"/>
  <c r="F6079" i="9"/>
  <c r="D6098" i="9"/>
  <c r="F6098" i="9" s="1"/>
  <c r="F6102" i="9" s="1"/>
  <c r="F6087" i="9" s="1"/>
  <c r="F6094" i="9" s="1"/>
  <c r="D6099" i="9"/>
  <c r="E6099" i="9"/>
  <c r="F6099" i="9"/>
  <c r="F6088" i="9"/>
  <c r="F6089" i="9"/>
  <c r="F6090" i="9"/>
  <c r="F6091" i="9"/>
  <c r="F6108" i="9"/>
  <c r="F6051" i="9"/>
  <c r="F6054" i="9" s="1"/>
  <c r="F6044" i="9"/>
  <c r="F6048" i="9" s="1"/>
  <c r="F6055" i="9" s="1"/>
  <c r="E6038" i="9"/>
  <c r="F6038" i="9" s="1"/>
  <c r="F6041" i="9" s="1"/>
  <c r="F6032" i="9"/>
  <c r="F6035" i="9" s="1"/>
  <c r="F6033" i="9"/>
  <c r="A6028" i="9"/>
  <c r="A6032" i="9" s="1"/>
  <c r="C6027" i="9"/>
  <c r="F6017" i="9"/>
  <c r="F6020" i="9"/>
  <c r="F6010" i="9"/>
  <c r="F6014" i="9" s="1"/>
  <c r="E6004" i="9"/>
  <c r="F6004" i="9"/>
  <c r="F6007" i="9" s="1"/>
  <c r="F5996" i="9"/>
  <c r="F6001" i="9" s="1"/>
  <c r="F5997" i="9"/>
  <c r="F5998" i="9"/>
  <c r="C5991" i="9"/>
  <c r="F5981" i="9"/>
  <c r="F5984" i="9" s="1"/>
  <c r="F5985" i="9" s="1"/>
  <c r="F5974" i="9"/>
  <c r="F5978" i="9" s="1"/>
  <c r="E5968" i="9"/>
  <c r="F5968" i="9" s="1"/>
  <c r="F5971" i="9" s="1"/>
  <c r="F5960" i="9"/>
  <c r="F5961" i="9"/>
  <c r="F5965" i="9" s="1"/>
  <c r="F5962" i="9"/>
  <c r="F5956" i="9"/>
  <c r="A5956" i="9"/>
  <c r="C5955" i="9"/>
  <c r="F5945" i="9"/>
  <c r="F5948" i="9"/>
  <c r="F5938" i="9"/>
  <c r="F5942" i="9" s="1"/>
  <c r="E5932" i="9"/>
  <c r="F5932" i="9"/>
  <c r="F5935" i="9"/>
  <c r="F5921" i="9"/>
  <c r="F5922" i="9"/>
  <c r="F5929" i="9" s="1"/>
  <c r="F5923" i="9"/>
  <c r="F5924" i="9"/>
  <c r="F5925" i="9"/>
  <c r="F5926" i="9"/>
  <c r="F5927" i="9"/>
  <c r="F5917" i="9"/>
  <c r="A5917" i="9"/>
  <c r="C5916" i="9"/>
  <c r="E5906" i="9"/>
  <c r="F5906" i="9" s="1"/>
  <c r="F5909" i="9" s="1"/>
  <c r="F5899" i="9"/>
  <c r="F5903" i="9" s="1"/>
  <c r="E5893" i="9"/>
  <c r="F5893" i="9"/>
  <c r="F5896" i="9" s="1"/>
  <c r="F5885" i="9"/>
  <c r="F5890" i="9" s="1"/>
  <c r="F5886" i="9"/>
  <c r="F5881" i="9"/>
  <c r="A5881" i="9"/>
  <c r="F5870" i="9"/>
  <c r="F5873" i="9" s="1"/>
  <c r="F5863" i="9"/>
  <c r="F5867" i="9" s="1"/>
  <c r="E5857" i="9"/>
  <c r="F5857" i="9" s="1"/>
  <c r="F5860" i="9" s="1"/>
  <c r="E5851" i="9"/>
  <c r="F5851" i="9"/>
  <c r="F5854" i="9" s="1"/>
  <c r="E5852" i="9"/>
  <c r="F5852" i="9" s="1"/>
  <c r="F5847" i="9"/>
  <c r="A5847" i="9"/>
  <c r="F5836" i="9"/>
  <c r="F5839" i="9"/>
  <c r="F5829" i="9"/>
  <c r="F5833" i="9" s="1"/>
  <c r="E5823" i="9"/>
  <c r="F5823" i="9"/>
  <c r="F5826" i="9" s="1"/>
  <c r="F5817" i="9"/>
  <c r="F5818" i="9"/>
  <c r="F5820" i="9"/>
  <c r="A5813" i="9"/>
  <c r="C5812" i="9"/>
  <c r="F5802" i="9"/>
  <c r="F5805" i="9" s="1"/>
  <c r="F5795" i="9"/>
  <c r="F5799" i="9" s="1"/>
  <c r="E5789" i="9"/>
  <c r="F5789" i="9" s="1"/>
  <c r="F5792" i="9" s="1"/>
  <c r="F5783" i="9"/>
  <c r="F5784" i="9"/>
  <c r="F5786" i="9" s="1"/>
  <c r="A5780" i="9"/>
  <c r="A5779" i="9"/>
  <c r="C5778" i="9"/>
  <c r="F5768" i="9"/>
  <c r="F5771" i="9" s="1"/>
  <c r="F5761" i="9"/>
  <c r="F5765" i="9" s="1"/>
  <c r="F5755" i="9"/>
  <c r="F5758" i="9" s="1"/>
  <c r="F5749" i="9"/>
  <c r="F5752" i="9" s="1"/>
  <c r="F5750" i="9"/>
  <c r="A5745" i="9"/>
  <c r="C5744" i="9"/>
  <c r="F5734" i="9"/>
  <c r="F5737" i="9" s="1"/>
  <c r="F5727" i="9"/>
  <c r="F5731" i="9" s="1"/>
  <c r="E5721" i="9"/>
  <c r="F5721" i="9" s="1"/>
  <c r="F5724" i="9" s="1"/>
  <c r="F5716" i="9"/>
  <c r="F5718" i="9"/>
  <c r="A5712" i="9"/>
  <c r="C5711" i="9"/>
  <c r="F5701" i="9"/>
  <c r="F5704" i="9" s="1"/>
  <c r="F5694" i="9"/>
  <c r="F5698" i="9" s="1"/>
  <c r="E5688" i="9"/>
  <c r="F5688" i="9" s="1"/>
  <c r="F5691" i="9" s="1"/>
  <c r="F5681" i="9"/>
  <c r="F5685" i="9" s="1"/>
  <c r="F5682" i="9"/>
  <c r="F5683" i="9"/>
  <c r="A5677" i="9"/>
  <c r="C5676" i="9"/>
  <c r="F5667" i="9"/>
  <c r="F5670" i="9" s="1"/>
  <c r="F5660" i="9"/>
  <c r="F5664" i="9" s="1"/>
  <c r="E5654" i="9"/>
  <c r="F5654" i="9" s="1"/>
  <c r="F5657" i="9" s="1"/>
  <c r="F5646" i="9"/>
  <c r="F5651" i="9"/>
  <c r="A5642" i="9"/>
  <c r="C5641" i="9"/>
  <c r="F5631" i="9"/>
  <c r="F5634" i="9" s="1"/>
  <c r="F5624" i="9"/>
  <c r="F5628" i="9"/>
  <c r="E5618" i="9"/>
  <c r="F5618" i="9" s="1"/>
  <c r="F5621" i="9" s="1"/>
  <c r="F5610" i="9"/>
  <c r="F5611" i="9"/>
  <c r="F5612" i="9"/>
  <c r="F5615" i="9"/>
  <c r="A5606" i="9"/>
  <c r="C5605" i="9"/>
  <c r="F5596" i="9"/>
  <c r="F5599" i="9" s="1"/>
  <c r="F5589" i="9"/>
  <c r="F5593" i="9" s="1"/>
  <c r="E5583" i="9"/>
  <c r="F5583" i="9" s="1"/>
  <c r="F5586" i="9" s="1"/>
  <c r="F5575" i="9"/>
  <c r="F5580" i="9" s="1"/>
  <c r="F5576" i="9"/>
  <c r="F5577" i="9"/>
  <c r="A5571" i="9"/>
  <c r="C5570" i="9"/>
  <c r="F5561" i="9"/>
  <c r="F5564" i="9" s="1"/>
  <c r="F5554" i="9"/>
  <c r="F5558" i="9" s="1"/>
  <c r="E5548" i="9"/>
  <c r="F5548" i="9" s="1"/>
  <c r="F5551" i="9" s="1"/>
  <c r="F5540" i="9"/>
  <c r="F5545" i="9"/>
  <c r="A5536" i="9"/>
  <c r="C5535" i="9"/>
  <c r="F5526" i="9"/>
  <c r="F5529" i="9" s="1"/>
  <c r="F5519" i="9"/>
  <c r="F5523" i="9" s="1"/>
  <c r="E5513" i="9"/>
  <c r="F5513" i="9" s="1"/>
  <c r="F5516" i="9" s="1"/>
  <c r="F5505" i="9"/>
  <c r="F5510" i="9"/>
  <c r="A5501" i="9"/>
  <c r="C5500" i="9"/>
  <c r="F5491" i="9"/>
  <c r="F5494" i="9" s="1"/>
  <c r="F5484" i="9"/>
  <c r="F5488" i="9" s="1"/>
  <c r="E5478" i="9"/>
  <c r="F5478" i="9" s="1"/>
  <c r="F5481" i="9" s="1"/>
  <c r="F5470" i="9"/>
  <c r="F5471" i="9"/>
  <c r="F5475" i="9" s="1"/>
  <c r="F5472" i="9"/>
  <c r="A5466" i="9"/>
  <c r="C5465" i="9"/>
  <c r="F5456" i="9"/>
  <c r="F5459" i="9" s="1"/>
  <c r="F5449" i="9"/>
  <c r="F5453" i="9" s="1"/>
  <c r="E5443" i="9"/>
  <c r="F5443" i="9" s="1"/>
  <c r="F5446" i="9" s="1"/>
  <c r="F5435" i="9"/>
  <c r="F5436" i="9"/>
  <c r="F5437" i="9"/>
  <c r="F5440" i="9"/>
  <c r="A5431" i="9"/>
  <c r="C5430" i="9"/>
  <c r="F5420" i="9"/>
  <c r="F5423" i="9" s="1"/>
  <c r="F5413" i="9"/>
  <c r="F5417" i="9" s="1"/>
  <c r="E5407" i="9"/>
  <c r="F5407" i="9" s="1"/>
  <c r="F5410" i="9" s="1"/>
  <c r="F5399" i="9"/>
  <c r="F5404" i="9"/>
  <c r="A5395" i="9"/>
  <c r="C5394" i="9"/>
  <c r="F5385" i="9"/>
  <c r="F5388" i="9" s="1"/>
  <c r="F5378" i="9"/>
  <c r="F5382" i="9" s="1"/>
  <c r="E5372" i="9"/>
  <c r="F5372" i="9" s="1"/>
  <c r="F5375" i="9" s="1"/>
  <c r="F5364" i="9"/>
  <c r="F5369" i="9"/>
  <c r="A5360" i="9"/>
  <c r="C5359" i="9"/>
  <c r="F5350" i="9"/>
  <c r="F5353" i="9" s="1"/>
  <c r="F5343" i="9"/>
  <c r="F5347" i="9" s="1"/>
  <c r="E5337" i="9"/>
  <c r="F5337" i="9" s="1"/>
  <c r="F5340" i="9" s="1"/>
  <c r="F5329" i="9"/>
  <c r="F5330" i="9"/>
  <c r="F5331" i="9"/>
  <c r="F5334" i="9"/>
  <c r="A5325" i="9"/>
  <c r="C5324" i="9"/>
  <c r="F5315" i="9"/>
  <c r="F5318" i="9" s="1"/>
  <c r="F5308" i="9"/>
  <c r="F5312" i="9" s="1"/>
  <c r="E5302" i="9"/>
  <c r="F5302" i="9" s="1"/>
  <c r="F5305" i="9"/>
  <c r="F5294" i="9"/>
  <c r="F5295" i="9"/>
  <c r="F5296" i="9"/>
  <c r="F5299" i="9"/>
  <c r="A5290" i="9"/>
  <c r="C5289" i="9"/>
  <c r="F5280" i="9"/>
  <c r="F5283" i="9" s="1"/>
  <c r="F5273" i="9"/>
  <c r="F5277" i="9" s="1"/>
  <c r="E5267" i="9"/>
  <c r="F5267" i="9" s="1"/>
  <c r="F5270" i="9" s="1"/>
  <c r="F5259" i="9"/>
  <c r="F5264" i="9"/>
  <c r="A5255" i="9"/>
  <c r="C5254" i="9"/>
  <c r="F5245" i="9"/>
  <c r="F5248" i="9" s="1"/>
  <c r="F5238" i="9"/>
  <c r="F5242" i="9" s="1"/>
  <c r="E5232" i="9"/>
  <c r="F5232" i="9" s="1"/>
  <c r="F5235" i="9" s="1"/>
  <c r="F5224" i="9"/>
  <c r="F5229" i="9"/>
  <c r="A5220" i="9"/>
  <c r="F5209" i="9"/>
  <c r="F5212" i="9"/>
  <c r="F5202" i="9"/>
  <c r="F5206" i="9" s="1"/>
  <c r="E5196" i="9"/>
  <c r="F5196" i="9"/>
  <c r="F5199" i="9" s="1"/>
  <c r="F5188" i="9"/>
  <c r="F5189" i="9"/>
  <c r="F5190" i="9"/>
  <c r="F5184" i="9"/>
  <c r="A5184" i="9"/>
  <c r="C5183" i="9"/>
  <c r="F5174" i="9"/>
  <c r="F5177" i="9" s="1"/>
  <c r="F5167" i="9"/>
  <c r="F5171" i="9" s="1"/>
  <c r="E5161" i="9"/>
  <c r="F5161" i="9" s="1"/>
  <c r="F5164" i="9" s="1"/>
  <c r="F5153" i="9"/>
  <c r="F5154" i="9"/>
  <c r="F5155" i="9"/>
  <c r="F5158" i="9"/>
  <c r="A5149" i="9"/>
  <c r="C5148" i="9"/>
  <c r="F10340" i="9"/>
  <c r="F10339" i="9"/>
  <c r="F10338" i="9"/>
  <c r="F10337" i="9"/>
  <c r="F10336" i="9"/>
  <c r="E10281" i="9"/>
  <c r="F10281" i="9" s="1"/>
  <c r="D10266" i="9"/>
  <c r="E10289" i="9"/>
  <c r="D10297" i="9"/>
  <c r="F10297" i="9"/>
  <c r="E10280" i="9"/>
  <c r="F10280" i="9"/>
  <c r="E10279" i="9"/>
  <c r="E10278" i="9"/>
  <c r="F8096" i="9"/>
  <c r="D7810" i="9"/>
  <c r="D7811" i="9"/>
  <c r="F7707" i="9"/>
  <c r="F7652" i="9"/>
  <c r="F3184" i="9"/>
  <c r="F3189" i="9" s="1"/>
  <c r="F3185" i="9"/>
  <c r="F3186" i="9"/>
  <c r="F3187" i="9"/>
  <c r="D3202" i="9"/>
  <c r="F3202" i="9" s="1"/>
  <c r="D3203" i="9"/>
  <c r="F3203" i="9" s="1"/>
  <c r="E3203" i="9"/>
  <c r="F3212" i="9"/>
  <c r="F643" i="9"/>
  <c r="F650" i="9"/>
  <c r="F658" i="9"/>
  <c r="F666" i="9"/>
  <c r="D670" i="9"/>
  <c r="F670" i="9"/>
  <c r="F672" i="9" s="1"/>
  <c r="F130" i="10"/>
  <c r="E4593" i="9"/>
  <c r="D4593" i="9"/>
  <c r="F4593" i="9"/>
  <c r="D4592" i="9"/>
  <c r="F4592" i="9"/>
  <c r="F4586" i="9"/>
  <c r="F4585" i="9"/>
  <c r="F4588" i="9"/>
  <c r="F4579" i="9"/>
  <c r="F4578" i="9"/>
  <c r="F4577" i="9"/>
  <c r="F4576" i="9"/>
  <c r="F4581" i="9"/>
  <c r="F5121" i="9"/>
  <c r="E5129" i="9"/>
  <c r="D5129" i="9"/>
  <c r="D5128" i="9"/>
  <c r="F5128" i="9"/>
  <c r="F5132" i="9" s="1"/>
  <c r="F5122" i="9"/>
  <c r="D5065" i="9"/>
  <c r="E606" i="9"/>
  <c r="F2155" i="9"/>
  <c r="D1977" i="9"/>
  <c r="H1747" i="9"/>
  <c r="D1736" i="9"/>
  <c r="F40" i="10"/>
  <c r="G40" i="10" s="1"/>
  <c r="F39" i="10"/>
  <c r="G39" i="10" s="1"/>
  <c r="D1678" i="9"/>
  <c r="F38" i="10"/>
  <c r="G38" i="10" s="1"/>
  <c r="F1460" i="9"/>
  <c r="C1331" i="9"/>
  <c r="C701" i="9"/>
  <c r="F701" i="9" s="1"/>
  <c r="E719" i="9"/>
  <c r="E776" i="9"/>
  <c r="F776" i="9" s="1"/>
  <c r="F727" i="9"/>
  <c r="F784" i="9"/>
  <c r="F786" i="9" s="1"/>
  <c r="D777" i="9"/>
  <c r="D776" i="9"/>
  <c r="F769" i="9"/>
  <c r="F757" i="9"/>
  <c r="F764" i="9" s="1"/>
  <c r="F5124" i="9"/>
  <c r="F5129" i="9"/>
  <c r="F772" i="9"/>
  <c r="E491" i="9"/>
  <c r="D442" i="9"/>
  <c r="F442" i="9"/>
  <c r="D614" i="9"/>
  <c r="F614" i="9" s="1"/>
  <c r="F599" i="9"/>
  <c r="D557" i="9"/>
  <c r="F557" i="9"/>
  <c r="F499" i="9"/>
  <c r="E434" i="9"/>
  <c r="E318" i="9"/>
  <c r="D326" i="9"/>
  <c r="H75" i="9"/>
  <c r="D65" i="9"/>
  <c r="F193" i="10"/>
  <c r="F15436" i="9"/>
  <c r="C16051" i="9"/>
  <c r="F16051" i="9" s="1"/>
  <c r="F16061" i="9" s="1"/>
  <c r="F16052" i="9"/>
  <c r="F16053" i="9"/>
  <c r="D16078" i="9"/>
  <c r="F16078" i="9" s="1"/>
  <c r="D16079" i="9"/>
  <c r="F16079" i="9" s="1"/>
  <c r="E16079" i="9"/>
  <c r="F16088" i="9"/>
  <c r="F16177" i="9"/>
  <c r="F16178" i="9"/>
  <c r="F16179" i="9"/>
  <c r="D16207" i="9"/>
  <c r="F16207" i="9"/>
  <c r="D16208" i="9"/>
  <c r="E16208" i="9"/>
  <c r="F16208" i="9"/>
  <c r="F16195" i="9"/>
  <c r="F16217" i="9"/>
  <c r="G376" i="10"/>
  <c r="G377" i="10"/>
  <c r="G375" i="10"/>
  <c r="G374" i="10"/>
  <c r="G373" i="10"/>
  <c r="G372" i="10"/>
  <c r="G371" i="10"/>
  <c r="G370" i="10"/>
  <c r="G369" i="10"/>
  <c r="G368" i="10"/>
  <c r="G367" i="10"/>
  <c r="G366" i="10"/>
  <c r="G365" i="10"/>
  <c r="G364" i="10"/>
  <c r="G363" i="10"/>
  <c r="G362" i="10"/>
  <c r="G361" i="10"/>
  <c r="G360" i="10"/>
  <c r="G359" i="10"/>
  <c r="G358" i="10"/>
  <c r="G357" i="10"/>
  <c r="G356" i="10"/>
  <c r="G355" i="10"/>
  <c r="G354" i="10"/>
  <c r="G353" i="10"/>
  <c r="G351" i="10"/>
  <c r="G349" i="10"/>
  <c r="G348" i="10"/>
  <c r="G347" i="10"/>
  <c r="G346" i="10"/>
  <c r="G345" i="10"/>
  <c r="G344" i="10"/>
  <c r="G343" i="10"/>
  <c r="G342" i="10"/>
  <c r="G341" i="10"/>
  <c r="G340" i="10"/>
  <c r="G339" i="10"/>
  <c r="G338" i="10"/>
  <c r="G337" i="10"/>
  <c r="G336" i="10"/>
  <c r="G335" i="10"/>
  <c r="G334" i="10"/>
  <c r="G333" i="10"/>
  <c r="G332" i="10"/>
  <c r="G331" i="10"/>
  <c r="G330" i="10"/>
  <c r="G329" i="10"/>
  <c r="G328" i="10"/>
  <c r="G327" i="10"/>
  <c r="G326" i="10"/>
  <c r="G325" i="10"/>
  <c r="G292" i="10"/>
  <c r="G291" i="10"/>
  <c r="G290" i="10"/>
  <c r="G289" i="10"/>
  <c r="G288" i="10"/>
  <c r="G287" i="10"/>
  <c r="G286" i="10"/>
  <c r="G294" i="10"/>
  <c r="G301" i="10"/>
  <c r="G300" i="10"/>
  <c r="G299" i="10"/>
  <c r="G298" i="10"/>
  <c r="G297" i="10"/>
  <c r="G296" i="10"/>
  <c r="G318" i="10"/>
  <c r="G317" i="10"/>
  <c r="G316" i="10"/>
  <c r="G315" i="10"/>
  <c r="G314" i="10"/>
  <c r="G313" i="10"/>
  <c r="G312" i="10"/>
  <c r="G311" i="10"/>
  <c r="G310" i="10"/>
  <c r="G309" i="10"/>
  <c r="G308" i="10"/>
  <c r="G307" i="10"/>
  <c r="G306" i="10"/>
  <c r="G305" i="10"/>
  <c r="G304" i="10"/>
  <c r="G303" i="10"/>
  <c r="F17404" i="9"/>
  <c r="C17394" i="9"/>
  <c r="D17394" i="9" s="1"/>
  <c r="F17394" i="9" s="1"/>
  <c r="C17395" i="9"/>
  <c r="D17395" i="9"/>
  <c r="F17395" i="9" s="1"/>
  <c r="C17396" i="9"/>
  <c r="D17396" i="9"/>
  <c r="F17396" i="9" s="1"/>
  <c r="C17397" i="9"/>
  <c r="D17397" i="9"/>
  <c r="F17397" i="9" s="1"/>
  <c r="F17383" i="9"/>
  <c r="F17390" i="9" s="1"/>
  <c r="C17369" i="9"/>
  <c r="F17369" i="9"/>
  <c r="C17370" i="9"/>
  <c r="F17370" i="9" s="1"/>
  <c r="F17371" i="9"/>
  <c r="C17372" i="9"/>
  <c r="F17372" i="9"/>
  <c r="C17373" i="9"/>
  <c r="F17373" i="9" s="1"/>
  <c r="C17374" i="9"/>
  <c r="F17374" i="9" s="1"/>
  <c r="F17352" i="9"/>
  <c r="C17342" i="9"/>
  <c r="D17342" i="9" s="1"/>
  <c r="F17342" i="9"/>
  <c r="C17343" i="9"/>
  <c r="D17343" i="9" s="1"/>
  <c r="F17343" i="9" s="1"/>
  <c r="C17344" i="9"/>
  <c r="D17344" i="9" s="1"/>
  <c r="F17344" i="9" s="1"/>
  <c r="C17345" i="9"/>
  <c r="D17345" i="9"/>
  <c r="F17345" i="9" s="1"/>
  <c r="F17331" i="9"/>
  <c r="F17332" i="9"/>
  <c r="F17338" i="9" s="1"/>
  <c r="C17318" i="9"/>
  <c r="F17318" i="9"/>
  <c r="C17319" i="9"/>
  <c r="F17319" i="9"/>
  <c r="C17320" i="9"/>
  <c r="F17320" i="9" s="1"/>
  <c r="C17321" i="9"/>
  <c r="F17321" i="9" s="1"/>
  <c r="C17322" i="9"/>
  <c r="F17322" i="9"/>
  <c r="C17323" i="9"/>
  <c r="F17323" i="9"/>
  <c r="C17324" i="9"/>
  <c r="F17324" i="9" s="1"/>
  <c r="F17325" i="9"/>
  <c r="F17299" i="9"/>
  <c r="C17289" i="9"/>
  <c r="D17289" i="9"/>
  <c r="F17289" i="9" s="1"/>
  <c r="C17290" i="9"/>
  <c r="D17290" i="9" s="1"/>
  <c r="F17290" i="9" s="1"/>
  <c r="C17291" i="9"/>
  <c r="D17291" i="9" s="1"/>
  <c r="F17291" i="9" s="1"/>
  <c r="C17292" i="9"/>
  <c r="D17292" i="9" s="1"/>
  <c r="F17292" i="9"/>
  <c r="F17277" i="9"/>
  <c r="F17285" i="9" s="1"/>
  <c r="F17278" i="9"/>
  <c r="F17279" i="9"/>
  <c r="C17265" i="9"/>
  <c r="F17265" i="9"/>
  <c r="C17266" i="9"/>
  <c r="F17266" i="9"/>
  <c r="C17267" i="9"/>
  <c r="F17267" i="9" s="1"/>
  <c r="C17268" i="9"/>
  <c r="F17268" i="9" s="1"/>
  <c r="F17249" i="9"/>
  <c r="C17239" i="9"/>
  <c r="D17239" i="9" s="1"/>
  <c r="F17239" i="9" s="1"/>
  <c r="C17240" i="9"/>
  <c r="D17240" i="9" s="1"/>
  <c r="F17240" i="9" s="1"/>
  <c r="C17241" i="9"/>
  <c r="D17241" i="9" s="1"/>
  <c r="F17241" i="9" s="1"/>
  <c r="C17242" i="9"/>
  <c r="D17242" i="9"/>
  <c r="F17242" i="9" s="1"/>
  <c r="F17227" i="9"/>
  <c r="F17228" i="9"/>
  <c r="F17229" i="9"/>
  <c r="C17214" i="9"/>
  <c r="F17214" i="9"/>
  <c r="C17215" i="9"/>
  <c r="F17215" i="9"/>
  <c r="C17216" i="9"/>
  <c r="F17216" i="9" s="1"/>
  <c r="C17217" i="9"/>
  <c r="F17217" i="9" s="1"/>
  <c r="C17218" i="9"/>
  <c r="F17218" i="9"/>
  <c r="C17219" i="9"/>
  <c r="F17219" i="9"/>
  <c r="C17181" i="9"/>
  <c r="D17181" i="9" s="1"/>
  <c r="F17181" i="9" s="1"/>
  <c r="C17180" i="9"/>
  <c r="D17180" i="9"/>
  <c r="F17180" i="9"/>
  <c r="C17179" i="9"/>
  <c r="D17179" i="9"/>
  <c r="F17179" i="9" s="1"/>
  <c r="C17178" i="9"/>
  <c r="D17178" i="9"/>
  <c r="F17178" i="9" s="1"/>
  <c r="F17169" i="9"/>
  <c r="F17168" i="9"/>
  <c r="F17167" i="9"/>
  <c r="C17158" i="9"/>
  <c r="F17158" i="9" s="1"/>
  <c r="F17157" i="9"/>
  <c r="F17156" i="9"/>
  <c r="C17155" i="9"/>
  <c r="F17155" i="9"/>
  <c r="F17100" i="9"/>
  <c r="F17101" i="9"/>
  <c r="C17099" i="9"/>
  <c r="F17099" i="9" s="1"/>
  <c r="F17104" i="9" s="1"/>
  <c r="D17120" i="9"/>
  <c r="F17120" i="9" s="1"/>
  <c r="D17121" i="9"/>
  <c r="E17121" i="9"/>
  <c r="F17130" i="9"/>
  <c r="F17054" i="9"/>
  <c r="F16991" i="9"/>
  <c r="C16989" i="9"/>
  <c r="F16989" i="9"/>
  <c r="C16990" i="9"/>
  <c r="F16990" i="9"/>
  <c r="C17010" i="9"/>
  <c r="D17010" i="9" s="1"/>
  <c r="F17010" i="9" s="1"/>
  <c r="C17011" i="9"/>
  <c r="D17011" i="9" s="1"/>
  <c r="F17011" i="9" s="1"/>
  <c r="C17012" i="9"/>
  <c r="D17012" i="9"/>
  <c r="F17012" i="9"/>
  <c r="C17013" i="9"/>
  <c r="D17013" i="9"/>
  <c r="F17013" i="9" s="1"/>
  <c r="F17020" i="9"/>
  <c r="F16876" i="9"/>
  <c r="C16877" i="9"/>
  <c r="F16877" i="9"/>
  <c r="C16878" i="9"/>
  <c r="F16878" i="9" s="1"/>
  <c r="F16885" i="9"/>
  <c r="F16893" i="9" s="1"/>
  <c r="F16886" i="9"/>
  <c r="F16887" i="9"/>
  <c r="F16888" i="9"/>
  <c r="F16889" i="9"/>
  <c r="F16890" i="9"/>
  <c r="D16897" i="9"/>
  <c r="F16897" i="9"/>
  <c r="D16898" i="9"/>
  <c r="E16898" i="9"/>
  <c r="F16898" i="9"/>
  <c r="F16905" i="9"/>
  <c r="F16907" i="9"/>
  <c r="F16819" i="9"/>
  <c r="C16820" i="9"/>
  <c r="F16820" i="9"/>
  <c r="C16821" i="9"/>
  <c r="F16821" i="9" s="1"/>
  <c r="F16828" i="9"/>
  <c r="F16829" i="9"/>
  <c r="F16830" i="9"/>
  <c r="F16831" i="9"/>
  <c r="F16832" i="9"/>
  <c r="F16833" i="9"/>
  <c r="D16840" i="9"/>
  <c r="F16840" i="9" s="1"/>
  <c r="D16841" i="9"/>
  <c r="E16841" i="9"/>
  <c r="F16848" i="9"/>
  <c r="F16850" i="9"/>
  <c r="C16694" i="9"/>
  <c r="F16694" i="9"/>
  <c r="C16693" i="9"/>
  <c r="F16693" i="9" s="1"/>
  <c r="D16720" i="9"/>
  <c r="F16720" i="9" s="1"/>
  <c r="D16721" i="9"/>
  <c r="E16721" i="9"/>
  <c r="F16730" i="9"/>
  <c r="F16633" i="9"/>
  <c r="C16630" i="9"/>
  <c r="F16630" i="9"/>
  <c r="F16631" i="9"/>
  <c r="F16632" i="9"/>
  <c r="D16657" i="9"/>
  <c r="F16657" i="9"/>
  <c r="D16658" i="9"/>
  <c r="F16658" i="9" s="1"/>
  <c r="E16658" i="9"/>
  <c r="F16645" i="9"/>
  <c r="F16667" i="9"/>
  <c r="C16444" i="9"/>
  <c r="F16444" i="9"/>
  <c r="F16394" i="9"/>
  <c r="F16393" i="9"/>
  <c r="F16392" i="9"/>
  <c r="C16377" i="9"/>
  <c r="F16377" i="9"/>
  <c r="C16376" i="9"/>
  <c r="F16376" i="9" s="1"/>
  <c r="B16368" i="9"/>
  <c r="F16326" i="9"/>
  <c r="F16325" i="9"/>
  <c r="C16248" i="9"/>
  <c r="F16248" i="9" s="1"/>
  <c r="C16309" i="9"/>
  <c r="F16309" i="9" s="1"/>
  <c r="C16308" i="9"/>
  <c r="F16308" i="9"/>
  <c r="B16302" i="9"/>
  <c r="C16243" i="9"/>
  <c r="F16243" i="9"/>
  <c r="F16244" i="9"/>
  <c r="C16245" i="9"/>
  <c r="F16245" i="9" s="1"/>
  <c r="C16246" i="9"/>
  <c r="F16246" i="9"/>
  <c r="C16247" i="9"/>
  <c r="F16247" i="9" s="1"/>
  <c r="D16272" i="9"/>
  <c r="F16272" i="9" s="1"/>
  <c r="D16273" i="9"/>
  <c r="E16273" i="9"/>
  <c r="F16282" i="9"/>
  <c r="B16237" i="9"/>
  <c r="B16171" i="9"/>
  <c r="C16114" i="9"/>
  <c r="F16114" i="9"/>
  <c r="F16124" i="9" s="1"/>
  <c r="D16141" i="9"/>
  <c r="F16141" i="9" s="1"/>
  <c r="D16142" i="9"/>
  <c r="E16142" i="9"/>
  <c r="F16142" i="9"/>
  <c r="F16151" i="9"/>
  <c r="B16108" i="9"/>
  <c r="B16045" i="9"/>
  <c r="C15988" i="9"/>
  <c r="F15988" i="9" s="1"/>
  <c r="F15989" i="9"/>
  <c r="D16015" i="9"/>
  <c r="F16015" i="9"/>
  <c r="D16016" i="9"/>
  <c r="E16016" i="9"/>
  <c r="F16016" i="9" s="1"/>
  <c r="F16025" i="9"/>
  <c r="B15982" i="9"/>
  <c r="C15925" i="9"/>
  <c r="F15925" i="9"/>
  <c r="F15935" i="9"/>
  <c r="D15952" i="9"/>
  <c r="F15952" i="9"/>
  <c r="D15953" i="9"/>
  <c r="F15953" i="9" s="1"/>
  <c r="E15953" i="9"/>
  <c r="F15962" i="9"/>
  <c r="B15919" i="9"/>
  <c r="C15862" i="9"/>
  <c r="F15862" i="9" s="1"/>
  <c r="F15872" i="9" s="1"/>
  <c r="C15799" i="9"/>
  <c r="F15799" i="9" s="1"/>
  <c r="F15809" i="9" s="1"/>
  <c r="D15889" i="9"/>
  <c r="F15889" i="9"/>
  <c r="D15890" i="9"/>
  <c r="E15890" i="9"/>
  <c r="F15899" i="9"/>
  <c r="D15826" i="9"/>
  <c r="F15826" i="9" s="1"/>
  <c r="D15827" i="9"/>
  <c r="E15827" i="9"/>
  <c r="F15827" i="9"/>
  <c r="F15836" i="9"/>
  <c r="C15736" i="9"/>
  <c r="F15736" i="9"/>
  <c r="F15746" i="9" s="1"/>
  <c r="D15763" i="9"/>
  <c r="F15763" i="9"/>
  <c r="F15767" i="9" s="1"/>
  <c r="F15750" i="9" s="1"/>
  <c r="F15759" i="9" s="1"/>
  <c r="D15764" i="9"/>
  <c r="E15764" i="9"/>
  <c r="F15764" i="9"/>
  <c r="F15773" i="9"/>
  <c r="F15673" i="9"/>
  <c r="F15683" i="9" s="1"/>
  <c r="D15700" i="9"/>
  <c r="F15700" i="9"/>
  <c r="F15704" i="9" s="1"/>
  <c r="F15687" i="9" s="1"/>
  <c r="F15696" i="9" s="1"/>
  <c r="D15701" i="9"/>
  <c r="E15701" i="9"/>
  <c r="F15701" i="9" s="1"/>
  <c r="F15710" i="9"/>
  <c r="F15609" i="9"/>
  <c r="F15610" i="9"/>
  <c r="F15611" i="9"/>
  <c r="F15612" i="9"/>
  <c r="F15613" i="9"/>
  <c r="F15614" i="9"/>
  <c r="F15615" i="9"/>
  <c r="F15616" i="9"/>
  <c r="D15636" i="9"/>
  <c r="F15636" i="9"/>
  <c r="D15637" i="9"/>
  <c r="E15637" i="9"/>
  <c r="F15646" i="9"/>
  <c r="F15545" i="9"/>
  <c r="F15546" i="9"/>
  <c r="F15547" i="9"/>
  <c r="D15548" i="9"/>
  <c r="F15548" i="9"/>
  <c r="F15549" i="9"/>
  <c r="F15550" i="9"/>
  <c r="F15551" i="9"/>
  <c r="F15552" i="9"/>
  <c r="D15572" i="9"/>
  <c r="F15572" i="9"/>
  <c r="D15573" i="9"/>
  <c r="E15573" i="9"/>
  <c r="F15580" i="9"/>
  <c r="F15582" i="9" s="1"/>
  <c r="B15603" i="9"/>
  <c r="B15539" i="9"/>
  <c r="F15486" i="9"/>
  <c r="F15487" i="9"/>
  <c r="F15488" i="9"/>
  <c r="F15489" i="9"/>
  <c r="F15490" i="9"/>
  <c r="F15491" i="9"/>
  <c r="F15497" i="9"/>
  <c r="F15505" i="9" s="1"/>
  <c r="F15498" i="9"/>
  <c r="F15499" i="9"/>
  <c r="D15509" i="9"/>
  <c r="F15509" i="9" s="1"/>
  <c r="D15510" i="9"/>
  <c r="E15510" i="9"/>
  <c r="F15517" i="9"/>
  <c r="F15519" i="9"/>
  <c r="D15502" i="9"/>
  <c r="F15502" i="9" s="1"/>
  <c r="D15501" i="9"/>
  <c r="F15501" i="9" s="1"/>
  <c r="F15500" i="9"/>
  <c r="F15379" i="9"/>
  <c r="F15380" i="9"/>
  <c r="D15397" i="9"/>
  <c r="F15397" i="9"/>
  <c r="F15401" i="9" s="1"/>
  <c r="F15389" i="9" s="1"/>
  <c r="F15393" i="9" s="1"/>
  <c r="D15398" i="9"/>
  <c r="E15398" i="9"/>
  <c r="F15398" i="9" s="1"/>
  <c r="F15405" i="9"/>
  <c r="F15407" i="9"/>
  <c r="F15325" i="9"/>
  <c r="F15331" i="9"/>
  <c r="D15343" i="9"/>
  <c r="F15343" i="9" s="1"/>
  <c r="F15347" i="9" s="1"/>
  <c r="F15335" i="9" s="1"/>
  <c r="D15344" i="9"/>
  <c r="E15344" i="9"/>
  <c r="F15344" i="9"/>
  <c r="F15339" i="9"/>
  <c r="F15351" i="9"/>
  <c r="F15353" i="9" s="1"/>
  <c r="B15373" i="9"/>
  <c r="B15319" i="9"/>
  <c r="F15297" i="9"/>
  <c r="F15299" i="9"/>
  <c r="F15271" i="9"/>
  <c r="F15277" i="9"/>
  <c r="D15289" i="9"/>
  <c r="F15289" i="9" s="1"/>
  <c r="D15290" i="9"/>
  <c r="E15290" i="9"/>
  <c r="F15290" i="9"/>
  <c r="B15265" i="9"/>
  <c r="F15205" i="9"/>
  <c r="F15206" i="9"/>
  <c r="F15207" i="9"/>
  <c r="F15208" i="9"/>
  <c r="F15209" i="9"/>
  <c r="F15210" i="9"/>
  <c r="F15211" i="9"/>
  <c r="F15212" i="9"/>
  <c r="F15213" i="9"/>
  <c r="F15214" i="9"/>
  <c r="D15234" i="9"/>
  <c r="F15234" i="9"/>
  <c r="D15235" i="9"/>
  <c r="E15235" i="9"/>
  <c r="F15242" i="9"/>
  <c r="F15244" i="9"/>
  <c r="B15199" i="9"/>
  <c r="C15143" i="9"/>
  <c r="F15143" i="9" s="1"/>
  <c r="C15144" i="9"/>
  <c r="F15144" i="9" s="1"/>
  <c r="C15145" i="9"/>
  <c r="F15145" i="9"/>
  <c r="C15146" i="9"/>
  <c r="F15146" i="9" s="1"/>
  <c r="F15147" i="9"/>
  <c r="F15148" i="9"/>
  <c r="F15149" i="9"/>
  <c r="F15150" i="9"/>
  <c r="D15169" i="9"/>
  <c r="F15169" i="9"/>
  <c r="D15170" i="9"/>
  <c r="E15170" i="9"/>
  <c r="D15177" i="9"/>
  <c r="F15177" i="9" s="1"/>
  <c r="F15179" i="9" s="1"/>
  <c r="D15115" i="9"/>
  <c r="F15115" i="9"/>
  <c r="F15117" i="9"/>
  <c r="D15107" i="9"/>
  <c r="F15107" i="9" s="1"/>
  <c r="D15108" i="9"/>
  <c r="F15108" i="9" s="1"/>
  <c r="E15108" i="9"/>
  <c r="F15095" i="9"/>
  <c r="F15103" i="9"/>
  <c r="F15083" i="9"/>
  <c r="C15084" i="9"/>
  <c r="F15084" i="9" s="1"/>
  <c r="C15085" i="9"/>
  <c r="F15085" i="9" s="1"/>
  <c r="C15086" i="9"/>
  <c r="F15086" i="9"/>
  <c r="F15087" i="9"/>
  <c r="F15088" i="9"/>
  <c r="F15089" i="9"/>
  <c r="F15090" i="9"/>
  <c r="B15137" i="9"/>
  <c r="B15077" i="9"/>
  <c r="E15036" i="9"/>
  <c r="F15036" i="9"/>
  <c r="F15044" i="9"/>
  <c r="D15056" i="9"/>
  <c r="F15056" i="9"/>
  <c r="F15058" i="9" s="1"/>
  <c r="D15048" i="9"/>
  <c r="F15048" i="9" s="1"/>
  <c r="D15049" i="9"/>
  <c r="E15049" i="9"/>
  <c r="F15024" i="9"/>
  <c r="C15025" i="9"/>
  <c r="F15025" i="9"/>
  <c r="C15026" i="9"/>
  <c r="F15026" i="9"/>
  <c r="C15027" i="9"/>
  <c r="F15027" i="9" s="1"/>
  <c r="F15028" i="9"/>
  <c r="F15029" i="9"/>
  <c r="F15030" i="9"/>
  <c r="F15031" i="9"/>
  <c r="D14996" i="9"/>
  <c r="F14996" i="9"/>
  <c r="F14998" i="9" s="1"/>
  <c r="B15018" i="9"/>
  <c r="B14955" i="9"/>
  <c r="B14901" i="9"/>
  <c r="B14841" i="9"/>
  <c r="B14779" i="9"/>
  <c r="C14961" i="9"/>
  <c r="F14961" i="9"/>
  <c r="F14962" i="9"/>
  <c r="C14963" i="9"/>
  <c r="F14963" i="9"/>
  <c r="C14964" i="9"/>
  <c r="F14964" i="9"/>
  <c r="F14965" i="9"/>
  <c r="F14966" i="9"/>
  <c r="F14967" i="9"/>
  <c r="F14968" i="9"/>
  <c r="D14988" i="9"/>
  <c r="F14988" i="9"/>
  <c r="D14989" i="9"/>
  <c r="E14989" i="9"/>
  <c r="D14936" i="9"/>
  <c r="F14936" i="9" s="1"/>
  <c r="F14938" i="9"/>
  <c r="E14928" i="9"/>
  <c r="C14928" i="9"/>
  <c r="D14928" i="9"/>
  <c r="E14929" i="9"/>
  <c r="C14929" i="9"/>
  <c r="D14929" i="9"/>
  <c r="F14929" i="9" s="1"/>
  <c r="E14930" i="9"/>
  <c r="C14930" i="9"/>
  <c r="D14930" i="9" s="1"/>
  <c r="E14931" i="9"/>
  <c r="C14931" i="9"/>
  <c r="D14931" i="9"/>
  <c r="F14931" i="9" s="1"/>
  <c r="F14924" i="9"/>
  <c r="C14907" i="9"/>
  <c r="F14907" i="9" s="1"/>
  <c r="C14908" i="9"/>
  <c r="F14908" i="9" s="1"/>
  <c r="F14909" i="9"/>
  <c r="C14910" i="9"/>
  <c r="D14910" i="9"/>
  <c r="F14910" i="9"/>
  <c r="C14911" i="9"/>
  <c r="D14911" i="9"/>
  <c r="F14911" i="9"/>
  <c r="D14878" i="9"/>
  <c r="F14878" i="9"/>
  <c r="F14880" i="9"/>
  <c r="E14870" i="9"/>
  <c r="C14870" i="9"/>
  <c r="D14870" i="9" s="1"/>
  <c r="E14871" i="9"/>
  <c r="C14871" i="9"/>
  <c r="D14871" i="9" s="1"/>
  <c r="E14872" i="9"/>
  <c r="C14872" i="9"/>
  <c r="D14872" i="9" s="1"/>
  <c r="F14872" i="9" s="1"/>
  <c r="E14873" i="9"/>
  <c r="C14873" i="9"/>
  <c r="D14873" i="9"/>
  <c r="F14866" i="9"/>
  <c r="C14847" i="9"/>
  <c r="F14847" i="9"/>
  <c r="C14848" i="9"/>
  <c r="F14848" i="9"/>
  <c r="C14849" i="9"/>
  <c r="F14849" i="9" s="1"/>
  <c r="D14850" i="9"/>
  <c r="F14850" i="9" s="1"/>
  <c r="F14851" i="9"/>
  <c r="C14852" i="9"/>
  <c r="D14852" i="9"/>
  <c r="F14852" i="9"/>
  <c r="C14853" i="9"/>
  <c r="D14853" i="9"/>
  <c r="F14853" i="9"/>
  <c r="D14825" i="9"/>
  <c r="F14825" i="9"/>
  <c r="F14827" i="9"/>
  <c r="E14815" i="9"/>
  <c r="C14815" i="9"/>
  <c r="D14815" i="9" s="1"/>
  <c r="E14816" i="9"/>
  <c r="C14816" i="9"/>
  <c r="D14816" i="9"/>
  <c r="F14816" i="9"/>
  <c r="E14817" i="9"/>
  <c r="C14817" i="9"/>
  <c r="D14817" i="9" s="1"/>
  <c r="E14818" i="9"/>
  <c r="C14818" i="9"/>
  <c r="D14818" i="9" s="1"/>
  <c r="F14818" i="9" s="1"/>
  <c r="E14819" i="9"/>
  <c r="F14819" i="9" s="1"/>
  <c r="C14819" i="9"/>
  <c r="D14819" i="9"/>
  <c r="E14820" i="9"/>
  <c r="C14820" i="9"/>
  <c r="D14820" i="9" s="1"/>
  <c r="F14811" i="9"/>
  <c r="C14785" i="9"/>
  <c r="F14785" i="9" s="1"/>
  <c r="C14786" i="9"/>
  <c r="F14786" i="9" s="1"/>
  <c r="C14787" i="9"/>
  <c r="F14787" i="9"/>
  <c r="C14788" i="9"/>
  <c r="F14788" i="9"/>
  <c r="C14789" i="9"/>
  <c r="F14789" i="9" s="1"/>
  <c r="C14790" i="9"/>
  <c r="F14790" i="9" s="1"/>
  <c r="C14791" i="9"/>
  <c r="F14791" i="9"/>
  <c r="C14792" i="9"/>
  <c r="F14792" i="9"/>
  <c r="C14793" i="9"/>
  <c r="F14793" i="9" s="1"/>
  <c r="C14794" i="9"/>
  <c r="F14794" i="9" s="1"/>
  <c r="C14795" i="9"/>
  <c r="F14795" i="9"/>
  <c r="D14796" i="9"/>
  <c r="F14796" i="9"/>
  <c r="F14797" i="9"/>
  <c r="F88" i="10"/>
  <c r="F43" i="10"/>
  <c r="F216" i="10"/>
  <c r="G278" i="10"/>
  <c r="G279" i="10"/>
  <c r="G280" i="10"/>
  <c r="G281" i="10"/>
  <c r="G7" i="10"/>
  <c r="G8" i="10"/>
  <c r="G9" i="10"/>
  <c r="G10" i="10"/>
  <c r="G11" i="10"/>
  <c r="G12" i="10"/>
  <c r="G13" i="10"/>
  <c r="G14" i="10"/>
  <c r="G15" i="10"/>
  <c r="G16" i="10"/>
  <c r="G17" i="10"/>
  <c r="G19" i="10"/>
  <c r="G20" i="10"/>
  <c r="G21" i="10"/>
  <c r="G22" i="10"/>
  <c r="G23" i="10"/>
  <c r="G24" i="10"/>
  <c r="G25" i="10"/>
  <c r="G26" i="10"/>
  <c r="G27" i="10"/>
  <c r="G28" i="10"/>
  <c r="G29" i="10"/>
  <c r="G35" i="10"/>
  <c r="G36" i="10"/>
  <c r="G37" i="10"/>
  <c r="G32" i="10"/>
  <c r="G33" i="10"/>
  <c r="G34" i="10"/>
  <c r="G41" i="10"/>
  <c r="G42" i="10"/>
  <c r="G43" i="10"/>
  <c r="G44" i="10"/>
  <c r="G45" i="10"/>
  <c r="G80" i="10"/>
  <c r="G78" i="10"/>
  <c r="G79" i="10"/>
  <c r="G206" i="10"/>
  <c r="G197" i="10"/>
  <c r="G198" i="10"/>
  <c r="G199" i="10"/>
  <c r="G201" i="10"/>
  <c r="G202" i="10"/>
  <c r="G203" i="10"/>
  <c r="G204" i="10"/>
  <c r="G205" i="10"/>
  <c r="G207" i="10"/>
  <c r="G208" i="10"/>
  <c r="G209" i="10"/>
  <c r="G210" i="10"/>
  <c r="G211" i="10"/>
  <c r="G212" i="10"/>
  <c r="G213" i="10"/>
  <c r="G216" i="10"/>
  <c r="G217" i="10"/>
  <c r="G218" i="10"/>
  <c r="G219" i="10"/>
  <c r="G220" i="10"/>
  <c r="G221" i="10"/>
  <c r="G222" i="10"/>
  <c r="G223" i="10"/>
  <c r="G224" i="10"/>
  <c r="G240" i="10"/>
  <c r="G241" i="10"/>
  <c r="G239" i="10"/>
  <c r="G234" i="10"/>
  <c r="G235" i="10"/>
  <c r="G236" i="10"/>
  <c r="G237" i="10"/>
  <c r="G238" i="10"/>
  <c r="G242" i="10"/>
  <c r="G48" i="10"/>
  <c r="G49" i="10"/>
  <c r="G52" i="10"/>
  <c r="G53" i="10"/>
  <c r="G54" i="10"/>
  <c r="G57" i="10"/>
  <c r="G58" i="10"/>
  <c r="G59" i="10"/>
  <c r="G60" i="10"/>
  <c r="G61" i="10"/>
  <c r="G62" i="10"/>
  <c r="G63" i="10"/>
  <c r="G64" i="10"/>
  <c r="G65" i="10"/>
  <c r="G68" i="10"/>
  <c r="G69" i="10"/>
  <c r="G70" i="10"/>
  <c r="G73" i="10"/>
  <c r="G75" i="10"/>
  <c r="G83" i="10"/>
  <c r="G84" i="10"/>
  <c r="G85" i="10"/>
  <c r="G86" i="10"/>
  <c r="G87" i="10"/>
  <c r="G88" i="10"/>
  <c r="G89" i="10"/>
  <c r="G90" i="10"/>
  <c r="G91" i="10"/>
  <c r="G95" i="10"/>
  <c r="G96" i="10"/>
  <c r="G97" i="10"/>
  <c r="G98" i="10"/>
  <c r="G99" i="10"/>
  <c r="G100" i="10"/>
  <c r="G101" i="10"/>
  <c r="G102" i="10"/>
  <c r="G103" i="10"/>
  <c r="G104" i="10"/>
  <c r="G105" i="10"/>
  <c r="G106" i="10"/>
  <c r="G107" i="10"/>
  <c r="G108" i="10"/>
  <c r="G110" i="10"/>
  <c r="G111" i="10"/>
  <c r="G112" i="10"/>
  <c r="G113" i="10"/>
  <c r="G114" i="10"/>
  <c r="G115" i="10"/>
  <c r="G116" i="10"/>
  <c r="G117" i="10"/>
  <c r="G118" i="10"/>
  <c r="G119" i="10"/>
  <c r="G120" i="10"/>
  <c r="G121" i="10"/>
  <c r="G122" i="10"/>
  <c r="G124" i="10"/>
  <c r="G125" i="10"/>
  <c r="G126" i="10"/>
  <c r="G127" i="10"/>
  <c r="G128" i="10"/>
  <c r="G129" i="10"/>
  <c r="G130" i="10"/>
  <c r="G133" i="10"/>
  <c r="G134" i="10"/>
  <c r="G135" i="10"/>
  <c r="G136" i="10"/>
  <c r="G137" i="10"/>
  <c r="G138" i="10"/>
  <c r="G139" i="10"/>
  <c r="G140" i="10"/>
  <c r="G141" i="10"/>
  <c r="G142" i="10"/>
  <c r="G143" i="10"/>
  <c r="G144" i="10"/>
  <c r="G145" i="10"/>
  <c r="G146" i="10"/>
  <c r="G147" i="10"/>
  <c r="G149" i="10"/>
  <c r="G150" i="10"/>
  <c r="G151" i="10"/>
  <c r="G152" i="10"/>
  <c r="G153" i="10"/>
  <c r="G154" i="10"/>
  <c r="G155" i="10"/>
  <c r="G156" i="10"/>
  <c r="G157" i="10"/>
  <c r="G158" i="10"/>
  <c r="G159" i="10"/>
  <c r="G161" i="10"/>
  <c r="G162" i="10"/>
  <c r="G163" i="10"/>
  <c r="G164" i="10"/>
  <c r="G165" i="10"/>
  <c r="G166" i="10"/>
  <c r="G167" i="10"/>
  <c r="G168" i="10"/>
  <c r="G170" i="10"/>
  <c r="G171" i="10"/>
  <c r="G172" i="10"/>
  <c r="G173" i="10"/>
  <c r="G174" i="10"/>
  <c r="G175" i="10"/>
  <c r="G176" i="10"/>
  <c r="G177" i="10"/>
  <c r="G178" i="10"/>
  <c r="G179" i="10"/>
  <c r="G181" i="10"/>
  <c r="G182" i="10"/>
  <c r="G183" i="10"/>
  <c r="G184" i="10"/>
  <c r="G185" i="10"/>
  <c r="G186" i="10"/>
  <c r="G187" i="10"/>
  <c r="G188" i="10"/>
  <c r="G189" i="10"/>
  <c r="G190" i="10"/>
  <c r="G193" i="10"/>
  <c r="G194" i="10"/>
  <c r="G227" i="10"/>
  <c r="G228" i="10"/>
  <c r="G231" i="10"/>
  <c r="G232" i="10" s="1"/>
  <c r="G245" i="10"/>
  <c r="G246" i="10"/>
  <c r="G247" i="10"/>
  <c r="G248" i="10"/>
  <c r="G249" i="10"/>
  <c r="G250" i="10"/>
  <c r="G251" i="10"/>
  <c r="G252" i="10"/>
  <c r="G253" i="10"/>
  <c r="G254" i="10"/>
  <c r="G255" i="10"/>
  <c r="G256" i="10"/>
  <c r="G257" i="10"/>
  <c r="G258" i="10"/>
  <c r="G259" i="10"/>
  <c r="G260" i="10"/>
  <c r="G261" i="10"/>
  <c r="G262" i="10"/>
  <c r="G263" i="10"/>
  <c r="G264" i="10"/>
  <c r="G265" i="10"/>
  <c r="G266" i="10"/>
  <c r="G267" i="10"/>
  <c r="G268" i="10"/>
  <c r="G269" i="10"/>
  <c r="G270" i="10"/>
  <c r="G271" i="10"/>
  <c r="G272" i="10"/>
  <c r="G273" i="10"/>
  <c r="G274" i="10"/>
  <c r="G275" i="10"/>
  <c r="G321" i="10"/>
  <c r="G322" i="10" s="1"/>
  <c r="F17188" i="9"/>
  <c r="F17166" i="9"/>
  <c r="F17075" i="9"/>
  <c r="D17066" i="9"/>
  <c r="E17066" i="9"/>
  <c r="F17066" i="9" s="1"/>
  <c r="D17065" i="9"/>
  <c r="F17065" i="9"/>
  <c r="F17044" i="9"/>
  <c r="F17045" i="9"/>
  <c r="F17046" i="9"/>
  <c r="F16964" i="9"/>
  <c r="D16955" i="9"/>
  <c r="F16955" i="9" s="1"/>
  <c r="E16955" i="9"/>
  <c r="D16954" i="9"/>
  <c r="F16954" i="9" s="1"/>
  <c r="F16933" i="9"/>
  <c r="F16934" i="9"/>
  <c r="F16935" i="9"/>
  <c r="F16793" i="9"/>
  <c r="D16784" i="9"/>
  <c r="E16784" i="9"/>
  <c r="F16784" i="9"/>
  <c r="D16783" i="9"/>
  <c r="F16783" i="9"/>
  <c r="F16771" i="9"/>
  <c r="F16764" i="9"/>
  <c r="F16763" i="9"/>
  <c r="F16762" i="9"/>
  <c r="F16761" i="9"/>
  <c r="F16760" i="9"/>
  <c r="F16759" i="9"/>
  <c r="F16758" i="9"/>
  <c r="F16756" i="9"/>
  <c r="F16757" i="9"/>
  <c r="F16604" i="9"/>
  <c r="E16595" i="9"/>
  <c r="D16595" i="9"/>
  <c r="D16594" i="9"/>
  <c r="F16594" i="9" s="1"/>
  <c r="F16567" i="9"/>
  <c r="F16577" i="9" s="1"/>
  <c r="F16541" i="9"/>
  <c r="E16532" i="9"/>
  <c r="D16532" i="9"/>
  <c r="D16531" i="9"/>
  <c r="F16531" i="9"/>
  <c r="F16504" i="9"/>
  <c r="F16514" i="9"/>
  <c r="F16478" i="9"/>
  <c r="E16469" i="9"/>
  <c r="D16469" i="9"/>
  <c r="D16468" i="9"/>
  <c r="F16468" i="9"/>
  <c r="F16443" i="9"/>
  <c r="F16440" i="9"/>
  <c r="F16451" i="9" s="1"/>
  <c r="F16441" i="9"/>
  <c r="F16442" i="9"/>
  <c r="F16414" i="9"/>
  <c r="D16405" i="9"/>
  <c r="E16405" i="9"/>
  <c r="D16404" i="9"/>
  <c r="F16404" i="9" s="1"/>
  <c r="F16374" i="9"/>
  <c r="F16375" i="9"/>
  <c r="F16348" i="9"/>
  <c r="E16339" i="9"/>
  <c r="D16339" i="9"/>
  <c r="D16338" i="9"/>
  <c r="F16338" i="9"/>
  <c r="F14759" i="9"/>
  <c r="E14750" i="9"/>
  <c r="D14750" i="9"/>
  <c r="D14749" i="9"/>
  <c r="F14749" i="9"/>
  <c r="F14727" i="9"/>
  <c r="F14726" i="9"/>
  <c r="F14725" i="9"/>
  <c r="F14724" i="9"/>
  <c r="F14698" i="9"/>
  <c r="D14688" i="9"/>
  <c r="F14688" i="9" s="1"/>
  <c r="D14689" i="9"/>
  <c r="F14689" i="9" s="1"/>
  <c r="E14689" i="9"/>
  <c r="F14666" i="9"/>
  <c r="F14665" i="9"/>
  <c r="F14664" i="9"/>
  <c r="F14663" i="9"/>
  <c r="F14637" i="9"/>
  <c r="D14628" i="9"/>
  <c r="E14628" i="9"/>
  <c r="D14627" i="9"/>
  <c r="F14627" i="9"/>
  <c r="F14605" i="9"/>
  <c r="F14604" i="9"/>
  <c r="F14603" i="9"/>
  <c r="F14602" i="9"/>
  <c r="F14576" i="9"/>
  <c r="E14567" i="9"/>
  <c r="D14567" i="9"/>
  <c r="F14567" i="9"/>
  <c r="D14566" i="9"/>
  <c r="F14566" i="9"/>
  <c r="F14544" i="9"/>
  <c r="F14543" i="9"/>
  <c r="F14542" i="9"/>
  <c r="F14541" i="9"/>
  <c r="F14515" i="9"/>
  <c r="E14506" i="9"/>
  <c r="D14506" i="9"/>
  <c r="D14505" i="9"/>
  <c r="F14505" i="9" s="1"/>
  <c r="F14509" i="9" s="1"/>
  <c r="F14492" i="9" s="1"/>
  <c r="F14501" i="9" s="1"/>
  <c r="F14518" i="9" s="1"/>
  <c r="F14483" i="9"/>
  <c r="F14482" i="9"/>
  <c r="F14481" i="9"/>
  <c r="F14480" i="9"/>
  <c r="F14454" i="9"/>
  <c r="D14444" i="9"/>
  <c r="F14444" i="9"/>
  <c r="F14448" i="9" s="1"/>
  <c r="F14431" i="9" s="1"/>
  <c r="F14440" i="9" s="1"/>
  <c r="D14445" i="9"/>
  <c r="E14445" i="9"/>
  <c r="F14445" i="9"/>
  <c r="F14422" i="9"/>
  <c r="F14421" i="9"/>
  <c r="F14420" i="9"/>
  <c r="F14419" i="9"/>
  <c r="F14394" i="9"/>
  <c r="D14385" i="9"/>
  <c r="E14385" i="9"/>
  <c r="F14385" i="9"/>
  <c r="D14384" i="9"/>
  <c r="F14384" i="9"/>
  <c r="F14388" i="9" s="1"/>
  <c r="F14371" i="9" s="1"/>
  <c r="F14380" i="9" s="1"/>
  <c r="F14362" i="9"/>
  <c r="F14361" i="9"/>
  <c r="F14360" i="9"/>
  <c r="F14359" i="9"/>
  <c r="F14333" i="9"/>
  <c r="F14327" i="9"/>
  <c r="F14310" i="9" s="1"/>
  <c r="F14319" i="9" s="1"/>
  <c r="D14324" i="9"/>
  <c r="D14323" i="9"/>
  <c r="F14301" i="9"/>
  <c r="F14300" i="9"/>
  <c r="F14299" i="9"/>
  <c r="F14298" i="9"/>
  <c r="F14272" i="9"/>
  <c r="E14263" i="9"/>
  <c r="D14263" i="9"/>
  <c r="D14262" i="9"/>
  <c r="F14262" i="9"/>
  <c r="F14240" i="9"/>
  <c r="F14239" i="9"/>
  <c r="F14238" i="9"/>
  <c r="F14237" i="9"/>
  <c r="F14211" i="9"/>
  <c r="E14202" i="9"/>
  <c r="D14202" i="9"/>
  <c r="D14201" i="9"/>
  <c r="F14201" i="9" s="1"/>
  <c r="F14205" i="9" s="1"/>
  <c r="F14188" i="9" s="1"/>
  <c r="F14197" i="9" s="1"/>
  <c r="F14179" i="9"/>
  <c r="F14178" i="9"/>
  <c r="F14177" i="9"/>
  <c r="F14176" i="9"/>
  <c r="F14150" i="9"/>
  <c r="E14141" i="9"/>
  <c r="D14141" i="9"/>
  <c r="F14141" i="9" s="1"/>
  <c r="D14140" i="9"/>
  <c r="F14140" i="9" s="1"/>
  <c r="F14144" i="9" s="1"/>
  <c r="F14127" i="9" s="1"/>
  <c r="F14136" i="9" s="1"/>
  <c r="F14115" i="9"/>
  <c r="F14116" i="9"/>
  <c r="F14123" i="9" s="1"/>
  <c r="F14117" i="9"/>
  <c r="F14118" i="9"/>
  <c r="F14089" i="9"/>
  <c r="D14080" i="9"/>
  <c r="E14080" i="9"/>
  <c r="F14080" i="9"/>
  <c r="D14079" i="9"/>
  <c r="F14079" i="9"/>
  <c r="F14057" i="9"/>
  <c r="F14056" i="9"/>
  <c r="F14055" i="9"/>
  <c r="F14054" i="9"/>
  <c r="F14028" i="9"/>
  <c r="D14019" i="9"/>
  <c r="E14019" i="9"/>
  <c r="F14019" i="9"/>
  <c r="D14018" i="9"/>
  <c r="F14018" i="9" s="1"/>
  <c r="F14022" i="9" s="1"/>
  <c r="F14005" i="9" s="1"/>
  <c r="F14014" i="9" s="1"/>
  <c r="F14031" i="9" s="1"/>
  <c r="F13996" i="9"/>
  <c r="F13995" i="9"/>
  <c r="F13994" i="9"/>
  <c r="F13993" i="9"/>
  <c r="F13967" i="9"/>
  <c r="E13958" i="9"/>
  <c r="D13958" i="9"/>
  <c r="D13957" i="9"/>
  <c r="F13957" i="9"/>
  <c r="F13935" i="9"/>
  <c r="F13934" i="9"/>
  <c r="F13933" i="9"/>
  <c r="F13932" i="9"/>
  <c r="F13906" i="9"/>
  <c r="D13896" i="9"/>
  <c r="F13896" i="9" s="1"/>
  <c r="D13897" i="9"/>
  <c r="F13897" i="9" s="1"/>
  <c r="E13897" i="9"/>
  <c r="F13874" i="9"/>
  <c r="F13873" i="9"/>
  <c r="F13871" i="9"/>
  <c r="F13879" i="9" s="1"/>
  <c r="F13872" i="9"/>
  <c r="F13845" i="9"/>
  <c r="D13836" i="9"/>
  <c r="E13836" i="9"/>
  <c r="F13836" i="9"/>
  <c r="D13835" i="9"/>
  <c r="F13835" i="9"/>
  <c r="F13813" i="9"/>
  <c r="F13812" i="9"/>
  <c r="F13811" i="9"/>
  <c r="F13818" i="9" s="1"/>
  <c r="F13810" i="9"/>
  <c r="F13784" i="9"/>
  <c r="D13775" i="9"/>
  <c r="E13775" i="9"/>
  <c r="F13775" i="9" s="1"/>
  <c r="D13774" i="9"/>
  <c r="F13774" i="9"/>
  <c r="F13749" i="9"/>
  <c r="F13750" i="9"/>
  <c r="F13757" i="9" s="1"/>
  <c r="F13751" i="9"/>
  <c r="F13752" i="9"/>
  <c r="F13723" i="9"/>
  <c r="E13714" i="9"/>
  <c r="D13714" i="9"/>
  <c r="D13713" i="9"/>
  <c r="F13713" i="9" s="1"/>
  <c r="F13691" i="9"/>
  <c r="F13690" i="9"/>
  <c r="F13696" i="9" s="1"/>
  <c r="F13689" i="9"/>
  <c r="F13688" i="9"/>
  <c r="F13662" i="9"/>
  <c r="E13653" i="9"/>
  <c r="D13653" i="9"/>
  <c r="D13652" i="9"/>
  <c r="F13652" i="9"/>
  <c r="F13630" i="9"/>
  <c r="F13629" i="9"/>
  <c r="F13628" i="9"/>
  <c r="F13627" i="9"/>
  <c r="F13635" i="9"/>
  <c r="F13601" i="9"/>
  <c r="D13592" i="9"/>
  <c r="E13592" i="9"/>
  <c r="F13592" i="9" s="1"/>
  <c r="D13591" i="9"/>
  <c r="F13591" i="9"/>
  <c r="F13569" i="9"/>
  <c r="F13568" i="9"/>
  <c r="F13574" i="9" s="1"/>
  <c r="F13567" i="9"/>
  <c r="F13566" i="9"/>
  <c r="F13539" i="9"/>
  <c r="E13530" i="9"/>
  <c r="D13530" i="9"/>
  <c r="F13530" i="9" s="1"/>
  <c r="D13529" i="9"/>
  <c r="F13529" i="9" s="1"/>
  <c r="F13507" i="9"/>
  <c r="F13506" i="9"/>
  <c r="F13505" i="9"/>
  <c r="F13504" i="9"/>
  <c r="F13477" i="9"/>
  <c r="E13468" i="9"/>
  <c r="D13468" i="9"/>
  <c r="D13467" i="9"/>
  <c r="F13467" i="9"/>
  <c r="F13442" i="9"/>
  <c r="F13450" i="9" s="1"/>
  <c r="F13443" i="9"/>
  <c r="F13444" i="9"/>
  <c r="F13445" i="9"/>
  <c r="F13415" i="9"/>
  <c r="E13406" i="9"/>
  <c r="D13406" i="9"/>
  <c r="F13406" i="9" s="1"/>
  <c r="D13405" i="9"/>
  <c r="F13405" i="9"/>
  <c r="F13409" i="9" s="1"/>
  <c r="F13392" i="9" s="1"/>
  <c r="F13401" i="9" s="1"/>
  <c r="F13383" i="9"/>
  <c r="F13382" i="9"/>
  <c r="F13381" i="9"/>
  <c r="F13380" i="9"/>
  <c r="F13353" i="9"/>
  <c r="D13344" i="9"/>
  <c r="E13344" i="9"/>
  <c r="F13344" i="9"/>
  <c r="D13343" i="9"/>
  <c r="F13343" i="9"/>
  <c r="F13321" i="9"/>
  <c r="F13320" i="9"/>
  <c r="F13319" i="9"/>
  <c r="F13326" i="9" s="1"/>
  <c r="F13318" i="9"/>
  <c r="F13291" i="9"/>
  <c r="E13282" i="9"/>
  <c r="D13282" i="9"/>
  <c r="F13282" i="9" s="1"/>
  <c r="F13285" i="9" s="1"/>
  <c r="F13268" i="9" s="1"/>
  <c r="F13277" i="9" s="1"/>
  <c r="D13281" i="9"/>
  <c r="F13281" i="9"/>
  <c r="F13259" i="9"/>
  <c r="F13258" i="9"/>
  <c r="F13257" i="9"/>
  <c r="F13256" i="9"/>
  <c r="F13230" i="9"/>
  <c r="E13221" i="9"/>
  <c r="D13221" i="9"/>
  <c r="D13220" i="9"/>
  <c r="F13220" i="9" s="1"/>
  <c r="F13224" i="9" s="1"/>
  <c r="F13207" i="9" s="1"/>
  <c r="F13216" i="9" s="1"/>
  <c r="F13233" i="9" s="1"/>
  <c r="F13198" i="9"/>
  <c r="F13197" i="9"/>
  <c r="F13196" i="9"/>
  <c r="F13195" i="9"/>
  <c r="F13169" i="9"/>
  <c r="E13160" i="9"/>
  <c r="D13160" i="9"/>
  <c r="F13160" i="9" s="1"/>
  <c r="D13159" i="9"/>
  <c r="F13159" i="9"/>
  <c r="F13137" i="9"/>
  <c r="F13136" i="9"/>
  <c r="F13142" i="9" s="1"/>
  <c r="F13135" i="9"/>
  <c r="F13134" i="9"/>
  <c r="F13108" i="9"/>
  <c r="E13099" i="9"/>
  <c r="D13099" i="9"/>
  <c r="D13098" i="9"/>
  <c r="F13098" i="9"/>
  <c r="F13076" i="9"/>
  <c r="F13075" i="9"/>
  <c r="F13074" i="9"/>
  <c r="F13073" i="9"/>
  <c r="F13047" i="9"/>
  <c r="D13038" i="9"/>
  <c r="E13038" i="9"/>
  <c r="F13038" i="9"/>
  <c r="D13037" i="9"/>
  <c r="F13037" i="9" s="1"/>
  <c r="F13041" i="9" s="1"/>
  <c r="F13024" i="9" s="1"/>
  <c r="F13033" i="9" s="1"/>
  <c r="F13015" i="9"/>
  <c r="F13014" i="9"/>
  <c r="F13013" i="9"/>
  <c r="F13012" i="9"/>
  <c r="F12986" i="9"/>
  <c r="E12977" i="9"/>
  <c r="D12977" i="9"/>
  <c r="D12976" i="9"/>
  <c r="F12976" i="9"/>
  <c r="F12954" i="9"/>
  <c r="F12953" i="9"/>
  <c r="F12952" i="9"/>
  <c r="F12951" i="9"/>
  <c r="F12925" i="9"/>
  <c r="D12916" i="9"/>
  <c r="E12916" i="9"/>
  <c r="D12915" i="9"/>
  <c r="F12915" i="9" s="1"/>
  <c r="F12919" i="9" s="1"/>
  <c r="F12902" i="9" s="1"/>
  <c r="F12911" i="9" s="1"/>
  <c r="F12928" i="9" s="1"/>
  <c r="F12893" i="9"/>
  <c r="F12892" i="9"/>
  <c r="F12891" i="9"/>
  <c r="F12890" i="9"/>
  <c r="F12863" i="9"/>
  <c r="E12854" i="9"/>
  <c r="D12854" i="9"/>
  <c r="D12853" i="9"/>
  <c r="F12853" i="9"/>
  <c r="F12831" i="9"/>
  <c r="F12830" i="9"/>
  <c r="F12829" i="9"/>
  <c r="F12828" i="9"/>
  <c r="F12836" i="9" s="1"/>
  <c r="F12801" i="9"/>
  <c r="E12792" i="9"/>
  <c r="D12792" i="9"/>
  <c r="F12792" i="9"/>
  <c r="D12791" i="9"/>
  <c r="F12791" i="9"/>
  <c r="F12769" i="9"/>
  <c r="F12768" i="9"/>
  <c r="F12767" i="9"/>
  <c r="F12766" i="9"/>
  <c r="F12739" i="9"/>
  <c r="E12730" i="9"/>
  <c r="D12730" i="9"/>
  <c r="D12729" i="9"/>
  <c r="F12729" i="9" s="1"/>
  <c r="F12707" i="9"/>
  <c r="F12706" i="9"/>
  <c r="F12712" i="9" s="1"/>
  <c r="F12705" i="9"/>
  <c r="F12704" i="9"/>
  <c r="F12678" i="9"/>
  <c r="D12669" i="9"/>
  <c r="E12669" i="9"/>
  <c r="D12668" i="9"/>
  <c r="F12668" i="9"/>
  <c r="F12646" i="9"/>
  <c r="F12645" i="9"/>
  <c r="F12644" i="9"/>
  <c r="F12643" i="9"/>
  <c r="F12617" i="9"/>
  <c r="E12608" i="9"/>
  <c r="D12608" i="9"/>
  <c r="F12608" i="9"/>
  <c r="F12611" i="9" s="1"/>
  <c r="F12594" i="9" s="1"/>
  <c r="F12603" i="9" s="1"/>
  <c r="D12607" i="9"/>
  <c r="F12607" i="9"/>
  <c r="F12585" i="9"/>
  <c r="F12584" i="9"/>
  <c r="F12583" i="9"/>
  <c r="F12582" i="9"/>
  <c r="F12556" i="9"/>
  <c r="E12547" i="9"/>
  <c r="D12547" i="9"/>
  <c r="D12546" i="9"/>
  <c r="F12546" i="9" s="1"/>
  <c r="F12524" i="9"/>
  <c r="F12523" i="9"/>
  <c r="F12522" i="9"/>
  <c r="F12521" i="9"/>
  <c r="F12495" i="9"/>
  <c r="E12486" i="9"/>
  <c r="D12486" i="9"/>
  <c r="D12485" i="9"/>
  <c r="F12485" i="9" s="1"/>
  <c r="F12466" i="9"/>
  <c r="F12465" i="9"/>
  <c r="F12464" i="9"/>
  <c r="F12463" i="9"/>
  <c r="F12462" i="9"/>
  <c r="F12461" i="9"/>
  <c r="F12460" i="9"/>
  <c r="F12459" i="9"/>
  <c r="F12458" i="9"/>
  <c r="F12457" i="9"/>
  <c r="F12456" i="9"/>
  <c r="F12455" i="9"/>
  <c r="F12429" i="9"/>
  <c r="D12420" i="9"/>
  <c r="F12420" i="9" s="1"/>
  <c r="E12420" i="9"/>
  <c r="D12419" i="9"/>
  <c r="F12419" i="9" s="1"/>
  <c r="F12423" i="9" s="1"/>
  <c r="F12406" i="9" s="1"/>
  <c r="F12415" i="9" s="1"/>
  <c r="F12400" i="9"/>
  <c r="F12399" i="9"/>
  <c r="F12398" i="9"/>
  <c r="F12397" i="9"/>
  <c r="F12396" i="9"/>
  <c r="F12394" i="9"/>
  <c r="F12395" i="9"/>
  <c r="F12368" i="9"/>
  <c r="E12359" i="9"/>
  <c r="D12359" i="9"/>
  <c r="F12359" i="9" s="1"/>
  <c r="D12358" i="9"/>
  <c r="F12358" i="9" s="1"/>
  <c r="F12335" i="9"/>
  <c r="F12341" i="9"/>
  <c r="F10358" i="9"/>
  <c r="E10349" i="9"/>
  <c r="D10349" i="9"/>
  <c r="F10349" i="9" s="1"/>
  <c r="D10348" i="9"/>
  <c r="F10348" i="9" s="1"/>
  <c r="F10344" i="9"/>
  <c r="F10325" i="9"/>
  <c r="F10331" i="9"/>
  <c r="F10299" i="9"/>
  <c r="D10290" i="9"/>
  <c r="E10290" i="9"/>
  <c r="F10290" i="9"/>
  <c r="D10289" i="9"/>
  <c r="F10289" i="9"/>
  <c r="F10278" i="9"/>
  <c r="F10279" i="9"/>
  <c r="F10267" i="9"/>
  <c r="F10266" i="9"/>
  <c r="F10242" i="9"/>
  <c r="D10233" i="9"/>
  <c r="E10233" i="9"/>
  <c r="D10232" i="9"/>
  <c r="F10232" i="9" s="1"/>
  <c r="F10236" i="9" s="1"/>
  <c r="F10223" i="9" s="1"/>
  <c r="F10228" i="9" s="1"/>
  <c r="F10245" i="9" s="1"/>
  <c r="F10213" i="9"/>
  <c r="F10219" i="9" s="1"/>
  <c r="F10187" i="9"/>
  <c r="D10178" i="9"/>
  <c r="E10178" i="9"/>
  <c r="D10177" i="9"/>
  <c r="F10177" i="9" s="1"/>
  <c r="F10159" i="9"/>
  <c r="F10158" i="9"/>
  <c r="F10164" i="9" s="1"/>
  <c r="F10132" i="9"/>
  <c r="E10123" i="9"/>
  <c r="D10123" i="9"/>
  <c r="F10123" i="9"/>
  <c r="D10122" i="9"/>
  <c r="F10122" i="9" s="1"/>
  <c r="F10126" i="9" s="1"/>
  <c r="F10113" i="9" s="1"/>
  <c r="F10118" i="9" s="1"/>
  <c r="F10103" i="9"/>
  <c r="F10109" i="9" s="1"/>
  <c r="F10135" i="9" s="1"/>
  <c r="F10077" i="9"/>
  <c r="E10068" i="9"/>
  <c r="D10068" i="9"/>
  <c r="F10068" i="9"/>
  <c r="D10067" i="9"/>
  <c r="F10067" i="9" s="1"/>
  <c r="F10071" i="9" s="1"/>
  <c r="F10058" i="9" s="1"/>
  <c r="F10063" i="9" s="1"/>
  <c r="F10048" i="9"/>
  <c r="F10054" i="9" s="1"/>
  <c r="F10080" i="9" s="1"/>
  <c r="F8966" i="9"/>
  <c r="E8957" i="9"/>
  <c r="D8957" i="9"/>
  <c r="F8957" i="9"/>
  <c r="D8956" i="9"/>
  <c r="F8956" i="9" s="1"/>
  <c r="F8960" i="9" s="1"/>
  <c r="F8947" i="9" s="1"/>
  <c r="F8952" i="9" s="1"/>
  <c r="F8969" i="9" s="1"/>
  <c r="F8937" i="9"/>
  <c r="F8943" i="9" s="1"/>
  <c r="F8909" i="9"/>
  <c r="E8900" i="9"/>
  <c r="D8900" i="9"/>
  <c r="F8900" i="9"/>
  <c r="D8899" i="9"/>
  <c r="F8899" i="9" s="1"/>
  <c r="F8903" i="9" s="1"/>
  <c r="F8890" i="9" s="1"/>
  <c r="F8895" i="9" s="1"/>
  <c r="F8880" i="9"/>
  <c r="F8886" i="9" s="1"/>
  <c r="F8852" i="9"/>
  <c r="E8843" i="9"/>
  <c r="D8843" i="9"/>
  <c r="D8842" i="9"/>
  <c r="F8842" i="9"/>
  <c r="F8823" i="9"/>
  <c r="F8829" i="9" s="1"/>
  <c r="F8795" i="9"/>
  <c r="E8786" i="9"/>
  <c r="D8786" i="9"/>
  <c r="F8786" i="9"/>
  <c r="D8785" i="9"/>
  <c r="F8785" i="9"/>
  <c r="F8766" i="9"/>
  <c r="F8772" i="9" s="1"/>
  <c r="F8738" i="9"/>
  <c r="E8729" i="9"/>
  <c r="D8729" i="9"/>
  <c r="D8728" i="9"/>
  <c r="F8728" i="9" s="1"/>
  <c r="F8732" i="9" s="1"/>
  <c r="F8719" i="9" s="1"/>
  <c r="F8724" i="9" s="1"/>
  <c r="F8741" i="9" s="1"/>
  <c r="F8709" i="9"/>
  <c r="F8715" i="9"/>
  <c r="F8682" i="9"/>
  <c r="E8673" i="9"/>
  <c r="D8673" i="9"/>
  <c r="D8672" i="9"/>
  <c r="F8672" i="9"/>
  <c r="F8653" i="9"/>
  <c r="F8659" i="9"/>
  <c r="F8626" i="9"/>
  <c r="E8617" i="9"/>
  <c r="D8617" i="9"/>
  <c r="F8617" i="9" s="1"/>
  <c r="D8616" i="9"/>
  <c r="F8616" i="9"/>
  <c r="F8597" i="9"/>
  <c r="F8603" i="9"/>
  <c r="F8570" i="9"/>
  <c r="E8561" i="9"/>
  <c r="D8561" i="9"/>
  <c r="F8561" i="9" s="1"/>
  <c r="F8564" i="9" s="1"/>
  <c r="F8551" i="9" s="1"/>
  <c r="F8556" i="9" s="1"/>
  <c r="F8573" i="9" s="1"/>
  <c r="D8560" i="9"/>
  <c r="F8560" i="9"/>
  <c r="F8553" i="9"/>
  <c r="F8552" i="9"/>
  <c r="F8542" i="9"/>
  <c r="F8541" i="9"/>
  <c r="F8547" i="9"/>
  <c r="F8514" i="9"/>
  <c r="D8505" i="9"/>
  <c r="E8505" i="9"/>
  <c r="D8504" i="9"/>
  <c r="F8504" i="9"/>
  <c r="F8496" i="9"/>
  <c r="F8497" i="9"/>
  <c r="F8485" i="9"/>
  <c r="F8491" i="9" s="1"/>
  <c r="F8458" i="9"/>
  <c r="E8449" i="9"/>
  <c r="F8449" i="9" s="1"/>
  <c r="D8449" i="9"/>
  <c r="D8448" i="9"/>
  <c r="F8448" i="9" s="1"/>
  <c r="F8429" i="9"/>
  <c r="F8435" i="9" s="1"/>
  <c r="F8400" i="9"/>
  <c r="F8402" i="9"/>
  <c r="E8393" i="9"/>
  <c r="D8393" i="9"/>
  <c r="F8393" i="9"/>
  <c r="D8392" i="9"/>
  <c r="F8392" i="9"/>
  <c r="F8385" i="9"/>
  <c r="F8373" i="9"/>
  <c r="F8380" i="9"/>
  <c r="F8345" i="9"/>
  <c r="F8347" i="9" s="1"/>
  <c r="E8338" i="9"/>
  <c r="D8338" i="9"/>
  <c r="F8338" i="9"/>
  <c r="D8337" i="9"/>
  <c r="F8337" i="9" s="1"/>
  <c r="F8341" i="9" s="1"/>
  <c r="F8329" i="9" s="1"/>
  <c r="F8333" i="9" s="1"/>
  <c r="F8318" i="9"/>
  <c r="F8325" i="9" s="1"/>
  <c r="F8290" i="9"/>
  <c r="F8292" i="9" s="1"/>
  <c r="E8283" i="9"/>
  <c r="D8283" i="9"/>
  <c r="D8282" i="9"/>
  <c r="F8282" i="9"/>
  <c r="F8263" i="9"/>
  <c r="F8270" i="9"/>
  <c r="F8235" i="9"/>
  <c r="F8237" i="9" s="1"/>
  <c r="E8228" i="9"/>
  <c r="D8228" i="9"/>
  <c r="D8227" i="9"/>
  <c r="F8227" i="9"/>
  <c r="F8208" i="9"/>
  <c r="F8215" i="9"/>
  <c r="F8179" i="9"/>
  <c r="F8181" i="9" s="1"/>
  <c r="D8172" i="9"/>
  <c r="F8172" i="9" s="1"/>
  <c r="E8172" i="9"/>
  <c r="D8171" i="9"/>
  <c r="F8171" i="9" s="1"/>
  <c r="F8152" i="9"/>
  <c r="F8159" i="9" s="1"/>
  <c r="F8153" i="9"/>
  <c r="F8154" i="9"/>
  <c r="F8122" i="9"/>
  <c r="F8124" i="9" s="1"/>
  <c r="D8115" i="9"/>
  <c r="E8115" i="9"/>
  <c r="D8114" i="9"/>
  <c r="F8114" i="9" s="1"/>
  <c r="F8118" i="9" s="1"/>
  <c r="F8127" i="9" s="1"/>
  <c r="H7159" i="9" s="1"/>
  <c r="F8095" i="9"/>
  <c r="F8102" i="9"/>
  <c r="F8065" i="9"/>
  <c r="F8067" i="9" s="1"/>
  <c r="D8058" i="9"/>
  <c r="E8058" i="9"/>
  <c r="F8058" i="9"/>
  <c r="D8057" i="9"/>
  <c r="F8057" i="9" s="1"/>
  <c r="F8050" i="9"/>
  <c r="F8051" i="9"/>
  <c r="F8039" i="9"/>
  <c r="F8038" i="9"/>
  <c r="F8011" i="9"/>
  <c r="D8002" i="9"/>
  <c r="E8002" i="9"/>
  <c r="D8001" i="9"/>
  <c r="F8001" i="9"/>
  <c r="F7991" i="9"/>
  <c r="F7992" i="9"/>
  <c r="F7993" i="9"/>
  <c r="F7994" i="9"/>
  <c r="F7984" i="9"/>
  <c r="F7983" i="9"/>
  <c r="F7982" i="9"/>
  <c r="F7981" i="9"/>
  <c r="F7954" i="9"/>
  <c r="E7945" i="9"/>
  <c r="D7945" i="9"/>
  <c r="D7944" i="9"/>
  <c r="F7944" i="9"/>
  <c r="F7927" i="9"/>
  <c r="F7926" i="9"/>
  <c r="F7925" i="9"/>
  <c r="F7924" i="9"/>
  <c r="F7897" i="9"/>
  <c r="E7888" i="9"/>
  <c r="D7888" i="9"/>
  <c r="F7888" i="9"/>
  <c r="D7887" i="9"/>
  <c r="F7887" i="9" s="1"/>
  <c r="F7891" i="9" s="1"/>
  <c r="F7876" i="9" s="1"/>
  <c r="F7883" i="9" s="1"/>
  <c r="F7870" i="9"/>
  <c r="F7869" i="9"/>
  <c r="F7868" i="9"/>
  <c r="F7867" i="9"/>
  <c r="F7840" i="9"/>
  <c r="E7831" i="9"/>
  <c r="D7831" i="9"/>
  <c r="D7830" i="9"/>
  <c r="F7830" i="9"/>
  <c r="F7820" i="9"/>
  <c r="F7821" i="9"/>
  <c r="F7813" i="9"/>
  <c r="F7812" i="9"/>
  <c r="F7811" i="9"/>
  <c r="F7810" i="9"/>
  <c r="F7783" i="9"/>
  <c r="E7774" i="9"/>
  <c r="D7774" i="9"/>
  <c r="D7773" i="9"/>
  <c r="F7773" i="9" s="1"/>
  <c r="F7756" i="9"/>
  <c r="F7755" i="9"/>
  <c r="F7754" i="9"/>
  <c r="F7753" i="9"/>
  <c r="F7725" i="9"/>
  <c r="F7727" i="9" s="1"/>
  <c r="E7718" i="9"/>
  <c r="D7718" i="9"/>
  <c r="D7717" i="9"/>
  <c r="F7717" i="9"/>
  <c r="F7700" i="9"/>
  <c r="F7699" i="9"/>
  <c r="F7698" i="9"/>
  <c r="F7697" i="9"/>
  <c r="F7696" i="9"/>
  <c r="F7667" i="9"/>
  <c r="F7669" i="9" s="1"/>
  <c r="D7660" i="9"/>
  <c r="E7660" i="9"/>
  <c r="D7659" i="9"/>
  <c r="F7659" i="9"/>
  <c r="F7649" i="9"/>
  <c r="F7650" i="9"/>
  <c r="F7651" i="9"/>
  <c r="F7644" i="9"/>
  <c r="F7614" i="9"/>
  <c r="E7605" i="9"/>
  <c r="D7605" i="9"/>
  <c r="D7604" i="9"/>
  <c r="F7604" i="9" s="1"/>
  <c r="F7585" i="9"/>
  <c r="F7589" i="9" s="1"/>
  <c r="F7586" i="9"/>
  <c r="F7559" i="9"/>
  <c r="E7550" i="9"/>
  <c r="D7550" i="9"/>
  <c r="D7549" i="9"/>
  <c r="F7549" i="9" s="1"/>
  <c r="F7531" i="9"/>
  <c r="F7530" i="9"/>
  <c r="F7529" i="9"/>
  <c r="F7503" i="9"/>
  <c r="D7494" i="9"/>
  <c r="E7494" i="9"/>
  <c r="F7494" i="9"/>
  <c r="D7493" i="9"/>
  <c r="F7493" i="9"/>
  <c r="F7473" i="9"/>
  <c r="F7474" i="9"/>
  <c r="F7478" i="9"/>
  <c r="F7447" i="9"/>
  <c r="E7438" i="9"/>
  <c r="D7438" i="9"/>
  <c r="D7437" i="9"/>
  <c r="F7437" i="9"/>
  <c r="F7417" i="9"/>
  <c r="F7418" i="9"/>
  <c r="F7391" i="9"/>
  <c r="E7382" i="9"/>
  <c r="D7382" i="9"/>
  <c r="F7382" i="9"/>
  <c r="D7381" i="9"/>
  <c r="F7381" i="9"/>
  <c r="F7385" i="9" s="1"/>
  <c r="F7377" i="9"/>
  <c r="F7361" i="9"/>
  <c r="F7366" i="9" s="1"/>
  <c r="F7335" i="9"/>
  <c r="E7326" i="9"/>
  <c r="D7326" i="9"/>
  <c r="F7326" i="9"/>
  <c r="D7325" i="9"/>
  <c r="F7325" i="9" s="1"/>
  <c r="F7306" i="9"/>
  <c r="F7305" i="9"/>
  <c r="F7310" i="9" s="1"/>
  <c r="F7279" i="9"/>
  <c r="D7270" i="9"/>
  <c r="E7270" i="9"/>
  <c r="F7270" i="9" s="1"/>
  <c r="D7269" i="9"/>
  <c r="F7269" i="9"/>
  <c r="F7251" i="9"/>
  <c r="F7250" i="9"/>
  <c r="F7249" i="9"/>
  <c r="F7223" i="9"/>
  <c r="E7214" i="9"/>
  <c r="D7214" i="9"/>
  <c r="F7214" i="9" s="1"/>
  <c r="D7213" i="9"/>
  <c r="F7213" i="9" s="1"/>
  <c r="F7217" i="9" s="1"/>
  <c r="F7202" i="9" s="1"/>
  <c r="F7209" i="9" s="1"/>
  <c r="F7226" i="9" s="1"/>
  <c r="F7195" i="9"/>
  <c r="F7194" i="9"/>
  <c r="F7193" i="9"/>
  <c r="F7198" i="9"/>
  <c r="F7167" i="9"/>
  <c r="D7158" i="9"/>
  <c r="F7158" i="9" s="1"/>
  <c r="E7158" i="9"/>
  <c r="D7157" i="9"/>
  <c r="F7157" i="9"/>
  <c r="F7140" i="9"/>
  <c r="F7139" i="9"/>
  <c r="F7138" i="9"/>
  <c r="F7137" i="9"/>
  <c r="F7111" i="9"/>
  <c r="E7102" i="9"/>
  <c r="D7102" i="9"/>
  <c r="F7102" i="9"/>
  <c r="D7101" i="9"/>
  <c r="F7101" i="9"/>
  <c r="F7091" i="9"/>
  <c r="F7092" i="9"/>
  <c r="F7083" i="9"/>
  <c r="F7086" i="9" s="1"/>
  <c r="F7084" i="9"/>
  <c r="F7055" i="9"/>
  <c r="F7057" i="9" s="1"/>
  <c r="E7048" i="9"/>
  <c r="D7048" i="9"/>
  <c r="D7047" i="9"/>
  <c r="F7047" i="9"/>
  <c r="F7030" i="9"/>
  <c r="F7029" i="9"/>
  <c r="F7032" i="9"/>
  <c r="F7003" i="9"/>
  <c r="D6994" i="9"/>
  <c r="E6994" i="9"/>
  <c r="D6993" i="9"/>
  <c r="F6993" i="9"/>
  <c r="F6976" i="9"/>
  <c r="F6975" i="9"/>
  <c r="F6974" i="9"/>
  <c r="F6973" i="9"/>
  <c r="F6972" i="9"/>
  <c r="F6944" i="9"/>
  <c r="F6946" i="9" s="1"/>
  <c r="F6940" i="9"/>
  <c r="F6926" i="9" s="1"/>
  <c r="F6932" i="9" s="1"/>
  <c r="D6937" i="9"/>
  <c r="D6936" i="9"/>
  <c r="F6920" i="9"/>
  <c r="F6919" i="9"/>
  <c r="F6918" i="9"/>
  <c r="F6917" i="9"/>
  <c r="F6891" i="9"/>
  <c r="D6882" i="9"/>
  <c r="E6882" i="9"/>
  <c r="D6881" i="9"/>
  <c r="F6881" i="9"/>
  <c r="F6872" i="9"/>
  <c r="F6873" i="9"/>
  <c r="F6865" i="9"/>
  <c r="F6864" i="9"/>
  <c r="F6863" i="9"/>
  <c r="F6862" i="9"/>
  <c r="F6836" i="9"/>
  <c r="E6827" i="9"/>
  <c r="D6827" i="9"/>
  <c r="F6827" i="9" s="1"/>
  <c r="D6826" i="9"/>
  <c r="F6826" i="9" s="1"/>
  <c r="F6830" i="9" s="1"/>
  <c r="F6816" i="9" s="1"/>
  <c r="F6822" i="9" s="1"/>
  <c r="F6839" i="9" s="1"/>
  <c r="F6817" i="9"/>
  <c r="F6818" i="9"/>
  <c r="F6810" i="9"/>
  <c r="F6809" i="9"/>
  <c r="F6812" i="9" s="1"/>
  <c r="F6808" i="9"/>
  <c r="F6807" i="9"/>
  <c r="F6781" i="9"/>
  <c r="E6772" i="9"/>
  <c r="D6772" i="9"/>
  <c r="D6771" i="9"/>
  <c r="F6771" i="9"/>
  <c r="F6760" i="9"/>
  <c r="F6761" i="9"/>
  <c r="F6762" i="9"/>
  <c r="F6763" i="9"/>
  <c r="F6764" i="9"/>
  <c r="F6753" i="9"/>
  <c r="F6752" i="9"/>
  <c r="F6751" i="9"/>
  <c r="F6750" i="9"/>
  <c r="F6724" i="9"/>
  <c r="E6715" i="9"/>
  <c r="D6715" i="9"/>
  <c r="F6715" i="9" s="1"/>
  <c r="D6714" i="9"/>
  <c r="F6714" i="9" s="1"/>
  <c r="F6718" i="9" s="1"/>
  <c r="F6727" i="9" s="1"/>
  <c r="H5819" i="9" s="1"/>
  <c r="F6695" i="9"/>
  <c r="F6700" i="9" s="1"/>
  <c r="F6694" i="9"/>
  <c r="F6693" i="9"/>
  <c r="F6667" i="9"/>
  <c r="D6658" i="9"/>
  <c r="F6658" i="9" s="1"/>
  <c r="E6658" i="9"/>
  <c r="D6657" i="9"/>
  <c r="F6657" i="9" s="1"/>
  <c r="F6638" i="9"/>
  <c r="F6637" i="9"/>
  <c r="D6636" i="9"/>
  <c r="F6636" i="9"/>
  <c r="F6608" i="9"/>
  <c r="F6610" i="9" s="1"/>
  <c r="D6601" i="9"/>
  <c r="F6601" i="9" s="1"/>
  <c r="E6601" i="9"/>
  <c r="D6600" i="9"/>
  <c r="F6600" i="9" s="1"/>
  <c r="F6591" i="9"/>
  <c r="F6596" i="9" s="1"/>
  <c r="F6592" i="9"/>
  <c r="F6593" i="9"/>
  <c r="F6594" i="9"/>
  <c r="F6584" i="9"/>
  <c r="F6583" i="9"/>
  <c r="F6582" i="9"/>
  <c r="F6581" i="9"/>
  <c r="F6580" i="9"/>
  <c r="F6579" i="9"/>
  <c r="F6578" i="9"/>
  <c r="F6577" i="9"/>
  <c r="F6549" i="9"/>
  <c r="F6551" i="9" s="1"/>
  <c r="D6542" i="9"/>
  <c r="F6542" i="9" s="1"/>
  <c r="E6542" i="9"/>
  <c r="D6541" i="9"/>
  <c r="F6541" i="9" s="1"/>
  <c r="F6519" i="9"/>
  <c r="F6526" i="9"/>
  <c r="F6493" i="9"/>
  <c r="D6484" i="9"/>
  <c r="F6484" i="9" s="1"/>
  <c r="E6484" i="9"/>
  <c r="D6483" i="9"/>
  <c r="F6483" i="9" s="1"/>
  <c r="F6473" i="9"/>
  <c r="F6474" i="9"/>
  <c r="F6466" i="9"/>
  <c r="F6465" i="9"/>
  <c r="F6464" i="9"/>
  <c r="F6463" i="9"/>
  <c r="F6462" i="9"/>
  <c r="F6461" i="9"/>
  <c r="F6321" i="9"/>
  <c r="F6323" i="9"/>
  <c r="E6314" i="9"/>
  <c r="D6314" i="9"/>
  <c r="D6313" i="9"/>
  <c r="F6313" i="9" s="1"/>
  <c r="F6303" i="9"/>
  <c r="F6304" i="9"/>
  <c r="F6305" i="9"/>
  <c r="F6295" i="9"/>
  <c r="F6294" i="9"/>
  <c r="F6293" i="9"/>
  <c r="F6292" i="9"/>
  <c r="F6289" i="9"/>
  <c r="F6298" i="9" s="1"/>
  <c r="F6290" i="9"/>
  <c r="F6291" i="9"/>
  <c r="F6263" i="9"/>
  <c r="E6254" i="9"/>
  <c r="D6254" i="9"/>
  <c r="D6253" i="9"/>
  <c r="F6253" i="9" s="1"/>
  <c r="F6257" i="9" s="1"/>
  <c r="F6242" i="9" s="1"/>
  <c r="F6249" i="9" s="1"/>
  <c r="F6266" i="9" s="1"/>
  <c r="F6236" i="9"/>
  <c r="F6235" i="9"/>
  <c r="F6238" i="9" s="1"/>
  <c r="F6209" i="9"/>
  <c r="D6200" i="9"/>
  <c r="E6200" i="9"/>
  <c r="F6200" i="9" s="1"/>
  <c r="D6199" i="9"/>
  <c r="F6199" i="9"/>
  <c r="F6182" i="9"/>
  <c r="F6181" i="9"/>
  <c r="F6162" i="9"/>
  <c r="D6153" i="9"/>
  <c r="F6153" i="9" s="1"/>
  <c r="E6153" i="9"/>
  <c r="D6152" i="9"/>
  <c r="F6152" i="9"/>
  <c r="F6142" i="9"/>
  <c r="F6143" i="9"/>
  <c r="F6144" i="9"/>
  <c r="F6145" i="9"/>
  <c r="F6133" i="9"/>
  <c r="F6137" i="9" s="1"/>
  <c r="F5138" i="9"/>
  <c r="F5115" i="9"/>
  <c r="F5114" i="9"/>
  <c r="F5113" i="9"/>
  <c r="F5112" i="9"/>
  <c r="F5117" i="9" s="1"/>
  <c r="F5141" i="9" s="1"/>
  <c r="F5089" i="9"/>
  <c r="E5080" i="9"/>
  <c r="D5080" i="9"/>
  <c r="D5079" i="9"/>
  <c r="F5079" i="9" s="1"/>
  <c r="F5066" i="9"/>
  <c r="F5065" i="9"/>
  <c r="F5064" i="9"/>
  <c r="F5063" i="9"/>
  <c r="F5033" i="9"/>
  <c r="F5035" i="9" s="1"/>
  <c r="D5026" i="9"/>
  <c r="E5026" i="9"/>
  <c r="F5026" i="9"/>
  <c r="D5025" i="9"/>
  <c r="F5025" i="9" s="1"/>
  <c r="F5011" i="9"/>
  <c r="F5014" i="9" s="1"/>
  <c r="F5010" i="9"/>
  <c r="F5009" i="9"/>
  <c r="F4979" i="9"/>
  <c r="F4981" i="9"/>
  <c r="E4972" i="9"/>
  <c r="D4972" i="9"/>
  <c r="F4972" i="9"/>
  <c r="D4971" i="9"/>
  <c r="F4971" i="9" s="1"/>
  <c r="F4975" i="9" s="1"/>
  <c r="F4964" i="9" s="1"/>
  <c r="F4967" i="9" s="1"/>
  <c r="F4957" i="9"/>
  <c r="F4956" i="9"/>
  <c r="F4955" i="9"/>
  <c r="F4925" i="9"/>
  <c r="F4927" i="9" s="1"/>
  <c r="E4918" i="9"/>
  <c r="D4918" i="9"/>
  <c r="F4918" i="9"/>
  <c r="D4917" i="9"/>
  <c r="F4917" i="9" s="1"/>
  <c r="F4921" i="9" s="1"/>
  <c r="F4910" i="9" s="1"/>
  <c r="F4913" i="9" s="1"/>
  <c r="F4901" i="9"/>
  <c r="F4906" i="9" s="1"/>
  <c r="F4902" i="9"/>
  <c r="F4903" i="9"/>
  <c r="F4871" i="9"/>
  <c r="F4873" i="9" s="1"/>
  <c r="D4864" i="9"/>
  <c r="F4864" i="9" s="1"/>
  <c r="E4864" i="9"/>
  <c r="D4863" i="9"/>
  <c r="F4863" i="9" s="1"/>
  <c r="F4849" i="9"/>
  <c r="F4847" i="9"/>
  <c r="F4848" i="9"/>
  <c r="F4816" i="9"/>
  <c r="F4818" i="9"/>
  <c r="E4809" i="9"/>
  <c r="D4809" i="9"/>
  <c r="F4809" i="9" s="1"/>
  <c r="D4808" i="9"/>
  <c r="F4808" i="9"/>
  <c r="F4794" i="9"/>
  <c r="F4793" i="9"/>
  <c r="F4792" i="9"/>
  <c r="F4763" i="9"/>
  <c r="E4754" i="9"/>
  <c r="D4754" i="9"/>
  <c r="D4753" i="9"/>
  <c r="F4753" i="9"/>
  <c r="F4740" i="9"/>
  <c r="F4739" i="9"/>
  <c r="F4738" i="9"/>
  <c r="F4737" i="9"/>
  <c r="F4708" i="9"/>
  <c r="D4699" i="9"/>
  <c r="E4699" i="9"/>
  <c r="F4699" i="9"/>
  <c r="D4698" i="9"/>
  <c r="F4698" i="9" s="1"/>
  <c r="F4702" i="9" s="1"/>
  <c r="F4691" i="9" s="1"/>
  <c r="F4694" i="9" s="1"/>
  <c r="F4685" i="9"/>
  <c r="F4684" i="9"/>
  <c r="F4683" i="9"/>
  <c r="F4682" i="9"/>
  <c r="F4687" i="9" s="1"/>
  <c r="F4711" i="9" s="1"/>
  <c r="F4653" i="9"/>
  <c r="E4644" i="9"/>
  <c r="D4644" i="9"/>
  <c r="F4644" i="9" s="1"/>
  <c r="D4643" i="9"/>
  <c r="F4643" i="9" s="1"/>
  <c r="F4630" i="9"/>
  <c r="F4629" i="9"/>
  <c r="F4628" i="9"/>
  <c r="F4627" i="9"/>
  <c r="F4632" i="9" s="1"/>
  <c r="F4602" i="9"/>
  <c r="F4547" i="9"/>
  <c r="E4538" i="9"/>
  <c r="D4538" i="9"/>
  <c r="F4538" i="9" s="1"/>
  <c r="D4537" i="9"/>
  <c r="F4537" i="9" s="1"/>
  <c r="F4541" i="9" s="1"/>
  <c r="F4530" i="9" s="1"/>
  <c r="F4533" i="9" s="1"/>
  <c r="F4550" i="9" s="1"/>
  <c r="F4524" i="9"/>
  <c r="F4523" i="9"/>
  <c r="F4522" i="9"/>
  <c r="F4521" i="9"/>
  <c r="F4520" i="9"/>
  <c r="F4519" i="9"/>
  <c r="F4518" i="9"/>
  <c r="F4490" i="9"/>
  <c r="D4481" i="9"/>
  <c r="F4481" i="9" s="1"/>
  <c r="E4481" i="9"/>
  <c r="D4480" i="9"/>
  <c r="F4480" i="9" s="1"/>
  <c r="F4484" i="9" s="1"/>
  <c r="F4473" i="9" s="1"/>
  <c r="F4476" i="9" s="1"/>
  <c r="F4467" i="9"/>
  <c r="F4466" i="9"/>
  <c r="F4465" i="9"/>
  <c r="F4464" i="9"/>
  <c r="F4463" i="9"/>
  <c r="F4461" i="9"/>
  <c r="F4469" i="9" s="1"/>
  <c r="F4462" i="9"/>
  <c r="F4433" i="9"/>
  <c r="E4424" i="9"/>
  <c r="D4424" i="9"/>
  <c r="F4424" i="9"/>
  <c r="D4423" i="9"/>
  <c r="F4423" i="9"/>
  <c r="F4406" i="9"/>
  <c r="F4407" i="9"/>
  <c r="F4378" i="9"/>
  <c r="E4369" i="9"/>
  <c r="D4369" i="9"/>
  <c r="D4368" i="9"/>
  <c r="F4368" i="9" s="1"/>
  <c r="F4372" i="9" s="1"/>
  <c r="F4361" i="9" s="1"/>
  <c r="F4364" i="9" s="1"/>
  <c r="F4354" i="9"/>
  <c r="F4353" i="9"/>
  <c r="F4352" i="9"/>
  <c r="F4351" i="9"/>
  <c r="F4357" i="9" s="1"/>
  <c r="F4323" i="9"/>
  <c r="E4314" i="9"/>
  <c r="D4314" i="9"/>
  <c r="F4314" i="9"/>
  <c r="D4313" i="9"/>
  <c r="F4313" i="9" s="1"/>
  <c r="F4299" i="9"/>
  <c r="F4298" i="9"/>
  <c r="F4297" i="9"/>
  <c r="F4296" i="9"/>
  <c r="F4302" i="9" s="1"/>
  <c r="F4269" i="9"/>
  <c r="D4260" i="9"/>
  <c r="E4260" i="9"/>
  <c r="D4259" i="9"/>
  <c r="F4259" i="9" s="1"/>
  <c r="F4245" i="9"/>
  <c r="F4244" i="9"/>
  <c r="F4243" i="9"/>
  <c r="F4242" i="9"/>
  <c r="F4248" i="9" s="1"/>
  <c r="F4212" i="9"/>
  <c r="F4214" i="9"/>
  <c r="D4205" i="9"/>
  <c r="E4205" i="9"/>
  <c r="F4205" i="9"/>
  <c r="D4204" i="9"/>
  <c r="F4204" i="9"/>
  <c r="F4190" i="9"/>
  <c r="F4189" i="9"/>
  <c r="F4188" i="9"/>
  <c r="F4187" i="9"/>
  <c r="F4157" i="9"/>
  <c r="F4159" i="9"/>
  <c r="E4150" i="9"/>
  <c r="D4150" i="9"/>
  <c r="F4150" i="9" s="1"/>
  <c r="D4149" i="9"/>
  <c r="F4149" i="9"/>
  <c r="F4135" i="9"/>
  <c r="F4134" i="9"/>
  <c r="F4132" i="9"/>
  <c r="F4138" i="9" s="1"/>
  <c r="F4133" i="9"/>
  <c r="F4102" i="9"/>
  <c r="F4104" i="9" s="1"/>
  <c r="E4095" i="9"/>
  <c r="D4095" i="9"/>
  <c r="F4095" i="9" s="1"/>
  <c r="D4094" i="9"/>
  <c r="F4094" i="9" s="1"/>
  <c r="F4080" i="9"/>
  <c r="F4079" i="9"/>
  <c r="F4078" i="9"/>
  <c r="F4077" i="9"/>
  <c r="F4047" i="9"/>
  <c r="F4049" i="9" s="1"/>
  <c r="E4040" i="9"/>
  <c r="D4040" i="9"/>
  <c r="F4040" i="9" s="1"/>
  <c r="D4039" i="9"/>
  <c r="F4039" i="9" s="1"/>
  <c r="F4025" i="9"/>
  <c r="F4024" i="9"/>
  <c r="F4023" i="9"/>
  <c r="F4022" i="9"/>
  <c r="F3993" i="9"/>
  <c r="F3995" i="9" s="1"/>
  <c r="D3985" i="9"/>
  <c r="F3985" i="9" s="1"/>
  <c r="F3989" i="9" s="1"/>
  <c r="F3978" i="9"/>
  <c r="F3981" i="9" s="1"/>
  <c r="F3970" i="9"/>
  <c r="F3969" i="9"/>
  <c r="F3968" i="9"/>
  <c r="F3942" i="9"/>
  <c r="E3933" i="9"/>
  <c r="D3933" i="9"/>
  <c r="F3933" i="9"/>
  <c r="D3932" i="9"/>
  <c r="F3932" i="9"/>
  <c r="F3915" i="9"/>
  <c r="F3914" i="9"/>
  <c r="F3913" i="9"/>
  <c r="F3885" i="9"/>
  <c r="E3876" i="9"/>
  <c r="D3876" i="9"/>
  <c r="D3875" i="9"/>
  <c r="F3875" i="9"/>
  <c r="F3858" i="9"/>
  <c r="F3857" i="9"/>
  <c r="F3856" i="9"/>
  <c r="F3828" i="9"/>
  <c r="E3819" i="9"/>
  <c r="D3819" i="9"/>
  <c r="F3819" i="9" s="1"/>
  <c r="D3818" i="9"/>
  <c r="F3818" i="9" s="1"/>
  <c r="F3810" i="9"/>
  <c r="F3811" i="9"/>
  <c r="F3812" i="9"/>
  <c r="F3802" i="9"/>
  <c r="F3801" i="9"/>
  <c r="F3800" i="9"/>
  <c r="F3799" i="9"/>
  <c r="F3770" i="9"/>
  <c r="E3761" i="9"/>
  <c r="D3761" i="9"/>
  <c r="D3760" i="9"/>
  <c r="F3760" i="9" s="1"/>
  <c r="F3743" i="9"/>
  <c r="F3742" i="9"/>
  <c r="F3713" i="9"/>
  <c r="D3704" i="9"/>
  <c r="E3704" i="9"/>
  <c r="F3704" i="9"/>
  <c r="D3703" i="9"/>
  <c r="F3703" i="9" s="1"/>
  <c r="F3686" i="9"/>
  <c r="F3685" i="9"/>
  <c r="F3657" i="9"/>
  <c r="E3648" i="9"/>
  <c r="D3648" i="9"/>
  <c r="F3648" i="9"/>
  <c r="D3647" i="9"/>
  <c r="F3647" i="9" s="1"/>
  <c r="F3632" i="9"/>
  <c r="F3631" i="9"/>
  <c r="F3630" i="9"/>
  <c r="F3629" i="9"/>
  <c r="F3602" i="9"/>
  <c r="D3593" i="9"/>
  <c r="E3593" i="9"/>
  <c r="D3592" i="9"/>
  <c r="F3592" i="9"/>
  <c r="F3584" i="9"/>
  <c r="F3585" i="9"/>
  <c r="F3577" i="9"/>
  <c r="F3576" i="9"/>
  <c r="F3575" i="9"/>
  <c r="F3574" i="9"/>
  <c r="F3547" i="9"/>
  <c r="E3538" i="9"/>
  <c r="D3538" i="9"/>
  <c r="D3537" i="9"/>
  <c r="F3537" i="9" s="1"/>
  <c r="F3529" i="9"/>
  <c r="F3530" i="9"/>
  <c r="F3522" i="9"/>
  <c r="F3521" i="9"/>
  <c r="F3520" i="9"/>
  <c r="F3519" i="9"/>
  <c r="F3490" i="9"/>
  <c r="F3492" i="9" s="1"/>
  <c r="E3483" i="9"/>
  <c r="D3483" i="9"/>
  <c r="D3482" i="9"/>
  <c r="F3482" i="9" s="1"/>
  <c r="F3474" i="9"/>
  <c r="F3475" i="9"/>
  <c r="F3478" i="9"/>
  <c r="F3467" i="9"/>
  <c r="F3466" i="9"/>
  <c r="F3465" i="9"/>
  <c r="F3464" i="9"/>
  <c r="F3469" i="9" s="1"/>
  <c r="F3436" i="9"/>
  <c r="D3427" i="9"/>
  <c r="E3427" i="9"/>
  <c r="F3427" i="9" s="1"/>
  <c r="D3426" i="9"/>
  <c r="F3426" i="9"/>
  <c r="F3418" i="9"/>
  <c r="F3419" i="9"/>
  <c r="F3420" i="9"/>
  <c r="F3411" i="9"/>
  <c r="F3410" i="9"/>
  <c r="F3409" i="9"/>
  <c r="F3408" i="9"/>
  <c r="F3380" i="9"/>
  <c r="E3371" i="9"/>
  <c r="D3371" i="9"/>
  <c r="D3370" i="9"/>
  <c r="F3370" i="9" s="1"/>
  <c r="F3374" i="9" s="1"/>
  <c r="F3361" i="9" s="1"/>
  <c r="F3366" i="9" s="1"/>
  <c r="F3383" i="9" s="1"/>
  <c r="F3364" i="9"/>
  <c r="F3363" i="9"/>
  <c r="F3362" i="9"/>
  <c r="F3355" i="9"/>
  <c r="F3354" i="9"/>
  <c r="F3353" i="9"/>
  <c r="F3352" i="9"/>
  <c r="F3324" i="9"/>
  <c r="D3315" i="9"/>
  <c r="E3315" i="9"/>
  <c r="D3314" i="9"/>
  <c r="F3314" i="9"/>
  <c r="F3306" i="9"/>
  <c r="F3299" i="9"/>
  <c r="F3298" i="9"/>
  <c r="F3297" i="9"/>
  <c r="F3296" i="9"/>
  <c r="F3301" i="9" s="1"/>
  <c r="F3267" i="9"/>
  <c r="D3258" i="9"/>
  <c r="E3258" i="9"/>
  <c r="D3257" i="9"/>
  <c r="F3257" i="9"/>
  <c r="F3242" i="9"/>
  <c r="F3240" i="9"/>
  <c r="F3241" i="9"/>
  <c r="F3162" i="9"/>
  <c r="E3153" i="9"/>
  <c r="D3153" i="9"/>
  <c r="D3152" i="9"/>
  <c r="F3152" i="9"/>
  <c r="F3137" i="9"/>
  <c r="F3136" i="9"/>
  <c r="F3139" i="9" s="1"/>
  <c r="F3165" i="9" s="1"/>
  <c r="F3135" i="9"/>
  <c r="F3134" i="9"/>
  <c r="F3105" i="9"/>
  <c r="E3096" i="9"/>
  <c r="D3096" i="9"/>
  <c r="D3095" i="9"/>
  <c r="F3095" i="9"/>
  <c r="F3087" i="9"/>
  <c r="F3080" i="9"/>
  <c r="F3079" i="9"/>
  <c r="F3078" i="9"/>
  <c r="F3077" i="9"/>
  <c r="F3076" i="9"/>
  <c r="F3075" i="9"/>
  <c r="F3074" i="9"/>
  <c r="F3073" i="9"/>
  <c r="F3072" i="9"/>
  <c r="F3071" i="9"/>
  <c r="F3043" i="9"/>
  <c r="E3034" i="9"/>
  <c r="D3034" i="9"/>
  <c r="D3033" i="9"/>
  <c r="F3033" i="9"/>
  <c r="F3025" i="9"/>
  <c r="F3018" i="9"/>
  <c r="F3017" i="9"/>
  <c r="F3016" i="9"/>
  <c r="F3015" i="9"/>
  <c r="F3014" i="9"/>
  <c r="F3013" i="9"/>
  <c r="F3012" i="9"/>
  <c r="F3011" i="9"/>
  <c r="F3010" i="9"/>
  <c r="F2982" i="9"/>
  <c r="D2973" i="9"/>
  <c r="E2973" i="9"/>
  <c r="F2973" i="9"/>
  <c r="D2972" i="9"/>
  <c r="F2972" i="9"/>
  <c r="F2976" i="9" s="1"/>
  <c r="F2963" i="9" s="1"/>
  <c r="F2964" i="9"/>
  <c r="F2957" i="9"/>
  <c r="F2956" i="9"/>
  <c r="F2955" i="9"/>
  <c r="F2954" i="9"/>
  <c r="F2952" i="9"/>
  <c r="F2959" i="9" s="1"/>
  <c r="F2953" i="9"/>
  <c r="F2924" i="9"/>
  <c r="E2915" i="9"/>
  <c r="D2915" i="9"/>
  <c r="F2915" i="9"/>
  <c r="D2914" i="9"/>
  <c r="F2914" i="9"/>
  <c r="F2906" i="9"/>
  <c r="F2898" i="9"/>
  <c r="F2897" i="9"/>
  <c r="F2896" i="9"/>
  <c r="F2895" i="9"/>
  <c r="F2868" i="9"/>
  <c r="E2859" i="9"/>
  <c r="D2859" i="9"/>
  <c r="F2859" i="9" s="1"/>
  <c r="D2858" i="9"/>
  <c r="F2858" i="9"/>
  <c r="F2862" i="9" s="1"/>
  <c r="F2849" i="9" s="1"/>
  <c r="F2854" i="9" s="1"/>
  <c r="F2850" i="9"/>
  <c r="F2842" i="9"/>
  <c r="F2841" i="9"/>
  <c r="F2840" i="9"/>
  <c r="F2839" i="9"/>
  <c r="F2811" i="9"/>
  <c r="E2802" i="9"/>
  <c r="D2802" i="9"/>
  <c r="F2802" i="9" s="1"/>
  <c r="D2801" i="9"/>
  <c r="F2801" i="9" s="1"/>
  <c r="F2793" i="9"/>
  <c r="F2785" i="9"/>
  <c r="F2782" i="9"/>
  <c r="F2788" i="9" s="1"/>
  <c r="F2783" i="9"/>
  <c r="F2784" i="9"/>
  <c r="F2754" i="9"/>
  <c r="E2745" i="9"/>
  <c r="D2745" i="9"/>
  <c r="D2744" i="9"/>
  <c r="F2744" i="9" s="1"/>
  <c r="F2748" i="9" s="1"/>
  <c r="F2735" i="9" s="1"/>
  <c r="F2740" i="9" s="1"/>
  <c r="F2757" i="9" s="1"/>
  <c r="F2736" i="9"/>
  <c r="F2725" i="9"/>
  <c r="F2731" i="9" s="1"/>
  <c r="F2697" i="9"/>
  <c r="E2688" i="9"/>
  <c r="D2688" i="9"/>
  <c r="F2688" i="9"/>
  <c r="D2687" i="9"/>
  <c r="F2687" i="9"/>
  <c r="F2679" i="9"/>
  <c r="F2668" i="9"/>
  <c r="F2674" i="9"/>
  <c r="F2640" i="9"/>
  <c r="D2631" i="9"/>
  <c r="E2631" i="9"/>
  <c r="D2630" i="9"/>
  <c r="F2630" i="9"/>
  <c r="F2622" i="9"/>
  <c r="F2611" i="9"/>
  <c r="F2617" i="9"/>
  <c r="F2583" i="9"/>
  <c r="E2574" i="9"/>
  <c r="D2574" i="9"/>
  <c r="D2573" i="9"/>
  <c r="F2573" i="9"/>
  <c r="F2565" i="9"/>
  <c r="F2569" i="9" s="1"/>
  <c r="F2554" i="9"/>
  <c r="F2560" i="9" s="1"/>
  <c r="F2527" i="9"/>
  <c r="E2518" i="9"/>
  <c r="D2518" i="9"/>
  <c r="F2518" i="9"/>
  <c r="D2517" i="9"/>
  <c r="F2517" i="9" s="1"/>
  <c r="F2509" i="9"/>
  <c r="F2498" i="9"/>
  <c r="F2504" i="9" s="1"/>
  <c r="F2470" i="9"/>
  <c r="E2461" i="9"/>
  <c r="D2461" i="9"/>
  <c r="D2460" i="9"/>
  <c r="F2460" i="9" s="1"/>
  <c r="F2452" i="9"/>
  <c r="F2441" i="9"/>
  <c r="F2447" i="9" s="1"/>
  <c r="F2413" i="9"/>
  <c r="D2404" i="9"/>
  <c r="E2404" i="9"/>
  <c r="D2403" i="9"/>
  <c r="F2403" i="9" s="1"/>
  <c r="F2386" i="9"/>
  <c r="F2384" i="9"/>
  <c r="F2385" i="9"/>
  <c r="F2356" i="9"/>
  <c r="E2347" i="9"/>
  <c r="D2347" i="9"/>
  <c r="F2347" i="9" s="1"/>
  <c r="D2346" i="9"/>
  <c r="F2346" i="9"/>
  <c r="F2338" i="9"/>
  <c r="F2342" i="9" s="1"/>
  <c r="F2327" i="9"/>
  <c r="F2333" i="9" s="1"/>
  <c r="F2298" i="9"/>
  <c r="D2289" i="9"/>
  <c r="E2289" i="9"/>
  <c r="D2288" i="9"/>
  <c r="F2288" i="9" s="1"/>
  <c r="F2280" i="9"/>
  <c r="F2269" i="9"/>
  <c r="F2275" i="9" s="1"/>
  <c r="F2241" i="9"/>
  <c r="D2232" i="9"/>
  <c r="E2232" i="9"/>
  <c r="D2231" i="9"/>
  <c r="F2231" i="9" s="1"/>
  <c r="F2223" i="9"/>
  <c r="F2211" i="9"/>
  <c r="F2212" i="9"/>
  <c r="F2218" i="9"/>
  <c r="F2183" i="9"/>
  <c r="E2174" i="9"/>
  <c r="D2174" i="9"/>
  <c r="D2173" i="9"/>
  <c r="F2173" i="9" s="1"/>
  <c r="F2158" i="9"/>
  <c r="F2157" i="9"/>
  <c r="F2156" i="9"/>
  <c r="F2154" i="9"/>
  <c r="F2153" i="9"/>
  <c r="F2125" i="9"/>
  <c r="D2116" i="9"/>
  <c r="E2116" i="9"/>
  <c r="F2116" i="9"/>
  <c r="D2115" i="9"/>
  <c r="F2115" i="9"/>
  <c r="F2100" i="9"/>
  <c r="F2099" i="9"/>
  <c r="F2098" i="9"/>
  <c r="F2097" i="9"/>
  <c r="F2096" i="9"/>
  <c r="F2095" i="9"/>
  <c r="F2066" i="9"/>
  <c r="D2057" i="9"/>
  <c r="F2057" i="9" s="1"/>
  <c r="E2057" i="9"/>
  <c r="D2056" i="9"/>
  <c r="F2056" i="9" s="1"/>
  <c r="F2041" i="9"/>
  <c r="F2040" i="9"/>
  <c r="F2039" i="9"/>
  <c r="F2038" i="9"/>
  <c r="F2037" i="9"/>
  <c r="F2036" i="9"/>
  <c r="F2007" i="9"/>
  <c r="E1998" i="9"/>
  <c r="D1998" i="9"/>
  <c r="D1997" i="9"/>
  <c r="F1997" i="9" s="1"/>
  <c r="F1990" i="9"/>
  <c r="F1989" i="9"/>
  <c r="F1982" i="9"/>
  <c r="F1981" i="9"/>
  <c r="F1980" i="9"/>
  <c r="F1979" i="9"/>
  <c r="F1978" i="9"/>
  <c r="F1977" i="9"/>
  <c r="F1949" i="9"/>
  <c r="D1940" i="9"/>
  <c r="E1940" i="9"/>
  <c r="D1939" i="9"/>
  <c r="F1939" i="9" s="1"/>
  <c r="F1935" i="9"/>
  <c r="F1920" i="9"/>
  <c r="F1919" i="9"/>
  <c r="F1918" i="9"/>
  <c r="F1917" i="9"/>
  <c r="F1916" i="9"/>
  <c r="F1915" i="9"/>
  <c r="F1887" i="9"/>
  <c r="D1879" i="9"/>
  <c r="E1878" i="9"/>
  <c r="E1879" i="9" s="1"/>
  <c r="D1878" i="9"/>
  <c r="F1878" i="9" s="1"/>
  <c r="D1877" i="9"/>
  <c r="F1877" i="9" s="1"/>
  <c r="F1865" i="9"/>
  <c r="F1866" i="9"/>
  <c r="F1867" i="9"/>
  <c r="F1868" i="9"/>
  <c r="F1869" i="9"/>
  <c r="F1870" i="9"/>
  <c r="F1871" i="9"/>
  <c r="F1858" i="9"/>
  <c r="F1857" i="9"/>
  <c r="F1856" i="9"/>
  <c r="F1855" i="9"/>
  <c r="F1854" i="9"/>
  <c r="F1853" i="9"/>
  <c r="F1825" i="9"/>
  <c r="D1816" i="9"/>
  <c r="F1816" i="9" s="1"/>
  <c r="E1816" i="9"/>
  <c r="D1815" i="9"/>
  <c r="F1815" i="9"/>
  <c r="F1807" i="9"/>
  <c r="F1808" i="9"/>
  <c r="F1800" i="9"/>
  <c r="F1799" i="9"/>
  <c r="F1798" i="9"/>
  <c r="F1797" i="9"/>
  <c r="F1796" i="9"/>
  <c r="H1796" i="9"/>
  <c r="F1795" i="9"/>
  <c r="F1766" i="9"/>
  <c r="E1757" i="9"/>
  <c r="D1757" i="9"/>
  <c r="F1757" i="9" s="1"/>
  <c r="D1756" i="9"/>
  <c r="F1756" i="9" s="1"/>
  <c r="F1760" i="9" s="1"/>
  <c r="H1760" i="9" s="1"/>
  <c r="F1749" i="9"/>
  <c r="H1749" i="9" s="1"/>
  <c r="F1748" i="9"/>
  <c r="F1736" i="9"/>
  <c r="F1743" i="9" s="1"/>
  <c r="F1708" i="9"/>
  <c r="E1699" i="9"/>
  <c r="D1699" i="9"/>
  <c r="F1699" i="9" s="1"/>
  <c r="D1698" i="9"/>
  <c r="F1698" i="9" s="1"/>
  <c r="F1691" i="9"/>
  <c r="F1690" i="9"/>
  <c r="F1683" i="9"/>
  <c r="F1682" i="9"/>
  <c r="F1681" i="9"/>
  <c r="F1678" i="9"/>
  <c r="F1650" i="9"/>
  <c r="E1641" i="9"/>
  <c r="D1641" i="9"/>
  <c r="F1641" i="9"/>
  <c r="D1640" i="9"/>
  <c r="F1640" i="9" s="1"/>
  <c r="F1633" i="9"/>
  <c r="F1632" i="9"/>
  <c r="F1625" i="9"/>
  <c r="F1624" i="9"/>
  <c r="F1623" i="9"/>
  <c r="F1622" i="9"/>
  <c r="F1621" i="9"/>
  <c r="F1620" i="9"/>
  <c r="F1593" i="9"/>
  <c r="D1584" i="9"/>
  <c r="E1584" i="9"/>
  <c r="D1583" i="9"/>
  <c r="F1583" i="9" s="1"/>
  <c r="F1575" i="9"/>
  <c r="F1576" i="9"/>
  <c r="F1568" i="9"/>
  <c r="F1567" i="9"/>
  <c r="F1566" i="9"/>
  <c r="F1565" i="9"/>
  <c r="F1564" i="9"/>
  <c r="F1563" i="9"/>
  <c r="F1535" i="9"/>
  <c r="E1526" i="9"/>
  <c r="D1526" i="9"/>
  <c r="D1525" i="9"/>
  <c r="F1525" i="9" s="1"/>
  <c r="F1517" i="9"/>
  <c r="F1518" i="9"/>
  <c r="F1521" i="9" s="1"/>
  <c r="F1510" i="9"/>
  <c r="F1509" i="9"/>
  <c r="F1508" i="9"/>
  <c r="F1507" i="9"/>
  <c r="F1505" i="9"/>
  <c r="F1506" i="9"/>
  <c r="F1477" i="9"/>
  <c r="E1468" i="9"/>
  <c r="D1468" i="9"/>
  <c r="F1468" i="9" s="1"/>
  <c r="D1467" i="9"/>
  <c r="F1467" i="9" s="1"/>
  <c r="F1459" i="9"/>
  <c r="F1463" i="9" s="1"/>
  <c r="F1452" i="9"/>
  <c r="F1451" i="9"/>
  <c r="F1450" i="9"/>
  <c r="F1449" i="9"/>
  <c r="F1448" i="9"/>
  <c r="F1447" i="9"/>
  <c r="F1419" i="9"/>
  <c r="E1410" i="9"/>
  <c r="D1410" i="9"/>
  <c r="D1409" i="9"/>
  <c r="F1409" i="9" s="1"/>
  <c r="F1401" i="9"/>
  <c r="F1394" i="9"/>
  <c r="F1393" i="9"/>
  <c r="F1392" i="9"/>
  <c r="F1391" i="9"/>
  <c r="F1390" i="9"/>
  <c r="F1389" i="9"/>
  <c r="F1361" i="9"/>
  <c r="D1352" i="9"/>
  <c r="E1352" i="9"/>
  <c r="D1351" i="9"/>
  <c r="F1351" i="9" s="1"/>
  <c r="F1336" i="9"/>
  <c r="F1335" i="9"/>
  <c r="F1334" i="9"/>
  <c r="F1333" i="9"/>
  <c r="F1332" i="9"/>
  <c r="F1331" i="9"/>
  <c r="F1302" i="9"/>
  <c r="F1304" i="9" s="1"/>
  <c r="E1295" i="9"/>
  <c r="D1295" i="9"/>
  <c r="F1295" i="9" s="1"/>
  <c r="D1294" i="9"/>
  <c r="F1294" i="9" s="1"/>
  <c r="F1288" i="9"/>
  <c r="F1287" i="9"/>
  <c r="F1286" i="9"/>
  <c r="F1279" i="9"/>
  <c r="F1278" i="9"/>
  <c r="F1277" i="9"/>
  <c r="F1276" i="9"/>
  <c r="F1275" i="9"/>
  <c r="F1274" i="9"/>
  <c r="F1245" i="9"/>
  <c r="F1247" i="9"/>
  <c r="E1238" i="9"/>
  <c r="D1238" i="9"/>
  <c r="D1237" i="9"/>
  <c r="F1237" i="9" s="1"/>
  <c r="F1223" i="9"/>
  <c r="F1222" i="9"/>
  <c r="F1221" i="9"/>
  <c r="F1220" i="9"/>
  <c r="F1219" i="9"/>
  <c r="F1218" i="9"/>
  <c r="F1189" i="9"/>
  <c r="F1191" i="9" s="1"/>
  <c r="D1182" i="9"/>
  <c r="E1182" i="9"/>
  <c r="F1182" i="9"/>
  <c r="D1181" i="9"/>
  <c r="F1181" i="9" s="1"/>
  <c r="F1174" i="9"/>
  <c r="F1175" i="9"/>
  <c r="F1167" i="9"/>
  <c r="F1166" i="9"/>
  <c r="F1165" i="9"/>
  <c r="F1164" i="9"/>
  <c r="F1163" i="9"/>
  <c r="F1162" i="9"/>
  <c r="F1132" i="9"/>
  <c r="F1134" i="9"/>
  <c r="D1125" i="9"/>
  <c r="F1125" i="9" s="1"/>
  <c r="E1125" i="9"/>
  <c r="D1124" i="9"/>
  <c r="F1124" i="9" s="1"/>
  <c r="F1110" i="9"/>
  <c r="F1109" i="9"/>
  <c r="F1108" i="9"/>
  <c r="F1107" i="9"/>
  <c r="F1106" i="9"/>
  <c r="F1105" i="9"/>
  <c r="F1076" i="9"/>
  <c r="F1078" i="9"/>
  <c r="E1069" i="9"/>
  <c r="D1069" i="9"/>
  <c r="F1069" i="9" s="1"/>
  <c r="D1068" i="9"/>
  <c r="F1068" i="9" s="1"/>
  <c r="F1054" i="9"/>
  <c r="F1053" i="9"/>
  <c r="F1052" i="9"/>
  <c r="F1051" i="9"/>
  <c r="F1049" i="9"/>
  <c r="F1050" i="9"/>
  <c r="F1020" i="9"/>
  <c r="F1022" i="9"/>
  <c r="D1013" i="9"/>
  <c r="F1013" i="9" s="1"/>
  <c r="E1013" i="9"/>
  <c r="D1012" i="9"/>
  <c r="F1012" i="9" s="1"/>
  <c r="F998" i="9"/>
  <c r="F997" i="9"/>
  <c r="F996" i="9"/>
  <c r="F995" i="9"/>
  <c r="F994" i="9"/>
  <c r="F993" i="9"/>
  <c r="F963" i="9"/>
  <c r="F965" i="9" s="1"/>
  <c r="E956" i="9"/>
  <c r="D956" i="9"/>
  <c r="F956" i="9" s="1"/>
  <c r="D955" i="9"/>
  <c r="F955" i="9"/>
  <c r="F959" i="9" s="1"/>
  <c r="F947" i="9" s="1"/>
  <c r="F951" i="9" s="1"/>
  <c r="F941" i="9"/>
  <c r="F940" i="9"/>
  <c r="F939" i="9"/>
  <c r="F938" i="9"/>
  <c r="F937" i="9"/>
  <c r="F936" i="9"/>
  <c r="F906" i="9"/>
  <c r="F908" i="9"/>
  <c r="D899" i="9"/>
  <c r="F899" i="9" s="1"/>
  <c r="E899" i="9"/>
  <c r="D898" i="9"/>
  <c r="F898" i="9" s="1"/>
  <c r="F902" i="9" s="1"/>
  <c r="F890" i="9" s="1"/>
  <c r="F894" i="9" s="1"/>
  <c r="F884" i="9"/>
  <c r="F883" i="9"/>
  <c r="F882" i="9"/>
  <c r="F881" i="9"/>
  <c r="F880" i="9"/>
  <c r="F879" i="9"/>
  <c r="F878" i="9"/>
  <c r="F877" i="9"/>
  <c r="F876" i="9"/>
  <c r="F875" i="9"/>
  <c r="F874" i="9"/>
  <c r="F873" i="9"/>
  <c r="F872" i="9"/>
  <c r="F871" i="9"/>
  <c r="F841" i="9"/>
  <c r="F843" i="9"/>
  <c r="E834" i="9"/>
  <c r="D834" i="9"/>
  <c r="F834" i="9" s="1"/>
  <c r="D833" i="9"/>
  <c r="F833" i="9" s="1"/>
  <c r="F819" i="9"/>
  <c r="F821" i="9" s="1"/>
  <c r="F818" i="9"/>
  <c r="F817" i="9"/>
  <c r="F816" i="9"/>
  <c r="F815" i="9"/>
  <c r="F814" i="9"/>
  <c r="F729" i="9"/>
  <c r="D720" i="9"/>
  <c r="E720" i="9"/>
  <c r="D719" i="9"/>
  <c r="F719" i="9" s="1"/>
  <c r="F712" i="9"/>
  <c r="F700" i="9"/>
  <c r="F707" i="9" s="1"/>
  <c r="F616" i="9"/>
  <c r="E607" i="9"/>
  <c r="D607" i="9"/>
  <c r="D606" i="9"/>
  <c r="F606" i="9" s="1"/>
  <c r="F602" i="9"/>
  <c r="F587" i="9"/>
  <c r="F588" i="9"/>
  <c r="F559" i="9"/>
  <c r="E550" i="9"/>
  <c r="D550" i="9"/>
  <c r="F550" i="9" s="1"/>
  <c r="D549" i="9"/>
  <c r="F549" i="9" s="1"/>
  <c r="F553" i="9" s="1"/>
  <c r="F542" i="9"/>
  <c r="F545" i="9" s="1"/>
  <c r="F530" i="9"/>
  <c r="F537" i="9" s="1"/>
  <c r="F531" i="9"/>
  <c r="F501" i="9"/>
  <c r="E492" i="9"/>
  <c r="D492" i="9"/>
  <c r="D491" i="9"/>
  <c r="F491" i="9" s="1"/>
  <c r="F484" i="9"/>
  <c r="F472" i="9"/>
  <c r="F473" i="9"/>
  <c r="F479" i="9" s="1"/>
  <c r="F444" i="9"/>
  <c r="E435" i="9"/>
  <c r="D435" i="9"/>
  <c r="F435" i="9" s="1"/>
  <c r="D434" i="9"/>
  <c r="F434" i="9" s="1"/>
  <c r="F438" i="9" s="1"/>
  <c r="F427" i="9"/>
  <c r="F415" i="9"/>
  <c r="F416" i="9"/>
  <c r="F422" i="9"/>
  <c r="F386" i="9"/>
  <c r="F388" i="9"/>
  <c r="E379" i="9"/>
  <c r="D379" i="9"/>
  <c r="D378" i="9"/>
  <c r="F378" i="9" s="1"/>
  <c r="F371" i="9"/>
  <c r="F360" i="9"/>
  <c r="F359" i="9"/>
  <c r="F326" i="9"/>
  <c r="F328" i="9"/>
  <c r="E319" i="9"/>
  <c r="D319" i="9"/>
  <c r="D318" i="9"/>
  <c r="F318" i="9"/>
  <c r="F311" i="9"/>
  <c r="F314" i="9" s="1"/>
  <c r="F300" i="9"/>
  <c r="F299" i="9"/>
  <c r="F306" i="9" s="1"/>
  <c r="F268" i="9"/>
  <c r="F270" i="9"/>
  <c r="E261" i="9"/>
  <c r="D261" i="9"/>
  <c r="F261" i="9"/>
  <c r="F264" i="9" s="1"/>
  <c r="D260" i="9"/>
  <c r="F260" i="9"/>
  <c r="F254" i="9"/>
  <c r="F243" i="9"/>
  <c r="F242" i="9"/>
  <c r="F210" i="9"/>
  <c r="F212" i="9" s="1"/>
  <c r="E203" i="9"/>
  <c r="F203" i="9" s="1"/>
  <c r="D203" i="9"/>
  <c r="D202" i="9"/>
  <c r="F202" i="9" s="1"/>
  <c r="F196" i="9"/>
  <c r="F195" i="9"/>
  <c r="F184" i="9"/>
  <c r="F183" i="9"/>
  <c r="F152" i="9"/>
  <c r="F154" i="9" s="1"/>
  <c r="E145" i="9"/>
  <c r="D145" i="9"/>
  <c r="D144" i="9"/>
  <c r="F144" i="9" s="1"/>
  <c r="F130" i="9"/>
  <c r="F129" i="9"/>
  <c r="F128" i="9"/>
  <c r="F127" i="9"/>
  <c r="F126" i="9"/>
  <c r="F125" i="9"/>
  <c r="F124" i="9"/>
  <c r="F123" i="9"/>
  <c r="F122" i="9"/>
  <c r="F121" i="9"/>
  <c r="F120" i="9"/>
  <c r="F90" i="9"/>
  <c r="F92" i="9" s="1"/>
  <c r="D83" i="9"/>
  <c r="E83" i="9"/>
  <c r="D82" i="9"/>
  <c r="F82" i="9" s="1"/>
  <c r="F67" i="9"/>
  <c r="F65" i="9"/>
  <c r="F66" i="9"/>
  <c r="F38" i="9"/>
  <c r="F40" i="9"/>
  <c r="D30" i="9"/>
  <c r="F30" i="9"/>
  <c r="F34" i="9" s="1"/>
  <c r="F24" i="9" s="1"/>
  <c r="F23" i="9"/>
  <c r="F26" i="9"/>
  <c r="F15" i="9"/>
  <c r="F14" i="9"/>
  <c r="F13" i="9"/>
  <c r="F2918" i="9"/>
  <c r="F2905" i="9" s="1"/>
  <c r="F2691" i="9"/>
  <c r="F2678" i="9" s="1"/>
  <c r="F2683" i="9" s="1"/>
  <c r="F2700" i="9" s="1"/>
  <c r="F4369" i="9"/>
  <c r="F7945" i="9"/>
  <c r="F7948" i="9"/>
  <c r="F7933" i="9" s="1"/>
  <c r="F7940" i="9" s="1"/>
  <c r="F8396" i="9"/>
  <c r="F8384" i="9"/>
  <c r="F8388" i="9" s="1"/>
  <c r="F8405" i="9" s="1"/>
  <c r="F8789" i="9"/>
  <c r="F8776" i="9"/>
  <c r="F8781" i="9" s="1"/>
  <c r="F12795" i="9"/>
  <c r="F12778" i="9"/>
  <c r="F12787" i="9" s="1"/>
  <c r="F13512" i="9"/>
  <c r="F14202" i="9"/>
  <c r="F13203" i="9"/>
  <c r="F13221" i="9"/>
  <c r="F13264" i="9"/>
  <c r="F14184" i="9"/>
  <c r="F14245" i="9"/>
  <c r="F14570" i="9"/>
  <c r="F14553" i="9"/>
  <c r="F14562" i="9" s="1"/>
  <c r="F16334" i="9"/>
  <c r="F13940" i="9"/>
  <c r="F13958" i="9"/>
  <c r="F13961" i="9"/>
  <c r="F13944" i="9" s="1"/>
  <c r="F13953" i="9" s="1"/>
  <c r="F14001" i="9"/>
  <c r="F14488" i="9"/>
  <c r="F14732" i="9"/>
  <c r="E35" i="5"/>
  <c r="F35" i="5" s="1"/>
  <c r="H35" i="5" s="1"/>
  <c r="E34" i="5"/>
  <c r="C34" i="5"/>
  <c r="F34" i="5"/>
  <c r="H34" i="5" s="1"/>
  <c r="C33" i="5"/>
  <c r="F32" i="5"/>
  <c r="H32" i="5" s="1"/>
  <c r="F31" i="5"/>
  <c r="H31" i="5" s="1"/>
  <c r="F13" i="5"/>
  <c r="H13" i="5" s="1"/>
  <c r="E11" i="5"/>
  <c r="E12" i="5"/>
  <c r="F12" i="5" s="1"/>
  <c r="H12" i="5" s="1"/>
  <c r="F11" i="5"/>
  <c r="H11" i="5" s="1"/>
  <c r="F10" i="5"/>
  <c r="H10" i="5"/>
  <c r="E9" i="5"/>
  <c r="E14" i="5"/>
  <c r="E15" i="5" s="1"/>
  <c r="F15" i="5" s="1"/>
  <c r="F8" i="5"/>
  <c r="H8" i="5" s="1"/>
  <c r="D32" i="3"/>
  <c r="D37" i="3" s="1"/>
  <c r="D31" i="3"/>
  <c r="D30" i="3"/>
  <c r="D29" i="3"/>
  <c r="D28" i="3"/>
  <c r="D25" i="3"/>
  <c r="D24" i="3"/>
  <c r="D23" i="3"/>
  <c r="D22" i="3"/>
  <c r="D26" i="3"/>
  <c r="D27" i="3"/>
  <c r="D21" i="3"/>
  <c r="D20" i="3"/>
  <c r="D19" i="3"/>
  <c r="D18" i="3"/>
  <c r="D17" i="3"/>
  <c r="D16" i="3"/>
  <c r="D15" i="3"/>
  <c r="D14" i="3"/>
  <c r="D13" i="3"/>
  <c r="D12" i="3"/>
  <c r="D10" i="3"/>
  <c r="D9" i="3"/>
  <c r="D8" i="3"/>
  <c r="D7" i="3"/>
  <c r="D6" i="3"/>
  <c r="D5" i="3"/>
  <c r="D4" i="3"/>
  <c r="D3" i="3"/>
  <c r="D34" i="3"/>
  <c r="D33" i="3"/>
  <c r="D11" i="3"/>
  <c r="D34" i="2"/>
  <c r="D33" i="2"/>
  <c r="D32" i="2"/>
  <c r="D37" i="2" s="1"/>
  <c r="D31" i="2"/>
  <c r="D30" i="2"/>
  <c r="D29" i="2"/>
  <c r="D28" i="2"/>
  <c r="D24" i="2"/>
  <c r="D23" i="2"/>
  <c r="D22" i="2"/>
  <c r="D20" i="2"/>
  <c r="D19" i="2"/>
  <c r="D17" i="2"/>
  <c r="D16" i="2"/>
  <c r="D15" i="2"/>
  <c r="D14" i="2"/>
  <c r="D13" i="2"/>
  <c r="D12" i="2"/>
  <c r="D11" i="2"/>
  <c r="D10" i="2"/>
  <c r="D9" i="2"/>
  <c r="D8" i="2"/>
  <c r="D7" i="2"/>
  <c r="D6" i="2"/>
  <c r="D5" i="2"/>
  <c r="D4" i="2"/>
  <c r="D3" i="2"/>
  <c r="F14" i="5"/>
  <c r="H14" i="5" s="1"/>
  <c r="F9" i="5"/>
  <c r="H9" i="5"/>
  <c r="H15" i="5"/>
  <c r="E16" i="5"/>
  <c r="E18" i="5"/>
  <c r="F18" i="5" s="1"/>
  <c r="H18" i="5" s="1"/>
  <c r="F16" i="5"/>
  <c r="H16" i="5" s="1"/>
  <c r="E19" i="5"/>
  <c r="E20" i="5" s="1"/>
  <c r="F19" i="5"/>
  <c r="H19" i="5" s="1"/>
  <c r="F7394" i="9"/>
  <c r="H6431" i="9"/>
  <c r="F6710" i="9"/>
  <c r="F13970" i="9"/>
  <c r="F6184" i="9"/>
  <c r="F8620" i="9"/>
  <c r="F8607" i="9" s="1"/>
  <c r="F8612" i="9" s="1"/>
  <c r="F8629" i="9" s="1"/>
  <c r="F12651" i="9"/>
  <c r="F15293" i="9"/>
  <c r="F15281" i="9" s="1"/>
  <c r="F15285" i="9" s="1"/>
  <c r="F15302" i="9" s="1"/>
  <c r="F13839" i="9"/>
  <c r="F13822" i="9"/>
  <c r="F13831" i="9"/>
  <c r="F16019" i="9"/>
  <c r="F16002" i="9"/>
  <c r="F16011" i="9" s="1"/>
  <c r="F16028" i="9" s="1"/>
  <c r="F7929" i="9"/>
  <c r="F7957" i="9" s="1"/>
  <c r="F3082" i="9"/>
  <c r="F6922" i="9"/>
  <c r="F6949" i="9" s="1"/>
  <c r="F13347" i="9"/>
  <c r="F13330" i="9"/>
  <c r="F13339" i="9" s="1"/>
  <c r="F13356" i="9" s="1"/>
  <c r="F14820" i="9"/>
  <c r="F15619" i="9"/>
  <c r="F17121" i="9"/>
  <c r="F17124" i="9"/>
  <c r="F17108" i="9" s="1"/>
  <c r="F17116" i="9" s="1"/>
  <c r="F17133" i="9" s="1"/>
  <c r="F14549" i="9"/>
  <c r="F14579" i="9" s="1"/>
  <c r="F14214" i="9"/>
  <c r="F7872" i="9"/>
  <c r="F7900" i="9" s="1"/>
  <c r="F15217" i="9"/>
  <c r="F2390" i="9"/>
  <c r="F3153" i="9"/>
  <c r="F3822" i="9"/>
  <c r="F3809" i="9" s="1"/>
  <c r="F3814" i="9"/>
  <c r="F4412" i="9"/>
  <c r="F4427" i="9"/>
  <c r="F4416" i="9"/>
  <c r="F4419" i="9" s="1"/>
  <c r="F4754" i="9"/>
  <c r="F4757" i="9" s="1"/>
  <c r="F4746" i="9" s="1"/>
  <c r="F4749" i="9" s="1"/>
  <c r="F4766" i="9" s="1"/>
  <c r="F4742" i="9"/>
  <c r="F5080" i="9"/>
  <c r="F5083" i="9" s="1"/>
  <c r="F5075" i="9"/>
  <c r="F6468" i="9"/>
  <c r="F6487" i="9"/>
  <c r="F6472" i="9"/>
  <c r="F6479" i="9" s="1"/>
  <c r="F6496" i="9" s="1"/>
  <c r="F6994" i="9"/>
  <c r="F7422" i="9"/>
  <c r="F8228" i="9"/>
  <c r="F8231" i="9" s="1"/>
  <c r="F8223" i="9"/>
  <c r="F8240" i="9" s="1"/>
  <c r="H7272" i="9" s="1"/>
  <c r="F13081" i="9"/>
  <c r="F13653" i="9"/>
  <c r="F13656" i="9"/>
  <c r="F13639" i="9" s="1"/>
  <c r="F13648" i="9" s="1"/>
  <c r="F13665" i="9" s="1"/>
  <c r="F13714" i="9"/>
  <c r="F13717" i="9" s="1"/>
  <c r="F13700" i="9" s="1"/>
  <c r="F13709" i="9" s="1"/>
  <c r="F13726" i="9" s="1"/>
  <c r="F14062" i="9"/>
  <c r="F15049" i="9"/>
  <c r="F15356" i="9"/>
  <c r="F15510" i="9"/>
  <c r="F15513" i="9"/>
  <c r="F15637" i="9"/>
  <c r="F15998" i="9"/>
  <c r="F16824" i="9"/>
  <c r="F16853" i="9" s="1"/>
  <c r="F2910" i="9"/>
  <c r="F2901" i="9"/>
  <c r="F2927" i="9" s="1"/>
  <c r="F1940" i="9"/>
  <c r="F2043" i="9"/>
  <c r="F2069" i="9" s="1"/>
  <c r="F2745" i="9"/>
  <c r="F3483" i="9"/>
  <c r="F3486" i="9" s="1"/>
  <c r="F3805" i="9"/>
  <c r="F3831" i="9" s="1"/>
  <c r="F4043" i="9"/>
  <c r="F4032" i="9" s="1"/>
  <c r="F4035" i="9" s="1"/>
  <c r="F6643" i="9"/>
  <c r="F7142" i="9"/>
  <c r="F7550" i="9"/>
  <c r="F7605" i="9"/>
  <c r="F7608" i="9"/>
  <c r="F7593" i="9" s="1"/>
  <c r="F7600" i="9" s="1"/>
  <c r="F7617" i="9" s="1"/>
  <c r="F7774" i="9"/>
  <c r="F7777" i="9" s="1"/>
  <c r="F7762" i="9" s="1"/>
  <c r="F7769" i="9" s="1"/>
  <c r="F7786" i="9" s="1"/>
  <c r="F10233" i="9"/>
  <c r="F12486" i="9"/>
  <c r="F12489" i="9"/>
  <c r="F12472" i="9" s="1"/>
  <c r="F12481" i="9" s="1"/>
  <c r="F12468" i="9"/>
  <c r="F12547" i="9"/>
  <c r="F12854" i="9"/>
  <c r="F12857" i="9" s="1"/>
  <c r="F12840" i="9" s="1"/>
  <c r="F12849" i="9" s="1"/>
  <c r="F12866" i="9" s="1"/>
  <c r="F14692" i="9"/>
  <c r="F14675" i="9" s="1"/>
  <c r="F14684" i="9" s="1"/>
  <c r="F14701" i="9" s="1"/>
  <c r="F14750" i="9"/>
  <c r="F14753" i="9" s="1"/>
  <c r="F14736" i="9" s="1"/>
  <c r="F14745" i="9" s="1"/>
  <c r="F14762" i="9" s="1"/>
  <c r="F16595" i="9"/>
  <c r="F16598" i="9" s="1"/>
  <c r="F16581" i="9"/>
  <c r="F16590" i="9" s="1"/>
  <c r="F16607" i="9" s="1"/>
  <c r="F14873" i="9"/>
  <c r="F15385" i="9"/>
  <c r="F15410" i="9" s="1"/>
  <c r="F15890" i="9"/>
  <c r="F15893" i="9" s="1"/>
  <c r="F15876" i="9" s="1"/>
  <c r="F15885" i="9" s="1"/>
  <c r="F15902" i="9" s="1"/>
  <c r="F16321" i="9"/>
  <c r="F16351" i="9" s="1"/>
  <c r="F16640" i="9"/>
  <c r="F16670" i="9" s="1"/>
  <c r="F2461" i="9"/>
  <c r="F2464" i="9"/>
  <c r="F2451" i="9" s="1"/>
  <c r="F2456" i="9" s="1"/>
  <c r="F2473" i="9" s="1"/>
  <c r="F3244" i="9"/>
  <c r="F3270" i="9" s="1"/>
  <c r="F3258" i="9"/>
  <c r="F3261" i="9"/>
  <c r="F3248" i="9"/>
  <c r="F3253" i="9" s="1"/>
  <c r="F3357" i="9"/>
  <c r="F3371" i="9"/>
  <c r="F3538" i="9"/>
  <c r="F3541" i="9" s="1"/>
  <c r="F3528" i="9" s="1"/>
  <c r="F3533" i="9" s="1"/>
  <c r="F3524" i="9"/>
  <c r="F3690" i="9"/>
  <c r="F3974" i="9"/>
  <c r="F4083" i="9"/>
  <c r="F4260" i="9"/>
  <c r="F4263" i="9" s="1"/>
  <c r="F4252" i="9"/>
  <c r="F4255" i="9" s="1"/>
  <c r="F4272" i="9" s="1"/>
  <c r="F4797" i="9"/>
  <c r="F4812" i="9"/>
  <c r="F4801" i="9" s="1"/>
  <c r="F4804" i="9" s="1"/>
  <c r="F4852" i="9"/>
  <c r="F4960" i="9"/>
  <c r="F4984" i="9" s="1"/>
  <c r="F5068" i="9"/>
  <c r="F5092" i="9" s="1"/>
  <c r="F6314" i="9"/>
  <c r="F6317" i="9" s="1"/>
  <c r="F6302" i="9" s="1"/>
  <c r="F6309" i="9" s="1"/>
  <c r="F6326" i="9" s="1"/>
  <c r="F6755" i="9"/>
  <c r="F6772" i="9"/>
  <c r="F6775" i="9"/>
  <c r="F6759" i="9"/>
  <c r="F6767" i="9" s="1"/>
  <c r="F6882" i="9"/>
  <c r="F6885" i="9"/>
  <c r="F6871" i="9"/>
  <c r="F6877" i="9" s="1"/>
  <c r="F6978" i="9"/>
  <c r="F7254" i="9"/>
  <c r="F7438" i="9"/>
  <c r="F7441" i="9" s="1"/>
  <c r="F7426" i="9" s="1"/>
  <c r="F7433" i="9" s="1"/>
  <c r="F7450" i="9" s="1"/>
  <c r="F8002" i="9"/>
  <c r="F8115" i="9"/>
  <c r="F8110" i="9"/>
  <c r="F8452" i="9"/>
  <c r="F8439" i="9"/>
  <c r="F8444" i="9"/>
  <c r="F8461" i="9" s="1"/>
  <c r="F8843" i="9"/>
  <c r="F10178" i="9"/>
  <c r="F10181" i="9" s="1"/>
  <c r="F10168" i="9" s="1"/>
  <c r="F10173" i="9" s="1"/>
  <c r="F10190" i="9" s="1"/>
  <c r="F12916" i="9"/>
  <c r="F12898" i="9"/>
  <c r="F12977" i="9"/>
  <c r="F12980" i="9"/>
  <c r="F12963" i="9"/>
  <c r="F12972" i="9" s="1"/>
  <c r="F12989" i="9" s="1"/>
  <c r="F13099" i="9"/>
  <c r="F13102" i="9" s="1"/>
  <c r="F13085" i="9" s="1"/>
  <c r="F13094" i="9" s="1"/>
  <c r="F13111" i="9" s="1"/>
  <c r="F13388" i="9"/>
  <c r="F13468" i="9"/>
  <c r="F13471" i="9" s="1"/>
  <c r="F13454" i="9"/>
  <c r="F13463" i="9"/>
  <c r="F13480" i="9" s="1"/>
  <c r="F16532" i="9"/>
  <c r="F16535" i="9" s="1"/>
  <c r="F16518" i="9"/>
  <c r="F16527" i="9" s="1"/>
  <c r="F16544" i="9" s="1"/>
  <c r="F15170" i="9"/>
  <c r="F15235" i="9"/>
  <c r="F17379" i="9"/>
  <c r="F17398" i="9"/>
  <c r="F17407" i="9" s="1"/>
  <c r="F16211" i="9"/>
  <c r="F16194" i="9" s="1"/>
  <c r="F16203" i="9" s="1"/>
  <c r="F16220" i="9" s="1"/>
  <c r="F16082" i="9"/>
  <c r="F16065" i="9" s="1"/>
  <c r="F16074" i="9" s="1"/>
  <c r="F16091" i="9" s="1"/>
  <c r="F4526" i="9"/>
  <c r="F7815" i="9"/>
  <c r="F13900" i="9"/>
  <c r="F13883" i="9" s="1"/>
  <c r="F13892" i="9" s="1"/>
  <c r="F13909" i="9" s="1"/>
  <c r="F14306" i="9"/>
  <c r="F14336" i="9" s="1"/>
  <c r="F15830" i="9"/>
  <c r="F15813" i="9" s="1"/>
  <c r="F15822" i="9" s="1"/>
  <c r="F15839" i="9" s="1"/>
  <c r="F16661" i="9"/>
  <c r="F16644" i="9" s="1"/>
  <c r="F16653" i="9"/>
  <c r="F16841" i="9"/>
  <c r="F2289" i="9"/>
  <c r="F2292" i="9"/>
  <c r="F2301" i="9" s="1"/>
  <c r="H2301" i="9" s="1"/>
  <c r="F2284" i="9"/>
  <c r="F2631" i="9"/>
  <c r="F2634" i="9"/>
  <c r="F2621" i="9" s="1"/>
  <c r="F2626" i="9" s="1"/>
  <c r="F2643" i="9" s="1"/>
  <c r="F2845" i="9"/>
  <c r="F2871" i="9"/>
  <c r="F6254" i="9"/>
  <c r="F8729" i="9"/>
  <c r="F10272" i="9"/>
  <c r="F12590" i="9"/>
  <c r="F12669" i="9"/>
  <c r="F12672" i="9"/>
  <c r="F12655" i="9" s="1"/>
  <c r="F12664" i="9" s="1"/>
  <c r="F12681" i="9" s="1"/>
  <c r="F12730" i="9"/>
  <c r="F12733" i="9"/>
  <c r="F12716" i="9"/>
  <c r="F12725" i="9" s="1"/>
  <c r="F12742" i="9" s="1"/>
  <c r="F13020" i="9"/>
  <c r="F13050" i="9"/>
  <c r="F14506" i="9"/>
  <c r="F14671" i="9"/>
  <c r="F17049" i="9"/>
  <c r="F14928" i="9"/>
  <c r="F15956" i="9"/>
  <c r="F15939" i="9"/>
  <c r="F15948" i="9" s="1"/>
  <c r="F15965" i="9" s="1"/>
  <c r="F16836" i="9"/>
  <c r="F17223" i="9"/>
  <c r="F2232" i="9"/>
  <c r="F3034" i="9"/>
  <c r="F3037" i="9" s="1"/>
  <c r="F3024" i="9" s="1"/>
  <c r="F3029" i="9" s="1"/>
  <c r="F3096" i="9"/>
  <c r="F3099" i="9" s="1"/>
  <c r="F3086" i="9" s="1"/>
  <c r="F3091" i="9" s="1"/>
  <c r="F3108" i="9" s="1"/>
  <c r="F3579" i="9"/>
  <c r="F3593" i="9"/>
  <c r="F3651" i="9"/>
  <c r="F3638" i="9"/>
  <c r="F3643" i="9"/>
  <c r="F4193" i="9"/>
  <c r="F4596" i="9"/>
  <c r="F4605" i="9"/>
  <c r="F5029" i="9"/>
  <c r="F5018" i="9"/>
  <c r="F5021" i="9" s="1"/>
  <c r="F5038" i="9" s="1"/>
  <c r="F6156" i="9"/>
  <c r="F6141" i="9"/>
  <c r="F6148" i="9" s="1"/>
  <c r="F6165" i="9"/>
  <c r="F7048" i="9"/>
  <c r="F7051" i="9" s="1"/>
  <c r="F7036" i="9" s="1"/>
  <c r="F7043" i="9" s="1"/>
  <c r="F7060" i="9" s="1"/>
  <c r="F7329" i="9"/>
  <c r="F7314" i="9" s="1"/>
  <c r="F7321" i="9" s="1"/>
  <c r="F7338" i="9" s="1"/>
  <c r="F8283" i="9"/>
  <c r="F8286" i="9" s="1"/>
  <c r="F8274" i="9" s="1"/>
  <c r="F8278" i="9" s="1"/>
  <c r="F8295" i="9" s="1"/>
  <c r="F8673" i="9"/>
  <c r="F8676" i="9"/>
  <c r="F8663" i="9" s="1"/>
  <c r="F8668" i="9" s="1"/>
  <c r="F8685" i="9" s="1"/>
  <c r="F13163" i="9"/>
  <c r="F13146" i="9"/>
  <c r="F13155" i="9"/>
  <c r="F13172" i="9" s="1"/>
  <c r="F14367" i="9"/>
  <c r="F14397" i="9"/>
  <c r="F16339" i="9"/>
  <c r="F16342" i="9"/>
  <c r="F16958" i="9"/>
  <c r="F16942" i="9" s="1"/>
  <c r="F16950" i="9" s="1"/>
  <c r="F16967" i="9" s="1"/>
  <c r="F14817" i="9"/>
  <c r="F14870" i="9"/>
  <c r="F14874" i="9" s="1"/>
  <c r="F14883" i="9" s="1"/>
  <c r="F17014" i="9"/>
  <c r="F16998" i="9" s="1"/>
  <c r="F17006" i="9" s="1"/>
  <c r="F17161" i="9"/>
  <c r="F16190" i="9"/>
  <c r="F3979" i="9"/>
  <c r="F3998" i="9"/>
  <c r="F13294" i="9"/>
  <c r="F4381" i="9"/>
  <c r="F1112" i="9"/>
  <c r="F2404" i="9"/>
  <c r="F2407" i="9" s="1"/>
  <c r="F2394" i="9"/>
  <c r="F2399" i="9" s="1"/>
  <c r="F2416" i="9" s="1"/>
  <c r="F4098" i="9"/>
  <c r="F4087" i="9" s="1"/>
  <c r="F4090" i="9" s="1"/>
  <c r="F4107" i="9" s="1"/>
  <c r="F2060" i="9"/>
  <c r="F2047" i="9"/>
  <c r="F2052" i="9"/>
  <c r="F2968" i="9"/>
  <c r="F2985" i="9"/>
  <c r="F3707" i="9"/>
  <c r="F3694" i="9" s="1"/>
  <c r="F3699" i="9" s="1"/>
  <c r="F3716" i="9" s="1"/>
  <c r="F2350" i="9"/>
  <c r="F2359" i="9" s="1"/>
  <c r="H2359" i="9" s="1"/>
  <c r="F3156" i="9"/>
  <c r="F3143" i="9"/>
  <c r="F3148" i="9" s="1"/>
  <c r="F3315" i="9"/>
  <c r="F3318" i="9" s="1"/>
  <c r="F3305" i="9" s="1"/>
  <c r="F3310" i="9" s="1"/>
  <c r="F3327" i="9" s="1"/>
  <c r="F4028" i="9"/>
  <c r="F4208" i="9"/>
  <c r="F4197" i="9"/>
  <c r="F4200" i="9" s="1"/>
  <c r="F4217" i="9" s="1"/>
  <c r="F8061" i="9"/>
  <c r="F8049" i="9"/>
  <c r="F8053" i="9"/>
  <c r="F8070" i="9" s="1"/>
  <c r="F4317" i="9"/>
  <c r="F4306" i="9"/>
  <c r="F4309" i="9"/>
  <c r="F4326" i="9" s="1"/>
  <c r="F206" i="9"/>
  <c r="F194" i="9" s="1"/>
  <c r="F198" i="9" s="1"/>
  <c r="F83" i="9"/>
  <c r="F145" i="9"/>
  <c r="F1016" i="9"/>
  <c r="F1004" i="9" s="1"/>
  <c r="F1008" i="9" s="1"/>
  <c r="F1943" i="9"/>
  <c r="F2521" i="9"/>
  <c r="F2508" i="9"/>
  <c r="F2513" i="9"/>
  <c r="F2530" i="9" s="1"/>
  <c r="F3020" i="9"/>
  <c r="F3046" i="9" s="1"/>
  <c r="F3634" i="9"/>
  <c r="F3660" i="9" s="1"/>
  <c r="F4867" i="9"/>
  <c r="F4856" i="9" s="1"/>
  <c r="F4859" i="9" s="1"/>
  <c r="F4876" i="9" s="1"/>
  <c r="F6545" i="9"/>
  <c r="F6530" i="9"/>
  <c r="F6537" i="9"/>
  <c r="F6554" i="9" s="1"/>
  <c r="F6997" i="9"/>
  <c r="F6982" i="9"/>
  <c r="F6989" i="9" s="1"/>
  <c r="F7006" i="9" s="1"/>
  <c r="F7105" i="9"/>
  <c r="F7090" i="9"/>
  <c r="F7097" i="9"/>
  <c r="F7114" i="9" s="1"/>
  <c r="F1922" i="9"/>
  <c r="F1952" i="9"/>
  <c r="H1952" i="9" s="1"/>
  <c r="F1347" i="9"/>
  <c r="F1998" i="9"/>
  <c r="F3747" i="9"/>
  <c r="F3773" i="9" s="1"/>
  <c r="H3773" i="9" s="1"/>
  <c r="F3862" i="9"/>
  <c r="F3888" i="9" s="1"/>
  <c r="H3888" i="9" s="1"/>
  <c r="F3919" i="9"/>
  <c r="F7534" i="9"/>
  <c r="F7562" i="9" s="1"/>
  <c r="F8175" i="9"/>
  <c r="F8167" i="9"/>
  <c r="F8184" i="9" s="1"/>
  <c r="H7216" i="9" s="1"/>
  <c r="F12529" i="9"/>
  <c r="F12620" i="9"/>
  <c r="F7660" i="9"/>
  <c r="F7663" i="9"/>
  <c r="F7672" i="9" s="1"/>
  <c r="H6704" i="9" s="1"/>
  <c r="F7655" i="9"/>
  <c r="F7718" i="9"/>
  <c r="F7721" i="9"/>
  <c r="F7713" i="9"/>
  <c r="F7730" i="9" s="1"/>
  <c r="F7831" i="9"/>
  <c r="F7834" i="9"/>
  <c r="F7843" i="9" s="1"/>
  <c r="H6875" i="9" s="1"/>
  <c r="F7826" i="9"/>
  <c r="F8045" i="9"/>
  <c r="F8505" i="9"/>
  <c r="F8508" i="9" s="1"/>
  <c r="F8495" i="9" s="1"/>
  <c r="F8500" i="9" s="1"/>
  <c r="F8517" i="9" s="1"/>
  <c r="F12402" i="9"/>
  <c r="F12432" i="9" s="1"/>
  <c r="F2119" i="9"/>
  <c r="F2111" i="9"/>
  <c r="F2235" i="9"/>
  <c r="F3936" i="9"/>
  <c r="F3928" i="9"/>
  <c r="F7497" i="9"/>
  <c r="F7482" i="9" s="1"/>
  <c r="F7489" i="9" s="1"/>
  <c r="F7506" i="9" s="1"/>
  <c r="F319" i="9"/>
  <c r="F492" i="9"/>
  <c r="F1584" i="9"/>
  <c r="F2574" i="9"/>
  <c r="F3761" i="9"/>
  <c r="F6867" i="9"/>
  <c r="F7273" i="9"/>
  <c r="F7258" i="9"/>
  <c r="F7265" i="9" s="1"/>
  <c r="F7282" i="9" s="1"/>
  <c r="F7702" i="9"/>
  <c r="F7986" i="9"/>
  <c r="F8005" i="9"/>
  <c r="F7990" i="9" s="1"/>
  <c r="F7997" i="9" s="1"/>
  <c r="F8014" i="9" s="1"/>
  <c r="F12550" i="9"/>
  <c r="F12533" i="9" s="1"/>
  <c r="F12542" i="9" s="1"/>
  <c r="F6586" i="9"/>
  <c r="F7553" i="9"/>
  <c r="F7538" i="9"/>
  <c r="F7545" i="9"/>
  <c r="F2174" i="9"/>
  <c r="F3413" i="9"/>
  <c r="F3876" i="9"/>
  <c r="F3879" i="9"/>
  <c r="F3871" i="9"/>
  <c r="F7758" i="9"/>
  <c r="F8846" i="9"/>
  <c r="F8833" i="9" s="1"/>
  <c r="F8838" i="9" s="1"/>
  <c r="F8855" i="9" s="1"/>
  <c r="F12774" i="9"/>
  <c r="F12804" i="9" s="1"/>
  <c r="F7161" i="9"/>
  <c r="F7170" i="9" s="1"/>
  <c r="H6207" i="9" s="1"/>
  <c r="F7153" i="9"/>
  <c r="F10293" i="9"/>
  <c r="F16938" i="9"/>
  <c r="F14798" i="9"/>
  <c r="F14871" i="9"/>
  <c r="F14854" i="9"/>
  <c r="F16721" i="9"/>
  <c r="F16724" i="9"/>
  <c r="F16707" i="9" s="1"/>
  <c r="F16716" i="9" s="1"/>
  <c r="F16733" i="9" s="1"/>
  <c r="F14427" i="9"/>
  <c r="F14457" i="9" s="1"/>
  <c r="F16405" i="9"/>
  <c r="F16408" i="9" s="1"/>
  <c r="F16391" i="9" s="1"/>
  <c r="F16400" i="9" s="1"/>
  <c r="F16417" i="9" s="1"/>
  <c r="F16469" i="9"/>
  <c r="F16472" i="9"/>
  <c r="F16455" i="9" s="1"/>
  <c r="F16464" i="9" s="1"/>
  <c r="F16481" i="9" s="1"/>
  <c r="F16766" i="9"/>
  <c r="F17069" i="9"/>
  <c r="F17053" i="9"/>
  <c r="F17061" i="9" s="1"/>
  <c r="F17078" i="9" s="1"/>
  <c r="F14971" i="9"/>
  <c r="F15573" i="9"/>
  <c r="F15576" i="9"/>
  <c r="F15559" i="9" s="1"/>
  <c r="F15568" i="9" s="1"/>
  <c r="F15585" i="9" s="1"/>
  <c r="F15640" i="9"/>
  <c r="F15623" i="9" s="1"/>
  <c r="F15632" i="9" s="1"/>
  <c r="F15649" i="9" s="1"/>
  <c r="F15776" i="9"/>
  <c r="F16844" i="9"/>
  <c r="F16901" i="9"/>
  <c r="F16910" i="9" s="1"/>
  <c r="F17182" i="9"/>
  <c r="F17165" i="9"/>
  <c r="F17174" i="9" s="1"/>
  <c r="F17191" i="9" s="1"/>
  <c r="F17273" i="9"/>
  <c r="F16787" i="9"/>
  <c r="F16770" i="9" s="1"/>
  <c r="F16779" i="9" s="1"/>
  <c r="F15111" i="9"/>
  <c r="F15120" i="9" s="1"/>
  <c r="F15091" i="9"/>
  <c r="F15173" i="9"/>
  <c r="F15156" i="9"/>
  <c r="F15165" i="9"/>
  <c r="F15152" i="9"/>
  <c r="F15182" i="9" s="1"/>
  <c r="F16145" i="9"/>
  <c r="F16128" i="9"/>
  <c r="F16137" i="9" s="1"/>
  <c r="F16154" i="9" s="1"/>
  <c r="F16273" i="9"/>
  <c r="F16276" i="9" s="1"/>
  <c r="F16259" i="9" s="1"/>
  <c r="F16268" i="9" s="1"/>
  <c r="F16285" i="9" s="1"/>
  <c r="F16255" i="9"/>
  <c r="F17243" i="9"/>
  <c r="F17235" i="9"/>
  <c r="F17252" i="9" s="1"/>
  <c r="F13848" i="9"/>
  <c r="F14263" i="9"/>
  <c r="F14266" i="9" s="1"/>
  <c r="F14249" i="9" s="1"/>
  <c r="F14258" i="9" s="1"/>
  <c r="F14275" i="9" s="1"/>
  <c r="F14628" i="9"/>
  <c r="F14631" i="9" s="1"/>
  <c r="F14614" i="9" s="1"/>
  <c r="F14623" i="9" s="1"/>
  <c r="F14640" i="9" s="1"/>
  <c r="F14912" i="9"/>
  <c r="F15032" i="9"/>
  <c r="F15238" i="9"/>
  <c r="F15221" i="9"/>
  <c r="F15230" i="9" s="1"/>
  <c r="F15247" i="9" s="1"/>
  <c r="F16703" i="9"/>
  <c r="F16994" i="9"/>
  <c r="F17293" i="9"/>
  <c r="F17302" i="9"/>
  <c r="F17327" i="9"/>
  <c r="F12959" i="9"/>
  <c r="F15555" i="9"/>
  <c r="F13418" i="9"/>
  <c r="F14083" i="9"/>
  <c r="F14066" i="9" s="1"/>
  <c r="F14075" i="9" s="1"/>
  <c r="F14092" i="9" s="1"/>
  <c r="F14610" i="9"/>
  <c r="F16387" i="9"/>
  <c r="F14989" i="9"/>
  <c r="F14992" i="9" s="1"/>
  <c r="F14975" i="9" s="1"/>
  <c r="F14984" i="9" s="1"/>
  <c r="F15001" i="9" s="1"/>
  <c r="F15052" i="9"/>
  <c r="F15061" i="9" s="1"/>
  <c r="F16881" i="9"/>
  <c r="F17346" i="9"/>
  <c r="F17355" i="9"/>
  <c r="G55" i="10"/>
  <c r="G200" i="10"/>
  <c r="F3945" i="9"/>
  <c r="H3945" i="9"/>
  <c r="F3764" i="9"/>
  <c r="F3756" i="9"/>
  <c r="F3596" i="9"/>
  <c r="F3588" i="9"/>
  <c r="F3605" i="9" s="1"/>
  <c r="H3605" i="9" s="1"/>
  <c r="F3430" i="9"/>
  <c r="F3422" i="9"/>
  <c r="F3439" i="9"/>
  <c r="H3439" i="9" s="1"/>
  <c r="F2577" i="9"/>
  <c r="F2586" i="9"/>
  <c r="H2586" i="9" s="1"/>
  <c r="F2227" i="9"/>
  <c r="F2244" i="9" s="1"/>
  <c r="H2244" i="9" s="1"/>
  <c r="F2177" i="9"/>
  <c r="F2169" i="9"/>
  <c r="F2186" i="9" s="1"/>
  <c r="H2186" i="9" s="1"/>
  <c r="F2160" i="9"/>
  <c r="F2102" i="9"/>
  <c r="F2128" i="9" s="1"/>
  <c r="H2128" i="9" s="1"/>
  <c r="F1984" i="9"/>
  <c r="F2001" i="9"/>
  <c r="F1185" i="9"/>
  <c r="F715" i="9"/>
  <c r="F379" i="9"/>
  <c r="F249" i="9"/>
  <c r="F487" i="9"/>
  <c r="F430" i="9"/>
  <c r="F374" i="9"/>
  <c r="F256" i="9"/>
  <c r="H5471" i="9"/>
  <c r="H5530" i="9"/>
  <c r="F6894" i="9"/>
  <c r="F1993" i="9"/>
  <c r="F2010" i="9" s="1"/>
  <c r="H2010" i="9" s="1"/>
  <c r="F1694" i="9"/>
  <c r="F4436" i="9" l="1"/>
  <c r="F3495" i="9"/>
  <c r="H3495" i="9" s="1"/>
  <c r="F17023" i="9"/>
  <c r="F350" i="10"/>
  <c r="F20" i="5"/>
  <c r="H20" i="5" s="1"/>
  <c r="E21" i="5"/>
  <c r="D38" i="2"/>
  <c r="D41" i="2" s="1"/>
  <c r="D42" i="2" s="1"/>
  <c r="D40" i="2"/>
  <c r="D39" i="2"/>
  <c r="D40" i="3"/>
  <c r="D39" i="3"/>
  <c r="D38" i="3"/>
  <c r="D41" i="3" s="1"/>
  <c r="D42" i="3" s="1"/>
  <c r="F16796" i="9"/>
  <c r="F12559" i="9"/>
  <c r="F6784" i="9"/>
  <c r="F352" i="10"/>
  <c r="G352" i="10" s="1"/>
  <c r="F6670" i="9"/>
  <c r="F3550" i="9"/>
  <c r="F12498" i="9"/>
  <c r="F4821" i="9"/>
  <c r="F4052" i="9"/>
  <c r="F86" i="9"/>
  <c r="F75" i="9" s="1"/>
  <c r="F78" i="9" s="1"/>
  <c r="F2805" i="9"/>
  <c r="F2792" i="9" s="1"/>
  <c r="F2797" i="9" s="1"/>
  <c r="F2814" i="9" s="1"/>
  <c r="F4647" i="9"/>
  <c r="F4636" i="9" s="1"/>
  <c r="F4639" i="9" s="1"/>
  <c r="F4656" i="9" s="1"/>
  <c r="F4930" i="9"/>
  <c r="F6203" i="9"/>
  <c r="F6188" i="9" s="1"/>
  <c r="F6195" i="9" s="1"/>
  <c r="F6212" i="9" s="1"/>
  <c r="F6604" i="9"/>
  <c r="F6613" i="9" s="1"/>
  <c r="H5705" i="9" s="1"/>
  <c r="F6661" i="9"/>
  <c r="F6647" i="9" s="1"/>
  <c r="F6653" i="9" s="1"/>
  <c r="F8350" i="9"/>
  <c r="F8912" i="9"/>
  <c r="F10352" i="9"/>
  <c r="F10361" i="9" s="1"/>
  <c r="H8448" i="9" s="1"/>
  <c r="F13533" i="9"/>
  <c r="F13516" i="9" s="1"/>
  <c r="F13525" i="9" s="1"/>
  <c r="F13542" i="9" s="1"/>
  <c r="F13595" i="9"/>
  <c r="F13578" i="9" s="1"/>
  <c r="F13587" i="9" s="1"/>
  <c r="F13604" i="9" s="1"/>
  <c r="F14153" i="9"/>
  <c r="F4153" i="9"/>
  <c r="F4142" i="9" s="1"/>
  <c r="F4145" i="9" s="1"/>
  <c r="F4162" i="9" s="1"/>
  <c r="F8798" i="9"/>
  <c r="F13778" i="9"/>
  <c r="F13761" i="9" s="1"/>
  <c r="F13770" i="9" s="1"/>
  <c r="F13787" i="9" s="1"/>
  <c r="F4493" i="9"/>
  <c r="F12362" i="9"/>
  <c r="F12345" i="9" s="1"/>
  <c r="F12354" i="9" s="1"/>
  <c r="F12371" i="9" s="1"/>
  <c r="F1338" i="9"/>
  <c r="F1352" i="9"/>
  <c r="G50" i="10"/>
  <c r="F14815" i="9"/>
  <c r="F14821" i="9" s="1"/>
  <c r="F14830" i="9" s="1"/>
  <c r="F1281" i="9"/>
  <c r="F273" i="9"/>
  <c r="H273" i="9" s="1"/>
  <c r="G229" i="10"/>
  <c r="F1410" i="9"/>
  <c r="F1526" i="9"/>
  <c r="F1529" i="9" s="1"/>
  <c r="F1644" i="9"/>
  <c r="G195" i="10"/>
  <c r="G191" i="10"/>
  <c r="F15493" i="9"/>
  <c r="F15522" i="9" s="1"/>
  <c r="F780" i="9"/>
  <c r="F789" i="9" s="1"/>
  <c r="H789" i="9" s="1"/>
  <c r="F1072" i="9"/>
  <c r="F1060" i="9" s="1"/>
  <c r="F1064" i="9" s="1"/>
  <c r="F1238" i="9"/>
  <c r="F1241" i="9" s="1"/>
  <c r="F1229" i="9" s="1"/>
  <c r="F1233" i="9" s="1"/>
  <c r="G243" i="10"/>
  <c r="F14930" i="9"/>
  <c r="F14932" i="9" s="1"/>
  <c r="F14941" i="9" s="1"/>
  <c r="F148" i="9"/>
  <c r="F137" i="9" s="1"/>
  <c r="F140" i="9" s="1"/>
  <c r="F607" i="9"/>
  <c r="F720" i="9"/>
  <c r="F1355" i="9"/>
  <c r="F1454" i="9"/>
  <c r="F15713" i="9"/>
  <c r="E777" i="9"/>
  <c r="F777" i="9" s="1"/>
  <c r="F3206" i="9"/>
  <c r="F3193" i="9" s="1"/>
  <c r="F3198" i="9" s="1"/>
  <c r="F5178" i="9"/>
  <c r="F5284" i="9"/>
  <c r="F5565" i="9"/>
  <c r="F6432" i="9"/>
  <c r="F6417" i="9" s="1"/>
  <c r="F6424" i="9" s="1"/>
  <c r="F6441" i="9" s="1"/>
  <c r="F9655" i="9"/>
  <c r="F9642" i="9" s="1"/>
  <c r="F9647" i="9" s="1"/>
  <c r="F9664" i="9" s="1"/>
  <c r="F9952" i="9"/>
  <c r="F9939" i="9" s="1"/>
  <c r="F9944" i="9" s="1"/>
  <c r="F9961" i="9" s="1"/>
  <c r="F10791" i="9"/>
  <c r="F10841" i="9"/>
  <c r="F10828" i="9" s="1"/>
  <c r="F10833" i="9" s="1"/>
  <c r="F11467" i="9"/>
  <c r="F11453" i="9" s="1"/>
  <c r="F11458" i="9" s="1"/>
  <c r="F11476" i="9" s="1"/>
  <c r="F11530" i="9"/>
  <c r="F11517" i="9" s="1"/>
  <c r="F11522" i="9" s="1"/>
  <c r="F11853" i="9"/>
  <c r="F11839" i="9" s="1"/>
  <c r="F11844" i="9" s="1"/>
  <c r="F11862" i="9" s="1"/>
  <c r="F11982" i="9"/>
  <c r="F11968" i="9" s="1"/>
  <c r="F11973" i="9" s="1"/>
  <c r="F11991" i="9" s="1"/>
  <c r="F12121" i="9"/>
  <c r="F675" i="9"/>
  <c r="F5249" i="9"/>
  <c r="F5424" i="9"/>
  <c r="F5530" i="9"/>
  <c r="F5600" i="9"/>
  <c r="F5772" i="9"/>
  <c r="F5806" i="9"/>
  <c r="F6111" i="9"/>
  <c r="F10022" i="9"/>
  <c r="F10850" i="9"/>
  <c r="F10961" i="9"/>
  <c r="F10948" i="9" s="1"/>
  <c r="F10953" i="9" s="1"/>
  <c r="F11022" i="9"/>
  <c r="F11009" i="9" s="1"/>
  <c r="F11014" i="9" s="1"/>
  <c r="F11927" i="9"/>
  <c r="F12056" i="9"/>
  <c r="F12305" i="9"/>
  <c r="F12291" i="9" s="1"/>
  <c r="F12296" i="9" s="1"/>
  <c r="F12314" i="9" s="1"/>
  <c r="F5319" i="9"/>
  <c r="F5389" i="9"/>
  <c r="F5460" i="9"/>
  <c r="F5495" i="9"/>
  <c r="F5671" i="9"/>
  <c r="F5738" i="9"/>
  <c r="F5840" i="9"/>
  <c r="F5949" i="9"/>
  <c r="F9329" i="9"/>
  <c r="F9374" i="9"/>
  <c r="F9361" i="9" s="1"/>
  <c r="F9366" i="9" s="1"/>
  <c r="F9524" i="9"/>
  <c r="F9550" i="9" s="1"/>
  <c r="F9712" i="9"/>
  <c r="F9699" i="9" s="1"/>
  <c r="F9704" i="9" s="1"/>
  <c r="F9721" i="9" s="1"/>
  <c r="F10661" i="9"/>
  <c r="F10910" i="9"/>
  <c r="F11145" i="9"/>
  <c r="F11132" i="9" s="1"/>
  <c r="F11137" i="9" s="1"/>
  <c r="F11207" i="9"/>
  <c r="F11194" i="9" s="1"/>
  <c r="F11199" i="9" s="1"/>
  <c r="F11345" i="9"/>
  <c r="F11539" i="9"/>
  <c r="F11605" i="9"/>
  <c r="F12250" i="9"/>
  <c r="F5354" i="9"/>
  <c r="F5635" i="9"/>
  <c r="F5705" i="9"/>
  <c r="F5874" i="9"/>
  <c r="F5910" i="9"/>
  <c r="F6021" i="9"/>
  <c r="F6355" i="9"/>
  <c r="F6383" i="9" s="1"/>
  <c r="F9221" i="9"/>
  <c r="F9275" i="9"/>
  <c r="F9429" i="9"/>
  <c r="F9416" i="9" s="1"/>
  <c r="F9421" i="9" s="1"/>
  <c r="F9607" i="9"/>
  <c r="F9839" i="9"/>
  <c r="F9900" i="9"/>
  <c r="F10384" i="9"/>
  <c r="F10589" i="9"/>
  <c r="F10576" i="9" s="1"/>
  <c r="F10581" i="9" s="1"/>
  <c r="F10598" i="9" s="1"/>
  <c r="F11280" i="9"/>
  <c r="F11661" i="9"/>
  <c r="F11647" i="9" s="1"/>
  <c r="F11652" i="9" s="1"/>
  <c r="F3215" i="9"/>
  <c r="F9438" i="9"/>
  <c r="F11031" i="9"/>
  <c r="F11154" i="9"/>
  <c r="F9168" i="9"/>
  <c r="F9477" i="9"/>
  <c r="F9494" i="9" s="1"/>
  <c r="F9780" i="9"/>
  <c r="F10970" i="9"/>
  <c r="F11216" i="9"/>
  <c r="F11670" i="9"/>
  <c r="F11788" i="9"/>
  <c r="F11775" i="9" s="1"/>
  <c r="F11780" i="9" s="1"/>
  <c r="F11797" i="9" s="1"/>
  <c r="F11918" i="9"/>
  <c r="F11904" i="9" s="1"/>
  <c r="F11909" i="9" s="1"/>
  <c r="F12047" i="9"/>
  <c r="F12033" i="9" s="1"/>
  <c r="F12038" i="9" s="1"/>
  <c r="F12112" i="9"/>
  <c r="F12098" i="9" s="1"/>
  <c r="F12103" i="9" s="1"/>
  <c r="F12176" i="9"/>
  <c r="F12162" i="9" s="1"/>
  <c r="F12167" i="9" s="1"/>
  <c r="F12185" i="9" s="1"/>
  <c r="F5193" i="9"/>
  <c r="F5213" i="9" s="1"/>
  <c r="F9383" i="9"/>
  <c r="F10401" i="9"/>
  <c r="F10388" i="9" s="1"/>
  <c r="F10393" i="9" s="1"/>
  <c r="F11733" i="9"/>
  <c r="E10277" i="9"/>
  <c r="F10277" i="9" s="1"/>
  <c r="F10285" i="9" s="1"/>
  <c r="F10302" i="9" s="1"/>
  <c r="H8389" i="9" s="1"/>
  <c r="G81" i="10"/>
  <c r="G92" i="10"/>
  <c r="G276" i="10"/>
  <c r="G225" i="10"/>
  <c r="G319" i="10"/>
  <c r="G66" i="10"/>
  <c r="G283" i="10"/>
  <c r="G71" i="10"/>
  <c r="G214" i="10"/>
  <c r="G46" i="10"/>
  <c r="F610" i="9"/>
  <c r="F837" i="9"/>
  <c r="F825" i="9" s="1"/>
  <c r="F829" i="9" s="1"/>
  <c r="F846" i="9" s="1"/>
  <c r="F886" i="9"/>
  <c r="F911" i="9" s="1"/>
  <c r="F1413" i="9"/>
  <c r="F1400" i="9" s="1"/>
  <c r="F1405" i="9" s="1"/>
  <c r="F594" i="9"/>
  <c r="F1860" i="9"/>
  <c r="F1685" i="9"/>
  <c r="F1711" i="9" s="1"/>
  <c r="H1711" i="9" s="1"/>
  <c r="F1819" i="9"/>
  <c r="F1298" i="9"/>
  <c r="F1307" i="9" s="1"/>
  <c r="F19" i="9"/>
  <c r="F43" i="9" s="1"/>
  <c r="F943" i="9"/>
  <c r="F968" i="9" s="1"/>
  <c r="F1000" i="9"/>
  <c r="F1025" i="9" s="1"/>
  <c r="F1169" i="9"/>
  <c r="F1512" i="9"/>
  <c r="F1538" i="9" s="1"/>
  <c r="H1538" i="9" s="1"/>
  <c r="F1636" i="9"/>
  <c r="F447" i="9"/>
  <c r="H447" i="9" s="1"/>
  <c r="F1811" i="9"/>
  <c r="F495" i="9"/>
  <c r="F504" i="9" s="1"/>
  <c r="H504" i="9" s="1"/>
  <c r="F382" i="9"/>
  <c r="F71" i="9"/>
  <c r="F95" i="9" s="1"/>
  <c r="F1290" i="9"/>
  <c r="F1396" i="9"/>
  <c r="F1422" i="9" s="1"/>
  <c r="F1627" i="9"/>
  <c r="F190" i="9"/>
  <c r="F215" i="9" s="1"/>
  <c r="F322" i="9"/>
  <c r="F331" i="9" s="1"/>
  <c r="H331" i="9" s="1"/>
  <c r="F562" i="9"/>
  <c r="H562" i="9" s="1"/>
  <c r="G350" i="10"/>
  <c r="G378" i="10" s="1"/>
  <c r="F1471" i="9"/>
  <c r="F1480" i="9" s="1"/>
  <c r="H1480" i="9" s="1"/>
  <c r="F1802" i="9"/>
  <c r="F1579" i="9"/>
  <c r="H1748" i="9"/>
  <c r="F1752" i="9"/>
  <c r="F1769" i="9" s="1"/>
  <c r="H1769" i="9" s="1"/>
  <c r="F723" i="9"/>
  <c r="F732" i="9" s="1"/>
  <c r="H732" i="9" s="1"/>
  <c r="F1177" i="9"/>
  <c r="F1194" i="9" s="1"/>
  <c r="H1194" i="9" s="1"/>
  <c r="F1225" i="9"/>
  <c r="F1250" i="9" s="1"/>
  <c r="F1570" i="9"/>
  <c r="F1587" i="9"/>
  <c r="F1873" i="9"/>
  <c r="F133" i="9"/>
  <c r="F157" i="9" s="1"/>
  <c r="F366" i="9"/>
  <c r="F1056" i="9"/>
  <c r="F1081" i="9" s="1"/>
  <c r="F1128" i="9"/>
  <c r="F1116" i="9" s="1"/>
  <c r="F1120" i="9" s="1"/>
  <c r="F1137" i="9" s="1"/>
  <c r="F1702" i="9"/>
  <c r="F1879" i="9"/>
  <c r="F1881" i="9" s="1"/>
  <c r="F74" i="10" l="1"/>
  <c r="G74" i="10" s="1"/>
  <c r="G76" i="10" s="1"/>
  <c r="F21" i="5"/>
  <c r="H21" i="5" s="1"/>
  <c r="E22" i="5"/>
  <c r="F10410" i="9"/>
  <c r="F1653" i="9"/>
  <c r="H1653" i="9" s="1"/>
  <c r="F18" i="10"/>
  <c r="F1364" i="9"/>
  <c r="H1364" i="9" s="1"/>
  <c r="F391" i="9"/>
  <c r="H391" i="9" s="1"/>
  <c r="F1828" i="9"/>
  <c r="H1828" i="9" s="1"/>
  <c r="F619" i="9"/>
  <c r="H619" i="9" s="1"/>
  <c r="F1890" i="9"/>
  <c r="H1890" i="9" s="1"/>
  <c r="F1596" i="9"/>
  <c r="H1596" i="9" s="1"/>
  <c r="H675" i="9" l="1"/>
  <c r="G18" i="10"/>
  <c r="G30" i="10" s="1"/>
  <c r="G380" i="10" s="1"/>
  <c r="G383" i="10" s="1"/>
  <c r="E30" i="5"/>
  <c r="F22" i="5"/>
  <c r="H22" i="5" s="1"/>
  <c r="H23" i="5"/>
  <c r="H25" i="5" s="1"/>
  <c r="G381" i="10" l="1"/>
  <c r="G384" i="10" s="1"/>
  <c r="G385" i="10" s="1"/>
  <c r="G382" i="10"/>
  <c r="F30" i="5"/>
  <c r="H30" i="5" s="1"/>
  <c r="E33" i="5"/>
  <c r="F33" i="5" l="1"/>
  <c r="H33" i="5" s="1"/>
  <c r="E36" i="5"/>
  <c r="F36" i="5" l="1"/>
  <c r="H36" i="5" s="1"/>
  <c r="H39" i="5" s="1"/>
  <c r="H41" i="5" s="1"/>
  <c r="E38" i="5"/>
  <c r="F38" i="5" s="1"/>
  <c r="H38" i="5" s="1"/>
  <c r="H42" i="5" l="1"/>
  <c r="H43" i="5" s="1"/>
</calcChain>
</file>

<file path=xl/sharedStrings.xml><?xml version="1.0" encoding="utf-8"?>
<sst xmlns="http://schemas.openxmlformats.org/spreadsheetml/2006/main" count="15809" uniqueCount="1454">
  <si>
    <t xml:space="preserve">ITEM </t>
  </si>
  <si>
    <t xml:space="preserve">DESCRIPCION </t>
  </si>
  <si>
    <t>VALOR TOTAL</t>
  </si>
  <si>
    <t>Remodelacion de Baños (ABC, D, G, ED, ADMIN, BARTES)</t>
  </si>
  <si>
    <t>Impermeabilización cubierta</t>
  </si>
  <si>
    <t>Mantenimiento correctivo y limpieza de fachadas bloques ABC, D y F y Coliseo</t>
  </si>
  <si>
    <t>Pintura general fachadas bloquea ABC, D, F, G, H y Coliseo</t>
  </si>
  <si>
    <t xml:space="preserve">Cambio de ventanearía </t>
  </si>
  <si>
    <t>Escarificación, Impermeabilización y pintura Epoxica laboratorios B</t>
  </si>
  <si>
    <t>Cambio Cielo raso bloque H y bloque B</t>
  </si>
  <si>
    <t>Cambio  Ascensores ABC, Bloque G</t>
  </si>
  <si>
    <t>Cambio de puerta Galvanizada para salones y laboratorios</t>
  </si>
  <si>
    <t>Mantenimiento Barandas en concreto, cambio por polimero de alto impacto</t>
  </si>
  <si>
    <t>Mantenimiento de estructuras de estantes para libros bloque G</t>
  </si>
  <si>
    <t>Revision y Mantenimiento estructural de edificacion (bloque G)</t>
  </si>
  <si>
    <t>Mantenimiento de los tableros eléctricos de toda la sede</t>
  </si>
  <si>
    <t>Cambio de Tomacorriente salones</t>
  </si>
  <si>
    <t>Cambio de  interruptores salones</t>
  </si>
  <si>
    <t>Cambio a Luminaria LED (Todos los bloques no incluye E)</t>
  </si>
  <si>
    <t>Mantenimiento Transformadores Y Subestaciones Principales</t>
  </si>
  <si>
    <t xml:space="preserve">Iluminacion de alumbrado publico senderos areas comuens solar  70V </t>
  </si>
  <si>
    <t>Luminaria complejo deprotivo futbol y softball</t>
  </si>
  <si>
    <t>Mantenimiento graderias</t>
  </si>
  <si>
    <t>Sistema de bombe piscinas</t>
  </si>
  <si>
    <t>Cancha de futbol 11 sintetica con shockpad</t>
  </si>
  <si>
    <t xml:space="preserve">Cerramiento Pisicina y cancha de futbol malla electrosoldada </t>
  </si>
  <si>
    <t>Pista Atletica</t>
  </si>
  <si>
    <t>Climatizacion bloques</t>
  </si>
  <si>
    <t>COVID19 Compra de lavamanos con pedal integrado con dispensador de jabon antivandalico</t>
  </si>
  <si>
    <t>Automatizacion, diseño y suminstro de agua potable con almacenamiento y autonomia ( 2 escenarios uno con el estudio especial para el diseño de la parte hidrosanitaria y el otro con las cotizaciones que se han recibido del proyecto)</t>
  </si>
  <si>
    <t xml:space="preserve">Cerramiento perimetral de entrada 46 hasta el bloque H			</t>
  </si>
  <si>
    <t>Mantenimiento Planta de tratamiento de agua PTAR 1, 2 y 3</t>
  </si>
  <si>
    <t>Sistema de CCTV y control de acceso con sistema de deteccion de temperatura</t>
  </si>
  <si>
    <t>Dotacion mobiliario sabanlarga</t>
  </si>
  <si>
    <t>Base de datos de Biblioteca</t>
  </si>
  <si>
    <t xml:space="preserve">Centro de Acopio con contenedores </t>
  </si>
  <si>
    <t>TOTAL COSTOS DIRECTOS</t>
  </si>
  <si>
    <t>ADMINISTRACION</t>
  </si>
  <si>
    <t xml:space="preserve">IMPREVISTOS </t>
  </si>
  <si>
    <t>UTILIDAD</t>
  </si>
  <si>
    <t>TOTAL COSTOS INDIRECTOS</t>
  </si>
  <si>
    <t>VALOR TOTAL  (COSTOS DIRECTOS + COSTOS INDIRECTOS)</t>
  </si>
  <si>
    <t>Pintura general fachadas bloquea ABC, D, F, G, H y coliseo</t>
  </si>
  <si>
    <t>PROPUESTA ECONOMICA MEJORAMIENTO Y ADECUACIÓN SEDES UNIVERSIDAD DEL ATLÁNTICO</t>
  </si>
  <si>
    <t>CONDICIONES GENERALES</t>
  </si>
  <si>
    <t xml:space="preserve">Automatizacion de Sistema de Agua Potable </t>
  </si>
  <si>
    <t>Emergencia Sanitaria por COVID 19</t>
  </si>
  <si>
    <t>ITEM</t>
  </si>
  <si>
    <t xml:space="preserve">Descripción </t>
  </si>
  <si>
    <t>UNIDAD</t>
  </si>
  <si>
    <t>CANTIDAD</t>
  </si>
  <si>
    <t>Valor Unitario</t>
  </si>
  <si>
    <t>Valor Total</t>
  </si>
  <si>
    <t>Preliminares</t>
  </si>
  <si>
    <t>1.1</t>
  </si>
  <si>
    <t>Localizacion y Replanteo</t>
  </si>
  <si>
    <t>M2</t>
  </si>
  <si>
    <t>1.2</t>
  </si>
  <si>
    <t xml:space="preserve">Cerramiento en Lona Verde </t>
  </si>
  <si>
    <t>ML</t>
  </si>
  <si>
    <t>1.3</t>
  </si>
  <si>
    <t>Campamento Para Almacenamiento de Materiales</t>
  </si>
  <si>
    <t>1.4</t>
  </si>
  <si>
    <t xml:space="preserve">Limpieza y Descapote Esp.=0,20 mts a Maquina </t>
  </si>
  <si>
    <t>M3</t>
  </si>
  <si>
    <t>1.5</t>
  </si>
  <si>
    <t xml:space="preserve">Retiro de Manto Edil Existente </t>
  </si>
  <si>
    <t>1.6</t>
  </si>
  <si>
    <t>Demoliciones de estructuras en concreto, incluye retiro de sobrantes</t>
  </si>
  <si>
    <t>1.7</t>
  </si>
  <si>
    <t>Demoliciones de Muros en Bloque, incluye retiro de sobrantes</t>
  </si>
  <si>
    <t>1.8</t>
  </si>
  <si>
    <t>Demolicion Mecanica de Placa en Concreto (Esp.=0,15 mts), incluye retiro, cargue, transporte de Material sobrante a una distancia maxima de 1 km</t>
  </si>
  <si>
    <t>1.9</t>
  </si>
  <si>
    <t>Excavacion manual sobre terreno, incluye retiro, cargue, transporte de Material sobrante a una distancia maxima de 1 km</t>
  </si>
  <si>
    <t>1.10</t>
  </si>
  <si>
    <t>Excavacion manual sobre terreno para Vigas de Amarre o Cimentacion, incluye retiro, cargue, transporte de Material sobrante a una distancia maxima de 1 km</t>
  </si>
  <si>
    <t>1.11</t>
  </si>
  <si>
    <t>Excavacion a maquina sobre terreno, incluye retiro, cargue, transporte de Material sobrante a una distancia maxima de 1 km</t>
  </si>
  <si>
    <t>1.12</t>
  </si>
  <si>
    <t>Relleno con material seleccionado compactacion PM=95%</t>
  </si>
  <si>
    <t>1.13</t>
  </si>
  <si>
    <t>Relleno compactado con material del sitio proveniente de la excavacion para nivelacion de terreno</t>
  </si>
  <si>
    <t>1.14</t>
  </si>
  <si>
    <t>Provisional de energia electrica</t>
  </si>
  <si>
    <t>GLB</t>
  </si>
  <si>
    <t>1.15</t>
  </si>
  <si>
    <t>Provisional de agua potable</t>
  </si>
  <si>
    <t>1.16</t>
  </si>
  <si>
    <t>Desmonte de Redes Secas</t>
  </si>
  <si>
    <t>1.17</t>
  </si>
  <si>
    <t xml:space="preserve">Desmonte de Redes de Aires Acondicionados </t>
  </si>
  <si>
    <t>1.18</t>
  </si>
  <si>
    <t>1.19</t>
  </si>
  <si>
    <t xml:space="preserve">Desmonte de Cielo Existente </t>
  </si>
  <si>
    <t>1.20</t>
  </si>
  <si>
    <t xml:space="preserve">Retiro de Material Sobrante </t>
  </si>
  <si>
    <t>1.21</t>
  </si>
  <si>
    <t>Desmonte de Aparatos Sanitarios</t>
  </si>
  <si>
    <t>UN</t>
  </si>
  <si>
    <t>1.22</t>
  </si>
  <si>
    <t xml:space="preserve">Desmonte de Barandas en Acero Galvanizado </t>
  </si>
  <si>
    <t>Subtotal Preliminares</t>
  </si>
  <si>
    <t>Estructuras en Concreto</t>
  </si>
  <si>
    <t>2.1</t>
  </si>
  <si>
    <t>Solado Para zapatas en concreto en obra de 14 Mpa</t>
  </si>
  <si>
    <t>2.2</t>
  </si>
  <si>
    <t>2.3</t>
  </si>
  <si>
    <t>2.4</t>
  </si>
  <si>
    <t>2.5</t>
  </si>
  <si>
    <t>2.6</t>
  </si>
  <si>
    <t>2.7</t>
  </si>
  <si>
    <t>2.8</t>
  </si>
  <si>
    <t>2.9</t>
  </si>
  <si>
    <t>Losa maciza de cubierta en concreto premezclado de 28 Mpa Esp.=0,15 mts</t>
  </si>
  <si>
    <t>2.10</t>
  </si>
  <si>
    <t>Acero Estructural A-50 para Cubierta</t>
  </si>
  <si>
    <t>KG</t>
  </si>
  <si>
    <t>2.11</t>
  </si>
  <si>
    <t>Acero de Refuerzo de 60,000 psi</t>
  </si>
  <si>
    <t>2.12</t>
  </si>
  <si>
    <t>2.13</t>
  </si>
  <si>
    <t xml:space="preserve">Gargolas en Concreto Para Desagues </t>
  </si>
  <si>
    <t>2.14</t>
  </si>
  <si>
    <t>Reconstruccion de Graderias, Incluye Resane Con Aditivo de Adherencia Epoxica de Zonas Afectadas</t>
  </si>
  <si>
    <t>Subtotal Estructuras en Concreto</t>
  </si>
  <si>
    <t>Mamposteria</t>
  </si>
  <si>
    <t>3.1</t>
  </si>
  <si>
    <t>Levante De Muro En Bloque Abuzardado De 0.15 X 0.20 X 0.40 Metros Por una Cara, Reforzado Con Acero De 1/2", Incluye Relleno En Concreto De 2500 Psi Y Mortero De Pega 1:4</t>
  </si>
  <si>
    <t>3.2</t>
  </si>
  <si>
    <t>Muro en Bloque de Concreto Liso de Esp.= 0,12 mts</t>
  </si>
  <si>
    <t>Subtotal Mamposteria</t>
  </si>
  <si>
    <t>Pañetes</t>
  </si>
  <si>
    <t>4.1</t>
  </si>
  <si>
    <t>Pañete Allanado en Mortero 1:4</t>
  </si>
  <si>
    <t>4.2</t>
  </si>
  <si>
    <t>4.3</t>
  </si>
  <si>
    <t xml:space="preserve">Pañete Con Aditivo Adherente Para Reparacion de Grietas </t>
  </si>
  <si>
    <t>Subtotal Pañetes</t>
  </si>
  <si>
    <t>Estucos y Pinturas</t>
  </si>
  <si>
    <t>5.1</t>
  </si>
  <si>
    <t>Estuco Para Interiores</t>
  </si>
  <si>
    <t>5.2</t>
  </si>
  <si>
    <t>5.3</t>
  </si>
  <si>
    <t xml:space="preserve">Estuco Plastico Exteriores </t>
  </si>
  <si>
    <t>5.4</t>
  </si>
  <si>
    <t>5.5</t>
  </si>
  <si>
    <t>Pintura en Vinilo Para Muros, a tres manos KORAZA o Similar</t>
  </si>
  <si>
    <t>5.6</t>
  </si>
  <si>
    <t>5.9</t>
  </si>
  <si>
    <t xml:space="preserve">Pintura Epoxica Para Muros </t>
  </si>
  <si>
    <t>Pintura Impermeabilizante</t>
  </si>
  <si>
    <t xml:space="preserve">Limpieza con Hidrolavadora de Muros </t>
  </si>
  <si>
    <t>Subtotal Estucos y Pinturas</t>
  </si>
  <si>
    <t>Cielos Rasos</t>
  </si>
  <si>
    <t>6.1</t>
  </si>
  <si>
    <t xml:space="preserve">Suministro e Instalacion de Cielo Raso en Lamina de PVC Incluye Estructura </t>
  </si>
  <si>
    <t>6.2</t>
  </si>
  <si>
    <t>Suministro e Instalacion de Cielo Raso en Lamina de Superboard, con estructura Metalica y Perfil Omega</t>
  </si>
  <si>
    <t>6.3</t>
  </si>
  <si>
    <t xml:space="preserve">Suministro e Instalacion de Eterboard 10 mm Dilatado, Incluye Estructura de Aluminio </t>
  </si>
  <si>
    <t>Subtotal Cielos Rasos</t>
  </si>
  <si>
    <t>Impermeabilizaciones</t>
  </si>
  <si>
    <t>7.1</t>
  </si>
  <si>
    <t>Impermeabilizacion con Membrana PVC SIKAPLAN Cubiertas</t>
  </si>
  <si>
    <t>7.2</t>
  </si>
  <si>
    <t>Impermeabilizacion de Cubierta en Tejas</t>
  </si>
  <si>
    <t>Subtotal Impermeabilizaciones</t>
  </si>
  <si>
    <t xml:space="preserve">Cubiertas </t>
  </si>
  <si>
    <t xml:space="preserve">Mantenimiento de Cubierta en Teja UPVC </t>
  </si>
  <si>
    <t xml:space="preserve">Suministro e Instalacion de Cubierta en Teja UPVC </t>
  </si>
  <si>
    <t>Cubierta en Teja Termoacustica Tipo Sanwich aislamiento en poliuretano de 25 mm</t>
  </si>
  <si>
    <t xml:space="preserve">Subtotal Cubiertas </t>
  </si>
  <si>
    <t>Pisos y Acabados</t>
  </si>
  <si>
    <t>9.1</t>
  </si>
  <si>
    <t>Suministro e Instalacion de Fachaleta en Concreto</t>
  </si>
  <si>
    <t>9.2</t>
  </si>
  <si>
    <t>Mantenimiento de Fachaleta en Concreto Exisetnte</t>
  </si>
  <si>
    <t>9.3</t>
  </si>
  <si>
    <t xml:space="preserve">Suministro e Instalacion de Fachaleta en Gres (Bocadillo) </t>
  </si>
  <si>
    <t>9.4</t>
  </si>
  <si>
    <t>9.5</t>
  </si>
  <si>
    <t>Media Caña en Piso Pared con Mortero y Resello Epoxico</t>
  </si>
  <si>
    <t>9.6</t>
  </si>
  <si>
    <t>9.7</t>
  </si>
  <si>
    <t>Suministro e instalacion de Piso en Granito Pulido de 33 x 33</t>
  </si>
  <si>
    <t>9.8</t>
  </si>
  <si>
    <t xml:space="preserve">Suministro e instalacion de enchape ceramico color escala de grises </t>
  </si>
  <si>
    <t>Subtotal Pisos y Acabados</t>
  </si>
  <si>
    <t xml:space="preserve">Redes Hidraulicas, Sanitarias, Aguas Lluvias y Automatizacion de Sistema de Agua Potable </t>
  </si>
  <si>
    <t>10.1</t>
  </si>
  <si>
    <t>Redes Hidraulicas</t>
  </si>
  <si>
    <t>10.1.1</t>
  </si>
  <si>
    <t>Trazado</t>
  </si>
  <si>
    <t>10.1.2</t>
  </si>
  <si>
    <t>10.1.3</t>
  </si>
  <si>
    <t>10.1.4</t>
  </si>
  <si>
    <t>Suministro e instalación de Tuberia PVC 2 "</t>
  </si>
  <si>
    <t>10.1.5</t>
  </si>
  <si>
    <t>Suministro e instalación de Tuberia PVC 1 1/2 "</t>
  </si>
  <si>
    <t>10.1.6</t>
  </si>
  <si>
    <t>Suministro e instalación de Tuberia PVC 1 1/4 "</t>
  </si>
  <si>
    <t>10.1.7</t>
  </si>
  <si>
    <t>10.1.8</t>
  </si>
  <si>
    <t>10.1.9</t>
  </si>
  <si>
    <t>Suministro e instalación de Tuberia PVC 1/2"</t>
  </si>
  <si>
    <t>10.1.10</t>
  </si>
  <si>
    <t>Válvulas PVC 1-1/2"</t>
  </si>
  <si>
    <t>10.1.11</t>
  </si>
  <si>
    <t xml:space="preserve">Registros en PVC 6"para válvulas </t>
  </si>
  <si>
    <t>10.1.12</t>
  </si>
  <si>
    <t>Puntos Agua potables de 1/2" Para Lavamanos</t>
  </si>
  <si>
    <t>10.1.13</t>
  </si>
  <si>
    <t>Puntos Agua potables de 1-1/2" Para  Inodoros y Orinales</t>
  </si>
  <si>
    <t>10.1.14</t>
  </si>
  <si>
    <t>Prueba hidráulica tubería</t>
  </si>
  <si>
    <t>10.2</t>
  </si>
  <si>
    <t>Redes Sanitarias</t>
  </si>
  <si>
    <t>10.2.1</t>
  </si>
  <si>
    <t>10.2.2</t>
  </si>
  <si>
    <t>10.2.3</t>
  </si>
  <si>
    <t>10.2.4</t>
  </si>
  <si>
    <t>Punto sanitario 4"</t>
  </si>
  <si>
    <t>10.2.5</t>
  </si>
  <si>
    <t>Punto sanitario 3"</t>
  </si>
  <si>
    <t>10.2.6</t>
  </si>
  <si>
    <t>Punto sanitario 2"</t>
  </si>
  <si>
    <t>10.2.7</t>
  </si>
  <si>
    <t>Suministro e instalacion de Tuberia PVC S Ø 2"</t>
  </si>
  <si>
    <t>10.2.8</t>
  </si>
  <si>
    <t>Suministro e instalacion de Tuberia PVC S Ø 3"</t>
  </si>
  <si>
    <t>10.2.9</t>
  </si>
  <si>
    <t>Suministro e instalacion de Tuberia PVC S Ø 4"</t>
  </si>
  <si>
    <t>10.2.10</t>
  </si>
  <si>
    <t xml:space="preserve"> Suministro e instalacion de Tuberia PVC S Ø 6"</t>
  </si>
  <si>
    <t>10.2.11</t>
  </si>
  <si>
    <t>Suministro e instalacion de Bajante PVC 4"</t>
  </si>
  <si>
    <t>10.2.12</t>
  </si>
  <si>
    <t>10.2.13</t>
  </si>
  <si>
    <t>Prueba Sanitaria de tubería y registros</t>
  </si>
  <si>
    <t>10.3</t>
  </si>
  <si>
    <t>Redes De Aguas Lluvias</t>
  </si>
  <si>
    <t>10.3.1</t>
  </si>
  <si>
    <t>10.3.2</t>
  </si>
  <si>
    <t>10.3.3</t>
  </si>
  <si>
    <t>10.3.4</t>
  </si>
  <si>
    <t>Suministro e instalación deTuberia PVC Ø6"</t>
  </si>
  <si>
    <t>10.3.5</t>
  </si>
  <si>
    <t>Suministro e instalación deTuberia PVC  Ø4"</t>
  </si>
  <si>
    <t>10.3.6</t>
  </si>
  <si>
    <t>Suministro e instalación deTuberia PVC  Bajantes PVC 4"</t>
  </si>
  <si>
    <t>10.3.7</t>
  </si>
  <si>
    <t>10.4</t>
  </si>
  <si>
    <t>10.4.1</t>
  </si>
  <si>
    <t>Area Administrativa y Bloques D, H, Y G</t>
  </si>
  <si>
    <t>10.4.1.1</t>
  </si>
  <si>
    <t>10.4.1.2</t>
  </si>
  <si>
    <t>10.4.1.3</t>
  </si>
  <si>
    <t>10.4.1.4</t>
  </si>
  <si>
    <t>10.4.1.5</t>
  </si>
  <si>
    <t>10.4.1.6</t>
  </si>
  <si>
    <t>10.4.1.7</t>
  </si>
  <si>
    <t>10.4.1.8</t>
  </si>
  <si>
    <t>10.4.1.9</t>
  </si>
  <si>
    <t>10.4.1.10</t>
  </si>
  <si>
    <t>10.4.1.11</t>
  </si>
  <si>
    <t>10.4.1.12</t>
  </si>
  <si>
    <t>10.4.2</t>
  </si>
  <si>
    <t>Centro de Convenciones</t>
  </si>
  <si>
    <t>10.4.2.1</t>
  </si>
  <si>
    <t>10.4.2.2</t>
  </si>
  <si>
    <t>10.4.2.3</t>
  </si>
  <si>
    <t>10.4.2.4</t>
  </si>
  <si>
    <t>10.4.2.5</t>
  </si>
  <si>
    <t>10.4.2.6</t>
  </si>
  <si>
    <t>10.4.2.7</t>
  </si>
  <si>
    <t>10.4.2.8</t>
  </si>
  <si>
    <t>10.4.3</t>
  </si>
  <si>
    <t>10.4.3.1</t>
  </si>
  <si>
    <t>UND</t>
  </si>
  <si>
    <t>10.4.3.2</t>
  </si>
  <si>
    <t>10.4.3.3</t>
  </si>
  <si>
    <t>10.4.3.4</t>
  </si>
  <si>
    <t>10.4.3.5</t>
  </si>
  <si>
    <t>10.4.4</t>
  </si>
  <si>
    <t>Bloque I</t>
  </si>
  <si>
    <t>10.4.4.1</t>
  </si>
  <si>
    <t>10.4.4.2</t>
  </si>
  <si>
    <t>10.4.4.3</t>
  </si>
  <si>
    <t>10.4.4.4</t>
  </si>
  <si>
    <t>10.4.4.5</t>
  </si>
  <si>
    <t>10.4.4.6</t>
  </si>
  <si>
    <t>10.4.4.7</t>
  </si>
  <si>
    <t>10.4.4.8</t>
  </si>
  <si>
    <t>10.4.5</t>
  </si>
  <si>
    <t xml:space="preserve">Bombas Bloque E </t>
  </si>
  <si>
    <t>10.4.5.1</t>
  </si>
  <si>
    <t>10.4.5.2</t>
  </si>
  <si>
    <t>10.4.5.3</t>
  </si>
  <si>
    <t>10.4.5.4</t>
  </si>
  <si>
    <t>10.4.5.5</t>
  </si>
  <si>
    <t xml:space="preserve">Subtotal Redes Hidraulicas, Sanitarias, Aguas Lluvias y Automatizacion de Sistema de Agua Potable </t>
  </si>
  <si>
    <t>Carpinteria de Aluminio</t>
  </si>
  <si>
    <t>11.1</t>
  </si>
  <si>
    <t>Suministro e Instalacion de Ventanas en Perfileria de Aluminio con Vidrio Templado Termoacustico</t>
  </si>
  <si>
    <t>11.2</t>
  </si>
  <si>
    <t>Mantenimiento de Perfileria y Herrajes de Ventanas Existentes, No Incluye Cambio de Vidrio</t>
  </si>
  <si>
    <t>Subtotal Carpinteria de Aluminio</t>
  </si>
  <si>
    <t>Carpinteria Metalica</t>
  </si>
  <si>
    <t>12.1</t>
  </si>
  <si>
    <t>12.2</t>
  </si>
  <si>
    <t>Suministro e Instalacion de Fachada Estandar Reforzada Lamina Compactada (Modumex), Incluye Puerta y Accesorios) Para Baños</t>
  </si>
  <si>
    <t>12.3</t>
  </si>
  <si>
    <t>Suministro e Instalacion de Division en Lamina Compactada (Modumex) Para Orinales</t>
  </si>
  <si>
    <t>12.4</t>
  </si>
  <si>
    <t xml:space="preserve">Suministro e Instalacion de Durapanel de 1,00 mts de alto </t>
  </si>
  <si>
    <t>12.5</t>
  </si>
  <si>
    <t>12.6</t>
  </si>
  <si>
    <t>12.7</t>
  </si>
  <si>
    <t>Mantenimiento, antioxido y pintura a estanteria biblioteca (2m altura, 1m ancho, 60cm profundidad, entrepaños cada 33 cm)</t>
  </si>
  <si>
    <t>12.8</t>
  </si>
  <si>
    <t xml:space="preserve">Suminsitro e Instalacion de Pasamanos en Acero Galvanizado </t>
  </si>
  <si>
    <t>12.9</t>
  </si>
  <si>
    <t>Suministro e Instalacion de Cerramiento en Paneles de Malla Electrosoldada Galvanizada Comtemporanea con Recubrimiento Marino Zona Deportiva, Resistente a la Corrosion con H=2,40 mts, Incluye Puerta de Acceso</t>
  </si>
  <si>
    <t>12.10</t>
  </si>
  <si>
    <t>Suministro e Instalacion de Concertia de Seguridad D=14"</t>
  </si>
  <si>
    <t>12.11</t>
  </si>
  <si>
    <t>Suministro e Instalacion de perfil 3" x 1 1/2" en Concreto anclado a alfajia.</t>
  </si>
  <si>
    <t>12.12</t>
  </si>
  <si>
    <t>Mantenimiento de Estructura Metalica de Cubierta en Tubo Redondo Galvanizado Calibre 14 de 2"</t>
  </si>
  <si>
    <t>12.13</t>
  </si>
  <si>
    <t xml:space="preserve">Lavado de Estructura Metalica y Cubierta de Puente con Rinse no Abrasivo </t>
  </si>
  <si>
    <t>12.14</t>
  </si>
  <si>
    <t xml:space="preserve">Montaje de Estructura Metalica de Soporte </t>
  </si>
  <si>
    <t>12.15</t>
  </si>
  <si>
    <t>Suministro de Andamio Descolgado Electrico o Similar Para Equipo de Trabajo en Alturas Certificado</t>
  </si>
  <si>
    <t>12.16</t>
  </si>
  <si>
    <t>Puerta Rejilla en Celosia con sistema 7038 monumental o similar, de medidas de 2,00 x 1,00 mts</t>
  </si>
  <si>
    <t>12.17</t>
  </si>
  <si>
    <t>Divisiones Para Baño en Acero Inoxidable</t>
  </si>
  <si>
    <t xml:space="preserve">Suministro e instalacion de angulo corta gotera en exterior </t>
  </si>
  <si>
    <t>Subtotal Carpinteria Metalica</t>
  </si>
  <si>
    <t>Aparatos Sanitarios</t>
  </si>
  <si>
    <t>13.1</t>
  </si>
  <si>
    <t>13.2</t>
  </si>
  <si>
    <t xml:space="preserve">Suministro e Instalacion Sanitario Antivandalico Incluye Fluxometro </t>
  </si>
  <si>
    <t>13.3</t>
  </si>
  <si>
    <t>13.4</t>
  </si>
  <si>
    <t>Dispensador circular de papel higiénico. Ancho de rollo de papel: 115 mm, Diametro Tubo de rollo de papel: 45 y 70 mm; o similar.</t>
  </si>
  <si>
    <t>13.5</t>
  </si>
  <si>
    <t xml:space="preserve">Suministro e Instalacion de Juego de Ducha Sencilla </t>
  </si>
  <si>
    <t>13.6</t>
  </si>
  <si>
    <t xml:space="preserve">Suministro e instalación de barra de seguridad largo 18" acero inoxidable satinado diametro 1-1/4", tornillos escondidos. Anclaje a pared </t>
  </si>
  <si>
    <t>13.7</t>
  </si>
  <si>
    <t>Suministro e Instalacion de Espejos Biselados de 3 mm Incluye Soporte</t>
  </si>
  <si>
    <t>13.8</t>
  </si>
  <si>
    <t xml:space="preserve">Mesones en granito para lavamanos fundido en sitio. Grano Nº 1 (1/4-1/8") mármol color a convenir. Incluye nariz y salpicadero. </t>
  </si>
  <si>
    <t>13.9</t>
  </si>
  <si>
    <t>Suministro e Instalacion de Rejilla de Piso de 4" x 3"</t>
  </si>
  <si>
    <t>Subtotal Aparatos Sanitarios</t>
  </si>
  <si>
    <t>Ascensores</t>
  </si>
  <si>
    <t>14.1</t>
  </si>
  <si>
    <t>Desinstalacion, Retiro y Disposicion Final de Ascensores Existentes</t>
  </si>
  <si>
    <t>14.2</t>
  </si>
  <si>
    <t>Suministro e Instalacion de Ascensor de 5 Paradas de 10 Pasajeros Incluye 4 Maquinas, Motor, Cabinas, Puertas, Rieles y Todos los Elementos Para Su Correcto Funcionamiento, Sistema Autorescate</t>
  </si>
  <si>
    <t>Subtotal Ascensores</t>
  </si>
  <si>
    <t>Carpinteria en Madera</t>
  </si>
  <si>
    <t>15.1</t>
  </si>
  <si>
    <t>Mantenimiento de Estructura Portante de Techo Acceso en Madera, Incluye Limpieza, Lijado y Barnizado 2 Manos - Centro Cultural</t>
  </si>
  <si>
    <t>Subtotal Carpinteria en Madera</t>
  </si>
  <si>
    <t>Cancha de Futbol Sintetico</t>
  </si>
  <si>
    <t>16.1</t>
  </si>
  <si>
    <t>Bordillo en Concreto de 0,15 x 0,20</t>
  </si>
  <si>
    <t>16.2</t>
  </si>
  <si>
    <t xml:space="preserve">Suministro e Instalacion de Filtros de 4" Perforada </t>
  </si>
  <si>
    <t>16.3</t>
  </si>
  <si>
    <t>Suministro e instalacion de geotextil T2100</t>
  </si>
  <si>
    <t>16.4</t>
  </si>
  <si>
    <t>Suministro, colocacion y compactacion de base en grava e=0,15 m.</t>
  </si>
  <si>
    <t>16.5</t>
  </si>
  <si>
    <t>Subbase Granular Esp.=0,10 mts</t>
  </si>
  <si>
    <t>16.6</t>
  </si>
  <si>
    <t>16.7</t>
  </si>
  <si>
    <t>Cesped sintetico para futbol de 55 mm FIFA monofilmento con certificacion FIFA</t>
  </si>
  <si>
    <t>16.8</t>
  </si>
  <si>
    <t xml:space="preserve">Suministro e Instalacion de Shock Pad </t>
  </si>
  <si>
    <t>16.9</t>
  </si>
  <si>
    <t>Suministro e Instalacion de Porteria de 7,44 x 2,44</t>
  </si>
  <si>
    <t>PAR</t>
  </si>
  <si>
    <t>Subtotal Cancha de Futbol Sintetico</t>
  </si>
  <si>
    <t>Mantenimiento y Operación Piscinas</t>
  </si>
  <si>
    <t>17.1</t>
  </si>
  <si>
    <t>17.2</t>
  </si>
  <si>
    <t xml:space="preserve">Suministro e Instalacion de Sandblasting SP5 grado blanco para 2 tanques </t>
  </si>
  <si>
    <t>17.3</t>
  </si>
  <si>
    <t>Pintura Imprimante de Fosfato de Zinc Sika, Espesor de 2 a 3 MILLS</t>
  </si>
  <si>
    <t>17.4</t>
  </si>
  <si>
    <t>Pintura Barrera, Espesor de 2 a 3 MILLS</t>
  </si>
  <si>
    <t>17.5</t>
  </si>
  <si>
    <t>Pintura Poliuretano, Espesor de 2 a 3 MILLS</t>
  </si>
  <si>
    <t>17.6</t>
  </si>
  <si>
    <t xml:space="preserve">Suministro e Instalacion de Tuberia de Proceso de 8" </t>
  </si>
  <si>
    <t>17.7</t>
  </si>
  <si>
    <t xml:space="preserve">Suministro e Instalacion de Tuberia de Proceso de 10" </t>
  </si>
  <si>
    <t>17.8</t>
  </si>
  <si>
    <t xml:space="preserve">Suministro e Instalacion de Codos de  Proceso de 8" x 90° </t>
  </si>
  <si>
    <t>17.9</t>
  </si>
  <si>
    <t xml:space="preserve">Suministro e Instalacion de Flanges de  Proceso de 8" x 150 </t>
  </si>
  <si>
    <t>17.10</t>
  </si>
  <si>
    <t xml:space="preserve">Suministro e Instalacion de Valvulas de  Proceso de 8" </t>
  </si>
  <si>
    <t>17.11</t>
  </si>
  <si>
    <t xml:space="preserve">Suministro e Instalacion de Cheque de  Proceso de 8" </t>
  </si>
  <si>
    <t>17.12</t>
  </si>
  <si>
    <t xml:space="preserve">Suministro e Instalacion de Flanges de  Proceso de 10" x 150 </t>
  </si>
  <si>
    <t>17.13</t>
  </si>
  <si>
    <t>17.14</t>
  </si>
  <si>
    <t>17.15</t>
  </si>
  <si>
    <t>Suministro e Instalacion de Nuevo Gabinete Principal Manejo de Cuarto de Bombas, Inlcuye desmontaje del existente</t>
  </si>
  <si>
    <t>17.16</t>
  </si>
  <si>
    <t xml:space="preserve">Mantenimiento de Bandeja Galvanizada en el Cuarto de Bomba </t>
  </si>
  <si>
    <t>17.17</t>
  </si>
  <si>
    <t>Suministro e Instalacion de de Tuberia EMT de 1-1/2" , Incluye desmonte de tuberia Conduit Existente</t>
  </si>
  <si>
    <t>17.18</t>
  </si>
  <si>
    <t>Mantenimiento de Bombas de 25 Hp</t>
  </si>
  <si>
    <t>17.19</t>
  </si>
  <si>
    <t>Subtotal Mantenimiento y Operación Piscinas</t>
  </si>
  <si>
    <t>Pista de Atlestismo</t>
  </si>
  <si>
    <t>18.4</t>
  </si>
  <si>
    <t>18.5</t>
  </si>
  <si>
    <t xml:space="preserve">Imprimacion con Emulsion Asfaltica </t>
  </si>
  <si>
    <t>Suministtro e Instalacion de Recubrimiento Para Pista Atletica 14 mm</t>
  </si>
  <si>
    <t>Subtotal Pista de Atlestismo</t>
  </si>
  <si>
    <t>Sistema de CCTV y Control de Acceso con Sistema de Deteccion de Temperatura</t>
  </si>
  <si>
    <t>19.1.1</t>
  </si>
  <si>
    <t>Suminsitro e Instalacion de Cable S/FTP CAT 6A</t>
  </si>
  <si>
    <t>Suminsitro e Instalacion de Punto de Datos Sencillo, Incluye 1 Jack CAT 6A, 1 Faceplate, Certificacion de Punto Logico y Marquillado</t>
  </si>
  <si>
    <t>Suminsitro e Instalacion de Punto de Datos Doble, Incluye 2 Jack CAT 6A, 1 Faceplate, Certificacion de Punto Logico y Marquillado</t>
  </si>
  <si>
    <t>Suministro e instalacion de Patch Cord Area de Trabajo (2 mts)</t>
  </si>
  <si>
    <t>19.1.2</t>
  </si>
  <si>
    <t>Suminsitro e Instalacion de Patch Cord Area de Administracion (1 mts)</t>
  </si>
  <si>
    <t xml:space="preserve">Suministro e Instalacion de Patch Panel CAT 6A 48 Puertos </t>
  </si>
  <si>
    <t xml:space="preserve">Suministro e Instalacion de Patch Panel CAT 6A 24 Puertos </t>
  </si>
  <si>
    <t>Suministro e Instalacion de Gabinete Piso 34U</t>
  </si>
  <si>
    <t>Suministro e Instalacion de Gabinete Pared 16U</t>
  </si>
  <si>
    <t>Suministro e Instalacion de Gabinete 42U</t>
  </si>
  <si>
    <t>Suminsitro e Instalacion de de Organizador de Alta Densidad</t>
  </si>
  <si>
    <t>19.1.3</t>
  </si>
  <si>
    <t>Suminsitro e Instalacion de Fibra Optica Multimodo OM4 12 H</t>
  </si>
  <si>
    <t>Suminsitro e Instalacion de Fibra Optica Multimodo OM4 24 H</t>
  </si>
  <si>
    <t>Suminsitro e Instalacion de Bandeja de Fibra Optica de 4 a 6H</t>
  </si>
  <si>
    <t>Suminsitro e Instalacion de Bandeja de Fibra Optica de 72H</t>
  </si>
  <si>
    <t>Suministro e Instalacion de Fibra Optica Fusionado</t>
  </si>
  <si>
    <t xml:space="preserve">Suminsitro e Instalacion de Certificado de Hilo de Fibra Optica </t>
  </si>
  <si>
    <t>19.1.4</t>
  </si>
  <si>
    <t>19.1.5</t>
  </si>
  <si>
    <t>Suministro e Instalacion de Switch de 24 Puertos PoE, 4SFP, Stacking port. Layer 3</t>
  </si>
  <si>
    <t>Suministro e Instalacion de Switch de 24 Puertos  SFP (combo) + 24 Puertos 10/100/1000T (combo)</t>
  </si>
  <si>
    <t>Suministro e Instalacion de Modulo SFP MM 1G</t>
  </si>
  <si>
    <t>19.1.6</t>
  </si>
  <si>
    <t xml:space="preserve">Suministro e Instalacion de Controladora de Acces Point </t>
  </si>
  <si>
    <t>19.1.7</t>
  </si>
  <si>
    <t>Suministro e Instalacion de Camara IP Mini Domo</t>
  </si>
  <si>
    <t xml:space="preserve">Suministro e Instalacion de Sistema de Almacenamiento de Video </t>
  </si>
  <si>
    <t>Control de Acceso</t>
  </si>
  <si>
    <t>Suministro de Tarjetas Sin Contacto</t>
  </si>
  <si>
    <t>Suministro e Instalacion de Torniquete de Acceso Sencillo Bidireccional Alto</t>
  </si>
  <si>
    <t>Suministro e Instalacion de Puerta Para Discapacitados</t>
  </si>
  <si>
    <t xml:space="preserve">Suministro e Instalacion de Elecroiman de 300 Lb </t>
  </si>
  <si>
    <t>Suministro e Instalacion de Boton de Salida no Touch</t>
  </si>
  <si>
    <t>Subtotal Sistema de CCTV y Control de Acceso con Sistema de Deteccion de Temperatura</t>
  </si>
  <si>
    <t>Suministro e Instalacion de Lavamanos con pedal Integrado Incluye Dispensador de Jabon Antivandalico</t>
  </si>
  <si>
    <t>Subtotal Emergencia Sanitaria por COVID 19</t>
  </si>
  <si>
    <t>Instalaciones Electricas - Luminarias</t>
  </si>
  <si>
    <t>Acometidas y Alimentadores</t>
  </si>
  <si>
    <t>Celdas y Tableros BT</t>
  </si>
  <si>
    <t>JG</t>
  </si>
  <si>
    <t>Mantenimiento General de Tableros Electricos Metalicos Existentes, incluye peinar cables, señalizacion tablerosy breakers, diagramas unifilares de 60cms x 50 cms x 20 cms</t>
  </si>
  <si>
    <t xml:space="preserve">Salidas </t>
  </si>
  <si>
    <t>Interruptores</t>
  </si>
  <si>
    <t>Suministro e Instalacion de Interruptor Automatico Enchufable de 3 x 20 x 30 Amp.</t>
  </si>
  <si>
    <t>Suministro e Instalacion de Interruptor Automatico Enchufable de 2 x 20 x 30 Amp.</t>
  </si>
  <si>
    <t>Suministro e Instalacion de Interruptor Automatico Enchufable de 1 x 15 x 30 Amp.</t>
  </si>
  <si>
    <t>Suministro e Instalacion de Interruptor</t>
  </si>
  <si>
    <t>Luminarias</t>
  </si>
  <si>
    <t>Suministro e Instalacion de lamparas exteriores Tamaño de la lámpara: L1400 * 540 * H44mm Battary12.6V, 80AH LED: SMD3030,192PCS Altura de instalación: 7-8m Tamaño del agujero: 60mm-100mm  . Incluyen sensores inteligentes o fotoceldas,Panel solar: 18V / 150W</t>
  </si>
  <si>
    <t>Sistema Puesta a Tierra</t>
  </si>
  <si>
    <t>Suministro e instalacion de malla de puesta a tierra tipo pata de ganso 3m x 3m. Incluye 3 varillas de puesta a tierra para tablero general de 2.4 m x 5/8". Incluye conector.</t>
  </si>
  <si>
    <t>Tomacorrientes</t>
  </si>
  <si>
    <t>Suministro e instalación de Tomacorriente 110 V</t>
  </si>
  <si>
    <t>Suministro e instalación de Tomacorriente 110 V Tipo Intemperie</t>
  </si>
  <si>
    <t>Suministros Electricos</t>
  </si>
  <si>
    <t xml:space="preserve">Suministro e instalacion de Medidores Electricos Para los Boques </t>
  </si>
  <si>
    <t>Suministro e instalacion de Tapas Antivandalicas Para Cajas Electricas</t>
  </si>
  <si>
    <t xml:space="preserve">Mantenimiento a los Cuartos Electricos </t>
  </si>
  <si>
    <t>Subestacion Electrica</t>
  </si>
  <si>
    <t>Mantenimiento Preventivo, pruebas electricas y pintura parcial a tranformadores con potencias de 500 a 1000 KVA</t>
  </si>
  <si>
    <t>Mantenimiento Preventivo, pruebas electricas y pintura parcial a tranformadores con potencias de 75 a 300 KVA</t>
  </si>
  <si>
    <t>Desmonte, suministro y cambio de perilla de maniobras seccinador MT</t>
  </si>
  <si>
    <t>Desmonte, suministro y cambio de Seccionador subestacion principal</t>
  </si>
  <si>
    <t>Suministro e Instalacion de terminales premoldeadas tipo exterior</t>
  </si>
  <si>
    <t>Juego</t>
  </si>
  <si>
    <t>Suministro e Instalacion de terminales premoldeadas tipo codo</t>
  </si>
  <si>
    <t>Mantenimiento electrico de las subestaciones</t>
  </si>
  <si>
    <t>Subtotal Instalaciones Electricas - Luminarias</t>
  </si>
  <si>
    <t>PRESUPUESTO DE INTERVENTORÍA - MEJORAMIENTO Y ADECUACIÓN SEDES UNIVERSIDAD DEL ATLÁNTICO</t>
  </si>
  <si>
    <t>DESCRIPCIÓN</t>
  </si>
  <si>
    <t>Cant</t>
  </si>
  <si>
    <t>Dedicación       h-mes</t>
  </si>
  <si>
    <t>Dedicación mes</t>
  </si>
  <si>
    <t>Dedicación  Total</t>
  </si>
  <si>
    <t>Tarifa Mensual</t>
  </si>
  <si>
    <t>Costo Total</t>
  </si>
  <si>
    <t>Costos Directos Personal</t>
  </si>
  <si>
    <t>PERSONAL PROFESIONAL</t>
  </si>
  <si>
    <t>Director de la Interventoría</t>
  </si>
  <si>
    <t>Ingeniero Residente General</t>
  </si>
  <si>
    <t>Ingeniero de estructuras</t>
  </si>
  <si>
    <t>Ingeniero redes secas y húmedas</t>
  </si>
  <si>
    <t>Arquitecto</t>
  </si>
  <si>
    <t>Ingeniero Eléctrico e iluminación</t>
  </si>
  <si>
    <t>Profesional SISO</t>
  </si>
  <si>
    <t>Profesional Gestión Social</t>
  </si>
  <si>
    <t>Ingenieros Auxiliares</t>
  </si>
  <si>
    <t>PERSONAL TECNICO Y ADMINISTRATIVO</t>
  </si>
  <si>
    <t>Contador</t>
  </si>
  <si>
    <t>Inspectores</t>
  </si>
  <si>
    <t>Mensajero</t>
  </si>
  <si>
    <t>Conductor</t>
  </si>
  <si>
    <t>Secretaria</t>
  </si>
  <si>
    <t>Sub-Total Costos Directos</t>
  </si>
  <si>
    <t xml:space="preserve">Factor Multiplicador </t>
  </si>
  <si>
    <t>Utilización Mensual</t>
  </si>
  <si>
    <t>Duración Mes</t>
  </si>
  <si>
    <t>Tiempo Total Utilizacion</t>
  </si>
  <si>
    <t>Costos Indirectos</t>
  </si>
  <si>
    <t>Comisión topográfica (Incluye Personal, Equipos y Transporte)</t>
  </si>
  <si>
    <t>Estudios de Suelos (Incluye Equipos y Personal, ensayos de Laboratorio, informe y transportes )</t>
  </si>
  <si>
    <t>Ensayos de laboratorio</t>
  </si>
  <si>
    <t>Combustibles</t>
  </si>
  <si>
    <t>Comunicaciones</t>
  </si>
  <si>
    <t>Equipo de topografía</t>
  </si>
  <si>
    <t>Camionetas</t>
  </si>
  <si>
    <t>Dotacion equipos para oficina</t>
  </si>
  <si>
    <t>Gl</t>
  </si>
  <si>
    <t>Edición de Informes (Mensuales y final, incluye ploteo de planchas original en papel de seguridad y archivos magnéticos)</t>
  </si>
  <si>
    <t>SUB-TOTAL COSTOS ESTUDIOS</t>
  </si>
  <si>
    <t>I.V.A.</t>
  </si>
  <si>
    <t>TOTAL INTERVENTORÍA</t>
  </si>
  <si>
    <t>SUBTOTAL</t>
  </si>
  <si>
    <t>PSME 90 MM</t>
  </si>
  <si>
    <t>DESCRIPCION</t>
  </si>
  <si>
    <t>m3</t>
  </si>
  <si>
    <t>gl</t>
  </si>
  <si>
    <t>MANO DE OBRA</t>
  </si>
  <si>
    <t>TRANSPORTE</t>
  </si>
  <si>
    <t>COSTO DIRECTO</t>
  </si>
  <si>
    <t>COSTO TOTAL</t>
  </si>
  <si>
    <t>VALOR UNITARIO</t>
  </si>
  <si>
    <t>Pintura Epoxica</t>
  </si>
  <si>
    <t>JGO</t>
  </si>
  <si>
    <t>Ml</t>
  </si>
  <si>
    <t>ANALISIS DE PRECIOS UNITARIOS</t>
  </si>
  <si>
    <t>I. MATERIALES</t>
  </si>
  <si>
    <t>Descripción</t>
  </si>
  <si>
    <t>Unidad</t>
  </si>
  <si>
    <t>V. Unitario</t>
  </si>
  <si>
    <t>Cantidad</t>
  </si>
  <si>
    <t>Desperdicio</t>
  </si>
  <si>
    <t>Valor Parcial</t>
  </si>
  <si>
    <t>Liston de Madera de 2"x 2" x 3 mts</t>
  </si>
  <si>
    <t xml:space="preserve">Puntillas de Hierro </t>
  </si>
  <si>
    <t>Lb</t>
  </si>
  <si>
    <t>Tablas de Madera Cativo</t>
  </si>
  <si>
    <t>II. EQUIPOS</t>
  </si>
  <si>
    <t>Tarifa/Hora</t>
  </si>
  <si>
    <t>Rendimiento</t>
  </si>
  <si>
    <t>Equipos de Topografica</t>
  </si>
  <si>
    <t>Herramientas menores</t>
  </si>
  <si>
    <t>III. MANO DE OBRA</t>
  </si>
  <si>
    <t>Cant.</t>
  </si>
  <si>
    <t>Honorarios</t>
  </si>
  <si>
    <t>Honorarios + 70% Prestaciones</t>
  </si>
  <si>
    <t xml:space="preserve">Cuadrilla Especializada </t>
  </si>
  <si>
    <t>IV. TRANSPORTE</t>
  </si>
  <si>
    <t xml:space="preserve"> </t>
  </si>
  <si>
    <t>Tarifa/Día</t>
  </si>
  <si>
    <t>Volumen/Rdto</t>
  </si>
  <si>
    <t>Distancia (Km)</t>
  </si>
  <si>
    <t>C. DIRECTO</t>
  </si>
  <si>
    <t>A.I.U.</t>
  </si>
  <si>
    <t>Liston de Madera de 3"x 2" x 3 mts</t>
  </si>
  <si>
    <t>Lona Verde de Cerramiento x 2,50</t>
  </si>
  <si>
    <t>mts</t>
  </si>
  <si>
    <t>Ayudantes</t>
  </si>
  <si>
    <t>Oficial</t>
  </si>
  <si>
    <t>Liston de Madera de 4"x 2" x 3 mts</t>
  </si>
  <si>
    <t>Teja Ondulada N° 6</t>
  </si>
  <si>
    <t>Lamina de zinc de 2.10 x 0.80</t>
  </si>
  <si>
    <t>Bisagra comun</t>
  </si>
  <si>
    <t>Portacandado</t>
  </si>
  <si>
    <t>Candado mediano</t>
  </si>
  <si>
    <t>Concreto de 2,500 psi Premezclado</t>
  </si>
  <si>
    <t>Amarres Para Teja</t>
  </si>
  <si>
    <t>Ganchos Para Teja</t>
  </si>
  <si>
    <t xml:space="preserve">Transporte </t>
  </si>
  <si>
    <t>Km/M3</t>
  </si>
  <si>
    <t>Pago Derecho de Botadero</t>
  </si>
  <si>
    <t xml:space="preserve">Retrocargador de Oruga </t>
  </si>
  <si>
    <t>Volqueta 15 M3</t>
  </si>
  <si>
    <t xml:space="preserve">Minicargador </t>
  </si>
  <si>
    <t>Retrocargador</t>
  </si>
  <si>
    <t>Agua</t>
  </si>
  <si>
    <t>Lt</t>
  </si>
  <si>
    <t xml:space="preserve">Compactador </t>
  </si>
  <si>
    <t xml:space="preserve">Tablero electrico de 24 Circuitos </t>
  </si>
  <si>
    <t>Breakers Bifasicos de 2x20</t>
  </si>
  <si>
    <t>Breakers Bifasicos de 2x40</t>
  </si>
  <si>
    <t>Breakers Bifasicos de 1x20</t>
  </si>
  <si>
    <t xml:space="preserve">Totalizador de 100 Amperios </t>
  </si>
  <si>
    <t>Acometida de 3N°4 + 4</t>
  </si>
  <si>
    <t>Electrobomba de 1 HP Con Sus Accesorios</t>
  </si>
  <si>
    <t>Tubo de Presion de 2"</t>
  </si>
  <si>
    <t>Soldadura liquida PVC x 1/4"</t>
  </si>
  <si>
    <t>Codo de Presion de 2" x 90°</t>
  </si>
  <si>
    <t>Codo de Presion de 2" x 45°</t>
  </si>
  <si>
    <t>Uniones de Presion de 2"</t>
  </si>
  <si>
    <t>Buje de Presion de 2" x 1"</t>
  </si>
  <si>
    <t>Tee de Presion de 2"</t>
  </si>
  <si>
    <t>Tubo de Presion de 1"</t>
  </si>
  <si>
    <t>Union de Presion de 1"</t>
  </si>
  <si>
    <t>Valvula pvc de 2"</t>
  </si>
  <si>
    <t>Codos de Presion de 1" x 90°</t>
  </si>
  <si>
    <t>Limpiador pvc x 1/4"</t>
  </si>
  <si>
    <t>Teflon Industrial</t>
  </si>
  <si>
    <t>Rollo</t>
  </si>
  <si>
    <t>Desmonte de Cubierta en Teja UPVC</t>
  </si>
  <si>
    <t>Discos Para Corte de Metal de 7"</t>
  </si>
  <si>
    <t>Equipo de Soldadura</t>
  </si>
  <si>
    <t xml:space="preserve">Equipo de Oxicorte </t>
  </si>
  <si>
    <t>Pulidora Electrica</t>
  </si>
  <si>
    <t>Concreto de 2,000 psi Premezclado</t>
  </si>
  <si>
    <t>Concreto de 4,000 psi Premezclado</t>
  </si>
  <si>
    <t xml:space="preserve">Vibrador Electrico </t>
  </si>
  <si>
    <t xml:space="preserve">Formaleta </t>
  </si>
  <si>
    <t>Concreto de 3,000 psi Premezclado</t>
  </si>
  <si>
    <t>Alambre Negro</t>
  </si>
  <si>
    <t>Autobomba</t>
  </si>
  <si>
    <t>Acero Estructural</t>
  </si>
  <si>
    <t>Soldadura West Arco 1/8 WTZ 18S</t>
  </si>
  <si>
    <t>Soldadura E-7018 1/8"</t>
  </si>
  <si>
    <t>Pintura de Esmalte</t>
  </si>
  <si>
    <t>GALON</t>
  </si>
  <si>
    <t>Anticorrosivo</t>
  </si>
  <si>
    <t>Lija</t>
  </si>
  <si>
    <t>Compresor</t>
  </si>
  <si>
    <t>Pistola de Aire</t>
  </si>
  <si>
    <t>Diferencial de 3 TON</t>
  </si>
  <si>
    <t>Andamio Tubular Fijo Seccion Incluye Crucetas</t>
  </si>
  <si>
    <t>Capataz de Soldadura</t>
  </si>
  <si>
    <t xml:space="preserve">Acero de Refuerzo </t>
  </si>
  <si>
    <t>Hojas de Segueta</t>
  </si>
  <si>
    <t>Gargolas en Concreto</t>
  </si>
  <si>
    <t>Mortero 1:4</t>
  </si>
  <si>
    <t>Cemento Gris</t>
  </si>
  <si>
    <t>Arena</t>
  </si>
  <si>
    <t>Aditivo de Adherencia - Sika 31</t>
  </si>
  <si>
    <t>Bloque Abuzardado de 0,15 x 0,20 x 0,40 Por una Cara</t>
  </si>
  <si>
    <t>Bloque Vibrado Esp.=0,12 mts</t>
  </si>
  <si>
    <t>Sika 1</t>
  </si>
  <si>
    <t>Aditivo Adherente de Sika</t>
  </si>
  <si>
    <t xml:space="preserve">Estuco Plastico Para Interiores </t>
  </si>
  <si>
    <t>CUÑETE</t>
  </si>
  <si>
    <t>Estuco Plastico Exteriores</t>
  </si>
  <si>
    <t>Pintura Koraza</t>
  </si>
  <si>
    <t>Pintura Epoxica Para Muros</t>
  </si>
  <si>
    <t>Brocha de 4"</t>
  </si>
  <si>
    <t>Rodillo de Felpa de 8"</t>
  </si>
  <si>
    <t>Cinta de Enmascarar de 1"</t>
  </si>
  <si>
    <t>Acido Nitrico</t>
  </si>
  <si>
    <t>Detergente Industrial</t>
  </si>
  <si>
    <t>Hidrolavadora</t>
  </si>
  <si>
    <t xml:space="preserve">Suministro e Instalacion de Cielo Raso en Lamina de PVC Incluye Estructura  </t>
  </si>
  <si>
    <t>Perfil Angulo Perimetral Para Cierre</t>
  </si>
  <si>
    <t>Tornillo Para Estructura</t>
  </si>
  <si>
    <t>Perfil Vigueta Para Cielo Raso</t>
  </si>
  <si>
    <t>Perfil Omega Para Cielo Raso</t>
  </si>
  <si>
    <t>Lamina de PVC</t>
  </si>
  <si>
    <t>Tornillo Para Panel</t>
  </si>
  <si>
    <t xml:space="preserve">Cinta Malla </t>
  </si>
  <si>
    <t>Lamina de Superboard</t>
  </si>
  <si>
    <t>Masilla</t>
  </si>
  <si>
    <t xml:space="preserve">Pintura </t>
  </si>
  <si>
    <t>Aluminio Dilatador</t>
  </si>
  <si>
    <t>Lamina de Eterboard de 10 mm</t>
  </si>
  <si>
    <t xml:space="preserve">Membrada PVC Sikaplan </t>
  </si>
  <si>
    <t>ROLLO</t>
  </si>
  <si>
    <t xml:space="preserve">Pintura Sellador </t>
  </si>
  <si>
    <t>Pintura Impermeabilizante Cubierta</t>
  </si>
  <si>
    <t>Reforzamiento Cubierta UPVC</t>
  </si>
  <si>
    <t>Impermeabilizante de Teja UPVC</t>
  </si>
  <si>
    <t>Teja UPVC 2 mm</t>
  </si>
  <si>
    <t>Tonillos Para Teja UPVC</t>
  </si>
  <si>
    <t>Taladro</t>
  </si>
  <si>
    <t>Cubierta en Teja Termoacustica Tipo Sandwich aislamiento en poliuretano de 25 mm</t>
  </si>
  <si>
    <t>Teja Termoacustica Tipo Sandwich aislamiento en poliuretano</t>
  </si>
  <si>
    <t>Tornillos Autoperforantes de 8/18" x 1/2" Hexagonal</t>
  </si>
  <si>
    <t>Fachaleta de concreto</t>
  </si>
  <si>
    <t>Fachaleta de Gres</t>
  </si>
  <si>
    <t>Piso en Mortero Epoxico (Base es un Mortero Seco de Altisima Viscosidad con resina epoxica y arena de cuarzo)</t>
  </si>
  <si>
    <t>Resina Epoxica</t>
  </si>
  <si>
    <t>Arena de Cuarzo</t>
  </si>
  <si>
    <t>Resello Epoxico</t>
  </si>
  <si>
    <t>Piso en Concreto de 21 Mpa Esp.=0,10 mts Incluye malla electrosoldada</t>
  </si>
  <si>
    <t>Malla Electrosoldada de 15 x 15 4,5 mm</t>
  </si>
  <si>
    <t>Piso en Baldosa de Granito</t>
  </si>
  <si>
    <t>Boquilla Para Piso en Baldosa</t>
  </si>
  <si>
    <t xml:space="preserve">Cera Para Pisos </t>
  </si>
  <si>
    <t xml:space="preserve">Maquina Para Pulir Piso </t>
  </si>
  <si>
    <t>Brilladora de Piso</t>
  </si>
  <si>
    <t>Suministro e Instalacion de enchape ceramico pared de 30 x 60 cm color Blanco</t>
  </si>
  <si>
    <t>Enchape Pared de 30 x 60 cms</t>
  </si>
  <si>
    <t>Pegante Para Ceramica</t>
  </si>
  <si>
    <t>Boquilla</t>
  </si>
  <si>
    <t>Enchape Color Escala de Grises</t>
  </si>
  <si>
    <t>Tubo de Presion de 1-1/2"</t>
  </si>
  <si>
    <t>Uniones de Presion de 1-1/2"</t>
  </si>
  <si>
    <t>Tubo de Presion de 1-1/4"</t>
  </si>
  <si>
    <t>Uniones de Presion de 1-1/4"</t>
  </si>
  <si>
    <t>Suministro e instalación de Tuberia PVC 1 "</t>
  </si>
  <si>
    <t>Uniones de Presion de 1"</t>
  </si>
  <si>
    <t>Suministro e instalación de Tuberia PVC 3/4"</t>
  </si>
  <si>
    <t>Tubo de Presion de 3/4"</t>
  </si>
  <si>
    <t>Uniones de Presion de 3/4"</t>
  </si>
  <si>
    <t>Tubo de Presion de 1/2"</t>
  </si>
  <si>
    <t>Uniones de Presion de 1/2"</t>
  </si>
  <si>
    <t>Valvula PVC de 1-1/2</t>
  </si>
  <si>
    <t>Registros en PVC de 6"</t>
  </si>
  <si>
    <t xml:space="preserve">Cemento Blanco </t>
  </si>
  <si>
    <t>Codo de Presion de 1/2" x 90° PVC</t>
  </si>
  <si>
    <t>Tee de Presion de 1/2" PVC</t>
  </si>
  <si>
    <t>Adatador Macho de 1/2" PVC Roscado</t>
  </si>
  <si>
    <t>Codo de Presion de 1-1/2" x 90° PVC</t>
  </si>
  <si>
    <t>Tee de Presion de 1-1/2" PVC</t>
  </si>
  <si>
    <t>Adatador Macho de 1-1/2" PVC Roscado</t>
  </si>
  <si>
    <t xml:space="preserve">Bomba Hidrostatica Manual </t>
  </si>
  <si>
    <t>Tubo Sanitario de 4" PVC</t>
  </si>
  <si>
    <t>Codo Sanitario de 4" x 90 CxC PVC</t>
  </si>
  <si>
    <t>Sifon Sanitario de 4" PVC</t>
  </si>
  <si>
    <t>Tubo Sanitario de 3" PVC</t>
  </si>
  <si>
    <t>Codo Sanitario de 3" x 90 CxC PVC</t>
  </si>
  <si>
    <t>Sifon Sanitario de 3" PVC</t>
  </si>
  <si>
    <t>Tubo Sanitario de 2" PVC</t>
  </si>
  <si>
    <t>Codo Sanitario de 2" x 90 CxC PVC</t>
  </si>
  <si>
    <t>Sifon Sanitario de 2" PVC</t>
  </si>
  <si>
    <t>Union Sanitaria de 2" PVC</t>
  </si>
  <si>
    <t>Union Sanitaria de 3" PVC</t>
  </si>
  <si>
    <t>Union Sanitaria de 4" PVC</t>
  </si>
  <si>
    <t>Suministro e instalacion de Tuberia PVC S Ø 6"</t>
  </si>
  <si>
    <t>Tubo Sanitario de 6" PVC</t>
  </si>
  <si>
    <t>Union Sanitaria de 6" PVC</t>
  </si>
  <si>
    <t>Registros en Ladrillo Rojo 1.0m x 1.0 m, tapa y fondo en concreto reforzado 3000 psi, incluye cañuela, prefundidad entre 0m y 1m</t>
  </si>
  <si>
    <t>Ladrillo Rojo Macizo</t>
  </si>
  <si>
    <t>Tubo EMT DE 1/2</t>
  </si>
  <si>
    <t xml:space="preserve">Perfileria en Aluminio </t>
  </si>
  <si>
    <t>Vidrio Templado Termoacustico</t>
  </si>
  <si>
    <t>Accesorios</t>
  </si>
  <si>
    <t>Tronzadora Industrial</t>
  </si>
  <si>
    <t>bisagras tipo pesada</t>
  </si>
  <si>
    <t>Cerradura de Alto Trafico</t>
  </si>
  <si>
    <t>Tornillo con su chazo</t>
  </si>
  <si>
    <t>Lamina Compactada (Modumex)</t>
  </si>
  <si>
    <t>Marco en lamina galvanizada de 2 x 1,20 mts pintado con pintura electrostatica</t>
  </si>
  <si>
    <t>Marco en lamina galvanizada de 2 x 2 mts pintado con pintura electrostatica</t>
  </si>
  <si>
    <t>Cerradura de Alto Trafico Para Doble Hoja</t>
  </si>
  <si>
    <t>Pivote Para Baiben de Hojas</t>
  </si>
  <si>
    <t xml:space="preserve">Antioxido </t>
  </si>
  <si>
    <t>Baranda pasamanos en tuberia galvanizada altura 1.20 pintada con pintura electrostatica</t>
  </si>
  <si>
    <t xml:space="preserve">Tubo Galvanizado de 2" </t>
  </si>
  <si>
    <t xml:space="preserve">Tubo Galvanizado de 1-1/2" </t>
  </si>
  <si>
    <t xml:space="preserve">Angulos de Hierro de 1-1/2" X 1" </t>
  </si>
  <si>
    <t>Platina de 1/4 x 3/16</t>
  </si>
  <si>
    <t>Malla Eslabonada Plastificada</t>
  </si>
  <si>
    <t>Concertina 8 Mts Maximo, Diametro= 45 cms, Maximo 54 Circulos</t>
  </si>
  <si>
    <t>Acero de Fijacion</t>
  </si>
  <si>
    <t>Kg</t>
  </si>
  <si>
    <t>Perfil de 3" x 1-1/2"</t>
  </si>
  <si>
    <t>Rinse No Abrasivo</t>
  </si>
  <si>
    <t xml:space="preserve">Suministro de Andamio Descolgado Electrico o Similar Para Equipo de Trabajo en Alturas Certificado </t>
  </si>
  <si>
    <t xml:space="preserve">Andamio descolgado electrico </t>
  </si>
  <si>
    <t>Hoja de Puerta Rejilla en Celosia con sistema 7038 monumental o similar de 2 x 1 mts pintada con pintura electrostatica</t>
  </si>
  <si>
    <t>Marco en lamina galvanizada de 2 x 1 mts pintado con pintura electrostatica</t>
  </si>
  <si>
    <t>Divisiones en Acero Inoxidable</t>
  </si>
  <si>
    <t>Angulo Metalico Corta Gotera</t>
  </si>
  <si>
    <t>Lavamanos</t>
  </si>
  <si>
    <t xml:space="preserve">Push Para Lavamanos </t>
  </si>
  <si>
    <t xml:space="preserve">Manguera Para Lavamanos </t>
  </si>
  <si>
    <t>Sanitario Antivandalico</t>
  </si>
  <si>
    <t>Fluxometro</t>
  </si>
  <si>
    <t>Suministro e Instalacion de Orinal Antivandalico Incluye Fluxometro</t>
  </si>
  <si>
    <t>Orinal Antivandalico</t>
  </si>
  <si>
    <t xml:space="preserve">Dispensador circular de papel higuienico </t>
  </si>
  <si>
    <t>Juego de Ducha Sencilla Completa</t>
  </si>
  <si>
    <t>Barra de Seguridad en Acero Inoxidable Satinado de 1-1/4", Largo=18"</t>
  </si>
  <si>
    <t>Espejo Biselado de 3 mm</t>
  </si>
  <si>
    <t xml:space="preserve">Meson en Grano Nº 1 (1/4-1/8") Incluye nariz y salpicadero. </t>
  </si>
  <si>
    <t>Estructura Metalica Para Apoyo Meson</t>
  </si>
  <si>
    <t>Rejilla Metalica de 4" x 3"</t>
  </si>
  <si>
    <t>Cabina y Bastidores</t>
  </si>
  <si>
    <t>Motores</t>
  </si>
  <si>
    <t>Control y Botoneras</t>
  </si>
  <si>
    <t>Rieles, anclajes, suspensiones</t>
  </si>
  <si>
    <t>Rescate Automatico y equipos</t>
  </si>
  <si>
    <t>Barniz</t>
  </si>
  <si>
    <t>Tuberia de Filtro de 4" Perforada</t>
  </si>
  <si>
    <t>Geotextil T2100</t>
  </si>
  <si>
    <t>Garava de 3/4" a 1"</t>
  </si>
  <si>
    <t>Subbase Granular</t>
  </si>
  <si>
    <t>Emulsion Asfaltica CRL - 1</t>
  </si>
  <si>
    <t>LT</t>
  </si>
  <si>
    <t xml:space="preserve">Cesped Sintetico de 55 mm </t>
  </si>
  <si>
    <t>Arena de Silice</t>
  </si>
  <si>
    <t>Caucho</t>
  </si>
  <si>
    <t>Shock Pad</t>
  </si>
  <si>
    <t>Suministro de Marco Para Cancha De Futbol En Tubería Galvanizada Acabada Con Anticorrosivo Y Pintura De Esmalte, Incluye Malla Para Porterias</t>
  </si>
  <si>
    <t>Equipo de Sand Blasting SP5</t>
  </si>
  <si>
    <t>Imprimante de Fosfato de Zinc Sika</t>
  </si>
  <si>
    <t>Pintura Barrera</t>
  </si>
  <si>
    <t>Sigmavover 350</t>
  </si>
  <si>
    <t>Disolvente Epoxico</t>
  </si>
  <si>
    <t>Tuberia de Proceso de 8"</t>
  </si>
  <si>
    <t>Tuberia de Proceso de 10"</t>
  </si>
  <si>
    <t>Codos de Proceso de 8" x 90°</t>
  </si>
  <si>
    <t>Suministro e Instalacion de Flanges de  Proceso de 8" x 150°</t>
  </si>
  <si>
    <t>Codos de Proceso de 8" x 150°</t>
  </si>
  <si>
    <t xml:space="preserve">Suministro e Instalacion de Valvulas de Proceso de 8" </t>
  </si>
  <si>
    <t>Valvulas de Proceso de 8"</t>
  </si>
  <si>
    <t xml:space="preserve">Suministro e Instalacion de Cheque de Proceso de 8" </t>
  </si>
  <si>
    <t>Cheque de Proceso de 8"</t>
  </si>
  <si>
    <t xml:space="preserve">Suministro e Instalacion de Flanges de Proceso de 10" x 150 </t>
  </si>
  <si>
    <t xml:space="preserve">Flanges de Proceso de 10" x 150 </t>
  </si>
  <si>
    <t>Gabinete Principal de Cuarto de Bombas</t>
  </si>
  <si>
    <t>Mantenimiento de Bandeja Galvanizada Cuarto Bombas, Incluye Ajuste de esta, soportes y Cambio de Tramos Averiados</t>
  </si>
  <si>
    <t>Tubo EMT DE 1-1/2</t>
  </si>
  <si>
    <t>Acessorios EMT 1-1/2"</t>
  </si>
  <si>
    <t>Mezcla Densa en Caliente</t>
  </si>
  <si>
    <t xml:space="preserve">Compactador Neumatico </t>
  </si>
  <si>
    <t xml:space="preserve">Carrotanque </t>
  </si>
  <si>
    <t xml:space="preserve">Cargador </t>
  </si>
  <si>
    <t>Terminadora de Asfalto</t>
  </si>
  <si>
    <t>Recubrimiento Para Pista Atletica de 14 mm</t>
  </si>
  <si>
    <t>Cable S/FTP CAT 6A</t>
  </si>
  <si>
    <t>Libro Etiqueta de 190 Datos</t>
  </si>
  <si>
    <t>Toma Jack RJ 45-110 CAT 6A</t>
  </si>
  <si>
    <t xml:space="preserve">Wall Plate Ajsute Sencillo </t>
  </si>
  <si>
    <t>Tuberia Conduit de 1/2"</t>
  </si>
  <si>
    <t>Adaptador de 1/2" PAVCO</t>
  </si>
  <si>
    <t>Alambre de Cobre THW 10 AWG</t>
  </si>
  <si>
    <t>Tuberia Conduit de 3/4"</t>
  </si>
  <si>
    <t>Caja 2400 C20</t>
  </si>
  <si>
    <t>Suplemento de 1/4 Galvanizada</t>
  </si>
  <si>
    <t>Tornillo Cilindro Lamina Polo 3/8</t>
  </si>
  <si>
    <t xml:space="preserve">Marquilla de Identificacion </t>
  </si>
  <si>
    <t>Amarre Plastico X Paquete de 100 Unidades</t>
  </si>
  <si>
    <t xml:space="preserve">Cable UTP Nivel 6A </t>
  </si>
  <si>
    <t>rollo</t>
  </si>
  <si>
    <t>Toma Jack RJ 35-110 CAT 6A</t>
  </si>
  <si>
    <t xml:space="preserve">Face Plate </t>
  </si>
  <si>
    <t>Cerificacion de Punto de Red</t>
  </si>
  <si>
    <t>Patch Cord (2 mts)</t>
  </si>
  <si>
    <t>Patch Cord (1 mts)</t>
  </si>
  <si>
    <t>Patch Panel CAT 6A 48 Puertos</t>
  </si>
  <si>
    <t>Patch Panel CAT 6A 24 Puertos</t>
  </si>
  <si>
    <t>Gabinete Piso 34U</t>
  </si>
  <si>
    <t>Gabinete Piso 16U</t>
  </si>
  <si>
    <t>Gabinete 42U</t>
  </si>
  <si>
    <t>Organizador de Alta Densidad</t>
  </si>
  <si>
    <t>Fibra Optica Multimodo OM4 12 H</t>
  </si>
  <si>
    <t>Fibra Optica Multimodo OM4 24 H</t>
  </si>
  <si>
    <t>Bandeja de Fibra Optica de 4 a 6H</t>
  </si>
  <si>
    <t>Bandeja de Fibra Optica de 72H</t>
  </si>
  <si>
    <t>Fibra Optica Fusionado</t>
  </si>
  <si>
    <t xml:space="preserve">Certificado de Hilo de Fibra Optica </t>
  </si>
  <si>
    <t xml:space="preserve">Suministro e Instalacion de Patchcord Duplex de Fibra Optica LC - LC 2 mts OM4 </t>
  </si>
  <si>
    <t xml:space="preserve">Patchcord Duplex de Fibra Optica LC - LC 2 mts OM4 </t>
  </si>
  <si>
    <t xml:space="preserve">Suminsitro e Instalacion de Barraje PBB (TMGB)  </t>
  </si>
  <si>
    <t xml:space="preserve">Barraje PBB (TMGB)  </t>
  </si>
  <si>
    <t xml:space="preserve">Suminsitro e Instalacion de Barraje SBB (TGB)  </t>
  </si>
  <si>
    <t xml:space="preserve">Barraje SBB (TGB) </t>
  </si>
  <si>
    <t xml:space="preserve">Suministro e Instalacion de Grounding bus # 6 (Conexión entre TMGB Y TGB) </t>
  </si>
  <si>
    <t>Grounding bus # 6</t>
  </si>
  <si>
    <t>Switch de 24 Puertos PoE, 4SFP, Stacking port. Layer 3</t>
  </si>
  <si>
    <t>Switch de 24 Puertos  SFP (combo) + 24 Puertos 10/100/1000T (combo)</t>
  </si>
  <si>
    <t>Modulo SFP MM 1G</t>
  </si>
  <si>
    <t xml:space="preserve">Controladora de Acces Point </t>
  </si>
  <si>
    <t xml:space="preserve">Suministro e Instalacion Acces Point </t>
  </si>
  <si>
    <t xml:space="preserve">Acces Point </t>
  </si>
  <si>
    <t>Camara IP Mini Domo</t>
  </si>
  <si>
    <t>Sistema de Almacenamiento de Video</t>
  </si>
  <si>
    <t>Suministro e Instalacion de Estacion de Trabajo (CCTV)</t>
  </si>
  <si>
    <t>Estacion de Trabajo</t>
  </si>
  <si>
    <t xml:space="preserve">Suministro e Instalacion de Software administracion sistema de control de acceso </t>
  </si>
  <si>
    <t xml:space="preserve">Software administracion sistema de control de acceso </t>
  </si>
  <si>
    <t xml:space="preserve">Suministro e Instalacion de Controladora de Acceso </t>
  </si>
  <si>
    <t>Controladora de Acceso</t>
  </si>
  <si>
    <t xml:space="preserve">Suministro e Instalacion de Lectora de Tarjetas  </t>
  </si>
  <si>
    <t xml:space="preserve">Lectora de Tarjetas </t>
  </si>
  <si>
    <t>Tarjetas Sin Contacto</t>
  </si>
  <si>
    <t xml:space="preserve">Suministro e Instalacion de Cable Multifiliar </t>
  </si>
  <si>
    <t xml:space="preserve">Cable Multifiliar </t>
  </si>
  <si>
    <t>Torniquete de Acceso Sencillo Bidireccional Alto</t>
  </si>
  <si>
    <t>Suministro e Instalacion de Estacion de Trabajo (ACCESO)</t>
  </si>
  <si>
    <t>Puerta Para Discapacitados</t>
  </si>
  <si>
    <t xml:space="preserve">Elecroiman de 300 Lb </t>
  </si>
  <si>
    <t>Boton de Salida no Touch</t>
  </si>
  <si>
    <t>Lavamanos con pedal Integrado Incluye Dispensador de Jabon Antivandalico</t>
  </si>
  <si>
    <t>Tubo Conduit PVC DE 3"</t>
  </si>
  <si>
    <t>Ayudantes Electrico</t>
  </si>
  <si>
    <t>Oficial Electrico</t>
  </si>
  <si>
    <t>Barraje Principal de 500 A</t>
  </si>
  <si>
    <t>Barraje Secundario de 220 A</t>
  </si>
  <si>
    <t>Barraje Neutro</t>
  </si>
  <si>
    <t>Barraje Tierra</t>
  </si>
  <si>
    <t>Totalizadores de 3 x 250A</t>
  </si>
  <si>
    <t>Totalizadores de 3 x 75A</t>
  </si>
  <si>
    <t>Totalizadores de 3 x 125A</t>
  </si>
  <si>
    <t>Totalizadores de 2 x 20A</t>
  </si>
  <si>
    <t>Totalizadores de 1 x 20A</t>
  </si>
  <si>
    <t xml:space="preserve">Protecciòn contra transitrios 277/208 40kA 4 polos+tierra </t>
  </si>
  <si>
    <t>Cerradura De Seguridad Doble Vuelta</t>
  </si>
  <si>
    <t>Peines electricos</t>
  </si>
  <si>
    <t>Etiquetas autoadesivas</t>
  </si>
  <si>
    <t>Cinta aislante</t>
  </si>
  <si>
    <t>Impresión de planos-diagramas</t>
  </si>
  <si>
    <t>Computador</t>
  </si>
  <si>
    <t>Arriendo Licencia Autocad</t>
  </si>
  <si>
    <t>Licencia de office</t>
  </si>
  <si>
    <t xml:space="preserve">Ingeniero </t>
  </si>
  <si>
    <t>Auxiliar de Ingenieria</t>
  </si>
  <si>
    <t>Conector EMT de 1/2"</t>
  </si>
  <si>
    <t>Curva EMT de 1/2"</t>
  </si>
  <si>
    <t xml:space="preserve">Alambre de Cobre # 12 AWN </t>
  </si>
  <si>
    <t>Caja Octogonal C20</t>
  </si>
  <si>
    <t>Cable Encauchetado</t>
  </si>
  <si>
    <t>Cable Encauchetado 3 x 10</t>
  </si>
  <si>
    <t>Interruptor Automatico Enchufable de 3 x 20 x 30 Amp.</t>
  </si>
  <si>
    <t>Interruptor Automatico Enchufable de 2 x 20 x 30 Amp.</t>
  </si>
  <si>
    <t>Interruptor Automatico Enchufable de 1 x 15 x 30 Amp.</t>
  </si>
  <si>
    <t>Interruptor</t>
  </si>
  <si>
    <t>Poste de Hormigon Pretensado de 14MT-510 KG-F, Para la Cancha</t>
  </si>
  <si>
    <t xml:space="preserve">Varrilla de Cobre 5/8" x 2,40 </t>
  </si>
  <si>
    <t>Soldadura Exotermica Cable</t>
  </si>
  <si>
    <t>Cable Desnudo # 2</t>
  </si>
  <si>
    <t xml:space="preserve">Minerales </t>
  </si>
  <si>
    <t>Tomacorriente 110 V</t>
  </si>
  <si>
    <t>Tomacorriente 110 V Tipo Intemperie</t>
  </si>
  <si>
    <t>Bandeja en Fibra de Vidrio de 0,84 x 0,83 Fabricados Por 2 Telas</t>
  </si>
  <si>
    <t>Accesorios de Montaje</t>
  </si>
  <si>
    <t>Perilla de Maniobras Seccionador MT</t>
  </si>
  <si>
    <t>Terminales premoldeadas tipo exterior</t>
  </si>
  <si>
    <t xml:space="preserve">Mantenimiento de Estructura Portante de Techo Acceso en Madera, Incluye Limpieza, Lijado y Barnizado 2 Manos </t>
  </si>
  <si>
    <t>18.1</t>
  </si>
  <si>
    <t>18.2</t>
  </si>
  <si>
    <t>18.3</t>
  </si>
  <si>
    <t>A</t>
  </si>
  <si>
    <t>Transporte de materiales procedente de la excavación y disposición en escombrera aprobada por entidad ambiental</t>
  </si>
  <si>
    <t>Subbase Granular Esp.=0,15 mts</t>
  </si>
  <si>
    <t xml:space="preserve">Mezcla Densa en Caliente tipo MDC-25, Incluye transporte, extendida y compactada del material, e=6 cms </t>
  </si>
  <si>
    <t>Montaje de equipos nuevos según especificaciones (A)</t>
  </si>
  <si>
    <t>PLACA DE CONTRAPISO CONCRERTO 3500PSI,, ESP 15CMS ACERO TEMPERATURA</t>
  </si>
  <si>
    <t>TANQUE CILINDRICO HORIZONTAL EN PLOIETILENO LINEAL REFORZADO, CAPACIDAD 10,000 LÑITROS , ESCOTILLA DE INSPECCION SUPERIOR.</t>
  </si>
  <si>
    <t xml:space="preserve">VALVULA BOLA A.INOX. DE 4"X150L FLG T. 304 </t>
  </si>
  <si>
    <t>TUBERIA C-900 4" ACOPLE MECANICO PARA COND AGUA POTABLE</t>
  </si>
  <si>
    <t>ACCESORIO TUBERIA 4"- C-900 DE ACOPLE MECANICO</t>
  </si>
  <si>
    <t>Cableado de señal desde 2 bloques hasta cuarto de control principal en cable encauchetado 2x14. Este cable llegara subterráneo dentro de tubería pvc para su protección. Sera instalado en una zanja no menor a 30cm de profundidad. Incluye cable, tubería y mano de obra.</t>
  </si>
  <si>
    <t>SUMINISTRO E INSTALACION DE ACOMETIDA BOMBA 10 HP 3F(ELECTRICO)</t>
  </si>
  <si>
    <t>SUMINISTRO E INSTALACION DE TUBERIA BOMBA 10 HP(ELECTRICO)</t>
  </si>
  <si>
    <t>SUMINISTRO E INSTALACION DE CORAZA LT PARA BOMBAS 10 HP</t>
  </si>
  <si>
    <t>SUMINISTRO E INSTALACION DE PROTECCIONES ASOCIADAS AL SISTEMA 10 HP</t>
  </si>
  <si>
    <t>SUMINISTRO E INSTALACION DE ACOMETIDA BOMBA 7,5 hp 3f (ELECTRICO)</t>
  </si>
  <si>
    <t>SUMINISTRO E INSTALACION DE TUBERIA BOMBA 7,5 HP (ELECTRICO)</t>
  </si>
  <si>
    <t>SUMINISTRO E INSTALACION DE CORAZA LT PARA BOMBAS 7,5 HP (ELECTRICO)</t>
  </si>
  <si>
    <t>SUMINISTRO E INSTALACION DE PROTECCIONES ASOCIADAS AL SISTEMA 7,5 HP (ELECTRICO)</t>
  </si>
  <si>
    <t>10.4.1.13</t>
  </si>
  <si>
    <t>10.4.1.14</t>
  </si>
  <si>
    <t>10.4.1.15</t>
  </si>
  <si>
    <t>Montaje de equipos nuevos según especificaciones (B)</t>
  </si>
  <si>
    <t>Prueba de presion cuando se realice la interconexión completa.</t>
  </si>
  <si>
    <t>Para el suministro de agua se suministra válvula flotadora en uno de los tanques, válvula red White y cheque pvc para su debido control.</t>
  </si>
  <si>
    <t>SUMINISTRO E INSTALACION DE ACOMETIDA BOMBA 3 HP 3F(ELECTRICO)</t>
  </si>
  <si>
    <t>SUMINISTRO E INSTALACION DE TUBERIA BOMBA 3 HP (ELECTRICO)</t>
  </si>
  <si>
    <t>SUMINISTRO E INSTALACION DE CORAZA LT PARA BOMBAS 3 HP (ELECTRICO)</t>
  </si>
  <si>
    <t>SUMINISTRO E INSTALACION DE PROTECCIONES ASOCIADAS AL SISTEMA 3 HP(ELECTRICO)</t>
  </si>
  <si>
    <t>SUMINISTRO E INSTALACION DE REGISTROS ELECTRICOS (ELECTRICO)</t>
  </si>
  <si>
    <t>10.4.2.9</t>
  </si>
  <si>
    <t>10.4.2.10</t>
  </si>
  <si>
    <t>10.4.2.11</t>
  </si>
  <si>
    <t>TANQUE 2 - TANQUE CRA 46 -EDIFICIO  A,B,C</t>
  </si>
  <si>
    <t>Montaje de equipos nuevos según especificaciones (C)</t>
  </si>
  <si>
    <t>SUMINISTRO E INSTALACION DE ACOMETIDA BOMBA 7,5 HP 3F</t>
  </si>
  <si>
    <t>SUMINISTRO E INSTALACION DE TUBERIA BOMBA 7,5 HP</t>
  </si>
  <si>
    <t>SUMINISTRO E INSTALACION DE CORAZA LT PARA</t>
  </si>
  <si>
    <t>SUMINISTRO E INSTALACION DE PROTECCIONES ASOCIADAS AL SISTEMA 7,5 HP</t>
  </si>
  <si>
    <t>10.4.3.6</t>
  </si>
  <si>
    <t>10.4.3.7</t>
  </si>
  <si>
    <t>10.4.3.8</t>
  </si>
  <si>
    <t>Montaje de equipos nuevos según especificaciones (I)</t>
  </si>
  <si>
    <t>SUMINISTRO E INSTALACION DE ACOMETIDA BOMBA 3 HP 3F</t>
  </si>
  <si>
    <t>SUMINISTRO E INSTALACION DE TUBERIA BOMBA 3 HP</t>
  </si>
  <si>
    <t>SUMINISTRO E INSTALACION DE CORAZA LT PARA BOMBAS 3 HP</t>
  </si>
  <si>
    <t>SUMINISTRO E INSTALACION DE PROTECCIONES ASOCIADAS AL SISTEMA 3 HP</t>
  </si>
  <si>
    <t>10.4.4.9</t>
  </si>
  <si>
    <t>10.4.4.10</t>
  </si>
  <si>
    <t>10.4.5.6</t>
  </si>
  <si>
    <t>10.4.5.7</t>
  </si>
  <si>
    <t>10.4.5.8</t>
  </si>
  <si>
    <t>10.4.5.9</t>
  </si>
  <si>
    <t>10.4.5.10</t>
  </si>
  <si>
    <t>Montaje de equipos nuevos según especificaciones (D)</t>
  </si>
  <si>
    <t>Picada y tratamiento, resane junta de niple pasamuro con productos sika o similares</t>
  </si>
  <si>
    <t>Tratamiento de juntas de pegas de nichos de reflectores con productos Sika o Similares</t>
  </si>
  <si>
    <t>Tratamiento y Mantenimiento de tornilleria, marcos, empaques y sellos de ventanas de vidrio transparente.</t>
  </si>
  <si>
    <t>Tratamiento de fisuras con productos Sika o Similares</t>
  </si>
  <si>
    <t>Impermeabilizacion muros y pisos capa de 3mm, con productos Sika o similares</t>
  </si>
  <si>
    <t>Enchape de ceramica formato 20cm x 20cm de Primera</t>
  </si>
  <si>
    <t>Retiro de lodos,limpieza y manejo del agua del tanque de compenzacion hidraulica.</t>
  </si>
  <si>
    <t>Chaflanes de 20cm piso-pared y pared-pared de concreto impermeable para tanque de compensacion.</t>
  </si>
  <si>
    <t>Pañete impermeable, productos Sika o Similares tanque de compensacion.</t>
  </si>
  <si>
    <t>Enchape de ceramica formato 20cm x 20cm de Primera para piso-pared del tanque de compensacion.</t>
  </si>
  <si>
    <t>Lavado fisicoquimico de piscina limpieza periodica y final de obra.</t>
  </si>
  <si>
    <t>Limpieza periodica y final de obra.</t>
  </si>
  <si>
    <t xml:space="preserve">Tratamiento de niples pasamuros con productos Sika o Similares  </t>
  </si>
  <si>
    <t>Soportes de concreto para soportes tuberias.</t>
  </si>
  <si>
    <t>17.20</t>
  </si>
  <si>
    <t>17.21</t>
  </si>
  <si>
    <t>17.22</t>
  </si>
  <si>
    <t>17.23</t>
  </si>
  <si>
    <t>17.24</t>
  </si>
  <si>
    <t>17.25</t>
  </si>
  <si>
    <t>17.26</t>
  </si>
  <si>
    <t>17.27</t>
  </si>
  <si>
    <t>17.28</t>
  </si>
  <si>
    <t>17.29</t>
  </si>
  <si>
    <t>17.30</t>
  </si>
  <si>
    <t>17.31</t>
  </si>
  <si>
    <t>Impermeabilizacion con Membrana PVC SIKAPLAN 12 NTR Para tanques subterraneos</t>
  </si>
  <si>
    <t>7.3</t>
  </si>
  <si>
    <t xml:space="preserve">Columna de Confinamiento En Concreto De 3000 Psi De 0.15 X 0.20 Metros, No Incluye Acero de Refuerzo </t>
  </si>
  <si>
    <t>Zapatas en Concreto premezclado de 28 Mpa (No inlcuye acero de refuerzo)</t>
  </si>
  <si>
    <t>Pedestales en Concreto premezclado de 28 Mpa de 0,70 x 0,70 x 1,35 (No inlcuye acero de refuerzo)</t>
  </si>
  <si>
    <t>Vigas de amarre en Concreto premezclado de 28 Mpa (No inlcuye acero de refuerzo)</t>
  </si>
  <si>
    <t>Vigas descolgadas de 0,45 x 0,45 y 0,20 x 0,45 en concreto premezclado de 28 Mpa (No inlcuye acero de refuerzo)</t>
  </si>
  <si>
    <t>Columnas de 0,50 x 0,50 en Concreto Premezclado de 28 Mpa (No inlcuye acero de refuerzo)</t>
  </si>
  <si>
    <t>Viga De Confinamiento En Concreto De 3000 Psi De 0.15 X 0.15 Metros, No Incluye Acero De Refuerzo</t>
  </si>
  <si>
    <t>Losa maciza de cubierta en concreto premezclado de 28 Mpa Esp.=0,15 mts (No inlcuye acero de refuerzo)</t>
  </si>
  <si>
    <t>Suministro e Instalacion de  Lavamanos Incluye Llave de Push y Griferia (anti-vandálica)</t>
  </si>
  <si>
    <t>ITEM 1,1</t>
  </si>
  <si>
    <t>Cable de CU N° 3/0 THHN Libre de halogenos</t>
  </si>
  <si>
    <t>Cable de CU N° 4/0 THHN Libre de halogenos</t>
  </si>
  <si>
    <t>Cable de CU N° 2 THHN Libre de halogenos</t>
  </si>
  <si>
    <t>Limpiador PVC 1/4</t>
  </si>
  <si>
    <t>MASILLA MASTIL</t>
  </si>
  <si>
    <t>BORNA TERMINAL BARRILL LARGO 3/0</t>
  </si>
  <si>
    <t>BORNA TERMINAL BARRILL LARGO 4/0</t>
  </si>
  <si>
    <t>CINTA AISLANTE SUPER 33</t>
  </si>
  <si>
    <t>RLL</t>
  </si>
  <si>
    <t>CINTA AISLANTE # 23</t>
  </si>
  <si>
    <t>CONCRETO 3000 CINTA DE SEGURIDAD + POLVO QUIMICO ROJO</t>
  </si>
  <si>
    <t>CAMARA ELECTRICA BAJA TENSION CS 275</t>
  </si>
  <si>
    <t>Kit de escavacion manual</t>
  </si>
  <si>
    <t>Auxiliar civil</t>
  </si>
  <si>
    <t>Oficial civil</t>
  </si>
  <si>
    <t>Aux siso</t>
  </si>
  <si>
    <t>Ing. Electricista</t>
  </si>
  <si>
    <t>Camion 250</t>
  </si>
  <si>
    <t>ITEM 1,2</t>
  </si>
  <si>
    <t>Cable de CU N° 4AWG THHN Libre de halogenos</t>
  </si>
  <si>
    <t>Cable de CU N° 8 AWG THHN Libre de halogenos</t>
  </si>
  <si>
    <t>AMARRAS PLASTICAS 15CM DEXON</t>
  </si>
  <si>
    <t>BORNA TERMINAL BARRILL LARGO 4 AWG</t>
  </si>
  <si>
    <t>BORNA TERMINAL BARRILL LARGO 8AWG</t>
  </si>
  <si>
    <t xml:space="preserve">CAMIONETA 4X4 </t>
  </si>
  <si>
    <t>ITEM 1,3</t>
  </si>
  <si>
    <t>Terminal de ojo 10 awg</t>
  </si>
  <si>
    <t>Tuberia PVC 3/4"</t>
  </si>
  <si>
    <t>CURVA PVC 3/4"</t>
  </si>
  <si>
    <t>CAJA 4X4 PVC</t>
  </si>
  <si>
    <t>Adaptador Terminal PVC 3/4"</t>
  </si>
  <si>
    <t>material de revoque y estuco para resanes</t>
  </si>
  <si>
    <t>m2</t>
  </si>
  <si>
    <t>Cable de CU N° 10 AWG THHN ibre de Halogenos</t>
  </si>
  <si>
    <t>Cable de CU N° 8 AWG THHN ibre de Halogenos</t>
  </si>
  <si>
    <t>CAJA DE PASO METALICA 15X15</t>
  </si>
  <si>
    <t>Cable de CU N° 6 AWG THHN ibre de Halogenos</t>
  </si>
  <si>
    <t>BORNA TERMINAL BARRILL LARGO 6AWG</t>
  </si>
  <si>
    <t>Material de revoque y estuco para resanes</t>
  </si>
  <si>
    <t>BORNA TERMINAL BARRILL LARGO AWG</t>
  </si>
  <si>
    <t xml:space="preserve">TABLERO ELECTRICO TRIFASICO 220V - 500A, 1,80X0,40X0,40 CERTIFICADO RETIE INCLUYE LOS SIGUIENTES EQUIPOS: </t>
  </si>
  <si>
    <t>TABLERO ELECTRICO BIFASICO PARA EMPOTAR O SOBRE PONER CON CHAPA Y SEGURO CERTIFICADO RETIE</t>
  </si>
  <si>
    <t>TABLERO ELECTRICO TRIFASICO CON ESPACIO PARA TOTALIZADOR CERTIFICADO RETIE</t>
  </si>
  <si>
    <t xml:space="preserve">Accesorios de fijacion y conexión </t>
  </si>
  <si>
    <t>glb</t>
  </si>
  <si>
    <t xml:space="preserve"> LUMINARIA LED *MATERIAL ALUMINIO
*TIPO DE LUZ // 6500K
*GRADO DE PROTECCION// IP20
*VOLTAJE// 85-220V
*MEDIDA// 8" 22CM DE CIRCUNFERENCIA
*TRAE BASE Y CHAZOS PARA INSTALAR
* VIDA UTIL/// 20.000HR</t>
  </si>
  <si>
    <t>LUMINARIA HERMETICA 2X32W LED IP 65 6000K - 110-277V</t>
  </si>
  <si>
    <t>ACCESORIOS DE CONEXIÓN</t>
  </si>
  <si>
    <t>Luminaria led de colgar 100w-100-277v – 14000 lúmenes fp:0.95, lm/w=150, IRC &gt;70, Vida Útil 50.000</t>
  </si>
  <si>
    <t>Guaya 1/4 acero inox</t>
  </si>
  <si>
    <t>Perros 3/8" acero inox 304</t>
  </si>
  <si>
    <t>Luminaria led lineal de empotrar 100w-100-277v – 14000 lúmenes fp:0.95, lm/w=150, IRC &gt;70, Vida Útil 50.000</t>
  </si>
  <si>
    <t>Andamios certificados 3 cuerpos</t>
  </si>
  <si>
    <t>Panel led   60x60 41W - 6000K  multivoltaje 120-277V</t>
  </si>
  <si>
    <t>Poste 7 mts fibra de vidrio o equivalente resistente al salitre y corrocion dobre brazo</t>
  </si>
  <si>
    <t>Protecciones AC-DC+ Cableado solar</t>
  </si>
  <si>
    <t>Conectores MC4</t>
  </si>
  <si>
    <t xml:space="preserve">Gabinete IP 66 METALICO </t>
  </si>
  <si>
    <t>lamparas exteriores Tamaño de la lámpara: L1400 * 540 * H44mm Battary12.6V, 80AH LED: SMD3030,192PCS Altura de instalación: 7-8m Tamaño del agujero: 60mm-100mm  . Incluyen sensores inteligentes o fotoceldas,Panel solar: 18V / 150W integrado y brazo de 1.5ml</t>
  </si>
  <si>
    <t xml:space="preserve">Reflector HID Metal Halladi 2000W - 220V </t>
  </si>
  <si>
    <t>accesorios de fijacion (Herrajes Acerados)</t>
  </si>
  <si>
    <t>Carro canasta aislada</t>
  </si>
  <si>
    <t>Cruceta Metalica 2.4M</t>
  </si>
  <si>
    <t xml:space="preserve">Herrajes de Fijacion </t>
  </si>
  <si>
    <t>carro grua</t>
  </si>
  <si>
    <t>camion cama baja</t>
  </si>
  <si>
    <t>registro de inspeccion normalizado</t>
  </si>
  <si>
    <t>und</t>
  </si>
  <si>
    <t>Un Gateway de comunicaciones marca DATAKOM para integrar el medidor de energía a la red de la universidad vía la red wifi</t>
  </si>
  <si>
    <t>15 transformadores de corriente por cada tablero para configurar hasta 5 circuitos trifásicos por tablero</t>
  </si>
  <si>
    <t>Software de monitoreo de los medidores de energía</t>
  </si>
  <si>
    <t>Herramientas Aisladas 1000v</t>
  </si>
  <si>
    <t>Un medidor de energía con capacidad para medir hasta 10 canales trifásicos o 30 canales monofásicos con la misma unidad, esta unidad incorpora un analizador de redes para cada uno de los 10 canales permitiendo la evaluación de calidad de potencia en cada tablero.</t>
  </si>
  <si>
    <t>Suministro e instalacion de Medidores Electricos Para los Boques con capacidad para medir hasta 10 canales trifásicos o 30 canales monofásicos con la misma unidad, esta unidad incorpora un analizador de redes para cada uno de los 10 canales permitiendo la evaluación de calidad de potencia en cada tablero. (descripcion en el APU)</t>
  </si>
  <si>
    <t>tapas metalicas con marco1x1m</t>
  </si>
  <si>
    <t>Soldadura de Arco - electrodos</t>
  </si>
  <si>
    <t>kg</t>
  </si>
  <si>
    <t>pintura epoxica</t>
  </si>
  <si>
    <t>limpiador de contactos</t>
  </si>
  <si>
    <t>galon</t>
  </si>
  <si>
    <t>megguer certificado 10000V</t>
  </si>
  <si>
    <t>TTR Certificado y calibrado</t>
  </si>
  <si>
    <t>Camara infrarroja</t>
  </si>
  <si>
    <t>Frasco esteril 1000ML</t>
  </si>
  <si>
    <t>Compresor electrico</t>
  </si>
  <si>
    <t>Pistola neumatica de pintura</t>
  </si>
  <si>
    <t>celda de proteccion en media tension 25kv con fusibles DIN 23 metodo de extension de arco SF6</t>
  </si>
  <si>
    <t>fusibles HH  25A 15KV</t>
  </si>
  <si>
    <t>CARRO CANASTA AISLADA</t>
  </si>
  <si>
    <t>Terminal premoldeados 15kv tipo exterior (para uso interior en subestacio electrica pricipal y trasnformador de 1000kva)</t>
  </si>
  <si>
    <t>Suministro e Instalacion de terminales premoldeadas tipo codo (interior)</t>
  </si>
  <si>
    <t>ALCHOL ISOPROPILICO</t>
  </si>
  <si>
    <t>ESTOPAS</t>
  </si>
  <si>
    <t>TORNILLOS 3/8X1" TROPICALIZADO. TUERCA Y ARANDELAS</t>
  </si>
  <si>
    <t>FUSIBLE 25A HH DIN 23</t>
  </si>
  <si>
    <t>ASPIRADORA INDUTRIAL</t>
  </si>
  <si>
    <t>PERTIGA DE NEON 15KV</t>
  </si>
  <si>
    <t>PONCHADORA HIDRAULICA</t>
  </si>
  <si>
    <t>ITEM 5,2</t>
  </si>
  <si>
    <t xml:space="preserve">BARRA DE COBRE 400 AMPERIOS </t>
  </si>
  <si>
    <t>AISLADOR DE RESINA TIPO BARRAJE 800A</t>
  </si>
  <si>
    <t>TORNILLOS DE ACERO INOX 304 3/8X1"</t>
  </si>
  <si>
    <t>CABLE DE COBRE 2AWG DESNUDO</t>
  </si>
  <si>
    <t>CABLE DE COBRE 4AWG THHN VERDE</t>
  </si>
  <si>
    <t xml:space="preserve">BORNA TERMINAL 2 AWG </t>
  </si>
  <si>
    <t>Und</t>
  </si>
  <si>
    <t xml:space="preserve">Herramientas de presicion </t>
  </si>
  <si>
    <t>Herramientas de perforacion y corte</t>
  </si>
  <si>
    <t>Micro-ohmimetro</t>
  </si>
  <si>
    <t xml:space="preserve">
CONEXIONES PARA EQUIPOTENCIALIZACION DE EQUIPOS Y ESTRUCTURAS E SUBESTACIONES ELECTICAS TIPO EXTERIOR E INTERIOR 15KV
</t>
  </si>
  <si>
    <t xml:space="preserve">
CONEXIONES PARA EQUIPOTENCIALIZACION DE EQUIPOS Y ESTRUCTURAS E SUBESTACIONES ELECTICAS TIPO EXTERIOR E INTERIOR 15KV</t>
  </si>
  <si>
    <t>ITEM 5,3</t>
  </si>
  <si>
    <t>DPS 15KV TIPO CODO 15KV PARA TRAFO PEDESTAL</t>
  </si>
  <si>
    <t>CODO DOBLE DE INSERCCION 15KV</t>
  </si>
  <si>
    <t xml:space="preserve">
SUMINISTRO E INSTALACIÓN DPS 15KV EN CUBA DE TRANSFORMADOR TIPO PEDESTAL 
</t>
  </si>
  <si>
    <t>ITEM 5,4</t>
  </si>
  <si>
    <t>CORTACIRCUITO 15KV - 100A</t>
  </si>
  <si>
    <t>DPS POLIMERICO 15KV</t>
  </si>
  <si>
    <t>FUSIBLES TIPO EXPLUSION 5-15A</t>
  </si>
  <si>
    <t>CONECTOR AMOBIBLE 1/0-2AWG</t>
  </si>
  <si>
    <t>CONECTOR TIPO CUÑA 1/0-2AWG</t>
  </si>
  <si>
    <t>CARRO LAVADO</t>
  </si>
  <si>
    <t>CARRO CANASTA AISLADO</t>
  </si>
  <si>
    <t>ITEM 5,6</t>
  </si>
  <si>
    <t>LAMPARA DE EMERGENCIA LED 2W AUTONOMIA 4HORAS</t>
  </si>
  <si>
    <t xml:space="preserve">TUBERIA EMT 3/4 </t>
  </si>
  <si>
    <t xml:space="preserve">FIJADOR DE TUBO EMT 3/4 </t>
  </si>
  <si>
    <t>CONDULETA 3/4 EMT</t>
  </si>
  <si>
    <t>CABLE 12AWG HALOGENO</t>
  </si>
  <si>
    <t>BREAKER 1P 1X15A</t>
  </si>
  <si>
    <t>ESCALERA DE TIJERA 6 PELDAÑOS</t>
  </si>
  <si>
    <t>SUMINISTRO E INSTALACION LUMINARIA DE EMERGENCIA LED 2W INCLUYE TUBERIA EMT Y PROTECCION TERMOMAGNETICA</t>
  </si>
  <si>
    <t xml:space="preserve">MANTENIMIENTO ELÉCTRICO RED DE MEDIA TENSIÓN AÉREA TRIFÁSICA 15KV 
</t>
  </si>
  <si>
    <t xml:space="preserve">SUMINISTRO E INSTALACIÓN DPS 15KV EN CUBA DE TRANSFORMADOR TIPO PEDESTAL </t>
  </si>
  <si>
    <t xml:space="preserve">MANTENIMIENTO ELÉCTRICO RED DE MEDIA TENSIÓN AÉREA TRIFÁSICA 15KV </t>
  </si>
  <si>
    <t>Controlador OSDP y Wiegand 4 lectores, encriptación AES 256 embebida, Certificaciones UL294, UL 1076, FCC Part 15 Class A, EN 55022, EN 55024, EN 50130-4, EN 60950-1 EM/EMC y EL 2043, incluye fuente de alimentación supervisada 75W con cargador de baterías, enclosure con tamper y baterías.</t>
  </si>
  <si>
    <t>Lectores de proximidad OSDP/Wiegand, Mobile Bluetooh, SEOS.</t>
  </si>
  <si>
    <t>Tarjeta inteligente MIFARE Plus 2K, SEOS, imprimible ISO.</t>
  </si>
  <si>
    <t>Licenciamiento control de acceso con capacidad mínima para 64 lectores y 40.000 cardholders, integración con portal de credenciales móviles, SQL server standard procesador de 4 core, software de visitantes integrado.</t>
  </si>
  <si>
    <t>Servidor de control de acceso</t>
  </si>
  <si>
    <t>Enrolador de carnets conexión USB, lector RFID Mifare, Seos, incluye estación Pc de enrolamiento.</t>
  </si>
  <si>
    <t>Licencia de integración con Video Management System</t>
  </si>
  <si>
    <t>Licencia de integración con directorio activo de Windows.</t>
  </si>
  <si>
    <t>Integración con base de datos de admisiones</t>
  </si>
  <si>
    <t>Solución LPR, incluye cámara, licencia de reconocimiento de placas vehiculares, licencia de integración a control de acceso, servidor de procesamiento para toda la solución LPR.</t>
  </si>
  <si>
    <t>Pasillo motorizado central tipo ala de ángel, en acero inoxidable 316L, aletas en policarbonato macizo, incluye pictogramas de guiado y flujo con leds multicolor.</t>
  </si>
  <si>
    <t>Pasillo motorizado lateral tipo ala de ángel, en acero inoxidable 316L, aletas en policarbonato macizo, incluye pictogramas de guiado y flujo con leds multicolor.</t>
  </si>
  <si>
    <t>Puerta de discapacitados motorizada, cuerpo en acero inoxidable, apertura sin ningún tipo de contacto.</t>
  </si>
  <si>
    <t>Barrera vehicular electromecánica de uso muy intensvo tiempo de apertura 2 segundos, incluye luz semafórica integrada y asta redonda de 4 metros iluminada, accesorios de montaje, detector de campo magnético, bobina para loop, fotoceldas.</t>
  </si>
  <si>
    <t>Periféricos y Accesorios (botones cableados, inalámbricos)</t>
  </si>
  <si>
    <t>Mano de obra sistema de control de acceso, configuración, parametrización, integración, pruebas y puesta en funcionamiento con personal de ingeniería certificado.</t>
  </si>
  <si>
    <t>Cámara 2 Mpx IP66, IK10, alarma de detección de golpes, 120 dB WDR, H.265, lente 2.7-13.5mm, IR 40 metros, PoE, incluye memoria SD para grabación en borde.</t>
  </si>
  <si>
    <t>Licencias VMS Alto nivel de ciframiento y seguridad (HTTPS) de acceso a los usuarios web y mobile, encripción bidireccional, firma digital, función de mapas, integración con directorio activo, bookmarks, grabación en borde, aceleración de hardware en video decoding, Renovación periódica y automática de claves de las cámaras del sistema acorde con las políticas de ciber-Seguridad.</t>
  </si>
  <si>
    <t>Licencia de integración con control de acceso</t>
  </si>
  <si>
    <t>Estaciones de trabajo alto rendimiento control videowall</t>
  </si>
  <si>
    <t>Periféricos y Accesorios (cables HDMI)</t>
  </si>
  <si>
    <t>Mano de obra sistema CCTV IP</t>
  </si>
  <si>
    <t>SISTEMA CCTV IP.</t>
  </si>
  <si>
    <t>Sistema portable de medición de temperatura compuesto por trípode, cámara, blackbody, fuente, extensión, switch y sistema visualización local y remota.</t>
  </si>
  <si>
    <t>MEDICION DE TEMPERATURA PORTABLE.</t>
  </si>
  <si>
    <t>Salida de datos y potencia para cámaras garantizando grabación en borde en caso de pérdida de red, incluye tubería IMC, accesorios antivandálicos según diseño.</t>
  </si>
  <si>
    <t>Salida de datos para periféricos y controladoras incluye tubería IMC, accesorios antivandálicos según diseño.</t>
  </si>
  <si>
    <t>Interconexión en fibra óptica</t>
  </si>
  <si>
    <t>Switch core tipo A incluye módulos SFP, layer 3</t>
  </si>
  <si>
    <t>Obras Civiles para soportería de talanqueras y torniquetes.</t>
  </si>
  <si>
    <t>INFRAESTRUCTURA DE RED</t>
  </si>
  <si>
    <t>19.1</t>
  </si>
  <si>
    <t>19.2</t>
  </si>
  <si>
    <t>19.2.1</t>
  </si>
  <si>
    <t>19.3</t>
  </si>
  <si>
    <t>19.3.1</t>
  </si>
  <si>
    <t>19.3.2</t>
  </si>
  <si>
    <t>19.3.3</t>
  </si>
  <si>
    <t>19.3.4</t>
  </si>
  <si>
    <t>19.3.5</t>
  </si>
  <si>
    <t>19.3.6</t>
  </si>
  <si>
    <t>19.4</t>
  </si>
  <si>
    <t>19.4.1</t>
  </si>
  <si>
    <t>19.4.2</t>
  </si>
  <si>
    <t>19.4.3</t>
  </si>
  <si>
    <t>19.4.4</t>
  </si>
  <si>
    <t>19.4.5</t>
  </si>
  <si>
    <t>19.4.6</t>
  </si>
  <si>
    <t>19.4.7</t>
  </si>
  <si>
    <t>19.4.8</t>
  </si>
  <si>
    <t>19.4.9</t>
  </si>
  <si>
    <t>19.4.10</t>
  </si>
  <si>
    <t>19.4.11</t>
  </si>
  <si>
    <t>19.4.12</t>
  </si>
  <si>
    <t>19.4.13</t>
  </si>
  <si>
    <t>19.4.14</t>
  </si>
  <si>
    <t>19.4.15</t>
  </si>
  <si>
    <t>19.4.16</t>
  </si>
  <si>
    <t>21.2</t>
  </si>
  <si>
    <t>21.3.1</t>
  </si>
  <si>
    <t>21.3.2</t>
  </si>
  <si>
    <t>21.4</t>
  </si>
  <si>
    <t>21.4.1</t>
  </si>
  <si>
    <t>21.4.2</t>
  </si>
  <si>
    <t>21.4.3</t>
  </si>
  <si>
    <t>21.4.4</t>
  </si>
  <si>
    <t>21.5</t>
  </si>
  <si>
    <t>21.5.1</t>
  </si>
  <si>
    <t>21.5.2</t>
  </si>
  <si>
    <t>21.5.3</t>
  </si>
  <si>
    <t>21.5.4</t>
  </si>
  <si>
    <t>21.5.5</t>
  </si>
  <si>
    <t>21.5.6</t>
  </si>
  <si>
    <t>21.5.7</t>
  </si>
  <si>
    <t>21.5.8</t>
  </si>
  <si>
    <t>21.6</t>
  </si>
  <si>
    <t>21.6.1</t>
  </si>
  <si>
    <t>21.7.1</t>
  </si>
  <si>
    <t>21.7</t>
  </si>
  <si>
    <t>21.7.2</t>
  </si>
  <si>
    <t>21.8</t>
  </si>
  <si>
    <t>21.8.1</t>
  </si>
  <si>
    <t>21.8.2</t>
  </si>
  <si>
    <t>21.8.3</t>
  </si>
  <si>
    <t>21.9</t>
  </si>
  <si>
    <t>21.9.1</t>
  </si>
  <si>
    <t>21.9.2</t>
  </si>
  <si>
    <t>21.9.3</t>
  </si>
  <si>
    <t>21.9.4</t>
  </si>
  <si>
    <t>21.9.5</t>
  </si>
  <si>
    <t>21.9.6</t>
  </si>
  <si>
    <t>21.9.7</t>
  </si>
  <si>
    <t>21.9.8</t>
  </si>
  <si>
    <t>21.9.9</t>
  </si>
  <si>
    <t>21.9.10</t>
  </si>
  <si>
    <t>21.9.11</t>
  </si>
  <si>
    <t>21.9.12</t>
  </si>
  <si>
    <t xml:space="preserve">SALIDA ELECTRICA PARA SENSOR MULTITECNOLOGÍA DE PRESENCIA/VACANCIA. INCLUYE: 3M DE CABLE DE COBRE 1XN° 12AWG- 80°C 750 V PE HF FR LS CT, CAJA METÁLICA 12X12X5CM, SENSOR,  TUBERÍA, CONECTORES TIPO RESORTE, ELEMENTOS DE FIJACIÓN Y ACCESORIOS. </t>
  </si>
  <si>
    <r>
      <t>Suministro e Instalacion de Poste de Hormigon Pretensado de 14MT-510 KG-F, Para la Cancha con crucetas</t>
    </r>
    <r>
      <rPr>
        <sz val="12"/>
        <color rgb="FFFF0000"/>
        <rFont val="Arial"/>
        <family val="2"/>
      </rPr>
      <t xml:space="preserve"> (</t>
    </r>
  </si>
  <si>
    <t>Suministro e Instalacion Luminaria Tipo Reflector de 2000 W LED Para Escenarios Deportivos sobre cruceta</t>
  </si>
  <si>
    <t xml:space="preserve">Suministro e Instalacion de Luminaria LED 40W de 60 cms x 60 cms descolgada luz fria 6000k </t>
  </si>
  <si>
    <r>
      <t xml:space="preserve">Suministro e instalación de lampara lineal de 1,2m tipo LED DE EMPOTRAR 110-220V </t>
    </r>
    <r>
      <rPr>
        <sz val="12"/>
        <color rgb="FFFF0000"/>
        <rFont val="Arial"/>
        <family val="2"/>
      </rPr>
      <t xml:space="preserve"> </t>
    </r>
    <r>
      <rPr>
        <sz val="12"/>
        <color theme="1"/>
        <rFont val="Arial"/>
        <family val="2"/>
      </rPr>
      <t>conforme RETIE</t>
    </r>
    <r>
      <rPr>
        <sz val="12"/>
        <color rgb="FFFF0000"/>
        <rFont val="Arial"/>
        <family val="2"/>
      </rPr>
      <t xml:space="preserve"> </t>
    </r>
    <r>
      <rPr>
        <sz val="12"/>
        <color theme="1"/>
        <rFont val="Arial"/>
        <family val="2"/>
      </rPr>
      <t>uminaria led lineal de empotrar 100w-100-277v – 14000 lúmenes</t>
    </r>
  </si>
  <si>
    <t xml:space="preserve">Suministro e instalación de lampara colgante 220V Luminaria led de colgar 100w-100-277v – 14000 lúmenes </t>
  </si>
  <si>
    <t>Suministro e instalación de LUMINARIA HERMETICA 2X32W LED IP 65 6000K</t>
  </si>
  <si>
    <t>Suministro e instalación de luminaria tipo bala 26W 120V hermetica 6500k</t>
  </si>
  <si>
    <t xml:space="preserve">Suministro e instalación de salida  110V en tuberia EMT 1/2" y alambre3 nº 12 AWG (F-N-T). Incluye accesorios de fijación, conectores de resorte y derivación en cable encauchetado para alimentacion de luminaria. Altura de luminaria 2,5 - 3 mts libre de halogenos HF </t>
  </si>
  <si>
    <t xml:space="preserve">Suministro e instalación de salida para  220V en tuberia EMT 1/2" y alambre3 nº 12 AWG (F-N-T). F-F-T THHN/THWN LIBRE DE HALOGENOS HF cable encauchetado para alimentacion de la luminaria altura de instalacion 2,5-3 m </t>
  </si>
  <si>
    <t xml:space="preserve"> $                           -  </t>
  </si>
  <si>
    <t>Suministro e Instalacion de Puerta de 2 x 0,80 mts, incluye bisabra, marco en lamina hierro galvanizado, cerradura de seguridad doble vuelta para cuarto electricos</t>
  </si>
  <si>
    <t>Hoja de puerta entamborada en lamina galvanizada de 2 x 1 mts pintada con pintura electrostatica con rejilla pequeña</t>
  </si>
  <si>
    <r>
      <t>Suministro e Instalacion de DPS para Tableros Electricos Principales (</t>
    </r>
    <r>
      <rPr>
        <sz val="12"/>
        <color theme="1"/>
        <rFont val="Arial"/>
        <family val="2"/>
      </rPr>
      <t xml:space="preserve">Protecciòn contra transitrios 277/208 40kA 4 polos+tierra) </t>
    </r>
  </si>
  <si>
    <t xml:space="preserve">Suministro e Instalacion de Tablero regulado de 8 Circuitos bifasico con barra de neutro y de tierra, incluye puerta y chapa que cumpla con normativa RETIE </t>
  </si>
  <si>
    <t xml:space="preserve">Suministro e Instalacion de Tablero de 24 Circuitos trifasico con espacio para totalizador, con barra de neutro y de tierra, incluye puerta y chapa que cumpla con normativa RETIE  </t>
  </si>
  <si>
    <t xml:space="preserve">Suministro e Instalacion de Tablero General trifasico de 1,80 mts x 0,80 mts x 0,35 mts en Lamina; incluye barraje principal de 500 A, barraje secundario de 220 A, barraje de neutro y barra de tierra. Incluye frente muerto y los siguientes totalizadores: 1 de 3 x 250A ajustable, 1 de 3 x 75A, 2 de 3 x 125A, 6 de 2 x 20A y 3 de 1 x 20 A </t>
  </si>
  <si>
    <t>Cable de CU N° 4  AWG THHN ibre de Halogenos</t>
  </si>
  <si>
    <t>Suministro e instalacion Acometida Electrica en Tuberia PVC Conduit de 3/4", Cable # 4 (F-N-T) 3 Lineas</t>
  </si>
  <si>
    <t>Suministro e instalacion Acometida Electrica en Tuberia PVC Conduit de 3/4",  cable 1#6F+1#6N+1#6T en cable Cu THHN/THWN AWG LIBRE DE HALOGENOS) 3 Lineas</t>
  </si>
  <si>
    <t>Suministro e instalacion Acometida Acometida Electrica en Tuberia PVC Conduit de 3/4", 1#8F+1#8N+1#8T en cable Cu THHN/THWN AWG LIBRE DE HALOGENOS  3 Lineas</t>
  </si>
  <si>
    <t>Acometida Electrica en Tuberia PVC Conduit de 3/4", 1#10F+1#10N+1#10T en cable Cu THHN/THWN AWG LIBRE DE HALOGENOS 3 LineasLIBRE DE HALOGENOS</t>
  </si>
  <si>
    <t>Suministro e Instalacion de Cable 3N°8(F) + 1N°8 (N) + 1N°10 (T) THHN AWG, terminales, marquillas, conectores y demas LIBRE DE HALOGENOS</t>
  </si>
  <si>
    <r>
      <t>Suministro e Instalacion de Cable 3N°4(F) + 1N°4 (N) + 1N°8 (T) THHN AWG, terminales, marquillas, conectores y demas accesorios</t>
    </r>
    <r>
      <rPr>
        <sz val="12"/>
        <color rgb="FFFF0000"/>
        <rFont val="Arial"/>
        <family val="2"/>
      </rPr>
      <t xml:space="preserve">  </t>
    </r>
    <r>
      <rPr>
        <sz val="12"/>
        <rFont val="Arial"/>
        <family val="2"/>
      </rPr>
      <t>LIBRE DE HALOGENOS</t>
    </r>
  </si>
  <si>
    <t xml:space="preserve">Suministro e Instalacion de Acometida Principal desde Punto de Conexión Hasta el Tablero General TG; Incluye Cable de CU THHN 6N°3/0(F) + 1N°4/0(N) + 1N°2(T) en Ducto PVC de 3" LIBRE DE HALOGENOS.  </t>
  </si>
  <si>
    <t>Suministro e Instalacion de Puerta de 1x2 mts con rejilla, incluye bisabra, marco en lamina hierro galvanizado, cerradura de seguridad doble vuelta para cuarto electricos</t>
  </si>
  <si>
    <t>Minicargador con martillo</t>
  </si>
  <si>
    <t>Volqueta</t>
  </si>
  <si>
    <t>Retroexcavadora de llantas</t>
  </si>
  <si>
    <t>1.23</t>
  </si>
  <si>
    <t>Material pétreo para relleno</t>
  </si>
  <si>
    <t>Columnas de 0,50 x 0,50 en Concreto Premezclado de 28 Mpa - No incluye acero de refuerzo</t>
  </si>
  <si>
    <t>Vigas de amarre en Concreto premezclado de 28 Mpa  (No inlcuye acero de refuerzo)</t>
  </si>
  <si>
    <t>Pedestales en Concreto premezclado de 28 Mpa de 0,70 x 0,70 x 1,35  (No inlcuye acero de refuerzo)</t>
  </si>
  <si>
    <t>Zapatas en Concreto premezclado de 28 Mpa  (No inlcuye acero de refuerzo)</t>
  </si>
  <si>
    <t>Viga De Confinamiento En Concreto De 3000 Psi De 0.15 X 0.15 Metros, (No incluye Acero De Refuerzo )</t>
  </si>
  <si>
    <t>ALFAJIAS EN CONCRETO DE 0.20 X 0.08 (No incluye acero de refuerzo)</t>
  </si>
  <si>
    <t>Alfajias en Concreto de 3,000 psi, (No incluye Acero de Refuerzo)</t>
  </si>
  <si>
    <t>Levante De Muro En Bloque Abuzardado De 0.15 X 0.20 X 0.40 Metros Por una Cara, Reforzado Con Acero De 1/2", Incluye Relleno En Concreto De 2500 Psi Y Mortero De Pega 1:4 (No incluye acero de refuerzo)</t>
  </si>
  <si>
    <t>Suministro e Instalacion de Puertas Galvanizadas Para Aula con visor  1x2 m</t>
  </si>
  <si>
    <t>Suministro e Instalacion de Puertas Galvanizadas Doble Hoja Para Laboratorio con visor doble  2x2 m</t>
  </si>
  <si>
    <t>Transporte de materiales</t>
  </si>
  <si>
    <t>GB</t>
  </si>
  <si>
    <t>Desinstalacion e Instalacion de Nuevos Soportes de Tanques de Almacenamiento</t>
  </si>
  <si>
    <t xml:space="preserve">Mezcla Densa en Caliente tipo MDC-25, Incluye suministro, transporte, extendida y compactada del material, e=6 cms </t>
  </si>
  <si>
    <t xml:space="preserve">Retrocargador </t>
  </si>
  <si>
    <t>ITEM  PARA APU</t>
  </si>
  <si>
    <t xml:space="preserve">MATERIALES </t>
  </si>
  <si>
    <t>DESP</t>
  </si>
  <si>
    <t>VR. UNITARIO</t>
  </si>
  <si>
    <t>VR TOTAL</t>
  </si>
  <si>
    <t>CABLE #8 NO HALOGENADO</t>
  </si>
  <si>
    <t>CINTA DE COLORES</t>
  </si>
  <si>
    <t>MARQUILLA</t>
  </si>
  <si>
    <t/>
  </si>
  <si>
    <t>SUBTOTAL MATERIALES</t>
  </si>
  <si>
    <t>EQUIPO</t>
  </si>
  <si>
    <t>TARIFA/HORA</t>
  </si>
  <si>
    <t>RENDIMIENTO</t>
  </si>
  <si>
    <t>Herramienta Menor</t>
  </si>
  <si>
    <t>SUBTOTAL EQUIPOS</t>
  </si>
  <si>
    <t>JORNAL</t>
  </si>
  <si>
    <t>PRESTACIONES</t>
  </si>
  <si>
    <t>CUADRILLA ELECTRICA ESPECIALIZADA</t>
  </si>
  <si>
    <t>SUBTOTAL MANO DE OBRA</t>
  </si>
  <si>
    <t>VOL-PESO</t>
  </si>
  <si>
    <t>DISTANCIA</t>
  </si>
  <si>
    <t>TARIFA</t>
  </si>
  <si>
    <t>SUBTOTAL TRANSPORTE</t>
  </si>
  <si>
    <t>DESPE</t>
  </si>
  <si>
    <t>TUBERIA EMT 3/4"</t>
  </si>
  <si>
    <t>UNION EMT 3/4"</t>
  </si>
  <si>
    <t>SUMINISTRO CORAZA LT PARA BOMBAS 10 HP</t>
  </si>
  <si>
    <t>SUMINISTRO DE PROTECCIONES ASOCIADAS AL SISTEMA 10 HP</t>
  </si>
  <si>
    <t>SUMINISTRO CORAZA LT PARA BOMBAS 7,5 HP</t>
  </si>
  <si>
    <t>CABLE #10 NO HALOGENADO</t>
  </si>
  <si>
    <t>TUBERIA EMT 1/2"</t>
  </si>
  <si>
    <t>UNION EMT 1/2"</t>
  </si>
  <si>
    <t>SUMINISTRO DE CORAZA LT PARA BOMBAS 3 HP</t>
  </si>
  <si>
    <t>SUMINISTRO PROTECCIONES ASOCIADAS AL SISTEMA 3 HP</t>
  </si>
  <si>
    <t>SUMINISTRO E INSTALACION DE REGISTROS ELECTRICOS</t>
  </si>
  <si>
    <t>CUADRILLA CIVIL ESPECIALIZADA</t>
  </si>
  <si>
    <t>Motobomba Centrifuga llenado de tanque. 
Marca: PEDROLLO HYDROFRESH Motobomba: CP210A Succión: 1-1/2” NPT Descarga: 1” NPT Ejecución: Sello mecánico Temp. máx.: 60ºC Tipo: monoblock Potencia: 5.5 HP Tensión: 220/440 Vol. Velocidad: 3.500 RPM Fase(s): 3 PUNTO HIDRÁULICO Presión: 60/80 Psi Caudal: 74 Gpm Incluye: Una Motobomba, tanque con membrana Vertical de 300 Lts, Presostato, manómetro, tubería de interconexión bomba tanque y flotador eléctrico.</t>
  </si>
  <si>
    <t>Marca BARNES Modelo: 2020HHE-10-3 REF. 1E0532 Succión: 3” NPT Descarga: 3” NPT Ejecución: Sello mecánico Potencia: 10 HP Tensión: 220/440 V Velocidad: 3.500 RPM Fase(s):3 PUNTO HIDRAULICO Cabeza: 82 Mts Max. Caudal: 132 Gpm Max. Equipo HyG</t>
  </si>
  <si>
    <t>Tableros de control con arrancadores estrella triangulo para 2 motobombas de 10 Hp alternación automática con LOGO, trifásicas a 220 V. Marca SIEMENS Cod. 100093357 Equipo HyG</t>
  </si>
  <si>
    <t>CUADRILLA PLOMERIA ESPECIALIZADA</t>
  </si>
  <si>
    <t>GL</t>
  </si>
  <si>
    <t>EQUIPO DE PRESION CENTRO DE CONVENCIONES</t>
  </si>
  <si>
    <t>Marca: PEDROLLO HYDROFRESH Motobomba: CP210C Succión: 1-1/2” NPT Descarga: 1” NPT Ejecución: Sello mecánico Temp. máx.: 60ºC Tipo: monoblock Potencia: 3.0 HP Tensión: 220/440 Vol. Velocidad: 3.500 RPM Fase(s): 3 PUNTO HIDRÁULICO Presión: 40/60 Psi Caudal: 66 Gpm. Incluye: Una Motobomba, tanque con membrana Vertical de 200 Lts, Presostato, manómetro, tubería de interconexión bomba tanque y flotador eléctrico.</t>
  </si>
  <si>
    <t>EQUIPO BLOQUE ABC</t>
  </si>
  <si>
    <t>Motobomba Centrifuga llenado de tanque Marca BARNES Modelo: 2015 HHE-7.5-3 REF. 1E0531 Succión: 2” NPT Descarga: 2” NPT Ejecución: Sello mecánico Potencia: 7.5 HP Tensión: 220/440 V Velocidad: 3.500 RPM Fase(s):3 PUNTO HIDRAULICO Cabeza: 68 Mts Max. Caudal: 118 Gpm Max.</t>
  </si>
  <si>
    <t>Tableros de control con arrancadores directos para 2 motobombas de 3.0 Hp alternación automática con LOGO, trifásicas a 220 V. Marca SIEMENS</t>
  </si>
  <si>
    <t>Motobomba Centrifuga llenado de tanque Marca BARNES Modelo: 1515 HHE-3-3 REF. 1E0509 Succión: 1-1/2” NPT Descarga: 1-1/2” NPT Ejecución: Sello mecánico Potencia: 3.0 HP Tensión: 220/440 V Velocidad: 3.500 RPM Fase(s):3 PUNTO HIDRAULICO Cabeza: 55 Mts Max. Caudal: 60 Gpm Max.</t>
  </si>
  <si>
    <t>EQUIPO BLOQUE (I)</t>
  </si>
  <si>
    <t>Tableros de control con arrancadores directos para 2 motobombas de 7.5 Hp alternación automática con LOGO, trifásicas a 220 V. Marca SIEMENS. Cod. 100093267</t>
  </si>
  <si>
    <t>PLACA DE CONTRAPISO</t>
  </si>
  <si>
    <t>CONCRETO DE 3500</t>
  </si>
  <si>
    <t>MALLA ELECTROSOLDADA</t>
  </si>
  <si>
    <t>TANQUE 10.000 LTS</t>
  </si>
  <si>
    <t>TANQUE HORIZONTAL 10,000LTS</t>
  </si>
  <si>
    <t>ACCESORIOS ACOPLE</t>
  </si>
  <si>
    <t>TUBERIA C-900</t>
  </si>
  <si>
    <t xml:space="preserve">Consumibles </t>
  </si>
  <si>
    <t>tuberia C900 d: 4" pvc</t>
  </si>
  <si>
    <t>ml</t>
  </si>
  <si>
    <t>Soldadura PVC 1/4Gl 946ml</t>
  </si>
  <si>
    <t>Und.</t>
  </si>
  <si>
    <t>Removedor PVC 1/4 galon 760gr</t>
  </si>
  <si>
    <t>Unión 4" pvc</t>
  </si>
  <si>
    <t>Tee d: 4" pvc</t>
  </si>
  <si>
    <t>ACOPLE 4" Soldado</t>
  </si>
  <si>
    <t>VALVULA DE BOLA</t>
  </si>
  <si>
    <t>VALVULA DE BOLA ACERO 4"</t>
  </si>
  <si>
    <t>ACOPLE 4" ROSCADO</t>
  </si>
  <si>
    <t>VÁLVULA FLOTADORA EN UNO DE LOS TANQUES, VÁLVULA RED WHITE Y CHEQUE PVC PARA SU DEBIDO CONTROL.</t>
  </si>
  <si>
    <t>VALVULA FLOTADOR</t>
  </si>
  <si>
    <t>VALVULA FLOTADOR 1-1/2"</t>
  </si>
  <si>
    <t>ACOPLE 1-1/2 Y ACCESORIOS</t>
  </si>
  <si>
    <t>CONSUMIBLES</t>
  </si>
  <si>
    <t>Suministro e Instalacion de Puertas Galvanizadas Para Aulas</t>
  </si>
  <si>
    <t>Hoja de puerta entamborada en lamina galvanizada de 2 x 1,20 mts pintada con pintura electrostatica con visor  1x2m</t>
  </si>
  <si>
    <t>Suministro e Instalacion de Puertas Galvanizadas Doble Hoja Para Laboratorios</t>
  </si>
  <si>
    <t>Hoja de puerta entamborada en lamina galvanizada de 2 x 2 mts pintada con pintura electrostatica doble hoja con visor doble  2x2m</t>
  </si>
  <si>
    <t>Suministro e instalacion Switch core tipo A incluye módulos SFP, layer 3</t>
  </si>
  <si>
    <t>Tratamiento y Mantenimiento de tornilleria, marcos, empaques y sellos de ventanas de vidrio transparente</t>
  </si>
  <si>
    <t>Tornillos</t>
  </si>
  <si>
    <t xml:space="preserve">Empaques </t>
  </si>
  <si>
    <t>Sellos</t>
  </si>
  <si>
    <t>Perfileria en Aluminio</t>
  </si>
  <si>
    <t xml:space="preserve">Pintura Impermeabilizante Para Muros y Pisos </t>
  </si>
  <si>
    <t>Enchape Pared de 20 x 20 cms</t>
  </si>
  <si>
    <t>Retiro de lodos,limpieza y manejo del agua del tanque de compensacion hidraulica.</t>
  </si>
  <si>
    <t xml:space="preserve">Sikaset L </t>
  </si>
  <si>
    <t>Sikadur - Primer 32</t>
  </si>
  <si>
    <t xml:space="preserve">Cloruro de Sodio </t>
  </si>
  <si>
    <t>Tubo IMC de 1"</t>
  </si>
  <si>
    <t>Union  IMC de 1"</t>
  </si>
  <si>
    <t>Curva IMC de 1"</t>
  </si>
  <si>
    <t>Caja Octogonal de 4 x 2</t>
  </si>
  <si>
    <t xml:space="preserve">Cable de Datos </t>
  </si>
  <si>
    <t>Fibra Optica</t>
  </si>
  <si>
    <t>Accesorios Para Conectar Fibra Optica</t>
  </si>
  <si>
    <t>Suministro e instalacion Switch core tipo B incluye módulos SFP, layer 3</t>
  </si>
  <si>
    <t>Switch core tipo B incluye módulos SFP, layer 3</t>
  </si>
  <si>
    <t>Suministro e instalacion Switch core tipo C incluye módulos SFP, layer 3</t>
  </si>
  <si>
    <t>Switch core tipo C incluye módulos SFP, layer 3</t>
  </si>
  <si>
    <t>5.7</t>
  </si>
  <si>
    <t>5.8</t>
  </si>
  <si>
    <t>9.9</t>
  </si>
  <si>
    <t>Sikadur</t>
  </si>
  <si>
    <t>Rotomartillo</t>
  </si>
  <si>
    <t>hr</t>
  </si>
  <si>
    <t>Formaleta</t>
  </si>
  <si>
    <t>21.1,1</t>
  </si>
  <si>
    <t>21.1,2</t>
  </si>
  <si>
    <t>21.1,3</t>
  </si>
  <si>
    <t>21.1,4</t>
  </si>
  <si>
    <t>21.1,5</t>
  </si>
  <si>
    <t>21.1,6</t>
  </si>
  <si>
    <t>21.1,7</t>
  </si>
  <si>
    <t>21,2,1</t>
  </si>
  <si>
    <t>21,2,2</t>
  </si>
  <si>
    <t>21,2,3</t>
  </si>
  <si>
    <t>21,2,4</t>
  </si>
  <si>
    <t>21,2,5</t>
  </si>
  <si>
    <t>21,2,6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</si>
</sst>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2" formatCode="_-&quot;$&quot;\ * #,##0_-;\-&quot;$&quot;\ * #,##0_-;_-&quot;$&quot;\ * &quot;-&quot;_-;_-@_-"/>
    <numFmt numFmtId="41" formatCode="_-* #,##0_-;\-* #,##0_-;_-* &quot;-&quot;_-;_-@_-"/>
    <numFmt numFmtId="44" formatCode="_-&quot;$&quot;\ * #,##0.00_-;\-&quot;$&quot;\ * #,##0.00_-;_-&quot;$&quot;\ * &quot;-&quot;??_-;_-@_-"/>
    <numFmt numFmtId="165" formatCode="_-&quot;$&quot;* #,##0_-;\-&quot;$&quot;* #,##0_-;_-&quot;$&quot;* &quot;-&quot;_-;_-@_-"/>
    <numFmt numFmtId="166" formatCode="_-&quot;$&quot;* #,##0.00_-;\-&quot;$&quot;* #,##0.00_-;_-&quot;$&quot;* &quot;-&quot;??_-;_-@_-"/>
    <numFmt numFmtId="167" formatCode="_-&quot;$&quot;* #,##0_-;\-&quot;$&quot;* #,##0_-;_-&quot;$&quot;* &quot;-&quot;_-;_-@"/>
    <numFmt numFmtId="168" formatCode="[$$-240A]\ #,##0.00"/>
    <numFmt numFmtId="170" formatCode="_-* #,##0.00_-;\-* #,##0.00_-;_-* &quot;-&quot;_-;_-@"/>
    <numFmt numFmtId="171" formatCode="_(&quot;$&quot;\ * #,##0_);_(&quot;$&quot;\ * \(#,##0\);_(&quot;$&quot;\ * &quot;-&quot;??_);_(@_)"/>
    <numFmt numFmtId="172" formatCode="_-&quot;$&quot;\ * #,##0_-;\-&quot;$&quot;\ * #,##0_-;_-&quot;$&quot;\ * &quot;-&quot;_-;_-@"/>
    <numFmt numFmtId="173" formatCode="_(&quot;$&quot;\ * #,##0.00_);_(&quot;$&quot;\ * \(#,##0.00\);_(&quot;$&quot;\ * &quot;-&quot;??_);_(@_)"/>
    <numFmt numFmtId="174" formatCode="_(* #,##0.00_);_(* \(#,##0.00\);_(* &quot;-&quot;??_);_(@_)"/>
    <numFmt numFmtId="175" formatCode="_-&quot;$&quot;\ * #,##0.00_-;\-&quot;$&quot;\ * #,##0.00_-;_-&quot;$&quot;\ * &quot;-&quot;??_-;_-@"/>
    <numFmt numFmtId="176" formatCode="0.0"/>
    <numFmt numFmtId="178" formatCode="_ * #,##0.00_ ;_ * \-#,##0.00_ ;_ * &quot;-&quot;??_ ;_ @_ "/>
    <numFmt numFmtId="179" formatCode="_-&quot;$&quot;* #,##0.00_-;\-&quot;$&quot;* #,##0.00_-;_-&quot;$&quot;* &quot;-&quot;??_-;_-@"/>
    <numFmt numFmtId="180" formatCode="#,##0.000"/>
    <numFmt numFmtId="181" formatCode="_ * #,##0_ ;_ * \-#,##0_ ;_ * &quot;-&quot;_ ;_ @_ "/>
    <numFmt numFmtId="182" formatCode="[$$-240A]\ #,##0"/>
    <numFmt numFmtId="183" formatCode="0.000"/>
    <numFmt numFmtId="184" formatCode="#,##0.0"/>
    <numFmt numFmtId="185" formatCode="#,##0.0000"/>
    <numFmt numFmtId="186" formatCode="_-&quot;$&quot;* #,##0.00_-;\-&quot;$&quot;* #,##0.00_-;_-&quot;$&quot;* &quot;-&quot;_-;_-@"/>
    <numFmt numFmtId="187" formatCode="_-&quot;$&quot;* #,##0_-;\-&quot;$&quot;* #,##0_-;_-&quot;$&quot;* &quot;-&quot;??_-;_-@"/>
    <numFmt numFmtId="188" formatCode="_-* #,##0_-;\-* #,##0_-;_-* &quot;-&quot;_-;_-@"/>
    <numFmt numFmtId="189" formatCode="_-&quot;$&quot;* #,##0_-;\-&quot;$&quot;* #,##0_-;_-&quot;$&quot;* &quot;-&quot;??_-;_-@_-"/>
    <numFmt numFmtId="190" formatCode="0.0%"/>
    <numFmt numFmtId="191" formatCode="_-&quot;$&quot;* #,##0.000_-;\-&quot;$&quot;* #,##0.000_-;_-&quot;$&quot;* &quot;-&quot;_-;_-@"/>
    <numFmt numFmtId="192" formatCode="_-[$$-240A]\ * #,##0.00_-;\-[$$-240A]\ * #,##0.00_-;_-[$$-240A]\ * &quot;-&quot;??_-;_-@_-"/>
    <numFmt numFmtId="193" formatCode="_-&quot;$&quot;* #,##0.000000_-;\-&quot;$&quot;* #,##0.000000_-;_-&quot;$&quot;* &quot;-&quot;_-;_-@_-"/>
    <numFmt numFmtId="194" formatCode="#,##0.000_);\(#,##0.000\)"/>
    <numFmt numFmtId="195" formatCode="&quot;$&quot;\ #,##0.00"/>
    <numFmt numFmtId="196" formatCode="_-&quot;$&quot;\ * #,##0.00_-;\-&quot;$&quot;\ * #,##0.00_-;_-&quot;$&quot;\ * &quot;-&quot;_-;_-@_-"/>
    <numFmt numFmtId="197" formatCode="_-&quot;$&quot;\ * #,##0.0_-;\-&quot;$&quot;\ * #,##0.0_-;_-&quot;$&quot;\ * &quot;-&quot;??_-;_-@_-"/>
  </numFmts>
  <fonts count="45" x14ac:knownFonts="1">
    <font>
      <sz val="12"/>
      <color rgb="FF000000"/>
      <name val="Calibri"/>
    </font>
    <font>
      <sz val="12"/>
      <color theme="1"/>
      <name val="Calibri"/>
      <family val="2"/>
      <scheme val="minor"/>
    </font>
    <font>
      <sz val="12"/>
      <color theme="1"/>
      <name val="Calibri"/>
      <family val="2"/>
      <scheme val="minor"/>
    </font>
    <font>
      <b/>
      <sz val="12"/>
      <color rgb="FF000000"/>
      <name val="Calibri"/>
      <family val="2"/>
    </font>
    <font>
      <b/>
      <sz val="14"/>
      <color rgb="FF000000"/>
      <name val="Calibri"/>
      <family val="2"/>
    </font>
    <font>
      <sz val="12"/>
      <name val="Calibri"/>
      <family val="2"/>
    </font>
    <font>
      <b/>
      <sz val="10"/>
      <color rgb="FF000000"/>
      <name val="Arial"/>
      <family val="2"/>
    </font>
    <font>
      <sz val="10"/>
      <color rgb="FF000000"/>
      <name val="Arial"/>
      <family val="2"/>
    </font>
    <font>
      <b/>
      <sz val="10"/>
      <name val="Arial"/>
      <family val="2"/>
    </font>
    <font>
      <b/>
      <sz val="12"/>
      <name val="Calibri"/>
      <family val="2"/>
    </font>
    <font>
      <sz val="8"/>
      <name val="Century Gothic"/>
      <family val="1"/>
    </font>
    <font>
      <b/>
      <sz val="8"/>
      <name val="Century Gothic"/>
      <family val="1"/>
    </font>
    <font>
      <sz val="9"/>
      <color rgb="FF000000"/>
      <name val="Calibri"/>
      <family val="2"/>
    </font>
    <font>
      <b/>
      <sz val="11"/>
      <color theme="3"/>
      <name val="Calibri"/>
      <family val="2"/>
      <scheme val="minor"/>
    </font>
    <font>
      <sz val="11"/>
      <color theme="1"/>
      <name val="Calibri"/>
      <family val="2"/>
      <scheme val="minor"/>
    </font>
    <font>
      <sz val="12"/>
      <color rgb="FF000000"/>
      <name val="Calibri"/>
      <family val="2"/>
    </font>
    <font>
      <sz val="11"/>
      <color rgb="FF000000"/>
      <name val="Verdana"/>
      <family val="2"/>
    </font>
    <font>
      <i/>
      <sz val="10"/>
      <name val="Verdana"/>
      <family val="2"/>
    </font>
    <font>
      <b/>
      <sz val="12"/>
      <name val="Verdana"/>
      <family val="2"/>
    </font>
    <font>
      <b/>
      <sz val="11"/>
      <name val="Verdana"/>
      <family val="2"/>
    </font>
    <font>
      <sz val="10"/>
      <name val="Verdana"/>
      <family val="2"/>
    </font>
    <font>
      <b/>
      <sz val="10"/>
      <name val="Verdana"/>
      <family val="2"/>
    </font>
    <font>
      <sz val="10"/>
      <color rgb="FF000000"/>
      <name val="Verdana"/>
      <family val="2"/>
    </font>
    <font>
      <sz val="8"/>
      <name val="Arial"/>
      <family val="2"/>
    </font>
    <font>
      <sz val="8"/>
      <name val="Calibri"/>
      <family val="2"/>
    </font>
    <font>
      <sz val="12"/>
      <color rgb="FF000000"/>
      <name val="Calibri"/>
      <family val="2"/>
    </font>
    <font>
      <sz val="12"/>
      <name val="Arial"/>
      <family val="2"/>
    </font>
    <font>
      <sz val="12"/>
      <color rgb="FFFF0000"/>
      <name val="Arial"/>
      <family val="2"/>
    </font>
    <font>
      <sz val="10"/>
      <color rgb="FFFF0000"/>
      <name val="Verdana"/>
      <family val="2"/>
    </font>
    <font>
      <b/>
      <sz val="10"/>
      <color rgb="FFFF0000"/>
      <name val="Verdana"/>
      <family val="2"/>
    </font>
    <font>
      <sz val="12"/>
      <color rgb="FFFF0000"/>
      <name val="Calibri"/>
      <family val="2"/>
    </font>
    <font>
      <sz val="11"/>
      <color rgb="FFFF0000"/>
      <name val="Verdana"/>
      <family val="2"/>
    </font>
    <font>
      <sz val="12"/>
      <color theme="1"/>
      <name val="Calibri"/>
      <family val="2"/>
    </font>
    <font>
      <sz val="12"/>
      <color theme="1"/>
      <name val="Arial"/>
      <family val="2"/>
    </font>
    <font>
      <sz val="12"/>
      <color rgb="FF000000"/>
      <name val="Calibri"/>
      <family val="2"/>
    </font>
    <font>
      <b/>
      <i/>
      <sz val="10"/>
      <color theme="0"/>
      <name val="Arial Narrow"/>
      <family val="2"/>
    </font>
    <font>
      <b/>
      <sz val="10"/>
      <name val="Arial Narrow"/>
      <family val="2"/>
    </font>
    <font>
      <sz val="10"/>
      <name val="Arial Narrow"/>
      <family val="2"/>
    </font>
    <font>
      <sz val="10"/>
      <color theme="1"/>
      <name val="Arial Narrow"/>
      <family val="2"/>
    </font>
    <font>
      <sz val="10"/>
      <name val="Arial"/>
      <family val="2"/>
    </font>
    <font>
      <b/>
      <sz val="9"/>
      <name val="Arial Narrow"/>
      <family val="2"/>
    </font>
    <font>
      <sz val="12"/>
      <name val="Courier"/>
      <family val="3"/>
    </font>
    <font>
      <sz val="10"/>
      <name val="MS Sans Serif"/>
      <family val="2"/>
    </font>
    <font>
      <sz val="9"/>
      <name val="Arial Narrow"/>
      <family val="2"/>
    </font>
    <font>
      <b/>
      <sz val="10"/>
      <color theme="0"/>
      <name val="Arial Narrow"/>
      <family val="2"/>
    </font>
  </fonts>
  <fills count="13">
    <fill>
      <patternFill patternType="none"/>
    </fill>
    <fill>
      <patternFill patternType="gray125"/>
    </fill>
    <fill>
      <patternFill patternType="solid">
        <fgColor rgb="FF70AD47"/>
        <bgColor rgb="FF70AD47"/>
      </patternFill>
    </fill>
    <fill>
      <patternFill patternType="solid">
        <fgColor rgb="FFFFFF00"/>
        <bgColor rgb="FFFFFF00"/>
      </patternFill>
    </fill>
    <fill>
      <patternFill patternType="solid">
        <fgColor rgb="FFFF0000"/>
        <bgColor rgb="FFFF0000"/>
      </patternFill>
    </fill>
    <fill>
      <patternFill patternType="solid">
        <fgColor rgb="FFFFFFFF"/>
        <bgColor rgb="FFFFFFFF"/>
      </patternFill>
    </fill>
    <fill>
      <patternFill patternType="solid">
        <fgColor rgb="FFFFFF00"/>
        <bgColor indexed="64"/>
      </patternFill>
    </fill>
    <fill>
      <patternFill patternType="solid">
        <fgColor theme="5"/>
        <bgColor indexed="64"/>
      </patternFill>
    </fill>
    <fill>
      <patternFill patternType="solid">
        <fgColor theme="2" tint="-0.749992370372631"/>
        <bgColor indexed="64"/>
      </patternFill>
    </fill>
    <fill>
      <patternFill patternType="solid">
        <fgColor rgb="FFDEDEDE"/>
        <bgColor indexed="64"/>
      </patternFill>
    </fill>
    <fill>
      <patternFill patternType="solid">
        <fgColor theme="2" tint="-9.9978637043366805E-2"/>
        <bgColor indexed="64"/>
      </patternFill>
    </fill>
    <fill>
      <patternFill patternType="solid">
        <fgColor indexed="9"/>
        <bgColor indexed="64"/>
      </patternFill>
    </fill>
    <fill>
      <patternFill patternType="solid">
        <fgColor theme="0" tint="-0.14999847407452621"/>
        <bgColor indexed="64"/>
      </patternFill>
    </fill>
  </fills>
  <borders count="11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thin">
        <color rgb="FF000000"/>
      </top>
      <bottom style="double">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auto="1"/>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style="thin">
        <color indexed="64"/>
      </left>
      <right style="medium">
        <color indexed="64"/>
      </right>
      <top style="hair">
        <color indexed="64"/>
      </top>
      <bottom style="hair">
        <color auto="1"/>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auto="1"/>
      </left>
      <right/>
      <top style="hair">
        <color auto="1"/>
      </top>
      <bottom/>
      <diagonal/>
    </border>
    <border>
      <left style="thin">
        <color indexed="64"/>
      </left>
      <right style="medium">
        <color indexed="64"/>
      </right>
      <top style="hair">
        <color indexed="64"/>
      </top>
      <bottom/>
      <diagonal/>
    </border>
    <border>
      <left style="hair">
        <color auto="1"/>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hair">
        <color indexed="64"/>
      </top>
      <bottom style="hair">
        <color auto="1"/>
      </bottom>
      <diagonal/>
    </border>
    <border>
      <left/>
      <right style="medium">
        <color indexed="64"/>
      </right>
      <top style="hair">
        <color indexed="64"/>
      </top>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bottom/>
      <diagonal/>
    </border>
    <border>
      <left style="hair">
        <color indexed="64"/>
      </left>
      <right style="medium">
        <color indexed="64"/>
      </right>
      <top/>
      <bottom style="hair">
        <color indexed="64"/>
      </bottom>
      <diagonal/>
    </border>
    <border>
      <left style="hair">
        <color indexed="64"/>
      </left>
      <right style="medium">
        <color indexed="64"/>
      </right>
      <top/>
      <bottom/>
      <diagonal/>
    </border>
    <border>
      <left style="hair">
        <color indexed="64"/>
      </left>
      <right style="medium">
        <color indexed="64"/>
      </right>
      <top style="hair">
        <color indexed="64"/>
      </top>
      <bottom style="hair">
        <color indexed="64"/>
      </bottom>
      <diagonal/>
    </border>
    <border>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medium">
        <color rgb="FF000000"/>
      </left>
      <right style="thin">
        <color rgb="FF000000"/>
      </right>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rgb="FF000000"/>
      </bottom>
      <diagonal/>
    </border>
    <border>
      <left style="thin">
        <color rgb="FF000000"/>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double">
        <color rgb="FF000000"/>
      </bottom>
      <diagonal/>
    </border>
    <border>
      <left style="thin">
        <color rgb="FF000000"/>
      </left>
      <right style="medium">
        <color indexed="64"/>
      </right>
      <top style="thin">
        <color rgb="FF000000"/>
      </top>
      <bottom style="double">
        <color rgb="FF000000"/>
      </bottom>
      <diagonal/>
    </border>
    <border>
      <left style="medium">
        <color indexed="64"/>
      </left>
      <right style="thin">
        <color rgb="FF000000"/>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style="thin">
        <color rgb="FF000000"/>
      </right>
      <top style="double">
        <color rgb="FF000000"/>
      </top>
      <bottom style="thin">
        <color rgb="FF000000"/>
      </bottom>
      <diagonal/>
    </border>
    <border>
      <left style="medium">
        <color indexed="64"/>
      </left>
      <right style="thin">
        <color rgb="FF000000"/>
      </right>
      <top style="double">
        <color rgb="FF000000"/>
      </top>
      <bottom style="medium">
        <color rgb="FF000000"/>
      </bottom>
      <diagonal/>
    </border>
    <border>
      <left style="medium">
        <color indexed="64"/>
      </left>
      <right style="thin">
        <color rgb="FF000000"/>
      </right>
      <top/>
      <bottom/>
      <diagonal/>
    </border>
  </borders>
  <cellStyleXfs count="20">
    <xf numFmtId="0" fontId="0" fillId="0" borderId="0"/>
    <xf numFmtId="0" fontId="14" fillId="0" borderId="4"/>
    <xf numFmtId="9" fontId="14" fillId="0" borderId="4" applyFont="0" applyFill="0" applyBorder="0" applyAlignment="0" applyProtection="0"/>
    <xf numFmtId="173" fontId="14" fillId="0" borderId="4" applyFont="0" applyFill="0" applyBorder="0" applyAlignment="0" applyProtection="0"/>
    <xf numFmtId="0" fontId="13" fillId="0" borderId="4" applyNumberFormat="0" applyFill="0" applyBorder="0" applyAlignment="0" applyProtection="0"/>
    <xf numFmtId="41" fontId="2" fillId="0" borderId="4" applyFont="0" applyFill="0" applyBorder="0" applyAlignment="0" applyProtection="0"/>
    <xf numFmtId="0" fontId="14" fillId="0" borderId="4"/>
    <xf numFmtId="173" fontId="14" fillId="0" borderId="4" applyFont="0" applyFill="0" applyBorder="0" applyAlignment="0" applyProtection="0"/>
    <xf numFmtId="42" fontId="14" fillId="0" borderId="4" applyFont="0" applyFill="0" applyBorder="0" applyAlignment="0" applyProtection="0"/>
    <xf numFmtId="9" fontId="14" fillId="0" borderId="4" applyFont="0" applyFill="0" applyBorder="0" applyAlignment="0" applyProtection="0"/>
    <xf numFmtId="0" fontId="1" fillId="0" borderId="4"/>
    <xf numFmtId="165" fontId="1" fillId="0" borderId="4" applyFont="0" applyFill="0" applyBorder="0" applyAlignment="0" applyProtection="0"/>
    <xf numFmtId="0" fontId="15" fillId="0" borderId="4"/>
    <xf numFmtId="166" fontId="25" fillId="0" borderId="0" applyFont="0" applyFill="0" applyBorder="0" applyAlignment="0" applyProtection="0"/>
    <xf numFmtId="165" fontId="25" fillId="0" borderId="0" applyFont="0" applyFill="0" applyBorder="0" applyAlignment="0" applyProtection="0"/>
    <xf numFmtId="41" fontId="34" fillId="0" borderId="0" applyFont="0" applyFill="0" applyBorder="0" applyAlignment="0" applyProtection="0"/>
    <xf numFmtId="178" fontId="39" fillId="0" borderId="4" applyFont="0" applyFill="0" applyBorder="0" applyAlignment="0" applyProtection="0"/>
    <xf numFmtId="37" fontId="41" fillId="0" borderId="4"/>
    <xf numFmtId="0" fontId="42" fillId="0" borderId="4"/>
    <xf numFmtId="166" fontId="14" fillId="0" borderId="4" applyFont="0" applyFill="0" applyBorder="0" applyAlignment="0" applyProtection="0"/>
  </cellStyleXfs>
  <cellXfs count="663">
    <xf numFmtId="0" fontId="0" fillId="0" borderId="0" xfId="0" applyFont="1" applyAlignment="1"/>
    <xf numFmtId="0" fontId="3" fillId="0" borderId="0" xfId="0" applyFont="1" applyAlignment="1">
      <alignment horizontal="center" vertical="center" wrapText="1"/>
    </xf>
    <xf numFmtId="0" fontId="3" fillId="0" borderId="0" xfId="0" applyFont="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0" fontId="4" fillId="2" borderId="1" xfId="0" applyFont="1" applyFill="1" applyBorder="1" applyAlignment="1">
      <alignment horizontal="center" vertical="center" wrapText="1"/>
    </xf>
    <xf numFmtId="167" fontId="4" fillId="2"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167" fontId="4" fillId="3"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167" fontId="4" fillId="4" borderId="1"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167" fontId="4" fillId="2" borderId="4" xfId="0" applyNumberFormat="1" applyFont="1" applyFill="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0" fontId="6" fillId="0" borderId="2" xfId="0" applyFont="1" applyBorder="1" applyAlignment="1">
      <alignment horizontal="center" vertical="center"/>
    </xf>
    <xf numFmtId="0" fontId="6" fillId="0" borderId="1" xfId="0" applyFont="1" applyBorder="1" applyAlignment="1">
      <alignment vertical="center"/>
    </xf>
    <xf numFmtId="168" fontId="6"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168" fontId="7" fillId="0" borderId="1" xfId="0" applyNumberFormat="1" applyFont="1" applyBorder="1" applyAlignment="1">
      <alignment horizontal="center" vertical="center"/>
    </xf>
    <xf numFmtId="0" fontId="8" fillId="0" borderId="1" xfId="0" applyFont="1" applyBorder="1" applyAlignment="1">
      <alignment vertical="center"/>
    </xf>
    <xf numFmtId="168" fontId="8" fillId="0" borderId="1" xfId="0" applyNumberFormat="1" applyFont="1" applyBorder="1" applyAlignment="1">
      <alignment horizontal="center" vertical="center"/>
    </xf>
    <xf numFmtId="0" fontId="10" fillId="5" borderId="4" xfId="0" applyFont="1" applyFill="1" applyBorder="1"/>
    <xf numFmtId="0" fontId="11" fillId="5" borderId="4" xfId="0" applyFont="1" applyFill="1" applyBorder="1"/>
    <xf numFmtId="0" fontId="11" fillId="5" borderId="4" xfId="0" applyFont="1" applyFill="1" applyBorder="1" applyAlignment="1">
      <alignment horizontal="center"/>
    </xf>
    <xf numFmtId="0" fontId="11" fillId="5" borderId="4" xfId="0" applyFont="1" applyFill="1" applyBorder="1" applyAlignment="1">
      <alignment horizontal="center" vertical="center"/>
    </xf>
    <xf numFmtId="0" fontId="11" fillId="5" borderId="1" xfId="0" applyFont="1" applyFill="1" applyBorder="1" applyAlignment="1">
      <alignment horizontal="center" vertical="center"/>
    </xf>
    <xf numFmtId="0" fontId="11" fillId="5" borderId="1" xfId="0" applyFont="1" applyFill="1" applyBorder="1" applyAlignment="1">
      <alignment horizontal="center" vertical="center" wrapText="1"/>
    </xf>
    <xf numFmtId="0" fontId="11" fillId="5" borderId="14" xfId="0" applyFont="1" applyFill="1" applyBorder="1" applyAlignment="1">
      <alignment horizontal="center" vertical="center"/>
    </xf>
    <xf numFmtId="0" fontId="11" fillId="5" borderId="17" xfId="0" applyFont="1" applyFill="1" applyBorder="1" applyAlignment="1">
      <alignment horizontal="center" vertical="center"/>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19" xfId="0" applyFont="1" applyFill="1" applyBorder="1" applyAlignment="1">
      <alignment horizontal="center" vertical="center"/>
    </xf>
    <xf numFmtId="0" fontId="11" fillId="5" borderId="4" xfId="0" applyFont="1" applyFill="1" applyBorder="1" applyAlignment="1">
      <alignment horizontal="center" vertical="center" wrapText="1"/>
    </xf>
    <xf numFmtId="0" fontId="10" fillId="5" borderId="4" xfId="0" applyFont="1" applyFill="1" applyBorder="1" applyAlignment="1">
      <alignment vertical="center"/>
    </xf>
    <xf numFmtId="0" fontId="10" fillId="5" borderId="1" xfId="0" applyFont="1" applyFill="1" applyBorder="1" applyAlignment="1">
      <alignment vertical="center"/>
    </xf>
    <xf numFmtId="0" fontId="10" fillId="5" borderId="1" xfId="0" applyFont="1" applyFill="1" applyBorder="1" applyAlignment="1">
      <alignment horizontal="center" vertical="center"/>
    </xf>
    <xf numFmtId="2" fontId="10" fillId="5" borderId="1" xfId="0" applyNumberFormat="1" applyFont="1" applyFill="1" applyBorder="1" applyAlignment="1">
      <alignment horizontal="center" vertical="center"/>
    </xf>
    <xf numFmtId="171" fontId="10" fillId="5" borderId="1" xfId="0" applyNumberFormat="1" applyFont="1" applyFill="1" applyBorder="1" applyAlignment="1">
      <alignment vertical="center"/>
    </xf>
    <xf numFmtId="172" fontId="10" fillId="5" borderId="4" xfId="0" applyNumberFormat="1" applyFont="1" applyFill="1" applyBorder="1" applyAlignment="1">
      <alignment vertical="center"/>
    </xf>
    <xf numFmtId="173" fontId="10" fillId="5" borderId="4" xfId="0" applyNumberFormat="1" applyFont="1" applyFill="1" applyBorder="1" applyAlignment="1">
      <alignment vertical="center"/>
    </xf>
    <xf numFmtId="0" fontId="11" fillId="5" borderId="19" xfId="0" applyFont="1" applyFill="1" applyBorder="1" applyAlignment="1">
      <alignment horizontal="left" vertical="center"/>
    </xf>
    <xf numFmtId="173" fontId="10" fillId="5" borderId="1" xfId="0" applyNumberFormat="1" applyFont="1" applyFill="1" applyBorder="1" applyAlignment="1">
      <alignment vertical="center"/>
    </xf>
    <xf numFmtId="0" fontId="10" fillId="5" borderId="18" xfId="0" applyFont="1" applyFill="1" applyBorder="1" applyAlignment="1">
      <alignment vertical="center"/>
    </xf>
    <xf numFmtId="0" fontId="10" fillId="5" borderId="20" xfId="0" applyFont="1" applyFill="1" applyBorder="1" applyAlignment="1">
      <alignment vertical="center"/>
    </xf>
    <xf numFmtId="0" fontId="11" fillId="5" borderId="21" xfId="0" applyFont="1" applyFill="1" applyBorder="1" applyAlignment="1">
      <alignment horizontal="right" vertical="center"/>
    </xf>
    <xf numFmtId="0" fontId="10" fillId="5" borderId="22" xfId="0" applyFont="1" applyFill="1" applyBorder="1" applyAlignment="1">
      <alignment horizontal="center" vertical="center"/>
    </xf>
    <xf numFmtId="0" fontId="10" fillId="5" borderId="22" xfId="0" applyFont="1" applyFill="1" applyBorder="1" applyAlignment="1">
      <alignment vertical="center"/>
    </xf>
    <xf numFmtId="171" fontId="11" fillId="5" borderId="23" xfId="0" applyNumberFormat="1" applyFont="1" applyFill="1" applyBorder="1" applyAlignment="1">
      <alignment vertical="center"/>
    </xf>
    <xf numFmtId="0" fontId="11" fillId="5" borderId="19" xfId="0" applyFont="1" applyFill="1" applyBorder="1" applyAlignment="1">
      <alignment horizontal="right" vertical="center"/>
    </xf>
    <xf numFmtId="0" fontId="10" fillId="5" borderId="24" xfId="0" applyFont="1" applyFill="1" applyBorder="1" applyAlignment="1">
      <alignment horizontal="center" vertical="center"/>
    </xf>
    <xf numFmtId="0" fontId="10" fillId="5" borderId="24" xfId="0" applyFont="1" applyFill="1" applyBorder="1" applyAlignment="1">
      <alignment vertical="center"/>
    </xf>
    <xf numFmtId="2" fontId="11" fillId="0" borderId="13" xfId="0" applyNumberFormat="1" applyFont="1" applyBorder="1" applyAlignment="1">
      <alignment horizontal="right" vertical="center"/>
    </xf>
    <xf numFmtId="0" fontId="11" fillId="5" borderId="14" xfId="0" applyFont="1" applyFill="1" applyBorder="1" applyAlignment="1">
      <alignment horizontal="right" vertical="center"/>
    </xf>
    <xf numFmtId="0" fontId="10" fillId="5" borderId="17" xfId="0" applyFont="1" applyFill="1" applyBorder="1" applyAlignment="1">
      <alignment horizontal="center" vertical="center"/>
    </xf>
    <xf numFmtId="0" fontId="10" fillId="5" borderId="17" xfId="0" applyFont="1" applyFill="1" applyBorder="1" applyAlignment="1">
      <alignment vertical="center"/>
    </xf>
    <xf numFmtId="171" fontId="11" fillId="5" borderId="18" xfId="0" applyNumberFormat="1" applyFont="1" applyFill="1" applyBorder="1" applyAlignment="1">
      <alignment vertical="center"/>
    </xf>
    <xf numFmtId="171" fontId="10" fillId="5" borderId="4" xfId="0" applyNumberFormat="1" applyFont="1" applyFill="1" applyBorder="1" applyAlignment="1">
      <alignment vertical="center"/>
    </xf>
    <xf numFmtId="0" fontId="11" fillId="5" borderId="4" xfId="0" applyFont="1" applyFill="1" applyBorder="1" applyAlignment="1">
      <alignment horizontal="right"/>
    </xf>
    <xf numFmtId="0" fontId="10" fillId="5" borderId="4" xfId="0" applyFont="1" applyFill="1" applyBorder="1" applyAlignment="1">
      <alignment horizontal="center"/>
    </xf>
    <xf numFmtId="173" fontId="10" fillId="5" borderId="4" xfId="0" applyNumberFormat="1" applyFont="1" applyFill="1" applyBorder="1"/>
    <xf numFmtId="173" fontId="11" fillId="5" borderId="1" xfId="0" applyNumberFormat="1" applyFont="1" applyFill="1" applyBorder="1" applyAlignment="1">
      <alignment horizontal="center" vertical="center"/>
    </xf>
    <xf numFmtId="0" fontId="11" fillId="5" borderId="25" xfId="0" applyFont="1" applyFill="1" applyBorder="1" applyAlignment="1">
      <alignment horizontal="center" vertical="center"/>
    </xf>
    <xf numFmtId="173" fontId="11" fillId="5" borderId="26" xfId="0" applyNumberFormat="1" applyFont="1" applyFill="1" applyBorder="1" applyAlignment="1">
      <alignment horizontal="center" vertical="center"/>
    </xf>
    <xf numFmtId="0" fontId="10" fillId="5" borderId="1" xfId="0" applyFont="1" applyFill="1" applyBorder="1" applyAlignment="1">
      <alignment vertical="center" wrapText="1"/>
    </xf>
    <xf numFmtId="0" fontId="10" fillId="5" borderId="27" xfId="0" applyFont="1" applyFill="1" applyBorder="1" applyAlignment="1">
      <alignment vertical="center" wrapText="1"/>
    </xf>
    <xf numFmtId="0" fontId="10" fillId="5" borderId="28" xfId="0" applyFont="1" applyFill="1" applyBorder="1" applyAlignment="1">
      <alignment vertical="center"/>
    </xf>
    <xf numFmtId="0" fontId="10" fillId="5" borderId="28" xfId="0" applyFont="1" applyFill="1" applyBorder="1" applyAlignment="1">
      <alignment vertical="center" wrapText="1"/>
    </xf>
    <xf numFmtId="173" fontId="11" fillId="5" borderId="18" xfId="0" applyNumberFormat="1" applyFont="1" applyFill="1" applyBorder="1" applyAlignment="1">
      <alignment vertical="center"/>
    </xf>
    <xf numFmtId="0" fontId="11" fillId="5" borderId="21" xfId="0" applyFont="1" applyFill="1" applyBorder="1" applyAlignment="1">
      <alignment vertical="center"/>
    </xf>
    <xf numFmtId="173" fontId="11" fillId="5" borderId="23" xfId="0" applyNumberFormat="1" applyFont="1" applyFill="1" applyBorder="1" applyAlignment="1">
      <alignment vertical="center"/>
    </xf>
    <xf numFmtId="174" fontId="10" fillId="5" borderId="4" xfId="0" applyNumberFormat="1" applyFont="1" applyFill="1" applyBorder="1" applyAlignment="1">
      <alignment vertical="center"/>
    </xf>
    <xf numFmtId="0" fontId="11" fillId="5" borderId="19" xfId="0" applyFont="1" applyFill="1" applyBorder="1" applyAlignment="1">
      <alignment vertical="center"/>
    </xf>
    <xf numFmtId="9" fontId="10" fillId="5" borderId="24" xfId="0" applyNumberFormat="1" applyFont="1" applyFill="1" applyBorder="1" applyAlignment="1">
      <alignment vertical="center"/>
    </xf>
    <xf numFmtId="173" fontId="11" fillId="5" borderId="20" xfId="0" applyNumberFormat="1" applyFont="1" applyFill="1" applyBorder="1" applyAlignment="1">
      <alignment vertical="center"/>
    </xf>
    <xf numFmtId="0" fontId="11" fillId="5" borderId="14" xfId="0" applyFont="1" applyFill="1" applyBorder="1" applyAlignment="1">
      <alignment vertical="center"/>
    </xf>
    <xf numFmtId="175" fontId="10" fillId="5" borderId="4" xfId="0" applyNumberFormat="1" applyFont="1" applyFill="1" applyBorder="1" applyAlignment="1">
      <alignment vertical="center"/>
    </xf>
    <xf numFmtId="0" fontId="12" fillId="0" borderId="0" xfId="0" applyFont="1"/>
    <xf numFmtId="172" fontId="12" fillId="0" borderId="0" xfId="0" applyNumberFormat="1" applyFont="1"/>
    <xf numFmtId="10" fontId="12" fillId="0" borderId="0" xfId="0" applyNumberFormat="1" applyFont="1"/>
    <xf numFmtId="167" fontId="10" fillId="5" borderId="4" xfId="0" applyNumberFormat="1" applyFont="1" applyFill="1" applyBorder="1"/>
    <xf numFmtId="0" fontId="16" fillId="0" borderId="4" xfId="12" applyFont="1" applyAlignment="1">
      <alignment vertical="center"/>
    </xf>
    <xf numFmtId="0" fontId="15" fillId="0" borderId="4" xfId="12"/>
    <xf numFmtId="0" fontId="17" fillId="0" borderId="7" xfId="12" applyFont="1" applyBorder="1" applyAlignment="1">
      <alignment vertical="center"/>
    </xf>
    <xf numFmtId="0" fontId="17" fillId="0" borderId="39" xfId="12" applyFont="1" applyBorder="1" applyAlignment="1">
      <alignment vertical="center"/>
    </xf>
    <xf numFmtId="0" fontId="17" fillId="0" borderId="39" xfId="12" applyFont="1" applyBorder="1" applyAlignment="1">
      <alignment horizontal="right" vertical="center"/>
    </xf>
    <xf numFmtId="0" fontId="17" fillId="0" borderId="39" xfId="12" applyFont="1" applyBorder="1" applyAlignment="1">
      <alignment horizontal="center" vertical="center"/>
    </xf>
    <xf numFmtId="0" fontId="17" fillId="0" borderId="8" xfId="12" applyFont="1" applyBorder="1" applyAlignment="1">
      <alignment horizontal="center" vertical="center"/>
    </xf>
    <xf numFmtId="0" fontId="20" fillId="0" borderId="4" xfId="12" applyFont="1" applyAlignment="1">
      <alignment vertical="center"/>
    </xf>
    <xf numFmtId="0" fontId="20" fillId="0" borderId="4" xfId="12" applyFont="1" applyAlignment="1">
      <alignment horizontal="center" vertical="center"/>
    </xf>
    <xf numFmtId="0" fontId="20" fillId="0" borderId="4" xfId="12" applyFont="1" applyAlignment="1">
      <alignment vertical="center" wrapText="1"/>
    </xf>
    <xf numFmtId="0" fontId="20" fillId="0" borderId="4" xfId="12" applyFont="1" applyAlignment="1">
      <alignment horizontal="left" vertical="center" wrapText="1"/>
    </xf>
    <xf numFmtId="0" fontId="21" fillId="0" borderId="4" xfId="12" applyFont="1" applyAlignment="1">
      <alignment horizontal="center" vertical="center"/>
    </xf>
    <xf numFmtId="178" fontId="21" fillId="0" borderId="4" xfId="12" applyNumberFormat="1" applyFont="1" applyAlignment="1">
      <alignment horizontal="center" vertical="center"/>
    </xf>
    <xf numFmtId="0" fontId="22" fillId="0" borderId="4" xfId="12" applyFont="1" applyAlignment="1">
      <alignment horizontal="center" vertical="center" wrapText="1"/>
    </xf>
    <xf numFmtId="0" fontId="21" fillId="0" borderId="4" xfId="12" applyFont="1" applyAlignment="1">
      <alignment horizontal="left" vertical="center"/>
    </xf>
    <xf numFmtId="0" fontId="21" fillId="0" borderId="4" xfId="12" applyFont="1" applyAlignment="1">
      <alignment vertical="center"/>
    </xf>
    <xf numFmtId="0" fontId="21" fillId="0" borderId="1" xfId="12" applyFont="1" applyBorder="1" applyAlignment="1">
      <alignment vertical="center"/>
    </xf>
    <xf numFmtId="0" fontId="21" fillId="0" borderId="1" xfId="12" applyFont="1" applyBorder="1" applyAlignment="1">
      <alignment horizontal="center" vertical="center"/>
    </xf>
    <xf numFmtId="0" fontId="20" fillId="0" borderId="1" xfId="12" applyFont="1" applyBorder="1" applyAlignment="1">
      <alignment vertical="center" wrapText="1"/>
    </xf>
    <xf numFmtId="0" fontId="20" fillId="0" borderId="1" xfId="12" applyFont="1" applyBorder="1" applyAlignment="1">
      <alignment horizontal="center" vertical="center"/>
    </xf>
    <xf numFmtId="179" fontId="20" fillId="0" borderId="1" xfId="12" applyNumberFormat="1" applyFont="1" applyBorder="1" applyAlignment="1">
      <alignment horizontal="center" vertical="center"/>
    </xf>
    <xf numFmtId="9" fontId="20" fillId="0" borderId="1" xfId="12" applyNumberFormat="1" applyFont="1" applyBorder="1" applyAlignment="1">
      <alignment horizontal="center" vertical="center"/>
    </xf>
    <xf numFmtId="0" fontId="20" fillId="0" borderId="1" xfId="12" applyFont="1" applyBorder="1" applyAlignment="1">
      <alignment vertical="center"/>
    </xf>
    <xf numFmtId="2" fontId="20" fillId="0" borderId="1" xfId="12" applyNumberFormat="1" applyFont="1" applyBorder="1" applyAlignment="1">
      <alignment horizontal="center" vertical="center"/>
    </xf>
    <xf numFmtId="180" fontId="20" fillId="0" borderId="1" xfId="12" applyNumberFormat="1" applyFont="1" applyBorder="1" applyAlignment="1">
      <alignment horizontal="center" vertical="center"/>
    </xf>
    <xf numFmtId="179" fontId="20" fillId="0" borderId="1" xfId="12" applyNumberFormat="1" applyFont="1" applyBorder="1" applyAlignment="1">
      <alignment horizontal="right" vertical="center"/>
    </xf>
    <xf numFmtId="4" fontId="20" fillId="0" borderId="1" xfId="12" applyNumberFormat="1" applyFont="1" applyBorder="1" applyAlignment="1">
      <alignment horizontal="center" vertical="center"/>
    </xf>
    <xf numFmtId="10" fontId="20" fillId="0" borderId="1" xfId="12" applyNumberFormat="1" applyFont="1" applyBorder="1" applyAlignment="1">
      <alignment horizontal="center" vertical="center"/>
    </xf>
    <xf numFmtId="4" fontId="20" fillId="0" borderId="1" xfId="12" applyNumberFormat="1" applyFont="1" applyBorder="1" applyAlignment="1">
      <alignment horizontal="right" vertical="center"/>
    </xf>
    <xf numFmtId="4" fontId="21" fillId="0" borderId="1" xfId="12" applyNumberFormat="1" applyFont="1" applyBorder="1" applyAlignment="1">
      <alignment horizontal="center" vertical="center"/>
    </xf>
    <xf numFmtId="10" fontId="21" fillId="0" borderId="1" xfId="12" applyNumberFormat="1" applyFont="1" applyBorder="1" applyAlignment="1">
      <alignment horizontal="center" vertical="center"/>
    </xf>
    <xf numFmtId="179" fontId="21" fillId="0" borderId="1" xfId="12" applyNumberFormat="1" applyFont="1" applyBorder="1" applyAlignment="1">
      <alignment horizontal="right" vertical="center"/>
    </xf>
    <xf numFmtId="4" fontId="20" fillId="0" borderId="4" xfId="12" applyNumberFormat="1" applyFont="1" applyAlignment="1">
      <alignment horizontal="center" vertical="center"/>
    </xf>
    <xf numFmtId="10" fontId="20" fillId="0" borderId="4" xfId="12" applyNumberFormat="1" applyFont="1" applyAlignment="1">
      <alignment horizontal="center" vertical="center"/>
    </xf>
    <xf numFmtId="181" fontId="20" fillId="0" borderId="1" xfId="12" applyNumberFormat="1" applyFont="1" applyBorder="1" applyAlignment="1">
      <alignment horizontal="center" vertical="center"/>
    </xf>
    <xf numFmtId="182" fontId="20" fillId="0" borderId="1" xfId="12" applyNumberFormat="1" applyFont="1" applyBorder="1" applyAlignment="1">
      <alignment vertical="center"/>
    </xf>
    <xf numFmtId="167" fontId="16" fillId="0" borderId="4" xfId="12" applyNumberFormat="1" applyFont="1" applyAlignment="1">
      <alignment vertical="center"/>
    </xf>
    <xf numFmtId="4" fontId="21" fillId="0" borderId="4" xfId="12" applyNumberFormat="1" applyFont="1" applyAlignment="1">
      <alignment horizontal="center" vertical="center"/>
    </xf>
    <xf numFmtId="0" fontId="21" fillId="0" borderId="1" xfId="12" applyFont="1" applyBorder="1" applyAlignment="1">
      <alignment horizontal="left" vertical="center" wrapText="1"/>
    </xf>
    <xf numFmtId="0" fontId="21" fillId="0" borderId="1" xfId="12" applyFont="1" applyBorder="1" applyAlignment="1">
      <alignment horizontal="center" vertical="center" wrapText="1"/>
    </xf>
    <xf numFmtId="4" fontId="21"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79" fontId="20" fillId="0" borderId="1" xfId="12" applyNumberFormat="1" applyFont="1" applyBorder="1" applyAlignment="1">
      <alignment vertical="center"/>
    </xf>
    <xf numFmtId="181" fontId="20" fillId="0" borderId="1" xfId="12" applyNumberFormat="1" applyFont="1" applyBorder="1" applyAlignment="1">
      <alignment horizontal="center" vertical="center" wrapText="1"/>
    </xf>
    <xf numFmtId="4" fontId="20" fillId="0" borderId="1" xfId="12" applyNumberFormat="1" applyFont="1" applyBorder="1" applyAlignment="1">
      <alignment horizontal="center" vertical="center" wrapText="1"/>
    </xf>
    <xf numFmtId="1" fontId="20" fillId="0" borderId="1" xfId="12" applyNumberFormat="1" applyFont="1" applyBorder="1" applyAlignment="1">
      <alignment horizontal="center" vertical="center"/>
    </xf>
    <xf numFmtId="0" fontId="20" fillId="0" borderId="1" xfId="12" applyFont="1" applyBorder="1" applyAlignment="1">
      <alignment horizontal="center" vertical="center" wrapText="1"/>
    </xf>
    <xf numFmtId="1" fontId="21" fillId="0" borderId="1" xfId="12" applyNumberFormat="1" applyFont="1" applyBorder="1" applyAlignment="1">
      <alignment horizontal="center" vertical="center"/>
    </xf>
    <xf numFmtId="1" fontId="21" fillId="0" borderId="4" xfId="12" applyNumberFormat="1" applyFont="1" applyAlignment="1">
      <alignment horizontal="center" vertical="center"/>
    </xf>
    <xf numFmtId="2" fontId="20" fillId="0" borderId="4" xfId="12" applyNumberFormat="1" applyFont="1" applyAlignment="1">
      <alignment horizontal="center" vertical="center"/>
    </xf>
    <xf numFmtId="173" fontId="21" fillId="0" borderId="1" xfId="12" applyNumberFormat="1" applyFont="1" applyBorder="1" applyAlignment="1">
      <alignment horizontal="center" vertical="center" wrapText="1"/>
    </xf>
    <xf numFmtId="178" fontId="21" fillId="0" borderId="1" xfId="12" applyNumberFormat="1" applyFont="1" applyBorder="1" applyAlignment="1">
      <alignment horizontal="center" vertical="center"/>
    </xf>
    <xf numFmtId="178" fontId="21" fillId="0" borderId="1" xfId="12" applyNumberFormat="1" applyFont="1" applyBorder="1" applyAlignment="1">
      <alignment horizontal="center" vertical="center" wrapText="1"/>
    </xf>
    <xf numFmtId="0" fontId="21" fillId="0" borderId="4" xfId="12" applyFont="1" applyAlignment="1">
      <alignment horizontal="left" vertical="center" wrapText="1"/>
    </xf>
    <xf numFmtId="0" fontId="16" fillId="0" borderId="4" xfId="12" applyFont="1" applyAlignment="1">
      <alignment horizontal="left" vertical="center" wrapText="1"/>
    </xf>
    <xf numFmtId="178" fontId="21" fillId="0" borderId="4" xfId="12" applyNumberFormat="1" applyFont="1" applyAlignment="1">
      <alignment horizontal="center" vertical="center" wrapText="1"/>
    </xf>
    <xf numFmtId="0" fontId="16" fillId="0" borderId="4" xfId="12" applyFont="1" applyAlignment="1">
      <alignment horizontal="right" vertical="center"/>
    </xf>
    <xf numFmtId="0" fontId="16" fillId="0" borderId="4" xfId="12" applyFont="1" applyAlignment="1">
      <alignment horizontal="center" vertical="center"/>
    </xf>
    <xf numFmtId="170" fontId="16" fillId="0" borderId="4" xfId="12" applyNumberFormat="1" applyFont="1" applyAlignment="1">
      <alignment horizontal="center" vertical="center"/>
    </xf>
    <xf numFmtId="183" fontId="20" fillId="0" borderId="4" xfId="12" applyNumberFormat="1" applyFont="1" applyAlignment="1">
      <alignment horizontal="center" vertical="center"/>
    </xf>
    <xf numFmtId="4" fontId="16" fillId="0" borderId="4" xfId="12" applyNumberFormat="1" applyFont="1" applyAlignment="1">
      <alignment vertical="center"/>
    </xf>
    <xf numFmtId="167" fontId="20" fillId="0" borderId="1" xfId="12" applyNumberFormat="1" applyFont="1" applyBorder="1" applyAlignment="1">
      <alignment horizontal="center" vertical="center"/>
    </xf>
    <xf numFmtId="175" fontId="16" fillId="0" borderId="4" xfId="12" applyNumberFormat="1" applyFont="1" applyAlignment="1">
      <alignment vertical="center"/>
    </xf>
    <xf numFmtId="184" fontId="20" fillId="0" borderId="1" xfId="12" applyNumberFormat="1" applyFont="1" applyBorder="1" applyAlignment="1">
      <alignment horizontal="center" vertical="center"/>
    </xf>
    <xf numFmtId="167" fontId="15" fillId="0" borderId="4" xfId="12" applyNumberFormat="1" applyAlignment="1">
      <alignment horizontal="center" vertical="center" wrapText="1"/>
    </xf>
    <xf numFmtId="0" fontId="21" fillId="0" borderId="14" xfId="12" applyFont="1" applyBorder="1" applyAlignment="1">
      <alignment horizontal="left" vertical="center" wrapText="1"/>
    </xf>
    <xf numFmtId="0" fontId="16" fillId="0" borderId="17" xfId="12" applyFont="1" applyBorder="1" applyAlignment="1">
      <alignment horizontal="left" vertical="center" wrapText="1"/>
    </xf>
    <xf numFmtId="0" fontId="16" fillId="0" borderId="18" xfId="12" applyFont="1" applyBorder="1" applyAlignment="1">
      <alignment horizontal="left" vertical="center" wrapText="1"/>
    </xf>
    <xf numFmtId="183" fontId="20" fillId="0" borderId="1" xfId="12" applyNumberFormat="1" applyFont="1" applyBorder="1" applyAlignment="1">
      <alignment horizontal="center" vertical="center"/>
    </xf>
    <xf numFmtId="10" fontId="16" fillId="0" borderId="4" xfId="12" applyNumberFormat="1" applyFont="1" applyAlignment="1">
      <alignment vertical="center"/>
    </xf>
    <xf numFmtId="183" fontId="16" fillId="0" borderId="4" xfId="12" applyNumberFormat="1" applyFont="1" applyAlignment="1">
      <alignment vertical="center"/>
    </xf>
    <xf numFmtId="0" fontId="20" fillId="0" borderId="14" xfId="12" applyFont="1" applyBorder="1" applyAlignment="1">
      <alignment horizontal="left" vertical="center"/>
    </xf>
    <xf numFmtId="0" fontId="20" fillId="0" borderId="17" xfId="12" applyFont="1" applyBorder="1" applyAlignment="1">
      <alignment horizontal="left" vertical="center"/>
    </xf>
    <xf numFmtId="0" fontId="20" fillId="0" borderId="18" xfId="12" applyFont="1" applyBorder="1" applyAlignment="1">
      <alignment horizontal="left" vertical="center"/>
    </xf>
    <xf numFmtId="185" fontId="20" fillId="0" borderId="1" xfId="12" applyNumberFormat="1" applyFont="1" applyBorder="1" applyAlignment="1">
      <alignment horizontal="center" vertical="center"/>
    </xf>
    <xf numFmtId="186" fontId="16" fillId="0" borderId="4" xfId="12" applyNumberFormat="1" applyFont="1" applyAlignment="1">
      <alignment vertical="center"/>
    </xf>
    <xf numFmtId="180" fontId="23" fillId="0" borderId="4" xfId="12" applyNumberFormat="1" applyFont="1" applyAlignment="1">
      <alignment horizontal="center"/>
    </xf>
    <xf numFmtId="4" fontId="23" fillId="0" borderId="4" xfId="12" applyNumberFormat="1" applyFont="1"/>
    <xf numFmtId="184" fontId="24" fillId="0" borderId="4" xfId="12" applyNumberFormat="1" applyFont="1" applyAlignment="1">
      <alignment horizontal="left" vertical="center" wrapText="1"/>
    </xf>
    <xf numFmtId="184" fontId="24" fillId="0" borderId="4" xfId="12" applyNumberFormat="1" applyFont="1" applyAlignment="1">
      <alignment horizontal="center" vertical="center"/>
    </xf>
    <xf numFmtId="2" fontId="24" fillId="0" borderId="4" xfId="12" applyNumberFormat="1" applyFont="1" applyAlignment="1">
      <alignment horizontal="center" vertical="center"/>
    </xf>
    <xf numFmtId="9" fontId="24" fillId="0" borderId="4" xfId="12" applyNumberFormat="1" applyFont="1" applyAlignment="1">
      <alignment horizontal="center" vertical="center"/>
    </xf>
    <xf numFmtId="173" fontId="24" fillId="0" borderId="4" xfId="12" applyNumberFormat="1" applyFont="1" applyAlignment="1">
      <alignment horizontal="center" vertical="center" wrapText="1"/>
    </xf>
    <xf numFmtId="173" fontId="24" fillId="0" borderId="4" xfId="12" applyNumberFormat="1" applyFont="1" applyAlignment="1">
      <alignment horizontal="left" vertical="center" wrapText="1"/>
    </xf>
    <xf numFmtId="0" fontId="24" fillId="0" borderId="4" xfId="12" applyFont="1" applyAlignment="1">
      <alignment vertical="center" wrapText="1"/>
    </xf>
    <xf numFmtId="187" fontId="24" fillId="0" borderId="4" xfId="12" applyNumberFormat="1" applyFont="1" applyAlignment="1">
      <alignment horizontal="center" vertical="center"/>
    </xf>
    <xf numFmtId="167" fontId="15" fillId="0" borderId="1" xfId="12" applyNumberFormat="1" applyBorder="1" applyAlignment="1">
      <alignment horizontal="center" vertical="center" wrapText="1"/>
    </xf>
    <xf numFmtId="0" fontId="0" fillId="0" borderId="0" xfId="0"/>
    <xf numFmtId="0" fontId="21" fillId="0" borderId="14" xfId="12" applyFont="1" applyBorder="1" applyAlignment="1">
      <alignment horizontal="left" vertical="center" wrapText="1"/>
    </xf>
    <xf numFmtId="0" fontId="15" fillId="0" borderId="4" xfId="12"/>
    <xf numFmtId="0" fontId="21" fillId="0" borderId="4" xfId="12" applyFont="1" applyBorder="1" applyAlignment="1">
      <alignment horizontal="left" vertical="center" wrapText="1"/>
    </xf>
    <xf numFmtId="0" fontId="16" fillId="0" borderId="4" xfId="12" applyFont="1" applyBorder="1" applyAlignment="1">
      <alignment horizontal="left" vertical="center" wrapText="1"/>
    </xf>
    <xf numFmtId="178" fontId="21" fillId="0" borderId="4" xfId="12" applyNumberFormat="1" applyFont="1" applyBorder="1" applyAlignment="1">
      <alignment horizontal="center" vertical="center" wrapText="1"/>
    </xf>
    <xf numFmtId="0" fontId="15" fillId="0" borderId="4" xfId="12" applyFill="1" applyAlignment="1">
      <alignment horizontal="center" vertical="center" wrapText="1"/>
    </xf>
    <xf numFmtId="0" fontId="3" fillId="0" borderId="27" xfId="12" applyFont="1" applyFill="1" applyBorder="1" applyAlignment="1">
      <alignment horizontal="left" vertical="center" wrapText="1"/>
    </xf>
    <xf numFmtId="0" fontId="15" fillId="0" borderId="1" xfId="12" applyFill="1" applyBorder="1" applyAlignment="1">
      <alignment horizontal="center" vertical="center" wrapText="1"/>
    </xf>
    <xf numFmtId="167" fontId="15" fillId="0" borderId="1" xfId="12" applyNumberFormat="1" applyFill="1" applyBorder="1" applyAlignment="1">
      <alignment horizontal="center" vertical="center" wrapText="1"/>
    </xf>
    <xf numFmtId="167" fontId="15" fillId="0" borderId="14" xfId="12" applyNumberFormat="1" applyFill="1" applyBorder="1" applyAlignment="1">
      <alignment horizontal="center" vertical="center" wrapText="1"/>
    </xf>
    <xf numFmtId="0" fontId="15" fillId="0" borderId="4" xfId="12" applyFill="1" applyAlignment="1">
      <alignment vertical="center"/>
    </xf>
    <xf numFmtId="0" fontId="9" fillId="0" borderId="27" xfId="12" applyFont="1" applyFill="1" applyBorder="1" applyAlignment="1">
      <alignment horizontal="left" vertical="center" wrapText="1"/>
    </xf>
    <xf numFmtId="4" fontId="15" fillId="0" borderId="27" xfId="12" applyNumberFormat="1" applyFill="1" applyBorder="1" applyAlignment="1">
      <alignment horizontal="center" vertical="center"/>
    </xf>
    <xf numFmtId="170" fontId="15" fillId="0" borderId="1" xfId="12" applyNumberFormat="1" applyFill="1" applyBorder="1" applyAlignment="1">
      <alignment horizontal="center" vertical="center" wrapText="1"/>
    </xf>
    <xf numFmtId="0" fontId="5" fillId="0" borderId="27" xfId="12" applyFont="1" applyFill="1" applyBorder="1" applyAlignment="1">
      <alignment horizontal="left" vertical="center" wrapText="1"/>
    </xf>
    <xf numFmtId="0" fontId="5" fillId="0" borderId="1" xfId="12" applyFont="1" applyFill="1" applyBorder="1" applyAlignment="1">
      <alignment horizontal="left" vertical="center" wrapText="1"/>
    </xf>
    <xf numFmtId="0" fontId="5" fillId="0" borderId="1" xfId="12" applyFont="1" applyFill="1" applyBorder="1" applyAlignment="1">
      <alignment horizontal="center" vertical="center" wrapText="1"/>
    </xf>
    <xf numFmtId="167" fontId="15" fillId="0" borderId="4" xfId="12" applyNumberFormat="1" applyFill="1" applyAlignment="1">
      <alignment horizontal="center" vertical="center" wrapText="1"/>
    </xf>
    <xf numFmtId="0" fontId="15" fillId="0" borderId="4" xfId="12"/>
    <xf numFmtId="0" fontId="21" fillId="0" borderId="4" xfId="12" applyFont="1" applyAlignment="1">
      <alignment horizontal="left" vertical="center" wrapText="1"/>
    </xf>
    <xf numFmtId="192" fontId="28" fillId="6" borderId="20" xfId="0" applyNumberFormat="1" applyFont="1" applyFill="1" applyBorder="1" applyAlignment="1">
      <alignment horizontal="center" vertical="center"/>
    </xf>
    <xf numFmtId="0" fontId="21"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xf>
    <xf numFmtId="0" fontId="21" fillId="0" borderId="0" xfId="0" applyFont="1" applyAlignment="1">
      <alignment horizontal="center" vertical="center"/>
    </xf>
    <xf numFmtId="0" fontId="20" fillId="0" borderId="0" xfId="0" applyFont="1" applyAlignment="1">
      <alignment horizontal="center" vertical="center"/>
    </xf>
    <xf numFmtId="178" fontId="21" fillId="0" borderId="0" xfId="0" applyNumberFormat="1" applyFont="1" applyAlignment="1">
      <alignment horizontal="center" vertical="center"/>
    </xf>
    <xf numFmtId="0" fontId="22" fillId="0" borderId="0" xfId="0" applyFont="1" applyAlignment="1">
      <alignment horizontal="center" vertical="center" wrapText="1"/>
    </xf>
    <xf numFmtId="0" fontId="21" fillId="0" borderId="0" xfId="0" applyFont="1" applyAlignment="1">
      <alignment horizontal="left" vertical="center"/>
    </xf>
    <xf numFmtId="0" fontId="21" fillId="0" borderId="0" xfId="0" applyFont="1" applyAlignment="1">
      <alignment vertical="center"/>
    </xf>
    <xf numFmtId="0" fontId="21" fillId="0" borderId="1" xfId="0" applyFont="1" applyBorder="1" applyAlignment="1">
      <alignment vertical="center"/>
    </xf>
    <xf numFmtId="0" fontId="21" fillId="0" borderId="18" xfId="0" applyFont="1" applyBorder="1" applyAlignment="1">
      <alignment horizontal="center" vertical="center"/>
    </xf>
    <xf numFmtId="0" fontId="20" fillId="0" borderId="27" xfId="0" applyFont="1" applyBorder="1" applyAlignment="1">
      <alignment vertical="center" wrapText="1"/>
    </xf>
    <xf numFmtId="0" fontId="20" fillId="0" borderId="20" xfId="0" applyFont="1" applyBorder="1" applyAlignment="1">
      <alignment horizontal="center" vertical="center"/>
    </xf>
    <xf numFmtId="183" fontId="20" fillId="0" borderId="20" xfId="0" applyNumberFormat="1" applyFont="1" applyBorder="1" applyAlignment="1">
      <alignment horizontal="center" vertical="center"/>
    </xf>
    <xf numFmtId="9" fontId="20" fillId="0" borderId="20" xfId="0" applyNumberFormat="1" applyFont="1" applyBorder="1" applyAlignment="1">
      <alignment horizontal="center" vertical="center"/>
    </xf>
    <xf numFmtId="179" fontId="20" fillId="0" borderId="20" xfId="0" applyNumberFormat="1" applyFont="1" applyBorder="1" applyAlignment="1">
      <alignment horizontal="center" vertical="center"/>
    </xf>
    <xf numFmtId="2" fontId="20" fillId="0" borderId="20" xfId="0" applyNumberFormat="1" applyFont="1" applyBorder="1" applyAlignment="1">
      <alignment horizontal="center" vertical="center"/>
    </xf>
    <xf numFmtId="0" fontId="28" fillId="6" borderId="27" xfId="0" applyFont="1" applyFill="1" applyBorder="1" applyAlignment="1">
      <alignment vertical="center" wrapText="1"/>
    </xf>
    <xf numFmtId="179" fontId="28" fillId="6" borderId="20" xfId="0" applyNumberFormat="1" applyFont="1" applyFill="1" applyBorder="1" applyAlignment="1">
      <alignment horizontal="center" vertical="center"/>
    </xf>
    <xf numFmtId="0" fontId="21" fillId="0" borderId="27" xfId="0" applyFont="1" applyBorder="1" applyAlignment="1">
      <alignment vertical="center"/>
    </xf>
    <xf numFmtId="0" fontId="21" fillId="0" borderId="20" xfId="0" applyFont="1" applyBorder="1" applyAlignment="1">
      <alignment vertical="center"/>
    </xf>
    <xf numFmtId="4" fontId="20" fillId="0" borderId="20" xfId="0" applyNumberFormat="1" applyFont="1" applyBorder="1" applyAlignment="1">
      <alignment horizontal="right" vertical="center"/>
    </xf>
    <xf numFmtId="4" fontId="21" fillId="0" borderId="20" xfId="0" applyNumberFormat="1" applyFont="1" applyBorder="1" applyAlignment="1">
      <alignment horizontal="center" vertical="center"/>
    </xf>
    <xf numFmtId="10" fontId="21" fillId="0" borderId="20" xfId="0" applyNumberFormat="1" applyFont="1" applyBorder="1" applyAlignment="1">
      <alignment horizontal="center" vertical="center"/>
    </xf>
    <xf numFmtId="179" fontId="21" fillId="0" borderId="20" xfId="0" applyNumberFormat="1" applyFont="1" applyBorder="1" applyAlignment="1">
      <alignment horizontal="right" vertical="center"/>
    </xf>
    <xf numFmtId="4" fontId="20" fillId="0" borderId="0" xfId="0" applyNumberFormat="1" applyFont="1" applyAlignment="1">
      <alignment horizontal="center" vertical="center"/>
    </xf>
    <xf numFmtId="10" fontId="20" fillId="0" borderId="0" xfId="0" applyNumberFormat="1" applyFont="1" applyAlignment="1">
      <alignment horizontal="center" vertical="center"/>
    </xf>
    <xf numFmtId="182" fontId="20" fillId="0" borderId="20" xfId="0" applyNumberFormat="1" applyFont="1" applyBorder="1" applyAlignment="1">
      <alignment vertical="center"/>
    </xf>
    <xf numFmtId="4" fontId="20" fillId="0" borderId="20" xfId="0" applyNumberFormat="1" applyFont="1" applyBorder="1" applyAlignment="1">
      <alignment horizontal="center" vertical="center"/>
    </xf>
    <xf numFmtId="179" fontId="20" fillId="0" borderId="20" xfId="0" applyNumberFormat="1" applyFont="1" applyBorder="1" applyAlignment="1">
      <alignment horizontal="right" vertical="center"/>
    </xf>
    <xf numFmtId="167" fontId="20" fillId="0" borderId="20" xfId="0" applyNumberFormat="1" applyFont="1" applyBorder="1" applyAlignment="1">
      <alignment horizontal="center" vertical="center"/>
    </xf>
    <xf numFmtId="180" fontId="20" fillId="0" borderId="20" xfId="0" applyNumberFormat="1" applyFont="1" applyBorder="1" applyAlignment="1">
      <alignment horizontal="center" vertical="center"/>
    </xf>
    <xf numFmtId="181" fontId="20" fillId="0" borderId="20" xfId="0" applyNumberFormat="1" applyFont="1" applyBorder="1" applyAlignment="1">
      <alignment horizontal="center" vertical="center"/>
    </xf>
    <xf numFmtId="4" fontId="21" fillId="0" borderId="0" xfId="0" applyNumberFormat="1" applyFont="1" applyAlignment="1">
      <alignment horizontal="center" vertical="center"/>
    </xf>
    <xf numFmtId="0" fontId="21" fillId="0" borderId="1" xfId="0" applyFont="1" applyBorder="1" applyAlignment="1">
      <alignment horizontal="left" vertical="center" wrapText="1"/>
    </xf>
    <xf numFmtId="0" fontId="21" fillId="0" borderId="18" xfId="0" applyFont="1" applyBorder="1" applyAlignment="1">
      <alignment horizontal="center" vertical="center" wrapText="1"/>
    </xf>
    <xf numFmtId="4" fontId="21" fillId="0" borderId="18" xfId="0" applyNumberFormat="1" applyFont="1" applyBorder="1" applyAlignment="1">
      <alignment horizontal="center" vertical="center" wrapText="1"/>
    </xf>
    <xf numFmtId="0" fontId="20" fillId="0" borderId="27" xfId="0" applyFont="1" applyBorder="1" applyAlignment="1">
      <alignment horizontal="left" vertical="center" wrapText="1"/>
    </xf>
    <xf numFmtId="0" fontId="20" fillId="0" borderId="20" xfId="0" applyFont="1" applyBorder="1" applyAlignment="1">
      <alignment horizontal="center" vertical="center" wrapText="1"/>
    </xf>
    <xf numFmtId="1" fontId="21" fillId="0" borderId="20" xfId="0" applyNumberFormat="1" applyFont="1" applyBorder="1" applyAlignment="1">
      <alignment horizontal="center" vertical="center"/>
    </xf>
    <xf numFmtId="0" fontId="21" fillId="0" borderId="20" xfId="0" applyFont="1" applyBorder="1" applyAlignment="1">
      <alignment horizontal="center" vertical="center"/>
    </xf>
    <xf numFmtId="1" fontId="21" fillId="0" borderId="0" xfId="0" applyNumberFormat="1" applyFont="1" applyAlignment="1">
      <alignment horizontal="center" vertical="center"/>
    </xf>
    <xf numFmtId="0" fontId="20" fillId="0" borderId="27" xfId="0" applyFont="1" applyBorder="1" applyAlignment="1">
      <alignment vertical="center"/>
    </xf>
    <xf numFmtId="183" fontId="20" fillId="0" borderId="0" xfId="0" applyNumberFormat="1" applyFont="1" applyAlignment="1">
      <alignment horizontal="center" vertical="center"/>
    </xf>
    <xf numFmtId="4" fontId="20" fillId="0" borderId="27" xfId="0" applyNumberFormat="1" applyFont="1" applyBorder="1" applyAlignment="1">
      <alignment horizontal="center" vertical="center"/>
    </xf>
    <xf numFmtId="4" fontId="20" fillId="0" borderId="18" xfId="0" applyNumberFormat="1" applyFont="1" applyBorder="1" applyAlignment="1">
      <alignment horizontal="center" vertical="center"/>
    </xf>
    <xf numFmtId="10" fontId="20" fillId="0" borderId="20" xfId="0" applyNumberFormat="1" applyFont="1" applyBorder="1" applyAlignment="1">
      <alignment horizontal="center" vertical="center"/>
    </xf>
    <xf numFmtId="173" fontId="21" fillId="0" borderId="18" xfId="0" applyNumberFormat="1" applyFont="1" applyBorder="1" applyAlignment="1">
      <alignment horizontal="center" vertical="center" wrapText="1"/>
    </xf>
    <xf numFmtId="178" fontId="21" fillId="0" borderId="20" xfId="0" applyNumberFormat="1" applyFont="1" applyBorder="1" applyAlignment="1">
      <alignment horizontal="center" vertical="center"/>
    </xf>
    <xf numFmtId="0" fontId="21" fillId="0" borderId="19" xfId="0" applyFont="1" applyBorder="1" applyAlignment="1">
      <alignment horizontal="left" vertical="center" wrapText="1"/>
    </xf>
    <xf numFmtId="0" fontId="16" fillId="0" borderId="24" xfId="0" applyFont="1" applyBorder="1" applyAlignment="1">
      <alignment horizontal="left" vertical="center" wrapText="1"/>
    </xf>
    <xf numFmtId="0" fontId="16" fillId="0" borderId="20" xfId="0" applyFont="1" applyBorder="1" applyAlignment="1">
      <alignment horizontal="left" vertical="center" wrapText="1"/>
    </xf>
    <xf numFmtId="178" fontId="21" fillId="0" borderId="20" xfId="0" applyNumberFormat="1" applyFont="1" applyBorder="1" applyAlignment="1">
      <alignment horizontal="center" vertical="center" wrapText="1"/>
    </xf>
    <xf numFmtId="0" fontId="16" fillId="0" borderId="0" xfId="0" applyFont="1" applyAlignment="1">
      <alignment vertical="center"/>
    </xf>
    <xf numFmtId="0" fontId="28" fillId="0" borderId="1" xfId="12" applyFont="1" applyBorder="1" applyAlignment="1">
      <alignment vertical="center" wrapText="1"/>
    </xf>
    <xf numFmtId="0" fontId="28" fillId="0" borderId="1" xfId="12" applyFont="1" applyBorder="1" applyAlignment="1">
      <alignment horizontal="center" vertical="center"/>
    </xf>
    <xf numFmtId="179" fontId="28" fillId="0" borderId="1" xfId="12" applyNumberFormat="1" applyFont="1" applyBorder="1" applyAlignment="1">
      <alignment horizontal="center" vertical="center"/>
    </xf>
    <xf numFmtId="183" fontId="28" fillId="0" borderId="1" xfId="12" applyNumberFormat="1" applyFont="1" applyBorder="1" applyAlignment="1">
      <alignment horizontal="center" vertical="center"/>
    </xf>
    <xf numFmtId="9" fontId="28" fillId="0" borderId="1" xfId="12" applyNumberFormat="1" applyFont="1" applyBorder="1" applyAlignment="1">
      <alignment horizontal="center" vertical="center"/>
    </xf>
    <xf numFmtId="0" fontId="31" fillId="0" borderId="4" xfId="12" applyFont="1" applyAlignment="1">
      <alignment vertical="center"/>
    </xf>
    <xf numFmtId="0" fontId="30" fillId="0" borderId="4" xfId="12" applyFont="1"/>
    <xf numFmtId="180" fontId="23" fillId="0" borderId="0" xfId="0" applyNumberFormat="1" applyFont="1" applyAlignment="1">
      <alignment horizontal="center"/>
    </xf>
    <xf numFmtId="4" fontId="23" fillId="0" borderId="0" xfId="0" applyNumberFormat="1" applyFont="1"/>
    <xf numFmtId="0" fontId="20" fillId="0" borderId="14" xfId="0" applyFont="1" applyBorder="1" applyAlignment="1">
      <alignment horizontal="left" vertical="center"/>
    </xf>
    <xf numFmtId="0" fontId="20" fillId="0" borderId="17" xfId="0" applyFont="1" applyBorder="1" applyAlignment="1">
      <alignment horizontal="left" vertical="center"/>
    </xf>
    <xf numFmtId="0" fontId="20" fillId="0" borderId="18" xfId="0" applyFont="1" applyBorder="1" applyAlignment="1">
      <alignment horizontal="left" vertical="center"/>
    </xf>
    <xf numFmtId="168" fontId="20" fillId="0" borderId="20" xfId="0" applyNumberFormat="1" applyFont="1" applyBorder="1" applyAlignment="1">
      <alignment horizontal="center" vertical="center"/>
    </xf>
    <xf numFmtId="0" fontId="15" fillId="0" borderId="4" xfId="12"/>
    <xf numFmtId="0" fontId="17" fillId="0" borderId="7" xfId="0" applyFont="1" applyBorder="1" applyAlignment="1">
      <alignment vertical="center"/>
    </xf>
    <xf numFmtId="0" fontId="17" fillId="0" borderId="39" xfId="0" applyFont="1" applyBorder="1" applyAlignment="1">
      <alignment vertical="center"/>
    </xf>
    <xf numFmtId="0" fontId="17" fillId="0" borderId="39" xfId="0" applyFont="1" applyBorder="1" applyAlignment="1">
      <alignment horizontal="right" vertical="center"/>
    </xf>
    <xf numFmtId="0" fontId="17" fillId="0" borderId="39" xfId="0" applyFont="1" applyBorder="1" applyAlignment="1">
      <alignment horizontal="center" vertical="center"/>
    </xf>
    <xf numFmtId="0" fontId="17" fillId="0" borderId="8" xfId="0" applyFont="1" applyBorder="1" applyAlignment="1">
      <alignment horizontal="center" vertical="center"/>
    </xf>
    <xf numFmtId="0" fontId="20" fillId="0" borderId="4" xfId="0" applyFont="1" applyBorder="1" applyAlignment="1">
      <alignment vertical="center"/>
    </xf>
    <xf numFmtId="0" fontId="20" fillId="0" borderId="4" xfId="0" applyFont="1" applyBorder="1" applyAlignment="1">
      <alignment horizontal="center" vertical="center"/>
    </xf>
    <xf numFmtId="0" fontId="20" fillId="0" borderId="4" xfId="0" applyFont="1" applyBorder="1" applyAlignment="1">
      <alignment vertical="center" wrapText="1"/>
    </xf>
    <xf numFmtId="0" fontId="20" fillId="0" borderId="4" xfId="0" applyFont="1" applyBorder="1" applyAlignment="1">
      <alignment horizontal="left" vertical="center" wrapText="1"/>
    </xf>
    <xf numFmtId="0" fontId="21" fillId="0" borderId="4" xfId="0" applyFont="1" applyBorder="1" applyAlignment="1">
      <alignment horizontal="center" vertical="center"/>
    </xf>
    <xf numFmtId="178" fontId="21" fillId="0" borderId="4" xfId="0" applyNumberFormat="1" applyFont="1" applyBorder="1" applyAlignment="1">
      <alignment horizontal="center" vertical="center"/>
    </xf>
    <xf numFmtId="0" fontId="22" fillId="0" borderId="4" xfId="0" applyFont="1" applyBorder="1" applyAlignment="1">
      <alignment horizontal="center" vertical="center" wrapText="1"/>
    </xf>
    <xf numFmtId="0" fontId="21" fillId="0" borderId="4" xfId="0" applyFont="1" applyBorder="1" applyAlignment="1">
      <alignment horizontal="left" vertical="center"/>
    </xf>
    <xf numFmtId="0" fontId="21" fillId="0" borderId="4" xfId="0" applyFont="1" applyBorder="1" applyAlignment="1">
      <alignment vertical="center"/>
    </xf>
    <xf numFmtId="4" fontId="20" fillId="0" borderId="4" xfId="0" applyNumberFormat="1" applyFont="1" applyBorder="1" applyAlignment="1">
      <alignment horizontal="center" vertical="center"/>
    </xf>
    <xf numFmtId="10" fontId="20" fillId="0" borderId="4" xfId="0" applyNumberFormat="1" applyFont="1" applyBorder="1" applyAlignment="1">
      <alignment horizontal="center" vertical="center"/>
    </xf>
    <xf numFmtId="4" fontId="21" fillId="0" borderId="4" xfId="0" applyNumberFormat="1" applyFont="1" applyBorder="1" applyAlignment="1">
      <alignment horizontal="center" vertical="center"/>
    </xf>
    <xf numFmtId="4" fontId="20" fillId="0" borderId="20" xfId="0" applyNumberFormat="1" applyFont="1" applyBorder="1" applyAlignment="1">
      <alignment horizontal="center" vertical="center" wrapText="1"/>
    </xf>
    <xf numFmtId="1" fontId="21" fillId="0" borderId="4" xfId="0" applyNumberFormat="1" applyFont="1" applyBorder="1" applyAlignment="1">
      <alignment horizontal="center" vertical="center"/>
    </xf>
    <xf numFmtId="183" fontId="20" fillId="0" borderId="4" xfId="0" applyNumberFormat="1" applyFont="1" applyBorder="1" applyAlignment="1">
      <alignment horizontal="center" vertical="center"/>
    </xf>
    <xf numFmtId="0" fontId="15" fillId="0" borderId="4" xfId="12"/>
    <xf numFmtId="0" fontId="21" fillId="0" borderId="4" xfId="12" applyFont="1" applyAlignment="1">
      <alignment horizontal="left" vertical="center" wrapText="1"/>
    </xf>
    <xf numFmtId="173" fontId="16" fillId="0" borderId="4" xfId="12" applyNumberFormat="1" applyFont="1" applyAlignment="1">
      <alignment vertical="center"/>
    </xf>
    <xf numFmtId="44" fontId="16" fillId="0" borderId="4" xfId="12" applyNumberFormat="1" applyFont="1" applyAlignment="1">
      <alignment vertical="center"/>
    </xf>
    <xf numFmtId="0" fontId="20" fillId="0" borderId="14" xfId="12" applyFont="1" applyBorder="1" applyAlignment="1">
      <alignment horizontal="left" vertical="center"/>
    </xf>
    <xf numFmtId="0" fontId="5" fillId="0" borderId="17" xfId="12" applyFont="1" applyBorder="1"/>
    <xf numFmtId="0" fontId="5" fillId="0" borderId="18" xfId="12" applyFont="1" applyBorder="1"/>
    <xf numFmtId="41" fontId="16" fillId="0" borderId="4" xfId="15" applyFont="1" applyBorder="1" applyAlignment="1">
      <alignment vertical="center"/>
    </xf>
    <xf numFmtId="165" fontId="16" fillId="0" borderId="4" xfId="14" applyFont="1" applyBorder="1" applyAlignment="1">
      <alignment vertical="center"/>
    </xf>
    <xf numFmtId="193" fontId="16" fillId="0" borderId="4" xfId="14" applyNumberFormat="1" applyFont="1" applyBorder="1" applyAlignment="1">
      <alignment vertical="center"/>
    </xf>
    <xf numFmtId="176" fontId="20" fillId="0" borderId="1" xfId="12" applyNumberFormat="1" applyFont="1" applyBorder="1" applyAlignment="1">
      <alignment horizontal="center" vertical="center"/>
    </xf>
    <xf numFmtId="0" fontId="15" fillId="0" borderId="1" xfId="12" applyFill="1" applyBorder="1" applyAlignment="1">
      <alignment horizontal="left" vertical="center" wrapText="1"/>
    </xf>
    <xf numFmtId="0" fontId="5" fillId="0" borderId="1" xfId="12" applyFont="1" applyFill="1" applyBorder="1" applyAlignment="1">
      <alignment horizontal="center" vertical="center"/>
    </xf>
    <xf numFmtId="170" fontId="5" fillId="0" borderId="1" xfId="12" applyNumberFormat="1" applyFont="1" applyFill="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170" fontId="0" fillId="0" borderId="1" xfId="0" applyNumberFormat="1" applyFont="1" applyFill="1" applyBorder="1" applyAlignment="1">
      <alignment horizontal="center" vertical="center" wrapText="1"/>
    </xf>
    <xf numFmtId="170" fontId="15" fillId="0" borderId="1" xfId="0" applyNumberFormat="1" applyFont="1" applyFill="1" applyBorder="1" applyAlignment="1">
      <alignment horizontal="center" vertical="center" wrapText="1"/>
    </xf>
    <xf numFmtId="0" fontId="3" fillId="0" borderId="12" xfId="12" applyFont="1" applyFill="1" applyBorder="1" applyAlignment="1">
      <alignment horizontal="right" vertical="center" wrapText="1"/>
    </xf>
    <xf numFmtId="0" fontId="3" fillId="0" borderId="12" xfId="12" applyFont="1" applyFill="1" applyBorder="1" applyAlignment="1">
      <alignment horizontal="center" vertical="center" wrapText="1"/>
    </xf>
    <xf numFmtId="167" fontId="3" fillId="0" borderId="12" xfId="12" applyNumberFormat="1" applyFont="1" applyFill="1" applyBorder="1" applyAlignment="1">
      <alignment horizontal="center" vertical="center" wrapText="1"/>
    </xf>
    <xf numFmtId="0" fontId="21" fillId="0" borderId="4" xfId="12" applyFont="1" applyAlignment="1">
      <alignment horizontal="left" vertical="center" wrapText="1"/>
    </xf>
    <xf numFmtId="0" fontId="21" fillId="0" borderId="14" xfId="0" applyFont="1" applyBorder="1" applyAlignment="1">
      <alignment horizontal="left" vertical="center" wrapText="1"/>
    </xf>
    <xf numFmtId="0" fontId="21" fillId="0" borderId="0" xfId="0" applyFont="1" applyAlignment="1">
      <alignment horizontal="left" vertical="center" wrapText="1"/>
    </xf>
    <xf numFmtId="0" fontId="20" fillId="6" borderId="4" xfId="12" applyFont="1" applyFill="1" applyAlignment="1">
      <alignment vertical="center"/>
    </xf>
    <xf numFmtId="0" fontId="20" fillId="6" borderId="4" xfId="12" applyFont="1" applyFill="1" applyAlignment="1">
      <alignment horizontal="center" vertical="center"/>
    </xf>
    <xf numFmtId="0" fontId="16" fillId="6" borderId="4" xfId="12" applyFont="1" applyFill="1" applyAlignment="1">
      <alignment vertical="center"/>
    </xf>
    <xf numFmtId="0" fontId="15" fillId="6" borderId="4" xfId="12" applyFill="1"/>
    <xf numFmtId="0" fontId="15" fillId="0" borderId="4" xfId="12"/>
    <xf numFmtId="0" fontId="21" fillId="0" borderId="4" xfId="12" applyFont="1" applyAlignment="1">
      <alignment horizontal="left" vertical="center" wrapText="1"/>
    </xf>
    <xf numFmtId="0" fontId="21" fillId="0" borderId="0" xfId="0" applyFont="1" applyAlignment="1">
      <alignment horizontal="left" vertical="center" wrapText="1"/>
    </xf>
    <xf numFmtId="0" fontId="36" fillId="9" borderId="50" xfId="0" applyFont="1" applyFill="1" applyBorder="1" applyAlignment="1" applyProtection="1">
      <alignment vertical="top"/>
      <protection hidden="1"/>
    </xf>
    <xf numFmtId="0" fontId="36" fillId="9" borderId="47" xfId="0" applyFont="1" applyFill="1" applyBorder="1" applyAlignment="1" applyProtection="1">
      <alignment vertical="top" wrapText="1"/>
      <protection hidden="1"/>
    </xf>
    <xf numFmtId="0" fontId="37" fillId="9" borderId="47" xfId="0" applyFont="1" applyFill="1" applyBorder="1" applyAlignment="1" applyProtection="1">
      <alignment horizontal="center" vertical="top" wrapText="1"/>
      <protection hidden="1"/>
    </xf>
    <xf numFmtId="0" fontId="38" fillId="9" borderId="47" xfId="0" applyFont="1" applyFill="1" applyBorder="1" applyAlignment="1" applyProtection="1">
      <alignment horizontal="center"/>
      <protection hidden="1"/>
    </xf>
    <xf numFmtId="178" fontId="36" fillId="9" borderId="48" xfId="16" applyFont="1" applyFill="1" applyBorder="1" applyAlignment="1" applyProtection="1">
      <alignment horizontal="center" vertical="center"/>
      <protection hidden="1"/>
    </xf>
    <xf numFmtId="0" fontId="37" fillId="9" borderId="29" xfId="0" applyFont="1" applyFill="1" applyBorder="1" applyAlignment="1" applyProtection="1">
      <alignment vertical="top"/>
      <protection hidden="1"/>
    </xf>
    <xf numFmtId="0" fontId="36" fillId="9" borderId="34" xfId="0" applyFont="1" applyFill="1" applyBorder="1" applyAlignment="1" applyProtection="1">
      <alignment vertical="top" wrapText="1"/>
      <protection hidden="1"/>
    </xf>
    <xf numFmtId="0" fontId="38" fillId="9" borderId="34" xfId="0" applyFont="1" applyFill="1" applyBorder="1" applyAlignment="1" applyProtection="1">
      <alignment horizontal="center"/>
      <protection hidden="1"/>
    </xf>
    <xf numFmtId="178" fontId="37" fillId="9" borderId="33" xfId="16" applyFont="1" applyFill="1" applyBorder="1" applyAlignment="1" applyProtection="1">
      <alignment horizontal="center" vertical="center"/>
      <protection hidden="1"/>
    </xf>
    <xf numFmtId="0" fontId="40" fillId="0" borderId="51" xfId="0" applyFont="1" applyBorder="1" applyAlignment="1" applyProtection="1">
      <alignment horizontal="left" vertical="top"/>
      <protection hidden="1"/>
    </xf>
    <xf numFmtId="0" fontId="40" fillId="0" borderId="52" xfId="0" applyFont="1" applyBorder="1" applyAlignment="1" applyProtection="1">
      <alignment horizontal="center" vertical="center"/>
      <protection hidden="1"/>
    </xf>
    <xf numFmtId="178" fontId="40" fillId="0" borderId="52" xfId="16" applyFont="1" applyFill="1" applyBorder="1" applyAlignment="1" applyProtection="1">
      <alignment horizontal="center" vertical="center"/>
      <protection hidden="1"/>
    </xf>
    <xf numFmtId="174" fontId="40" fillId="0" borderId="53" xfId="16" applyNumberFormat="1" applyFont="1" applyFill="1" applyBorder="1" applyAlignment="1" applyProtection="1">
      <alignment horizontal="center" vertical="center"/>
      <protection hidden="1"/>
    </xf>
    <xf numFmtId="194" fontId="37" fillId="11" borderId="54" xfId="17" applyNumberFormat="1" applyFont="1" applyFill="1" applyBorder="1"/>
    <xf numFmtId="194" fontId="37" fillId="11" borderId="55" xfId="17" applyNumberFormat="1" applyFont="1" applyFill="1" applyBorder="1" applyAlignment="1">
      <alignment horizontal="center"/>
    </xf>
    <xf numFmtId="0" fontId="37" fillId="11" borderId="55" xfId="18" applyFont="1" applyFill="1" applyBorder="1" applyAlignment="1">
      <alignment horizontal="center"/>
    </xf>
    <xf numFmtId="190" fontId="37" fillId="0" borderId="56" xfId="0" applyNumberFormat="1" applyFont="1" applyBorder="1" applyAlignment="1" applyProtection="1">
      <alignment horizontal="center" vertical="center"/>
      <protection hidden="1"/>
    </xf>
    <xf numFmtId="166" fontId="37" fillId="11" borderId="56" xfId="19" applyFont="1" applyFill="1" applyBorder="1"/>
    <xf numFmtId="168" fontId="37" fillId="0" borderId="57" xfId="13" applyNumberFormat="1" applyFont="1" applyFill="1" applyBorder="1" applyAlignment="1" applyProtection="1">
      <alignment horizontal="right" vertical="center"/>
      <protection hidden="1"/>
    </xf>
    <xf numFmtId="194" fontId="37" fillId="11" borderId="58" xfId="17" applyNumberFormat="1" applyFont="1" applyFill="1" applyBorder="1"/>
    <xf numFmtId="194" fontId="37" fillId="11" borderId="59" xfId="17" applyNumberFormat="1" applyFont="1" applyFill="1" applyBorder="1" applyAlignment="1">
      <alignment horizontal="center"/>
    </xf>
    <xf numFmtId="0" fontId="37" fillId="11" borderId="59" xfId="18" applyFont="1" applyFill="1" applyBorder="1" applyAlignment="1">
      <alignment horizontal="center"/>
    </xf>
    <xf numFmtId="0" fontId="37" fillId="0" borderId="60" xfId="0" applyFont="1" applyBorder="1" applyAlignment="1" applyProtection="1">
      <alignment horizontal="center" vertical="center"/>
      <protection hidden="1"/>
    </xf>
    <xf numFmtId="166" fontId="37" fillId="11" borderId="60" xfId="19" applyFont="1" applyFill="1" applyBorder="1"/>
    <xf numFmtId="168" fontId="37" fillId="0" borderId="61" xfId="13" applyNumberFormat="1" applyFont="1" applyFill="1" applyBorder="1" applyAlignment="1" applyProtection="1">
      <alignment horizontal="right" vertical="center"/>
      <protection hidden="1"/>
    </xf>
    <xf numFmtId="194" fontId="37" fillId="11" borderId="62" xfId="17" applyNumberFormat="1" applyFont="1" applyFill="1" applyBorder="1"/>
    <xf numFmtId="194" fontId="37" fillId="11" borderId="63" xfId="17" applyNumberFormat="1" applyFont="1" applyFill="1" applyBorder="1" applyAlignment="1">
      <alignment horizontal="center"/>
    </xf>
    <xf numFmtId="189" fontId="37" fillId="11" borderId="60" xfId="19" applyNumberFormat="1" applyFont="1" applyFill="1" applyBorder="1"/>
    <xf numFmtId="0" fontId="37" fillId="0" borderId="64" xfId="0" applyFont="1" applyBorder="1" applyAlignment="1">
      <alignment vertical="center"/>
    </xf>
    <xf numFmtId="0" fontId="37" fillId="0" borderId="65" xfId="0" applyFont="1" applyBorder="1" applyAlignment="1">
      <alignment horizontal="center" vertical="center"/>
    </xf>
    <xf numFmtId="0" fontId="37" fillId="0" borderId="66" xfId="0" applyFont="1" applyBorder="1" applyAlignment="1" applyProtection="1">
      <alignment vertical="center"/>
      <protection hidden="1"/>
    </xf>
    <xf numFmtId="0" fontId="37" fillId="0" borderId="67" xfId="0" applyFont="1" applyBorder="1" applyAlignment="1" applyProtection="1">
      <alignment vertical="center"/>
      <protection hidden="1"/>
    </xf>
    <xf numFmtId="195" fontId="37" fillId="0" borderId="67" xfId="0" applyNumberFormat="1" applyFont="1" applyBorder="1" applyAlignment="1">
      <alignment vertical="center"/>
    </xf>
    <xf numFmtId="0" fontId="38" fillId="0" borderId="68" xfId="0" applyFont="1" applyBorder="1"/>
    <xf numFmtId="0" fontId="37" fillId="0" borderId="30" xfId="0" applyFont="1" applyBorder="1" applyAlignment="1">
      <alignment vertical="center"/>
    </xf>
    <xf numFmtId="0" fontId="37" fillId="0" borderId="49" xfId="0" applyFont="1" applyBorder="1" applyAlignment="1">
      <alignment horizontal="center" vertical="center"/>
    </xf>
    <xf numFmtId="0" fontId="37" fillId="0" borderId="69" xfId="0" applyFont="1" applyBorder="1" applyAlignment="1" applyProtection="1">
      <alignment vertical="center"/>
      <protection hidden="1"/>
    </xf>
    <xf numFmtId="168" fontId="37" fillId="0" borderId="33" xfId="13" applyNumberFormat="1" applyFont="1" applyFill="1" applyBorder="1" applyAlignment="1" applyProtection="1">
      <alignment horizontal="right" vertical="center"/>
      <protection hidden="1"/>
    </xf>
    <xf numFmtId="0" fontId="36" fillId="0" borderId="30" xfId="0" applyFont="1" applyBorder="1" applyAlignment="1">
      <alignment vertical="center"/>
    </xf>
    <xf numFmtId="0" fontId="40" fillId="0" borderId="69" xfId="0" applyFont="1" applyBorder="1" applyAlignment="1" applyProtection="1">
      <alignment horizontal="center" vertical="center" wrapText="1"/>
      <protection hidden="1"/>
    </xf>
    <xf numFmtId="0" fontId="40" fillId="0" borderId="49" xfId="0" applyFont="1" applyBorder="1" applyAlignment="1" applyProtection="1">
      <alignment horizontal="center" vertical="center" wrapText="1"/>
      <protection hidden="1"/>
    </xf>
    <xf numFmtId="195" fontId="40" fillId="0" borderId="49" xfId="0" applyNumberFormat="1" applyFont="1" applyBorder="1" applyAlignment="1">
      <alignment horizontal="center" vertical="center" wrapText="1"/>
    </xf>
    <xf numFmtId="168" fontId="37" fillId="0" borderId="70" xfId="13" applyNumberFormat="1" applyFont="1" applyFill="1" applyBorder="1" applyAlignment="1" applyProtection="1">
      <alignment horizontal="right" vertical="center"/>
      <protection hidden="1"/>
    </xf>
    <xf numFmtId="0" fontId="37" fillId="0" borderId="32" xfId="0" applyFont="1" applyBorder="1" applyAlignment="1" applyProtection="1">
      <alignment horizontal="left" vertical="top"/>
      <protection hidden="1"/>
    </xf>
    <xf numFmtId="0" fontId="37" fillId="0" borderId="0" xfId="0" applyFont="1" applyAlignment="1" applyProtection="1">
      <alignment horizontal="center" vertical="center"/>
      <protection hidden="1"/>
    </xf>
    <xf numFmtId="2" fontId="37" fillId="0" borderId="0" xfId="0" applyNumberFormat="1" applyFont="1" applyAlignment="1" applyProtection="1">
      <alignment horizontal="center" vertical="center"/>
      <protection hidden="1"/>
    </xf>
    <xf numFmtId="196" fontId="37" fillId="0" borderId="4" xfId="8" applyNumberFormat="1" applyFont="1" applyFill="1" applyBorder="1" applyAlignment="1" applyProtection="1">
      <alignment horizontal="center" vertical="center"/>
      <protection hidden="1"/>
    </xf>
    <xf numFmtId="196" fontId="37" fillId="0" borderId="71" xfId="8" applyNumberFormat="1" applyFont="1" applyFill="1" applyBorder="1" applyAlignment="1" applyProtection="1">
      <alignment horizontal="center" vertical="center"/>
      <protection hidden="1"/>
    </xf>
    <xf numFmtId="0" fontId="37" fillId="0" borderId="32" xfId="0" applyFont="1" applyBorder="1" applyAlignment="1">
      <alignment vertical="center"/>
    </xf>
    <xf numFmtId="0" fontId="37" fillId="0" borderId="0" xfId="0" applyFont="1" applyAlignment="1">
      <alignment horizontal="center" vertical="center"/>
    </xf>
    <xf numFmtId="0" fontId="37" fillId="0" borderId="0" xfId="0" applyFont="1" applyAlignment="1" applyProtection="1">
      <alignment vertical="center"/>
      <protection hidden="1"/>
    </xf>
    <xf numFmtId="195" fontId="37" fillId="0" borderId="0" xfId="0" applyNumberFormat="1" applyFont="1" applyAlignment="1">
      <alignment vertical="center"/>
    </xf>
    <xf numFmtId="168" fontId="37" fillId="0" borderId="72" xfId="13" applyNumberFormat="1" applyFont="1" applyFill="1" applyBorder="1" applyAlignment="1" applyProtection="1">
      <alignment horizontal="right" vertical="center"/>
      <protection hidden="1"/>
    </xf>
    <xf numFmtId="168" fontId="37" fillId="0" borderId="73" xfId="13" applyNumberFormat="1" applyFont="1" applyFill="1" applyBorder="1" applyAlignment="1" applyProtection="1">
      <alignment horizontal="right" vertical="center"/>
      <protection hidden="1"/>
    </xf>
    <xf numFmtId="0" fontId="37" fillId="0" borderId="4" xfId="0" applyFont="1" applyBorder="1" applyAlignment="1" applyProtection="1">
      <alignment vertical="center"/>
      <protection hidden="1"/>
    </xf>
    <xf numFmtId="196" fontId="37" fillId="0" borderId="33" xfId="8" applyNumberFormat="1" applyFont="1" applyFill="1" applyBorder="1" applyAlignment="1" applyProtection="1">
      <alignment horizontal="right" vertical="center"/>
      <protection hidden="1"/>
    </xf>
    <xf numFmtId="0" fontId="36" fillId="10" borderId="29" xfId="0" applyFont="1" applyFill="1" applyBorder="1" applyAlignment="1" applyProtection="1">
      <alignment horizontal="left" vertical="center"/>
      <protection hidden="1"/>
    </xf>
    <xf numFmtId="0" fontId="37" fillId="0" borderId="74" xfId="0" applyFont="1" applyBorder="1" applyAlignment="1" applyProtection="1">
      <alignment horizontal="center" vertical="center"/>
      <protection hidden="1"/>
    </xf>
    <xf numFmtId="0" fontId="37" fillId="0" borderId="74" xfId="0" applyFont="1" applyBorder="1" applyAlignment="1" applyProtection="1">
      <alignment vertical="center"/>
      <protection hidden="1"/>
    </xf>
    <xf numFmtId="0" fontId="37" fillId="0" borderId="34" xfId="0" applyFont="1" applyBorder="1" applyAlignment="1" applyProtection="1">
      <alignment vertical="center"/>
      <protection hidden="1"/>
    </xf>
    <xf numFmtId="178" fontId="37" fillId="0" borderId="34" xfId="16" applyFont="1" applyFill="1" applyBorder="1" applyAlignment="1" applyProtection="1">
      <alignment horizontal="right" vertical="center"/>
      <protection hidden="1"/>
    </xf>
    <xf numFmtId="168" fontId="36" fillId="0" borderId="75" xfId="13" applyNumberFormat="1" applyFont="1" applyFill="1" applyBorder="1" applyAlignment="1" applyProtection="1">
      <alignment horizontal="right" vertical="center"/>
      <protection hidden="1"/>
    </xf>
    <xf numFmtId="0" fontId="40" fillId="0" borderId="29" xfId="0" applyFont="1" applyBorder="1" applyAlignment="1">
      <alignment vertical="center"/>
    </xf>
    <xf numFmtId="0" fontId="40" fillId="0" borderId="34" xfId="0" applyFont="1" applyBorder="1" applyAlignment="1">
      <alignment horizontal="center" vertical="center"/>
    </xf>
    <xf numFmtId="0" fontId="40" fillId="0" borderId="34" xfId="0" applyFont="1" applyBorder="1" applyAlignment="1" applyProtection="1">
      <alignment horizontal="center" vertical="center"/>
      <protection hidden="1"/>
    </xf>
    <xf numFmtId="196" fontId="40" fillId="0" borderId="37" xfId="8" applyNumberFormat="1" applyFont="1" applyFill="1" applyBorder="1" applyAlignment="1" applyProtection="1">
      <alignment horizontal="center" vertical="center"/>
      <protection hidden="1"/>
    </xf>
    <xf numFmtId="0" fontId="37" fillId="0" borderId="76" xfId="0" applyFont="1" applyBorder="1" applyAlignment="1">
      <alignment horizontal="center" vertical="center"/>
    </xf>
    <xf numFmtId="42" fontId="37" fillId="0" borderId="76" xfId="8" applyFont="1" applyBorder="1" applyAlignment="1">
      <alignment vertical="center"/>
    </xf>
    <xf numFmtId="10" fontId="37" fillId="0" borderId="76" xfId="9" applyNumberFormat="1" applyFont="1" applyBorder="1" applyAlignment="1">
      <alignment horizontal="center" vertical="center"/>
    </xf>
    <xf numFmtId="2" fontId="37" fillId="0" borderId="76" xfId="8" applyNumberFormat="1" applyFont="1" applyBorder="1" applyAlignment="1">
      <alignment horizontal="center" vertical="center"/>
    </xf>
    <xf numFmtId="168" fontId="37" fillId="0" borderId="77" xfId="13" applyNumberFormat="1" applyFont="1" applyFill="1" applyBorder="1" applyAlignment="1" applyProtection="1">
      <alignment horizontal="right" vertical="center"/>
      <protection hidden="1"/>
    </xf>
    <xf numFmtId="0" fontId="36" fillId="0" borderId="32" xfId="0" applyFont="1" applyBorder="1" applyAlignment="1" applyProtection="1">
      <alignment horizontal="left" vertical="top"/>
      <protection hidden="1"/>
    </xf>
    <xf numFmtId="178" fontId="37" fillId="0" borderId="4" xfId="16" applyFont="1" applyFill="1" applyBorder="1" applyAlignment="1" applyProtection="1">
      <alignment horizontal="right" vertical="center"/>
      <protection hidden="1"/>
    </xf>
    <xf numFmtId="168" fontId="36" fillId="0" borderId="77" xfId="13" applyNumberFormat="1" applyFont="1" applyFill="1" applyBorder="1" applyAlignment="1" applyProtection="1">
      <alignment horizontal="right" vertical="center"/>
      <protection hidden="1"/>
    </xf>
    <xf numFmtId="168" fontId="36" fillId="0" borderId="78" xfId="13" applyNumberFormat="1" applyFont="1" applyFill="1" applyBorder="1" applyAlignment="1" applyProtection="1">
      <alignment horizontal="right" vertical="center"/>
      <protection hidden="1"/>
    </xf>
    <xf numFmtId="0" fontId="37" fillId="0" borderId="0" xfId="0" applyFont="1" applyAlignment="1" applyProtection="1">
      <alignment horizontal="center"/>
      <protection hidden="1"/>
    </xf>
    <xf numFmtId="0" fontId="37" fillId="0" borderId="0" xfId="0" applyFont="1" applyProtection="1">
      <protection hidden="1"/>
    </xf>
    <xf numFmtId="0" fontId="36" fillId="10" borderId="29" xfId="0" applyFont="1" applyFill="1" applyBorder="1" applyAlignment="1" applyProtection="1">
      <alignment horizontal="left" vertical="top"/>
      <protection hidden="1"/>
    </xf>
    <xf numFmtId="0" fontId="38" fillId="10" borderId="34" xfId="0" applyFont="1" applyFill="1" applyBorder="1"/>
    <xf numFmtId="0" fontId="37" fillId="10" borderId="34" xfId="0" applyFont="1" applyFill="1" applyBorder="1" applyProtection="1">
      <protection hidden="1"/>
    </xf>
    <xf numFmtId="178" fontId="37" fillId="10" borderId="34" xfId="16" applyFont="1" applyFill="1" applyBorder="1" applyAlignment="1" applyProtection="1">
      <alignment horizontal="right"/>
      <protection hidden="1"/>
    </xf>
    <xf numFmtId="168" fontId="37" fillId="10" borderId="37" xfId="16" applyNumberFormat="1" applyFont="1" applyFill="1" applyBorder="1" applyAlignment="1" applyProtection="1">
      <alignment horizontal="right" vertical="center"/>
      <protection hidden="1"/>
    </xf>
    <xf numFmtId="0" fontId="37" fillId="0" borderId="58" xfId="0" quotePrefix="1" applyFont="1" applyBorder="1" applyProtection="1">
      <protection hidden="1"/>
    </xf>
    <xf numFmtId="0" fontId="37" fillId="0" borderId="59" xfId="0" applyFont="1" applyBorder="1" applyAlignment="1" applyProtection="1">
      <alignment horizontal="center"/>
      <protection hidden="1"/>
    </xf>
    <xf numFmtId="0" fontId="37" fillId="0" borderId="59" xfId="0" applyFont="1" applyBorder="1" applyProtection="1">
      <protection hidden="1"/>
    </xf>
    <xf numFmtId="174" fontId="37" fillId="0" borderId="59" xfId="0" applyNumberFormat="1" applyFont="1" applyBorder="1" applyProtection="1">
      <protection hidden="1"/>
    </xf>
    <xf numFmtId="166" fontId="37" fillId="0" borderId="79" xfId="13" applyFont="1" applyBorder="1" applyProtection="1">
      <protection hidden="1"/>
    </xf>
    <xf numFmtId="0" fontId="37" fillId="0" borderId="32" xfId="0" quotePrefix="1" applyFont="1" applyBorder="1" applyProtection="1">
      <protection hidden="1"/>
    </xf>
    <xf numFmtId="0" fontId="37" fillId="0" borderId="4" xfId="0" applyFont="1" applyBorder="1" applyAlignment="1" applyProtection="1">
      <alignment horizontal="center"/>
      <protection hidden="1"/>
    </xf>
    <xf numFmtId="0" fontId="37" fillId="0" borderId="4" xfId="0" applyFont="1" applyBorder="1" applyProtection="1">
      <protection hidden="1"/>
    </xf>
    <xf numFmtId="174" fontId="37" fillId="0" borderId="4" xfId="0" applyNumberFormat="1" applyFont="1" applyBorder="1" applyProtection="1">
      <protection hidden="1"/>
    </xf>
    <xf numFmtId="168" fontId="37" fillId="0" borderId="77" xfId="0" applyNumberFormat="1" applyFont="1" applyBorder="1" applyProtection="1">
      <protection hidden="1"/>
    </xf>
    <xf numFmtId="168" fontId="37" fillId="0" borderId="78" xfId="0" applyNumberFormat="1" applyFont="1" applyBorder="1" applyProtection="1">
      <protection hidden="1"/>
    </xf>
    <xf numFmtId="196" fontId="37" fillId="0" borderId="75" xfId="8" applyNumberFormat="1" applyFont="1" applyFill="1" applyBorder="1" applyAlignment="1" applyProtection="1">
      <alignment horizontal="right" vertical="center"/>
      <protection hidden="1"/>
    </xf>
    <xf numFmtId="0" fontId="36" fillId="12" borderId="34" xfId="0" applyFont="1" applyFill="1" applyBorder="1" applyAlignment="1" applyProtection="1">
      <alignment horizontal="right" vertical="center"/>
      <protection hidden="1"/>
    </xf>
    <xf numFmtId="196" fontId="36" fillId="9" borderId="37" xfId="8" applyNumberFormat="1" applyFont="1" applyFill="1" applyBorder="1" applyAlignment="1" applyProtection="1">
      <alignment horizontal="right" vertical="center"/>
      <protection hidden="1"/>
    </xf>
    <xf numFmtId="0" fontId="40" fillId="0" borderId="81" xfId="0" applyFont="1" applyBorder="1" applyAlignment="1" applyProtection="1">
      <alignment horizontal="left" vertical="top"/>
      <protection hidden="1"/>
    </xf>
    <xf numFmtId="0" fontId="40" fillId="0" borderId="74" xfId="0" applyFont="1" applyBorder="1" applyAlignment="1" applyProtection="1">
      <alignment horizontal="center" vertical="center"/>
      <protection hidden="1"/>
    </xf>
    <xf numFmtId="178" fontId="40" fillId="0" borderId="74" xfId="16" applyFont="1" applyFill="1" applyBorder="1" applyAlignment="1" applyProtection="1">
      <alignment horizontal="center" vertical="center"/>
      <protection hidden="1"/>
    </xf>
    <xf numFmtId="174" fontId="40" fillId="0" borderId="75" xfId="16" applyNumberFormat="1" applyFont="1" applyFill="1" applyBorder="1" applyAlignment="1" applyProtection="1">
      <alignment horizontal="center" vertical="center"/>
      <protection hidden="1"/>
    </xf>
    <xf numFmtId="194" fontId="43" fillId="11" borderId="54" xfId="17" applyNumberFormat="1" applyFont="1" applyFill="1" applyBorder="1"/>
    <xf numFmtId="194" fontId="43" fillId="11" borderId="55" xfId="17" applyNumberFormat="1" applyFont="1" applyFill="1" applyBorder="1" applyAlignment="1">
      <alignment horizontal="center"/>
    </xf>
    <xf numFmtId="0" fontId="43" fillId="11" borderId="55" xfId="18" applyFont="1" applyFill="1" applyBorder="1" applyAlignment="1">
      <alignment horizontal="center"/>
    </xf>
    <xf numFmtId="166" fontId="43" fillId="11" borderId="82" xfId="19" applyFont="1" applyFill="1" applyBorder="1"/>
    <xf numFmtId="194" fontId="43" fillId="11" borderId="58" xfId="17" applyNumberFormat="1" applyFont="1" applyFill="1" applyBorder="1"/>
    <xf numFmtId="194" fontId="43" fillId="11" borderId="59" xfId="17" applyNumberFormat="1" applyFont="1" applyFill="1" applyBorder="1" applyAlignment="1">
      <alignment horizontal="center"/>
    </xf>
    <xf numFmtId="0" fontId="43" fillId="11" borderId="59" xfId="18" applyFont="1" applyFill="1" applyBorder="1" applyAlignment="1">
      <alignment horizontal="center"/>
    </xf>
    <xf numFmtId="166" fontId="43" fillId="11" borderId="83" xfId="19" applyFont="1" applyFill="1" applyBorder="1"/>
    <xf numFmtId="194" fontId="43" fillId="11" borderId="62" xfId="17" applyNumberFormat="1" applyFont="1" applyFill="1" applyBorder="1"/>
    <xf numFmtId="196" fontId="37" fillId="0" borderId="79" xfId="8" applyNumberFormat="1" applyFont="1" applyBorder="1" applyProtection="1">
      <protection hidden="1"/>
    </xf>
    <xf numFmtId="194" fontId="37" fillId="11" borderId="54" xfId="17" applyNumberFormat="1" applyFont="1" applyFill="1" applyBorder="1" applyAlignment="1">
      <alignment wrapText="1"/>
    </xf>
    <xf numFmtId="194" fontId="37" fillId="11" borderId="55" xfId="17" applyNumberFormat="1" applyFont="1" applyFill="1" applyBorder="1" applyAlignment="1">
      <alignment horizontal="center" vertical="center"/>
    </xf>
    <xf numFmtId="0" fontId="37" fillId="11" borderId="55" xfId="18" applyFont="1" applyFill="1" applyBorder="1" applyAlignment="1">
      <alignment horizontal="center" vertical="center"/>
    </xf>
    <xf numFmtId="189" fontId="37" fillId="11" borderId="56" xfId="19" applyNumberFormat="1" applyFont="1" applyFill="1" applyBorder="1" applyAlignment="1">
      <alignment vertical="center"/>
    </xf>
    <xf numFmtId="0" fontId="37" fillId="0" borderId="4" xfId="0" applyFont="1" applyBorder="1" applyAlignment="1" applyProtection="1">
      <alignment horizontal="center" vertical="center"/>
      <protection hidden="1"/>
    </xf>
    <xf numFmtId="2" fontId="37" fillId="0" borderId="4" xfId="0" applyNumberFormat="1" applyFont="1" applyBorder="1" applyAlignment="1" applyProtection="1">
      <alignment horizontal="center" vertical="center"/>
      <protection hidden="1"/>
    </xf>
    <xf numFmtId="0" fontId="37" fillId="0" borderId="4" xfId="0" applyFont="1" applyBorder="1" applyAlignment="1">
      <alignment horizontal="center" vertical="center"/>
    </xf>
    <xf numFmtId="195" fontId="37" fillId="0" borderId="4" xfId="0" applyNumberFormat="1" applyFont="1" applyBorder="1" applyAlignment="1">
      <alignment vertical="center"/>
    </xf>
    <xf numFmtId="168" fontId="37" fillId="0" borderId="79" xfId="0" applyNumberFormat="1" applyFont="1" applyBorder="1" applyProtection="1">
      <protection hidden="1"/>
    </xf>
    <xf numFmtId="2" fontId="37" fillId="9" borderId="47" xfId="0" applyNumberFormat="1" applyFont="1" applyFill="1" applyBorder="1" applyAlignment="1" applyProtection="1">
      <alignment horizontal="center" vertical="top" wrapText="1"/>
      <protection hidden="1"/>
    </xf>
    <xf numFmtId="174" fontId="37" fillId="0" borderId="59" xfId="0" applyNumberFormat="1" applyFont="1" applyBorder="1" applyAlignment="1" applyProtection="1">
      <alignment horizontal="center"/>
      <protection hidden="1"/>
    </xf>
    <xf numFmtId="0" fontId="37" fillId="9" borderId="47" xfId="0" applyFont="1" applyFill="1" applyBorder="1" applyAlignment="1" applyProtection="1">
      <alignment vertical="top" wrapText="1"/>
      <protection hidden="1"/>
    </xf>
    <xf numFmtId="2" fontId="37" fillId="9" borderId="47" xfId="0" applyNumberFormat="1" applyFont="1" applyFill="1" applyBorder="1" applyAlignment="1" applyProtection="1">
      <alignment vertical="top" wrapText="1"/>
      <protection hidden="1"/>
    </xf>
    <xf numFmtId="0" fontId="38" fillId="0" borderId="0" xfId="0" applyFont="1"/>
    <xf numFmtId="194" fontId="37" fillId="11" borderId="54" xfId="17" applyNumberFormat="1" applyFont="1" applyFill="1" applyBorder="1" applyAlignment="1">
      <alignment vertical="center" wrapText="1"/>
    </xf>
    <xf numFmtId="166" fontId="37" fillId="11" borderId="55" xfId="13" applyFont="1" applyFill="1" applyBorder="1" applyAlignment="1">
      <alignment horizontal="center" vertical="center"/>
    </xf>
    <xf numFmtId="2" fontId="37" fillId="11" borderId="55" xfId="13" applyNumberFormat="1" applyFont="1" applyFill="1" applyBorder="1" applyAlignment="1">
      <alignment horizontal="center" vertical="center"/>
    </xf>
    <xf numFmtId="166" fontId="37" fillId="0" borderId="55" xfId="13" applyFont="1" applyBorder="1" applyAlignment="1" applyProtection="1">
      <alignment horizontal="center" vertical="center"/>
      <protection hidden="1"/>
    </xf>
    <xf numFmtId="166" fontId="37" fillId="0" borderId="88" xfId="13" applyFont="1" applyFill="1" applyBorder="1" applyAlignment="1" applyProtection="1">
      <alignment horizontal="center" vertical="center"/>
      <protection hidden="1"/>
    </xf>
    <xf numFmtId="194" fontId="37" fillId="11" borderId="58" xfId="17" applyNumberFormat="1" applyFont="1" applyFill="1" applyBorder="1" applyAlignment="1">
      <alignment vertical="center" wrapText="1"/>
    </xf>
    <xf numFmtId="166" fontId="37" fillId="11" borderId="59" xfId="13" applyFont="1" applyFill="1" applyBorder="1" applyAlignment="1">
      <alignment horizontal="center" vertical="center"/>
    </xf>
    <xf numFmtId="2" fontId="37" fillId="11" borderId="59" xfId="13" applyNumberFormat="1" applyFont="1" applyFill="1" applyBorder="1" applyAlignment="1">
      <alignment horizontal="center" vertical="center"/>
    </xf>
    <xf numFmtId="166" fontId="37" fillId="0" borderId="59" xfId="13" applyFont="1" applyBorder="1" applyAlignment="1" applyProtection="1">
      <alignment horizontal="center" vertical="center"/>
      <protection hidden="1"/>
    </xf>
    <xf numFmtId="166" fontId="37" fillId="0" borderId="79" xfId="13" applyFont="1" applyFill="1" applyBorder="1" applyAlignment="1" applyProtection="1">
      <alignment horizontal="center" vertical="center"/>
      <protection hidden="1"/>
    </xf>
    <xf numFmtId="0" fontId="37" fillId="0" borderId="89" xfId="0" applyFont="1" applyBorder="1" applyAlignment="1">
      <alignment vertical="center"/>
    </xf>
    <xf numFmtId="0" fontId="37" fillId="0" borderId="66" xfId="0" applyFont="1" applyBorder="1" applyAlignment="1">
      <alignment horizontal="center" vertical="center"/>
    </xf>
    <xf numFmtId="0" fontId="37" fillId="0" borderId="90" xfId="0" applyFont="1" applyBorder="1" applyAlignment="1" applyProtection="1">
      <alignment vertical="center"/>
      <protection hidden="1"/>
    </xf>
    <xf numFmtId="195" fontId="37" fillId="0" borderId="90" xfId="0" applyNumberFormat="1" applyFont="1" applyBorder="1" applyAlignment="1">
      <alignment vertical="center"/>
    </xf>
    <xf numFmtId="0" fontId="38" fillId="0" borderId="91" xfId="0" applyFont="1" applyBorder="1"/>
    <xf numFmtId="2" fontId="37" fillId="0" borderId="59" xfId="0" applyNumberFormat="1" applyFont="1" applyBorder="1" applyAlignment="1" applyProtection="1">
      <alignment horizontal="center"/>
      <protection hidden="1"/>
    </xf>
    <xf numFmtId="166" fontId="37" fillId="0" borderId="56" xfId="13" applyFont="1" applyBorder="1" applyAlignment="1" applyProtection="1">
      <alignment horizontal="center" vertical="center"/>
      <protection hidden="1"/>
    </xf>
    <xf numFmtId="166" fontId="37" fillId="11" borderId="56" xfId="13" applyFont="1" applyFill="1" applyBorder="1" applyAlignment="1">
      <alignment horizontal="center" vertical="center"/>
    </xf>
    <xf numFmtId="166" fontId="37" fillId="0" borderId="57" xfId="13" applyFont="1" applyFill="1" applyBorder="1" applyAlignment="1" applyProtection="1">
      <alignment horizontal="center" vertical="center"/>
      <protection hidden="1"/>
    </xf>
    <xf numFmtId="194" fontId="37" fillId="11" borderId="58" xfId="17" applyNumberFormat="1" applyFont="1" applyFill="1" applyBorder="1" applyAlignment="1">
      <alignment wrapText="1"/>
    </xf>
    <xf numFmtId="197" fontId="37" fillId="11" borderId="55" xfId="13" applyNumberFormat="1" applyFont="1" applyFill="1" applyBorder="1" applyAlignment="1">
      <alignment horizontal="center" vertical="center"/>
    </xf>
    <xf numFmtId="197" fontId="37" fillId="11" borderId="59" xfId="13" applyNumberFormat="1" applyFont="1" applyFill="1" applyBorder="1" applyAlignment="1">
      <alignment horizontal="center" vertical="center"/>
    </xf>
    <xf numFmtId="166" fontId="37" fillId="0" borderId="59" xfId="13" applyFont="1" applyBorder="1" applyAlignment="1" applyProtection="1">
      <alignment horizontal="center"/>
      <protection hidden="1"/>
    </xf>
    <xf numFmtId="194" fontId="37" fillId="11" borderId="92" xfId="17" applyNumberFormat="1" applyFont="1" applyFill="1" applyBorder="1" applyAlignment="1">
      <alignment wrapText="1"/>
    </xf>
    <xf numFmtId="166" fontId="37" fillId="11" borderId="90" xfId="13" applyFont="1" applyFill="1" applyBorder="1" applyAlignment="1">
      <alignment horizontal="center" vertical="center"/>
    </xf>
    <xf numFmtId="2" fontId="37" fillId="11" borderId="90" xfId="13" applyNumberFormat="1" applyFont="1" applyFill="1" applyBorder="1" applyAlignment="1">
      <alignment horizontal="center" vertical="center"/>
    </xf>
    <xf numFmtId="166" fontId="37" fillId="0" borderId="90" xfId="13" applyFont="1" applyBorder="1" applyAlignment="1" applyProtection="1">
      <alignment horizontal="center" vertical="center"/>
      <protection hidden="1"/>
    </xf>
    <xf numFmtId="197" fontId="37" fillId="11" borderId="90" xfId="13" applyNumberFormat="1" applyFont="1" applyFill="1" applyBorder="1" applyAlignment="1">
      <alignment horizontal="center" vertical="center"/>
    </xf>
    <xf numFmtId="166" fontId="37" fillId="0" borderId="91" xfId="13" applyFont="1" applyFill="1" applyBorder="1" applyAlignment="1" applyProtection="1">
      <alignment horizontal="center" vertical="center"/>
      <protection hidden="1"/>
    </xf>
    <xf numFmtId="0" fontId="15" fillId="0" borderId="1" xfId="12" applyFill="1" applyBorder="1" applyAlignment="1">
      <alignment vertical="center" wrapText="1"/>
    </xf>
    <xf numFmtId="4" fontId="15" fillId="0" borderId="20" xfId="12" applyNumberFormat="1" applyFill="1" applyBorder="1" applyAlignment="1">
      <alignment horizontal="center" vertical="center"/>
    </xf>
    <xf numFmtId="0" fontId="3" fillId="0" borderId="1" xfId="12" applyFont="1" applyFill="1" applyBorder="1" applyAlignment="1">
      <alignment vertical="center" wrapText="1"/>
    </xf>
    <xf numFmtId="0" fontId="26" fillId="0" borderId="31" xfId="12" applyFont="1" applyFill="1" applyBorder="1" applyAlignment="1">
      <alignment horizontal="left" vertical="center" wrapText="1"/>
    </xf>
    <xf numFmtId="0" fontId="32" fillId="0" borderId="4" xfId="12" applyFont="1" applyFill="1" applyAlignment="1">
      <alignment horizontal="center" vertical="center" wrapText="1"/>
    </xf>
    <xf numFmtId="0" fontId="33" fillId="0" borderId="31" xfId="12" applyFont="1" applyFill="1" applyBorder="1" applyAlignment="1">
      <alignment horizontal="left" vertical="center" wrapText="1"/>
    </xf>
    <xf numFmtId="4" fontId="32" fillId="0" borderId="27" xfId="12" applyNumberFormat="1" applyFont="1" applyFill="1" applyBorder="1" applyAlignment="1">
      <alignment horizontal="center" vertical="center"/>
    </xf>
    <xf numFmtId="170" fontId="32" fillId="0" borderId="1" xfId="12" applyNumberFormat="1" applyFont="1" applyFill="1" applyBorder="1" applyAlignment="1">
      <alignment horizontal="center" vertical="center" wrapText="1"/>
    </xf>
    <xf numFmtId="167" fontId="32" fillId="0" borderId="1" xfId="12" applyNumberFormat="1" applyFont="1" applyFill="1" applyBorder="1" applyAlignment="1">
      <alignment horizontal="center" vertical="center" wrapText="1"/>
    </xf>
    <xf numFmtId="0" fontId="32" fillId="0" borderId="4" xfId="12" applyFont="1" applyFill="1" applyAlignment="1">
      <alignment vertical="center"/>
    </xf>
    <xf numFmtId="0" fontId="32" fillId="0" borderId="27" xfId="12" applyFont="1" applyFill="1" applyBorder="1" applyAlignment="1">
      <alignment horizontal="left" vertical="center" wrapText="1"/>
    </xf>
    <xf numFmtId="0" fontId="20" fillId="0" borderId="0" xfId="0" applyFont="1" applyAlignment="1">
      <alignment vertical="center" wrapText="1"/>
    </xf>
    <xf numFmtId="0" fontId="21" fillId="0" borderId="1" xfId="0" applyFont="1" applyBorder="1" applyAlignment="1">
      <alignment horizontal="center" vertical="center"/>
    </xf>
    <xf numFmtId="0" fontId="20" fillId="0" borderId="1" xfId="0" applyFont="1" applyBorder="1" applyAlignment="1">
      <alignment vertical="center" wrapText="1"/>
    </xf>
    <xf numFmtId="0" fontId="20" fillId="0" borderId="1" xfId="0" applyFont="1" applyBorder="1" applyAlignment="1">
      <alignment horizontal="center" vertical="center"/>
    </xf>
    <xf numFmtId="179" fontId="20" fillId="0" borderId="1" xfId="0" applyNumberFormat="1" applyFont="1" applyBorder="1" applyAlignment="1">
      <alignment horizontal="center" vertical="center"/>
    </xf>
    <xf numFmtId="183" fontId="20" fillId="0" borderId="1" xfId="0" applyNumberFormat="1" applyFont="1" applyBorder="1" applyAlignment="1">
      <alignment horizontal="center" vertical="center"/>
    </xf>
    <xf numFmtId="9" fontId="20" fillId="0" borderId="1" xfId="0" applyNumberFormat="1" applyFont="1" applyBorder="1" applyAlignment="1">
      <alignment horizontal="center" vertical="center"/>
    </xf>
    <xf numFmtId="0" fontId="20" fillId="0" borderId="1" xfId="0" applyFont="1" applyBorder="1" applyAlignment="1">
      <alignment vertical="center"/>
    </xf>
    <xf numFmtId="2" fontId="20" fillId="0" borderId="1" xfId="0" applyNumberFormat="1" applyFont="1" applyBorder="1" applyAlignment="1">
      <alignment horizontal="center" vertical="center"/>
    </xf>
    <xf numFmtId="180" fontId="20" fillId="0" borderId="1" xfId="0" applyNumberFormat="1" applyFont="1" applyBorder="1" applyAlignment="1">
      <alignment horizontal="center" vertical="center"/>
    </xf>
    <xf numFmtId="179" fontId="20" fillId="0" borderId="1" xfId="0" applyNumberFormat="1" applyFont="1" applyBorder="1" applyAlignment="1">
      <alignment horizontal="right" vertical="center"/>
    </xf>
    <xf numFmtId="4" fontId="20" fillId="0" borderId="1" xfId="0" applyNumberFormat="1" applyFont="1" applyBorder="1" applyAlignment="1">
      <alignment horizontal="center" vertical="center"/>
    </xf>
    <xf numFmtId="10" fontId="20" fillId="0" borderId="1" xfId="0" applyNumberFormat="1" applyFont="1" applyBorder="1" applyAlignment="1">
      <alignment horizontal="center" vertical="center"/>
    </xf>
    <xf numFmtId="4" fontId="20" fillId="0" borderId="1" xfId="0" applyNumberFormat="1" applyFont="1" applyBorder="1" applyAlignment="1">
      <alignment horizontal="right" vertical="center"/>
    </xf>
    <xf numFmtId="4" fontId="21" fillId="0" borderId="1" xfId="0" applyNumberFormat="1" applyFont="1" applyBorder="1" applyAlignment="1">
      <alignment horizontal="center" vertical="center"/>
    </xf>
    <xf numFmtId="10" fontId="21" fillId="0" borderId="1" xfId="0" applyNumberFormat="1" applyFont="1" applyBorder="1" applyAlignment="1">
      <alignment horizontal="center" vertical="center"/>
    </xf>
    <xf numFmtId="179" fontId="21" fillId="0" borderId="1" xfId="0" applyNumberFormat="1" applyFont="1" applyBorder="1" applyAlignment="1">
      <alignment horizontal="right" vertical="center"/>
    </xf>
    <xf numFmtId="182" fontId="20" fillId="0" borderId="1" xfId="0" applyNumberFormat="1" applyFont="1" applyBorder="1" applyAlignment="1">
      <alignment vertical="center"/>
    </xf>
    <xf numFmtId="181" fontId="20"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4" fontId="21" fillId="0" borderId="1" xfId="0" applyNumberFormat="1" applyFont="1"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4" fontId="20" fillId="0" borderId="1" xfId="0" applyNumberFormat="1" applyFont="1" applyBorder="1" applyAlignment="1">
      <alignment horizontal="center" vertical="center" wrapText="1"/>
    </xf>
    <xf numFmtId="1" fontId="21" fillId="0" borderId="1" xfId="0" applyNumberFormat="1" applyFont="1" applyBorder="1" applyAlignment="1">
      <alignment horizontal="center" vertical="center"/>
    </xf>
    <xf numFmtId="2" fontId="20" fillId="0" borderId="0" xfId="0" applyNumberFormat="1" applyFont="1" applyAlignment="1">
      <alignment horizontal="center" vertical="center"/>
    </xf>
    <xf numFmtId="173" fontId="21" fillId="0" borderId="1" xfId="0" applyNumberFormat="1" applyFont="1" applyBorder="1" applyAlignment="1">
      <alignment horizontal="center" vertical="center" wrapText="1"/>
    </xf>
    <xf numFmtId="178" fontId="21" fillId="0" borderId="1" xfId="0" applyNumberFormat="1" applyFont="1" applyBorder="1" applyAlignment="1">
      <alignment horizontal="center" vertical="center"/>
    </xf>
    <xf numFmtId="178" fontId="21" fillId="0" borderId="1" xfId="0" applyNumberFormat="1" applyFont="1" applyBorder="1" applyAlignment="1">
      <alignment horizontal="center" vertical="center" wrapText="1"/>
    </xf>
    <xf numFmtId="0" fontId="16" fillId="0" borderId="0" xfId="0" applyFont="1" applyAlignment="1">
      <alignment horizontal="left" vertical="center" wrapText="1"/>
    </xf>
    <xf numFmtId="178" fontId="21" fillId="0" borderId="0" xfId="0" applyNumberFormat="1" applyFont="1" applyAlignment="1">
      <alignment horizontal="center" vertical="center" wrapText="1"/>
    </xf>
    <xf numFmtId="0" fontId="16" fillId="0" borderId="0" xfId="0" applyFont="1" applyAlignment="1">
      <alignment horizontal="right" vertical="center"/>
    </xf>
    <xf numFmtId="167" fontId="20" fillId="0" borderId="1" xfId="0" applyNumberFormat="1" applyFont="1" applyBorder="1" applyAlignment="1">
      <alignment horizontal="center" vertical="center"/>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5" fillId="0" borderId="4" xfId="12" applyFill="1" applyAlignment="1">
      <alignment horizontal="left" vertical="center" wrapText="1"/>
    </xf>
    <xf numFmtId="0" fontId="3" fillId="0" borderId="9" xfId="12" applyFont="1" applyFill="1" applyBorder="1" applyAlignment="1">
      <alignment horizontal="left" vertical="center" wrapText="1"/>
    </xf>
    <xf numFmtId="0" fontId="3" fillId="0" borderId="9" xfId="12" applyFont="1" applyFill="1" applyBorder="1" applyAlignment="1">
      <alignment horizontal="center" vertical="center" wrapText="1"/>
    </xf>
    <xf numFmtId="167" fontId="3" fillId="0" borderId="9" xfId="12" applyNumberFormat="1" applyFont="1" applyFill="1" applyBorder="1" applyAlignment="1">
      <alignment horizontal="center" vertical="center" wrapText="1"/>
    </xf>
    <xf numFmtId="0" fontId="3" fillId="0" borderId="10" xfId="12" applyFont="1" applyFill="1" applyBorder="1" applyAlignment="1">
      <alignment horizontal="left" vertical="center" wrapText="1"/>
    </xf>
    <xf numFmtId="0" fontId="15" fillId="0" borderId="10" xfId="12" applyFill="1" applyBorder="1" applyAlignment="1">
      <alignment horizontal="center" vertical="center" wrapText="1"/>
    </xf>
    <xf numFmtId="167" fontId="15" fillId="0" borderId="10" xfId="12" applyNumberFormat="1" applyFill="1" applyBorder="1" applyAlignment="1">
      <alignment horizontal="center" vertical="center" wrapText="1"/>
    </xf>
    <xf numFmtId="0" fontId="0" fillId="0" borderId="0" xfId="0" applyFont="1" applyFill="1" applyAlignment="1">
      <alignment horizontal="center" vertical="center" wrapText="1"/>
    </xf>
    <xf numFmtId="188" fontId="15" fillId="0" borderId="1" xfId="12" applyNumberFormat="1" applyFill="1" applyBorder="1" applyAlignment="1">
      <alignment horizontal="center" vertical="center" wrapText="1"/>
    </xf>
    <xf numFmtId="186" fontId="15" fillId="0" borderId="1" xfId="12" applyNumberFormat="1" applyFill="1" applyBorder="1" applyAlignment="1">
      <alignment horizontal="center" vertical="center" wrapText="1"/>
    </xf>
    <xf numFmtId="170" fontId="15" fillId="0" borderId="27" xfId="12" applyNumberFormat="1" applyFill="1" applyBorder="1" applyAlignment="1">
      <alignment horizontal="center" vertical="center" wrapText="1"/>
    </xf>
    <xf numFmtId="0" fontId="15" fillId="0" borderId="28" xfId="12" applyFill="1" applyBorder="1" applyAlignment="1">
      <alignment horizontal="center" vertical="center" wrapText="1"/>
    </xf>
    <xf numFmtId="167" fontId="15" fillId="0" borderId="28" xfId="12" applyNumberFormat="1" applyFill="1" applyBorder="1" applyAlignment="1">
      <alignment horizontal="center" vertical="center" wrapText="1"/>
    </xf>
    <xf numFmtId="0" fontId="15" fillId="0" borderId="28" xfId="12" applyFill="1" applyBorder="1" applyAlignment="1">
      <alignment horizontal="left" vertical="center" wrapText="1"/>
    </xf>
    <xf numFmtId="0" fontId="15" fillId="0" borderId="27" xfId="12" applyFill="1" applyBorder="1" applyAlignment="1">
      <alignment horizontal="left" vertical="center" wrapText="1"/>
    </xf>
    <xf numFmtId="0" fontId="15" fillId="0" borderId="27" xfId="12" applyFill="1" applyBorder="1" applyAlignment="1">
      <alignment horizontal="center" vertical="center" wrapText="1"/>
    </xf>
    <xf numFmtId="167" fontId="15" fillId="0" borderId="27" xfId="12" applyNumberFormat="1" applyFill="1" applyBorder="1" applyAlignment="1">
      <alignment horizontal="center" vertical="center" wrapText="1"/>
    </xf>
    <xf numFmtId="167" fontId="3" fillId="0" borderId="10" xfId="12" applyNumberFormat="1" applyFont="1" applyFill="1" applyBorder="1" applyAlignment="1">
      <alignment vertical="center"/>
    </xf>
    <xf numFmtId="9" fontId="15" fillId="0" borderId="1" xfId="12" applyNumberFormat="1" applyFill="1" applyBorder="1" applyAlignment="1">
      <alignment horizontal="center" vertical="center"/>
    </xf>
    <xf numFmtId="167" fontId="3" fillId="0" borderId="1" xfId="12" applyNumberFormat="1" applyFont="1" applyFill="1" applyBorder="1" applyAlignment="1">
      <alignment vertical="center"/>
    </xf>
    <xf numFmtId="167" fontId="9" fillId="0" borderId="1" xfId="12" applyNumberFormat="1" applyFont="1" applyFill="1" applyBorder="1" applyAlignment="1">
      <alignment vertical="center"/>
    </xf>
    <xf numFmtId="0" fontId="3" fillId="0" borderId="4" xfId="12" applyFont="1" applyFill="1" applyAlignment="1">
      <alignment horizontal="center" vertical="center" wrapText="1"/>
    </xf>
    <xf numFmtId="0" fontId="3" fillId="0" borderId="4" xfId="12" applyFont="1" applyFill="1" applyAlignment="1">
      <alignment horizontal="left" vertical="center" wrapText="1"/>
    </xf>
    <xf numFmtId="167" fontId="3" fillId="0" borderId="4" xfId="12" applyNumberFormat="1" applyFont="1" applyFill="1" applyAlignment="1">
      <alignment horizontal="center" vertical="center" wrapText="1"/>
    </xf>
    <xf numFmtId="191" fontId="15" fillId="0" borderId="4" xfId="12" applyNumberFormat="1" applyFill="1" applyAlignment="1">
      <alignment horizontal="center" vertical="center" wrapText="1"/>
    </xf>
    <xf numFmtId="186" fontId="15" fillId="0" borderId="4" xfId="12" applyNumberFormat="1" applyFill="1" applyAlignment="1">
      <alignment horizontal="center" vertical="center" wrapText="1"/>
    </xf>
    <xf numFmtId="188" fontId="15" fillId="0" borderId="4" xfId="12" applyNumberFormat="1" applyFill="1" applyAlignment="1">
      <alignment vertical="center" wrapText="1"/>
    </xf>
    <xf numFmtId="188" fontId="3" fillId="0" borderId="4" xfId="12" applyNumberFormat="1" applyFont="1" applyFill="1" applyAlignment="1">
      <alignment vertical="center" wrapText="1"/>
    </xf>
    <xf numFmtId="0" fontId="20" fillId="0" borderId="14" xfId="0" applyFont="1" applyBorder="1" applyAlignment="1">
      <alignment vertical="center"/>
    </xf>
    <xf numFmtId="0" fontId="5" fillId="0" borderId="17" xfId="0" applyFont="1" applyBorder="1" applyAlignment="1"/>
    <xf numFmtId="0" fontId="5" fillId="0" borderId="18" xfId="0" applyFont="1" applyBorder="1" applyAlignment="1"/>
    <xf numFmtId="0" fontId="21" fillId="0" borderId="14" xfId="0" applyFont="1" applyBorder="1" applyAlignment="1">
      <alignment vertical="center"/>
    </xf>
    <xf numFmtId="0" fontId="0" fillId="0" borderId="0" xfId="0" applyFont="1" applyFill="1" applyAlignment="1">
      <alignment vertical="center"/>
    </xf>
    <xf numFmtId="0" fontId="15" fillId="0" borderId="31" xfId="0" applyFont="1" applyFill="1" applyBorder="1" applyAlignment="1">
      <alignment vertical="center" wrapText="1"/>
    </xf>
    <xf numFmtId="0" fontId="0" fillId="0" borderId="31" xfId="0" applyFill="1" applyBorder="1" applyAlignment="1">
      <alignment vertical="center" wrapText="1"/>
    </xf>
    <xf numFmtId="0" fontId="26" fillId="0" borderId="31" xfId="12" applyFont="1" applyFill="1" applyBorder="1" applyAlignment="1">
      <alignment horizontal="justify" vertical="center" wrapText="1"/>
    </xf>
    <xf numFmtId="0" fontId="15" fillId="0" borderId="93" xfId="12" applyFill="1" applyBorder="1" applyAlignment="1">
      <alignment horizontal="center" vertical="center" wrapText="1"/>
    </xf>
    <xf numFmtId="0" fontId="3" fillId="0" borderId="97" xfId="12" applyFont="1" applyFill="1" applyBorder="1" applyAlignment="1">
      <alignment horizontal="center" vertical="center" wrapText="1"/>
    </xf>
    <xf numFmtId="167" fontId="3" fillId="0" borderId="98" xfId="12" applyNumberFormat="1" applyFont="1" applyFill="1" applyBorder="1" applyAlignment="1">
      <alignment horizontal="center" vertical="center" wrapText="1"/>
    </xf>
    <xf numFmtId="0" fontId="3" fillId="0" borderId="99" xfId="12" applyFont="1" applyFill="1" applyBorder="1" applyAlignment="1">
      <alignment horizontal="center" vertical="center" wrapText="1"/>
    </xf>
    <xf numFmtId="167" fontId="15" fillId="0" borderId="100" xfId="12" applyNumberFormat="1" applyFill="1" applyBorder="1" applyAlignment="1">
      <alignment horizontal="center" vertical="center" wrapText="1"/>
    </xf>
    <xf numFmtId="0" fontId="15" fillId="0" borderId="101" xfId="12" applyFill="1" applyBorder="1" applyAlignment="1">
      <alignment horizontal="center" vertical="center" wrapText="1"/>
    </xf>
    <xf numFmtId="167" fontId="15" fillId="0" borderId="102" xfId="12" applyNumberFormat="1" applyFill="1" applyBorder="1" applyAlignment="1">
      <alignment horizontal="center" vertical="center" wrapText="1"/>
    </xf>
    <xf numFmtId="0" fontId="15" fillId="0" borderId="103" xfId="12" applyFill="1" applyBorder="1" applyAlignment="1">
      <alignment horizontal="center" vertical="center" wrapText="1"/>
    </xf>
    <xf numFmtId="167" fontId="3" fillId="0" borderId="104" xfId="12" applyNumberFormat="1" applyFont="1" applyFill="1" applyBorder="1" applyAlignment="1">
      <alignment horizontal="center" vertical="center" wrapText="1"/>
    </xf>
    <xf numFmtId="0" fontId="3" fillId="0" borderId="105" xfId="12" applyFont="1" applyFill="1" applyBorder="1" applyAlignment="1">
      <alignment horizontal="center" vertical="center" wrapText="1"/>
    </xf>
    <xf numFmtId="0" fontId="3" fillId="0" borderId="101" xfId="12" applyFont="1" applyFill="1" applyBorder="1" applyAlignment="1">
      <alignment horizontal="center" vertical="center" wrapText="1"/>
    </xf>
    <xf numFmtId="0" fontId="15" fillId="0" borderId="106" xfId="12" applyFill="1" applyBorder="1" applyAlignment="1">
      <alignment horizontal="center" vertical="center" wrapText="1"/>
    </xf>
    <xf numFmtId="0" fontId="3" fillId="0" borderId="106" xfId="12" applyFont="1" applyFill="1" applyBorder="1" applyAlignment="1">
      <alignment horizontal="center" vertical="center" wrapText="1"/>
    </xf>
    <xf numFmtId="167" fontId="15" fillId="0" borderId="107" xfId="12" applyNumberFormat="1" applyFill="1" applyBorder="1" applyAlignment="1">
      <alignment horizontal="center" vertical="center" wrapText="1"/>
    </xf>
    <xf numFmtId="0" fontId="15" fillId="0" borderId="108" xfId="12" applyFill="1" applyBorder="1" applyAlignment="1">
      <alignment horizontal="center" vertical="center" wrapText="1"/>
    </xf>
    <xf numFmtId="0" fontId="3" fillId="0" borderId="109" xfId="12" applyFont="1" applyFill="1" applyBorder="1" applyAlignment="1">
      <alignment horizontal="center" vertical="center" wrapText="1"/>
    </xf>
    <xf numFmtId="0" fontId="15" fillId="0" borderId="101" xfId="12" applyFont="1" applyFill="1" applyBorder="1" applyAlignment="1">
      <alignment horizontal="center" vertical="center" wrapText="1"/>
    </xf>
    <xf numFmtId="167" fontId="32" fillId="0" borderId="102" xfId="12" applyNumberFormat="1" applyFont="1" applyFill="1" applyBorder="1" applyAlignment="1">
      <alignment horizontal="center" vertical="center" wrapText="1"/>
    </xf>
    <xf numFmtId="0" fontId="32" fillId="0" borderId="101" xfId="12" applyFont="1" applyFill="1" applyBorder="1" applyAlignment="1">
      <alignment horizontal="center" vertical="center" wrapText="1"/>
    </xf>
    <xf numFmtId="0" fontId="15" fillId="0" borderId="110" xfId="12" applyFill="1" applyBorder="1" applyAlignment="1">
      <alignment horizontal="center" vertical="center" wrapText="1"/>
    </xf>
    <xf numFmtId="0" fontId="15" fillId="0" borderId="111" xfId="12" applyFill="1" applyBorder="1" applyAlignment="1">
      <alignment horizontal="center" vertical="center" wrapText="1"/>
    </xf>
    <xf numFmtId="167" fontId="3" fillId="0" borderId="100" xfId="12" applyNumberFormat="1" applyFont="1" applyFill="1" applyBorder="1" applyAlignment="1">
      <alignment vertical="center"/>
    </xf>
    <xf numFmtId="167" fontId="15" fillId="0" borderId="102" xfId="12" applyNumberFormat="1" applyFill="1" applyBorder="1" applyAlignment="1">
      <alignment vertical="center"/>
    </xf>
    <xf numFmtId="167" fontId="3" fillId="0" borderId="102" xfId="12" applyNumberFormat="1" applyFont="1" applyFill="1" applyBorder="1" applyAlignment="1">
      <alignment vertical="center"/>
    </xf>
    <xf numFmtId="167" fontId="9" fillId="0" borderId="102" xfId="12" applyNumberFormat="1" applyFont="1" applyFill="1" applyBorder="1" applyAlignment="1">
      <alignment vertical="center"/>
    </xf>
    <xf numFmtId="0" fontId="4" fillId="2" borderId="2" xfId="0" applyFont="1" applyFill="1" applyBorder="1" applyAlignment="1">
      <alignment horizontal="center" vertical="center" wrapText="1"/>
    </xf>
    <xf numFmtId="0" fontId="5" fillId="0" borderId="3" xfId="0" applyFont="1" applyBorder="1"/>
    <xf numFmtId="0" fontId="4" fillId="4"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3" fillId="0" borderId="14" xfId="12" applyFont="1" applyFill="1" applyBorder="1" applyAlignment="1">
      <alignment horizontal="center" vertical="center"/>
    </xf>
    <xf numFmtId="0" fontId="5" fillId="0" borderId="17" xfId="12" applyFont="1" applyFill="1" applyBorder="1" applyAlignment="1">
      <alignment vertical="center"/>
    </xf>
    <xf numFmtId="0" fontId="5" fillId="0" borderId="18" xfId="12" applyFont="1" applyFill="1" applyBorder="1" applyAlignment="1">
      <alignment vertical="center"/>
    </xf>
    <xf numFmtId="0" fontId="3" fillId="0" borderId="11" xfId="12" applyFont="1" applyFill="1" applyBorder="1" applyAlignment="1">
      <alignment horizontal="center" vertical="center"/>
    </xf>
    <xf numFmtId="0" fontId="5" fillId="0" borderId="15" xfId="12" applyFont="1" applyFill="1" applyBorder="1" applyAlignment="1">
      <alignment vertical="center"/>
    </xf>
    <xf numFmtId="0" fontId="5" fillId="0" borderId="16" xfId="12" applyFont="1" applyFill="1" applyBorder="1" applyAlignment="1">
      <alignment vertical="center"/>
    </xf>
    <xf numFmtId="0" fontId="3" fillId="0" borderId="5" xfId="12" applyFont="1" applyFill="1" applyBorder="1" applyAlignment="1">
      <alignment horizontal="center" vertical="center" wrapText="1"/>
    </xf>
    <xf numFmtId="0" fontId="5" fillId="0" borderId="6" xfId="12" applyFont="1" applyFill="1" applyBorder="1" applyAlignment="1">
      <alignment vertical="center"/>
    </xf>
    <xf numFmtId="0" fontId="3" fillId="0" borderId="94" xfId="12" applyFont="1" applyFill="1" applyBorder="1" applyAlignment="1">
      <alignment horizontal="center" vertical="center" wrapText="1"/>
    </xf>
    <xf numFmtId="0" fontId="5" fillId="0" borderId="95" xfId="12" applyFont="1" applyFill="1" applyBorder="1" applyAlignment="1">
      <alignment vertical="center"/>
    </xf>
    <xf numFmtId="0" fontId="5" fillId="0" borderId="96" xfId="12" applyFont="1" applyFill="1" applyBorder="1" applyAlignment="1">
      <alignment vertical="center"/>
    </xf>
    <xf numFmtId="0" fontId="21" fillId="0" borderId="14" xfId="0" applyFont="1" applyBorder="1" applyAlignment="1">
      <alignment horizontal="left" vertical="center"/>
    </xf>
    <xf numFmtId="0" fontId="5" fillId="0" borderId="17" xfId="0" applyFont="1" applyBorder="1"/>
    <xf numFmtId="0" fontId="5" fillId="0" borderId="18" xfId="0" applyFont="1" applyBorder="1"/>
    <xf numFmtId="0" fontId="20" fillId="0" borderId="14" xfId="0" applyFont="1" applyBorder="1" applyAlignment="1">
      <alignment horizontal="left" vertical="center"/>
    </xf>
    <xf numFmtId="0" fontId="20" fillId="0" borderId="14" xfId="0" applyFont="1" applyBorder="1" applyAlignment="1">
      <alignment horizontal="center" vertical="center"/>
    </xf>
    <xf numFmtId="0" fontId="21" fillId="0" borderId="14" xfId="0" applyFont="1" applyBorder="1" applyAlignment="1">
      <alignment horizontal="left" vertical="center" wrapText="1"/>
    </xf>
    <xf numFmtId="0" fontId="20" fillId="0" borderId="17" xfId="0" applyFont="1" applyBorder="1" applyAlignment="1">
      <alignment horizontal="left" vertical="center"/>
    </xf>
    <xf numFmtId="0" fontId="20" fillId="0" borderId="18" xfId="0" applyFont="1" applyBorder="1" applyAlignment="1">
      <alignment horizontal="left" vertical="center"/>
    </xf>
    <xf numFmtId="0" fontId="20" fillId="0" borderId="17" xfId="0" applyFont="1" applyBorder="1" applyAlignment="1">
      <alignment horizontal="center" vertical="center"/>
    </xf>
    <xf numFmtId="0" fontId="20" fillId="0" borderId="18" xfId="0" applyFont="1" applyBorder="1" applyAlignment="1">
      <alignment horizontal="center" vertical="center"/>
    </xf>
    <xf numFmtId="0" fontId="21" fillId="0" borderId="17" xfId="0" applyFont="1" applyBorder="1" applyAlignment="1">
      <alignment horizontal="left" vertical="center"/>
    </xf>
    <xf numFmtId="0" fontId="21" fillId="0" borderId="18" xfId="0" applyFont="1" applyBorder="1" applyAlignment="1">
      <alignment horizontal="left" vertical="center"/>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18" fillId="0" borderId="40" xfId="12" applyFont="1" applyBorder="1" applyAlignment="1">
      <alignment horizontal="center" vertical="center"/>
    </xf>
    <xf numFmtId="0" fontId="15" fillId="0" borderId="4" xfId="12"/>
    <xf numFmtId="0" fontId="5" fillId="0" borderId="41" xfId="12" applyFont="1" applyBorder="1"/>
    <xf numFmtId="0" fontId="19" fillId="0" borderId="40" xfId="12" applyFont="1" applyBorder="1" applyAlignment="1">
      <alignment horizontal="center" vertical="center" wrapText="1"/>
    </xf>
    <xf numFmtId="0" fontId="18" fillId="0" borderId="42" xfId="12" applyFont="1" applyBorder="1" applyAlignment="1">
      <alignment horizontal="center" vertical="center"/>
    </xf>
    <xf numFmtId="0" fontId="5" fillId="0" borderId="43" xfId="12" applyFont="1" applyBorder="1"/>
    <xf numFmtId="0" fontId="5" fillId="0" borderId="44" xfId="12" applyFont="1" applyBorder="1"/>
    <xf numFmtId="0" fontId="29" fillId="6" borderId="0" xfId="0" applyFont="1" applyFill="1" applyAlignment="1">
      <alignment horizontal="left" vertical="center" wrapText="1"/>
    </xf>
    <xf numFmtId="0" fontId="20" fillId="0" borderId="14" xfId="12" applyFont="1" applyBorder="1" applyAlignment="1">
      <alignment horizontal="left" vertical="center"/>
    </xf>
    <xf numFmtId="0" fontId="5" fillId="0" borderId="17" xfId="12" applyFont="1" applyBorder="1"/>
    <xf numFmtId="0" fontId="5" fillId="0" borderId="18" xfId="12" applyFont="1" applyBorder="1"/>
    <xf numFmtId="0" fontId="20" fillId="0" borderId="14" xfId="12" applyFont="1" applyBorder="1" applyAlignment="1">
      <alignment horizontal="center" vertical="center"/>
    </xf>
    <xf numFmtId="0" fontId="21" fillId="0" borderId="14" xfId="12" applyFont="1" applyBorder="1" applyAlignment="1">
      <alignment horizontal="left" vertical="center"/>
    </xf>
    <xf numFmtId="0" fontId="21" fillId="0" borderId="14" xfId="12" applyFont="1" applyBorder="1" applyAlignment="1">
      <alignment horizontal="left" vertical="center" wrapText="1"/>
    </xf>
    <xf numFmtId="0" fontId="21" fillId="0" borderId="4" xfId="12" applyFont="1" applyAlignment="1">
      <alignment horizontal="left" vertical="center" wrapText="1"/>
    </xf>
    <xf numFmtId="0" fontId="19" fillId="0" borderId="40"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41" xfId="0" applyFont="1" applyBorder="1" applyAlignment="1">
      <alignment horizontal="center" vertical="center" wrapText="1"/>
    </xf>
    <xf numFmtId="0" fontId="18" fillId="0" borderId="42" xfId="0" applyFont="1" applyBorder="1" applyAlignment="1">
      <alignment horizontal="center" vertical="center"/>
    </xf>
    <xf numFmtId="0" fontId="18" fillId="0" borderId="43" xfId="0" applyFont="1" applyBorder="1" applyAlignment="1">
      <alignment horizontal="center" vertical="center"/>
    </xf>
    <xf numFmtId="0" fontId="18" fillId="0" borderId="44" xfId="0" applyFont="1" applyBorder="1" applyAlignment="1">
      <alignment horizontal="center" vertical="center"/>
    </xf>
    <xf numFmtId="0" fontId="21" fillId="0" borderId="0" xfId="0" applyFont="1" applyAlignment="1">
      <alignment horizontal="left" vertical="center" wrapText="1"/>
    </xf>
    <xf numFmtId="0" fontId="18" fillId="0" borderId="40" xfId="0" applyFont="1" applyBorder="1" applyAlignment="1">
      <alignment horizontal="center" vertical="center"/>
    </xf>
    <xf numFmtId="0" fontId="18" fillId="0" borderId="4" xfId="0" applyFont="1" applyBorder="1" applyAlignment="1">
      <alignment horizontal="center" vertical="center"/>
    </xf>
    <xf numFmtId="0" fontId="18" fillId="0" borderId="41" xfId="0" applyFont="1" applyBorder="1" applyAlignment="1">
      <alignment horizontal="center" vertical="center"/>
    </xf>
    <xf numFmtId="0" fontId="29" fillId="0" borderId="4" xfId="12" applyFont="1" applyAlignment="1">
      <alignment horizontal="left" vertical="center" wrapText="1"/>
    </xf>
    <xf numFmtId="0" fontId="30" fillId="0" borderId="4" xfId="12" applyFont="1"/>
    <xf numFmtId="0" fontId="28" fillId="6" borderId="14" xfId="0" applyFont="1" applyFill="1" applyBorder="1" applyAlignment="1">
      <alignment horizontal="left" vertical="center"/>
    </xf>
    <xf numFmtId="0" fontId="28" fillId="6" borderId="17" xfId="0" applyFont="1" applyFill="1" applyBorder="1" applyAlignment="1">
      <alignment horizontal="left" vertical="center"/>
    </xf>
    <xf numFmtId="0" fontId="28" fillId="6" borderId="18" xfId="0" applyFont="1" applyFill="1" applyBorder="1" applyAlignment="1">
      <alignment horizontal="left" vertical="center"/>
    </xf>
    <xf numFmtId="0" fontId="0" fillId="0" borderId="0" xfId="0"/>
    <xf numFmtId="0" fontId="5" fillId="0" borderId="41" xfId="0" applyFont="1" applyBorder="1"/>
    <xf numFmtId="0" fontId="5" fillId="0" borderId="43" xfId="0" applyFont="1" applyBorder="1"/>
    <xf numFmtId="0" fontId="5" fillId="0" borderId="44" xfId="0" applyFont="1" applyBorder="1"/>
    <xf numFmtId="0" fontId="36" fillId="10" borderId="29" xfId="0" applyFont="1" applyFill="1" applyBorder="1" applyAlignment="1" applyProtection="1">
      <alignment horizontal="left" vertical="center"/>
      <protection hidden="1"/>
    </xf>
    <xf numFmtId="0" fontId="36" fillId="10" borderId="34" xfId="0" applyFont="1" applyFill="1" applyBorder="1" applyAlignment="1" applyProtection="1">
      <alignment horizontal="left" vertical="center"/>
      <protection hidden="1"/>
    </xf>
    <xf numFmtId="0" fontId="36" fillId="10" borderId="37" xfId="0" applyFont="1" applyFill="1" applyBorder="1" applyAlignment="1" applyProtection="1">
      <alignment horizontal="left" vertical="center"/>
      <protection hidden="1"/>
    </xf>
    <xf numFmtId="0" fontId="36" fillId="0" borderId="29" xfId="0" applyFont="1" applyBorder="1" applyAlignment="1" applyProtection="1">
      <alignment horizontal="center" vertical="center"/>
      <protection hidden="1"/>
    </xf>
    <xf numFmtId="0" fontId="36" fillId="0" borderId="37" xfId="0" applyFont="1" applyBorder="1" applyAlignment="1" applyProtection="1">
      <alignment horizontal="center" vertical="center"/>
      <protection hidden="1"/>
    </xf>
    <xf numFmtId="0" fontId="36" fillId="0" borderId="50" xfId="0" applyFont="1" applyBorder="1" applyAlignment="1" applyProtection="1">
      <alignment horizontal="center" vertical="center"/>
      <protection hidden="1"/>
    </xf>
    <xf numFmtId="0" fontId="36" fillId="0" borderId="47" xfId="0" applyFont="1" applyBorder="1" applyAlignment="1" applyProtection="1">
      <alignment horizontal="center" vertical="center"/>
      <protection hidden="1"/>
    </xf>
    <xf numFmtId="0" fontId="36" fillId="0" borderId="29" xfId="0" applyFont="1" applyBorder="1" applyAlignment="1" applyProtection="1">
      <alignment horizontal="center"/>
      <protection hidden="1"/>
    </xf>
    <xf numFmtId="0" fontId="36" fillId="0" borderId="37" xfId="0" applyFont="1" applyBorder="1" applyAlignment="1" applyProtection="1">
      <alignment horizontal="center"/>
      <protection hidden="1"/>
    </xf>
    <xf numFmtId="0" fontId="36" fillId="0" borderId="80" xfId="0" applyFont="1" applyBorder="1" applyAlignment="1" applyProtection="1">
      <alignment horizontal="center"/>
      <protection hidden="1"/>
    </xf>
    <xf numFmtId="4" fontId="37" fillId="12" borderId="29" xfId="0" applyNumberFormat="1" applyFont="1" applyFill="1" applyBorder="1" applyAlignment="1" applyProtection="1">
      <alignment horizontal="center" vertical="top"/>
      <protection hidden="1"/>
    </xf>
    <xf numFmtId="4" fontId="37" fillId="12" borderId="34" xfId="0" applyNumberFormat="1" applyFont="1" applyFill="1" applyBorder="1" applyAlignment="1" applyProtection="1">
      <alignment horizontal="center" vertical="top"/>
      <protection hidden="1"/>
    </xf>
    <xf numFmtId="0" fontId="35" fillId="7" borderId="35" xfId="0" applyFont="1" applyFill="1" applyBorder="1" applyAlignment="1">
      <alignment horizontal="center"/>
    </xf>
    <xf numFmtId="0" fontId="35" fillId="7" borderId="38" xfId="0" applyFont="1" applyFill="1" applyBorder="1" applyAlignment="1">
      <alignment horizontal="center"/>
    </xf>
    <xf numFmtId="0" fontId="35" fillId="7" borderId="36" xfId="0" applyFont="1" applyFill="1" applyBorder="1" applyAlignment="1">
      <alignment horizontal="center"/>
    </xf>
    <xf numFmtId="0" fontId="35" fillId="8" borderId="46" xfId="0" applyFont="1" applyFill="1" applyBorder="1" applyAlignment="1">
      <alignment horizontal="center"/>
    </xf>
    <xf numFmtId="0" fontId="44" fillId="8" borderId="29" xfId="0" applyFont="1" applyFill="1" applyBorder="1" applyAlignment="1" applyProtection="1">
      <alignment horizontal="center" vertical="top"/>
      <protection hidden="1"/>
    </xf>
    <xf numFmtId="0" fontId="44" fillId="8" borderId="34" xfId="0" applyFont="1" applyFill="1" applyBorder="1" applyAlignment="1" applyProtection="1">
      <alignment horizontal="center" vertical="top"/>
      <protection hidden="1"/>
    </xf>
    <xf numFmtId="0" fontId="44" fillId="8" borderId="37" xfId="0" applyFont="1" applyFill="1" applyBorder="1" applyAlignment="1" applyProtection="1">
      <alignment horizontal="center" vertical="top"/>
      <protection hidden="1"/>
    </xf>
    <xf numFmtId="0" fontId="37" fillId="8" borderId="29" xfId="0" applyFont="1" applyFill="1" applyBorder="1" applyAlignment="1" applyProtection="1">
      <alignment horizontal="center" vertical="top"/>
      <protection hidden="1"/>
    </xf>
    <xf numFmtId="0" fontId="37" fillId="8" borderId="34" xfId="0" applyFont="1" applyFill="1" applyBorder="1" applyAlignment="1" applyProtection="1">
      <alignment horizontal="center" vertical="top"/>
      <protection hidden="1"/>
    </xf>
    <xf numFmtId="0" fontId="37" fillId="8" borderId="37" xfId="0" applyFont="1" applyFill="1" applyBorder="1" applyAlignment="1" applyProtection="1">
      <alignment horizontal="center" vertical="top"/>
      <protection hidden="1"/>
    </xf>
    <xf numFmtId="0" fontId="35" fillId="8" borderId="86" xfId="0" applyFont="1" applyFill="1" applyBorder="1" applyAlignment="1">
      <alignment horizontal="center"/>
    </xf>
    <xf numFmtId="0" fontId="35" fillId="8" borderId="87" xfId="0" applyFont="1" applyFill="1" applyBorder="1" applyAlignment="1">
      <alignment horizontal="center"/>
    </xf>
    <xf numFmtId="0" fontId="35" fillId="7" borderId="84" xfId="0" applyFont="1" applyFill="1" applyBorder="1" applyAlignment="1">
      <alignment horizontal="center"/>
    </xf>
    <xf numFmtId="0" fontId="35" fillId="7" borderId="45" xfId="0" applyFont="1" applyFill="1" applyBorder="1" applyAlignment="1">
      <alignment horizontal="center"/>
    </xf>
    <xf numFmtId="0" fontId="35" fillId="7" borderId="85" xfId="0" applyFont="1" applyFill="1" applyBorder="1" applyAlignment="1">
      <alignment horizontal="center"/>
    </xf>
    <xf numFmtId="0" fontId="37" fillId="9" borderId="29" xfId="0" applyFont="1" applyFill="1" applyBorder="1" applyAlignment="1" applyProtection="1">
      <alignment horizontal="left" vertical="top" wrapText="1"/>
      <protection hidden="1"/>
    </xf>
    <xf numFmtId="0" fontId="37" fillId="9" borderId="34" xfId="0" applyFont="1" applyFill="1" applyBorder="1" applyAlignment="1" applyProtection="1">
      <alignment horizontal="left" vertical="top" wrapText="1"/>
      <protection hidden="1"/>
    </xf>
    <xf numFmtId="0" fontId="37" fillId="9" borderId="37" xfId="0" applyFont="1" applyFill="1" applyBorder="1" applyAlignment="1" applyProtection="1">
      <alignment horizontal="left" vertical="top" wrapText="1"/>
      <protection hidden="1"/>
    </xf>
  </cellXfs>
  <cellStyles count="20">
    <cellStyle name="Encabezado 4 2" xfId="4" xr:uid="{00000000-0005-0000-0000-000000000000}"/>
    <cellStyle name="Millares [0]" xfId="15" builtinId="6"/>
    <cellStyle name="Millares [0] 2" xfId="5" xr:uid="{00000000-0005-0000-0000-000002000000}"/>
    <cellStyle name="Millares 2" xfId="16" xr:uid="{00000000-0005-0000-0000-000003000000}"/>
    <cellStyle name="Moneda" xfId="13" builtinId="4"/>
    <cellStyle name="Moneda [0]" xfId="14" builtinId="7"/>
    <cellStyle name="Moneda [0] 14" xfId="8" xr:uid="{00000000-0005-0000-0000-000006000000}"/>
    <cellStyle name="Moneda [0] 2" xfId="11" xr:uid="{00000000-0005-0000-0000-000007000000}"/>
    <cellStyle name="Moneda 2" xfId="19" xr:uid="{00000000-0005-0000-0000-000008000000}"/>
    <cellStyle name="Moneda 29" xfId="7" xr:uid="{00000000-0005-0000-0000-000009000000}"/>
    <cellStyle name="Moneda 30" xfId="3" xr:uid="{00000000-0005-0000-0000-00000A000000}"/>
    <cellStyle name="Normal" xfId="0" builtinId="0"/>
    <cellStyle name="Normal 2" xfId="10" xr:uid="{00000000-0005-0000-0000-00000C000000}"/>
    <cellStyle name="Normal 2 2" xfId="18" xr:uid="{00000000-0005-0000-0000-00000D000000}"/>
    <cellStyle name="Normal 3" xfId="12" xr:uid="{00000000-0005-0000-0000-00000E000000}"/>
    <cellStyle name="Normal 55" xfId="6" xr:uid="{00000000-0005-0000-0000-00000F000000}"/>
    <cellStyle name="Normal 56" xfId="1" xr:uid="{00000000-0005-0000-0000-000010000000}"/>
    <cellStyle name="Normal_COTIZ" xfId="17" xr:uid="{00000000-0005-0000-0000-000011000000}"/>
    <cellStyle name="Porcentaje 11" xfId="9" xr:uid="{00000000-0005-0000-0000-000013000000}"/>
    <cellStyle name="Porcentaje 12" xfId="2" xr:uid="{00000000-0005-0000-0000-00001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Relationship Id="rId117" Type="http://schemas.openxmlformats.org/officeDocument/2006/relationships/theme" Target="theme/theme1.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84" Type="http://schemas.openxmlformats.org/officeDocument/2006/relationships/externalLink" Target="externalLinks/externalLink79.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6" Type="http://schemas.openxmlformats.org/officeDocument/2006/relationships/externalLink" Target="externalLinks/externalLink1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74" Type="http://schemas.openxmlformats.org/officeDocument/2006/relationships/externalLink" Target="externalLinks/externalLink69.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5" Type="http://schemas.openxmlformats.org/officeDocument/2006/relationships/worksheet" Target="worksheets/sheet5.xml"/><Relationship Id="rId90" Type="http://schemas.openxmlformats.org/officeDocument/2006/relationships/externalLink" Target="externalLinks/externalLink85.xml"/><Relationship Id="rId95" Type="http://schemas.openxmlformats.org/officeDocument/2006/relationships/externalLink" Target="externalLinks/externalLink90.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18" Type="http://schemas.openxmlformats.org/officeDocument/2006/relationships/styles" Target="styles.xml"/><Relationship Id="rId80" Type="http://schemas.openxmlformats.org/officeDocument/2006/relationships/externalLink" Target="externalLinks/externalLink75.xml"/><Relationship Id="rId85" Type="http://schemas.openxmlformats.org/officeDocument/2006/relationships/externalLink" Target="externalLinks/externalLink80.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08" Type="http://schemas.openxmlformats.org/officeDocument/2006/relationships/externalLink" Target="externalLinks/externalLink103.xml"/><Relationship Id="rId54" Type="http://schemas.openxmlformats.org/officeDocument/2006/relationships/externalLink" Target="externalLinks/externalLink49.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91" Type="http://schemas.openxmlformats.org/officeDocument/2006/relationships/externalLink" Target="externalLinks/externalLink86.xml"/><Relationship Id="rId96" Type="http://schemas.openxmlformats.org/officeDocument/2006/relationships/externalLink" Target="externalLinks/externalLink91.xml"/><Relationship Id="rId1" Type="http://schemas.openxmlformats.org/officeDocument/2006/relationships/worksheet" Target="worksheets/sheet1.xml"/><Relationship Id="rId6" Type="http://schemas.openxmlformats.org/officeDocument/2006/relationships/externalLink" Target="externalLinks/externalLink1.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119" Type="http://schemas.openxmlformats.org/officeDocument/2006/relationships/sharedStrings" Target="sharedStrings.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externalLink" Target="externalLinks/externalLink47.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4" Type="http://schemas.openxmlformats.org/officeDocument/2006/relationships/worksheet" Target="worksheets/sheet4.xml"/><Relationship Id="rId9" Type="http://schemas.openxmlformats.org/officeDocument/2006/relationships/externalLink" Target="externalLinks/externalLink4.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04" Type="http://schemas.openxmlformats.org/officeDocument/2006/relationships/externalLink" Target="externalLinks/externalLink99.xml"/><Relationship Id="rId120" Type="http://schemas.openxmlformats.org/officeDocument/2006/relationships/calcChain" Target="calcChain.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2" Type="http://schemas.openxmlformats.org/officeDocument/2006/relationships/worksheet" Target="worksheets/sheet2.xml"/><Relationship Id="rId29" Type="http://schemas.openxmlformats.org/officeDocument/2006/relationships/externalLink" Target="externalLinks/externalLink24.xml"/><Relationship Id="rId24" Type="http://schemas.openxmlformats.org/officeDocument/2006/relationships/externalLink" Target="externalLinks/externalLink19.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15" Type="http://schemas.openxmlformats.org/officeDocument/2006/relationships/externalLink" Target="externalLinks/externalLink110.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105" Type="http://schemas.openxmlformats.org/officeDocument/2006/relationships/externalLink" Target="externalLinks/externalLink100.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98" Type="http://schemas.openxmlformats.org/officeDocument/2006/relationships/externalLink" Target="externalLinks/externalLink93.xml"/><Relationship Id="rId3" Type="http://schemas.openxmlformats.org/officeDocument/2006/relationships/worksheet" Target="worksheets/sheet3.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116" Type="http://schemas.openxmlformats.org/officeDocument/2006/relationships/externalLink" Target="externalLinks/externalLink111.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SOFFICE/Excel/SIACE/EXCEL/PPTO98/JAGUA/JAGUA1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RLIDIA\CORANTIOQUIA\Procesos%202007\OBRA\SAN%20PEDRO\presupuesto%20san%20pedro_13%20junio"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Servidor/servidor/Dise&#241;os%20y%20Construcciones/An&#225;lisis%20de%20precios%20unitarios%20de%20Bajo%20Grand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AFE\Budgets\Budget%202006\Returned%20Spreadsheets\CapitalBudget6MthsToDec0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MONO\Documentos\Consultorias\Presupuestos%20Basicos\Presupuesto%20Amparo%20-%20Portal\Electricas\APUS%20Y%20PRESUPUESTO%20REDES%20ELECTRICAS%20AMPARO%20GALLO.xlk"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Documents%20and%20Settings\ptilston\Local%20Settings\Temporary%20Internet%20Files\OLKE6\johnny\2297_Opt46_LaJagFleet_ver01-%20ADJUSTED%20SCHE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E:\Users\Harold\Documents\DEVIMED\DEVIMED%202008\REVISION%20NUEVOS%20PRECIOS\Users\Subtecnica.PROCOPAL\Documents\MVM\DEVIMED%20S.A\PAVICOL\MSOFFICE\LICITAR\analisis%20del%20AIU\AIU.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AFE\WINNT\Temporary%20Internet%20Files\OLK3\ANO%20TB-BS%20Dec%20200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CORANTIOQUIA\AREA%20METROPOLITANA\CONVENIO%20286\PARTE%20LEGAL\PRESUPUESTOS%20PARA%20SOPORTE%20DE%20ESTUDIOS%20PREVIOS\Ppto%20Aldo%20San%20Andres%20version%2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PUNITARIOS%20PARA%20241201%202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Users\lfuentes\Documents\OBRAS%20CIVILES%20PRODECO%202004\TREN\VIA%20MULAS%20PLJ\Version%20140109%20-%20Copy\Resumen%20costos%20acceso%20mulas%20y%20bascula%20para%20mulas%20provenientes%20de%20CDJ%2015010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marino/C/Documents%20and%20Settings/Hector%20Guerrero/Mis%20documentos/Licitaciones%20realizadas/Invias/INTER-Taraza-caucasia/DIFERGO/WINDOWS/TEMP/Preobra/ModeloPresupuest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AFE\AFEDatabase%20v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carloshernandez/Desktop/Consultoria%20Agua/Presupuesto%20-%20Automatizacio&#769;n%20Uniatla&#769;ntico%20v2%20(APU).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INPRODCO/Downloads/U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DISE&#209;O%20ARQUITEC/JADELCAM/PRESUPUESTOS/ALCANTARILLADOS/EXPANSION/ALC%20CL%2031C%20CRA%2011%20A%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Wilsonvega/pmaacampamento/CD-CAMPAMENTO/DISE&#209;O/PRESUPUESTOS-DIS/ALCANTARILLADO/Presupuestos%20sistema%20de%20alcantarillado%20(Campamen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dmon%20Vial%20henry/Mis%20documentos/OBRAS/BANADIA/INFORMES/BANADIACD/1erINFORM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9A66BF5F/a%20%20aaInformaci&#243;n%20GRUPO"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Users/ANDRES%20FELIPE%20MU&#209;OZ/Downloads/a%20%20aaInformaci&#243;n%20GRUPO%204/A%20MInformes%20Mensuales/Informe%20de%20estado%20vial%20ene/aCCIDENTES%20DE%201995%20-%2019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DISE&#209;O%20ARQUITEC/Documents%20and%20Settings/JAIR%20DEL%20CAMPO/Escritorio/J%20DEL%20CAMPO%20(H)/carpeta%20formatos%202008/Presupuesto%20CON%20CRONOGRAMA%20CUBIERT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avier_or_compa/zulma/Fin/Anexos/PRESUPUESTOS-RE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AFE\La%20Jagua%202009%20Budg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MANTENIMIENTO%20RUTA%201001_MARZO%20DE%202008/Documents%20and%20Settings/PEDRO%20GARCIA%20REALPE/Mis%20documentos/AMV_G1_2006_TUMACO/Actas%20AMV_G1_Tumaco/a%20%20aaInformaci&#243;n"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md/documentos%20c/Documentos-Wilson/Advial-Cmarca/bimestral/06-dic-ene-99/03JUN-JUL-98/Acc%20Ago-Se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a%20%20aaInformaci&#243;n%20GRUPO%204/A%20MInformes%20Mensuales/Informe%20de%20estado%20vial%20ene/aCCIDENTES%20DE%201995%20-%2019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Paola%20Figueroa/Google%20Drive/LUGSOS/MERCADOS/FEDECAFE/PRESUPUERTO%20Y%20PROGRAMACION/PPTO%20MTC%2023101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Users\lfuentes\AppData\Local\Temp\Rar$DI00.215\Calenturitas%202009%20budget-Meeting%2011-28-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ocuments%20and%20Settings\jcampo\Local%20Settings\Temporary%20Internet%20Files\Content.Outlook\VPM0S3T2\Calenturitas\recvd\2007-10-30%20Recvd%20from%20CIP%20as%20the%20latest%20version\2153_Cal_Model%202_ecmod_11_ver21%2023-July-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001/c/WINDOWS/TEMP/MODELO-ACUEDUCTOX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AFE\Documents%20and%20Settings\gespitia\Configuraci&#243;n%20local\Archivos%20temporales%20de%20Internet\OLK1E\PSM%20AFE%20Cost%20Control%2007-31-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AFE\Documents%20and%20Settings\Administrator\Desktop\2180_CAl%20&amp;%20CDJ%20Equipment\XL\EcMod\Option%2040_EX3600_789_LaJag\2153_Model%20100_LJ%20LOM_Ecmod_ver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AFE\DOCUME~1\jcampo\LOCALS~1\Temp\Temporary%20Directory%201%20for%202153_Cal_Model%202_ecmod_11_ver20%2023-July-07.zip\2153_Cal_Model%202_ecmod_11_ver20%2023-July-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AFE\Documents%20and%20Settings\rschmidt.CDJPRO\Local%20Settings\Temporary%20Internet%20Files\OLK1B4\CDJ%20Prodeco%20rail%20access%20Feb06%20ver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AFE\Documents%20and%20Settings\lchait\My%20Documents\LC_CDrive\columbianupdate\Pincer1806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LUGSOS/LUGSOS/JUEGOS/CARMEN%20DE%20BOLIVAR/PRESUPUESTO%20CARMEN%20DE%20BOLIVAR.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p-alexander/Documentos/winnt/perfiles/Co80097831/Mis%20documentos/Formatos/Presupuesto%20Da&#241;os%20Interinstitucionales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AFE\DBWKF\Budget%20and%20Finance\2008%20Budget\Models\20070930%20Prodeco%20Calenturitas%20Valuation%20Model%20v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TRONCAL%2010/PRESUPUESTO/RECIBIDA/PRESUPUESTO/An&#225;lisis%20de%20precios%20unitarios/Datos%20b&#225;sic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robles\Etapa%208B\Presup%20Robles%208B%20(sandov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001/c/WINDOWS/TEMP/MODELOSANMARCOS-V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A0838/nuevos%20tdr/01_TRABAJO/IDU_202/PRESUPUESTOS/ABRIL_18/Ppto%20de%20Obra%20INARE-IDU-202-05%20-%20Tramo%20Cra-15-19%20-Separador-%20v.16-04-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Informacion%20Comercial_Sucre\Sincelejo\Cortijo%20-%20Sincelej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AFE\TEMP\BUDGET%20FORM%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ocuments%20and%20Settings/pcastro/Mis%20documentos/PRESUPUESTO%20CAL%20A&#209;O%202006/enrique/My%20Documents/geologia/costs%20and%20controls/Exploration%20Program%20Costs%20and%20meter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anear9/d/PROYECTOS/CORANTIOQUIA/VENECIA/1.%20DIAGNOSTICO/ALCANTARILLADO/VENECI_AA_D_IN_01%20A%204.2%20RCH%20Alcantarillad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c3/d/PROYECTOS/CARAMANTA/2.%20ANTEPROYECTO/ANEXOS%20AL%20INFORME/CARAMA_AA_D_IN_1_Anexo%20x.xx%20REDES%20DE%20DISTRIBUCI&#211;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AFE\Documents%20and%20Settings\CPhillips\Cerrejon\Models\Financial%20Model\Draft%208\Financial%20Model%20No%205%20-%2022MTPA-%20Rev%20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Edwin/PMAA%20Campamento/Campamento/Presupuesto/BASE%20DE%20PRESUPUESTO.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Licitacion/AppData/Local/Temp/wz3961/ARCHIVOS%20FERSNO/A.P.U%20FRESNO%20HONDA.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Piii700/C/1581/Excel/Misc/equip%20database%20assumptions%20comparis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sistente/c/Juan%20Diego/2004-17%20Puente%20El%20salado/Dise&#241;o/Memorias/Memoria%20de%20Conexiones/BARRA%20DE%20OJO.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AFE\Documents%20and%20Settings\jcampo\Configuraci&#243;n%20local\Archivos%20temporales%20de%20Internet\OLK43\Capital%20Costs%20-%20154016B%20Mine%20Study%20Option%203A%20-%20DRAFT%20REVISED%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anearpc8/d/PROYECTOS/CORANTIOQUIA/Tarso/3.%20DISE&#209;O/ACUEDUCTO/cantidades%20de%20obra%20act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anearpc8/d/PROYECTOS/BUENOS%20AIRES/DISE&#209;O/Dise&#241;o%20hidraulico%20de%20component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AFE\Data\Work\Excel\Coal\Anglo%20View\MS%20Base%20Case%20intercor%201227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Documents%20and%20Settings\Kacero\Configuraci&#243;n%20local\Archivos%20temporales%20de%20Internet\OLK61\2008%20Capital%20Budget%20v1%208-14-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ervidor/f/C.701%20DISE&#209;OS%20IDU%20GRUPO%20G/09%20Productos%20de%20la%20Consultor&#237;a/701_SIN_ANALISIS_PRECIOS_UNITARIOS%20en%20proceso/APU_GRUPO_G-Ba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Z:\CLIENTES%20LOCALES\Eco\A1936813-%20Parques%20y%20plazas%20de%20Gobernacion%20del%20Atlantico\MANTENIMIENTO%20PAISAJISMO\CONTROL%20DE%20COSTOS%20MANTENIMIENTO%20GOB.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Pc1/Mis%20documentos/Datos/K1/03%20Grupo%2005/02%20Dise&#241;os/01%20Ahorcado/02%20Memorias/02%20Hojas/Cantidades%20de%20Obra/02%20VILLAHERMOSA.Chalo/01%20Dis_AC_VH_02111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Informacion%20Comercial_Sucre\Sincelejo\Las%20Delicias%20-%20Sincelej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ian%20Carlos/Documents/Puente%20el%20Embrujo/Documents%20and%20Settings/Gerencia%20Financiera/Mis%20documentos/Cuadros%20Sr.%20Oscar/Flujo-07-11%20(Operacion%20Calenturitas)-VALORACIO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ervidor/DATOS%20(F)/Documents%20and%20Settings/Administrador/Mis%20documentos/Mis%20archivos%20recibidos/APUS%20JUNIO%2015-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pcastro/Mis%20documentos/PRESUPUESTO%20CAL%20A&#209;O%202006/PRESUPUESTO%202006%20VERSION_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Gian%20Carlos/AppData/Local/Microsoft/Windows/Temporary%20Internet%20Files/Content.Outlook/KD237581/Estructura_APU_201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Gian%20Carlos/Documents/Puente%20el%20Embrujo/Apus/Estructura_APU_20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Documents%20and%20Settings\Administrador\Configuraci&#243;n%20local\Archivos%20temporales%20de%20Internet\Content.IE5\EVZQXGNY\SISTEMA%20VIAL%20URBANO%20DEL%20RIO\ENTREGA\MEMORIAS\C&#225;lculored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Estacion2/d/DOCUME~1/USER05~1/CONFIG~1/TEMP/ADMINISTRACION%20VIAL%20G2/PRESUPUESTOS/Presupuesto%20remoci&#243;n%20de%20derrumb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Teatreesvr/mineconsult/ActiveJobs/2180_CAl%20&amp;%20CDJ%20Equipment/XL/EcMod/Option%2030_EX3600_789/Option%2030_Mixed_EcMod_EX3600_5500_ver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enrique/My%20Documents/geologia/costs%20and%20controls/Exploration%20Program%20Costs%20and%20meter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Documents%20and%20Settings\jcampo\Local%20Settings\Temporary%20Internet%20Files\OLK34\Macintosh%20HDUsers\darrenbowden\Data\Work%20OTML\2005_Budget\Model\Planning%20Model%20OTML%20Month%20CY05%20V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AFE\Documents%20and%20Settings\jcampo\Local%20Settings\Temporary%20Internet%20Files\OLK34\2297_Opt46_La%20Jag_MARC_Evaluation%20ver01-ADJUSTED%20SCH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AFE\AFEDatabase%20v5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AFE\Documents%20and%20Settings\jcampo\Configuraci&#243;n%20local\Archivos%20temporales%20de%20Internet\OLK43\AFE-MOER%20Register%20(2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ICITACI/BASE/PRESUPUESTO-BASE-2006%20(Guatemal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LICITACI/BASE/PRESUPUESTO-BASE-2005%20(peru).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USB%20MARCOS\DOCUMENTOS%20EXCEL\My%20Documents\CONTRATOS%20VIGENTES\Malla%20Vial%20Distrital\CALLE%2080B\Mis%20documentos\INF.BIMENSUAL\INFORME%20BIMENSUAL%20JUL-AGO-20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AFE\Mining\Admin\Template%20Models\Blank%2027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apeco/mapeco_vol1.mapeco_ltda/USUARIOS/Licita/SUBTEC/CARMEN/TARIF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mrojast/Max/Emergencias/INFORMES/PROYECTOS%20FNC/CALDAS/FRESNO%20-%20HONDA.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orlando\PROPUESTA%20PUENTE%20BOLIVAR%20MURO%20EN%20CONCRET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s%20and%20Settings\afigueroa.CYT\Configuraci&#243;n%20local\Archivos%20temporales%20de%20Internet\Content.IE5\KD8PUB8J\ModPptoOperaEquiposVerEy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PC%20VIEJO\D\Richi\Negocios\Cesar%20Villegas\An&#225;lisisAPU.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Documents%20and%20Settings\jcampo\Local%20Settings\Temporary%20Internet%20Files\OLK34\portada%20nuev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usuario/Desktop/VARIOS/SAN%20LUIS/DEFINITIVOS/PRESUPUESTO%20VIA%20SAN%20LUIS%20modificado%20MARZO-10.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Users\Harold\Documents\DEVIMED\DEVIMED%202008\REVISION%20NUEVOS%20PRECIOS\Users\Subtecnica.PROCOPAL\Documents\MVM\DEVIMED%20S.A\San%20Vicente\HLOPEZA\GERONA\CANTIDADES%20REPOSICION\SUBCIRCUITO%207\REDES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Vias/natalia/PC%20VIEJO/D/Richi/Negocios/Cesar%20Villegas/An&#225;lisisAPU.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AFE\Documents%20and%20Settings\jgerard\Local%20Settings\Temporary%20Internet%20Files\OLK139\Truck%20&amp;%20Rail%205mtp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B-H%20Ing%20y%20Desarrollo%20Territorial%20dic%201/providencia%202018885640002/Enero%202019/2.%20Ptresup%20Puente%20Enamorados%20Providencia%20ene%2026%20.xlsb.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arino/C/Documents%20and%20Settings/Hector%20Guerrero/Mis%20documentos/Licitaciones%20realizadas/Invias/INTER-Taraza-caucasia/DIFERGO/WINDOWS/TEMP/UNITARIO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E0992774a/PRECIOS/Constancita/HOJA%20DIARIA/HD%202003/Hoja%20Diaria%20Nueva.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Edwin/Marcelino%20Tascon/BASE/HOJA%20BASE/BASE%20DE%20PRESUPUESTO.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AFE\Corporate\Finance&amp;Admin\Botica\Annual%20Accounts\June%2000\Sponsors%20TB%20(BS)%20June%20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sistente/c/Juan%20Diego/2004-17%20Puente%20El%20salado/Dise&#241;o/Memorias/Memoria%20de%20Conexiones/Memoria%20de%20Conexiones/14-01Placa%20de%20base%20mal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AFE\Corporate\Annual%20Reports\Annual%20Report%202000\MMH%20Consolidated%20TB.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ervidor/Usuarios/Ingeniero/emartinez/medidores%20SANTA%20CECILI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AFE\Documents%20and%20Settings\jcampo\Configuraci&#243;n%20local\Archivos%20temporales%20de%20Internet\OLK43\Flujo%20de%20caja2%2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aescorcia/Desktop/APU/APU%202011/APU%20CON%20PARTICULARES%20OPA.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DISE&#209;O%20ARQUITEC/WINDOWS/TEMP/PROYECTO-JAIR.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Pc-eleal/BASE/HOJA%20BASE/BASE%20DE%20PRESUPUESTO.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Documents%20and%20Settings\dbowden\My%20Documents\Prodeco%20Wk%20File\Budget%20and%20Finance\2008%20Budget\Models\20070920%20Prodeco%20La%20Jagua%20Valuation%20Model%20v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AFE\DOCUME~1\LDIEPPA\LOCALS~1\Temp\notes5D4CD5\FOrmato%20nec%20entto%20200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AFE\unzipped\ULANVA~6\ULAN%20valuation%20(3%20Nov%200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PLANMIN\PLANES\PLANSEM\2001\Trimes02\Sem1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
      <sheetName val="Gráfico1"/>
      <sheetName val="MD"/>
      <sheetName val="AXD"/>
      <sheetName val="MI"/>
      <sheetName val="JAGUA198"/>
      <sheetName val="Dólar"/>
      <sheetName val="Gastos"/>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COSTOS"/>
      <sheetName val="MIRAFLORES"/>
      <sheetName val="APU_MIRAFLORES"/>
      <sheetName val="PULGARINADERECHO"/>
      <sheetName val="APU_PULDERECHO"/>
      <sheetName val="PULGARINAIZQUIERDO"/>
      <sheetName val="APU_PULIZQUIERDO"/>
      <sheetName val="APU_ELHATOPTAR"/>
      <sheetName val="ELHATOPTAR"/>
      <sheetName val="PTAR"/>
      <sheetName val="APU PTAR"/>
      <sheetName val="BASE CTOS"/>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ow r="3">
          <cell r="C3">
            <v>0.27</v>
          </cell>
        </row>
        <row r="9">
          <cell r="D9">
            <v>51000</v>
          </cell>
        </row>
        <row r="10">
          <cell r="D10">
            <v>44625</v>
          </cell>
        </row>
        <row r="11">
          <cell r="D11">
            <v>25500</v>
          </cell>
        </row>
        <row r="12">
          <cell r="D12">
            <v>250000</v>
          </cell>
        </row>
        <row r="13">
          <cell r="D13">
            <v>126000</v>
          </cell>
        </row>
        <row r="15">
          <cell r="D15">
            <v>300</v>
          </cell>
        </row>
        <row r="17">
          <cell r="D17">
            <v>7689.0000000000009</v>
          </cell>
        </row>
        <row r="20">
          <cell r="D20">
            <v>2465</v>
          </cell>
        </row>
        <row r="21">
          <cell r="D21">
            <v>2320</v>
          </cell>
        </row>
        <row r="22">
          <cell r="D22">
            <v>2100</v>
          </cell>
        </row>
        <row r="23">
          <cell r="D23">
            <v>74000</v>
          </cell>
        </row>
        <row r="24">
          <cell r="D24">
            <v>28000</v>
          </cell>
        </row>
        <row r="32">
          <cell r="D32">
            <v>271544.20703749999</v>
          </cell>
        </row>
        <row r="33">
          <cell r="D33">
            <v>245428.78047750003</v>
          </cell>
        </row>
        <row r="35">
          <cell r="D35">
            <v>208653.0577375</v>
          </cell>
        </row>
        <row r="36">
          <cell r="D36">
            <v>192815.19551406248</v>
          </cell>
        </row>
        <row r="37">
          <cell r="D37">
            <v>209714.0284375</v>
          </cell>
        </row>
        <row r="38">
          <cell r="D38">
            <v>257766.93906249999</v>
          </cell>
        </row>
        <row r="39">
          <cell r="D39">
            <v>220124.13906250001</v>
          </cell>
        </row>
        <row r="49">
          <cell r="D49">
            <v>5500</v>
          </cell>
        </row>
        <row r="50">
          <cell r="D50">
            <v>16200</v>
          </cell>
        </row>
        <row r="51">
          <cell r="D51">
            <v>24000</v>
          </cell>
        </row>
        <row r="53">
          <cell r="D53">
            <v>26000</v>
          </cell>
        </row>
        <row r="54">
          <cell r="D54">
            <v>25754</v>
          </cell>
        </row>
        <row r="55">
          <cell r="D55">
            <v>17000</v>
          </cell>
        </row>
        <row r="56">
          <cell r="D56">
            <v>1300</v>
          </cell>
        </row>
        <row r="64">
          <cell r="D64">
            <v>1450</v>
          </cell>
        </row>
        <row r="65">
          <cell r="D65">
            <v>550</v>
          </cell>
        </row>
        <row r="69">
          <cell r="D69">
            <v>1634</v>
          </cell>
        </row>
        <row r="70">
          <cell r="D70">
            <v>22.28</v>
          </cell>
        </row>
        <row r="76">
          <cell r="D76">
            <v>26442</v>
          </cell>
        </row>
        <row r="77">
          <cell r="D77">
            <v>57396</v>
          </cell>
        </row>
        <row r="79">
          <cell r="D79">
            <v>150536</v>
          </cell>
        </row>
        <row r="103">
          <cell r="D103">
            <v>54840</v>
          </cell>
        </row>
        <row r="104">
          <cell r="D104">
            <v>322269</v>
          </cell>
        </row>
        <row r="105">
          <cell r="D105">
            <v>491098</v>
          </cell>
        </row>
        <row r="120">
          <cell r="D120">
            <v>24368</v>
          </cell>
        </row>
        <row r="122">
          <cell r="D122">
            <v>27406</v>
          </cell>
        </row>
        <row r="124">
          <cell r="D124">
            <v>11719</v>
          </cell>
        </row>
        <row r="125">
          <cell r="D125">
            <v>16333</v>
          </cell>
        </row>
        <row r="126">
          <cell r="D126">
            <v>34587</v>
          </cell>
        </row>
        <row r="130">
          <cell r="D130">
            <v>6515</v>
          </cell>
        </row>
        <row r="145">
          <cell r="D145">
            <v>35195</v>
          </cell>
        </row>
        <row r="147">
          <cell r="D147">
            <v>73408</v>
          </cell>
        </row>
        <row r="163">
          <cell r="D163">
            <v>350900</v>
          </cell>
        </row>
        <row r="178">
          <cell r="D178">
            <v>363000</v>
          </cell>
        </row>
        <row r="190">
          <cell r="D190">
            <v>201608</v>
          </cell>
        </row>
        <row r="196">
          <cell r="D196">
            <v>108459.99999999999</v>
          </cell>
        </row>
        <row r="197">
          <cell r="D197">
            <v>283272</v>
          </cell>
        </row>
        <row r="201">
          <cell r="D201">
            <v>98252</v>
          </cell>
        </row>
        <row r="203">
          <cell r="D203">
            <v>237335.99999999997</v>
          </cell>
        </row>
        <row r="213">
          <cell r="D213">
            <v>500</v>
          </cell>
        </row>
        <row r="214">
          <cell r="D214">
            <v>56111</v>
          </cell>
        </row>
        <row r="215">
          <cell r="D215">
            <v>25657</v>
          </cell>
        </row>
        <row r="217">
          <cell r="D217">
            <v>1352.56</v>
          </cell>
        </row>
        <row r="218">
          <cell r="D218">
            <v>1487</v>
          </cell>
        </row>
        <row r="219">
          <cell r="D219">
            <v>1459</v>
          </cell>
        </row>
        <row r="220">
          <cell r="D220">
            <v>5510</v>
          </cell>
        </row>
        <row r="229">
          <cell r="D229">
            <v>4525</v>
          </cell>
        </row>
        <row r="230">
          <cell r="D230">
            <v>2500</v>
          </cell>
        </row>
        <row r="231">
          <cell r="D231">
            <v>25520</v>
          </cell>
        </row>
        <row r="232">
          <cell r="D232">
            <v>140</v>
          </cell>
        </row>
        <row r="233">
          <cell r="D233">
            <v>19400</v>
          </cell>
        </row>
        <row r="242">
          <cell r="D242">
            <v>15000</v>
          </cell>
        </row>
        <row r="243">
          <cell r="D243">
            <v>700</v>
          </cell>
        </row>
        <row r="244">
          <cell r="D244">
            <v>850</v>
          </cell>
        </row>
        <row r="245">
          <cell r="D245">
            <v>43450</v>
          </cell>
        </row>
        <row r="246">
          <cell r="D246">
            <v>40700</v>
          </cell>
        </row>
        <row r="248">
          <cell r="D248">
            <v>27500.000000000004</v>
          </cell>
        </row>
        <row r="249">
          <cell r="D249">
            <v>26950.000000000004</v>
          </cell>
        </row>
        <row r="250">
          <cell r="D250">
            <v>12790</v>
          </cell>
        </row>
        <row r="251">
          <cell r="D251">
            <v>243520</v>
          </cell>
        </row>
        <row r="253">
          <cell r="D253">
            <v>6400</v>
          </cell>
        </row>
        <row r="255">
          <cell r="D255">
            <v>2700</v>
          </cell>
        </row>
        <row r="256">
          <cell r="D256">
            <v>2002.0000000000002</v>
          </cell>
        </row>
        <row r="257">
          <cell r="D257">
            <v>15862.000000000002</v>
          </cell>
        </row>
        <row r="258">
          <cell r="D258">
            <v>50380.000000000007</v>
          </cell>
        </row>
        <row r="259">
          <cell r="D259">
            <v>2750</v>
          </cell>
        </row>
        <row r="264">
          <cell r="D264">
            <v>3493224</v>
          </cell>
        </row>
        <row r="265">
          <cell r="D265">
            <v>2500</v>
          </cell>
        </row>
        <row r="268">
          <cell r="D268">
            <v>812</v>
          </cell>
        </row>
        <row r="269">
          <cell r="D269">
            <v>52500</v>
          </cell>
        </row>
        <row r="270">
          <cell r="D270">
            <v>12800</v>
          </cell>
        </row>
        <row r="272">
          <cell r="D272">
            <v>8000</v>
          </cell>
        </row>
        <row r="283">
          <cell r="D283">
            <v>1276000</v>
          </cell>
        </row>
        <row r="285">
          <cell r="D285">
            <v>463999.99999999994</v>
          </cell>
        </row>
        <row r="294">
          <cell r="D294">
            <v>70180</v>
          </cell>
        </row>
        <row r="295">
          <cell r="D295">
            <v>452400</v>
          </cell>
        </row>
        <row r="296">
          <cell r="D296">
            <v>96097.1</v>
          </cell>
        </row>
        <row r="307">
          <cell r="D307">
            <v>56000</v>
          </cell>
        </row>
        <row r="308">
          <cell r="D308">
            <v>4785</v>
          </cell>
        </row>
        <row r="309">
          <cell r="D309">
            <v>16500</v>
          </cell>
        </row>
        <row r="310">
          <cell r="D310">
            <v>17400</v>
          </cell>
        </row>
        <row r="311">
          <cell r="D311">
            <v>17400</v>
          </cell>
        </row>
        <row r="312">
          <cell r="D312">
            <v>22040</v>
          </cell>
        </row>
        <row r="313">
          <cell r="D313">
            <v>14000</v>
          </cell>
        </row>
        <row r="314">
          <cell r="D314">
            <v>3000</v>
          </cell>
        </row>
        <row r="315">
          <cell r="D315">
            <v>8500</v>
          </cell>
        </row>
        <row r="316">
          <cell r="D316">
            <v>220</v>
          </cell>
        </row>
        <row r="319">
          <cell r="D319">
            <v>10000</v>
          </cell>
        </row>
        <row r="320">
          <cell r="D320">
            <v>385.00000000000006</v>
          </cell>
        </row>
        <row r="321">
          <cell r="D321">
            <v>17400</v>
          </cell>
        </row>
        <row r="322">
          <cell r="D322">
            <v>5000</v>
          </cell>
        </row>
        <row r="323">
          <cell r="D323">
            <v>14000</v>
          </cell>
        </row>
        <row r="331">
          <cell r="D331">
            <v>9100</v>
          </cell>
        </row>
        <row r="332">
          <cell r="D332">
            <v>17600</v>
          </cell>
        </row>
        <row r="333">
          <cell r="D333">
            <v>450</v>
          </cell>
        </row>
        <row r="334">
          <cell r="D334">
            <v>700000</v>
          </cell>
        </row>
        <row r="335">
          <cell r="D335">
            <v>10143</v>
          </cell>
        </row>
        <row r="336">
          <cell r="D336">
            <v>30000</v>
          </cell>
        </row>
        <row r="340">
          <cell r="D340">
            <v>10</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Unit"/>
      <sheetName val="ResumenMaterial"/>
    </sheetNames>
    <sheetDataSet>
      <sheetData sheetId="0" refreshError="1"/>
      <sheetData sheetId="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Tables"/>
      <sheetName val="Summary"/>
      <sheetName val="CapitalBudget6MthToDec05"/>
      <sheetName val="Propuesta"/>
    </sheetNames>
    <sheetDataSet>
      <sheetData sheetId="0" refreshError="1">
        <row r="2">
          <cell r="K2" t="str">
            <v>1A</v>
          </cell>
          <cell r="L2" t="str">
            <v>(1) Extreme</v>
          </cell>
        </row>
        <row r="3">
          <cell r="K3" t="str">
            <v>1B</v>
          </cell>
          <cell r="L3" t="str">
            <v>(2) Extreme</v>
          </cell>
        </row>
        <row r="4">
          <cell r="K4" t="str">
            <v>1C</v>
          </cell>
          <cell r="L4" t="str">
            <v>(4) Extreme</v>
          </cell>
        </row>
        <row r="5">
          <cell r="K5" t="str">
            <v>1D</v>
          </cell>
          <cell r="L5" t="str">
            <v>(7) Extreme</v>
          </cell>
        </row>
        <row r="6">
          <cell r="K6" t="str">
            <v>1E</v>
          </cell>
          <cell r="L6" t="str">
            <v>(11) High</v>
          </cell>
        </row>
        <row r="7">
          <cell r="K7" t="str">
            <v>2A</v>
          </cell>
          <cell r="L7" t="str">
            <v>(3) Extreme</v>
          </cell>
        </row>
        <row r="8">
          <cell r="K8" t="str">
            <v>2B</v>
          </cell>
          <cell r="L8" t="str">
            <v>(5) Extreme</v>
          </cell>
        </row>
        <row r="9">
          <cell r="K9" t="str">
            <v>2C</v>
          </cell>
          <cell r="L9" t="str">
            <v>(8) Extreme</v>
          </cell>
        </row>
        <row r="10">
          <cell r="K10" t="str">
            <v>2D</v>
          </cell>
          <cell r="L10" t="str">
            <v>(12) High</v>
          </cell>
        </row>
        <row r="11">
          <cell r="K11" t="str">
            <v>2E</v>
          </cell>
          <cell r="L11" t="str">
            <v>(16) High</v>
          </cell>
        </row>
        <row r="12">
          <cell r="K12" t="str">
            <v>3A</v>
          </cell>
          <cell r="L12" t="str">
            <v>(6) Extreme</v>
          </cell>
        </row>
        <row r="13">
          <cell r="K13" t="str">
            <v>3B</v>
          </cell>
          <cell r="L13" t="str">
            <v>(9) High</v>
          </cell>
        </row>
        <row r="14">
          <cell r="K14" t="str">
            <v>3C</v>
          </cell>
          <cell r="L14" t="str">
            <v>(13) High</v>
          </cell>
        </row>
        <row r="15">
          <cell r="K15" t="str">
            <v>3D</v>
          </cell>
          <cell r="L15" t="str">
            <v>(17) Moderate</v>
          </cell>
        </row>
        <row r="16">
          <cell r="K16" t="str">
            <v>3E</v>
          </cell>
          <cell r="L16" t="str">
            <v>(20) Moderate</v>
          </cell>
        </row>
        <row r="17">
          <cell r="K17" t="str">
            <v>4A</v>
          </cell>
          <cell r="L17" t="str">
            <v>(10) High</v>
          </cell>
        </row>
        <row r="18">
          <cell r="K18" t="str">
            <v>4B</v>
          </cell>
          <cell r="L18" t="str">
            <v>(14) High</v>
          </cell>
        </row>
        <row r="19">
          <cell r="K19" t="str">
            <v>4C</v>
          </cell>
          <cell r="L19" t="str">
            <v>(18) Moderate</v>
          </cell>
        </row>
        <row r="20">
          <cell r="K20" t="str">
            <v>4D</v>
          </cell>
          <cell r="L20" t="str">
            <v>(21) Low</v>
          </cell>
        </row>
        <row r="21">
          <cell r="K21" t="str">
            <v>4E</v>
          </cell>
          <cell r="L21" t="str">
            <v>(23) Low</v>
          </cell>
        </row>
        <row r="22">
          <cell r="K22" t="str">
            <v>5A</v>
          </cell>
          <cell r="L22" t="str">
            <v>(15) High</v>
          </cell>
        </row>
        <row r="23">
          <cell r="K23" t="str">
            <v>5B</v>
          </cell>
          <cell r="L23" t="str">
            <v>(19) Moderate</v>
          </cell>
        </row>
        <row r="24">
          <cell r="K24" t="str">
            <v>5C</v>
          </cell>
          <cell r="L24" t="str">
            <v>(22) Low</v>
          </cell>
        </row>
        <row r="25">
          <cell r="K25" t="str">
            <v>5D</v>
          </cell>
          <cell r="L25" t="str">
            <v>(24) Low</v>
          </cell>
        </row>
        <row r="26">
          <cell r="K26" t="str">
            <v>5E</v>
          </cell>
          <cell r="L26" t="str">
            <v>(25) Low</v>
          </cell>
        </row>
      </sheetData>
      <sheetData sheetId="1" refreshError="1"/>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GENERAL "/>
      <sheetName val="cap 5-ELECTRICAS "/>
      <sheetName val="datosluminariasRoyAlPHa"/>
      <sheetName val="RefTables"/>
      <sheetName val="Registros_de_Asistencia"/>
      <sheetName val="Simulación Inf."/>
    </sheetNames>
    <sheetDataSet>
      <sheetData sheetId="0"/>
      <sheetData sheetId="1"/>
      <sheetData sheetId="2"/>
      <sheetData sheetId="3">
        <row r="1">
          <cell r="A1" t="str">
            <v>Luminarias de 70W-220V con brazo Sodio</v>
          </cell>
        </row>
        <row r="2">
          <cell r="A2" t="str">
            <v>Luminarias de 150W-220V con brazo Sodio</v>
          </cell>
        </row>
        <row r="3">
          <cell r="A3" t="str">
            <v>Luminarias de 250W-220V con brazo Sodio</v>
          </cell>
        </row>
        <row r="4">
          <cell r="A4" t="str">
            <v>Luminarias de 400W-220V con brazo Sodio</v>
          </cell>
        </row>
        <row r="5">
          <cell r="A5" t="str">
            <v xml:space="preserve">Reflectores tipo RCG de 1000W-220V </v>
          </cell>
        </row>
        <row r="6">
          <cell r="A6" t="str">
            <v>Luminarias tipo RAP de 70W-220V</v>
          </cell>
        </row>
        <row r="7">
          <cell r="A7" t="str">
            <v>Bombillos de Sodio 70W-220V</v>
          </cell>
        </row>
        <row r="8">
          <cell r="A8" t="str">
            <v>Bombillos de Sodio 150W-220V</v>
          </cell>
        </row>
        <row r="9">
          <cell r="A9" t="str">
            <v>Bombillos de Sodio 250W-220V</v>
          </cell>
        </row>
        <row r="10">
          <cell r="A10" t="str">
            <v>Bombillos de Sodio 400W-220V</v>
          </cell>
        </row>
        <row r="11">
          <cell r="A11" t="str">
            <v>Bombillos de Sodio 1000W-220V</v>
          </cell>
        </row>
      </sheetData>
      <sheetData sheetId="4" refreshError="1"/>
      <sheetData sheetId="5" refreshError="1"/>
      <sheetData sheetId="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Project Parameters"/>
      <sheetName val="Fleet"/>
      <sheetName val="Utilisation"/>
      <sheetName val="Support Equipment"/>
      <sheetName val="Truck Nos - Coal"/>
      <sheetName val="Truck Nos - Waste"/>
      <sheetName val="Ground Prep - Coal"/>
      <sheetName val="Ground Prep - Waste"/>
      <sheetName val="Capacity"/>
      <sheetName val="Pasted Schedule"/>
      <sheetName val="MANUAL CONTRACTOR ANNUAL VOLUME"/>
      <sheetName val="Waste Exc Prod"/>
      <sheetName val="Coal Exc Prod"/>
      <sheetName val="Work Hrs - FEL&amp;EXC "/>
      <sheetName val="Work Hrs - Trucks&amp;Support"/>
      <sheetName val="Hours Summary"/>
      <sheetName val="Equip Selection &amp; Roster"/>
      <sheetName val="Truck Cycle Data"/>
      <sheetName val="OC Equip Data"/>
      <sheetName val="Mine variance - tree"/>
    </sheetNames>
    <sheetDataSet>
      <sheetData sheetId="0"/>
      <sheetData sheetId="1">
        <row r="41">
          <cell r="S4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BASES"/>
      <sheetName val="5094-2003"/>
      <sheetName val="AIU"/>
      <sheetName val="A. P. U."/>
    </sheetNames>
    <sheetDataSet>
      <sheetData sheetId="0" refreshError="1">
        <row r="60">
          <cell r="F60">
            <v>80591.125</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00"/>
      <sheetName val="June00"/>
      <sheetName val="Sheet3"/>
      <sheetName val="Sheet4"/>
      <sheetName val="Sheet6"/>
      <sheetName val="Sheet7"/>
      <sheetName val="Sheet9"/>
      <sheetName val="Sheet10"/>
      <sheetName val="Index"/>
    </sheetNames>
    <sheetDataSet>
      <sheetData sheetId="0" refreshError="1"/>
      <sheetData sheetId="1" refreshError="1"/>
      <sheetData sheetId="2" refreshError="1"/>
      <sheetData sheetId="3" refreshError="1">
        <row r="2">
          <cell r="A2" t="str">
            <v>BS1015</v>
          </cell>
          <cell r="B2" t="str">
            <v>MURRIN MURRIN CHQ ACC</v>
          </cell>
          <cell r="C2">
            <v>-919953.21</v>
          </cell>
          <cell r="D2">
            <v>-408212.97</v>
          </cell>
          <cell r="E2">
            <v>-1328166.18</v>
          </cell>
        </row>
        <row r="3">
          <cell r="A3" t="str">
            <v>BS1018</v>
          </cell>
          <cell r="B3" t="str">
            <v>ANO USD CHQ ACCT</v>
          </cell>
          <cell r="C3">
            <v>5879906</v>
          </cell>
          <cell r="D3">
            <v>-5901378.1799999997</v>
          </cell>
          <cell r="E3">
            <v>-21472.18</v>
          </cell>
        </row>
        <row r="4">
          <cell r="A4" t="str">
            <v>BS1077</v>
          </cell>
          <cell r="B4" t="str">
            <v>PETTY CASH MMO MINING</v>
          </cell>
          <cell r="C4">
            <v>1000</v>
          </cell>
          <cell r="D4">
            <v>0</v>
          </cell>
          <cell r="E4">
            <v>1000</v>
          </cell>
        </row>
        <row r="5">
          <cell r="A5" t="str">
            <v>BS1079</v>
          </cell>
          <cell r="B5" t="str">
            <v>PETTY CASH MMO PERTH</v>
          </cell>
          <cell r="C5">
            <v>1000</v>
          </cell>
          <cell r="D5">
            <v>0</v>
          </cell>
          <cell r="E5">
            <v>1000</v>
          </cell>
        </row>
        <row r="6">
          <cell r="A6" t="str">
            <v>BS1080</v>
          </cell>
          <cell r="B6" t="str">
            <v>PETTY CASH MELBOURNE</v>
          </cell>
          <cell r="C6">
            <v>500</v>
          </cell>
          <cell r="D6">
            <v>1000</v>
          </cell>
          <cell r="E6">
            <v>1500</v>
          </cell>
        </row>
        <row r="7">
          <cell r="A7" t="str">
            <v>BS1140</v>
          </cell>
          <cell r="B7" t="str">
            <v>GUAR TERM DEP OFFSET</v>
          </cell>
          <cell r="C7">
            <v>1430000</v>
          </cell>
          <cell r="D7">
            <v>0</v>
          </cell>
          <cell r="E7">
            <v>1430000</v>
          </cell>
        </row>
        <row r="8">
          <cell r="A8" t="str">
            <v>BS1205</v>
          </cell>
          <cell r="B8" t="str">
            <v>TRADE DBTRS ABACUS</v>
          </cell>
          <cell r="C8">
            <v>134401.92000000001</v>
          </cell>
          <cell r="D8">
            <v>-250</v>
          </cell>
          <cell r="E8">
            <v>134151.92000000001</v>
          </cell>
        </row>
        <row r="9">
          <cell r="A9" t="str">
            <v>BS1207</v>
          </cell>
          <cell r="B9" t="str">
            <v>DEBTOR FD MISC ACC</v>
          </cell>
          <cell r="C9">
            <v>880148.03</v>
          </cell>
          <cell r="D9">
            <v>386685.55</v>
          </cell>
          <cell r="E9">
            <v>1266833.58</v>
          </cell>
        </row>
        <row r="10">
          <cell r="A10" t="str">
            <v>BS1208</v>
          </cell>
          <cell r="B10" t="str">
            <v>DEBTOR - INITCO</v>
          </cell>
          <cell r="C10">
            <v>17645.87</v>
          </cell>
          <cell r="D10">
            <v>-1780.97</v>
          </cell>
          <cell r="E10">
            <v>15864.9</v>
          </cell>
        </row>
        <row r="11">
          <cell r="A11" t="str">
            <v>BS1209</v>
          </cell>
          <cell r="B11" t="str">
            <v>DEBTOR - CSM</v>
          </cell>
          <cell r="C11">
            <v>318214.39</v>
          </cell>
          <cell r="D11">
            <v>-71279.210000000006</v>
          </cell>
          <cell r="E11">
            <v>246935.18</v>
          </cell>
        </row>
        <row r="12">
          <cell r="A12" t="str">
            <v>BS1210</v>
          </cell>
          <cell r="B12" t="str">
            <v>DEBTOR FLUOR DANIEL</v>
          </cell>
          <cell r="C12">
            <v>21283050.050000001</v>
          </cell>
          <cell r="D12">
            <v>455476.19</v>
          </cell>
          <cell r="E12">
            <v>21738526.239999998</v>
          </cell>
        </row>
        <row r="13">
          <cell r="A13" t="str">
            <v>BS1211</v>
          </cell>
          <cell r="B13" t="str">
            <v>DEBTOR - BRAMBLES</v>
          </cell>
          <cell r="C13">
            <v>52711.74</v>
          </cell>
          <cell r="D13">
            <v>-11446.15</v>
          </cell>
          <cell r="E13">
            <v>41265.589999999997</v>
          </cell>
        </row>
        <row r="14">
          <cell r="A14" t="str">
            <v>BS1213</v>
          </cell>
          <cell r="B14" t="str">
            <v>DEBTOR WALLIS DRILL'G</v>
          </cell>
          <cell r="C14">
            <v>17224.98</v>
          </cell>
          <cell r="D14">
            <v>-1266.7</v>
          </cell>
          <cell r="E14">
            <v>15958.28</v>
          </cell>
        </row>
        <row r="15">
          <cell r="A15" t="str">
            <v>BS1214</v>
          </cell>
          <cell r="B15" t="str">
            <v>DEBTOR - BOC</v>
          </cell>
          <cell r="C15">
            <v>14273.32</v>
          </cell>
          <cell r="D15">
            <v>22477.93</v>
          </cell>
          <cell r="E15">
            <v>36751.25</v>
          </cell>
        </row>
        <row r="16">
          <cell r="A16" t="str">
            <v>BS1215</v>
          </cell>
          <cell r="B16" t="str">
            <v>DEBTOR SHRM (BIDARN)</v>
          </cell>
          <cell r="C16">
            <v>82145.98</v>
          </cell>
          <cell r="D16">
            <v>4606.84</v>
          </cell>
          <cell r="E16">
            <v>86752.82</v>
          </cell>
        </row>
        <row r="17">
          <cell r="A17" t="str">
            <v>BS1227</v>
          </cell>
          <cell r="B17" t="str">
            <v>DEBTOR FD OTHER EPC</v>
          </cell>
          <cell r="C17">
            <v>60448850.609999999</v>
          </cell>
          <cell r="D17">
            <v>21156358.390000001</v>
          </cell>
          <cell r="E17">
            <v>81605209</v>
          </cell>
        </row>
        <row r="18">
          <cell r="A18" t="str">
            <v>BS1232</v>
          </cell>
          <cell r="B18" t="str">
            <v>DEBTOR - BRANDRILL</v>
          </cell>
          <cell r="C18">
            <v>7692.28</v>
          </cell>
          <cell r="D18">
            <v>-4506.79</v>
          </cell>
          <cell r="E18">
            <v>3185.49</v>
          </cell>
        </row>
        <row r="19">
          <cell r="A19" t="str">
            <v>BS1234</v>
          </cell>
          <cell r="B19" t="str">
            <v>DEBTOR - EUREST</v>
          </cell>
          <cell r="C19">
            <v>19862.53</v>
          </cell>
          <cell r="D19">
            <v>4378.71</v>
          </cell>
          <cell r="E19">
            <v>24241.24</v>
          </cell>
        </row>
        <row r="20">
          <cell r="A20" t="str">
            <v>BS1235</v>
          </cell>
          <cell r="B20" t="str">
            <v>DEBTOR - US FILTERS</v>
          </cell>
          <cell r="C20">
            <v>80108.02</v>
          </cell>
          <cell r="D20">
            <v>-1100</v>
          </cell>
          <cell r="E20">
            <v>79008.02</v>
          </cell>
        </row>
        <row r="21">
          <cell r="A21" t="str">
            <v>BS1236</v>
          </cell>
          <cell r="B21" t="str">
            <v>DEBTOR - FURNACE TECH</v>
          </cell>
          <cell r="C21">
            <v>700</v>
          </cell>
          <cell r="D21">
            <v>0</v>
          </cell>
          <cell r="E21">
            <v>700</v>
          </cell>
        </row>
        <row r="22">
          <cell r="A22" t="str">
            <v>BS1237</v>
          </cell>
          <cell r="B22" t="str">
            <v>DEBTOR - H2 PLT LINDE</v>
          </cell>
          <cell r="C22">
            <v>9019.5400000000009</v>
          </cell>
          <cell r="D22">
            <v>0</v>
          </cell>
          <cell r="E22">
            <v>9019.5400000000009</v>
          </cell>
        </row>
        <row r="23">
          <cell r="A23" t="str">
            <v>BS1238</v>
          </cell>
          <cell r="B23" t="str">
            <v>DEBTOR - WEIR</v>
          </cell>
          <cell r="C23">
            <v>2524.9899999999998</v>
          </cell>
          <cell r="D23">
            <v>-2525</v>
          </cell>
          <cell r="E23">
            <v>-0.01</v>
          </cell>
        </row>
        <row r="24">
          <cell r="A24" t="str">
            <v>BS1240</v>
          </cell>
          <cell r="B24" t="str">
            <v>DEBTOR - AUSCLAD IND</v>
          </cell>
          <cell r="C24">
            <v>15503.65</v>
          </cell>
          <cell r="D24">
            <v>-15503.65</v>
          </cell>
          <cell r="E24">
            <v>0</v>
          </cell>
        </row>
        <row r="25">
          <cell r="A25" t="str">
            <v>BS1244</v>
          </cell>
          <cell r="B25" t="str">
            <v>DEBTOR - ATKINS</v>
          </cell>
          <cell r="C25">
            <v>865.86</v>
          </cell>
          <cell r="D25">
            <v>-865.86</v>
          </cell>
          <cell r="E25">
            <v>0</v>
          </cell>
        </row>
        <row r="26">
          <cell r="A26" t="str">
            <v>BS1245</v>
          </cell>
          <cell r="B26" t="str">
            <v>DEBTOR - ASC-E</v>
          </cell>
          <cell r="C26">
            <v>62498.2</v>
          </cell>
          <cell r="D26">
            <v>300</v>
          </cell>
          <cell r="E26">
            <v>62798.2</v>
          </cell>
        </row>
        <row r="27">
          <cell r="A27" t="str">
            <v>BS1246</v>
          </cell>
          <cell r="B27" t="str">
            <v>DEBTOR - BORAL BUILD</v>
          </cell>
          <cell r="C27">
            <v>802.51</v>
          </cell>
          <cell r="D27">
            <v>981.97</v>
          </cell>
          <cell r="E27">
            <v>1784.48</v>
          </cell>
        </row>
        <row r="28">
          <cell r="A28" t="str">
            <v>BS1247</v>
          </cell>
          <cell r="B28" t="str">
            <v>DEBTOR - BYAC</v>
          </cell>
          <cell r="C28">
            <v>12514.9</v>
          </cell>
          <cell r="D28">
            <v>25428.95</v>
          </cell>
          <cell r="E28">
            <v>37943.85</v>
          </cell>
        </row>
        <row r="29">
          <cell r="A29" t="str">
            <v>BS1248</v>
          </cell>
          <cell r="B29" t="str">
            <v>DEBTOR - COATES HIRE</v>
          </cell>
          <cell r="C29">
            <v>4246.1499999999996</v>
          </cell>
          <cell r="D29">
            <v>-402.9</v>
          </cell>
          <cell r="E29">
            <v>3843.25</v>
          </cell>
        </row>
        <row r="30">
          <cell r="A30" t="str">
            <v>BS1249</v>
          </cell>
          <cell r="B30" t="str">
            <v>DEBTOR-COCKBURN HIRE</v>
          </cell>
          <cell r="C30">
            <v>4414.3999999999996</v>
          </cell>
          <cell r="D30">
            <v>-471.93</v>
          </cell>
          <cell r="E30">
            <v>3942.47</v>
          </cell>
        </row>
        <row r="31">
          <cell r="A31" t="str">
            <v>BS1250</v>
          </cell>
          <cell r="B31" t="str">
            <v>DEBTOR - CSR</v>
          </cell>
          <cell r="C31">
            <v>-814.72</v>
          </cell>
          <cell r="D31">
            <v>-1017.56</v>
          </cell>
          <cell r="E31">
            <v>-1832.28</v>
          </cell>
        </row>
        <row r="32">
          <cell r="A32" t="str">
            <v>BS1251</v>
          </cell>
          <cell r="B32" t="str">
            <v>DEBTOR - JAMES HARDIE</v>
          </cell>
          <cell r="C32">
            <v>-200.01</v>
          </cell>
          <cell r="D32">
            <v>0</v>
          </cell>
          <cell r="E32">
            <v>-200.01</v>
          </cell>
        </row>
        <row r="33">
          <cell r="A33" t="str">
            <v>BS1255</v>
          </cell>
          <cell r="B33" t="str">
            <v>DEBTOR - NATIONAL JET</v>
          </cell>
          <cell r="C33">
            <v>2426.16</v>
          </cell>
          <cell r="D33">
            <v>111.67</v>
          </cell>
          <cell r="E33">
            <v>2537.83</v>
          </cell>
        </row>
        <row r="34">
          <cell r="A34" t="str">
            <v>BS1256</v>
          </cell>
          <cell r="B34" t="str">
            <v>DEBTOR - SMC VENDING</v>
          </cell>
          <cell r="C34">
            <v>63523.17</v>
          </cell>
          <cell r="D34">
            <v>-1955.2</v>
          </cell>
          <cell r="E34">
            <v>61567.97</v>
          </cell>
        </row>
        <row r="35">
          <cell r="A35" t="str">
            <v>BS1257</v>
          </cell>
          <cell r="B35" t="str">
            <v>DEBTOR - SULLIVANS</v>
          </cell>
          <cell r="C35">
            <v>5292.22</v>
          </cell>
          <cell r="D35">
            <v>-874.06</v>
          </cell>
          <cell r="E35">
            <v>4418.16</v>
          </cell>
        </row>
        <row r="36">
          <cell r="A36" t="str">
            <v>BS1258</v>
          </cell>
          <cell r="B36" t="str">
            <v>DEBTOR - GOODYEAR</v>
          </cell>
          <cell r="C36">
            <v>50</v>
          </cell>
          <cell r="D36">
            <v>-50</v>
          </cell>
          <cell r="E36">
            <v>0</v>
          </cell>
        </row>
        <row r="37">
          <cell r="A37" t="str">
            <v>BS1260</v>
          </cell>
          <cell r="B37" t="str">
            <v>DEBTOR - MONODELPHOUS</v>
          </cell>
          <cell r="C37">
            <v>16081.72</v>
          </cell>
          <cell r="D37">
            <v>-11776.16</v>
          </cell>
          <cell r="E37">
            <v>4305.5600000000004</v>
          </cell>
        </row>
        <row r="38">
          <cell r="A38" t="str">
            <v>BS1261</v>
          </cell>
          <cell r="B38" t="str">
            <v>DEBTOR - ALLJAY</v>
          </cell>
          <cell r="C38">
            <v>13527.47</v>
          </cell>
          <cell r="D38">
            <v>6534.16</v>
          </cell>
          <cell r="E38">
            <v>20061.63</v>
          </cell>
        </row>
        <row r="39">
          <cell r="A39" t="str">
            <v>BS1263</v>
          </cell>
          <cell r="B39" t="str">
            <v>DR GARDENER PERROTT</v>
          </cell>
          <cell r="C39">
            <v>38212.19</v>
          </cell>
          <cell r="D39">
            <v>-6511.38</v>
          </cell>
          <cell r="E39">
            <v>31700.81</v>
          </cell>
        </row>
        <row r="40">
          <cell r="A40" t="str">
            <v>BS1264</v>
          </cell>
          <cell r="B40" t="str">
            <v>DEBTOR - SHELL AUST</v>
          </cell>
          <cell r="C40">
            <v>1882.46</v>
          </cell>
          <cell r="D40">
            <v>240.16</v>
          </cell>
          <cell r="E40">
            <v>2122.62</v>
          </cell>
        </row>
        <row r="41">
          <cell r="A41" t="str">
            <v>BS1265</v>
          </cell>
          <cell r="B41" t="str">
            <v>DEBTOR JR ENGINEERING</v>
          </cell>
          <cell r="C41">
            <v>15173.66</v>
          </cell>
          <cell r="D41">
            <v>-1662.57</v>
          </cell>
          <cell r="E41">
            <v>13511.09</v>
          </cell>
        </row>
        <row r="42">
          <cell r="A42" t="str">
            <v>BS1266</v>
          </cell>
          <cell r="B42" t="str">
            <v>DEBTOR - YORK LINING</v>
          </cell>
          <cell r="C42">
            <v>1950</v>
          </cell>
          <cell r="D42">
            <v>-1950</v>
          </cell>
          <cell r="E42">
            <v>0</v>
          </cell>
        </row>
        <row r="43">
          <cell r="A43" t="str">
            <v>BS1269</v>
          </cell>
          <cell r="B43" t="str">
            <v>DEBTOR-SONS OF GWALIA</v>
          </cell>
          <cell r="C43">
            <v>-200</v>
          </cell>
          <cell r="D43">
            <v>580</v>
          </cell>
          <cell r="E43">
            <v>380</v>
          </cell>
        </row>
        <row r="44">
          <cell r="A44" t="str">
            <v>BS1270</v>
          </cell>
          <cell r="B44" t="str">
            <v>DEBTOR-FD VENDOR REPS</v>
          </cell>
          <cell r="C44">
            <v>117741.89</v>
          </cell>
          <cell r="D44">
            <v>-159954.17000000001</v>
          </cell>
          <cell r="E44">
            <v>-42212.28</v>
          </cell>
        </row>
        <row r="45">
          <cell r="A45" t="str">
            <v>BS1271</v>
          </cell>
          <cell r="B45" t="str">
            <v>DEBTOR-FD ENGINEER'G</v>
          </cell>
          <cell r="C45">
            <v>218895.61</v>
          </cell>
          <cell r="D45">
            <v>-204297.31</v>
          </cell>
          <cell r="E45">
            <v>14598.3</v>
          </cell>
        </row>
        <row r="46">
          <cell r="A46" t="str">
            <v>BS1276</v>
          </cell>
          <cell r="B46" t="str">
            <v>DEBTOR - JSE ELECTRIC</v>
          </cell>
          <cell r="C46">
            <v>-100</v>
          </cell>
          <cell r="D46">
            <v>0</v>
          </cell>
          <cell r="E46">
            <v>-100</v>
          </cell>
        </row>
        <row r="47">
          <cell r="A47" t="str">
            <v>BS1277</v>
          </cell>
          <cell r="B47" t="str">
            <v>DEBTOR - KAMKAL PLUMB</v>
          </cell>
          <cell r="C47">
            <v>1684.23</v>
          </cell>
          <cell r="D47">
            <v>-215.67</v>
          </cell>
          <cell r="E47">
            <v>1468.56</v>
          </cell>
        </row>
        <row r="48">
          <cell r="A48" t="str">
            <v>BS1278</v>
          </cell>
          <cell r="B48" t="str">
            <v>DEBTOR - PROTEC PACIF</v>
          </cell>
          <cell r="C48">
            <v>100</v>
          </cell>
          <cell r="D48">
            <v>-100</v>
          </cell>
          <cell r="E48">
            <v>0</v>
          </cell>
        </row>
        <row r="49">
          <cell r="A49" t="str">
            <v>BS1281</v>
          </cell>
          <cell r="B49" t="str">
            <v>DEBTOR TOTAL CORROSIO</v>
          </cell>
          <cell r="C49">
            <v>23777.75</v>
          </cell>
          <cell r="D49">
            <v>-1449.66</v>
          </cell>
          <cell r="E49">
            <v>22328.09</v>
          </cell>
        </row>
        <row r="50">
          <cell r="A50" t="str">
            <v>BS1282</v>
          </cell>
          <cell r="B50" t="str">
            <v>DEBTOR - WRECKAIR</v>
          </cell>
          <cell r="C50">
            <v>803.5</v>
          </cell>
          <cell r="D50">
            <v>-78.599999999999994</v>
          </cell>
          <cell r="E50">
            <v>724.9</v>
          </cell>
        </row>
        <row r="51">
          <cell r="A51" t="str">
            <v>BS1283</v>
          </cell>
          <cell r="B51" t="str">
            <v>DEBTOR - ARB MECHANIA</v>
          </cell>
          <cell r="C51">
            <v>271242.96999999997</v>
          </cell>
          <cell r="D51">
            <v>33883.22</v>
          </cell>
          <cell r="E51">
            <v>305126.19</v>
          </cell>
        </row>
        <row r="52">
          <cell r="A52" t="str">
            <v>BS1285</v>
          </cell>
          <cell r="B52" t="str">
            <v>MONOS FDPL WORK HLDG</v>
          </cell>
          <cell r="C52">
            <v>12725.5</v>
          </cell>
          <cell r="D52">
            <v>0</v>
          </cell>
          <cell r="E52">
            <v>12725.5</v>
          </cell>
        </row>
        <row r="53">
          <cell r="A53" t="str">
            <v>BS1286</v>
          </cell>
          <cell r="B53" t="str">
            <v>MONOS AOPL WORK HLDG</v>
          </cell>
          <cell r="C53">
            <v>25574.98</v>
          </cell>
          <cell r="D53">
            <v>0</v>
          </cell>
          <cell r="E53">
            <v>25574.98</v>
          </cell>
        </row>
        <row r="54">
          <cell r="A54" t="str">
            <v>BS1287</v>
          </cell>
          <cell r="B54" t="str">
            <v>DEBTOR - EUREST SECUR</v>
          </cell>
          <cell r="C54">
            <v>8020.49</v>
          </cell>
          <cell r="D54">
            <v>-4150</v>
          </cell>
          <cell r="E54">
            <v>3870.49</v>
          </cell>
        </row>
        <row r="55">
          <cell r="A55" t="str">
            <v>BS1290</v>
          </cell>
          <cell r="B55" t="str">
            <v>PROV DOUBTFUL DEBTS</v>
          </cell>
          <cell r="C55">
            <v>-146091.13</v>
          </cell>
          <cell r="D55">
            <v>-33688.839999999997</v>
          </cell>
          <cell r="E55">
            <v>-179779.97</v>
          </cell>
        </row>
        <row r="56">
          <cell r="A56" t="str">
            <v>BS1292</v>
          </cell>
          <cell r="B56" t="str">
            <v>DEBTOR - CUMMINS</v>
          </cell>
          <cell r="C56">
            <v>100</v>
          </cell>
          <cell r="D56">
            <v>-100</v>
          </cell>
          <cell r="E56">
            <v>0</v>
          </cell>
        </row>
        <row r="57">
          <cell r="A57" t="str">
            <v>BS1298</v>
          </cell>
          <cell r="B57" t="str">
            <v>CENTAUR - SUND DEBTOR</v>
          </cell>
          <cell r="C57">
            <v>174834.62</v>
          </cell>
          <cell r="D57">
            <v>24</v>
          </cell>
          <cell r="E57">
            <v>174858.62</v>
          </cell>
        </row>
        <row r="58">
          <cell r="A58" t="str">
            <v>BS1325</v>
          </cell>
          <cell r="B58" t="str">
            <v>INSURANCE CLAIMS CTRL</v>
          </cell>
          <cell r="C58">
            <v>-378.39</v>
          </cell>
          <cell r="D58">
            <v>0</v>
          </cell>
          <cell r="E58">
            <v>-378.39</v>
          </cell>
        </row>
        <row r="59">
          <cell r="A59" t="str">
            <v>BS1330</v>
          </cell>
          <cell r="B59" t="str">
            <v>SECURITY RENTAL BOND</v>
          </cell>
          <cell r="C59">
            <v>10952.26</v>
          </cell>
          <cell r="D59">
            <v>0</v>
          </cell>
          <cell r="E59">
            <v>10952.26</v>
          </cell>
        </row>
        <row r="60">
          <cell r="A60" t="str">
            <v>BS1340</v>
          </cell>
          <cell r="B60" t="str">
            <v>GST REMIT CONTROL</v>
          </cell>
          <cell r="C60">
            <v>-0.16</v>
          </cell>
          <cell r="D60">
            <v>0</v>
          </cell>
          <cell r="E60">
            <v>-0.16</v>
          </cell>
        </row>
        <row r="61">
          <cell r="A61" t="str">
            <v>BS1345</v>
          </cell>
          <cell r="B61" t="str">
            <v>WITHHOLDING TAX PAID</v>
          </cell>
          <cell r="C61">
            <v>2175.1999999999998</v>
          </cell>
          <cell r="D61">
            <v>0</v>
          </cell>
          <cell r="E61">
            <v>2175.1999999999998</v>
          </cell>
        </row>
        <row r="62">
          <cell r="A62" t="str">
            <v>BS1350</v>
          </cell>
          <cell r="B62" t="str">
            <v>WORKERS COMP CONTROL</v>
          </cell>
          <cell r="C62">
            <v>-2179.81</v>
          </cell>
          <cell r="D62">
            <v>6532.26</v>
          </cell>
          <cell r="E62">
            <v>4352.45</v>
          </cell>
        </row>
        <row r="63">
          <cell r="A63" t="str">
            <v>BS1360</v>
          </cell>
          <cell r="B63" t="str">
            <v>GENERAL SUSPENSE</v>
          </cell>
          <cell r="C63">
            <v>439990.71</v>
          </cell>
          <cell r="D63">
            <v>-366150.23</v>
          </cell>
          <cell r="E63">
            <v>73840.479999999996</v>
          </cell>
        </row>
        <row r="64">
          <cell r="A64" t="str">
            <v>BS1370</v>
          </cell>
          <cell r="B64" t="str">
            <v>INSURANCE PMTS HOLDNG</v>
          </cell>
          <cell r="C64">
            <v>173433.45</v>
          </cell>
          <cell r="D64">
            <v>-173433.45</v>
          </cell>
          <cell r="E64">
            <v>0</v>
          </cell>
        </row>
        <row r="65">
          <cell r="A65" t="str">
            <v>BS1371</v>
          </cell>
          <cell r="B65" t="str">
            <v>G10 CAPITAL ACQN'S</v>
          </cell>
          <cell r="C65">
            <v>194606.17</v>
          </cell>
          <cell r="D65">
            <v>-45374.57</v>
          </cell>
          <cell r="E65">
            <v>149231.6</v>
          </cell>
        </row>
        <row r="66">
          <cell r="A66" t="str">
            <v>BS1372</v>
          </cell>
          <cell r="B66" t="str">
            <v>G11 OTHER ACQN'S</v>
          </cell>
          <cell r="C66">
            <v>2138060.9900000002</v>
          </cell>
          <cell r="D66">
            <v>214235.63</v>
          </cell>
          <cell r="E66">
            <v>2352296.62</v>
          </cell>
        </row>
        <row r="67">
          <cell r="A67" t="str">
            <v>BS1379</v>
          </cell>
          <cell r="B67" t="str">
            <v>W4 GST UNREG SUPPLIER</v>
          </cell>
          <cell r="C67">
            <v>-1305.6199999999999</v>
          </cell>
          <cell r="D67">
            <v>0</v>
          </cell>
          <cell r="E67">
            <v>-1305.6199999999999</v>
          </cell>
        </row>
        <row r="68">
          <cell r="A68" t="str">
            <v>BS1405</v>
          </cell>
          <cell r="B68" t="str">
            <v>INTERCO - ANL - CNTRL</v>
          </cell>
          <cell r="C68">
            <v>2060357.58</v>
          </cell>
          <cell r="D68">
            <v>-4576177.01</v>
          </cell>
          <cell r="E68">
            <v>-2515819.4300000002</v>
          </cell>
        </row>
        <row r="69">
          <cell r="A69" t="str">
            <v>BS1415</v>
          </cell>
          <cell r="B69" t="str">
            <v>INTERCO - MMH - CNTRL</v>
          </cell>
          <cell r="C69">
            <v>35731.17</v>
          </cell>
          <cell r="D69">
            <v>-1054447</v>
          </cell>
          <cell r="E69">
            <v>-1018715.83</v>
          </cell>
        </row>
        <row r="70">
          <cell r="A70" t="str">
            <v>BS1425</v>
          </cell>
          <cell r="B70" t="str">
            <v>INTERCO - APH - CNTRL</v>
          </cell>
          <cell r="C70">
            <v>1968809.59</v>
          </cell>
          <cell r="D70">
            <v>65042.22</v>
          </cell>
          <cell r="E70">
            <v>2033851.81</v>
          </cell>
        </row>
        <row r="71">
          <cell r="A71" t="str">
            <v>BS1435</v>
          </cell>
          <cell r="B71" t="str">
            <v>INTERCO - MTM - CNTL</v>
          </cell>
          <cell r="C71">
            <v>74773.97</v>
          </cell>
          <cell r="D71">
            <v>-49474.720000000001</v>
          </cell>
          <cell r="E71">
            <v>25299.25</v>
          </cell>
        </row>
        <row r="72">
          <cell r="A72" t="str">
            <v>BS1440</v>
          </cell>
          <cell r="B72" t="str">
            <v>INTERCO - ANE - CNTRL</v>
          </cell>
          <cell r="C72">
            <v>-9466.86</v>
          </cell>
          <cell r="D72">
            <v>502.26</v>
          </cell>
          <cell r="E72">
            <v>-8964.6</v>
          </cell>
        </row>
        <row r="73">
          <cell r="A73" t="str">
            <v>BS1445</v>
          </cell>
          <cell r="B73" t="str">
            <v>INTERCO - MMI</v>
          </cell>
          <cell r="C73">
            <v>-1200</v>
          </cell>
          <cell r="D73">
            <v>0</v>
          </cell>
          <cell r="E73">
            <v>-1200</v>
          </cell>
        </row>
        <row r="74">
          <cell r="A74" t="str">
            <v>BS1460</v>
          </cell>
          <cell r="B74" t="str">
            <v>ANL RECOVERY FROM MMO</v>
          </cell>
          <cell r="C74">
            <v>-1351100</v>
          </cell>
          <cell r="D74">
            <v>729475</v>
          </cell>
          <cell r="E74">
            <v>-621625</v>
          </cell>
        </row>
        <row r="75">
          <cell r="A75" t="str">
            <v>BS1463</v>
          </cell>
          <cell r="B75" t="str">
            <v>MMO RECOVERY FROM ANL</v>
          </cell>
          <cell r="C75">
            <v>219413.7</v>
          </cell>
          <cell r="D75">
            <v>-16941.7</v>
          </cell>
          <cell r="E75">
            <v>202472</v>
          </cell>
        </row>
        <row r="76">
          <cell r="A76" t="str">
            <v>BS1464</v>
          </cell>
          <cell r="B76" t="str">
            <v>MMO RECOVERY FROM MMH</v>
          </cell>
          <cell r="C76">
            <v>12611.5</v>
          </cell>
          <cell r="D76">
            <v>11465</v>
          </cell>
          <cell r="E76">
            <v>24076.5</v>
          </cell>
        </row>
        <row r="77">
          <cell r="A77" t="str">
            <v>BS1466</v>
          </cell>
          <cell r="B77" t="str">
            <v>MMO B/CHARGE TO ANL</v>
          </cell>
          <cell r="C77">
            <v>101258.51</v>
          </cell>
          <cell r="D77">
            <v>-61461.21</v>
          </cell>
          <cell r="E77">
            <v>39797.300000000003</v>
          </cell>
        </row>
        <row r="78">
          <cell r="A78" t="str">
            <v>BS1467</v>
          </cell>
          <cell r="B78" t="str">
            <v>MMO B/CHARGE TO MTM</v>
          </cell>
          <cell r="C78">
            <v>25636.03</v>
          </cell>
          <cell r="D78">
            <v>-420</v>
          </cell>
          <cell r="E78">
            <v>25216.03</v>
          </cell>
        </row>
        <row r="79">
          <cell r="A79" t="str">
            <v>BS1469</v>
          </cell>
          <cell r="B79" t="str">
            <v>MMO B/CHARGE TO ANE</v>
          </cell>
          <cell r="C79">
            <v>1430</v>
          </cell>
          <cell r="D79">
            <v>0</v>
          </cell>
          <cell r="E79">
            <v>1430</v>
          </cell>
        </row>
        <row r="80">
          <cell r="A80" t="str">
            <v>BS1476</v>
          </cell>
          <cell r="B80" t="str">
            <v>PARTICIP'TS REV HOLDG</v>
          </cell>
          <cell r="C80">
            <v>-151084.4</v>
          </cell>
          <cell r="D80">
            <v>-708800.89</v>
          </cell>
          <cell r="E80">
            <v>-859885.29</v>
          </cell>
        </row>
        <row r="81">
          <cell r="A81" t="str">
            <v>BS1491</v>
          </cell>
          <cell r="B81" t="str">
            <v>INTERCO DEBT PROVIS'N</v>
          </cell>
          <cell r="C81">
            <v>0</v>
          </cell>
          <cell r="D81">
            <v>-2033851.81</v>
          </cell>
          <cell r="E81">
            <v>-2033851.81</v>
          </cell>
        </row>
        <row r="82">
          <cell r="A82" t="str">
            <v>BS1505</v>
          </cell>
          <cell r="B82" t="str">
            <v>HG ORE STOCKS</v>
          </cell>
          <cell r="C82">
            <v>3792439.84</v>
          </cell>
          <cell r="D82">
            <v>-830756.07</v>
          </cell>
          <cell r="E82">
            <v>2961683.77</v>
          </cell>
        </row>
        <row r="83">
          <cell r="A83" t="str">
            <v>BS1510</v>
          </cell>
          <cell r="B83" t="str">
            <v>CALCRETE ORE STOCKS</v>
          </cell>
          <cell r="C83">
            <v>2535511.14</v>
          </cell>
          <cell r="D83">
            <v>-701740.95</v>
          </cell>
          <cell r="E83">
            <v>1833770.19</v>
          </cell>
        </row>
        <row r="84">
          <cell r="A84" t="str">
            <v>BS1520</v>
          </cell>
          <cell r="B84" t="str">
            <v>WIP STOCKS</v>
          </cell>
          <cell r="C84">
            <v>11793899</v>
          </cell>
          <cell r="D84">
            <v>486661.16</v>
          </cell>
          <cell r="E84">
            <v>12280560.16</v>
          </cell>
        </row>
        <row r="85">
          <cell r="A85" t="str">
            <v>BS1570</v>
          </cell>
          <cell r="B85" t="str">
            <v>FINISHED STOCKS SITE</v>
          </cell>
          <cell r="C85">
            <v>0</v>
          </cell>
          <cell r="D85">
            <v>1526525.58</v>
          </cell>
          <cell r="E85">
            <v>1526525.58</v>
          </cell>
        </row>
        <row r="86">
          <cell r="A86" t="str">
            <v>BS1575</v>
          </cell>
          <cell r="B86" t="str">
            <v>FINISHED STOCKS KWIN</v>
          </cell>
          <cell r="C86">
            <v>0</v>
          </cell>
          <cell r="D86">
            <v>16090850</v>
          </cell>
          <cell r="E86">
            <v>16090850</v>
          </cell>
        </row>
        <row r="87">
          <cell r="A87" t="str">
            <v>BS1579</v>
          </cell>
          <cell r="B87" t="str">
            <v>FIN ST NRV WRITE DOWN</v>
          </cell>
          <cell r="C87">
            <v>0</v>
          </cell>
          <cell r="D87">
            <v>-164688</v>
          </cell>
          <cell r="E87">
            <v>-164688</v>
          </cell>
        </row>
        <row r="88">
          <cell r="A88" t="str">
            <v>BS1600</v>
          </cell>
          <cell r="B88" t="str">
            <v>INVENTORY CONTROL ACC</v>
          </cell>
          <cell r="C88">
            <v>46147815.93</v>
          </cell>
          <cell r="D88">
            <v>655385.26</v>
          </cell>
          <cell r="E88">
            <v>46803201.189999998</v>
          </cell>
        </row>
        <row r="89">
          <cell r="A89" t="str">
            <v>BS1601</v>
          </cell>
          <cell r="B89" t="str">
            <v>PROVN STOCK OBSELENCE</v>
          </cell>
          <cell r="C89">
            <v>-1101361.1499999999</v>
          </cell>
          <cell r="D89">
            <v>-251065.26</v>
          </cell>
          <cell r="E89">
            <v>-1352426.41</v>
          </cell>
        </row>
        <row r="90">
          <cell r="A90" t="str">
            <v>BS1603</v>
          </cell>
          <cell r="B90" t="str">
            <v>INVENTORY SUSPENSE</v>
          </cell>
          <cell r="C90">
            <v>78202.75</v>
          </cell>
          <cell r="D90">
            <v>92320.47</v>
          </cell>
          <cell r="E90">
            <v>170523.22</v>
          </cell>
        </row>
        <row r="91">
          <cell r="A91" t="str">
            <v>BS1605</v>
          </cell>
          <cell r="B91" t="str">
            <v>UNALLOC'D ISSUES CTRL</v>
          </cell>
          <cell r="C91">
            <v>603.54</v>
          </cell>
          <cell r="D91">
            <v>241.92</v>
          </cell>
          <cell r="E91">
            <v>845.46</v>
          </cell>
        </row>
        <row r="92">
          <cell r="A92" t="str">
            <v>BS1610</v>
          </cell>
          <cell r="B92" t="str">
            <v>MAT IN TRANSIT DIRECT</v>
          </cell>
          <cell r="C92">
            <v>269047.34999999998</v>
          </cell>
          <cell r="D92">
            <v>-4587</v>
          </cell>
          <cell r="E92">
            <v>264460.34999999998</v>
          </cell>
        </row>
        <row r="93">
          <cell r="A93" t="str">
            <v>BS1615</v>
          </cell>
          <cell r="B93" t="str">
            <v>REPAIRS CONTROL</v>
          </cell>
          <cell r="C93">
            <v>5710518.0700000003</v>
          </cell>
          <cell r="D93">
            <v>-2252236.7200000002</v>
          </cell>
          <cell r="E93">
            <v>3458281.35</v>
          </cell>
        </row>
        <row r="94">
          <cell r="A94" t="str">
            <v>BS1622</v>
          </cell>
          <cell r="B94" t="str">
            <v>INV RETURNS HLD'G</v>
          </cell>
          <cell r="C94">
            <v>71996.23</v>
          </cell>
          <cell r="D94">
            <v>0</v>
          </cell>
          <cell r="E94">
            <v>71996.23</v>
          </cell>
        </row>
        <row r="95">
          <cell r="A95" t="str">
            <v>BS1640</v>
          </cell>
          <cell r="B95" t="str">
            <v>PART PAID INVENTY ADV</v>
          </cell>
          <cell r="C95">
            <v>611160</v>
          </cell>
          <cell r="D95">
            <v>-470326.35</v>
          </cell>
          <cell r="E95">
            <v>140833.65</v>
          </cell>
        </row>
        <row r="96">
          <cell r="A96" t="str">
            <v>BS1641</v>
          </cell>
          <cell r="B96" t="str">
            <v>PFP INVENT'Y PAYMT</v>
          </cell>
          <cell r="C96">
            <v>-522178.39</v>
          </cell>
          <cell r="D96">
            <v>0</v>
          </cell>
          <cell r="E96">
            <v>-522178.39</v>
          </cell>
        </row>
        <row r="97">
          <cell r="A97" t="str">
            <v>BS1650</v>
          </cell>
          <cell r="B97" t="str">
            <v>SULPHUR FRGHT RAIL</v>
          </cell>
          <cell r="C97">
            <v>15690876.75</v>
          </cell>
          <cell r="D97">
            <v>-15690876.75</v>
          </cell>
          <cell r="E97">
            <v>0</v>
          </cell>
        </row>
        <row r="98">
          <cell r="A98" t="str">
            <v>BS1651</v>
          </cell>
          <cell r="B98" t="str">
            <v>SULPHUR STD PRICE ADJ</v>
          </cell>
          <cell r="C98">
            <v>-16451368.4</v>
          </cell>
          <cell r="D98">
            <v>15762036.15</v>
          </cell>
          <cell r="E98">
            <v>-689332.25</v>
          </cell>
        </row>
        <row r="99">
          <cell r="A99" t="str">
            <v>BS1655</v>
          </cell>
          <cell r="B99" t="str">
            <v>STORES STD PRICE ADJ</v>
          </cell>
          <cell r="C99">
            <v>-3679399.96</v>
          </cell>
          <cell r="D99">
            <v>4507323.78</v>
          </cell>
          <cell r="E99">
            <v>827923.82</v>
          </cell>
        </row>
        <row r="100">
          <cell r="A100" t="str">
            <v>BS1656</v>
          </cell>
          <cell r="B100" t="str">
            <v>INVENT'Y ISSUES ACC'L</v>
          </cell>
          <cell r="C100">
            <v>-680193.44</v>
          </cell>
          <cell r="D100">
            <v>-1051173.27</v>
          </cell>
          <cell r="E100">
            <v>-1731366.71</v>
          </cell>
        </row>
        <row r="101">
          <cell r="A101" t="str">
            <v>BS1660</v>
          </cell>
          <cell r="B101" t="str">
            <v>AMMONIA FRGHT &amp; INCID</v>
          </cell>
          <cell r="C101">
            <v>233050.57</v>
          </cell>
          <cell r="D101">
            <v>-233050.57</v>
          </cell>
          <cell r="E101">
            <v>0</v>
          </cell>
        </row>
        <row r="102">
          <cell r="A102" t="str">
            <v>BS1670</v>
          </cell>
          <cell r="B102" t="str">
            <v>DIESEL FUEL HLDG</v>
          </cell>
          <cell r="C102">
            <v>-550291.41</v>
          </cell>
          <cell r="D102">
            <v>-376571.16</v>
          </cell>
          <cell r="E102">
            <v>-926862.57</v>
          </cell>
        </row>
        <row r="103">
          <cell r="A103" t="str">
            <v>BS1671</v>
          </cell>
          <cell r="B103" t="str">
            <v>DIESEL FUEL CLAIMS</v>
          </cell>
          <cell r="C103">
            <v>65437.56</v>
          </cell>
          <cell r="D103">
            <v>161103.34</v>
          </cell>
          <cell r="E103">
            <v>226540.9</v>
          </cell>
        </row>
        <row r="104">
          <cell r="A104" t="str">
            <v>BS1675</v>
          </cell>
          <cell r="B104" t="str">
            <v>LT VEH DIESEL HLDG</v>
          </cell>
          <cell r="C104">
            <v>-285343.90999999997</v>
          </cell>
          <cell r="D104">
            <v>-111252.9</v>
          </cell>
          <cell r="E104">
            <v>-396596.81</v>
          </cell>
        </row>
        <row r="105">
          <cell r="A105" t="str">
            <v>BS1690</v>
          </cell>
          <cell r="B105" t="str">
            <v>FRGT - INVENTORY HLDG</v>
          </cell>
          <cell r="C105">
            <v>591614.59</v>
          </cell>
          <cell r="D105">
            <v>952365.51</v>
          </cell>
          <cell r="E105">
            <v>1543980.1</v>
          </cell>
        </row>
        <row r="106">
          <cell r="A106" t="str">
            <v>BS1691</v>
          </cell>
          <cell r="B106" t="str">
            <v>SULPHURIC ACID INVENT</v>
          </cell>
          <cell r="C106">
            <v>0</v>
          </cell>
          <cell r="D106">
            <v>1046240</v>
          </cell>
          <cell r="E106">
            <v>1046240</v>
          </cell>
        </row>
        <row r="107">
          <cell r="A107" t="str">
            <v>BS1805</v>
          </cell>
          <cell r="B107" t="str">
            <v>OTHER PREPAYMENTS</v>
          </cell>
          <cell r="C107">
            <v>0</v>
          </cell>
          <cell r="D107">
            <v>808480.06</v>
          </cell>
          <cell r="E107">
            <v>808480.06</v>
          </cell>
        </row>
        <row r="108">
          <cell r="A108" t="str">
            <v>BS1810</v>
          </cell>
          <cell r="B108" t="str">
            <v>EMPLOYEE PREPAY</v>
          </cell>
          <cell r="C108">
            <v>-6875.95</v>
          </cell>
          <cell r="D108">
            <v>6875.95</v>
          </cell>
          <cell r="E108">
            <v>0</v>
          </cell>
        </row>
        <row r="109">
          <cell r="A109" t="str">
            <v>BS1811</v>
          </cell>
          <cell r="B109" t="str">
            <v>PAYROLL ADV RECOVERY</v>
          </cell>
          <cell r="C109">
            <v>7368.88</v>
          </cell>
          <cell r="D109">
            <v>-6875.95</v>
          </cell>
          <cell r="E109">
            <v>492.93</v>
          </cell>
        </row>
        <row r="110">
          <cell r="A110" t="str">
            <v>BS1820</v>
          </cell>
          <cell r="B110" t="str">
            <v>UNALLOC'D PAYL DR ACC</v>
          </cell>
          <cell r="C110">
            <v>496.03</v>
          </cell>
          <cell r="D110">
            <v>0</v>
          </cell>
          <cell r="E110">
            <v>496.03</v>
          </cell>
        </row>
        <row r="111">
          <cell r="A111" t="str">
            <v>BS1825</v>
          </cell>
          <cell r="B111" t="str">
            <v>UNALLOC'D PAYL CR ACC</v>
          </cell>
          <cell r="C111">
            <v>-1096.01</v>
          </cell>
          <cell r="D111">
            <v>0</v>
          </cell>
          <cell r="E111">
            <v>-1096.01</v>
          </cell>
        </row>
        <row r="112">
          <cell r="A112" t="str">
            <v>BS1901</v>
          </cell>
          <cell r="B112" t="str">
            <v>DEBTOR - PIHA</v>
          </cell>
          <cell r="C112">
            <v>0</v>
          </cell>
          <cell r="D112">
            <v>1200</v>
          </cell>
          <cell r="E112">
            <v>1200</v>
          </cell>
        </row>
        <row r="113">
          <cell r="A113" t="str">
            <v>BS1903</v>
          </cell>
          <cell r="B113" t="str">
            <v>DEBTOR - AJ MAYOR</v>
          </cell>
          <cell r="C113">
            <v>12745</v>
          </cell>
          <cell r="D113">
            <v>-2070</v>
          </cell>
          <cell r="E113">
            <v>10675</v>
          </cell>
        </row>
        <row r="114">
          <cell r="A114" t="str">
            <v>BS1904</v>
          </cell>
          <cell r="B114" t="str">
            <v>DEBTOR - AIRSIDE MTCE</v>
          </cell>
          <cell r="C114">
            <v>0</v>
          </cell>
          <cell r="D114">
            <v>154.38</v>
          </cell>
          <cell r="E114">
            <v>154.38</v>
          </cell>
        </row>
        <row r="115">
          <cell r="A115" t="str">
            <v>BS1905</v>
          </cell>
          <cell r="B115" t="str">
            <v>DEBTOR - CBI CONST'N</v>
          </cell>
          <cell r="C115">
            <v>8834.5300000000007</v>
          </cell>
          <cell r="D115">
            <v>2168.73</v>
          </cell>
          <cell r="E115">
            <v>11003.26</v>
          </cell>
        </row>
        <row r="116">
          <cell r="A116" t="str">
            <v>BS1909</v>
          </cell>
          <cell r="B116" t="str">
            <v>DEBTOR - HITACHI</v>
          </cell>
          <cell r="C116">
            <v>1025</v>
          </cell>
          <cell r="D116">
            <v>-2050</v>
          </cell>
          <cell r="E116">
            <v>-1025</v>
          </cell>
        </row>
        <row r="117">
          <cell r="A117" t="str">
            <v>BS1913</v>
          </cell>
          <cell r="B117" t="str">
            <v>DEBTOR - KOMATSU</v>
          </cell>
          <cell r="C117">
            <v>11731.56</v>
          </cell>
          <cell r="D117">
            <v>-1887.46</v>
          </cell>
          <cell r="E117">
            <v>9844.1</v>
          </cell>
        </row>
        <row r="118">
          <cell r="A118" t="str">
            <v>BS1916</v>
          </cell>
          <cell r="B118" t="str">
            <v>DEBTOR - DYNATEC</v>
          </cell>
          <cell r="C118">
            <v>2750</v>
          </cell>
          <cell r="D118">
            <v>0</v>
          </cell>
          <cell r="E118">
            <v>2750</v>
          </cell>
        </row>
        <row r="119">
          <cell r="A119" t="str">
            <v>BS1920</v>
          </cell>
          <cell r="B119" t="str">
            <v>DEBTOR - MONA TOP ENT</v>
          </cell>
          <cell r="C119">
            <v>27657.49</v>
          </cell>
          <cell r="D119">
            <v>-3663.51</v>
          </cell>
          <cell r="E119">
            <v>23993.98</v>
          </cell>
        </row>
        <row r="120">
          <cell r="A120" t="str">
            <v>BS1923</v>
          </cell>
          <cell r="B120" t="str">
            <v>DEBTOR - MOWATT REF</v>
          </cell>
          <cell r="C120">
            <v>45100</v>
          </cell>
          <cell r="D120">
            <v>0</v>
          </cell>
          <cell r="E120">
            <v>45100</v>
          </cell>
        </row>
        <row r="121">
          <cell r="A121" t="str">
            <v>BS1925</v>
          </cell>
          <cell r="B121" t="str">
            <v>DEBTOR - JENDA CONT</v>
          </cell>
          <cell r="C121">
            <v>3700.01</v>
          </cell>
          <cell r="D121">
            <v>-3700</v>
          </cell>
          <cell r="E121">
            <v>0.01</v>
          </cell>
        </row>
        <row r="122">
          <cell r="A122" t="str">
            <v>BS1928</v>
          </cell>
          <cell r="B122" t="str">
            <v>DEBTOR - FINN INT</v>
          </cell>
          <cell r="C122">
            <v>9073.52</v>
          </cell>
          <cell r="D122">
            <v>11463.59</v>
          </cell>
          <cell r="E122">
            <v>20537.11</v>
          </cell>
        </row>
        <row r="123">
          <cell r="A123" t="str">
            <v>BS1930</v>
          </cell>
          <cell r="B123" t="str">
            <v>DEBTOR - WESTERN CONS</v>
          </cell>
          <cell r="C123">
            <v>14784.38</v>
          </cell>
          <cell r="D123">
            <v>-4241.93</v>
          </cell>
          <cell r="E123">
            <v>10542.45</v>
          </cell>
        </row>
        <row r="124">
          <cell r="A124" t="str">
            <v>BS1933</v>
          </cell>
          <cell r="B124" t="str">
            <v>INTICO HOLDG ACCOUNT</v>
          </cell>
          <cell r="C124">
            <v>235028.96</v>
          </cell>
          <cell r="D124">
            <v>7713.51</v>
          </cell>
          <cell r="E124">
            <v>242742.47</v>
          </cell>
        </row>
        <row r="125">
          <cell r="A125" t="str">
            <v>BS1934</v>
          </cell>
          <cell r="B125" t="str">
            <v>DEBTOR HOMESTAKE GOLD</v>
          </cell>
          <cell r="C125">
            <v>-4600</v>
          </cell>
          <cell r="D125">
            <v>0</v>
          </cell>
          <cell r="E125">
            <v>-4600</v>
          </cell>
        </row>
        <row r="126">
          <cell r="A126" t="str">
            <v>BS1935</v>
          </cell>
          <cell r="B126" t="str">
            <v>DEBTOR - LINOTEX PTY</v>
          </cell>
          <cell r="C126">
            <v>35686.239999999998</v>
          </cell>
          <cell r="D126">
            <v>-4754.41</v>
          </cell>
          <cell r="E126">
            <v>30931.83</v>
          </cell>
        </row>
        <row r="127">
          <cell r="A127" t="str">
            <v>BS1939</v>
          </cell>
          <cell r="B127" t="str">
            <v>DEBTOR IND ISSUES MGT</v>
          </cell>
          <cell r="C127">
            <v>6260</v>
          </cell>
          <cell r="D127">
            <v>-660</v>
          </cell>
          <cell r="E127">
            <v>5600</v>
          </cell>
        </row>
        <row r="128">
          <cell r="A128" t="str">
            <v>BS1943</v>
          </cell>
          <cell r="B128" t="str">
            <v>DEBTOR - BSPC</v>
          </cell>
          <cell r="C128">
            <v>3100.73</v>
          </cell>
          <cell r="D128">
            <v>1483.17</v>
          </cell>
          <cell r="E128">
            <v>4583.8999999999996</v>
          </cell>
        </row>
        <row r="129">
          <cell r="A129" t="str">
            <v>BS1951</v>
          </cell>
          <cell r="B129" t="str">
            <v>DEBTOR - AUST TANK IN</v>
          </cell>
          <cell r="C129">
            <v>0.01</v>
          </cell>
          <cell r="D129">
            <v>0</v>
          </cell>
          <cell r="E129">
            <v>0.01</v>
          </cell>
        </row>
        <row r="130">
          <cell r="A130" t="str">
            <v>BS1954</v>
          </cell>
          <cell r="B130" t="str">
            <v>DEBTOR - GLENMURRIN</v>
          </cell>
          <cell r="C130">
            <v>0</v>
          </cell>
          <cell r="D130">
            <v>2000</v>
          </cell>
          <cell r="E130">
            <v>2000</v>
          </cell>
        </row>
        <row r="131">
          <cell r="A131" t="str">
            <v>BS1955</v>
          </cell>
          <cell r="B131" t="str">
            <v>DEBTOR -SCORE PACIFIC</v>
          </cell>
          <cell r="C131">
            <v>1006.53</v>
          </cell>
          <cell r="D131">
            <v>477.49</v>
          </cell>
          <cell r="E131">
            <v>1484.02</v>
          </cell>
        </row>
        <row r="132">
          <cell r="A132" t="str">
            <v>BS1958</v>
          </cell>
          <cell r="B132" t="str">
            <v>DEBTOR-STEBBINS CONTR</v>
          </cell>
          <cell r="C132">
            <v>7700</v>
          </cell>
          <cell r="D132">
            <v>0</v>
          </cell>
          <cell r="E132">
            <v>7700</v>
          </cell>
        </row>
        <row r="133">
          <cell r="A133" t="str">
            <v>BS1959</v>
          </cell>
          <cell r="B133" t="str">
            <v>DEBTORS-GLOBAL REFACT</v>
          </cell>
          <cell r="C133">
            <v>15375</v>
          </cell>
          <cell r="D133">
            <v>0</v>
          </cell>
          <cell r="E133">
            <v>15375</v>
          </cell>
        </row>
        <row r="134">
          <cell r="A134" t="str">
            <v>BS1960</v>
          </cell>
          <cell r="B134" t="str">
            <v>DEBTORS - ATLAS COPCO</v>
          </cell>
          <cell r="C134">
            <v>675</v>
          </cell>
          <cell r="D134">
            <v>-675</v>
          </cell>
          <cell r="E134">
            <v>0</v>
          </cell>
        </row>
        <row r="135">
          <cell r="A135" t="str">
            <v>BS1962</v>
          </cell>
          <cell r="B135" t="str">
            <v>DEBTOR - SPEC WELDING</v>
          </cell>
          <cell r="C135">
            <v>9652.5</v>
          </cell>
          <cell r="D135">
            <v>0</v>
          </cell>
          <cell r="E135">
            <v>9652.5</v>
          </cell>
        </row>
        <row r="136">
          <cell r="A136" t="str">
            <v>BS1968</v>
          </cell>
          <cell r="B136" t="str">
            <v>DEBTOR - BORAL ENERGY</v>
          </cell>
          <cell r="C136">
            <v>365.2</v>
          </cell>
          <cell r="D136">
            <v>14.27</v>
          </cell>
          <cell r="E136">
            <v>379.47</v>
          </cell>
        </row>
        <row r="137">
          <cell r="A137" t="str">
            <v>BS1969</v>
          </cell>
          <cell r="B137" t="str">
            <v>DEBTOR - BULONG</v>
          </cell>
          <cell r="C137">
            <v>-167.3</v>
          </cell>
          <cell r="D137">
            <v>167.3</v>
          </cell>
          <cell r="E137">
            <v>0</v>
          </cell>
        </row>
        <row r="138">
          <cell r="A138" t="str">
            <v>BS1973</v>
          </cell>
          <cell r="B138" t="str">
            <v>Western Process Cont</v>
          </cell>
          <cell r="C138">
            <v>100</v>
          </cell>
          <cell r="D138">
            <v>-100</v>
          </cell>
          <cell r="E138">
            <v>0</v>
          </cell>
        </row>
        <row r="139">
          <cell r="A139" t="str">
            <v>BS1981</v>
          </cell>
          <cell r="B139" t="str">
            <v>DEBTOR - DTMT CONSTRU</v>
          </cell>
          <cell r="C139">
            <v>10747.08</v>
          </cell>
          <cell r="D139">
            <v>-10447.08</v>
          </cell>
          <cell r="E139">
            <v>300</v>
          </cell>
        </row>
        <row r="140">
          <cell r="A140" t="str">
            <v>BS1990</v>
          </cell>
          <cell r="B140" t="str">
            <v>DEBTOR - ER BUNGEY</v>
          </cell>
          <cell r="C140">
            <v>38055.11</v>
          </cell>
          <cell r="D140">
            <v>-12369.11</v>
          </cell>
          <cell r="E140">
            <v>25686</v>
          </cell>
        </row>
        <row r="141">
          <cell r="A141" t="str">
            <v>BS1991</v>
          </cell>
          <cell r="B141" t="str">
            <v>DEBTOR- INTER RAW MAT</v>
          </cell>
          <cell r="C141">
            <v>27347.32</v>
          </cell>
          <cell r="D141">
            <v>0</v>
          </cell>
          <cell r="E141">
            <v>27347.32</v>
          </cell>
        </row>
        <row r="142">
          <cell r="A142" t="str">
            <v>BS1992</v>
          </cell>
          <cell r="B142" t="str">
            <v>DEBTOR - TENNANT LTD</v>
          </cell>
          <cell r="C142">
            <v>-2160.02</v>
          </cell>
          <cell r="D142">
            <v>2160.02</v>
          </cell>
          <cell r="E142">
            <v>0</v>
          </cell>
        </row>
        <row r="143">
          <cell r="A143" t="str">
            <v>BS1994</v>
          </cell>
          <cell r="B143" t="str">
            <v>DEBTOR - CBI ROLL EXP</v>
          </cell>
          <cell r="C143">
            <v>2700</v>
          </cell>
          <cell r="D143">
            <v>-2000</v>
          </cell>
          <cell r="E143">
            <v>700</v>
          </cell>
        </row>
        <row r="144">
          <cell r="A144" t="str">
            <v>BS1995</v>
          </cell>
          <cell r="B144" t="str">
            <v>DEBTOR REDOX CHEMICAL</v>
          </cell>
          <cell r="C144">
            <v>2100</v>
          </cell>
          <cell r="D144">
            <v>-2100</v>
          </cell>
          <cell r="E144">
            <v>0</v>
          </cell>
        </row>
        <row r="145">
          <cell r="A145" t="str">
            <v>BS1996</v>
          </cell>
          <cell r="B145" t="str">
            <v>DEBTOR - PLAS-TECH</v>
          </cell>
          <cell r="C145">
            <v>8600.27</v>
          </cell>
          <cell r="D145">
            <v>-6267.08</v>
          </cell>
          <cell r="E145">
            <v>2333.19</v>
          </cell>
        </row>
        <row r="146">
          <cell r="A146" t="str">
            <v>BS1997</v>
          </cell>
          <cell r="B146" t="str">
            <v>FD/ASCE AC INT DEFECT</v>
          </cell>
          <cell r="C146">
            <v>926148.64</v>
          </cell>
          <cell r="D146">
            <v>32710.29</v>
          </cell>
          <cell r="E146">
            <v>958858.93</v>
          </cell>
        </row>
        <row r="147">
          <cell r="A147" t="str">
            <v>BS1999</v>
          </cell>
          <cell r="B147" t="str">
            <v>DEBTOR MISC ADHOC VAR</v>
          </cell>
          <cell r="C147">
            <v>145820.85</v>
          </cell>
          <cell r="D147">
            <v>-143181.75</v>
          </cell>
          <cell r="E147">
            <v>2639.1</v>
          </cell>
        </row>
        <row r="148">
          <cell r="A148" t="str">
            <v>BS2210</v>
          </cell>
          <cell r="B148" t="str">
            <v>LG ORE STOCKS</v>
          </cell>
          <cell r="C148">
            <v>17308940.25</v>
          </cell>
          <cell r="D148">
            <v>-6279255.9500000002</v>
          </cell>
          <cell r="E148">
            <v>11029684.300000001</v>
          </cell>
        </row>
        <row r="149">
          <cell r="A149" t="str">
            <v>BS2215</v>
          </cell>
          <cell r="B149" t="str">
            <v>MG ORE STOCKS</v>
          </cell>
          <cell r="C149">
            <v>28450795.780000001</v>
          </cell>
          <cell r="D149">
            <v>-4545837.82</v>
          </cell>
          <cell r="E149">
            <v>23904957.960000001</v>
          </cell>
        </row>
        <row r="150">
          <cell r="A150" t="str">
            <v>BS2504</v>
          </cell>
          <cell r="B150" t="str">
            <v>MMH PP INV'N &amp; EVALN</v>
          </cell>
          <cell r="C150">
            <v>27075329</v>
          </cell>
          <cell r="D150">
            <v>0</v>
          </cell>
          <cell r="E150">
            <v>27075329</v>
          </cell>
        </row>
        <row r="151">
          <cell r="A151" t="str">
            <v>BS2505</v>
          </cell>
          <cell r="B151" t="str">
            <v>PRE-PRJ INV'N &amp; EVALN</v>
          </cell>
          <cell r="C151">
            <v>2455929</v>
          </cell>
          <cell r="D151">
            <v>0</v>
          </cell>
          <cell r="E151">
            <v>2455929</v>
          </cell>
        </row>
        <row r="152">
          <cell r="A152" t="str">
            <v>BS2510</v>
          </cell>
          <cell r="B152" t="str">
            <v>ADDITIONAL EXPLORATN</v>
          </cell>
          <cell r="C152">
            <v>3398402</v>
          </cell>
          <cell r="D152">
            <v>5500</v>
          </cell>
          <cell r="E152">
            <v>3403902</v>
          </cell>
        </row>
        <row r="153">
          <cell r="A153" t="str">
            <v>BS2550</v>
          </cell>
          <cell r="B153" t="str">
            <v>VALUE ADDED TAX</v>
          </cell>
          <cell r="C153">
            <v>4790.6499999999996</v>
          </cell>
          <cell r="D153">
            <v>95.28</v>
          </cell>
          <cell r="E153">
            <v>4885.93</v>
          </cell>
        </row>
        <row r="154">
          <cell r="A154" t="str">
            <v>BS2612</v>
          </cell>
          <cell r="B154" t="str">
            <v>MPD PRJ DEV AREA 2000</v>
          </cell>
          <cell r="C154">
            <v>2717349.6</v>
          </cell>
          <cell r="D154">
            <v>0</v>
          </cell>
          <cell r="E154">
            <v>2717349.6</v>
          </cell>
        </row>
        <row r="155">
          <cell r="A155" t="str">
            <v>BS2614</v>
          </cell>
          <cell r="B155" t="str">
            <v>MPD PRJ DEV AREA 7000</v>
          </cell>
          <cell r="C155">
            <v>24640106.170000002</v>
          </cell>
          <cell r="D155">
            <v>0</v>
          </cell>
          <cell r="E155">
            <v>24640106.170000002</v>
          </cell>
        </row>
        <row r="156">
          <cell r="A156" t="str">
            <v>BS2615</v>
          </cell>
          <cell r="B156" t="str">
            <v>MPD PRJ DEV AREA 8000</v>
          </cell>
          <cell r="C156">
            <v>5102819.67</v>
          </cell>
          <cell r="D156">
            <v>0</v>
          </cell>
          <cell r="E156">
            <v>5102819.67</v>
          </cell>
        </row>
        <row r="157">
          <cell r="A157" t="str">
            <v>BS2620</v>
          </cell>
          <cell r="B157" t="str">
            <v>MPD PRJ DEV AREA 9100</v>
          </cell>
          <cell r="C157">
            <v>61528486.5</v>
          </cell>
          <cell r="D157">
            <v>5939987</v>
          </cell>
          <cell r="E157">
            <v>67468473.5</v>
          </cell>
        </row>
        <row r="158">
          <cell r="A158" t="str">
            <v>BS2625</v>
          </cell>
          <cell r="B158" t="str">
            <v>MPD PRJ DEV AREA 9200</v>
          </cell>
          <cell r="C158">
            <v>17631057.649999999</v>
          </cell>
          <cell r="D158">
            <v>0</v>
          </cell>
          <cell r="E158">
            <v>17631057.649999999</v>
          </cell>
        </row>
        <row r="159">
          <cell r="A159" t="str">
            <v>BS2630</v>
          </cell>
          <cell r="B159" t="str">
            <v>MPD PRJ DEV FINANCE</v>
          </cell>
          <cell r="C159">
            <v>21264642.75</v>
          </cell>
          <cell r="D159">
            <v>0</v>
          </cell>
          <cell r="E159">
            <v>21264642.75</v>
          </cell>
        </row>
        <row r="160">
          <cell r="A160" t="str">
            <v>BS2639</v>
          </cell>
          <cell r="B160" t="str">
            <v>MPD-PPE ADJUSMTENTS</v>
          </cell>
          <cell r="C160">
            <v>-42080789</v>
          </cell>
          <cell r="D160">
            <v>-2774822</v>
          </cell>
          <cell r="E160">
            <v>-44855611</v>
          </cell>
        </row>
        <row r="161">
          <cell r="A161" t="str">
            <v>BS2648</v>
          </cell>
          <cell r="B161" t="str">
            <v>PRE PRD - CARUA ADJ</v>
          </cell>
          <cell r="C161">
            <v>0</v>
          </cell>
          <cell r="D161">
            <v>-23719774</v>
          </cell>
          <cell r="E161">
            <v>-23719774</v>
          </cell>
        </row>
        <row r="162">
          <cell r="A162" t="str">
            <v>BS2650</v>
          </cell>
          <cell r="B162" t="str">
            <v>PRE PRD FIN ROY &amp; OTH</v>
          </cell>
          <cell r="C162">
            <v>42514555.289999999</v>
          </cell>
          <cell r="D162">
            <v>6470097</v>
          </cell>
          <cell r="E162">
            <v>48984652.289999999</v>
          </cell>
        </row>
        <row r="163">
          <cell r="A163" t="str">
            <v>BS2651</v>
          </cell>
          <cell r="B163" t="str">
            <v>PRE PROD'N TOTAL OPEX</v>
          </cell>
          <cell r="C163">
            <v>425925156</v>
          </cell>
          <cell r="D163">
            <v>24081948</v>
          </cell>
          <cell r="E163">
            <v>450007104</v>
          </cell>
        </row>
        <row r="164">
          <cell r="A164" t="str">
            <v>BS2654</v>
          </cell>
          <cell r="B164" t="str">
            <v>REAL'N MINING COSTS</v>
          </cell>
          <cell r="C164">
            <v>-49065461.700000003</v>
          </cell>
          <cell r="D164">
            <v>91184.2</v>
          </cell>
          <cell r="E164">
            <v>-48974277.5</v>
          </cell>
        </row>
        <row r="165">
          <cell r="A165" t="str">
            <v>BS2665</v>
          </cell>
          <cell r="B165" t="str">
            <v>ALLN PP COSTS TO STKS</v>
          </cell>
          <cell r="C165">
            <v>-298652917.38</v>
          </cell>
          <cell r="D165">
            <v>-24182402.120000001</v>
          </cell>
          <cell r="E165">
            <v>-322835319.5</v>
          </cell>
        </row>
        <row r="166">
          <cell r="A166" t="str">
            <v>BS2666</v>
          </cell>
          <cell r="B166" t="str">
            <v>PP FINISHED PROD SHIP</v>
          </cell>
          <cell r="C166">
            <v>286859019.19</v>
          </cell>
          <cell r="D166">
            <v>22169216.32</v>
          </cell>
          <cell r="E166">
            <v>309028235.50999999</v>
          </cell>
        </row>
        <row r="167">
          <cell r="A167" t="str">
            <v>BS2668</v>
          </cell>
          <cell r="B167" t="str">
            <v>ALLN FINISH STKS KWIN</v>
          </cell>
          <cell r="C167">
            <v>0</v>
          </cell>
          <cell r="D167">
            <v>-16090850</v>
          </cell>
          <cell r="E167">
            <v>-16090850</v>
          </cell>
        </row>
        <row r="168">
          <cell r="A168" t="str">
            <v>BS2669</v>
          </cell>
          <cell r="B168" t="str">
            <v>PP WIP NRV WRITE DOWN</v>
          </cell>
          <cell r="C168">
            <v>0</v>
          </cell>
          <cell r="D168">
            <v>1104567</v>
          </cell>
          <cell r="E168">
            <v>1104567</v>
          </cell>
        </row>
        <row r="169">
          <cell r="A169" t="str">
            <v>BS2670</v>
          </cell>
          <cell r="B169" t="str">
            <v>PRE PRD P&amp;L CHGS/OTH</v>
          </cell>
          <cell r="C169">
            <v>-267375</v>
          </cell>
          <cell r="D169">
            <v>1375958.03</v>
          </cell>
          <cell r="E169">
            <v>1108583.03</v>
          </cell>
        </row>
        <row r="170">
          <cell r="A170" t="str">
            <v>BS2689</v>
          </cell>
          <cell r="B170" t="str">
            <v>PRE PRD UNALL'D COSTS</v>
          </cell>
          <cell r="C170">
            <v>-32262.05</v>
          </cell>
          <cell r="D170">
            <v>0</v>
          </cell>
          <cell r="E170">
            <v>-32262.05</v>
          </cell>
        </row>
        <row r="171">
          <cell r="A171" t="str">
            <v>BS2699</v>
          </cell>
          <cell r="B171" t="str">
            <v>DEF'D MINING (WASTE)</v>
          </cell>
          <cell r="C171">
            <v>-486714.98</v>
          </cell>
          <cell r="D171">
            <v>11564664.699999999</v>
          </cell>
          <cell r="E171">
            <v>11077949.720000001</v>
          </cell>
        </row>
        <row r="172">
          <cell r="A172" t="str">
            <v>BS2703</v>
          </cell>
          <cell r="B172" t="str">
            <v>PPE-MPD ADJUSTMENTS</v>
          </cell>
          <cell r="C172">
            <v>42080789</v>
          </cell>
          <cell r="D172">
            <v>2774822</v>
          </cell>
          <cell r="E172">
            <v>44855611</v>
          </cell>
        </row>
        <row r="173">
          <cell r="A173" t="str">
            <v>BS2704</v>
          </cell>
          <cell r="B173" t="str">
            <v>EPC PPE ADJUSTMENTS</v>
          </cell>
          <cell r="C173">
            <v>-36831730.609999999</v>
          </cell>
          <cell r="D173">
            <v>2662941.61</v>
          </cell>
          <cell r="E173">
            <v>-34168789</v>
          </cell>
        </row>
        <row r="174">
          <cell r="A174" t="str">
            <v>BS2705</v>
          </cell>
          <cell r="B174" t="str">
            <v>CONST'N IN PROG (P&amp;E)</v>
          </cell>
          <cell r="C174">
            <v>762395254.64999998</v>
          </cell>
          <cell r="D174">
            <v>-4812521.45</v>
          </cell>
          <cell r="E174">
            <v>757582733.20000005</v>
          </cell>
        </row>
        <row r="175">
          <cell r="A175" t="str">
            <v>BS2707</v>
          </cell>
          <cell r="B175" t="str">
            <v>OPERAT'G LSE PROCEEDS</v>
          </cell>
          <cell r="C175">
            <v>-74030456.030000001</v>
          </cell>
          <cell r="D175">
            <v>0</v>
          </cell>
          <cell r="E175">
            <v>-74030456.030000001</v>
          </cell>
        </row>
        <row r="176">
          <cell r="A176" t="str">
            <v>BS2708</v>
          </cell>
          <cell r="B176" t="str">
            <v>PRE PRD OPS CIP</v>
          </cell>
          <cell r="C176">
            <v>24309289</v>
          </cell>
          <cell r="D176">
            <v>2454557</v>
          </cell>
          <cell r="E176">
            <v>26763846</v>
          </cell>
        </row>
        <row r="177">
          <cell r="A177" t="str">
            <v>BS2709</v>
          </cell>
          <cell r="B177" t="str">
            <v>GLM 100% P&amp;E</v>
          </cell>
          <cell r="C177">
            <v>234549893</v>
          </cell>
          <cell r="D177">
            <v>0</v>
          </cell>
          <cell r="E177">
            <v>234549893</v>
          </cell>
        </row>
        <row r="178">
          <cell r="A178" t="str">
            <v>BS2714</v>
          </cell>
          <cell r="B178" t="str">
            <v>DEV - COBALT EXPN</v>
          </cell>
          <cell r="C178">
            <v>11820279</v>
          </cell>
          <cell r="D178">
            <v>0</v>
          </cell>
          <cell r="E178">
            <v>11820279</v>
          </cell>
        </row>
        <row r="179">
          <cell r="A179" t="str">
            <v>BS2716</v>
          </cell>
          <cell r="B179" t="str">
            <v>DEV - ANO ROLL'G EXP</v>
          </cell>
          <cell r="C179">
            <v>7410265</v>
          </cell>
          <cell r="D179">
            <v>1388980</v>
          </cell>
          <cell r="E179">
            <v>8799245</v>
          </cell>
        </row>
        <row r="180">
          <cell r="A180" t="str">
            <v>BS2733</v>
          </cell>
          <cell r="B180" t="str">
            <v>LEASEHOLD MOTOR VEH</v>
          </cell>
          <cell r="C180">
            <v>351296.75</v>
          </cell>
          <cell r="D180">
            <v>0</v>
          </cell>
          <cell r="E180">
            <v>351296.75</v>
          </cell>
        </row>
        <row r="181">
          <cell r="A181" t="str">
            <v>BS2735</v>
          </cell>
          <cell r="B181" t="str">
            <v>LSEHLD OFF/COMP EQUIP</v>
          </cell>
          <cell r="C181">
            <v>562119.26</v>
          </cell>
          <cell r="D181">
            <v>0</v>
          </cell>
          <cell r="E181">
            <v>562119.26</v>
          </cell>
        </row>
        <row r="182">
          <cell r="A182" t="str">
            <v>BS2738</v>
          </cell>
          <cell r="B182" t="str">
            <v>LEASED MPD COST</v>
          </cell>
          <cell r="C182">
            <v>1927000</v>
          </cell>
          <cell r="D182">
            <v>0</v>
          </cell>
          <cell r="E182">
            <v>1927000</v>
          </cell>
        </row>
        <row r="183">
          <cell r="A183" t="str">
            <v>BS2740</v>
          </cell>
          <cell r="B183" t="str">
            <v>LSEHLD OFF EQ ACC DEP</v>
          </cell>
          <cell r="C183">
            <v>14936</v>
          </cell>
          <cell r="D183">
            <v>0</v>
          </cell>
          <cell r="E183">
            <v>14936</v>
          </cell>
        </row>
        <row r="184">
          <cell r="A184" t="str">
            <v>BS2795</v>
          </cell>
          <cell r="B184" t="str">
            <v>HP COST MOTOR VEHICLE</v>
          </cell>
          <cell r="C184">
            <v>286000</v>
          </cell>
          <cell r="D184">
            <v>0</v>
          </cell>
          <cell r="E184">
            <v>286000</v>
          </cell>
        </row>
        <row r="185">
          <cell r="A185" t="str">
            <v>BS3106</v>
          </cell>
          <cell r="B185" t="str">
            <v>CREDITORS MIMS CNTRL</v>
          </cell>
          <cell r="C185">
            <v>-27701470.960000001</v>
          </cell>
          <cell r="D185">
            <v>-2622033.1</v>
          </cell>
          <cell r="E185">
            <v>-30323504.059999999</v>
          </cell>
        </row>
        <row r="186">
          <cell r="A186" t="str">
            <v>BS3121</v>
          </cell>
          <cell r="B186" t="str">
            <v>GST INV PENDING HOLD</v>
          </cell>
          <cell r="C186">
            <v>-103316.21</v>
          </cell>
          <cell r="D186">
            <v>27558.29</v>
          </cell>
          <cell r="E186">
            <v>-75757.919999999998</v>
          </cell>
        </row>
        <row r="187">
          <cell r="A187" t="str">
            <v>BS3124</v>
          </cell>
          <cell r="B187" t="str">
            <v>GST-Sales &amp; Other G1</v>
          </cell>
          <cell r="C187">
            <v>-72133.509999999995</v>
          </cell>
          <cell r="D187">
            <v>60431.13</v>
          </cell>
          <cell r="E187">
            <v>-11702.38</v>
          </cell>
        </row>
        <row r="188">
          <cell r="A188" t="str">
            <v>BS3130</v>
          </cell>
          <cell r="B188" t="str">
            <v>CREDITORS - OTHER EPC</v>
          </cell>
          <cell r="C188">
            <v>-23617120</v>
          </cell>
          <cell r="D188">
            <v>-99526</v>
          </cell>
          <cell r="E188">
            <v>-23716646</v>
          </cell>
        </row>
        <row r="189">
          <cell r="A189" t="str">
            <v>BS3135</v>
          </cell>
          <cell r="B189" t="str">
            <v>CREDITORS - ACCRUALS</v>
          </cell>
          <cell r="C189">
            <v>-8749509.5899999999</v>
          </cell>
          <cell r="D189">
            <v>-2286680.7599999998</v>
          </cell>
          <cell r="E189">
            <v>-11036190.35</v>
          </cell>
        </row>
        <row r="190">
          <cell r="A190" t="str">
            <v>BS3136</v>
          </cell>
          <cell r="B190" t="str">
            <v>ACC MINING CONT COSTS</v>
          </cell>
          <cell r="C190">
            <v>-2240358.86</v>
          </cell>
          <cell r="D190">
            <v>92237.37</v>
          </cell>
          <cell r="E190">
            <v>-2148121.4900000002</v>
          </cell>
        </row>
        <row r="191">
          <cell r="A191" t="str">
            <v>BS3137</v>
          </cell>
          <cell r="B191" t="str">
            <v>OP'G LEASE PAYMT ACCL</v>
          </cell>
          <cell r="C191">
            <v>-2784741.47</v>
          </cell>
          <cell r="D191">
            <v>395764.97</v>
          </cell>
          <cell r="E191">
            <v>-2388976.5</v>
          </cell>
        </row>
        <row r="192">
          <cell r="A192" t="str">
            <v>BS3138</v>
          </cell>
          <cell r="B192" t="str">
            <v>E&amp;M ACCURALS</v>
          </cell>
          <cell r="C192">
            <v>-6497693.1699999999</v>
          </cell>
          <cell r="D192">
            <v>1477205.23</v>
          </cell>
          <cell r="E192">
            <v>-5020487.9400000004</v>
          </cell>
        </row>
        <row r="193">
          <cell r="A193" t="str">
            <v>BS3139</v>
          </cell>
          <cell r="B193" t="str">
            <v>E&amp;M LAB COST ACCRUALS</v>
          </cell>
          <cell r="C193">
            <v>-139663.26</v>
          </cell>
          <cell r="D193">
            <v>35775.18</v>
          </cell>
          <cell r="E193">
            <v>-103888.08</v>
          </cell>
        </row>
        <row r="194">
          <cell r="A194" t="str">
            <v>BS3141</v>
          </cell>
          <cell r="B194" t="str">
            <v>ROYALTY ACCURALS</v>
          </cell>
          <cell r="C194">
            <v>-2933705</v>
          </cell>
          <cell r="D194">
            <v>-743553</v>
          </cell>
          <cell r="E194">
            <v>-3677258</v>
          </cell>
        </row>
        <row r="195">
          <cell r="A195" t="str">
            <v>BS3144</v>
          </cell>
          <cell r="B195" t="str">
            <v>CONTRACT RETENTIONS</v>
          </cell>
          <cell r="C195">
            <v>-48452.6</v>
          </cell>
          <cell r="D195">
            <v>0</v>
          </cell>
          <cell r="E195">
            <v>-48452.6</v>
          </cell>
        </row>
        <row r="196">
          <cell r="A196" t="str">
            <v>BS3150</v>
          </cell>
          <cell r="B196" t="str">
            <v>INV PND NON GDS MIMS</v>
          </cell>
          <cell r="C196">
            <v>-8124.59</v>
          </cell>
          <cell r="D196">
            <v>433.8</v>
          </cell>
          <cell r="E196">
            <v>-7690.79</v>
          </cell>
        </row>
        <row r="197">
          <cell r="A197" t="str">
            <v>BS3155</v>
          </cell>
          <cell r="B197" t="str">
            <v>SALES TAX LIAB - MIMS</v>
          </cell>
          <cell r="C197">
            <v>-18315.28</v>
          </cell>
          <cell r="D197">
            <v>0</v>
          </cell>
          <cell r="E197">
            <v>-18315.28</v>
          </cell>
        </row>
        <row r="198">
          <cell r="A198" t="str">
            <v>BS3165</v>
          </cell>
          <cell r="B198" t="str">
            <v>CNSGNMNT STCK MIMS</v>
          </cell>
          <cell r="C198">
            <v>-2539380.81</v>
          </cell>
          <cell r="D198">
            <v>64088.29</v>
          </cell>
          <cell r="E198">
            <v>-2475292.52</v>
          </cell>
        </row>
        <row r="199">
          <cell r="A199" t="str">
            <v>BS3170</v>
          </cell>
          <cell r="B199" t="str">
            <v>INV PEND - GOODS MIMS</v>
          </cell>
          <cell r="C199">
            <v>-25981689.07</v>
          </cell>
          <cell r="D199">
            <v>8785478.5899999999</v>
          </cell>
          <cell r="E199">
            <v>-17196210.48</v>
          </cell>
        </row>
        <row r="200">
          <cell r="A200" t="str">
            <v>BS3172</v>
          </cell>
          <cell r="B200" t="str">
            <v>INVOICE PENDING ADJMT</v>
          </cell>
          <cell r="C200">
            <v>4814803.87</v>
          </cell>
          <cell r="D200">
            <v>-1036667.32</v>
          </cell>
          <cell r="E200">
            <v>3778136.55</v>
          </cell>
        </row>
        <row r="201">
          <cell r="A201" t="str">
            <v>BS3175</v>
          </cell>
          <cell r="B201" t="str">
            <v>MATERIAL TRANSIT MIMS</v>
          </cell>
          <cell r="C201">
            <v>-635</v>
          </cell>
          <cell r="D201">
            <v>0</v>
          </cell>
          <cell r="E201">
            <v>-635</v>
          </cell>
        </row>
        <row r="202">
          <cell r="A202" t="str">
            <v>BS3180</v>
          </cell>
          <cell r="B202" t="str">
            <v>CNCLD CHQ MIMS CNTRL</v>
          </cell>
          <cell r="C202">
            <v>-8807.7199999999993</v>
          </cell>
          <cell r="D202">
            <v>9483.91</v>
          </cell>
          <cell r="E202">
            <v>676.19</v>
          </cell>
        </row>
        <row r="203">
          <cell r="A203" t="str">
            <v>BS3305</v>
          </cell>
          <cell r="B203" t="str">
            <v>PROV FOR ANNUAL LEAVE</v>
          </cell>
          <cell r="C203">
            <v>-2299798.42</v>
          </cell>
          <cell r="D203">
            <v>38877.21</v>
          </cell>
          <cell r="E203">
            <v>-2260921.21</v>
          </cell>
        </row>
        <row r="204">
          <cell r="A204" t="str">
            <v>BS3420</v>
          </cell>
          <cell r="B204" t="str">
            <v>PROV FOR FBT</v>
          </cell>
          <cell r="C204">
            <v>-83726.5</v>
          </cell>
          <cell r="D204">
            <v>44103.38</v>
          </cell>
          <cell r="E204">
            <v>-39623.120000000003</v>
          </cell>
        </row>
        <row r="205">
          <cell r="A205" t="str">
            <v>BS3421</v>
          </cell>
          <cell r="B205" t="str">
            <v>FBT PAID</v>
          </cell>
          <cell r="C205">
            <v>201644.63</v>
          </cell>
          <cell r="D205">
            <v>-103553.8</v>
          </cell>
          <cell r="E205">
            <v>98090.83</v>
          </cell>
        </row>
        <row r="206">
          <cell r="A206" t="str">
            <v>BS3435</v>
          </cell>
          <cell r="B206" t="str">
            <v>WORKERS COMP PREMIUM</v>
          </cell>
          <cell r="C206">
            <v>-136041.39000000001</v>
          </cell>
          <cell r="D206">
            <v>-5436.68</v>
          </cell>
          <cell r="E206">
            <v>-141478.07</v>
          </cell>
        </row>
        <row r="207">
          <cell r="A207" t="str">
            <v>BS3500</v>
          </cell>
          <cell r="B207" t="str">
            <v>PAY CLG LEND LEASE</v>
          </cell>
          <cell r="C207">
            <v>-6594.54</v>
          </cell>
          <cell r="D207">
            <v>0</v>
          </cell>
          <cell r="E207">
            <v>-6594.54</v>
          </cell>
        </row>
        <row r="208">
          <cell r="A208" t="str">
            <v>BS3501</v>
          </cell>
          <cell r="B208" t="str">
            <v>PAY CLG MIMS CNTRL</v>
          </cell>
          <cell r="C208">
            <v>640.33000000000004</v>
          </cell>
          <cell r="D208">
            <v>0</v>
          </cell>
          <cell r="E208">
            <v>640.33000000000004</v>
          </cell>
        </row>
        <row r="209">
          <cell r="A209" t="str">
            <v>BS3502</v>
          </cell>
          <cell r="B209" t="str">
            <v>PROVISION FOR CHEQUE</v>
          </cell>
          <cell r="C209">
            <v>-2171.5300000000002</v>
          </cell>
          <cell r="D209">
            <v>0</v>
          </cell>
          <cell r="E209">
            <v>-2171.5300000000002</v>
          </cell>
        </row>
        <row r="210">
          <cell r="A210" t="str">
            <v>BS3505</v>
          </cell>
          <cell r="B210" t="str">
            <v>PAYE TAX CONTROL ACCT</v>
          </cell>
          <cell r="C210">
            <v>882715.65</v>
          </cell>
          <cell r="D210">
            <v>0</v>
          </cell>
          <cell r="E210">
            <v>882715.65</v>
          </cell>
        </row>
        <row r="211">
          <cell r="A211" t="str">
            <v>BS3510</v>
          </cell>
          <cell r="B211" t="str">
            <v>SUPER'N CONTROL ACCT</v>
          </cell>
          <cell r="C211">
            <v>281633.09999999998</v>
          </cell>
          <cell r="D211">
            <v>0</v>
          </cell>
          <cell r="E211">
            <v>281633.09999999998</v>
          </cell>
        </row>
        <row r="212">
          <cell r="A212" t="str">
            <v>BS3515</v>
          </cell>
          <cell r="B212" t="str">
            <v>S&amp;W DEDN MANUAL CNTRL</v>
          </cell>
          <cell r="C212">
            <v>-29966.73</v>
          </cell>
          <cell r="D212">
            <v>-8526.76</v>
          </cell>
          <cell r="E212">
            <v>-38493.49</v>
          </cell>
        </row>
        <row r="213">
          <cell r="A213" t="str">
            <v>BS3520</v>
          </cell>
          <cell r="B213" t="str">
            <v>SALARY SACRIFICE CTRL</v>
          </cell>
          <cell r="C213">
            <v>-12624.73</v>
          </cell>
          <cell r="D213">
            <v>0</v>
          </cell>
          <cell r="E213">
            <v>-12624.73</v>
          </cell>
        </row>
        <row r="214">
          <cell r="A214" t="str">
            <v>BS3530</v>
          </cell>
          <cell r="B214" t="str">
            <v>STATE PAYROLL TAX CTL</v>
          </cell>
          <cell r="C214">
            <v>-132199.26999999999</v>
          </cell>
          <cell r="D214">
            <v>-171287.19</v>
          </cell>
          <cell r="E214">
            <v>-303486.46000000002</v>
          </cell>
        </row>
        <row r="215">
          <cell r="A215" t="str">
            <v>BS3536</v>
          </cell>
          <cell r="B215" t="str">
            <v>PP TAX HLDG MIMS CNTL</v>
          </cell>
          <cell r="C215">
            <v>-437.31</v>
          </cell>
          <cell r="D215">
            <v>0</v>
          </cell>
          <cell r="E215">
            <v>-437.31</v>
          </cell>
        </row>
        <row r="216">
          <cell r="A216" t="str">
            <v>BS3550</v>
          </cell>
          <cell r="B216" t="str">
            <v>LEASED MOTOR VEHICLES</v>
          </cell>
          <cell r="C216">
            <v>-51016.44</v>
          </cell>
          <cell r="D216">
            <v>23729.09</v>
          </cell>
          <cell r="E216">
            <v>-27287.35</v>
          </cell>
        </row>
        <row r="217">
          <cell r="A217" t="str">
            <v>BS3555</v>
          </cell>
          <cell r="B217" t="str">
            <v>LEASED -OFF/COM EQUIP</v>
          </cell>
          <cell r="C217">
            <v>-124860.51</v>
          </cell>
          <cell r="D217">
            <v>7491.68</v>
          </cell>
          <cell r="E217">
            <v>-117368.83</v>
          </cell>
        </row>
        <row r="218">
          <cell r="A218" t="str">
            <v>BS3570</v>
          </cell>
          <cell r="B218" t="str">
            <v>LEASED MPD</v>
          </cell>
          <cell r="C218">
            <v>-1059849.9099999999</v>
          </cell>
          <cell r="D218">
            <v>32116.67</v>
          </cell>
          <cell r="E218">
            <v>-1027733.24</v>
          </cell>
        </row>
        <row r="219">
          <cell r="A219" t="str">
            <v>BS3575</v>
          </cell>
          <cell r="B219" t="str">
            <v>HP LIAB MOTOR VEHICLE</v>
          </cell>
          <cell r="C219">
            <v>-159699.39000000001</v>
          </cell>
          <cell r="D219">
            <v>6057.57</v>
          </cell>
          <cell r="E219">
            <v>-153641.82</v>
          </cell>
        </row>
        <row r="220">
          <cell r="A220" t="str">
            <v>BS4205</v>
          </cell>
          <cell r="B220" t="str">
            <v>PROV FOR LSL</v>
          </cell>
          <cell r="C220">
            <v>-280362.7</v>
          </cell>
          <cell r="D220">
            <v>-18041.23</v>
          </cell>
          <cell r="E220">
            <v>-298403.93</v>
          </cell>
        </row>
        <row r="221">
          <cell r="A221" t="str">
            <v>BS4310</v>
          </cell>
          <cell r="B221" t="str">
            <v>PROV FOR REHABILIT'N</v>
          </cell>
          <cell r="C221">
            <v>0</v>
          </cell>
          <cell r="D221">
            <v>-714118</v>
          </cell>
          <cell r="E221">
            <v>-714118</v>
          </cell>
        </row>
        <row r="222">
          <cell r="A222" t="str">
            <v>BS5005</v>
          </cell>
          <cell r="B222" t="str">
            <v>ISS CAP - FULLY PAID</v>
          </cell>
          <cell r="C222">
            <v>-100</v>
          </cell>
          <cell r="D222">
            <v>0</v>
          </cell>
          <cell r="E222">
            <v>-100</v>
          </cell>
        </row>
        <row r="223">
          <cell r="A223" t="str">
            <v>BS5805</v>
          </cell>
          <cell r="B223" t="str">
            <v>CONTRIB FROM ANL-MMH</v>
          </cell>
          <cell r="C223">
            <v>-27075329</v>
          </cell>
          <cell r="D223">
            <v>0</v>
          </cell>
          <cell r="E223">
            <v>-27075329</v>
          </cell>
        </row>
        <row r="224">
          <cell r="A224" t="str">
            <v>BS5810</v>
          </cell>
          <cell r="B224" t="str">
            <v>INT LOAN G/C USD73.3M</v>
          </cell>
          <cell r="C224">
            <v>-94911258.769999996</v>
          </cell>
          <cell r="D224">
            <v>0</v>
          </cell>
          <cell r="E224">
            <v>-94911258.769999996</v>
          </cell>
        </row>
        <row r="225">
          <cell r="A225" t="str">
            <v>BS5811</v>
          </cell>
          <cell r="B225" t="str">
            <v>CONTRA BS5810 SPON'S</v>
          </cell>
          <cell r="C225">
            <v>94911259.379999995</v>
          </cell>
          <cell r="D225">
            <v>0</v>
          </cell>
          <cell r="E225">
            <v>94911259.379999995</v>
          </cell>
        </row>
        <row r="226">
          <cell r="A226" t="str">
            <v>BS5815</v>
          </cell>
          <cell r="B226" t="str">
            <v>GLM INTERIM LOAN MMH</v>
          </cell>
          <cell r="C226">
            <v>-47574834.229999997</v>
          </cell>
          <cell r="D226">
            <v>0</v>
          </cell>
          <cell r="E226">
            <v>-47574834.229999997</v>
          </cell>
        </row>
        <row r="227">
          <cell r="A227" t="str">
            <v>BS5825</v>
          </cell>
          <cell r="B227" t="str">
            <v>MMH SPON CONT 60% PLT</v>
          </cell>
          <cell r="C227">
            <v>-759177979</v>
          </cell>
          <cell r="D227">
            <v>-16754717</v>
          </cell>
          <cell r="E227">
            <v>-775932696</v>
          </cell>
        </row>
        <row r="228">
          <cell r="A228" t="str">
            <v>BS5828</v>
          </cell>
          <cell r="B228" t="str">
            <v>MMH USD CONT 60% PLT</v>
          </cell>
          <cell r="C228">
            <v>-3527944</v>
          </cell>
          <cell r="D228">
            <v>-1228593</v>
          </cell>
          <cell r="E228">
            <v>-4756537</v>
          </cell>
        </row>
        <row r="229">
          <cell r="A229" t="str">
            <v>BS5850</v>
          </cell>
          <cell r="B229" t="str">
            <v>GLM INTLN GLM 40% PL</v>
          </cell>
          <cell r="C229">
            <v>-31716556.149999999</v>
          </cell>
          <cell r="D229">
            <v>0</v>
          </cell>
          <cell r="E229">
            <v>-31716556.149999999</v>
          </cell>
        </row>
        <row r="230">
          <cell r="A230" t="str">
            <v>BS5855</v>
          </cell>
          <cell r="B230" t="str">
            <v>GLM INTLN GLM 100% PL</v>
          </cell>
          <cell r="C230">
            <v>-15619869</v>
          </cell>
          <cell r="D230">
            <v>0</v>
          </cell>
          <cell r="E230">
            <v>-15619869</v>
          </cell>
        </row>
        <row r="231">
          <cell r="A231" t="str">
            <v>BS5860</v>
          </cell>
          <cell r="B231" t="str">
            <v>MMH CONT GLM 40% PLT</v>
          </cell>
          <cell r="C231">
            <v>-15494503</v>
          </cell>
          <cell r="D231">
            <v>0</v>
          </cell>
          <cell r="E231">
            <v>-15494503</v>
          </cell>
        </row>
        <row r="232">
          <cell r="A232" t="str">
            <v>BS5861</v>
          </cell>
          <cell r="B232" t="str">
            <v>MMH CONT GLM 100% PLT</v>
          </cell>
          <cell r="C232">
            <v>-32080331</v>
          </cell>
          <cell r="D232">
            <v>0</v>
          </cell>
          <cell r="E232">
            <v>-32080331</v>
          </cell>
        </row>
        <row r="233">
          <cell r="A233" t="str">
            <v>BS5864</v>
          </cell>
          <cell r="B233" t="str">
            <v>GLM SPON CONT 40% PLT</v>
          </cell>
          <cell r="C233">
            <v>-490624152</v>
          </cell>
          <cell r="D233">
            <v>-11169811</v>
          </cell>
          <cell r="E233">
            <v>-501793963</v>
          </cell>
        </row>
        <row r="234">
          <cell r="A234" t="str">
            <v>BS5865</v>
          </cell>
          <cell r="B234" t="str">
            <v>GLM SPON CONT 100% PL</v>
          </cell>
          <cell r="C234">
            <v>-186849693</v>
          </cell>
          <cell r="D234">
            <v>0</v>
          </cell>
          <cell r="E234">
            <v>-186849693</v>
          </cell>
        </row>
        <row r="235">
          <cell r="A235" t="str">
            <v>BS5871</v>
          </cell>
          <cell r="B235" t="str">
            <v>GLM USD CONT 40% PLT</v>
          </cell>
          <cell r="C235">
            <v>-2351962</v>
          </cell>
          <cell r="D235">
            <v>-819062</v>
          </cell>
          <cell r="E235">
            <v>-3171024</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SE CTOS"/>
      <sheetName val="Resumen San Andres"/>
      <sheetName val="CENTRO"/>
      <sheetName val="APU CENTRO"/>
      <sheetName val="El Peaje"/>
      <sheetName val="APU El Peaje"/>
      <sheetName val="La Calle"/>
      <sheetName val="APU La Calle"/>
      <sheetName val="EL Piñar"/>
      <sheetName val="APU El Piñar"/>
      <sheetName val="Morrocerrado"/>
      <sheetName val="APU La Morrocerrado"/>
      <sheetName val="Tusa"/>
      <sheetName val="APU Tusa"/>
      <sheetName val="Sol. Ind."/>
      <sheetName val="APU"/>
    </sheetNames>
    <sheetDataSet>
      <sheetData sheetId="0">
        <row r="280">
          <cell r="D280">
            <v>240000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ESTADO RED TEC"/>
      <sheetName val="PUNITARIOS PARA 241201 2S"/>
      <sheetName val="PR 1"/>
      <sheetName val="Hoja1"/>
      <sheetName val="items"/>
      <sheetName val="A-HOR"/>
      <sheetName val="INSUMOS"/>
      <sheetName val="BANCOS"/>
      <sheetName val="CARGOS"/>
      <sheetName val="EPS"/>
      <sheetName val="PENSIONES"/>
      <sheetName val="PREACTA 10"/>
      <sheetName val="DATOS"/>
      <sheetName val="PREACTA 9"/>
      <sheetName val="Res-Accide-10"/>
      <sheetName val="TARIFAS"/>
      <sheetName val=" Liquidacion de Obra por Tramos"/>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 de contratacion"/>
      <sheetName val="Cuadro p. Capital Vs estimado"/>
      <sheetName val="Alcance inst. bascula"/>
      <sheetName val="Alcance inst. bascula (blanco)"/>
      <sheetName val="Alcance contenedores CON PRECIO"/>
      <sheetName val="Alcance O. Civil CON PRECIO (2)"/>
      <sheetName val="Alcance puente ejercicio)"/>
      <sheetName val="Alcance O. Civil sin puente EJe"/>
      <sheetName val="Alcance O. Civil CON PRECIOS"/>
      <sheetName val="contenedor bascula"/>
      <sheetName val="contenedor Garita 2"/>
      <sheetName val="contenedor Garita 1"/>
      <sheetName val="Materiales"/>
    </sheetNames>
    <sheetDataSet>
      <sheetData sheetId="0"/>
      <sheetData sheetId="1" refreshError="1">
        <row r="1">
          <cell r="G1">
            <v>2226.87</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io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Database"/>
      <sheetName val="Report - Cash Flow"/>
      <sheetName val="Report - CCS not used"/>
      <sheetName val="Monthly Spent to date"/>
      <sheetName val="Report - Glencore"/>
      <sheetName val="Report CCS"/>
      <sheetName val="Report - AFE status"/>
      <sheetName val="Report - Capital investment"/>
      <sheetName val="Report - 1Q Forecast"/>
      <sheetName val="Paste in Cash Flow"/>
      <sheetName val="Paste in Cash Flow (2)"/>
      <sheetName val="REF - 2004 thru 2006 Database"/>
      <sheetName val="REF - CASH FLOW FEB 19 07"/>
      <sheetName val="REF - Capex in Models"/>
      <sheetName val="REF - Access Fee"/>
      <sheetName val="REF - Listas"/>
      <sheetName val="REF - Notas"/>
      <sheetName val="Report - Forecast"/>
      <sheetName val="Reporte por proyecto"/>
      <sheetName val="Reporte por responsible"/>
      <sheetName val="Nota"/>
      <sheetName val="Reporte"/>
      <sheetName val="JAG Total Cap"/>
      <sheetName val="JAG Other Cap"/>
      <sheetName val="CAL Total Cap"/>
      <sheetName val="CAL Other Cap"/>
      <sheetName val="Grafica Cash Flow"/>
      <sheetName val="Capital table"/>
      <sheetName val="Calenturitas - CAPITAL"/>
      <sheetName val="La Jagua - CAPITAL"/>
      <sheetName val="Statistics"/>
      <sheetName val="Capex projection (2)"/>
      <sheetName val="Sheet1"/>
      <sheetName val="La Jagua - CAPITAL 2008"/>
      <sheetName val="Prodeco - CAPITAL 2008"/>
      <sheetName val="Calenturitas - CAPITAL 2007"/>
      <sheetName val="La Jagua - CAPITAL  2007"/>
    </sheetNames>
    <sheetDataSet>
      <sheetData sheetId="0" refreshError="1">
        <row r="2">
          <cell r="E2" t="str">
            <v>A1-001</v>
          </cell>
        </row>
        <row r="3">
          <cell r="E3" t="str">
            <v>A1-002</v>
          </cell>
        </row>
        <row r="4">
          <cell r="E4" t="str">
            <v>A1-004</v>
          </cell>
        </row>
        <row r="5">
          <cell r="E5" t="str">
            <v>A1-005</v>
          </cell>
        </row>
        <row r="6">
          <cell r="E6" t="str">
            <v>M2-045</v>
          </cell>
        </row>
        <row r="7">
          <cell r="E7" t="str">
            <v>M2-047</v>
          </cell>
        </row>
        <row r="8">
          <cell r="E8" t="str">
            <v>M2-048</v>
          </cell>
        </row>
        <row r="9">
          <cell r="E9" t="str">
            <v>M2-027</v>
          </cell>
        </row>
        <row r="10">
          <cell r="E10" t="str">
            <v>M2-049</v>
          </cell>
        </row>
        <row r="11">
          <cell r="E11" t="str">
            <v>M2-056</v>
          </cell>
        </row>
        <row r="12">
          <cell r="E12" t="str">
            <v>M2-057</v>
          </cell>
        </row>
        <row r="13">
          <cell r="E13" t="str">
            <v>M2-061</v>
          </cell>
        </row>
        <row r="14">
          <cell r="E14" t="str">
            <v>M2-063</v>
          </cell>
        </row>
        <row r="15">
          <cell r="E15" t="str">
            <v>M2-064</v>
          </cell>
        </row>
        <row r="16">
          <cell r="E16" t="str">
            <v>M2-065</v>
          </cell>
        </row>
        <row r="17">
          <cell r="E17" t="str">
            <v>M2-066</v>
          </cell>
        </row>
        <row r="18">
          <cell r="E18" t="str">
            <v>M2-067</v>
          </cell>
        </row>
        <row r="19">
          <cell r="E19" t="str">
            <v>M2-069</v>
          </cell>
        </row>
        <row r="20">
          <cell r="E20" t="str">
            <v>M2-071</v>
          </cell>
        </row>
        <row r="21">
          <cell r="E21" t="str">
            <v>M2-073</v>
          </cell>
        </row>
        <row r="22">
          <cell r="E22" t="str">
            <v>M2-075</v>
          </cell>
        </row>
        <row r="23">
          <cell r="E23" t="str">
            <v>M2-078</v>
          </cell>
        </row>
        <row r="24">
          <cell r="E24" t="str">
            <v>M2-079</v>
          </cell>
        </row>
        <row r="25">
          <cell r="E25" t="str">
            <v>M2-080</v>
          </cell>
        </row>
        <row r="26">
          <cell r="E26" t="str">
            <v>M2-081</v>
          </cell>
        </row>
        <row r="27">
          <cell r="E27" t="str">
            <v>M2-082</v>
          </cell>
        </row>
        <row r="28">
          <cell r="E28" t="str">
            <v>M2-083</v>
          </cell>
        </row>
        <row r="29">
          <cell r="E29" t="str">
            <v>M2-086</v>
          </cell>
        </row>
        <row r="30">
          <cell r="E30" t="str">
            <v>M2-088</v>
          </cell>
        </row>
        <row r="31">
          <cell r="E31" t="str">
            <v>M2-090</v>
          </cell>
        </row>
        <row r="32">
          <cell r="E32" t="str">
            <v>M2-091</v>
          </cell>
        </row>
        <row r="33">
          <cell r="E33" t="str">
            <v>M2-050</v>
          </cell>
        </row>
        <row r="34">
          <cell r="E34" t="str">
            <v>M2-092</v>
          </cell>
        </row>
        <row r="35">
          <cell r="E35" t="str">
            <v>M2-096</v>
          </cell>
        </row>
        <row r="36">
          <cell r="E36" t="str">
            <v>M2-097</v>
          </cell>
        </row>
        <row r="37">
          <cell r="E37" t="str">
            <v>M2-098</v>
          </cell>
        </row>
        <row r="38">
          <cell r="E38" t="str">
            <v>M2-100</v>
          </cell>
        </row>
        <row r="39">
          <cell r="E39" t="str">
            <v>M2-102</v>
          </cell>
        </row>
        <row r="40">
          <cell r="E40" t="str">
            <v>M2-103</v>
          </cell>
        </row>
        <row r="41">
          <cell r="E41" t="str">
            <v>M2-104</v>
          </cell>
        </row>
        <row r="42">
          <cell r="E42" t="str">
            <v>M2-107</v>
          </cell>
        </row>
        <row r="43">
          <cell r="E43" t="str">
            <v>M2-108</v>
          </cell>
        </row>
        <row r="44">
          <cell r="E44" t="str">
            <v>M2-109</v>
          </cell>
        </row>
        <row r="45">
          <cell r="E45" t="str">
            <v>P1-137</v>
          </cell>
        </row>
        <row r="46">
          <cell r="E46" t="str">
            <v>P1-152</v>
          </cell>
        </row>
        <row r="47">
          <cell r="E47" t="str">
            <v>P1-149</v>
          </cell>
        </row>
        <row r="48">
          <cell r="E48" t="str">
            <v>P1-154</v>
          </cell>
        </row>
        <row r="49">
          <cell r="E49" t="str">
            <v>P1-142</v>
          </cell>
        </row>
        <row r="50">
          <cell r="E50" t="str">
            <v>P1-143</v>
          </cell>
        </row>
        <row r="51">
          <cell r="E51" t="str">
            <v>M1-083</v>
          </cell>
        </row>
        <row r="52">
          <cell r="E52" t="str">
            <v>M1-073</v>
          </cell>
        </row>
        <row r="53">
          <cell r="E53" t="str">
            <v>P1-117</v>
          </cell>
        </row>
        <row r="54">
          <cell r="E54" t="str">
            <v>P1-139</v>
          </cell>
        </row>
        <row r="55">
          <cell r="E55" t="str">
            <v>P1-150</v>
          </cell>
        </row>
        <row r="56">
          <cell r="E56" t="str">
            <v>P1-147</v>
          </cell>
        </row>
        <row r="57">
          <cell r="E57" t="str">
            <v>M1-084</v>
          </cell>
        </row>
        <row r="58">
          <cell r="E58" t="str">
            <v>P1-148</v>
          </cell>
        </row>
        <row r="59">
          <cell r="E59" t="str">
            <v>P1-141</v>
          </cell>
        </row>
        <row r="60">
          <cell r="E60" t="str">
            <v>M1-064</v>
          </cell>
        </row>
        <row r="61">
          <cell r="E61" t="str">
            <v>M1-082</v>
          </cell>
        </row>
        <row r="62">
          <cell r="E62" t="str">
            <v>RAI06-001</v>
          </cell>
        </row>
        <row r="63">
          <cell r="E63" t="str">
            <v>RAI06-002</v>
          </cell>
        </row>
        <row r="64">
          <cell r="E64" t="str">
            <v>F1-018</v>
          </cell>
        </row>
        <row r="65">
          <cell r="E65" t="str">
            <v>RAI06-003</v>
          </cell>
        </row>
        <row r="66">
          <cell r="E66" t="str">
            <v>RAI06-004</v>
          </cell>
        </row>
        <row r="67">
          <cell r="E67" t="str">
            <v>RAI06-005</v>
          </cell>
        </row>
        <row r="68">
          <cell r="E68" t="str">
            <v>F1-006</v>
          </cell>
        </row>
        <row r="69">
          <cell r="E69" t="str">
            <v>F1-007</v>
          </cell>
        </row>
        <row r="70">
          <cell r="E70" t="str">
            <v>M3-011</v>
          </cell>
        </row>
        <row r="71">
          <cell r="E71" t="str">
            <v>M3-024</v>
          </cell>
        </row>
        <row r="72">
          <cell r="E72" t="str">
            <v>M3-001</v>
          </cell>
        </row>
        <row r="73">
          <cell r="E73" t="str">
            <v>M3-023</v>
          </cell>
        </row>
        <row r="74">
          <cell r="E74" t="str">
            <v>M3-012</v>
          </cell>
        </row>
        <row r="75">
          <cell r="E75" t="str">
            <v>M3-022</v>
          </cell>
        </row>
        <row r="76">
          <cell r="E76" t="str">
            <v>M3-015</v>
          </cell>
        </row>
        <row r="77">
          <cell r="E77" t="str">
            <v>M3-016</v>
          </cell>
        </row>
        <row r="78">
          <cell r="E78" t="str">
            <v>M2-110</v>
          </cell>
        </row>
        <row r="79">
          <cell r="E79" t="str">
            <v>M1-075</v>
          </cell>
        </row>
        <row r="80">
          <cell r="E80" t="str">
            <v>M1-063</v>
          </cell>
        </row>
        <row r="81">
          <cell r="E81" t="str">
            <v>M2-111</v>
          </cell>
        </row>
        <row r="82">
          <cell r="E82" t="str">
            <v>M1-091</v>
          </cell>
        </row>
        <row r="83">
          <cell r="E83" t="str">
            <v>M2-112</v>
          </cell>
        </row>
        <row r="84">
          <cell r="E84" t="str">
            <v>M1-071</v>
          </cell>
        </row>
        <row r="85">
          <cell r="E85" t="str">
            <v>M1-042</v>
          </cell>
        </row>
        <row r="86">
          <cell r="E86" t="str">
            <v>P1-151</v>
          </cell>
        </row>
        <row r="87">
          <cell r="E87" t="str">
            <v>P1-115</v>
          </cell>
        </row>
        <row r="88">
          <cell r="E88" t="str">
            <v>P1-153</v>
          </cell>
        </row>
        <row r="89">
          <cell r="E89" t="str">
            <v>M1-080</v>
          </cell>
        </row>
        <row r="90">
          <cell r="E90" t="str">
            <v>P1-131</v>
          </cell>
        </row>
        <row r="91">
          <cell r="E91" t="str">
            <v>P1-140</v>
          </cell>
        </row>
        <row r="92">
          <cell r="E92" t="str">
            <v>P1-134</v>
          </cell>
        </row>
        <row r="93">
          <cell r="E93" t="str">
            <v>P1-133</v>
          </cell>
        </row>
        <row r="94">
          <cell r="E94" t="str">
            <v>P1-132</v>
          </cell>
        </row>
        <row r="95">
          <cell r="E95" t="str">
            <v>P1-098</v>
          </cell>
        </row>
        <row r="96">
          <cell r="E96" t="str">
            <v>M1-087</v>
          </cell>
        </row>
        <row r="97">
          <cell r="E97" t="str">
            <v>P1-128</v>
          </cell>
        </row>
        <row r="98">
          <cell r="E98" t="str">
            <v>P1-119</v>
          </cell>
        </row>
        <row r="99">
          <cell r="E99" t="str">
            <v>M1-092</v>
          </cell>
        </row>
        <row r="100">
          <cell r="E100" t="str">
            <v>M1-079</v>
          </cell>
        </row>
        <row r="101">
          <cell r="E101" t="str">
            <v>M1-078</v>
          </cell>
        </row>
        <row r="102">
          <cell r="E102" t="str">
            <v>P1-126</v>
          </cell>
        </row>
        <row r="103">
          <cell r="E103" t="str">
            <v>P1-138</v>
          </cell>
        </row>
        <row r="104">
          <cell r="E104" t="str">
            <v>M1-072</v>
          </cell>
        </row>
        <row r="105">
          <cell r="E105" t="str">
            <v>M1-076</v>
          </cell>
        </row>
        <row r="106">
          <cell r="E106" t="str">
            <v>M1-081</v>
          </cell>
        </row>
        <row r="107">
          <cell r="E107" t="str">
            <v>P1-136</v>
          </cell>
        </row>
        <row r="108">
          <cell r="E108" t="str">
            <v>P1-135</v>
          </cell>
        </row>
        <row r="109">
          <cell r="E109" t="str">
            <v>M1-077</v>
          </cell>
        </row>
        <row r="110">
          <cell r="E110" t="str">
            <v>P1-146</v>
          </cell>
        </row>
        <row r="111">
          <cell r="E111" t="str">
            <v>M1-088</v>
          </cell>
        </row>
        <row r="112">
          <cell r="E112" t="str">
            <v>P1-127</v>
          </cell>
        </row>
        <row r="113">
          <cell r="E113" t="str">
            <v>M1-049</v>
          </cell>
        </row>
        <row r="114">
          <cell r="E114" t="str">
            <v>P1-155</v>
          </cell>
        </row>
        <row r="115">
          <cell r="E115" t="str">
            <v>M1-085</v>
          </cell>
        </row>
        <row r="116">
          <cell r="E116" t="str">
            <v>M1-074</v>
          </cell>
        </row>
        <row r="117">
          <cell r="E117" t="str">
            <v>M2-113</v>
          </cell>
        </row>
        <row r="118">
          <cell r="E118" t="str">
            <v>M2-115</v>
          </cell>
        </row>
        <row r="119">
          <cell r="E119" t="str">
            <v>M1-093</v>
          </cell>
        </row>
        <row r="120">
          <cell r="E120" t="str">
            <v>M2-117</v>
          </cell>
        </row>
        <row r="121">
          <cell r="E121" t="str">
            <v>M1-095</v>
          </cell>
        </row>
        <row r="122">
          <cell r="E122" t="str">
            <v>P1-125</v>
          </cell>
        </row>
        <row r="123">
          <cell r="E123" t="str">
            <v>M1-055</v>
          </cell>
        </row>
        <row r="124">
          <cell r="E124" t="str">
            <v>JAG06-023</v>
          </cell>
        </row>
        <row r="125">
          <cell r="E125" t="str">
            <v>M3-003</v>
          </cell>
        </row>
        <row r="126">
          <cell r="E126" t="str">
            <v>M3-005</v>
          </cell>
        </row>
        <row r="127">
          <cell r="E127" t="str">
            <v>M3-006</v>
          </cell>
        </row>
        <row r="128">
          <cell r="E128" t="str">
            <v>M1-065</v>
          </cell>
        </row>
        <row r="129">
          <cell r="E129" t="str">
            <v>M1-094</v>
          </cell>
        </row>
        <row r="130">
          <cell r="E130" t="str">
            <v>M1-068</v>
          </cell>
        </row>
        <row r="131">
          <cell r="E131" t="str">
            <v>M1-050</v>
          </cell>
        </row>
        <row r="132">
          <cell r="E132" t="str">
            <v>M1-051</v>
          </cell>
        </row>
        <row r="133">
          <cell r="E133" t="str">
            <v>P1-158</v>
          </cell>
        </row>
        <row r="134">
          <cell r="E134" t="str">
            <v>M1-067</v>
          </cell>
        </row>
        <row r="135">
          <cell r="E135" t="str">
            <v>RAI06-003a</v>
          </cell>
        </row>
        <row r="136">
          <cell r="E136" t="str">
            <v>F1-005a</v>
          </cell>
        </row>
        <row r="137">
          <cell r="E137" t="str">
            <v>F1-007a</v>
          </cell>
        </row>
        <row r="138">
          <cell r="E138" t="str">
            <v>RAI06-003b</v>
          </cell>
        </row>
        <row r="139">
          <cell r="E139" t="str">
            <v>F1-005b</v>
          </cell>
        </row>
        <row r="140">
          <cell r="E140" t="str">
            <v>M1-074a</v>
          </cell>
        </row>
        <row r="141">
          <cell r="E141" t="str">
            <v>M1-086</v>
          </cell>
        </row>
        <row r="142">
          <cell r="E142" t="str">
            <v>M2-119</v>
          </cell>
        </row>
        <row r="143">
          <cell r="E143" t="str">
            <v>M2-120</v>
          </cell>
        </row>
        <row r="144">
          <cell r="E144" t="str">
            <v>M2-035</v>
          </cell>
        </row>
        <row r="145">
          <cell r="E145" t="str">
            <v>M2-043</v>
          </cell>
        </row>
        <row r="146">
          <cell r="E146" t="str">
            <v>M2-030</v>
          </cell>
        </row>
        <row r="147">
          <cell r="E147" t="str">
            <v>M2-039</v>
          </cell>
        </row>
        <row r="148">
          <cell r="E148" t="str">
            <v>M2-037</v>
          </cell>
        </row>
        <row r="149">
          <cell r="E149" t="str">
            <v>M2-042</v>
          </cell>
        </row>
        <row r="150">
          <cell r="E150" t="str">
            <v>M2-034</v>
          </cell>
        </row>
        <row r="151">
          <cell r="E151" t="str">
            <v>PSM05-076</v>
          </cell>
        </row>
        <row r="152">
          <cell r="E152" t="str">
            <v>A1-003</v>
          </cell>
        </row>
        <row r="153">
          <cell r="E153" t="str">
            <v>M3-013</v>
          </cell>
        </row>
        <row r="154">
          <cell r="E154" t="str">
            <v>M2-052</v>
          </cell>
        </row>
        <row r="155">
          <cell r="E155" t="str">
            <v>F1-008</v>
          </cell>
        </row>
        <row r="156">
          <cell r="E156" t="str">
            <v>M2-121</v>
          </cell>
        </row>
        <row r="157">
          <cell r="E157" t="str">
            <v>PSM06-118</v>
          </cell>
        </row>
        <row r="158">
          <cell r="E158" t="str">
            <v>M2-007</v>
          </cell>
        </row>
        <row r="159">
          <cell r="E159" t="str">
            <v>M3-004</v>
          </cell>
        </row>
        <row r="160">
          <cell r="E160" t="str">
            <v>N/A - BAQ</v>
          </cell>
        </row>
        <row r="161">
          <cell r="E161" t="str">
            <v>F1-009</v>
          </cell>
        </row>
        <row r="162">
          <cell r="E162" t="str">
            <v>F1-010</v>
          </cell>
        </row>
        <row r="163">
          <cell r="E163" t="str">
            <v>M1-096</v>
          </cell>
        </row>
        <row r="164">
          <cell r="E164" t="str">
            <v>M1-097</v>
          </cell>
        </row>
        <row r="165">
          <cell r="E165" t="str">
            <v>M1-098</v>
          </cell>
        </row>
        <row r="166">
          <cell r="E166" t="str">
            <v>M1-099</v>
          </cell>
        </row>
        <row r="167">
          <cell r="E167" t="str">
            <v>P1-156</v>
          </cell>
        </row>
        <row r="168">
          <cell r="E168" t="str">
            <v>M1-100</v>
          </cell>
        </row>
        <row r="169">
          <cell r="E169" t="str">
            <v>M1-089</v>
          </cell>
        </row>
        <row r="170">
          <cell r="E170" t="str">
            <v>F1-011</v>
          </cell>
        </row>
        <row r="171">
          <cell r="E171" t="str">
            <v>M1-101</v>
          </cell>
        </row>
        <row r="172">
          <cell r="E172" t="str">
            <v>M3-010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refreshError="1"/>
      <sheetData sheetId="32"/>
      <sheetData sheetId="33" refreshError="1"/>
      <sheetData sheetId="34" refreshError="1"/>
      <sheetData sheetId="35" refreshError="1"/>
      <sheetData sheetId="3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UNIATLÁNTICO"/>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PU "/>
    </sheetNames>
    <sheetDataSet>
      <sheetData sheetId="0" refreshError="1">
        <row r="11">
          <cell r="B11" t="str">
            <v>SUMINISTRO E INSTALACION DE TUBERIA BOMBA 10 HP</v>
          </cell>
          <cell r="C11" t="str">
            <v>ML</v>
          </cell>
        </row>
        <row r="12">
          <cell r="B12" t="str">
            <v>SUMINISTRO E INSTALACION DE CORAZA LT PARA BOMBAS 10 HP</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Escritorio\amv 2011\a  aaInfo"/>
      <sheetName val="\Users\avargase\AppData\Local\M"/>
      <sheetName val="\Mini HP Enero 2015\Proyectos i"/>
      <sheetName val="\C\Users\avargase\AppData\Local"/>
      <sheetName val="\Volumes\USB PIOLIN\Escritorio\"/>
      <sheetName val="CANT OBRA"/>
      <sheetName val="Res-Accide-10"/>
      <sheetName val="\Users\ANDRES FELIPE MUÑOZ\Down"/>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MEM"/>
      <sheetName val="TUBERIAS"/>
      <sheetName val="Hoja3"/>
    </sheetNames>
    <sheetDataSet>
      <sheetData sheetId="0" refreshError="1"/>
      <sheetData sheetId="1">
        <row r="39">
          <cell r="E39">
            <v>111.47</v>
          </cell>
        </row>
        <row r="45">
          <cell r="N45">
            <v>0</v>
          </cell>
        </row>
        <row r="46">
          <cell r="N46">
            <v>32</v>
          </cell>
        </row>
        <row r="47">
          <cell r="I47">
            <v>1</v>
          </cell>
          <cell r="N47">
            <v>2</v>
          </cell>
        </row>
        <row r="48">
          <cell r="I48">
            <v>1</v>
          </cell>
        </row>
        <row r="49">
          <cell r="N49">
            <v>12</v>
          </cell>
        </row>
        <row r="51">
          <cell r="N51">
            <v>160</v>
          </cell>
        </row>
        <row r="53">
          <cell r="E53">
            <v>70.83</v>
          </cell>
        </row>
        <row r="54">
          <cell r="E54">
            <v>30.36</v>
          </cell>
        </row>
        <row r="55">
          <cell r="E55">
            <v>47.02</v>
          </cell>
        </row>
        <row r="56">
          <cell r="E56">
            <v>47.01</v>
          </cell>
        </row>
        <row r="59">
          <cell r="E59">
            <v>10.119999999999999</v>
          </cell>
        </row>
        <row r="60">
          <cell r="E60">
            <v>9.4</v>
          </cell>
          <cell r="M60">
            <v>8.73</v>
          </cell>
        </row>
        <row r="62">
          <cell r="M62">
            <v>35.11</v>
          </cell>
        </row>
        <row r="63">
          <cell r="M63">
            <v>0</v>
          </cell>
        </row>
        <row r="64">
          <cell r="M64">
            <v>168.21</v>
          </cell>
        </row>
        <row r="66">
          <cell r="M66">
            <v>1</v>
          </cell>
        </row>
        <row r="79">
          <cell r="M79">
            <v>110.27</v>
          </cell>
        </row>
        <row r="80">
          <cell r="M80">
            <v>0</v>
          </cell>
        </row>
      </sheetData>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sheetName val="PU (2)"/>
      <sheetName val="RESUMEN"/>
      <sheetName val="PRECIOS"/>
      <sheetName val="fotos"/>
    </sheetNames>
    <sheetDataSet>
      <sheetData sheetId="0"/>
      <sheetData sheetId="1">
        <row r="10">
          <cell r="F10" t="str">
            <v>ITEM: Terraplenes (con material proveniente de corte)</v>
          </cell>
        </row>
      </sheetData>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aaInformación GRUPO"/>
    </sheetNames>
    <definedNames>
      <definedName name="absc"/>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Users\ANDRES FELIPE MUÑOZ\Down"/>
      <sheetName val="aCCIDENTES DE 1995 - 1996.xls"/>
      <sheetName val="#¡REF"/>
      <sheetName val="\a  aaInformación GRUPO 4\A MIn"/>
      <sheetName val="Informacion"/>
      <sheetName val="INDICMICROEMP"/>
      <sheetName val="Hoja1"/>
      <sheetName val="AMC"/>
      <sheetName val="Basico"/>
      <sheetName val="Iva"/>
      <sheetName val="Total"/>
      <sheetName val="amc_acta"/>
      <sheetName val="amc_bas"/>
      <sheetName val="amc_iva"/>
      <sheetName val="amc_total"/>
      <sheetName val="amc_anticip"/>
      <sheetName val="Datos"/>
      <sheetName val="aCCIDENTES%20DE%201995%20-%2019"/>
      <sheetName val="CONT_ADI"/>
      <sheetName val="items"/>
      <sheetName val="ACTA DE MODIFICACION  (2)"/>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Base Muestras"/>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PTO 076-2007 B"/>
      <sheetName val="CRONOGRAMA"/>
      <sheetName val="Gráfico1"/>
    </sheetNames>
    <sheetDataSet>
      <sheetData sheetId="0">
        <row r="5">
          <cell r="J5">
            <v>0.185</v>
          </cell>
        </row>
        <row r="7">
          <cell r="J7">
            <v>0.05</v>
          </cell>
        </row>
      </sheetData>
      <sheetData sheetId="1" refreshError="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heetName val="AASHTO"/>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s>
    <definedNames>
      <definedName name="absc"/>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Book"/>
      <sheetName val="Budget 2009"/>
      <sheetName val="Pivot"/>
      <sheetName val="Hoja1"/>
      <sheetName val="2009 Jagua"/>
      <sheetName val="Carry Over Jagua"/>
      <sheetName val="M1-229- 2009"/>
      <sheetName val="M1-229-2010"/>
      <sheetName val="M1-229-2011"/>
      <sheetName val="M3-026-2009"/>
      <sheetName val="M3-026-2010"/>
      <sheetName val="M3-026-2011"/>
      <sheetName val="M2-312"/>
      <sheetName val="M2-313"/>
      <sheetName val="M2-314"/>
      <sheetName val="M2-315"/>
      <sheetName val="M2-110"/>
      <sheetName val="M2-162"/>
      <sheetName val="M2-165"/>
      <sheetName val="M2-169"/>
      <sheetName val="M2-180"/>
      <sheetName val="M2-203"/>
      <sheetName val="M2-219"/>
      <sheetName val="M2-280"/>
      <sheetName val="M2-281"/>
      <sheetName val="M2-282"/>
      <sheetName val="M2-283"/>
      <sheetName val="M2-284"/>
      <sheetName val="M2-285"/>
      <sheetName val="M2-286"/>
      <sheetName val="M2-287"/>
      <sheetName val="M2-288"/>
      <sheetName val="M2-289"/>
      <sheetName val="M2-290"/>
      <sheetName val="M2-291"/>
      <sheetName val="M2-292"/>
      <sheetName val="M2-293"/>
      <sheetName val="M2-294"/>
      <sheetName val="M2-295"/>
      <sheetName val="M2-296"/>
      <sheetName val="M2-297"/>
      <sheetName val="M2-298"/>
      <sheetName val="M2-299"/>
      <sheetName val="M2-300"/>
      <sheetName val="M2-301"/>
      <sheetName val="M2-302"/>
      <sheetName val="M2-303"/>
      <sheetName val="M2-304"/>
      <sheetName val="M2-305"/>
      <sheetName val="M2-306"/>
      <sheetName val="M2-307"/>
      <sheetName val="M2-308"/>
      <sheetName val="M2-309"/>
      <sheetName val="M2-310"/>
      <sheetName val="M2-311"/>
      <sheetName val="REF - Listas"/>
      <sheetName val="% aprobados"/>
      <sheetName val="M2-210"/>
      <sheetName val="M2-231"/>
      <sheetName val="Forecast"/>
    </sheetNames>
    <sheetDataSet>
      <sheetData sheetId="0" refreshError="1"/>
      <sheetData sheetId="1" refreshError="1"/>
      <sheetData sheetId="2" refreshError="1"/>
      <sheetData sheetId="3" refreshError="1"/>
      <sheetData sheetId="4">
        <row r="2">
          <cell r="C2" t="str">
            <v>Los proyectos en color amarillo tienen pendiente por definir algun item como cotizaciones, alcance</v>
          </cell>
        </row>
        <row r="3">
          <cell r="C3" t="str">
            <v>M2-280</v>
          </cell>
        </row>
        <row r="4">
          <cell r="C4" t="str">
            <v>No. AFE</v>
          </cell>
          <cell r="G4" t="str">
            <v>Responsible</v>
          </cell>
        </row>
        <row r="5">
          <cell r="C5" t="str">
            <v>M2-280</v>
          </cell>
          <cell r="G5" t="str">
            <v>Fabio Carrillo</v>
          </cell>
        </row>
        <row r="6">
          <cell r="C6" t="str">
            <v>M2-281</v>
          </cell>
          <cell r="G6" t="str">
            <v>Fabio Carrillo</v>
          </cell>
        </row>
        <row r="7">
          <cell r="C7" t="str">
            <v>M2-282</v>
          </cell>
          <cell r="G7" t="str">
            <v>Fabio Carrillo</v>
          </cell>
        </row>
        <row r="8">
          <cell r="C8" t="str">
            <v>M2-283</v>
          </cell>
          <cell r="G8" t="str">
            <v>Fabio Carrillo</v>
          </cell>
        </row>
        <row r="9">
          <cell r="C9" t="str">
            <v>M2-284</v>
          </cell>
          <cell r="G9" t="str">
            <v>Fabio carrillo</v>
          </cell>
        </row>
        <row r="10">
          <cell r="C10" t="str">
            <v>M2-285</v>
          </cell>
          <cell r="G10" t="str">
            <v>Fabio Carrillo</v>
          </cell>
        </row>
        <row r="11">
          <cell r="C11" t="str">
            <v>M2-286</v>
          </cell>
          <cell r="G11" t="str">
            <v>Juan Aguilar</v>
          </cell>
        </row>
        <row r="12">
          <cell r="C12" t="str">
            <v>M2-287</v>
          </cell>
          <cell r="G12" t="str">
            <v>Juan Aguilar</v>
          </cell>
        </row>
        <row r="13">
          <cell r="C13" t="str">
            <v>M2-288</v>
          </cell>
          <cell r="G13" t="str">
            <v>Juan Aguilar</v>
          </cell>
        </row>
        <row r="14">
          <cell r="C14" t="str">
            <v>M2-289</v>
          </cell>
          <cell r="G14" t="str">
            <v>Justin Martin</v>
          </cell>
        </row>
        <row r="15">
          <cell r="C15" t="str">
            <v>M2-290</v>
          </cell>
          <cell r="G15" t="str">
            <v>Justin Martin</v>
          </cell>
        </row>
        <row r="16">
          <cell r="C16" t="str">
            <v>M2-291</v>
          </cell>
          <cell r="G16" t="str">
            <v>Carlos Baena</v>
          </cell>
        </row>
        <row r="17">
          <cell r="C17" t="str">
            <v>M2-292</v>
          </cell>
          <cell r="G17" t="str">
            <v>Justin Martin</v>
          </cell>
        </row>
        <row r="18">
          <cell r="C18" t="str">
            <v>M2-293</v>
          </cell>
          <cell r="G18" t="str">
            <v>Justin Martin</v>
          </cell>
        </row>
        <row r="19">
          <cell r="C19" t="str">
            <v>M2-294</v>
          </cell>
          <cell r="G19" t="str">
            <v>Carlos Baena</v>
          </cell>
        </row>
        <row r="20">
          <cell r="C20" t="str">
            <v>M2-295</v>
          </cell>
          <cell r="G20" t="str">
            <v>Eneira Torres</v>
          </cell>
        </row>
        <row r="21">
          <cell r="C21" t="str">
            <v>M2-296</v>
          </cell>
          <cell r="G21" t="str">
            <v>Edward Delilla</v>
          </cell>
        </row>
        <row r="22">
          <cell r="C22" t="str">
            <v>M2-297</v>
          </cell>
          <cell r="G22" t="str">
            <v>Justin Martin</v>
          </cell>
        </row>
        <row r="23">
          <cell r="C23" t="str">
            <v>M2-298</v>
          </cell>
          <cell r="G23" t="str">
            <v>Ivan Woodcock</v>
          </cell>
        </row>
        <row r="24">
          <cell r="C24" t="str">
            <v>M2-299</v>
          </cell>
          <cell r="G24" t="str">
            <v>Justin Martin</v>
          </cell>
        </row>
        <row r="25">
          <cell r="C25" t="str">
            <v>M2-300</v>
          </cell>
          <cell r="G25" t="str">
            <v>Hernan  Restrepo</v>
          </cell>
        </row>
        <row r="26">
          <cell r="C26" t="str">
            <v>M2-301</v>
          </cell>
          <cell r="G26" t="str">
            <v>Gerardo Espitia</v>
          </cell>
        </row>
        <row r="27">
          <cell r="C27" t="str">
            <v>M2-302</v>
          </cell>
          <cell r="G27" t="str">
            <v>Alejandro Mena</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sheetData sheetId="7" refreshError="1">
        <row r="8">
          <cell r="B8">
            <v>2.8888699999999998</v>
          </cell>
        </row>
        <row r="11">
          <cell r="B11">
            <v>2.25027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MANTENIMIENTO RUTA 1001_MARZO "/>
      <sheetName val="\I\MANTENIMIENTO RUTA 1001_MARZ"/>
      <sheetName val="\F\MANTENIMIENTO RUTA 1001_MARZ"/>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Accide-10"/>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 val="Datos"/>
      <sheetName val="\\Escritorio\amv 2011\a  aaInfo"/>
      <sheetName val="MATERIALES"/>
      <sheetName val="\Users\avargase\AppData\Local\M"/>
      <sheetName val="Datos Básicos"/>
      <sheetName val="SALARIOS"/>
      <sheetName val="SUB APU"/>
      <sheetName val="INV"/>
      <sheetName val="AASHTO"/>
      <sheetName val="\Mini HP Enero 2015\Proyectos i"/>
      <sheetName val="\C\Users\avargase\AppData\Local"/>
      <sheetName val="\Volumes\USB PIOLIN\Escritorio\"/>
      <sheetName val="PESOS"/>
      <sheetName val="Formulario N° 4"/>
      <sheetName val="EQUIPO"/>
      <sheetName val="CANT OBRA"/>
      <sheetName val="Base Muestras"/>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Res-Accide-10"/>
      <sheetName val="\Users\ANDRES FELIPE MUÑOZ\Down"/>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Hoja1 (2)"/>
      <sheetName val="ANLS.  PPTL"/>
      <sheetName val="FLUJO"/>
      <sheetName val="Hoja1"/>
      <sheetName val="1.0"/>
      <sheetName val="2.0"/>
      <sheetName val="3.0"/>
      <sheetName val="4.0"/>
      <sheetName val="5.0"/>
      <sheetName val="6.0"/>
      <sheetName val="7.0"/>
      <sheetName val="8.0"/>
      <sheetName val="10.0"/>
      <sheetName val="APU"/>
    </sheetNames>
    <sheetDataSet>
      <sheetData sheetId="0"/>
      <sheetData sheetId="1">
        <row r="1">
          <cell r="C1">
            <v>1</v>
          </cell>
          <cell r="D1" t="str">
            <v>Capítulo - Obras Preliminares Y Demoliciones</v>
          </cell>
          <cell r="E1" t="str">
            <v>SD</v>
          </cell>
          <cell r="F1">
            <v>0</v>
          </cell>
          <cell r="G1">
            <v>42857</v>
          </cell>
        </row>
        <row r="2">
          <cell r="C2">
            <v>2</v>
          </cell>
          <cell r="D2" t="str">
            <v>Capítulo - Excavación, Cimentaciones Y Rellenos</v>
          </cell>
          <cell r="E2" t="str">
            <v>SD</v>
          </cell>
          <cell r="F2">
            <v>0</v>
          </cell>
          <cell r="G2">
            <v>41018</v>
          </cell>
        </row>
        <row r="3">
          <cell r="C3">
            <v>3</v>
          </cell>
          <cell r="D3" t="str">
            <v>Capítulo - Mampostería Y Concretos</v>
          </cell>
          <cell r="E3" t="str">
            <v>SD</v>
          </cell>
          <cell r="F3">
            <v>0</v>
          </cell>
          <cell r="G3">
            <v>42857</v>
          </cell>
        </row>
        <row r="4">
          <cell r="C4">
            <v>4</v>
          </cell>
          <cell r="D4" t="str">
            <v>Capítulo -  Pañetes</v>
          </cell>
          <cell r="E4" t="str">
            <v>SD</v>
          </cell>
          <cell r="F4">
            <v>0</v>
          </cell>
          <cell r="G4">
            <v>41018</v>
          </cell>
        </row>
        <row r="5">
          <cell r="C5">
            <v>5</v>
          </cell>
          <cell r="D5" t="str">
            <v>Capítulo - Estructuras</v>
          </cell>
          <cell r="E5" t="str">
            <v>SD</v>
          </cell>
          <cell r="F5">
            <v>0</v>
          </cell>
          <cell r="G5">
            <v>41018</v>
          </cell>
        </row>
        <row r="6">
          <cell r="C6">
            <v>6</v>
          </cell>
          <cell r="D6" t="str">
            <v>Capítulo - Cubiertas E Impermabilización</v>
          </cell>
          <cell r="E6" t="str">
            <v>SD</v>
          </cell>
          <cell r="F6">
            <v>0</v>
          </cell>
          <cell r="G6">
            <v>41018</v>
          </cell>
        </row>
        <row r="7">
          <cell r="C7">
            <v>7</v>
          </cell>
          <cell r="D7" t="str">
            <v>Capítulo - Pisos, Enchapes Y Revestimientos</v>
          </cell>
          <cell r="E7" t="str">
            <v>SD</v>
          </cell>
          <cell r="F7">
            <v>0</v>
          </cell>
          <cell r="G7">
            <v>41018</v>
          </cell>
        </row>
        <row r="8">
          <cell r="C8">
            <v>8</v>
          </cell>
          <cell r="D8" t="str">
            <v>Capítulo - Instalaciones Hidráulicas Y Sanitarias</v>
          </cell>
          <cell r="E8" t="str">
            <v>SD</v>
          </cell>
          <cell r="F8">
            <v>0</v>
          </cell>
          <cell r="G8">
            <v>41018</v>
          </cell>
        </row>
        <row r="9">
          <cell r="C9">
            <v>9</v>
          </cell>
          <cell r="D9" t="str">
            <v>Capítulo - Instalaciones Eléctricas Y Especiales</v>
          </cell>
          <cell r="E9" t="str">
            <v>SD</v>
          </cell>
          <cell r="F9">
            <v>0</v>
          </cell>
          <cell r="G9">
            <v>41018</v>
          </cell>
        </row>
        <row r="10">
          <cell r="C10">
            <v>10</v>
          </cell>
          <cell r="D10" t="str">
            <v>Capítulo - Aparatos Sanitarios</v>
          </cell>
          <cell r="E10" t="str">
            <v>SD</v>
          </cell>
          <cell r="F10">
            <v>0</v>
          </cell>
          <cell r="G10">
            <v>41018</v>
          </cell>
        </row>
        <row r="11">
          <cell r="C11">
            <v>11</v>
          </cell>
          <cell r="D11" t="str">
            <v>Capítulo - Carpintería Metálica Y De Madera</v>
          </cell>
          <cell r="E11" t="str">
            <v>SD</v>
          </cell>
          <cell r="F11">
            <v>0</v>
          </cell>
          <cell r="G11">
            <v>41018</v>
          </cell>
        </row>
        <row r="12">
          <cell r="C12">
            <v>12</v>
          </cell>
          <cell r="D12" t="str">
            <v>Capítulo - Acabados Y Pañetes</v>
          </cell>
          <cell r="E12" t="str">
            <v>SD</v>
          </cell>
          <cell r="F12">
            <v>0</v>
          </cell>
          <cell r="G12">
            <v>42857</v>
          </cell>
        </row>
        <row r="13">
          <cell r="C13">
            <v>13</v>
          </cell>
          <cell r="D13" t="str">
            <v>Capítulo - Obras Complementarias</v>
          </cell>
          <cell r="E13" t="str">
            <v>SD</v>
          </cell>
          <cell r="F13">
            <v>0</v>
          </cell>
          <cell r="G13">
            <v>41018</v>
          </cell>
        </row>
        <row r="14">
          <cell r="C14">
            <v>14</v>
          </cell>
          <cell r="D14" t="str">
            <v>Capitulo - Cancha Multiple</v>
          </cell>
          <cell r="E14" t="str">
            <v>UN</v>
          </cell>
          <cell r="F14">
            <v>0</v>
          </cell>
          <cell r="G14">
            <v>42857</v>
          </cell>
        </row>
        <row r="15">
          <cell r="C15">
            <v>15</v>
          </cell>
          <cell r="D15" t="str">
            <v>Capitulo - Obras De Cerramiento</v>
          </cell>
          <cell r="E15" t="str">
            <v>UN</v>
          </cell>
          <cell r="F15">
            <v>0</v>
          </cell>
          <cell r="G15">
            <v>41185</v>
          </cell>
        </row>
        <row r="16">
          <cell r="C16">
            <v>16</v>
          </cell>
          <cell r="D16" t="str">
            <v>Capítulo - Juegos</v>
          </cell>
          <cell r="E16" t="str">
            <v>UN</v>
          </cell>
          <cell r="F16">
            <v>0</v>
          </cell>
          <cell r="G16">
            <v>41185</v>
          </cell>
        </row>
        <row r="17">
          <cell r="C17">
            <v>17</v>
          </cell>
          <cell r="D17" t="str">
            <v>Recuperación Y Adecuación De Canchas De Arena</v>
          </cell>
          <cell r="E17" t="str">
            <v>SD</v>
          </cell>
          <cell r="F17">
            <v>0</v>
          </cell>
          <cell r="G17">
            <v>41603</v>
          </cell>
        </row>
        <row r="18">
          <cell r="C18">
            <v>18</v>
          </cell>
          <cell r="D18" t="str">
            <v>Capitulo - Construcción Y Adecuación De Canchas De Concreto</v>
          </cell>
          <cell r="E18" t="str">
            <v>SD</v>
          </cell>
          <cell r="F18">
            <v>0</v>
          </cell>
          <cell r="G18">
            <v>41772</v>
          </cell>
        </row>
        <row r="19">
          <cell r="C19">
            <v>19</v>
          </cell>
          <cell r="D19" t="str">
            <v>Empalme De Tubería De Alcantarillado Desde 160 Mm (6") Hasta 300 Mm (12") A Pozo Existente O Tubería Existente</v>
          </cell>
          <cell r="E19" t="str">
            <v>UN</v>
          </cell>
          <cell r="F19">
            <v>70000</v>
          </cell>
          <cell r="G19">
            <v>41333</v>
          </cell>
        </row>
        <row r="20">
          <cell r="C20">
            <v>20</v>
          </cell>
          <cell r="D20" t="str">
            <v>Suministro, Instalacion Y Montaje De Elementos Y Modulos Recreacionales Para El Parque Bosquesito, Ubicado En La Calle 60 Con Carrera 9, Barrio El Bosque, Distrito De Barranquilla</v>
          </cell>
          <cell r="E20" t="str">
            <v>GL</v>
          </cell>
          <cell r="F20">
            <v>6572497</v>
          </cell>
          <cell r="G20">
            <v>40304</v>
          </cell>
        </row>
        <row r="21">
          <cell r="C21">
            <v>47</v>
          </cell>
          <cell r="D21" t="str">
            <v>E - Suministro E Instalación De Lampara Fluorescente De 2 X 48" , Tipo Comercial, De Encendido Instantáneo, Para Empotrar</v>
          </cell>
          <cell r="E21" t="str">
            <v>UN</v>
          </cell>
          <cell r="F21">
            <v>114606.25</v>
          </cell>
          <cell r="G21">
            <v>41697</v>
          </cell>
        </row>
        <row r="22">
          <cell r="C22">
            <v>76</v>
          </cell>
          <cell r="D22" t="str">
            <v>Mortero 1:4</v>
          </cell>
          <cell r="E22" t="str">
            <v>M3</v>
          </cell>
          <cell r="F22">
            <v>238243.08</v>
          </cell>
          <cell r="G22">
            <v>42752</v>
          </cell>
        </row>
        <row r="23">
          <cell r="C23">
            <v>77</v>
          </cell>
          <cell r="D23" t="str">
            <v>Suministro E Instalación De Pisos Falsos Escalonados En Módulos De 0.50 X 0.50 Metros, En Madera Plástica De Prolipropileno Perforada, Con Estructura En Acero, Para Cableado, Etc. , Es Un Sistema Térmico Para Ups Y Datacenter (Proim) (Solo En El Primer Nivel)</v>
          </cell>
          <cell r="E23" t="str">
            <v>M2</v>
          </cell>
          <cell r="F23">
            <v>0</v>
          </cell>
          <cell r="G23">
            <v>42415</v>
          </cell>
        </row>
        <row r="24">
          <cell r="C24">
            <v>78</v>
          </cell>
          <cell r="D24" t="str">
            <v>Acero De Refuerzo Figurado</v>
          </cell>
          <cell r="E24" t="str">
            <v>KG</v>
          </cell>
          <cell r="F24">
            <v>4737.6499999999996</v>
          </cell>
          <cell r="G24">
            <v>42825</v>
          </cell>
        </row>
        <row r="25">
          <cell r="C25">
            <v>79</v>
          </cell>
          <cell r="D25" t="str">
            <v>Mortero 1:4 Impermeabilizado Con Sika 1</v>
          </cell>
          <cell r="E25" t="str">
            <v>M3</v>
          </cell>
          <cell r="F25">
            <v>321335.62</v>
          </cell>
          <cell r="G25">
            <v>42825</v>
          </cell>
        </row>
        <row r="26">
          <cell r="C26">
            <v>80</v>
          </cell>
          <cell r="D26" t="str">
            <v>Mortero 1:6 Impermeabilizado</v>
          </cell>
          <cell r="E26" t="str">
            <v>M3</v>
          </cell>
          <cell r="F26">
            <v>262593.37</v>
          </cell>
          <cell r="G26">
            <v>42438</v>
          </cell>
        </row>
        <row r="27">
          <cell r="C27">
            <v>81</v>
          </cell>
          <cell r="D27" t="str">
            <v>Concreto De 2500 Psi.</v>
          </cell>
          <cell r="E27" t="str">
            <v>M3</v>
          </cell>
          <cell r="F27">
            <v>290723.38</v>
          </cell>
          <cell r="G27">
            <v>42776</v>
          </cell>
        </row>
        <row r="28">
          <cell r="C28">
            <v>83</v>
          </cell>
          <cell r="D28" t="str">
            <v>Concreto De 3000 Psi</v>
          </cell>
          <cell r="E28" t="str">
            <v>M3</v>
          </cell>
          <cell r="F28">
            <v>308977.03000000003</v>
          </cell>
          <cell r="G28">
            <v>42776</v>
          </cell>
        </row>
        <row r="29">
          <cell r="C29">
            <v>84</v>
          </cell>
          <cell r="D29" t="str">
            <v>Acero De Refuerzo Cortado</v>
          </cell>
          <cell r="E29" t="str">
            <v>KG</v>
          </cell>
          <cell r="F29">
            <v>3619.4</v>
          </cell>
          <cell r="G29">
            <v>42825</v>
          </cell>
        </row>
        <row r="30">
          <cell r="C30">
            <v>85</v>
          </cell>
          <cell r="D30" t="str">
            <v>Pavimento En Concreto Rígido Mr = 550 Psi, E = 0.20 Mts, Pasadores D = 1" - Longitud 0.35 Metros A Cada 0.30 Metros Y  D = 1//2"  - Longitud 0.85 Metros A Cada 1.20 Metros, Junta Y Antisol</v>
          </cell>
          <cell r="E30" t="str">
            <v>M2</v>
          </cell>
          <cell r="F30">
            <v>128708.74</v>
          </cell>
          <cell r="G30">
            <v>42572</v>
          </cell>
        </row>
        <row r="31">
          <cell r="C31">
            <v>88</v>
          </cell>
          <cell r="D31" t="str">
            <v>Nivelación, Replanteo Y Señalización Vias</v>
          </cell>
          <cell r="E31" t="str">
            <v>M2</v>
          </cell>
          <cell r="F31">
            <v>1899.21</v>
          </cell>
          <cell r="G31">
            <v>42552</v>
          </cell>
        </row>
        <row r="32">
          <cell r="C32">
            <v>89</v>
          </cell>
          <cell r="D32" t="str">
            <v>Excavación A Máquina Y Retiro De Material</v>
          </cell>
          <cell r="E32" t="str">
            <v>M3</v>
          </cell>
          <cell r="F32">
            <v>38835.01</v>
          </cell>
          <cell r="G32">
            <v>42572</v>
          </cell>
        </row>
        <row r="33">
          <cell r="C33">
            <v>90</v>
          </cell>
          <cell r="D33" t="str">
            <v>Aplicacion De Geotextil T - 2400</v>
          </cell>
          <cell r="E33" t="str">
            <v>M2</v>
          </cell>
          <cell r="F33">
            <v>11002.03</v>
          </cell>
          <cell r="G33">
            <v>41508</v>
          </cell>
        </row>
        <row r="34">
          <cell r="C34">
            <v>92</v>
          </cell>
          <cell r="D34" t="str">
            <v>Relleno Con  Material Del Sitio, Compactado</v>
          </cell>
          <cell r="E34" t="str">
            <v>M3</v>
          </cell>
          <cell r="F34">
            <v>21397.51</v>
          </cell>
          <cell r="G34">
            <v>42552</v>
          </cell>
        </row>
        <row r="35">
          <cell r="C35">
            <v>93</v>
          </cell>
          <cell r="D35" t="str">
            <v>Relleno En Material De Subbase Caliche Compactado</v>
          </cell>
          <cell r="E35" t="str">
            <v>M3</v>
          </cell>
          <cell r="F35">
            <v>82381.45</v>
          </cell>
          <cell r="G35">
            <v>42198</v>
          </cell>
        </row>
        <row r="36">
          <cell r="C36">
            <v>95</v>
          </cell>
          <cell r="D36" t="str">
            <v>Relleno En Material De Subbase Granular Compactado</v>
          </cell>
          <cell r="E36" t="str">
            <v>M3</v>
          </cell>
          <cell r="F36">
            <v>100535.95</v>
          </cell>
          <cell r="G36">
            <v>42067</v>
          </cell>
        </row>
        <row r="37">
          <cell r="C37">
            <v>111</v>
          </cell>
          <cell r="D37" t="str">
            <v>Base Suelo Cemento 1:20 Compactado E = 0.15 Mts</v>
          </cell>
          <cell r="E37" t="str">
            <v>M2</v>
          </cell>
          <cell r="F37">
            <v>28179.21</v>
          </cell>
          <cell r="G37">
            <v>42572</v>
          </cell>
        </row>
        <row r="38">
          <cell r="C38">
            <v>113</v>
          </cell>
          <cell r="D38" t="str">
            <v>Pavimento En Concreto Rígido Mr = 500 Psi, E = 0.20 Mts, Pasadores D = 1"  - Longitud 0.35 Metros A Cada 030 Metros Y D = 1/2" - Longitud 0.85 Metros A Cada 1.20 Metros , Junta Y Antisol.</v>
          </cell>
          <cell r="E38" t="str">
            <v>M2</v>
          </cell>
          <cell r="F38">
            <v>124210.54</v>
          </cell>
          <cell r="G38">
            <v>42493</v>
          </cell>
        </row>
        <row r="39">
          <cell r="C39">
            <v>114</v>
          </cell>
          <cell r="D39" t="str">
            <v>Conformación De Pedraplén Suelto</v>
          </cell>
          <cell r="E39" t="str">
            <v>M3</v>
          </cell>
          <cell r="F39">
            <v>76849.25</v>
          </cell>
          <cell r="G39">
            <v>41026</v>
          </cell>
        </row>
        <row r="40">
          <cell r="C40">
            <v>122</v>
          </cell>
          <cell r="D40" t="str">
            <v>Pavimento En Concreto Rígido Mr = 500 Psi, E = 0.15 Mts, Pasadores D = 3/4" - Longitud 0.35 Metros A Cada 0.30 Metros, Y D = 1/2"  - Longitud 0.85 Metros A Cada 1.20 Metros, Junta Y Antisol</v>
          </cell>
          <cell r="E40" t="str">
            <v>M2</v>
          </cell>
          <cell r="F40">
            <v>100653.57</v>
          </cell>
          <cell r="G40">
            <v>42517</v>
          </cell>
        </row>
        <row r="41">
          <cell r="C41">
            <v>123</v>
          </cell>
          <cell r="D41" t="str">
            <v>Pavimento En Concreto Rígido Mr = 550 Psi, E = 0.15 Mts, Pasadores D = 3/4" - Longitud 0.35 Metros A Cada 0.30 Metros Y D = 1/2" - Longitud 0.85 Metros A Cada 1.20 Metros, Junta Y Antisol</v>
          </cell>
          <cell r="E41" t="str">
            <v>M2</v>
          </cell>
          <cell r="F41">
            <v>105468.04</v>
          </cell>
          <cell r="G41">
            <v>42493</v>
          </cell>
        </row>
        <row r="42">
          <cell r="C42">
            <v>125</v>
          </cell>
          <cell r="D42" t="str">
            <v>Bordillo En Concreto De 3000 Psi De 0,15 X 0,30 Mts</v>
          </cell>
          <cell r="E42" t="str">
            <v>ML</v>
          </cell>
          <cell r="F42">
            <v>46560.959999999999</v>
          </cell>
          <cell r="G42">
            <v>42572</v>
          </cell>
        </row>
        <row r="43">
          <cell r="C43">
            <v>127</v>
          </cell>
          <cell r="D43" t="str">
            <v>Nivelación, Replanteo Y Señalización</v>
          </cell>
          <cell r="E43" t="str">
            <v>M2</v>
          </cell>
          <cell r="F43">
            <v>2746.63</v>
          </cell>
          <cell r="G43">
            <v>42578</v>
          </cell>
        </row>
        <row r="44">
          <cell r="C44">
            <v>129</v>
          </cell>
          <cell r="D44" t="str">
            <v>Demolición De Muros De Mampostería E = 0.12 Y Retiro De Material</v>
          </cell>
          <cell r="E44" t="str">
            <v>M2</v>
          </cell>
          <cell r="F44">
            <v>16040.83</v>
          </cell>
          <cell r="G44">
            <v>42538</v>
          </cell>
        </row>
        <row r="45">
          <cell r="C45">
            <v>130</v>
          </cell>
          <cell r="D45" t="str">
            <v>E - Desmonte Y Retiro Punto Eléctrico De Lámpara O Tomacorriente Incluido Alambrado</v>
          </cell>
          <cell r="E45" t="str">
            <v>UN</v>
          </cell>
          <cell r="F45">
            <v>9659.58</v>
          </cell>
          <cell r="G45">
            <v>42472</v>
          </cell>
        </row>
        <row r="46">
          <cell r="C46">
            <v>132</v>
          </cell>
          <cell r="D46" t="str">
            <v>Demoliciones Generales Y Retiro De Material</v>
          </cell>
          <cell r="E46" t="str">
            <v>GL</v>
          </cell>
          <cell r="F46">
            <v>120000</v>
          </cell>
          <cell r="G46">
            <v>41075</v>
          </cell>
        </row>
        <row r="47">
          <cell r="C47">
            <v>133</v>
          </cell>
          <cell r="D47" t="str">
            <v>Levante De Muro En Block De Arcilla No. 4 De 0,10 X 0,20 X 0,40 Mts</v>
          </cell>
          <cell r="E47" t="str">
            <v>M2</v>
          </cell>
          <cell r="F47">
            <v>32919.980000000003</v>
          </cell>
          <cell r="G47">
            <v>42578</v>
          </cell>
        </row>
        <row r="48">
          <cell r="C48">
            <v>137</v>
          </cell>
          <cell r="D48" t="str">
            <v>Pañete Pulido Con Cal Sobre Muro</v>
          </cell>
          <cell r="E48" t="str">
            <v>M2</v>
          </cell>
          <cell r="F48">
            <v>16199.77</v>
          </cell>
          <cell r="G48">
            <v>41022</v>
          </cell>
        </row>
        <row r="49">
          <cell r="C49">
            <v>146</v>
          </cell>
          <cell r="D49" t="str">
            <v>Suministro E Instalación De Cielo Raso En Lámina Plana De Asbesto Cemento Con Estructura En Aluminio, Incluye Entramado De Apoyo.</v>
          </cell>
          <cell r="E49" t="str">
            <v>M2</v>
          </cell>
          <cell r="F49">
            <v>42003.18</v>
          </cell>
          <cell r="G49">
            <v>42578</v>
          </cell>
        </row>
        <row r="50">
          <cell r="C50">
            <v>148</v>
          </cell>
          <cell r="D50" t="str">
            <v>Pintura En Vinilo Para Cielo Raso,  A Tres Manos, Tipo Viniltex O Similar</v>
          </cell>
          <cell r="E50" t="str">
            <v>M2</v>
          </cell>
          <cell r="F50">
            <v>13038.54</v>
          </cell>
          <cell r="G50">
            <v>42578</v>
          </cell>
        </row>
        <row r="51">
          <cell r="C51">
            <v>149</v>
          </cell>
          <cell r="D51" t="str">
            <v>E - Suministro E Instalación De Lámpara Fluorescente De 2 X 48" , Tipo Comercial, Con Encendido Instantáneo, De Sobreponer</v>
          </cell>
          <cell r="E51" t="str">
            <v>UN</v>
          </cell>
          <cell r="F51">
            <v>91931.88</v>
          </cell>
          <cell r="G51">
            <v>42496</v>
          </cell>
        </row>
        <row r="52">
          <cell r="C52">
            <v>152</v>
          </cell>
          <cell r="D52" t="str">
            <v>Pintura En Vinilo Para Muro Interior, A Tres Manos Tipo Viniltex</v>
          </cell>
          <cell r="E52" t="str">
            <v>M2</v>
          </cell>
          <cell r="F52">
            <v>11065.47</v>
          </cell>
          <cell r="G52">
            <v>42578</v>
          </cell>
        </row>
        <row r="53">
          <cell r="C53">
            <v>164</v>
          </cell>
          <cell r="D53" t="str">
            <v>E - Salida De Alumbrado</v>
          </cell>
          <cell r="E53" t="str">
            <v>UN</v>
          </cell>
          <cell r="F53">
            <v>82346.75</v>
          </cell>
          <cell r="G53">
            <v>42496</v>
          </cell>
        </row>
        <row r="54">
          <cell r="C54">
            <v>167</v>
          </cell>
          <cell r="D54" t="str">
            <v>Demolición De Placa De Piso, Muro, Placa O Losa De Entrepiso, En Concreto Reforzado Ancho &gt; 0.30 Metros  Incluye Retiro De Material</v>
          </cell>
          <cell r="E54" t="str">
            <v>M2</v>
          </cell>
          <cell r="F54">
            <v>56510.75</v>
          </cell>
          <cell r="G54">
            <v>42472</v>
          </cell>
        </row>
        <row r="55">
          <cell r="C55">
            <v>173</v>
          </cell>
          <cell r="D55" t="str">
            <v>Viga De Amarre En Concreto De 3000 Psi De 0.15 X 0.25 Mts Incluye Acero De Refuerzo De 4 D = 1/2" , Estribos De D = 1/4"  A Cada 0.15 Mts</v>
          </cell>
          <cell r="E55" t="str">
            <v>ML</v>
          </cell>
          <cell r="F55">
            <v>57883.99</v>
          </cell>
          <cell r="G55">
            <v>41927</v>
          </cell>
        </row>
        <row r="56">
          <cell r="C56">
            <v>179</v>
          </cell>
          <cell r="D56" t="str">
            <v>Suministro E Instalación De Cubierta En Teja Canaleta 90, Incluye Fijador, Gancho Y Sellador</v>
          </cell>
          <cell r="E56" t="str">
            <v>M2</v>
          </cell>
          <cell r="F56">
            <v>67098.649999999994</v>
          </cell>
          <cell r="G56">
            <v>41680</v>
          </cell>
        </row>
        <row r="57">
          <cell r="C57">
            <v>182</v>
          </cell>
          <cell r="D57" t="str">
            <v>Suministro E Instalación De Correa Metálica, Con 3 Varilla De D= 5/8" , Con Estribos De D= 3/8"  A Cada 0.20 Mts, Incluye Pintura Anticorrosiva Y Esmalte, Altura 0.35 Mts</v>
          </cell>
          <cell r="E57" t="str">
            <v>ML</v>
          </cell>
          <cell r="F57">
            <v>47060.55</v>
          </cell>
          <cell r="G57">
            <v>41067</v>
          </cell>
        </row>
        <row r="58">
          <cell r="C58">
            <v>184</v>
          </cell>
          <cell r="D58" t="str">
            <v>Demolición De Cimiento Existente De 0.30 X 0.30 Mts Y Retiro De Material</v>
          </cell>
          <cell r="E58" t="str">
            <v>ML</v>
          </cell>
          <cell r="F58">
            <v>9490</v>
          </cell>
          <cell r="G58">
            <v>41569</v>
          </cell>
        </row>
        <row r="59">
          <cell r="C59">
            <v>187</v>
          </cell>
          <cell r="D59" t="str">
            <v>Excavación Para Cimiento De 0,50 X 1,05 Mts Y Retiro De Material Sobrante</v>
          </cell>
          <cell r="E59" t="str">
            <v>ML</v>
          </cell>
          <cell r="F59">
            <v>11932.5</v>
          </cell>
          <cell r="G59">
            <v>41017</v>
          </cell>
        </row>
        <row r="60">
          <cell r="C60">
            <v>189</v>
          </cell>
          <cell r="D60" t="str">
            <v>Excavación Para Cimiento De 0.80 X 1.20 Mts Y Retiro De Material</v>
          </cell>
          <cell r="E60" t="str">
            <v>ML</v>
          </cell>
          <cell r="F60">
            <v>22033.33</v>
          </cell>
          <cell r="G60">
            <v>41386</v>
          </cell>
        </row>
        <row r="61">
          <cell r="C61">
            <v>191</v>
          </cell>
          <cell r="D61" t="str">
            <v>Viga Corona En Concreto De Fc=3000 Psi, De 0,15 X 0,20 Mts, Incluye Acero De Refuerzo 2 D=1/2" , Estribos De D=3/8"  A Cada 0,15 Mts</v>
          </cell>
          <cell r="E61" t="str">
            <v>ML</v>
          </cell>
          <cell r="F61">
            <v>49415.11</v>
          </cell>
          <cell r="G61">
            <v>42572</v>
          </cell>
        </row>
        <row r="62">
          <cell r="C62">
            <v>197</v>
          </cell>
          <cell r="D62" t="str">
            <v>E - Acometida Eléctrica De D=1/2" , Alambre Aislado 3 Líneas De 110 V.-</v>
          </cell>
          <cell r="E62" t="str">
            <v>ML</v>
          </cell>
          <cell r="F62">
            <v>24298.48</v>
          </cell>
          <cell r="G62">
            <v>42496</v>
          </cell>
        </row>
        <row r="63">
          <cell r="C63">
            <v>198</v>
          </cell>
          <cell r="D63" t="str">
            <v>Relleno En Material Seleccionado Compactado</v>
          </cell>
          <cell r="E63" t="str">
            <v>M3</v>
          </cell>
          <cell r="F63">
            <v>77374.27</v>
          </cell>
          <cell r="G63">
            <v>42552</v>
          </cell>
        </row>
        <row r="64">
          <cell r="C64">
            <v>200</v>
          </cell>
          <cell r="D64" t="str">
            <v>Capitulo - Obra Civil Estación De Bombeo</v>
          </cell>
          <cell r="E64" t="str">
            <v>UN</v>
          </cell>
          <cell r="F64">
            <v>0</v>
          </cell>
          <cell r="G64">
            <v>41773</v>
          </cell>
        </row>
        <row r="65">
          <cell r="C65">
            <v>201</v>
          </cell>
          <cell r="D65" t="str">
            <v>Suministro E Instalacion De Puerta Metalica, Incluye Marco De 0.90 X 2.00 Metros</v>
          </cell>
          <cell r="E65" t="str">
            <v>UN</v>
          </cell>
          <cell r="F65">
            <v>177276.22</v>
          </cell>
          <cell r="G65">
            <v>40106</v>
          </cell>
        </row>
        <row r="66">
          <cell r="C66">
            <v>202</v>
          </cell>
          <cell r="D66" t="str">
            <v>Pedestal Ornamental (Ver Diseño)</v>
          </cell>
          <cell r="E66" t="str">
            <v>UN</v>
          </cell>
          <cell r="F66">
            <v>147000</v>
          </cell>
          <cell r="G66">
            <v>41380</v>
          </cell>
        </row>
        <row r="67">
          <cell r="C67">
            <v>203</v>
          </cell>
          <cell r="D67" t="str">
            <v>Suministro, Instalacion Y Montaje De Elementos Y Modulos Recreacionales Para El Parque Stcherassi 2, Ubicado En La Carrera 2 Sur - Calle 48, Barrio Ciudadela, Distrito De Barranquilla</v>
          </cell>
          <cell r="E67" t="str">
            <v>GL</v>
          </cell>
          <cell r="F67">
            <v>6775497</v>
          </cell>
          <cell r="G67">
            <v>40304</v>
          </cell>
        </row>
        <row r="68">
          <cell r="C68">
            <v>204</v>
          </cell>
          <cell r="D68" t="str">
            <v>Salida Eléctrica Para Toma Bifásica De 220 V En Cable Thhn 3 X No. 12, Tubería Conduit Pvc D = 1/2"</v>
          </cell>
          <cell r="E68" t="str">
            <v>UN</v>
          </cell>
          <cell r="F68">
            <v>74500</v>
          </cell>
          <cell r="G68">
            <v>41480</v>
          </cell>
        </row>
        <row r="69">
          <cell r="C69">
            <v>205</v>
          </cell>
          <cell r="D69" t="str">
            <v>Suministro E Instalación De Escalera De Emergencia Metálica, Compuesta Por Dos (2) Tramos De 1.00 Metro De Ancho, Incluye Un Descanso, Huellas En Lámina Cold Rolled Calibre 12, Estructura En Perfil Pag 180 De 0.18 Metros De Alto Por 0.06 Metros De Ancho Y Calibre 14, Barandas En Tubo Galvanizado De 2" Y Parales En Tubo Galcanizado De 1", Incluye Acabado Final</v>
          </cell>
          <cell r="E69" t="str">
            <v>UN</v>
          </cell>
          <cell r="F69">
            <v>9780000</v>
          </cell>
          <cell r="G69">
            <v>41934</v>
          </cell>
        </row>
        <row r="70">
          <cell r="C70">
            <v>206</v>
          </cell>
          <cell r="D70" t="str">
            <v>Suministro, Instalacion Y Montaje De Elementos Y Modulos Recreacionales Para El Parque Felfle, Ubicado En La Carrera 6C Con Calle 46D, Barrio Ciudadela, Distrito De Barranquilla</v>
          </cell>
          <cell r="E70" t="str">
            <v>GL</v>
          </cell>
          <cell r="F70">
            <v>5289600</v>
          </cell>
          <cell r="G70">
            <v>40304</v>
          </cell>
        </row>
        <row r="71">
          <cell r="C71">
            <v>207</v>
          </cell>
          <cell r="D71" t="str">
            <v>Suministro E Instalación Del Sistema Contraincendios, Incluye Tubería General, Roseadores Y Conexión Con El Sistema Existente</v>
          </cell>
          <cell r="E71" t="str">
            <v>GL</v>
          </cell>
          <cell r="F71">
            <v>30000000</v>
          </cell>
          <cell r="G71">
            <v>41936</v>
          </cell>
        </row>
        <row r="72">
          <cell r="C72">
            <v>208</v>
          </cell>
          <cell r="D72" t="str">
            <v>Viga Canal En Concreto Reforzado De 3000 Psi, Con Varillas De 1/2"  En Ambos Sentidos A Cada 0.20 Mts, De 0.60 X 0.10 Metros</v>
          </cell>
          <cell r="E72" t="str">
            <v>ML</v>
          </cell>
          <cell r="F72">
            <v>107133.99</v>
          </cell>
          <cell r="G72">
            <v>39835</v>
          </cell>
        </row>
        <row r="73">
          <cell r="C73">
            <v>209</v>
          </cell>
          <cell r="D73" t="str">
            <v>Suministro E Instalacion De Salida De Interruptor De Luz Doble - Incluye Caja De 2 X 4</v>
          </cell>
          <cell r="E73" t="str">
            <v>UN</v>
          </cell>
          <cell r="F73">
            <v>40273.33</v>
          </cell>
          <cell r="G73">
            <v>40107</v>
          </cell>
        </row>
        <row r="74">
          <cell r="C74">
            <v>210</v>
          </cell>
          <cell r="D74" t="str">
            <v>Suministro E Instalacion De Cielo Raso En Lamina Plana De Asbesto Cemento, Estructura En Aluminio De 1" , Incluye Entramado Para Apoyo De Estructura</v>
          </cell>
          <cell r="E74" t="str">
            <v>M2</v>
          </cell>
          <cell r="F74">
            <v>29167</v>
          </cell>
          <cell r="G74">
            <v>39640</v>
          </cell>
        </row>
        <row r="75">
          <cell r="C75">
            <v>211</v>
          </cell>
          <cell r="D75" t="str">
            <v>Reconstrucción De Capitel Existente (Ver Diseño)</v>
          </cell>
          <cell r="E75" t="str">
            <v>ML</v>
          </cell>
          <cell r="F75">
            <v>40000</v>
          </cell>
          <cell r="G75">
            <v>41344</v>
          </cell>
        </row>
        <row r="76">
          <cell r="C76">
            <v>212</v>
          </cell>
          <cell r="D76" t="str">
            <v>Suministro E Instalación De Registro En Cielo Raso - Cuadro De 0.80 X 0.80 Metros, En Angulo De Aluminio 1" X  3/4"</v>
          </cell>
          <cell r="E76" t="str">
            <v>UN</v>
          </cell>
          <cell r="F76">
            <v>32094.62</v>
          </cell>
          <cell r="G76">
            <v>41382</v>
          </cell>
        </row>
        <row r="77">
          <cell r="C77">
            <v>213</v>
          </cell>
          <cell r="D77" t="str">
            <v>Retiro De Superficies Vegetales, Incluidos Jardines, Césped, Arboles, Extracción Y Retiro De Raices De Arboles Y Retiro De Material</v>
          </cell>
          <cell r="E77" t="str">
            <v>GL</v>
          </cell>
          <cell r="F77">
            <v>635000</v>
          </cell>
          <cell r="G77">
            <v>41556</v>
          </cell>
        </row>
        <row r="78">
          <cell r="C78">
            <v>214</v>
          </cell>
          <cell r="D78" t="str">
            <v>Viga De Cimiento En Concreto De 3000 Psi, De O,30 X O,30 Mts, Incluye 4 Varillas De D= 1/2" , Estribos De 3/8"  A Cada 0.20 Mts</v>
          </cell>
          <cell r="E78" t="str">
            <v>ML</v>
          </cell>
          <cell r="F78">
            <v>76438.19</v>
          </cell>
          <cell r="G78">
            <v>42779</v>
          </cell>
        </row>
        <row r="79">
          <cell r="C79">
            <v>216</v>
          </cell>
          <cell r="D79" t="str">
            <v>Columna En Concreto De 3000 Psi, De 0.15 X 0.25 Mts, Incluye Acero De Refuerzo 3 Varillas De D=1/2" , Estribos De D= 3/8"  A Cada 0.20 Mts</v>
          </cell>
          <cell r="E79" t="str">
            <v>ML</v>
          </cell>
          <cell r="F79">
            <v>50385.57</v>
          </cell>
          <cell r="G79">
            <v>42314</v>
          </cell>
        </row>
        <row r="80">
          <cell r="C80">
            <v>218</v>
          </cell>
          <cell r="D80" t="str">
            <v>Levante De Muro En Bloque De Cemento Vibrado De 0.10 X 0.20 X 0.40 Mts, Mortero De Pega 1:4</v>
          </cell>
          <cell r="E80" t="str">
            <v>M2</v>
          </cell>
          <cell r="F80">
            <v>61992.160000000003</v>
          </cell>
          <cell r="G80">
            <v>42496</v>
          </cell>
        </row>
        <row r="81">
          <cell r="C81">
            <v>221</v>
          </cell>
          <cell r="D81" t="str">
            <v>Columna De Confinamiento En Concreto De 3000 Psi, De 0.10 X 0.20 Mts, Incluye Acero De Refuerzo 2 Varillas De D= 1/2" , Estribos De D= 3/8"  A Cada 0.20 Mts</v>
          </cell>
          <cell r="E81" t="str">
            <v>ML</v>
          </cell>
          <cell r="F81">
            <v>45480.25</v>
          </cell>
          <cell r="G81">
            <v>42578</v>
          </cell>
        </row>
        <row r="82">
          <cell r="C82">
            <v>222</v>
          </cell>
          <cell r="D82" t="str">
            <v>Viga En Concreto  De 3000 Psi, De 0.10 X 0.20 Mts, Incluye Acero De Refuerzo, 2 Varillas D= 1/2" , Estribos De D= 3/8"  A Cada 0.15 Mts</v>
          </cell>
          <cell r="E82" t="str">
            <v>ML</v>
          </cell>
          <cell r="F82">
            <v>46380.25</v>
          </cell>
          <cell r="G82">
            <v>42314</v>
          </cell>
        </row>
        <row r="83">
          <cell r="C83">
            <v>223</v>
          </cell>
          <cell r="D83" t="str">
            <v>Andén En Concreto De Fc = 3000 Psi E = 0.07 Mts</v>
          </cell>
          <cell r="E83" t="str">
            <v>M2</v>
          </cell>
          <cell r="F83">
            <v>47989.53</v>
          </cell>
          <cell r="G83">
            <v>42524</v>
          </cell>
        </row>
        <row r="84">
          <cell r="C84">
            <v>224</v>
          </cell>
          <cell r="D84" t="str">
            <v>Proteccion De Taludes En Piedra Pegada Con Mortero 1:4 E= 0.20 Mts</v>
          </cell>
          <cell r="E84" t="str">
            <v>M2</v>
          </cell>
          <cell r="F84">
            <v>66079.58</v>
          </cell>
          <cell r="G84">
            <v>41008</v>
          </cell>
        </row>
        <row r="85">
          <cell r="C85">
            <v>225</v>
          </cell>
          <cell r="D85" t="str">
            <v>Pintura En Carburin Para Muros A Dos Manos</v>
          </cell>
          <cell r="E85" t="str">
            <v>M2</v>
          </cell>
          <cell r="F85">
            <v>3708.18</v>
          </cell>
          <cell r="G85">
            <v>41540</v>
          </cell>
        </row>
        <row r="86">
          <cell r="C86">
            <v>261</v>
          </cell>
          <cell r="D86" t="str">
            <v>Mortero 1:6</v>
          </cell>
          <cell r="E86" t="str">
            <v>M3</v>
          </cell>
          <cell r="F86">
            <v>190494.33</v>
          </cell>
          <cell r="G86">
            <v>42438</v>
          </cell>
        </row>
        <row r="87">
          <cell r="C87">
            <v>262</v>
          </cell>
          <cell r="D87" t="str">
            <v>Demolición De Enchape Sobre Muro De Mampostería Y Retiro De Material</v>
          </cell>
          <cell r="E87" t="str">
            <v>M2</v>
          </cell>
          <cell r="F87">
            <v>15290.83</v>
          </cell>
          <cell r="G87">
            <v>42472</v>
          </cell>
        </row>
        <row r="88">
          <cell r="C88">
            <v>263</v>
          </cell>
          <cell r="D88" t="str">
            <v>Demolición De Piso Y Retiro De Material</v>
          </cell>
          <cell r="E88" t="str">
            <v>M2</v>
          </cell>
          <cell r="F88">
            <v>11576.67</v>
          </cell>
          <cell r="G88">
            <v>42538</v>
          </cell>
        </row>
        <row r="89">
          <cell r="C89">
            <v>264</v>
          </cell>
          <cell r="D89" t="str">
            <v>Desmonte De Aparato Sanitario Y Retiro De Material</v>
          </cell>
          <cell r="E89" t="str">
            <v>UN</v>
          </cell>
          <cell r="F89">
            <v>23350</v>
          </cell>
          <cell r="G89">
            <v>42472</v>
          </cell>
        </row>
        <row r="90">
          <cell r="C90">
            <v>265</v>
          </cell>
          <cell r="D90" t="str">
            <v>Cimiento De 0.30 X 0.30 Metros En Concreto De Fc= 3000 Psi.</v>
          </cell>
          <cell r="E90" t="str">
            <v>ML</v>
          </cell>
          <cell r="F90">
            <v>39760.400000000001</v>
          </cell>
          <cell r="G90">
            <v>41386</v>
          </cell>
        </row>
        <row r="91">
          <cell r="C91">
            <v>266</v>
          </cell>
          <cell r="D91" t="str">
            <v>Cimiento En Concreto Ciclópeo 60% De Concreto 3000 Psi, 40% Piedra De Cimiento, De 0.50 X 0.50 Mts</v>
          </cell>
          <cell r="E91" t="str">
            <v>ML</v>
          </cell>
          <cell r="F91">
            <v>66960.710000000006</v>
          </cell>
          <cell r="G91">
            <v>41015</v>
          </cell>
        </row>
        <row r="92">
          <cell r="C92">
            <v>267</v>
          </cell>
          <cell r="D92" t="str">
            <v>Sobrecimiento En Ladrillo Común Doble, Con Mortero De Pega Y Pañete Impermeabilizado. Altura 0.50 Mts</v>
          </cell>
          <cell r="E92" t="str">
            <v>ML</v>
          </cell>
          <cell r="F92">
            <v>53140.81</v>
          </cell>
          <cell r="G92">
            <v>42578</v>
          </cell>
        </row>
        <row r="93">
          <cell r="C93">
            <v>268</v>
          </cell>
          <cell r="D93" t="str">
            <v>Excavación De 0.30 X 0.30 Mts Y Retiro De Material Sobrante</v>
          </cell>
          <cell r="E93" t="str">
            <v>ML</v>
          </cell>
          <cell r="F93">
            <v>6815</v>
          </cell>
          <cell r="G93">
            <v>42578</v>
          </cell>
        </row>
        <row r="94">
          <cell r="C94">
            <v>269</v>
          </cell>
          <cell r="D94" t="str">
            <v>Levante En Calado De 0.20 X 0.20 X 0.10 Mts, Mortero De Pega 1:4</v>
          </cell>
          <cell r="E94" t="str">
            <v>M2</v>
          </cell>
          <cell r="F94">
            <v>60648.93</v>
          </cell>
          <cell r="G94">
            <v>41927</v>
          </cell>
        </row>
        <row r="95">
          <cell r="C95">
            <v>271</v>
          </cell>
          <cell r="D95" t="str">
            <v>Levante De Muro En Bloque Vibrado De 0.15 X 0.20 X 0.40 Mts, Mortero De Pega 1:4,</v>
          </cell>
          <cell r="E95" t="str">
            <v>M2</v>
          </cell>
          <cell r="F95">
            <v>64617.16</v>
          </cell>
          <cell r="G95">
            <v>42578</v>
          </cell>
        </row>
        <row r="96">
          <cell r="C96">
            <v>272</v>
          </cell>
          <cell r="D96" t="str">
            <v>Suministro E Instalación De Tubería De Agua Potable En Pvc De 1/2"</v>
          </cell>
          <cell r="E96" t="str">
            <v>ML</v>
          </cell>
          <cell r="F96">
            <v>17075.939999999999</v>
          </cell>
          <cell r="G96">
            <v>42578</v>
          </cell>
        </row>
        <row r="97">
          <cell r="C97">
            <v>274</v>
          </cell>
          <cell r="D97" t="str">
            <v>Suministro E Instalación De Tubería Sanitaria En Pvc, Diámetro 4"</v>
          </cell>
          <cell r="E97" t="str">
            <v>ML</v>
          </cell>
          <cell r="F97">
            <v>38440.43</v>
          </cell>
          <cell r="G97">
            <v>42578</v>
          </cell>
        </row>
        <row r="98">
          <cell r="C98">
            <v>282</v>
          </cell>
          <cell r="D98" t="str">
            <v>Punto De Agua Potable En Pvc. De 1/2"</v>
          </cell>
          <cell r="E98" t="str">
            <v>UN</v>
          </cell>
          <cell r="F98">
            <v>37920.949999999997</v>
          </cell>
          <cell r="G98">
            <v>42578</v>
          </cell>
        </row>
        <row r="99">
          <cell r="C99">
            <v>288</v>
          </cell>
          <cell r="D99" t="str">
            <v>Punto Sanitario En Pvc. De Diámetro 2"</v>
          </cell>
          <cell r="E99" t="str">
            <v>UN</v>
          </cell>
          <cell r="F99">
            <v>163734.35</v>
          </cell>
          <cell r="G99">
            <v>42578</v>
          </cell>
        </row>
        <row r="100">
          <cell r="C100">
            <v>293</v>
          </cell>
          <cell r="D100" t="str">
            <v>Punto Sanitario En Pvc. Diámetro 4"</v>
          </cell>
          <cell r="E100" t="str">
            <v>UN</v>
          </cell>
          <cell r="F100">
            <v>93126.42</v>
          </cell>
          <cell r="G100">
            <v>42578</v>
          </cell>
        </row>
        <row r="101">
          <cell r="C101">
            <v>297</v>
          </cell>
          <cell r="D101" t="str">
            <v>Suministro E Instalacion De Domo De Un Solo Arco En Lámina De Policarbonato Alveolar Thermoclear De 10 Mm De Espesor, Con Estructura En Viga Ipe 240, Pares Y Correas En Pag Calibre 14 Y 16, Acabado En Pintura Anticorrosiva Y Esmalte Blanco</v>
          </cell>
          <cell r="E101" t="str">
            <v>M2</v>
          </cell>
          <cell r="F101">
            <v>110574</v>
          </cell>
          <cell r="G101">
            <v>41703</v>
          </cell>
        </row>
        <row r="102">
          <cell r="C102">
            <v>298</v>
          </cell>
          <cell r="D102" t="str">
            <v>Pasante En Placa</v>
          </cell>
          <cell r="E102" t="str">
            <v>GL</v>
          </cell>
          <cell r="F102">
            <v>640000</v>
          </cell>
          <cell r="G102">
            <v>41344</v>
          </cell>
        </row>
        <row r="103">
          <cell r="C103">
            <v>299</v>
          </cell>
          <cell r="D103" t="str">
            <v>Suministro E Instalacion De Tuberia De Acueducto D = 1" Domiciliaria</v>
          </cell>
          <cell r="E103" t="str">
            <v>ML</v>
          </cell>
          <cell r="F103">
            <v>7332.76</v>
          </cell>
          <cell r="G103">
            <v>40107</v>
          </cell>
        </row>
        <row r="104">
          <cell r="C104">
            <v>300</v>
          </cell>
          <cell r="D104" t="str">
            <v>Provisión Para Licencias, Permisos Y Requerimientos Ambientales</v>
          </cell>
          <cell r="E104" t="str">
            <v>GL</v>
          </cell>
          <cell r="F104">
            <v>100000000</v>
          </cell>
          <cell r="G104">
            <v>41677</v>
          </cell>
        </row>
        <row r="105">
          <cell r="C105">
            <v>301</v>
          </cell>
          <cell r="D105" t="str">
            <v>Transporte De Materiales Provenientes De Las Excavación De Explanación, Canales Y Prestamos, Para Distancias Mayores De 1000 Metros, Escombros A Sitio Autorizado</v>
          </cell>
          <cell r="E105" t="str">
            <v>MK</v>
          </cell>
          <cell r="F105">
            <v>1000</v>
          </cell>
          <cell r="G105">
            <v>41387</v>
          </cell>
        </row>
        <row r="106">
          <cell r="C106">
            <v>302</v>
          </cell>
          <cell r="D106" t="str">
            <v>Sistema De Aire Acondicionado Y Ventilación (Ver Diseño)</v>
          </cell>
          <cell r="E106" t="str">
            <v>GL</v>
          </cell>
          <cell r="F106">
            <v>170000000</v>
          </cell>
          <cell r="G106">
            <v>41344</v>
          </cell>
        </row>
        <row r="107">
          <cell r="C107">
            <v>303</v>
          </cell>
          <cell r="D107" t="str">
            <v>Pañete En Mortero 1:4 Bajo Mesones Fundidos</v>
          </cell>
          <cell r="E107" t="str">
            <v>M2</v>
          </cell>
          <cell r="F107">
            <v>11567.37</v>
          </cell>
          <cell r="G107">
            <v>40284</v>
          </cell>
        </row>
        <row r="108">
          <cell r="C108">
            <v>304</v>
          </cell>
          <cell r="D108" t="str">
            <v>Tanque Elevado Fibra De Vidrio Diseño Triple A</v>
          </cell>
          <cell r="E108" t="str">
            <v>UN</v>
          </cell>
          <cell r="F108">
            <v>1558246</v>
          </cell>
          <cell r="G108">
            <v>40106</v>
          </cell>
        </row>
        <row r="109">
          <cell r="C109">
            <v>305</v>
          </cell>
          <cell r="D109" t="str">
            <v>Suministro E Instalacion De Bombas, Accesorios Y Tuberia Para Fuentes De Agua De Parques</v>
          </cell>
          <cell r="E109" t="str">
            <v>UN</v>
          </cell>
          <cell r="F109">
            <v>500000</v>
          </cell>
          <cell r="G109">
            <v>40373</v>
          </cell>
        </row>
        <row r="110">
          <cell r="C110">
            <v>306</v>
          </cell>
          <cell r="D110" t="str">
            <v>Desmonte De Pisos Falsos, (Incluye Desmonte Y Retiro De Material Sobrante), Este Desmonte Consiste En Quitar Módulos En Material De Madera Tipo Polipropileno De 0.50 X 0.50 Metros Los Cuales Estan Soportados En Una Estructura Cuadriculada  Removible  ( Altura 30 Centimetros), Incluye Retiro De Material Sobrante.</v>
          </cell>
          <cell r="E110" t="str">
            <v>M2</v>
          </cell>
          <cell r="F110">
            <v>25000</v>
          </cell>
          <cell r="G110">
            <v>42415</v>
          </cell>
        </row>
        <row r="111">
          <cell r="C111">
            <v>307</v>
          </cell>
          <cell r="D111" t="str">
            <v>Limpieza General Y Retiro De Material</v>
          </cell>
          <cell r="E111" t="str">
            <v>GL</v>
          </cell>
          <cell r="F111">
            <v>300000</v>
          </cell>
          <cell r="G111">
            <v>41911</v>
          </cell>
        </row>
        <row r="112">
          <cell r="C112">
            <v>308</v>
          </cell>
          <cell r="D112" t="str">
            <v>Suministro E Instalacion De Mesa De 0.80 X 0.80 Metros, Con Tapa En Concreto De 3000 Psi, Acabado En Granito Pulido Con Representacion De Juego De Ajedrez, Con Pedestal En Concreto Y Bancas Prefabricadas Tipo Idu Ref. M40 Titan O Similar, Para Juegos De Azar</v>
          </cell>
          <cell r="E112" t="str">
            <v>UN</v>
          </cell>
          <cell r="F112">
            <v>600000</v>
          </cell>
          <cell r="G112">
            <v>40374</v>
          </cell>
        </row>
        <row r="113">
          <cell r="C113">
            <v>309</v>
          </cell>
          <cell r="D113" t="str">
            <v>Molde De Letras De 0.10 X 0.10 Metros, Embebidas En El Pañete Para Rótulo A Altura &gt;  4.00 Metros</v>
          </cell>
          <cell r="E113" t="str">
            <v>ML</v>
          </cell>
          <cell r="F113">
            <v>280000</v>
          </cell>
          <cell r="G113">
            <v>41366</v>
          </cell>
        </row>
        <row r="114">
          <cell r="C114">
            <v>310</v>
          </cell>
          <cell r="D114" t="str">
            <v>Desmonte De Puerta Y Retiro De Material</v>
          </cell>
          <cell r="E114" t="str">
            <v>UN</v>
          </cell>
          <cell r="F114">
            <v>17885</v>
          </cell>
          <cell r="G114">
            <v>42472</v>
          </cell>
        </row>
        <row r="115">
          <cell r="C115">
            <v>311</v>
          </cell>
          <cell r="D115" t="str">
            <v>Excavación Para Cimiento De 0.50 X 0.70 Mts Y Retiro De Material Sobrante</v>
          </cell>
          <cell r="E115" t="str">
            <v>ML</v>
          </cell>
          <cell r="F115">
            <v>11182.5</v>
          </cell>
          <cell r="G115">
            <v>41669</v>
          </cell>
        </row>
        <row r="116">
          <cell r="C116">
            <v>312</v>
          </cell>
          <cell r="D116" t="str">
            <v>Plantilla Para Piso En Concreto De 2500 Psi E = 0.05 Mts</v>
          </cell>
          <cell r="E116" t="str">
            <v>M2</v>
          </cell>
          <cell r="F116">
            <v>22655.33</v>
          </cell>
          <cell r="G116">
            <v>41835</v>
          </cell>
        </row>
        <row r="117">
          <cell r="C117">
            <v>313</v>
          </cell>
          <cell r="D117" t="str">
            <v>Desmonte De Lavamanos Y Retiro De Material</v>
          </cell>
          <cell r="E117" t="str">
            <v>UN</v>
          </cell>
          <cell r="F117">
            <v>14610</v>
          </cell>
          <cell r="G117">
            <v>42472</v>
          </cell>
        </row>
        <row r="118">
          <cell r="C118">
            <v>315</v>
          </cell>
          <cell r="D118" t="str">
            <v>Suministro E Instalacion De Toma Corrientes Doble - Incluye Caja De 2 X 4</v>
          </cell>
          <cell r="E118" t="str">
            <v>UN</v>
          </cell>
          <cell r="F118">
            <v>43423.33</v>
          </cell>
          <cell r="G118">
            <v>40106</v>
          </cell>
        </row>
        <row r="119">
          <cell r="C119">
            <v>316</v>
          </cell>
          <cell r="D119" t="str">
            <v>Suministro E Instalacion De Lamparas Decorativas Para Parque Tipo Faroles Con Salida De 3 Luces, Incluye Pedestal Y Tubo De Soporte, Pintada Con Anticorrosivo Y Acabado En Esmalte</v>
          </cell>
          <cell r="E119" t="str">
            <v>UN</v>
          </cell>
          <cell r="F119">
            <v>500000</v>
          </cell>
          <cell r="G119">
            <v>40374</v>
          </cell>
        </row>
        <row r="120">
          <cell r="C120">
            <v>317</v>
          </cell>
          <cell r="D120" t="str">
            <v>Suministro E Instalación De Rejilla De Piso De 2"</v>
          </cell>
          <cell r="E120" t="str">
            <v>UN</v>
          </cell>
          <cell r="F120">
            <v>17827.919999999998</v>
          </cell>
          <cell r="G120">
            <v>42538</v>
          </cell>
        </row>
        <row r="121">
          <cell r="C121">
            <v>318</v>
          </cell>
          <cell r="D121" t="str">
            <v>Suministro E Instalación De Tubería De Sanitaria En Pvc, Diámetro De 2"</v>
          </cell>
          <cell r="E121" t="str">
            <v>ML</v>
          </cell>
          <cell r="F121">
            <v>31023.439999999999</v>
          </cell>
          <cell r="G121">
            <v>42578</v>
          </cell>
        </row>
        <row r="122">
          <cell r="C122">
            <v>320</v>
          </cell>
          <cell r="D122" t="str">
            <v>Registro De 0.70 X 0.70 X 0.70 Mts En Mampostería, Mortero De Pega 1:4, Pañetado Con Mortero 1:6 Impermeabilizado, Tapa En Concreto De 3000 Psi</v>
          </cell>
          <cell r="E122" t="str">
            <v>UN</v>
          </cell>
          <cell r="F122">
            <v>151164.70000000001</v>
          </cell>
          <cell r="G122">
            <v>42578</v>
          </cell>
        </row>
        <row r="123">
          <cell r="C123">
            <v>321</v>
          </cell>
          <cell r="D123" t="str">
            <v>Suministro E Instalación De Puerta Metálica Calibre 20 Por Una Faz Y Marco Calibre 18, De 1.00 X 2.00 Mts, Incluye Pintura Anticorrosiva Y Esmalte, Cerradura Y Herrrajes</v>
          </cell>
          <cell r="E123" t="str">
            <v>UN</v>
          </cell>
          <cell r="F123">
            <v>270575</v>
          </cell>
          <cell r="G123">
            <v>42578</v>
          </cell>
        </row>
        <row r="124">
          <cell r="C124">
            <v>325</v>
          </cell>
          <cell r="D124" t="str">
            <v>Suministro E Instalación De Válvula De Control De 1/2"</v>
          </cell>
          <cell r="E124" t="str">
            <v>UN</v>
          </cell>
          <cell r="F124">
            <v>33375.699999999997</v>
          </cell>
          <cell r="G124">
            <v>42314</v>
          </cell>
        </row>
        <row r="125">
          <cell r="C125">
            <v>330</v>
          </cell>
          <cell r="D125" t="str">
            <v>Viga De Cimiento En Concreto De 3000 Psi, De 0.25 X 0.25 Mts, Incluye 4 Varillas D=1/2"  Y Estribos De D=1/4"  A Cada 0.15 Mts</v>
          </cell>
          <cell r="E125" t="str">
            <v>ML</v>
          </cell>
          <cell r="F125">
            <v>58635.37</v>
          </cell>
          <cell r="G125">
            <v>41075</v>
          </cell>
        </row>
        <row r="126">
          <cell r="C126">
            <v>331</v>
          </cell>
          <cell r="D126" t="str">
            <v>Viga Culata En Concreto De 3000 Psi De 0.10 X 0.20 Mts, Incluye Acero De Refuerzo 2 Varillas De 1/2"  Y Estribos De 3/8"  A Cada 0.15 Mts</v>
          </cell>
          <cell r="E126" t="str">
            <v>ML</v>
          </cell>
          <cell r="F126">
            <v>29829.39</v>
          </cell>
          <cell r="G126">
            <v>39654</v>
          </cell>
        </row>
        <row r="127">
          <cell r="C127">
            <v>332</v>
          </cell>
          <cell r="D127" t="str">
            <v>Viga Dintel En Concreto De 3000 Psi, De 0.10 X 0.20 Mts Incluye Acero De Refuerzo 2 Varillas D=1/2" , Estribos De 3/8"  A Cada 0.15 Mts</v>
          </cell>
          <cell r="E127" t="str">
            <v>ML</v>
          </cell>
          <cell r="F127">
            <v>29829.39</v>
          </cell>
          <cell r="G127">
            <v>39654</v>
          </cell>
        </row>
        <row r="128">
          <cell r="C128">
            <v>333</v>
          </cell>
          <cell r="D128" t="str">
            <v>Suministro E Instalación De Puerta Metálica Calibre 20 Por Una Faz Y Marco Calibre 18  De 0.70 X 1.50 Mts, Incluye Pintura Anticorrosiva Y Esmalte, Cerraduras Y Herrajes</v>
          </cell>
          <cell r="E128" t="str">
            <v>UN</v>
          </cell>
          <cell r="F128">
            <v>198235</v>
          </cell>
          <cell r="G128">
            <v>42578</v>
          </cell>
        </row>
        <row r="129">
          <cell r="C129">
            <v>337</v>
          </cell>
          <cell r="D129" t="str">
            <v>Piso En Cerámica De 0.20 X 0.20 Mts Tráfico No. 4</v>
          </cell>
          <cell r="E129" t="str">
            <v>M2</v>
          </cell>
          <cell r="F129">
            <v>55223.41</v>
          </cell>
          <cell r="G129">
            <v>42472</v>
          </cell>
        </row>
        <row r="130">
          <cell r="C130">
            <v>339</v>
          </cell>
          <cell r="D130" t="str">
            <v>Piso Exterior En Tablón Vitrificado De 0.33 X 0.33 Mts, Junta En Piedra China Lavada De 0.05 Mts</v>
          </cell>
          <cell r="E130" t="str">
            <v>M2</v>
          </cell>
          <cell r="F130">
            <v>52652.74</v>
          </cell>
          <cell r="G130">
            <v>41697</v>
          </cell>
        </row>
        <row r="131">
          <cell r="C131">
            <v>342</v>
          </cell>
          <cell r="D131" t="str">
            <v>Suministro E Instalación De Cubierta En Lámina Ondulada De Asbesto Cemento, Perfil 7, Incluye Amarres Y Ganchos De Fijación</v>
          </cell>
          <cell r="E131" t="str">
            <v>M2</v>
          </cell>
          <cell r="F131">
            <v>39934.85</v>
          </cell>
          <cell r="G131">
            <v>42415</v>
          </cell>
        </row>
        <row r="132">
          <cell r="C132">
            <v>344</v>
          </cell>
          <cell r="D132" t="str">
            <v>Pañete Allanado Sobre Muro Con Mortero 1:4</v>
          </cell>
          <cell r="E132" t="str">
            <v>M2</v>
          </cell>
          <cell r="F132">
            <v>15301.23</v>
          </cell>
          <cell r="G132">
            <v>42578</v>
          </cell>
        </row>
        <row r="133">
          <cell r="C133">
            <v>349</v>
          </cell>
          <cell r="D133" t="str">
            <v>Suministro E Instalación De Sanitario Línea Integral Blanco, Incluye Interiores E Incrustación De Papelera</v>
          </cell>
          <cell r="E133" t="str">
            <v>UN</v>
          </cell>
          <cell r="F133">
            <v>253401.17</v>
          </cell>
          <cell r="G133">
            <v>42572</v>
          </cell>
        </row>
        <row r="134">
          <cell r="C134">
            <v>351</v>
          </cell>
          <cell r="D134" t="str">
            <v>Suministro E Instalación De Lavamanos Línea Integral Blanco Con Su Grifería, Incluye Incrustación De Jabonera</v>
          </cell>
          <cell r="E134" t="str">
            <v>UN</v>
          </cell>
          <cell r="F134">
            <v>185916.17</v>
          </cell>
          <cell r="G134">
            <v>42572</v>
          </cell>
        </row>
        <row r="135">
          <cell r="C135">
            <v>352</v>
          </cell>
          <cell r="D135" t="str">
            <v>Suministro E Instalación De Orinal Línea Integral Blanco Incluye Grifería</v>
          </cell>
          <cell r="E135" t="str">
            <v>UN</v>
          </cell>
          <cell r="F135">
            <v>303897</v>
          </cell>
          <cell r="G135">
            <v>42572</v>
          </cell>
        </row>
        <row r="136">
          <cell r="C136">
            <v>353</v>
          </cell>
          <cell r="D136" t="str">
            <v>Suministro E Instalación De Cargador De Batería Tipo Industrial 100 A, Incluye Baterías</v>
          </cell>
          <cell r="E136" t="str">
            <v>UN</v>
          </cell>
          <cell r="F136">
            <v>650000</v>
          </cell>
          <cell r="G136">
            <v>41480</v>
          </cell>
        </row>
        <row r="137">
          <cell r="C137">
            <v>354</v>
          </cell>
          <cell r="D137" t="str">
            <v>E - Suministro E Instalación De Tablero De Dos (2) Circuitos Incluye Tacos</v>
          </cell>
          <cell r="E137" t="str">
            <v>UN</v>
          </cell>
          <cell r="F137">
            <v>60317.5</v>
          </cell>
          <cell r="G137">
            <v>41717</v>
          </cell>
        </row>
        <row r="138">
          <cell r="C138">
            <v>357</v>
          </cell>
          <cell r="D138" t="str">
            <v>Enchape En Cerámica Para Muro De 0.20 X 0.20 Metros</v>
          </cell>
          <cell r="E138" t="str">
            <v>M2</v>
          </cell>
          <cell r="F138">
            <v>49783.25</v>
          </cell>
          <cell r="G138">
            <v>42578</v>
          </cell>
        </row>
        <row r="139">
          <cell r="C139">
            <v>362</v>
          </cell>
          <cell r="D139" t="str">
            <v>Impermeabilización Con Manto Edil O Similar De 3Mm, Acabado En Pintura Bituminosa</v>
          </cell>
          <cell r="E139" t="str">
            <v>M2</v>
          </cell>
          <cell r="F139">
            <v>29774.37</v>
          </cell>
          <cell r="G139">
            <v>42578</v>
          </cell>
        </row>
        <row r="140">
          <cell r="C140">
            <v>364</v>
          </cell>
          <cell r="D140" t="str">
            <v>Suministro E Instalación De Correa Metálica, Con 3 Varillas De D=1/2"  Con Estribos De D=3/8" , Incluye Pintura Anticorrosiva Y Esmalte</v>
          </cell>
          <cell r="E140" t="str">
            <v>ML</v>
          </cell>
          <cell r="F140">
            <v>34827.85</v>
          </cell>
          <cell r="G140">
            <v>41067</v>
          </cell>
        </row>
        <row r="141">
          <cell r="C141">
            <v>366</v>
          </cell>
          <cell r="D141" t="str">
            <v>Zabaleta En Ladrillo Con Mortero De Pega 1:4, Impermeabilizada Con Manto Edil O Similar De 3Mm</v>
          </cell>
          <cell r="E141" t="str">
            <v>ML</v>
          </cell>
          <cell r="F141">
            <v>23479</v>
          </cell>
          <cell r="G141">
            <v>39661</v>
          </cell>
        </row>
        <row r="142">
          <cell r="C142">
            <v>367</v>
          </cell>
          <cell r="D142" t="str">
            <v>Suministro E Instalación De Correas Para Anclaje De Cubierta En Ipe Galvanizadas De 160 X 60 Mm, Pintura En Anticorrosivo Y Acabado</v>
          </cell>
          <cell r="E142" t="str">
            <v>ML</v>
          </cell>
          <cell r="F142">
            <v>30000</v>
          </cell>
          <cell r="G142">
            <v>41936</v>
          </cell>
        </row>
        <row r="143">
          <cell r="C143">
            <v>368</v>
          </cell>
          <cell r="D143" t="str">
            <v>Suministro Y Aplicación De Imprimante Y Puente De Adherencia De Concreto Fresco O Endurecido Sikadur 32 Primer O Similar (Según Planos Y Especificaciones De Diseño)</v>
          </cell>
          <cell r="E143" t="str">
            <v>M2</v>
          </cell>
          <cell r="F143">
            <v>36390</v>
          </cell>
          <cell r="G143">
            <v>41479</v>
          </cell>
        </row>
        <row r="144">
          <cell r="C144">
            <v>369</v>
          </cell>
          <cell r="D144" t="str">
            <v>Entibado Tipo 4. Continuo De Madera (Ver Especificaciones)</v>
          </cell>
          <cell r="E144" t="str">
            <v>M2</v>
          </cell>
          <cell r="F144">
            <v>27720</v>
          </cell>
          <cell r="G144">
            <v>41479</v>
          </cell>
        </row>
        <row r="145">
          <cell r="C145">
            <v>370</v>
          </cell>
          <cell r="D145" t="str">
            <v>Limpieza De Canal De Agua Lluvia Existente, Incluye Retiro De Material (El Canal Es De  Aproximadamente 60 Metros De Longitud, Con 0.60 Metros De Ancho Y 0.40 Metros De Profundidad) Y  Reparación De Elementos De Concreto (10 Unidades) Que Conforman La Rejilla Del Canal</v>
          </cell>
          <cell r="E145" t="str">
            <v>GL</v>
          </cell>
          <cell r="F145">
            <v>2700000</v>
          </cell>
          <cell r="G145">
            <v>42254</v>
          </cell>
        </row>
        <row r="146">
          <cell r="C146">
            <v>371</v>
          </cell>
          <cell r="D146" t="str">
            <v>Ventaneria Con Perfileria De Aluminio Y Vidrio De 4 Mm De 1.40 X 1.50</v>
          </cell>
          <cell r="E146" t="str">
            <v>UN</v>
          </cell>
          <cell r="F146">
            <v>176626.18</v>
          </cell>
          <cell r="G146">
            <v>40106</v>
          </cell>
        </row>
        <row r="147">
          <cell r="C147">
            <v>372</v>
          </cell>
          <cell r="D147" t="str">
            <v xml:space="preserve">Suministro E Instalacion De Tuberia De 6"  Y 8" </v>
          </cell>
          <cell r="E147" t="str">
            <v>ML</v>
          </cell>
          <cell r="F147">
            <v>28929</v>
          </cell>
          <cell r="G147">
            <v>39672</v>
          </cell>
        </row>
        <row r="148">
          <cell r="C148">
            <v>373</v>
          </cell>
          <cell r="D148" t="str">
            <v>Tanque En Concreto  De 3000 Psi Y Cuarto Bombas Subterraneo No Incluye Acero De Refuerzo (Ver Diseño Estructural</v>
          </cell>
          <cell r="E148" t="str">
            <v>M3</v>
          </cell>
          <cell r="F148">
            <v>624597</v>
          </cell>
          <cell r="G148">
            <v>41344</v>
          </cell>
        </row>
        <row r="149">
          <cell r="C149">
            <v>374</v>
          </cell>
          <cell r="D149" t="str">
            <v>Suministro  E Instalación De Caja Metálica De Paso Cuadrada A Prueba De Explosión Marca Appletón Con Salida Roscada Ip66</v>
          </cell>
          <cell r="E149" t="str">
            <v>UN</v>
          </cell>
          <cell r="F149">
            <v>325000</v>
          </cell>
          <cell r="G149">
            <v>41480</v>
          </cell>
        </row>
        <row r="150">
          <cell r="C150">
            <v>375</v>
          </cell>
          <cell r="D150" t="str">
            <v>Suministro Y Colocacion De Malla Electrosoldada Calibre 6.0 Mm</v>
          </cell>
          <cell r="E150" t="str">
            <v>M2</v>
          </cell>
          <cell r="F150">
            <v>8464.75</v>
          </cell>
          <cell r="G150">
            <v>40106</v>
          </cell>
        </row>
        <row r="151">
          <cell r="C151">
            <v>376</v>
          </cell>
          <cell r="D151" t="str">
            <v>Cápitulo - Obras Civiles</v>
          </cell>
          <cell r="E151" t="str">
            <v>SD</v>
          </cell>
          <cell r="F151">
            <v>0</v>
          </cell>
          <cell r="G151">
            <v>41554</v>
          </cell>
        </row>
        <row r="152">
          <cell r="C152">
            <v>377</v>
          </cell>
          <cell r="D152" t="str">
            <v>Excavación A Mano Y Retiro De Material Sobrante En Volqueta</v>
          </cell>
          <cell r="E152" t="str">
            <v>M3</v>
          </cell>
          <cell r="F152">
            <v>31225</v>
          </cell>
          <cell r="G152">
            <v>42572</v>
          </cell>
        </row>
        <row r="153">
          <cell r="C153">
            <v>379</v>
          </cell>
          <cell r="D153" t="str">
            <v>Enchape Para Pisos En Cerámica Antideslizante De 0.40 X 0.40 Metros Color Blanco</v>
          </cell>
          <cell r="E153" t="str">
            <v>M2</v>
          </cell>
          <cell r="F153">
            <v>45891</v>
          </cell>
          <cell r="G153">
            <v>42415</v>
          </cell>
        </row>
        <row r="154">
          <cell r="C154">
            <v>380</v>
          </cell>
          <cell r="D154" t="str">
            <v>Zapatas De 1.00 X 1.00 X 0.30 Mts En Concreto De 3000 Psi, Con Acero De Refuerzo 5 Varillas De D=1/2"  En Ambos Sentidos</v>
          </cell>
          <cell r="E154" t="str">
            <v>M3</v>
          </cell>
          <cell r="F154">
            <v>540702.87</v>
          </cell>
          <cell r="G154">
            <v>42496</v>
          </cell>
        </row>
        <row r="155">
          <cell r="C155">
            <v>381</v>
          </cell>
          <cell r="D155" t="str">
            <v>Capítulo - Alumbrados Y Luminarias</v>
          </cell>
          <cell r="E155" t="str">
            <v>SD</v>
          </cell>
          <cell r="F155">
            <v>0</v>
          </cell>
          <cell r="G155">
            <v>41554</v>
          </cell>
        </row>
        <row r="156">
          <cell r="C156">
            <v>382</v>
          </cell>
          <cell r="D156" t="str">
            <v>Suministro E Instalacion De Estructura Semicircular Perfil En L De 2" X 2" X 1/4" Y De 11/2" X 11/2" X 1/4", Incluye Tensores, Correa Metalica En 2 Varillas De 1/2" Y 1 Varilla De 5/8", Estribos De 3/8" A Cada 0.15 Mts, Pintura Anticorrosiva Y Esmalte</v>
          </cell>
          <cell r="E156" t="str">
            <v>M2</v>
          </cell>
          <cell r="F156">
            <v>25000</v>
          </cell>
          <cell r="G156">
            <v>39945</v>
          </cell>
        </row>
        <row r="157">
          <cell r="C157">
            <v>383</v>
          </cell>
          <cell r="D157" t="str">
            <v>E - Salida De Tomacorriente Doble Monofásica Con Puesta A Tierra</v>
          </cell>
          <cell r="E157" t="str">
            <v>UN</v>
          </cell>
          <cell r="F157">
            <v>76730.5</v>
          </cell>
          <cell r="G157">
            <v>42578</v>
          </cell>
        </row>
        <row r="158">
          <cell r="C158">
            <v>386</v>
          </cell>
          <cell r="D158" t="str">
            <v>E - Suministro E Instalación De Reflectores Para Patios De 220 Voltios, 250 Watios, Luz Blanca De Sodio</v>
          </cell>
          <cell r="E158" t="str">
            <v>UN</v>
          </cell>
          <cell r="F158">
            <v>361347.38</v>
          </cell>
          <cell r="G158">
            <v>41737</v>
          </cell>
        </row>
        <row r="159">
          <cell r="C159">
            <v>387</v>
          </cell>
          <cell r="D159" t="str">
            <v>E - Salida De Tomacorriente De 220 Voltios</v>
          </cell>
          <cell r="E159" t="str">
            <v>UN</v>
          </cell>
          <cell r="F159">
            <v>91272.4</v>
          </cell>
          <cell r="G159">
            <v>42534</v>
          </cell>
        </row>
        <row r="160">
          <cell r="C160">
            <v>394</v>
          </cell>
          <cell r="D160" t="str">
            <v>E - Acometida Eléctrica De D=1"  , Alambre Aislado, 3 Lineas De 110 Voltios</v>
          </cell>
          <cell r="E160" t="str">
            <v>ML</v>
          </cell>
          <cell r="F160">
            <v>25424.92</v>
          </cell>
          <cell r="G160">
            <v>41451</v>
          </cell>
        </row>
        <row r="161">
          <cell r="C161">
            <v>395</v>
          </cell>
          <cell r="D161" t="str">
            <v>E - Acometida Eléctrica En Tubería Pvc Conduit D= 3/4" , Alambre Aislado 3 Lineas De 110 Voltios</v>
          </cell>
          <cell r="E161" t="str">
            <v>ML</v>
          </cell>
          <cell r="F161">
            <v>25437.79</v>
          </cell>
          <cell r="G161">
            <v>42472</v>
          </cell>
        </row>
        <row r="162">
          <cell r="C162">
            <v>398</v>
          </cell>
          <cell r="D162" t="str">
            <v>Suministro, Instalación O Reconstrucción De Alfagía En Piedra O Concreto Similar A La Existente (Ver Diseño)</v>
          </cell>
          <cell r="E162" t="str">
            <v>ML</v>
          </cell>
          <cell r="F162">
            <v>90000</v>
          </cell>
          <cell r="G162">
            <v>41344</v>
          </cell>
        </row>
        <row r="163">
          <cell r="C163">
            <v>399</v>
          </cell>
          <cell r="D163" t="str">
            <v>Instalaciones Internas: Suministro E Instalación De 205 Ml. De Tubería En Acero Galvanizado De 3/4", Incluye Pintura, 26 Conexiones Equipo Y Rizo, Según Especificaciones De Gases Del Caribe S.A (Facturación Adjunta)</v>
          </cell>
          <cell r="E163" t="str">
            <v>GL</v>
          </cell>
          <cell r="F163">
            <v>5487322</v>
          </cell>
          <cell r="G163">
            <v>41145</v>
          </cell>
        </row>
        <row r="164">
          <cell r="C164">
            <v>401</v>
          </cell>
          <cell r="D164" t="str">
            <v>Suministro E Instalación De Cubierta En Lámina Ondulada De Asbesto Cemento, Incluye Amarres Y Ganchos De Fijación, Estructura De Soporte En Madera De Abarco</v>
          </cell>
          <cell r="E164" t="str">
            <v>M2</v>
          </cell>
          <cell r="F164">
            <v>65575.850000000006</v>
          </cell>
          <cell r="G164">
            <v>42496</v>
          </cell>
        </row>
        <row r="165">
          <cell r="C165">
            <v>402</v>
          </cell>
          <cell r="D165" t="str">
            <v>Suministro E Instalación De Cielo Raso En Lámina Plana De Sonocor (Icopor Mineral De 1.24 X 0.62 Mts), Incluye Estructura En Aluminio.</v>
          </cell>
          <cell r="E165" t="str">
            <v>M2</v>
          </cell>
          <cell r="F165">
            <v>51730.69</v>
          </cell>
          <cell r="G165">
            <v>42403</v>
          </cell>
        </row>
        <row r="166">
          <cell r="C166">
            <v>404</v>
          </cell>
          <cell r="D166" t="str">
            <v>Levante De Muro En Bloque Abuzardado De 0.10 X 0.20 X 0.40 Mts, Mortero De Pega 1:4</v>
          </cell>
          <cell r="E166" t="str">
            <v>M2</v>
          </cell>
          <cell r="F166">
            <v>51623.41</v>
          </cell>
          <cell r="G166">
            <v>42572</v>
          </cell>
        </row>
        <row r="167">
          <cell r="C167">
            <v>410</v>
          </cell>
          <cell r="D167" t="str">
            <v>Piso En Baldosa De Cerámica Tipo Alfa De 0.20 X 0.20 Mts</v>
          </cell>
          <cell r="E167" t="str">
            <v>M2</v>
          </cell>
          <cell r="F167">
            <v>67238.41</v>
          </cell>
          <cell r="G167">
            <v>42314</v>
          </cell>
        </row>
        <row r="168">
          <cell r="C168">
            <v>411</v>
          </cell>
          <cell r="D168" t="str">
            <v>Suministro E Instalación De Lavamanos De Sobreponer Línea Blanca Corona O Similar  Con Grifería, Incluye Incrustación De Jabonera</v>
          </cell>
          <cell r="E168" t="str">
            <v>UN</v>
          </cell>
          <cell r="F168">
            <v>232854.67</v>
          </cell>
          <cell r="G168">
            <v>42534</v>
          </cell>
        </row>
        <row r="169">
          <cell r="C169">
            <v>412</v>
          </cell>
          <cell r="D169" t="str">
            <v>Placa Para Mesón De Lavamanos U Otros, En Concreto De 3000 Psi, E= 0.10 Mts Ancho 0.60 Mts, Incluye Acero De Refuerzo De 2 D= 1/4"  A Cada 0.40 Mts En Ambos Sentidos</v>
          </cell>
          <cell r="E169" t="str">
            <v>M2</v>
          </cell>
          <cell r="F169">
            <v>63025.04</v>
          </cell>
          <cell r="G169">
            <v>41927</v>
          </cell>
        </row>
        <row r="170">
          <cell r="C170">
            <v>413</v>
          </cell>
          <cell r="D170" t="str">
            <v>Mortero 1:3</v>
          </cell>
          <cell r="E170" t="str">
            <v>M3</v>
          </cell>
          <cell r="F170">
            <v>279190.33</v>
          </cell>
          <cell r="G170">
            <v>42438</v>
          </cell>
        </row>
        <row r="171">
          <cell r="C171">
            <v>414</v>
          </cell>
          <cell r="D171" t="str">
            <v>Desmonte De Reja Y Retiro De Material</v>
          </cell>
          <cell r="E171" t="str">
            <v>UN</v>
          </cell>
          <cell r="F171">
            <v>23350</v>
          </cell>
          <cell r="G171">
            <v>42578</v>
          </cell>
        </row>
        <row r="172">
          <cell r="C172">
            <v>415</v>
          </cell>
          <cell r="D172" t="str">
            <v>Desmonte De Muro Y Cielo Raso, Incluye Estructura En Mal Estado Y Retiro De Material</v>
          </cell>
          <cell r="E172" t="str">
            <v>M2</v>
          </cell>
          <cell r="F172">
            <v>9472.5</v>
          </cell>
          <cell r="G172">
            <v>42472</v>
          </cell>
        </row>
        <row r="173">
          <cell r="C173">
            <v>416</v>
          </cell>
          <cell r="D173" t="str">
            <v>Desmonte De Cubierta En Lámina De Asbesto Cemento, Incluye Estructura En Mal Estado Y Retiro De Material</v>
          </cell>
          <cell r="E173" t="str">
            <v>M2</v>
          </cell>
          <cell r="F173">
            <v>17745</v>
          </cell>
          <cell r="G173">
            <v>42472</v>
          </cell>
        </row>
        <row r="174">
          <cell r="C174">
            <v>417</v>
          </cell>
          <cell r="D174" t="str">
            <v>Escarificación De Pañete Y Retiro De Material</v>
          </cell>
          <cell r="E174" t="str">
            <v>M2</v>
          </cell>
          <cell r="F174">
            <v>6110</v>
          </cell>
          <cell r="G174">
            <v>42472</v>
          </cell>
        </row>
        <row r="175">
          <cell r="C175">
            <v>419</v>
          </cell>
          <cell r="D175" t="str">
            <v>Demolición De Pañete Sobre Muro Y Retiro De Material</v>
          </cell>
          <cell r="E175" t="str">
            <v>M2</v>
          </cell>
          <cell r="F175">
            <v>8294</v>
          </cell>
          <cell r="G175">
            <v>42472</v>
          </cell>
        </row>
        <row r="176">
          <cell r="C176">
            <v>420</v>
          </cell>
          <cell r="D176" t="str">
            <v>Viga En Concreto De 2500 Psi De 0.20 X 0.20 Mts, Incluye 2 Varillas De 1/2" , Estribos De 1/4"  A Cada 0.20 Mts</v>
          </cell>
          <cell r="E176" t="str">
            <v>ML</v>
          </cell>
          <cell r="F176">
            <v>39149.39</v>
          </cell>
          <cell r="G176">
            <v>41927</v>
          </cell>
        </row>
        <row r="177">
          <cell r="C177">
            <v>421</v>
          </cell>
          <cell r="D177" t="str">
            <v>Ajuste Y Mantenimiento De Cubierta En Lámina Ondulada De Asbesto Cemento Perfil 7, Incluye Amarres Y Ganchos De Fijacion</v>
          </cell>
          <cell r="E177" t="str">
            <v>M2</v>
          </cell>
          <cell r="F177">
            <v>15394.02</v>
          </cell>
          <cell r="G177">
            <v>41015</v>
          </cell>
        </row>
        <row r="178">
          <cell r="C178">
            <v>422</v>
          </cell>
          <cell r="D178" t="str">
            <v>Suministro E Instalación De Lámina Ondulada De Asbesto Cemento No. 6 Incluye Amarres Y Ganchos De Fijación</v>
          </cell>
          <cell r="E178" t="str">
            <v>UN</v>
          </cell>
          <cell r="F178">
            <v>54719.75</v>
          </cell>
          <cell r="G178">
            <v>41067</v>
          </cell>
        </row>
        <row r="179">
          <cell r="C179">
            <v>424</v>
          </cell>
          <cell r="D179" t="str">
            <v>Suministro E Instalación De Caballete De Asbesto Cemento, Incluye Amarres</v>
          </cell>
          <cell r="E179" t="str">
            <v>UN</v>
          </cell>
          <cell r="F179">
            <v>40003.39</v>
          </cell>
          <cell r="G179">
            <v>42415</v>
          </cell>
        </row>
        <row r="180">
          <cell r="C180">
            <v>426</v>
          </cell>
          <cell r="D180" t="str">
            <v>Suministro E Instalación De Lámina Plana De Asbesto Cemento Para Cielo Raso</v>
          </cell>
          <cell r="E180" t="str">
            <v>UN</v>
          </cell>
          <cell r="F180">
            <v>39819.760000000002</v>
          </cell>
          <cell r="G180">
            <v>41067</v>
          </cell>
        </row>
        <row r="181">
          <cell r="C181">
            <v>432</v>
          </cell>
          <cell r="D181" t="str">
            <v>Estuco Plastico Sobre Muro Con Pañete Allanado</v>
          </cell>
          <cell r="E181" t="str">
            <v>M2</v>
          </cell>
          <cell r="F181">
            <v>8998.4500000000007</v>
          </cell>
          <cell r="G181">
            <v>42578</v>
          </cell>
        </row>
        <row r="182">
          <cell r="C182">
            <v>434</v>
          </cell>
          <cell r="D182" t="str">
            <v>Estuco En Yeso Sobre Pañete Allanado</v>
          </cell>
          <cell r="E182" t="str">
            <v>M2</v>
          </cell>
          <cell r="F182">
            <v>7723.97</v>
          </cell>
          <cell r="G182">
            <v>42538</v>
          </cell>
        </row>
        <row r="183">
          <cell r="C183">
            <v>435</v>
          </cell>
          <cell r="D183" t="str">
            <v>Pañete Mortero 1:4 Impermeabilizado,  Allanado Sobre Muro</v>
          </cell>
          <cell r="E183" t="str">
            <v>M2</v>
          </cell>
          <cell r="F183">
            <v>17684.72</v>
          </cell>
          <cell r="G183">
            <v>42578</v>
          </cell>
        </row>
        <row r="184">
          <cell r="C184">
            <v>436</v>
          </cell>
          <cell r="D184" t="str">
            <v>Pañete Allanado Sobre Losa De Entrepiso, Mortero 1:4</v>
          </cell>
          <cell r="E184" t="str">
            <v>M2</v>
          </cell>
          <cell r="F184">
            <v>17671.57</v>
          </cell>
          <cell r="G184">
            <v>42472</v>
          </cell>
        </row>
        <row r="185">
          <cell r="C185">
            <v>437</v>
          </cell>
          <cell r="D185" t="str">
            <v>Pintura En Vinilo Para Calados A Tres Manos Tipo Viniltex O Similar</v>
          </cell>
          <cell r="E185" t="str">
            <v>M2</v>
          </cell>
          <cell r="F185">
            <v>12260.11</v>
          </cell>
          <cell r="G185">
            <v>41047</v>
          </cell>
        </row>
        <row r="186">
          <cell r="C186">
            <v>438</v>
          </cell>
          <cell r="D186" t="str">
            <v>Andén En Concreto De Fc = 3000 Psi E = 0.10 Mts</v>
          </cell>
          <cell r="E186" t="str">
            <v>M2</v>
          </cell>
          <cell r="F186">
            <v>64053.46</v>
          </cell>
          <cell r="G186">
            <v>42240</v>
          </cell>
        </row>
        <row r="187">
          <cell r="C187">
            <v>439</v>
          </cell>
          <cell r="D187" t="str">
            <v>Conformación De Pedraplén Compacto (Estabilizacion De Terreno)</v>
          </cell>
          <cell r="E187" t="str">
            <v>M3</v>
          </cell>
          <cell r="F187">
            <v>97332.4</v>
          </cell>
          <cell r="G187">
            <v>42552</v>
          </cell>
        </row>
        <row r="188">
          <cell r="C188">
            <v>440</v>
          </cell>
          <cell r="D188" t="str">
            <v>Solado En Concreto Fc =  2500 Psi De 0.10 Mts</v>
          </cell>
          <cell r="E188" t="str">
            <v>M2</v>
          </cell>
          <cell r="F188">
            <v>48276.76</v>
          </cell>
          <cell r="G188">
            <v>41038</v>
          </cell>
        </row>
        <row r="189">
          <cell r="C189">
            <v>441</v>
          </cell>
          <cell r="D189" t="str">
            <v>Bordillo En Concreto De 3000 Psi De 0.15 X 0.35 Mts</v>
          </cell>
          <cell r="E189" t="str">
            <v>ML</v>
          </cell>
          <cell r="F189">
            <v>49699.35</v>
          </cell>
          <cell r="G189">
            <v>42067</v>
          </cell>
        </row>
        <row r="190">
          <cell r="C190">
            <v>451</v>
          </cell>
          <cell r="D190" t="str">
            <v>Realce De Pozo De Inspeccion, En Ladrillo Tolette, Mortero De Pega 1:4 Impermeabilizado, Diametro Interno De 1.20 Mts, Altura &lt; 1.00 Mts</v>
          </cell>
          <cell r="E190" t="str">
            <v>UN</v>
          </cell>
          <cell r="F190">
            <v>1432584.95</v>
          </cell>
          <cell r="G190">
            <v>40697</v>
          </cell>
        </row>
        <row r="191">
          <cell r="C191">
            <v>454</v>
          </cell>
          <cell r="D191" t="str">
            <v>Suministro E Instalacion De Tuberia O Manguera Pf - Uad, De Polietileno De 3/4"  20Mm, Para Acometidas Domiciliarias</v>
          </cell>
          <cell r="E191" t="str">
            <v>ML</v>
          </cell>
          <cell r="F191">
            <v>31224.67</v>
          </cell>
          <cell r="G191">
            <v>39688</v>
          </cell>
        </row>
        <row r="192">
          <cell r="C192">
            <v>456</v>
          </cell>
          <cell r="D192" t="str">
            <v>Suministro E Instalacion De Tuberia Duratec O Similar 6"  160Mm</v>
          </cell>
          <cell r="E192" t="str">
            <v>ML</v>
          </cell>
          <cell r="F192">
            <v>69646.83</v>
          </cell>
          <cell r="G192">
            <v>41344</v>
          </cell>
        </row>
        <row r="193">
          <cell r="C193">
            <v>457</v>
          </cell>
          <cell r="D193" t="str">
            <v>Suministro E Instalacion De Tuberia De Concreto Reforzado De 24"  Incluye Solado En Concreto De 3000 Psi</v>
          </cell>
          <cell r="E193" t="str">
            <v>ML</v>
          </cell>
          <cell r="F193">
            <v>640532.67000000004</v>
          </cell>
          <cell r="G193">
            <v>39688</v>
          </cell>
        </row>
        <row r="194">
          <cell r="C194">
            <v>460</v>
          </cell>
          <cell r="D194" t="str">
            <v>Construccion De Registro De 1.10 X 1.60 X 0.60 Mts En Block De 0.15 Metros, Pañetado Con Mortero 1:4 Impermeabilizado, Placa De Fondo En Concreto De 3000 Psi, Y Tapa En Reja  De Hierro Con Varilla De 1/2" A Cada 0.15 Metros En Ambos Sentidos</v>
          </cell>
          <cell r="E194" t="str">
            <v>UN</v>
          </cell>
          <cell r="F194">
            <v>713053.63</v>
          </cell>
          <cell r="G194">
            <v>41799</v>
          </cell>
        </row>
        <row r="195">
          <cell r="C195">
            <v>462</v>
          </cell>
          <cell r="D195" t="str">
            <v>Muro De Contención En Concreto De 3000 Psi, Altura 1.00 Mts, E = 0.25 Mts</v>
          </cell>
          <cell r="E195" t="str">
            <v>ML</v>
          </cell>
          <cell r="F195">
            <v>193634.23</v>
          </cell>
          <cell r="G195">
            <v>42466</v>
          </cell>
        </row>
        <row r="196">
          <cell r="C196">
            <v>467</v>
          </cell>
          <cell r="D196" t="str">
            <v>Cama En Piedra Media Zonga O Ciclópea, Incluye Relleno En Arena Sierra Vieja, E = 0.60 Mts</v>
          </cell>
          <cell r="E196" t="str">
            <v>M3</v>
          </cell>
          <cell r="F196">
            <v>89352.13</v>
          </cell>
          <cell r="G196">
            <v>41026</v>
          </cell>
        </row>
        <row r="197">
          <cell r="C197">
            <v>468</v>
          </cell>
          <cell r="D197" t="str">
            <v>Construcción De Filtro France De 0.60 X 0.40 Mts, Incluye Geotextil Nt 3000</v>
          </cell>
          <cell r="E197" t="str">
            <v>ML</v>
          </cell>
          <cell r="F197">
            <v>43949.82</v>
          </cell>
          <cell r="G197">
            <v>41906</v>
          </cell>
        </row>
        <row r="198">
          <cell r="C198">
            <v>469</v>
          </cell>
          <cell r="D198" t="str">
            <v>Canal En Concreto De 3000 Psi, B = 0.90 Mts, Altura 0.40 Mts, E =0.10 Mts, Con Acero De Refuerzo De D = 3/8"  A Cada 0.40 Mts  En Ambos Sentidos</v>
          </cell>
          <cell r="E198" t="str">
            <v>ML</v>
          </cell>
          <cell r="F198">
            <v>74498.39</v>
          </cell>
          <cell r="G198">
            <v>41026</v>
          </cell>
        </row>
        <row r="199">
          <cell r="C199">
            <v>470</v>
          </cell>
          <cell r="D199" t="str">
            <v>Plantilla De Piso En Mortero 1:4 Impermeabilizado E = 0.05 Mts</v>
          </cell>
          <cell r="E199" t="str">
            <v>M2</v>
          </cell>
          <cell r="F199">
            <v>23364.12</v>
          </cell>
          <cell r="G199">
            <v>42578</v>
          </cell>
        </row>
        <row r="200">
          <cell r="C200">
            <v>472</v>
          </cell>
          <cell r="D200" t="str">
            <v>Revestimiento En Yeso Carton En Cuarto De Aires Sobre Ductos Metalicos Y Elaboracion De Cajuela Para Tuberia Externa</v>
          </cell>
          <cell r="E200" t="str">
            <v>GL</v>
          </cell>
          <cell r="F200">
            <v>675000</v>
          </cell>
          <cell r="G200">
            <v>39930</v>
          </cell>
        </row>
        <row r="201">
          <cell r="C201">
            <v>473</v>
          </cell>
          <cell r="D201" t="str">
            <v>Suministro, Instalacion Y Montaje De Puente Peatonal Cmi En Aluminio L = 13.50 Metros , Incluye (Transporte, Fabricación, Pasamanos Y Pasapies, Iluminación, Cojines De Anclaje, Rodapie), Descargue Del Puente En Bodega, Instalación Eléctrica De Cables Para Las Luces Led (Según Diseño)</v>
          </cell>
          <cell r="E201" t="str">
            <v>UN</v>
          </cell>
          <cell r="F201">
            <v>218426700</v>
          </cell>
          <cell r="G201">
            <v>42153</v>
          </cell>
        </row>
        <row r="202">
          <cell r="C202">
            <v>474</v>
          </cell>
          <cell r="D202" t="str">
            <v>Suministro E Instalacion General Electricas En Aula, Incluye Acometida, Salida De Luces, Salida De Tomacorriente, Salida De Abanico Y Lampara</v>
          </cell>
          <cell r="E202" t="str">
            <v>GL</v>
          </cell>
          <cell r="F202">
            <v>500000</v>
          </cell>
          <cell r="G202">
            <v>40086</v>
          </cell>
        </row>
        <row r="203">
          <cell r="C203">
            <v>475</v>
          </cell>
          <cell r="D203" t="str">
            <v>Suministro E Instalacion De Minisplit 1000 Btu, 110 V.</v>
          </cell>
          <cell r="E203" t="str">
            <v>UN</v>
          </cell>
          <cell r="F203">
            <v>800000</v>
          </cell>
          <cell r="G203">
            <v>40121</v>
          </cell>
        </row>
        <row r="204">
          <cell r="C204">
            <v>476</v>
          </cell>
          <cell r="D204" t="str">
            <v>Revisión, Cambio, Anclaje Tubería Eléctrica Conduit Existente Incluye Curvas, Uniones</v>
          </cell>
          <cell r="E204" t="str">
            <v>UN</v>
          </cell>
          <cell r="F204">
            <v>20000</v>
          </cell>
          <cell r="G204">
            <v>42254</v>
          </cell>
        </row>
        <row r="205">
          <cell r="C205">
            <v>477</v>
          </cell>
          <cell r="D205" t="str">
            <v>Limpieza General Y Retiro De Material</v>
          </cell>
          <cell r="E205" t="str">
            <v>GL</v>
          </cell>
          <cell r="F205">
            <v>1000000</v>
          </cell>
          <cell r="G205">
            <v>42132</v>
          </cell>
        </row>
        <row r="206">
          <cell r="C206">
            <v>478</v>
          </cell>
          <cell r="D206" t="str">
            <v>Suministro E Instalacion De Distribucion Cable Alimentador (Segun Diseño)</v>
          </cell>
          <cell r="E206" t="str">
            <v>GL</v>
          </cell>
          <cell r="F206">
            <v>600000</v>
          </cell>
          <cell r="G206">
            <v>40046</v>
          </cell>
        </row>
        <row r="207">
          <cell r="C207">
            <v>479</v>
          </cell>
          <cell r="D207" t="str">
            <v>Suministro Y Aplicacion De Pintura General</v>
          </cell>
          <cell r="E207" t="str">
            <v>GL</v>
          </cell>
          <cell r="F207">
            <v>3000000</v>
          </cell>
          <cell r="G207">
            <v>40046</v>
          </cell>
        </row>
        <row r="208">
          <cell r="C208">
            <v>480</v>
          </cell>
          <cell r="D208" t="str">
            <v>Desmonte E Instalación De La Campana De La Cabina Extractora</v>
          </cell>
          <cell r="E208" t="str">
            <v>UN</v>
          </cell>
          <cell r="F208">
            <v>2000000</v>
          </cell>
          <cell r="G208">
            <v>41935</v>
          </cell>
        </row>
        <row r="209">
          <cell r="C209">
            <v>481</v>
          </cell>
          <cell r="D209" t="str">
            <v>Suministro E Instalación De Puerta En Vidrio De 2.00 X 1.00 Metros Que Consta De Puerta De Una (1) Hoja En Vidrio Templado Incoloro De 10 Mm, Con Manija De Acero Inoxidable De 1000 Mm, Dos (2) Cerraduras Eslager, Zócalo En La Parte Inferior Y Bisagra Hidráulica De Piso. También Está Compuesto Por Un Cuerpo Fijo Superior, La Puerta Debe Ser Marcada Sand Blasting</v>
          </cell>
          <cell r="E209" t="str">
            <v>UN</v>
          </cell>
          <cell r="F209">
            <v>1850000</v>
          </cell>
          <cell r="G209">
            <v>41939</v>
          </cell>
        </row>
        <row r="210">
          <cell r="C210">
            <v>482</v>
          </cell>
          <cell r="D210" t="str">
            <v>Zócalo Media Caña En Mortero 1:4</v>
          </cell>
          <cell r="E210" t="str">
            <v>ML</v>
          </cell>
          <cell r="F210">
            <v>11552.11</v>
          </cell>
          <cell r="G210">
            <v>42572</v>
          </cell>
        </row>
        <row r="211">
          <cell r="C211">
            <v>483</v>
          </cell>
          <cell r="D211" t="str">
            <v>Suministro E Instalación De Caney En Palma</v>
          </cell>
          <cell r="E211" t="str">
            <v>M2</v>
          </cell>
          <cell r="F211">
            <v>83500</v>
          </cell>
          <cell r="G211">
            <v>40046</v>
          </cell>
        </row>
        <row r="212">
          <cell r="C212">
            <v>484</v>
          </cell>
          <cell r="D212" t="str">
            <v>Base Para Poste Autosoportada De Acuerdo A Especificaciones Técnicas De Electricaribe</v>
          </cell>
          <cell r="E212" t="str">
            <v>UN</v>
          </cell>
          <cell r="F212">
            <v>521325</v>
          </cell>
          <cell r="G212">
            <v>42573</v>
          </cell>
        </row>
        <row r="213">
          <cell r="C213">
            <v>485</v>
          </cell>
          <cell r="D213" t="str">
            <v>Suministro E Instalación De Escalón Tipo Gato Interna En Fibra De Vidrio E = 3/4"  L = 0.40 Metros, Incluye Pernos De Fijación En Acero Inoxidable</v>
          </cell>
          <cell r="E213" t="str">
            <v>UN</v>
          </cell>
          <cell r="F213">
            <v>95000</v>
          </cell>
          <cell r="G213">
            <v>41479</v>
          </cell>
        </row>
        <row r="214">
          <cell r="C214">
            <v>486</v>
          </cell>
          <cell r="D214" t="str">
            <v>Suministro E Instalacion De Tocetos</v>
          </cell>
          <cell r="E214" t="str">
            <v>UN</v>
          </cell>
          <cell r="F214">
            <v>7000</v>
          </cell>
          <cell r="G214">
            <v>40046</v>
          </cell>
        </row>
        <row r="215">
          <cell r="C215">
            <v>487</v>
          </cell>
          <cell r="D215" t="str">
            <v>Suministro De Tuberia Y Elementos Para La Estacion</v>
          </cell>
          <cell r="E215" t="str">
            <v>GL</v>
          </cell>
          <cell r="F215">
            <v>72317269</v>
          </cell>
          <cell r="G215">
            <v>40105</v>
          </cell>
        </row>
        <row r="216">
          <cell r="C216">
            <v>488</v>
          </cell>
          <cell r="D216" t="str">
            <v>Suministro E Instalación De Voz Y Dato, Incluye 80 Ml De Canaleta Plastica Tipo Mecano O Similar, 1300 Ml De Cableado Trenzado De 4 Pares Utp No Apantallado Categoría 6, 80 Unidades De  Canaleta Plástica Tipo Mecano O Similar De 100 X 60 Mm, Salida De Datos Doble Rj-45 Categoria 6, Certificación De Salida De Cableado Estructurado , Cat 6</v>
          </cell>
          <cell r="E216" t="str">
            <v>GL</v>
          </cell>
          <cell r="F216">
            <v>41141662</v>
          </cell>
          <cell r="G216">
            <v>41939</v>
          </cell>
        </row>
        <row r="217">
          <cell r="C217">
            <v>489</v>
          </cell>
          <cell r="D217" t="str">
            <v>Salida De Gas Natural Incluye Dos Controles De Cierre Rapido Y Acometida</v>
          </cell>
          <cell r="E217" t="str">
            <v>UN</v>
          </cell>
          <cell r="F217">
            <v>886905</v>
          </cell>
          <cell r="G217">
            <v>40106</v>
          </cell>
        </row>
        <row r="218">
          <cell r="C218">
            <v>490</v>
          </cell>
          <cell r="D218" t="str">
            <v>Edificio Oficinas Administrativas De La Estación De Policía De La Ciudadela 20 De Julio</v>
          </cell>
          <cell r="E218" t="str">
            <v>GL</v>
          </cell>
          <cell r="F218">
            <v>0</v>
          </cell>
          <cell r="G218">
            <v>41457</v>
          </cell>
        </row>
        <row r="219">
          <cell r="C219">
            <v>491</v>
          </cell>
          <cell r="D219" t="str">
            <v>Suministro E Instalacion De Puerta En Madera De 0.90 X 2.00 Mts De Triplex O Similar, Incluye Marco En Roble, Bisagras,  Cerradura De Bola Y Pintada Con Laca Color Natural.</v>
          </cell>
          <cell r="E219" t="str">
            <v>UN</v>
          </cell>
          <cell r="F219">
            <v>245000</v>
          </cell>
          <cell r="G219">
            <v>39692</v>
          </cell>
        </row>
        <row r="220">
          <cell r="C220">
            <v>492</v>
          </cell>
          <cell r="D220" t="str">
            <v>Publicaciones Y Vallas De 3.00 X 6.00 Metros, Incluye Instalacion Y Montaje</v>
          </cell>
          <cell r="E220" t="str">
            <v>UN</v>
          </cell>
          <cell r="F220">
            <v>750000</v>
          </cell>
          <cell r="G220">
            <v>40617</v>
          </cell>
        </row>
        <row r="221">
          <cell r="C221">
            <v>493</v>
          </cell>
          <cell r="D221" t="str">
            <v>Suministro E Instalación De Puerta Metálica  En Lámina Galvanizada Calibre 20 De Doble Faz Y Marco Calibre 18 De 1.00 X 2.00 Mts, Incluye Pintura Anticorrosiva Y Esmalte, Cerraduras Y Herrajes</v>
          </cell>
          <cell r="E221" t="str">
            <v>M2</v>
          </cell>
          <cell r="F221">
            <v>354125</v>
          </cell>
          <cell r="G221">
            <v>42572</v>
          </cell>
        </row>
        <row r="222">
          <cell r="C222">
            <v>494</v>
          </cell>
          <cell r="D222" t="str">
            <v>Suministro E Instalación De Equipo De Medida De Acuerdo A Exigencias Del Operador De Red, Incluye Medidor, Gabinete, Acometidas De Señales, Que Genera Pago Con La Presentación De La Factura Cancelada A Electricaribe</v>
          </cell>
          <cell r="E222" t="str">
            <v>GL</v>
          </cell>
          <cell r="F222">
            <v>1800000</v>
          </cell>
          <cell r="G222">
            <v>42494</v>
          </cell>
        </row>
        <row r="223">
          <cell r="C223">
            <v>495</v>
          </cell>
          <cell r="D223" t="str">
            <v>Publicaciones Y Vallas De 2.00 X 1.00 Metros, Incluye Instalacion Y Montaje</v>
          </cell>
          <cell r="E223" t="str">
            <v>UN</v>
          </cell>
          <cell r="F223">
            <v>370000</v>
          </cell>
          <cell r="G223">
            <v>42494</v>
          </cell>
        </row>
        <row r="224">
          <cell r="C224">
            <v>496</v>
          </cell>
          <cell r="D224" t="str">
            <v>Suministro E Instalacion De Enchape En Porcelana En Muro ( 0.20 X 0.20 Metros) Area De Meson</v>
          </cell>
          <cell r="E224" t="str">
            <v>M2</v>
          </cell>
          <cell r="F224">
            <v>24036</v>
          </cell>
          <cell r="G224">
            <v>40106</v>
          </cell>
        </row>
        <row r="225">
          <cell r="C225">
            <v>497</v>
          </cell>
          <cell r="D225" t="str">
            <v>Suministro E Instalacion De Tablero Principal Con Sus Tacos ( Segun Diseño)</v>
          </cell>
          <cell r="E225" t="str">
            <v>GL</v>
          </cell>
          <cell r="F225">
            <v>250000</v>
          </cell>
          <cell r="G225">
            <v>40046</v>
          </cell>
        </row>
        <row r="226">
          <cell r="C226">
            <v>498</v>
          </cell>
          <cell r="D226" t="str">
            <v>Publicaciones Y Vallas De 2.00 X 4.00 Metros, Incluye Instalacion Y Montaje</v>
          </cell>
          <cell r="E226" t="str">
            <v>UN</v>
          </cell>
          <cell r="F226">
            <v>500000</v>
          </cell>
          <cell r="G226">
            <v>40617</v>
          </cell>
        </row>
        <row r="227">
          <cell r="C227">
            <v>499</v>
          </cell>
          <cell r="D227" t="str">
            <v>Suministro E Instalacion De Calados</v>
          </cell>
          <cell r="E227" t="str">
            <v>GL</v>
          </cell>
          <cell r="F227">
            <v>120000</v>
          </cell>
          <cell r="G227">
            <v>40046</v>
          </cell>
        </row>
        <row r="228">
          <cell r="C228">
            <v>500</v>
          </cell>
          <cell r="D228" t="str">
            <v>Limpieza General Y Retiro De Material</v>
          </cell>
          <cell r="E228" t="str">
            <v>GL</v>
          </cell>
          <cell r="F228">
            <v>200000</v>
          </cell>
          <cell r="G228">
            <v>42466</v>
          </cell>
        </row>
        <row r="229">
          <cell r="C229">
            <v>501</v>
          </cell>
          <cell r="D229" t="str">
            <v>Desmonte De Muro De Drywall De Escalera, Desmonte De Cielo Raso A Altura Mayor De 3.00 Metros, Desmonte De Cubierta De Area De Escalera, Demolición De Cabezales En Columnas Del Tercer Piso, E Incluye Retiro De Material.</v>
          </cell>
          <cell r="E229" t="str">
            <v>GL</v>
          </cell>
          <cell r="F229">
            <v>2500000</v>
          </cell>
          <cell r="G229">
            <v>41934</v>
          </cell>
        </row>
        <row r="230">
          <cell r="C230">
            <v>502</v>
          </cell>
          <cell r="D230" t="str">
            <v>Estuco Plastico Y Pintura En Paredes</v>
          </cell>
          <cell r="E230" t="str">
            <v>M2</v>
          </cell>
          <cell r="F230">
            <v>18139.52</v>
          </cell>
          <cell r="G230">
            <v>41850</v>
          </cell>
        </row>
        <row r="231">
          <cell r="C231">
            <v>503</v>
          </cell>
          <cell r="D231" t="str">
            <v>Suministro E Instalacion De Meson De Cocina En Concreto De 2500 Psi, De 0.80 X 0.60 X .07 Metros, Lavaplatos En Granito De 0.50 X 0.40 Metros</v>
          </cell>
          <cell r="E231" t="str">
            <v>UN</v>
          </cell>
          <cell r="F231">
            <v>51486.43</v>
          </cell>
          <cell r="G231">
            <v>40106</v>
          </cell>
        </row>
        <row r="232">
          <cell r="C232">
            <v>504</v>
          </cell>
          <cell r="D232" t="str">
            <v>Sin Detalle</v>
          </cell>
          <cell r="E232" t="str">
            <v>UN</v>
          </cell>
          <cell r="F232">
            <v>0</v>
          </cell>
          <cell r="G232">
            <v>39874</v>
          </cell>
        </row>
        <row r="233">
          <cell r="C233">
            <v>505</v>
          </cell>
          <cell r="D233" t="str">
            <v>Suministro, Instalación, Montaje Y Funcionamiento De Las Obras Electricas En  Edificio Casa Vargas (Ver Relación Adjunta)</v>
          </cell>
          <cell r="E233" t="str">
            <v>UN</v>
          </cell>
          <cell r="F233">
            <v>160000000</v>
          </cell>
          <cell r="G233">
            <v>41120</v>
          </cell>
        </row>
        <row r="234">
          <cell r="C234">
            <v>506</v>
          </cell>
          <cell r="D234" t="str">
            <v>Capitulo - Obra Civil Caseta Eléctrica</v>
          </cell>
          <cell r="E234" t="str">
            <v>UN</v>
          </cell>
          <cell r="F234">
            <v>0</v>
          </cell>
          <cell r="G234">
            <v>41773</v>
          </cell>
        </row>
        <row r="235">
          <cell r="C235">
            <v>507</v>
          </cell>
          <cell r="D235" t="str">
            <v>Suministro E Instalación De Ventana En Madera, Incluye Marco, Pintura, Topes Bisagras  Y Pasadores ( Ver Diseño)</v>
          </cell>
          <cell r="E235" t="str">
            <v>M2</v>
          </cell>
          <cell r="F235">
            <v>450000</v>
          </cell>
          <cell r="G235">
            <v>41344</v>
          </cell>
        </row>
        <row r="236">
          <cell r="C236">
            <v>508</v>
          </cell>
          <cell r="D236" t="str">
            <v>Medición Y Regulación: Suministro E Instalación De 26 Medidores Elkro G4 Para Cada Uno De Los Servicios, Incluye Construcción De 32 Tableros Tg 3/4", 32 Rejilla, 4 Reguladores 1213B/1213B2, Según Especificaciones De Gases Del Caribe S.A. (Facturación Adjunta)</v>
          </cell>
          <cell r="E236" t="str">
            <v>GL</v>
          </cell>
          <cell r="F236">
            <v>8327638</v>
          </cell>
          <cell r="G236">
            <v>41145</v>
          </cell>
        </row>
        <row r="237">
          <cell r="C237">
            <v>509</v>
          </cell>
          <cell r="D237" t="str">
            <v>Suministro E Instalacion De Caja De 4 Circuitos</v>
          </cell>
          <cell r="E237" t="str">
            <v>UN</v>
          </cell>
          <cell r="F237">
            <v>34934.76</v>
          </cell>
          <cell r="G237">
            <v>40106</v>
          </cell>
        </row>
        <row r="238">
          <cell r="C238">
            <v>510</v>
          </cell>
          <cell r="D238" t="str">
            <v>Instalaciones Y Suministro Eléctrico Estación Rebombeo Aguas Residuales</v>
          </cell>
          <cell r="E238" t="str">
            <v>UN</v>
          </cell>
          <cell r="F238">
            <v>0</v>
          </cell>
          <cell r="G238">
            <v>41479</v>
          </cell>
        </row>
        <row r="239">
          <cell r="C239">
            <v>511</v>
          </cell>
          <cell r="D239" t="str">
            <v>Suministro E Instalacion De Lavaderos</v>
          </cell>
          <cell r="E239" t="str">
            <v>UN</v>
          </cell>
          <cell r="F239">
            <v>87400</v>
          </cell>
          <cell r="G239">
            <v>40106</v>
          </cell>
        </row>
        <row r="240">
          <cell r="C240">
            <v>512</v>
          </cell>
          <cell r="D240" t="str">
            <v>Suministro E Instalacion De Enchape Piso 0.20 X 0.20 Metros</v>
          </cell>
          <cell r="E240" t="str">
            <v>M2</v>
          </cell>
          <cell r="F240">
            <v>27772.42</v>
          </cell>
          <cell r="G240">
            <v>40106</v>
          </cell>
        </row>
        <row r="241">
          <cell r="C241">
            <v>513</v>
          </cell>
          <cell r="D241" t="str">
            <v>Suministro E Instalacion De Tres Varillas D= 5/8" , Longitud 1.80 Mts, En Cobre Legitimo, 3 Puntos De Soldadura De 115 Grs, 75 Gramos De Hidrosolta, 20 Mts De Alambre No. 4, Incluye Excavacion, Soldadura, Adecuacion De La Tierra Y Conexion Al Tablero</v>
          </cell>
          <cell r="E241" t="str">
            <v>GL</v>
          </cell>
          <cell r="F241">
            <v>974000</v>
          </cell>
          <cell r="G241">
            <v>39693</v>
          </cell>
        </row>
        <row r="242">
          <cell r="C242">
            <v>514</v>
          </cell>
          <cell r="D242" t="str">
            <v>Suministro E Instalación De Estructura Para Cubierta En Sistema Tipo Cercha Configurada Con Ipe Galvanizada Calibre 16 De 160 X 60 Mm, Soldadura 718, Pintura En Anticorrosivo Y Acabado, Longitud 20.00 X 1.80 Metros</v>
          </cell>
          <cell r="E242" t="str">
            <v>UN</v>
          </cell>
          <cell r="F242">
            <v>7500000</v>
          </cell>
          <cell r="G242">
            <v>41936</v>
          </cell>
        </row>
        <row r="243">
          <cell r="C243">
            <v>515</v>
          </cell>
          <cell r="D243" t="str">
            <v>Suministro E Instalacion De Tablero Acrilico, Con Porta Borrador De 2.20 X 1.20 Mts</v>
          </cell>
          <cell r="E243" t="str">
            <v>UN</v>
          </cell>
          <cell r="F243">
            <v>280000</v>
          </cell>
          <cell r="G243">
            <v>39693</v>
          </cell>
        </row>
        <row r="244">
          <cell r="C244">
            <v>516</v>
          </cell>
          <cell r="D244" t="str">
            <v>Capítulo - Redes Eléctricas</v>
          </cell>
          <cell r="E244" t="str">
            <v>SD</v>
          </cell>
          <cell r="F244">
            <v>0</v>
          </cell>
          <cell r="G244">
            <v>41554</v>
          </cell>
        </row>
        <row r="245">
          <cell r="C245">
            <v>517</v>
          </cell>
          <cell r="D245" t="str">
            <v>Desmonte De Instalaciones Eléctricas En Cualquier Material De La Salida Hasta El Tablero, Incluye Aislamiento, Retiro De Tubería Donde Sea Posible, Taponamiento De Salidas Y Adecuación De Circuitos En Tablero Y Retiro De Material</v>
          </cell>
          <cell r="E245" t="str">
            <v>GL</v>
          </cell>
          <cell r="F245">
            <v>450000</v>
          </cell>
          <cell r="G245">
            <v>41344</v>
          </cell>
        </row>
        <row r="246">
          <cell r="C246">
            <v>518</v>
          </cell>
          <cell r="D246" t="str">
            <v>Suministro E Instalacion De Estabilizadores Con Supresor De Pico De 1000 V.</v>
          </cell>
          <cell r="E246" t="str">
            <v>UN</v>
          </cell>
          <cell r="F246">
            <v>90000</v>
          </cell>
          <cell r="G246">
            <v>39693</v>
          </cell>
        </row>
        <row r="247">
          <cell r="C247">
            <v>519</v>
          </cell>
          <cell r="D247" t="str">
            <v>Suministro E Instalación De Puerta De Acceso En Vidrio Y Aluminio De 2.00 X 2.20 Metros Que Consta De Puerta Corrediza De Dos (2) Hojas En Vidrio Templado Incoloro De 10 Mm, Con Manija De Acero Inoxidable De 1000 Mm, Cerradura Central, Bisagra Overseas. También Está Compuesto Por Un Cuerpo Superior De Aluminio Con Pisavidrio Sistema 3831 Y Vidrio Crudo De 6 Mm, Incluye Sensor Para Abrirse Automáticamente.</v>
          </cell>
          <cell r="E247" t="str">
            <v>UN</v>
          </cell>
          <cell r="F247">
            <v>9338204</v>
          </cell>
          <cell r="G247">
            <v>41934</v>
          </cell>
        </row>
        <row r="248">
          <cell r="C248">
            <v>520</v>
          </cell>
          <cell r="D248" t="str">
            <v>Suministro E Instalacion De Extintor De Gas Solkaflam 123 De 3..700 Gramos, Incluye Gancho De Soporte</v>
          </cell>
          <cell r="E248" t="str">
            <v>UN</v>
          </cell>
          <cell r="F248">
            <v>197200</v>
          </cell>
          <cell r="G248">
            <v>39693</v>
          </cell>
        </row>
        <row r="249">
          <cell r="C249">
            <v>524</v>
          </cell>
          <cell r="D249" t="str">
            <v>Suministro E Instalación De Reja En Hierro Para Cielo Raso  En Varilla Cuadrada De 1/2"  Legitima, Incluye Pintura Anticorrosiva Y Esmalte</v>
          </cell>
          <cell r="E249" t="str">
            <v>M2</v>
          </cell>
          <cell r="F249">
            <v>156802.79999999999</v>
          </cell>
          <cell r="G249">
            <v>41666</v>
          </cell>
        </row>
        <row r="250">
          <cell r="C250">
            <v>525</v>
          </cell>
          <cell r="D250" t="str">
            <v>E - Suministro E Instalación De Tablero De Doce (12) Circuitos Incluye Tacos</v>
          </cell>
          <cell r="E250" t="str">
            <v>UN</v>
          </cell>
          <cell r="F250">
            <v>338878.33</v>
          </cell>
          <cell r="G250">
            <v>42472</v>
          </cell>
        </row>
        <row r="251">
          <cell r="C251">
            <v>526</v>
          </cell>
          <cell r="D251" t="str">
            <v>Suministro E Instalación De Gabinete Metálico De 42U De 0.60 X 1.00 Metro De Profundidad, Incluye Rack Para Equipo De Comunicaciones Y Multitoma Vertical De 6 Puestos, 3 Bandejas Porta Equipos, 2 Ventiladores Extractores De 4" De Uso Contínuo, 48 Patch Cords De 1.00 Metro, 6 Organizadores De Cable Horizontal Y Vertical Y 1 Switch De 24 Puestos Cat. 6, Puerta Delantera En Acrílico Y Trasera En Lámina Totalmente Desmontable</v>
          </cell>
          <cell r="E251" t="str">
            <v>UN</v>
          </cell>
          <cell r="F251">
            <v>13855980</v>
          </cell>
          <cell r="G251">
            <v>41936</v>
          </cell>
        </row>
        <row r="252">
          <cell r="C252">
            <v>527</v>
          </cell>
          <cell r="D252" t="str">
            <v>Divisiones Modulares De 2.50 Metros De Altura (Piso - Techo ), En Vidrio Templado De 8Mm, Consta De 14 Puertas ( 0.70 A 0.90 Metros  X  2.50 Metros</v>
          </cell>
          <cell r="E252" t="str">
            <v>M2</v>
          </cell>
          <cell r="F252">
            <v>575000</v>
          </cell>
          <cell r="G252">
            <v>42415</v>
          </cell>
        </row>
        <row r="253">
          <cell r="C253">
            <v>528</v>
          </cell>
          <cell r="D253" t="str">
            <v>Manejo De Aguas De Arroyos: Construir Diques O Barreras Para La Contencion Del Flujo O Escorrentía De Las Aguas, Utilizar Equipos Como Motobomba, Tuberia Pvc D = 6",  8" Y Cuadrilla De Obra</v>
          </cell>
          <cell r="E253" t="str">
            <v>DI</v>
          </cell>
          <cell r="F253">
            <v>55000</v>
          </cell>
          <cell r="G253">
            <v>40809</v>
          </cell>
        </row>
        <row r="254">
          <cell r="C254">
            <v>529</v>
          </cell>
          <cell r="D254" t="str">
            <v>Pintura De Esmalte Para Puerta En Madera Tipo Pintuco O Similar</v>
          </cell>
          <cell r="E254" t="str">
            <v>M2</v>
          </cell>
          <cell r="F254">
            <v>28919.86</v>
          </cell>
          <cell r="G254">
            <v>41680</v>
          </cell>
        </row>
        <row r="255">
          <cell r="C255">
            <v>531</v>
          </cell>
          <cell r="D255" t="str">
            <v>Suministro E Instalación De Reja En Varilla Cuadrada De 1/2"  Legitima, Incluye Pintura Anticorrosiva Y Esmalte</v>
          </cell>
          <cell r="E255" t="str">
            <v>M2</v>
          </cell>
          <cell r="F255">
            <v>145701.54999999999</v>
          </cell>
          <cell r="G255">
            <v>42472</v>
          </cell>
        </row>
        <row r="256">
          <cell r="C256">
            <v>532</v>
          </cell>
          <cell r="D256" t="str">
            <v>E - Salida De Tomacorriente Doble Con Puesta A Tierra, De 125V, Color Naranja</v>
          </cell>
          <cell r="E256" t="str">
            <v>UN</v>
          </cell>
          <cell r="F256">
            <v>80515.5</v>
          </cell>
          <cell r="G256">
            <v>42578</v>
          </cell>
        </row>
        <row r="257">
          <cell r="C257">
            <v>536</v>
          </cell>
          <cell r="D257" t="str">
            <v>E - Acometida Parcial Eléctrica Con Tubería Conduit Pvc  D = 1" , Alambrado Con Cable No.6</v>
          </cell>
          <cell r="E257" t="str">
            <v>ML</v>
          </cell>
          <cell r="F257">
            <v>37867.42</v>
          </cell>
          <cell r="G257">
            <v>42472</v>
          </cell>
        </row>
        <row r="258">
          <cell r="C258">
            <v>537</v>
          </cell>
          <cell r="D258" t="str">
            <v>E - Acometida Parcial Eléctrica Con Tubería Conduit Pvc D = 1" , Alambrado Con Cable No. 8</v>
          </cell>
          <cell r="E258" t="str">
            <v>ML</v>
          </cell>
          <cell r="F258">
            <v>28256.77</v>
          </cell>
          <cell r="G258">
            <v>41569</v>
          </cell>
        </row>
        <row r="259">
          <cell r="C259">
            <v>541</v>
          </cell>
          <cell r="D259" t="str">
            <v>Piso En Baldosa De Cemento De 0.20 X 0.20 Mts</v>
          </cell>
          <cell r="E259" t="str">
            <v>M2</v>
          </cell>
          <cell r="F259">
            <v>40088.910000000003</v>
          </cell>
          <cell r="G259">
            <v>41767</v>
          </cell>
        </row>
        <row r="260">
          <cell r="C260">
            <v>542</v>
          </cell>
          <cell r="D260" t="str">
            <v>Zócalo En Baldosa De Cemento</v>
          </cell>
          <cell r="E260" t="str">
            <v>ML</v>
          </cell>
          <cell r="F260">
            <v>7719.05</v>
          </cell>
          <cell r="G260">
            <v>41767</v>
          </cell>
        </row>
        <row r="261">
          <cell r="C261">
            <v>543</v>
          </cell>
          <cell r="D261" t="str">
            <v>Lavatrapero En Mampostería, Enchapado En Cerámica</v>
          </cell>
          <cell r="E261" t="str">
            <v>UN</v>
          </cell>
          <cell r="F261">
            <v>100000</v>
          </cell>
          <cell r="G261">
            <v>41381</v>
          </cell>
        </row>
        <row r="262">
          <cell r="C262">
            <v>544</v>
          </cell>
          <cell r="D262" t="str">
            <v>Filete O Juntas De Muro Con Mortero 1:4</v>
          </cell>
          <cell r="E262" t="str">
            <v>ML</v>
          </cell>
          <cell r="F262">
            <v>9974.3700000000008</v>
          </cell>
          <cell r="G262">
            <v>42538</v>
          </cell>
        </row>
        <row r="263">
          <cell r="C263">
            <v>545</v>
          </cell>
          <cell r="D263" t="str">
            <v>Suministro E Instalación De Planta De Emergencia Tipo Stand By De 12 Kw 460 V  Ac 3 Fases 60 Hz Con Tanque De Combustible Y Cabina Insonora Tipo Intemperie Ip 68</v>
          </cell>
          <cell r="E263" t="str">
            <v>UN</v>
          </cell>
          <cell r="F263">
            <v>14560890</v>
          </cell>
          <cell r="G263">
            <v>41480</v>
          </cell>
        </row>
        <row r="264">
          <cell r="C264">
            <v>546</v>
          </cell>
          <cell r="D264" t="str">
            <v>Suministro E Instalación De Ventana Proyectante En Aluminio Blanco Con Vidrio Azul De Seguridad De 6 Mm, Cierre Archivo Doble Y Sellamiento Perimetral En Silicona. Módulo De 2.20 X 2.70 Metros, Fijos En Perfilería De 3" X 1 1/2", Incluye Ventana Tipo Proyectante Con Brazos Escualizables En Acero. El Vidrio De 6 Mm Templado Instalado Tipo Flotante</v>
          </cell>
          <cell r="E264" t="str">
            <v>M2</v>
          </cell>
          <cell r="F264">
            <v>1100000</v>
          </cell>
          <cell r="G264">
            <v>41934</v>
          </cell>
        </row>
        <row r="265">
          <cell r="C265">
            <v>547</v>
          </cell>
          <cell r="D265" t="str">
            <v>Suministro E Instalación De Cerradura De Bola Para Baño</v>
          </cell>
          <cell r="E265" t="str">
            <v>UN</v>
          </cell>
          <cell r="F265">
            <v>65438.33</v>
          </cell>
          <cell r="G265">
            <v>41697</v>
          </cell>
        </row>
        <row r="266">
          <cell r="C266">
            <v>548</v>
          </cell>
          <cell r="D266" t="str">
            <v>Socializacion De Proyectos De Obras De  Infraestructura</v>
          </cell>
          <cell r="E266" t="str">
            <v>ME</v>
          </cell>
          <cell r="F266">
            <v>1000000</v>
          </cell>
          <cell r="G266">
            <v>40616</v>
          </cell>
        </row>
        <row r="267">
          <cell r="C267">
            <v>549</v>
          </cell>
          <cell r="D267" t="str">
            <v>Base Suelo Cemento 1:20, Compactado E = 0.20 Mts</v>
          </cell>
          <cell r="E267" t="str">
            <v>M2</v>
          </cell>
          <cell r="F267">
            <v>33057.85</v>
          </cell>
          <cell r="G267">
            <v>42517</v>
          </cell>
        </row>
        <row r="268">
          <cell r="C268">
            <v>551</v>
          </cell>
          <cell r="D268" t="str">
            <v>Pavimento En Concreto Rígido 4000 Psi E = 0.20 Mts, Pasadores D = 1" - Longitud 0.35 Metros A Cada 0.30 Metros Y D =  1/2" Longitud 0.85 Metros  A Cada 1.20 Metros  , Junta Y Antisol</v>
          </cell>
          <cell r="E268" t="str">
            <v>M2</v>
          </cell>
          <cell r="F268">
            <v>139804.29999999999</v>
          </cell>
          <cell r="G268">
            <v>42493</v>
          </cell>
        </row>
        <row r="269">
          <cell r="C269">
            <v>552</v>
          </cell>
          <cell r="D269" t="str">
            <v>Bordillo En Concreto De 3000 Psi De 0.15 X 0.40 Mts</v>
          </cell>
          <cell r="E269" t="str">
            <v>ML</v>
          </cell>
          <cell r="F269">
            <v>59103.1</v>
          </cell>
          <cell r="G269">
            <v>42517</v>
          </cell>
        </row>
        <row r="270">
          <cell r="C270">
            <v>553</v>
          </cell>
          <cell r="D270" t="str">
            <v>Corte Y Perfilado De Pavimento Con Disco De Diamante</v>
          </cell>
          <cell r="E270" t="str">
            <v>ML</v>
          </cell>
          <cell r="F270">
            <v>8524</v>
          </cell>
          <cell r="G270">
            <v>41565</v>
          </cell>
        </row>
        <row r="271">
          <cell r="C271">
            <v>556</v>
          </cell>
          <cell r="D271" t="str">
            <v>Demolición De Pavimento Y Retiro De Material</v>
          </cell>
          <cell r="E271" t="str">
            <v>M2</v>
          </cell>
          <cell r="F271">
            <v>18364.43</v>
          </cell>
          <cell r="G271">
            <v>42524</v>
          </cell>
        </row>
        <row r="272">
          <cell r="C272">
            <v>557</v>
          </cell>
          <cell r="D272" t="str">
            <v>Demolición De Bordillo Y Retiro De Material</v>
          </cell>
          <cell r="E272" t="str">
            <v>ML</v>
          </cell>
          <cell r="F272">
            <v>5870</v>
          </cell>
          <cell r="G272">
            <v>42524</v>
          </cell>
        </row>
        <row r="273">
          <cell r="C273">
            <v>558</v>
          </cell>
          <cell r="D273" t="str">
            <v>Placa Aligerada En Metaldeck, Flotante Apoyada En Piezas Mensulares Y De Espesor 0.20 Metros (Ver Diseño Y Especificaciones)</v>
          </cell>
          <cell r="E273" t="str">
            <v>M2</v>
          </cell>
          <cell r="F273">
            <v>125010.37</v>
          </cell>
          <cell r="G273">
            <v>42415</v>
          </cell>
        </row>
        <row r="274">
          <cell r="C274">
            <v>560</v>
          </cell>
          <cell r="D274" t="str">
            <v>Baranda De Protección En Tubería Galvanizada D = 2" , Calibre 1/8" , Incluye Pintura, Altura 1.00 Mts Parales A Cada 1.20 Mts</v>
          </cell>
          <cell r="E274" t="str">
            <v>ML</v>
          </cell>
          <cell r="F274">
            <v>115848.33</v>
          </cell>
          <cell r="G274">
            <v>41026</v>
          </cell>
        </row>
        <row r="275">
          <cell r="C275">
            <v>565</v>
          </cell>
          <cell r="D275" t="str">
            <v>Pintura De Esmalte Para Reja Tipo  Pintuco O Similar</v>
          </cell>
          <cell r="E275" t="str">
            <v>M2</v>
          </cell>
          <cell r="F275">
            <v>19779.14</v>
          </cell>
          <cell r="G275">
            <v>42472</v>
          </cell>
        </row>
        <row r="276">
          <cell r="C276">
            <v>566</v>
          </cell>
          <cell r="D276" t="str">
            <v>Traslado De Manejadoras De Aire Acondicionado, Ubicadas En La Cubierta, Hacia La Losa De La Zona De Evidencias, Incluye Sistema Mecánico De Montaje, A Una Altura Superior A Los 7.00 Metros</v>
          </cell>
          <cell r="E276" t="str">
            <v>GL</v>
          </cell>
          <cell r="F276">
            <v>4500000</v>
          </cell>
          <cell r="G276">
            <v>41934</v>
          </cell>
        </row>
        <row r="277">
          <cell r="C277">
            <v>568</v>
          </cell>
          <cell r="D277" t="str">
            <v>Pago Derechos De Conexion Con La Presentación De La Factura Cancelada Ante Electricaribe</v>
          </cell>
          <cell r="E277" t="str">
            <v>GL</v>
          </cell>
          <cell r="F277">
            <v>542419</v>
          </cell>
          <cell r="G277">
            <v>42558</v>
          </cell>
        </row>
        <row r="278">
          <cell r="C278">
            <v>569</v>
          </cell>
          <cell r="D278" t="str">
            <v>Suministro E Instalacion De Bancas Segun Modelo Existente En El Sitio</v>
          </cell>
          <cell r="E278" t="str">
            <v>UN</v>
          </cell>
          <cell r="F278">
            <v>300000</v>
          </cell>
          <cell r="G278">
            <v>40374</v>
          </cell>
        </row>
        <row r="279">
          <cell r="C279">
            <v>574</v>
          </cell>
          <cell r="D279" t="str">
            <v>Pintura De Esmalte Sobre Muro Tipo Pintuco O Similar</v>
          </cell>
          <cell r="E279" t="str">
            <v>M2</v>
          </cell>
          <cell r="F279">
            <v>17676.91</v>
          </cell>
          <cell r="G279">
            <v>42496</v>
          </cell>
        </row>
        <row r="280">
          <cell r="C280">
            <v>575</v>
          </cell>
          <cell r="D280" t="str">
            <v>Pintura En Esmalte Sobre Zócalo</v>
          </cell>
          <cell r="E280" t="str">
            <v>ML</v>
          </cell>
          <cell r="F280">
            <v>6626.28</v>
          </cell>
          <cell r="G280">
            <v>42496</v>
          </cell>
        </row>
        <row r="281">
          <cell r="C281">
            <v>576</v>
          </cell>
          <cell r="D281" t="str">
            <v>Demolición De Cimiento, Viga, Pedestal Y Columna En Concreto Reforzado Ancho &gt; 0.30 Metros Y Retiro De Material</v>
          </cell>
          <cell r="E281" t="str">
            <v>ML</v>
          </cell>
          <cell r="F281">
            <v>22417.75</v>
          </cell>
          <cell r="G281">
            <v>41927</v>
          </cell>
        </row>
        <row r="282">
          <cell r="C282">
            <v>577</v>
          </cell>
          <cell r="D282" t="str">
            <v>Mantenimiento Y Reparación De Bolardos Metálicos.</v>
          </cell>
          <cell r="E282" t="str">
            <v>UN</v>
          </cell>
          <cell r="F282">
            <v>30000</v>
          </cell>
          <cell r="G282">
            <v>42090</v>
          </cell>
        </row>
        <row r="283">
          <cell r="C283">
            <v>578</v>
          </cell>
          <cell r="D283" t="str">
            <v>Demoliciones Generales Y Retiro De Material</v>
          </cell>
          <cell r="E283" t="str">
            <v>GL</v>
          </cell>
          <cell r="F283">
            <v>250000</v>
          </cell>
          <cell r="G283">
            <v>42578</v>
          </cell>
        </row>
        <row r="284">
          <cell r="C284">
            <v>579</v>
          </cell>
          <cell r="D284" t="str">
            <v>Revision General Y Mantenimiento De Puntos Electricos</v>
          </cell>
          <cell r="E284" t="str">
            <v>GL</v>
          </cell>
          <cell r="F284">
            <v>450000</v>
          </cell>
          <cell r="G284">
            <v>40366</v>
          </cell>
        </row>
        <row r="285">
          <cell r="C285">
            <v>580</v>
          </cell>
          <cell r="D285" t="str">
            <v>Tapa Para Canal Pluvial En Concreto Reforzado De 3000 Psi, E = 0.10 Mts</v>
          </cell>
          <cell r="E285" t="str">
            <v>M2</v>
          </cell>
          <cell r="F285">
            <v>65000</v>
          </cell>
          <cell r="G285">
            <v>39701</v>
          </cell>
        </row>
        <row r="286">
          <cell r="C286">
            <v>581</v>
          </cell>
          <cell r="D286" t="str">
            <v>Zócalo En Granito Pulido Tipo Media Caña</v>
          </cell>
          <cell r="E286" t="str">
            <v>ML</v>
          </cell>
          <cell r="F286">
            <v>24496.25</v>
          </cell>
          <cell r="G286">
            <v>42241</v>
          </cell>
        </row>
        <row r="287">
          <cell r="C287">
            <v>585</v>
          </cell>
          <cell r="D287" t="str">
            <v>Suministro E Instalación De Cubierta En Teja Canaleta 43, Incluye Fijador, Gancho Y Sellador</v>
          </cell>
          <cell r="E287" t="str">
            <v>M2</v>
          </cell>
          <cell r="F287">
            <v>117820.04</v>
          </cell>
          <cell r="G287">
            <v>41067</v>
          </cell>
        </row>
        <row r="288">
          <cell r="C288">
            <v>590</v>
          </cell>
          <cell r="D288" t="str">
            <v>Reinstalación De Cubierta En Teja Canaleta 43 Incluye Tornillo De Fijación Y Ganchos</v>
          </cell>
          <cell r="E288" t="str">
            <v>M2</v>
          </cell>
          <cell r="F288">
            <v>18634.5</v>
          </cell>
          <cell r="G288">
            <v>41067</v>
          </cell>
        </row>
        <row r="289">
          <cell r="C289">
            <v>594</v>
          </cell>
          <cell r="D289" t="str">
            <v>Levante De Muro Sencillo En Ladrillo Comun, Mortero De Pega 1:4</v>
          </cell>
          <cell r="E289" t="str">
            <v>M2</v>
          </cell>
          <cell r="F289">
            <v>48292.88</v>
          </cell>
          <cell r="G289">
            <v>41927</v>
          </cell>
        </row>
        <row r="290">
          <cell r="C290">
            <v>595</v>
          </cell>
          <cell r="D290" t="str">
            <v>Levante De Muro Doble En Ladrillo Común</v>
          </cell>
          <cell r="E290" t="str">
            <v>M2</v>
          </cell>
          <cell r="F290">
            <v>96468.67</v>
          </cell>
          <cell r="G290">
            <v>41017</v>
          </cell>
        </row>
        <row r="291">
          <cell r="C291">
            <v>604</v>
          </cell>
          <cell r="D291" t="str">
            <v>Suministro E Instalación De Cielo Raso En Drywall</v>
          </cell>
          <cell r="E291" t="str">
            <v>M2</v>
          </cell>
          <cell r="F291">
            <v>44461.73</v>
          </cell>
          <cell r="G291">
            <v>42572</v>
          </cell>
        </row>
        <row r="292">
          <cell r="C292">
            <v>607</v>
          </cell>
          <cell r="D292" t="str">
            <v>Suministro E Instalación De Muro En Drywall Por Una Cara</v>
          </cell>
          <cell r="E292" t="str">
            <v>M2</v>
          </cell>
          <cell r="F292">
            <v>44340.44</v>
          </cell>
          <cell r="G292">
            <v>41347</v>
          </cell>
        </row>
        <row r="293">
          <cell r="C293">
            <v>613</v>
          </cell>
          <cell r="D293" t="str">
            <v>Pavimento En Concreto Rígido 3000 Psi E = 0.15 Mts, Pasadores D = 3/4" - Longitud 0.35 Metros A Cada 0.30 Metros Y D = 1/2" - Longitud 0.85 Metros A Cada 1.20 Metros, Junta Y Antisol</v>
          </cell>
          <cell r="E293" t="str">
            <v>M2</v>
          </cell>
          <cell r="F293">
            <v>95451.22</v>
          </cell>
          <cell r="G293">
            <v>42493</v>
          </cell>
        </row>
        <row r="294">
          <cell r="C294">
            <v>614</v>
          </cell>
          <cell r="D294" t="str">
            <v>Cuneta Bordillo En Concreto De 3000 Psi  Reforzado, De 0.40 + 0.50 + 0.15 Mts, E=0.10 Mts</v>
          </cell>
          <cell r="E294" t="str">
            <v>ML</v>
          </cell>
          <cell r="F294">
            <v>75531.56</v>
          </cell>
          <cell r="G294">
            <v>42241</v>
          </cell>
        </row>
        <row r="295">
          <cell r="C295">
            <v>615</v>
          </cell>
          <cell r="D295" t="str">
            <v>Suministro E Instalacion De Enchape Pared 0.20 X 0.20 Metros</v>
          </cell>
          <cell r="E295" t="str">
            <v>M2</v>
          </cell>
          <cell r="F295">
            <v>24036</v>
          </cell>
          <cell r="G295">
            <v>40106</v>
          </cell>
        </row>
        <row r="296">
          <cell r="C296">
            <v>616</v>
          </cell>
          <cell r="D296" t="str">
            <v>Suministro E Instalación De Muro En Sistema Drywall En Superboard, El Cual Consta De Estructura Convencional Para El Anclaje De Lámina, Pero También Consta De Tubería Y Ángulos Galvanizados, Los Cuales Servirán De Soporte De Monitores De 55", Colocados En Anclajes Por La Parte Frontal De Este Muro Falso (25.00 X 4.00 Metros (Ver Diseño Y Especificaciones)</v>
          </cell>
          <cell r="E296" t="str">
            <v>UN</v>
          </cell>
          <cell r="F296">
            <v>130000</v>
          </cell>
          <cell r="G296">
            <v>42415</v>
          </cell>
        </row>
        <row r="297">
          <cell r="C297">
            <v>617</v>
          </cell>
          <cell r="D297" t="str">
            <v>Revision General De Colectores O Bajantes De Aguas Lluvias</v>
          </cell>
          <cell r="E297" t="str">
            <v>GL</v>
          </cell>
          <cell r="F297">
            <v>350000</v>
          </cell>
          <cell r="G297">
            <v>40414</v>
          </cell>
        </row>
        <row r="298">
          <cell r="C298">
            <v>618</v>
          </cell>
          <cell r="D298" t="str">
            <v>Limpieza General Y Retiro De Material</v>
          </cell>
          <cell r="E298" t="str">
            <v>GL</v>
          </cell>
          <cell r="F298">
            <v>250000</v>
          </cell>
          <cell r="G298">
            <v>42466</v>
          </cell>
        </row>
        <row r="299">
          <cell r="C299">
            <v>619</v>
          </cell>
          <cell r="D299" t="str">
            <v>Suministro E Instalacion De Puertas En Madera De Persianas, Especial Para Salon   De 2.30 X 2.00 Metros, Incluye Herraje E Instalacion, Segun Diseño</v>
          </cell>
          <cell r="E299" t="str">
            <v>UN</v>
          </cell>
          <cell r="F299">
            <v>500000</v>
          </cell>
          <cell r="G299">
            <v>40115</v>
          </cell>
        </row>
        <row r="300">
          <cell r="C300">
            <v>620</v>
          </cell>
          <cell r="D300" t="str">
            <v>Pintura Para Muro En Carburo A Tres Manos</v>
          </cell>
          <cell r="E300" t="str">
            <v>M2</v>
          </cell>
          <cell r="F300">
            <v>4721.2299999999996</v>
          </cell>
          <cell r="G300">
            <v>41569</v>
          </cell>
        </row>
        <row r="301">
          <cell r="C301">
            <v>621</v>
          </cell>
          <cell r="D301" t="str">
            <v>Suministro E Instalación De Transformador Trifásico De 10 Kva Sumergido En Aceite - 13200 / 460 - 265 Vac Dyn5, Para Instalación De Poste</v>
          </cell>
          <cell r="E301" t="str">
            <v>UN</v>
          </cell>
          <cell r="F301">
            <v>4350000</v>
          </cell>
          <cell r="G301">
            <v>41480</v>
          </cell>
        </row>
        <row r="302">
          <cell r="C302">
            <v>624</v>
          </cell>
          <cell r="D302" t="str">
            <v>Sello Arena Asfalto Rc 250 Con Imprimación Fuel Oil</v>
          </cell>
          <cell r="E302" t="str">
            <v>M2</v>
          </cell>
          <cell r="F302">
            <v>7085.35</v>
          </cell>
          <cell r="G302">
            <v>41038</v>
          </cell>
        </row>
        <row r="303">
          <cell r="C303">
            <v>626</v>
          </cell>
          <cell r="D303" t="str">
            <v>Señalizacion General</v>
          </cell>
          <cell r="E303" t="str">
            <v>GL</v>
          </cell>
          <cell r="F303">
            <v>400000</v>
          </cell>
          <cell r="G303">
            <v>40101</v>
          </cell>
        </row>
        <row r="304">
          <cell r="C304">
            <v>627</v>
          </cell>
          <cell r="D304" t="str">
            <v>Zocalo Recto P5 De 0.07 Mts</v>
          </cell>
          <cell r="E304" t="str">
            <v>ML</v>
          </cell>
          <cell r="F304">
            <v>13356.91</v>
          </cell>
          <cell r="G304">
            <v>39728</v>
          </cell>
        </row>
        <row r="305">
          <cell r="C305">
            <v>628</v>
          </cell>
          <cell r="D305" t="str">
            <v>Suministro De Jardín, Plantas Y Cesped, Incluye Tierra Negra Tratada Y Abonada (Ver Diseño)</v>
          </cell>
          <cell r="E305" t="str">
            <v>M2</v>
          </cell>
          <cell r="F305">
            <v>88725</v>
          </cell>
          <cell r="G305">
            <v>41345</v>
          </cell>
        </row>
        <row r="306">
          <cell r="C306">
            <v>629</v>
          </cell>
          <cell r="D306" t="str">
            <v>Suministro E Instalacion De Salida De Interruptor De Luz Sencilla - Incluye Caja De 2 X 4</v>
          </cell>
          <cell r="E306" t="str">
            <v>UN</v>
          </cell>
          <cell r="F306">
            <v>29248.33</v>
          </cell>
          <cell r="G306">
            <v>40106</v>
          </cell>
        </row>
        <row r="307">
          <cell r="C307">
            <v>630</v>
          </cell>
          <cell r="D307" t="str">
            <v>Suministro E Instalación De Wind Metálico</v>
          </cell>
          <cell r="E307" t="str">
            <v>ML</v>
          </cell>
          <cell r="F307">
            <v>10000</v>
          </cell>
          <cell r="G307">
            <v>41381</v>
          </cell>
        </row>
        <row r="308">
          <cell r="C308">
            <v>631</v>
          </cell>
          <cell r="D308" t="str">
            <v>Pintura Decorativa Y Protectora Para Mampostería Tipo Sika Color C O Similar, Color Gris, A Tres  Manos (Según Planos Y Especificaciones De Diseño)</v>
          </cell>
          <cell r="E308" t="str">
            <v>M2</v>
          </cell>
          <cell r="F308">
            <v>6900</v>
          </cell>
          <cell r="G308">
            <v>41479</v>
          </cell>
        </row>
        <row r="309">
          <cell r="C309">
            <v>632</v>
          </cell>
          <cell r="D309" t="str">
            <v>Capitulo - Obras Civiles Muro De Cerramiento</v>
          </cell>
          <cell r="E309" t="str">
            <v>UN</v>
          </cell>
          <cell r="F309">
            <v>0</v>
          </cell>
          <cell r="G309">
            <v>41773</v>
          </cell>
        </row>
        <row r="310">
          <cell r="C310">
            <v>633</v>
          </cell>
          <cell r="D310" t="str">
            <v>Jardines Verticales, Incluye Suministro E Instalación De Ladrillo Hueco, Relleno En Tierra Abonada Y/O Enchape En Piedra Coralina (Ver Diseño)</v>
          </cell>
          <cell r="E310" t="str">
            <v>M2</v>
          </cell>
          <cell r="F310">
            <v>86520</v>
          </cell>
          <cell r="G310">
            <v>41345</v>
          </cell>
        </row>
        <row r="311">
          <cell r="C311">
            <v>634</v>
          </cell>
          <cell r="D311" t="str">
            <v>Carpeta Asfáltica</v>
          </cell>
          <cell r="E311" t="str">
            <v>M3</v>
          </cell>
          <cell r="F311">
            <v>655260.42000000004</v>
          </cell>
          <cell r="G311">
            <v>42552</v>
          </cell>
        </row>
        <row r="312">
          <cell r="C312">
            <v>636</v>
          </cell>
          <cell r="D312" t="str">
            <v>Imprimación En Asfalto Líquido Mc 70</v>
          </cell>
          <cell r="E312" t="str">
            <v>M2</v>
          </cell>
          <cell r="F312">
            <v>5159.55</v>
          </cell>
          <cell r="G312">
            <v>41037</v>
          </cell>
        </row>
        <row r="313">
          <cell r="C313">
            <v>637</v>
          </cell>
          <cell r="D313" t="str">
            <v>Parrilla De Hierro De 1/2"  A Cada 0.20 Mts En Ambos Sentidos.</v>
          </cell>
          <cell r="E313" t="str">
            <v>M2</v>
          </cell>
          <cell r="F313">
            <v>42084.95</v>
          </cell>
          <cell r="G313">
            <v>41383</v>
          </cell>
        </row>
        <row r="314">
          <cell r="C314">
            <v>639</v>
          </cell>
          <cell r="D314" t="str">
            <v>Colocación De Malla Electrosoldada D = 4 Mm Con Separación De 0.15 Mts</v>
          </cell>
          <cell r="E314" t="str">
            <v>M2</v>
          </cell>
          <cell r="F314">
            <v>8281.25</v>
          </cell>
          <cell r="G314">
            <v>42552</v>
          </cell>
        </row>
        <row r="315">
          <cell r="C315">
            <v>644</v>
          </cell>
          <cell r="D315" t="str">
            <v>Suministro E Instalacion De Tuberia De Alcantarillado Durafort O Similar De D = 4"  - 110 Mm</v>
          </cell>
          <cell r="E315" t="str">
            <v>ML</v>
          </cell>
          <cell r="F315">
            <v>38320.44</v>
          </cell>
          <cell r="G315">
            <v>42195</v>
          </cell>
        </row>
        <row r="316">
          <cell r="C316">
            <v>645</v>
          </cell>
          <cell r="D316" t="str">
            <v>Suministro E Instalación De Tubería De Alcantarillado Durafort O Similar D = 6"  - 160 Mm</v>
          </cell>
          <cell r="E316" t="str">
            <v>ML</v>
          </cell>
          <cell r="F316">
            <v>48847.95</v>
          </cell>
          <cell r="G316">
            <v>42195</v>
          </cell>
        </row>
        <row r="317">
          <cell r="C317">
            <v>646</v>
          </cell>
          <cell r="D317" t="str">
            <v>Suministro E Instalación De Tubería De Alcantarillado Durafort O Similar D = 8"  - 200 Mm</v>
          </cell>
          <cell r="E317" t="str">
            <v>ML</v>
          </cell>
          <cell r="F317">
            <v>68452.95</v>
          </cell>
          <cell r="G317">
            <v>42415</v>
          </cell>
        </row>
        <row r="318">
          <cell r="C318">
            <v>647</v>
          </cell>
          <cell r="D318" t="str">
            <v>Pintura Exterior En Vinilo Tipo Coraza, Sobre Muro, A Dos Manos</v>
          </cell>
          <cell r="E318" t="str">
            <v>M2</v>
          </cell>
          <cell r="F318">
            <v>14777.94</v>
          </cell>
          <cell r="G318">
            <v>42538</v>
          </cell>
        </row>
        <row r="319">
          <cell r="C319">
            <v>648</v>
          </cell>
          <cell r="D319" t="str">
            <v>Columna En Concreto De 3000 Psi, De 0.25 X 0.20 Mts, Incluye Acero De Refuerzo 4 Varilla De 1/2" , Estribos De 3/8"  A Cada 0.20 Mts</v>
          </cell>
          <cell r="E319" t="str">
            <v>ML</v>
          </cell>
          <cell r="F319">
            <v>64761.54</v>
          </cell>
          <cell r="G319">
            <v>42496</v>
          </cell>
        </row>
        <row r="320">
          <cell r="C320">
            <v>649</v>
          </cell>
          <cell r="D320" t="str">
            <v>Viga En Concreto De 3000 Psi De 0.30 X 0.20 Mts, Incluye 4 Varillas D = 1/2" , Estribos D = 3/8"  A Cada 0.20 Mts</v>
          </cell>
          <cell r="E320" t="str">
            <v>ML</v>
          </cell>
          <cell r="F320">
            <v>61072.89</v>
          </cell>
          <cell r="G320">
            <v>41135</v>
          </cell>
        </row>
        <row r="321">
          <cell r="C321">
            <v>650</v>
          </cell>
          <cell r="D321" t="str">
            <v>Suministro E Instalacion De Combo: Sanitario, Lavamanos Y Accesorios</v>
          </cell>
          <cell r="E321" t="str">
            <v>UN</v>
          </cell>
          <cell r="F321">
            <v>252203.36</v>
          </cell>
          <cell r="G321">
            <v>40106</v>
          </cell>
        </row>
        <row r="322">
          <cell r="C322">
            <v>661</v>
          </cell>
          <cell r="D322" t="str">
            <v>Viga Corona En Concreto Fc = 3000 Psi, De 0.15 X 0.12 Mts, Incluye Acero De Refuerzo 2 D = 1/2"  Estribos De 3/8"  A Cada 0.15 Mts</v>
          </cell>
          <cell r="E322" t="str">
            <v>ML</v>
          </cell>
          <cell r="F322">
            <v>46380.25</v>
          </cell>
          <cell r="G322">
            <v>42314</v>
          </cell>
        </row>
        <row r="323">
          <cell r="C323">
            <v>662</v>
          </cell>
          <cell r="D323" t="str">
            <v>Columnas En Concreto De 3000 Psi, De 0.15 X 0.25 Mts, Incluye Acero De Refuerzo 3 Varillas D = 1/2" , Estribos D = 3/8" , A Cada 0.20 Mts</v>
          </cell>
          <cell r="E323" t="str">
            <v>M3</v>
          </cell>
          <cell r="F323">
            <v>1250121.04</v>
          </cell>
          <cell r="G323">
            <v>41016</v>
          </cell>
        </row>
        <row r="324">
          <cell r="C324">
            <v>663</v>
          </cell>
          <cell r="D324" t="str">
            <v>Zona De Plazoleta Principal</v>
          </cell>
          <cell r="E324" t="str">
            <v>UN</v>
          </cell>
          <cell r="F324">
            <v>0</v>
          </cell>
          <cell r="G324">
            <v>40297</v>
          </cell>
        </row>
        <row r="325">
          <cell r="C325">
            <v>664</v>
          </cell>
          <cell r="D325" t="str">
            <v>E - Suministro E Instalación De Tablero De Ocho (8) Circuitos, Incluye Tacos</v>
          </cell>
          <cell r="E325" t="str">
            <v>UN</v>
          </cell>
          <cell r="F325">
            <v>220678.33</v>
          </cell>
          <cell r="G325">
            <v>41569</v>
          </cell>
        </row>
        <row r="326">
          <cell r="C326">
            <v>665</v>
          </cell>
          <cell r="D326" t="str">
            <v>Suministro E Instalación De Puerta 2.00 X 1.00, 0.90, 0.80, 0.70 Metros, Incluye Bisagra, Marco En Madera, Cerradura De Seguridad Doble Vuelta.</v>
          </cell>
          <cell r="E326" t="str">
            <v>UN</v>
          </cell>
          <cell r="F326">
            <v>311178.33</v>
          </cell>
          <cell r="G326">
            <v>42472</v>
          </cell>
        </row>
        <row r="327">
          <cell r="C327">
            <v>666</v>
          </cell>
          <cell r="D327" t="str">
            <v>Suministro E Instalación De Puerta De 2.00 X 1.20 Mts Y Marco En Madera, Incluye Bisagras, Cerradura De Seguridad De Doble Vuelta</v>
          </cell>
          <cell r="E327" t="str">
            <v>UN</v>
          </cell>
          <cell r="F327">
            <v>345218.33</v>
          </cell>
          <cell r="G327">
            <v>42102</v>
          </cell>
        </row>
        <row r="328">
          <cell r="C328">
            <v>667</v>
          </cell>
          <cell r="D328" t="str">
            <v>Solado En Concreto De F'C = 2500 Psi De 0.05 Mts</v>
          </cell>
          <cell r="E328" t="str">
            <v>M2</v>
          </cell>
          <cell r="F328">
            <v>33163.94</v>
          </cell>
          <cell r="G328">
            <v>42572</v>
          </cell>
        </row>
        <row r="329">
          <cell r="C329">
            <v>670</v>
          </cell>
          <cell r="D329" t="str">
            <v>Suministro E Instalación De Tubería De Agua Potable En Pvc De 3/4"</v>
          </cell>
          <cell r="E329" t="str">
            <v>ML</v>
          </cell>
          <cell r="F329">
            <v>18414.169999999998</v>
          </cell>
          <cell r="G329">
            <v>42578</v>
          </cell>
        </row>
        <row r="330">
          <cell r="C330">
            <v>671</v>
          </cell>
          <cell r="D330" t="str">
            <v>Suministro E Instalación De Puerta En Madera En 2.00 X 0.70, 0.80, 0.90 Metros, Incluye Bisagra Y Marco De Madera</v>
          </cell>
          <cell r="E330" t="str">
            <v>UN</v>
          </cell>
          <cell r="F330">
            <v>253578.33</v>
          </cell>
          <cell r="G330">
            <v>41717</v>
          </cell>
        </row>
        <row r="331">
          <cell r="C331">
            <v>673</v>
          </cell>
          <cell r="D331" t="str">
            <v>Suministro E Instalación De Puerta En Madera De 0.70 X 1.50 Mts, Incluye Bisagras, Cerradura Y Marco</v>
          </cell>
          <cell r="E331" t="str">
            <v>UN</v>
          </cell>
          <cell r="F331">
            <v>258613.33</v>
          </cell>
          <cell r="G331">
            <v>41068</v>
          </cell>
        </row>
        <row r="332">
          <cell r="C332">
            <v>674</v>
          </cell>
          <cell r="D332" t="str">
            <v>Limpieza General Y Retiro De Material</v>
          </cell>
          <cell r="E332" t="str">
            <v>GL</v>
          </cell>
          <cell r="F332">
            <v>150000</v>
          </cell>
          <cell r="G332">
            <v>42466</v>
          </cell>
        </row>
        <row r="333">
          <cell r="C333">
            <v>675</v>
          </cell>
          <cell r="D333" t="str">
            <v>Zócalo En Baldosa De Gres Tipo Alfa De 0.07 X 0.20 Mts</v>
          </cell>
          <cell r="E333" t="str">
            <v>ML</v>
          </cell>
          <cell r="F333">
            <v>16434.05</v>
          </cell>
          <cell r="G333">
            <v>41075</v>
          </cell>
        </row>
        <row r="334">
          <cell r="C334">
            <v>676</v>
          </cell>
          <cell r="D334" t="str">
            <v>Columnas En Concreto De Fc=3000 Psi, De 0.30 X 0.30, Incluye Acero De Refuerzo 4 Varilla D = 1/2"  Y Estribos D = 3/8"  A Cada 0.20 Mts</v>
          </cell>
          <cell r="E334" t="str">
            <v>M3</v>
          </cell>
          <cell r="F334">
            <v>883743.73</v>
          </cell>
          <cell r="G334">
            <v>41368</v>
          </cell>
        </row>
        <row r="335">
          <cell r="C335">
            <v>677</v>
          </cell>
          <cell r="D335" t="str">
            <v>Suministro E Instalacion De Reja De Proteccion En Varilla De Hierro Cuadrada De 1/2"   Legitima, Incluye Pintura Anticorrosiva Y Esmalte</v>
          </cell>
          <cell r="E335" t="str">
            <v>M2</v>
          </cell>
          <cell r="F335">
            <v>89562.26</v>
          </cell>
          <cell r="G335">
            <v>39730</v>
          </cell>
        </row>
        <row r="336">
          <cell r="C336">
            <v>678</v>
          </cell>
          <cell r="D336" t="str">
            <v>Pedestal De 0.60 X 0.60 X 0.60 Mts En Concreto Fc = 3000 Psi, No Incluye Acero De Refuerzo</v>
          </cell>
          <cell r="E336" t="str">
            <v>M3</v>
          </cell>
          <cell r="F336">
            <v>533982.89</v>
          </cell>
          <cell r="G336">
            <v>42538</v>
          </cell>
        </row>
        <row r="337">
          <cell r="C337">
            <v>679</v>
          </cell>
          <cell r="D337" t="str">
            <v>Gotero En Mortero 1:4</v>
          </cell>
          <cell r="E337" t="str">
            <v>ML</v>
          </cell>
          <cell r="F337">
            <v>5583.33</v>
          </cell>
          <cell r="G337">
            <v>42472</v>
          </cell>
        </row>
        <row r="338">
          <cell r="C338">
            <v>680</v>
          </cell>
          <cell r="D338" t="str">
            <v>Suministro E Instalación De Tanque Elevado Plástico De 1000 Litros Tipo Ajover O Similar Con Conexión</v>
          </cell>
          <cell r="E338" t="str">
            <v>UN</v>
          </cell>
          <cell r="F338">
            <v>542942.32999999996</v>
          </cell>
          <cell r="G338">
            <v>42572</v>
          </cell>
        </row>
        <row r="339">
          <cell r="C339">
            <v>683</v>
          </cell>
          <cell r="D339" t="str">
            <v>Sobrecimiento En Ladrillo Común Sencillo, Con Mortero De Pega Y Pañete Impermeabilizado 1:4, Altura 0.30 Mts</v>
          </cell>
          <cell r="E339" t="str">
            <v>ML</v>
          </cell>
          <cell r="F339">
            <v>32445.21</v>
          </cell>
          <cell r="G339">
            <v>42472</v>
          </cell>
        </row>
        <row r="340">
          <cell r="C340">
            <v>684</v>
          </cell>
          <cell r="D340" t="str">
            <v>Cimiento De 0.30 X  0.50 Metros, En Concreto De 2500 Psi Reforzado Con 4 Varillas De 1/2" , Estribos De 3/8"  A Cada 0.20 Mts</v>
          </cell>
          <cell r="E340" t="str">
            <v>ML</v>
          </cell>
          <cell r="F340">
            <v>96745.5</v>
          </cell>
          <cell r="G340">
            <v>41015</v>
          </cell>
        </row>
        <row r="341">
          <cell r="C341">
            <v>686</v>
          </cell>
          <cell r="D341" t="str">
            <v>Levante De Muro De Carga En Bloque No. 7 De 0.20 X 0.20 X 0.40 Mts</v>
          </cell>
          <cell r="E341" t="str">
            <v>M2</v>
          </cell>
          <cell r="F341">
            <v>60529.66</v>
          </cell>
          <cell r="G341">
            <v>41697</v>
          </cell>
        </row>
        <row r="342">
          <cell r="C342">
            <v>687</v>
          </cell>
          <cell r="D342" t="str">
            <v>Suministro E Instalación De Pilote Metálico De Diámetro = 10",  Longitud = 8.00 Metros, Vaciado En Concreto De 3000 Psi, Punta Metálica (Según Diseño Obras Malecón)</v>
          </cell>
          <cell r="E342" t="str">
            <v>UN</v>
          </cell>
          <cell r="F342">
            <v>2300000</v>
          </cell>
          <cell r="G342">
            <v>41158</v>
          </cell>
        </row>
        <row r="343">
          <cell r="C343">
            <v>688</v>
          </cell>
          <cell r="D343" t="str">
            <v>Suministro, Instalación Y Montaje Mecánico</v>
          </cell>
          <cell r="E343" t="str">
            <v>UN</v>
          </cell>
          <cell r="F343">
            <v>0</v>
          </cell>
          <cell r="G343">
            <v>41481</v>
          </cell>
        </row>
        <row r="344">
          <cell r="C344">
            <v>692</v>
          </cell>
          <cell r="D344" t="str">
            <v>Piso En Baldosa De Cerámica Alfa De 0.45 X 0.45 Mts, Piedra Cid Negro</v>
          </cell>
          <cell r="E344" t="str">
            <v>M2</v>
          </cell>
          <cell r="F344">
            <v>57724.36</v>
          </cell>
          <cell r="G344">
            <v>41892</v>
          </cell>
        </row>
        <row r="345">
          <cell r="C345">
            <v>693</v>
          </cell>
          <cell r="D345" t="str">
            <v>Piso En Baldosa De Cerámica  Alfa Tráfico 4, De 0.45 X 0.45 Mts, Piedra Stone Desert</v>
          </cell>
          <cell r="E345" t="str">
            <v>M2</v>
          </cell>
          <cell r="F345">
            <v>49981.66</v>
          </cell>
          <cell r="G345">
            <v>42314</v>
          </cell>
        </row>
        <row r="346">
          <cell r="C346">
            <v>696</v>
          </cell>
          <cell r="D346" t="str">
            <v>Zócalo En Cerámica Alfa De 0.09 X 0.45 Mts, Piedra Cid Negro</v>
          </cell>
          <cell r="E346" t="str">
            <v>ML</v>
          </cell>
          <cell r="F346">
            <v>9967.6299999999992</v>
          </cell>
          <cell r="G346">
            <v>41075</v>
          </cell>
        </row>
        <row r="347">
          <cell r="C347">
            <v>697</v>
          </cell>
          <cell r="D347" t="str">
            <v>Zócalo En Cerámica Alfa De 0.09 X 0.45 Mts, Piedra Stone Desert</v>
          </cell>
          <cell r="E347" t="str">
            <v>ML</v>
          </cell>
          <cell r="F347">
            <v>8418.8799999999992</v>
          </cell>
          <cell r="G347">
            <v>42314</v>
          </cell>
        </row>
        <row r="348">
          <cell r="C348">
            <v>698</v>
          </cell>
          <cell r="D348" t="str">
            <v>Ventaneria Con Perfileria De Aluminio Y Vidrio De 4 Mm  De 0.50 X 0.40 Metros</v>
          </cell>
          <cell r="E348" t="str">
            <v>UN</v>
          </cell>
          <cell r="F348">
            <v>33936.58</v>
          </cell>
          <cell r="G348">
            <v>40106</v>
          </cell>
        </row>
        <row r="349">
          <cell r="C349">
            <v>704</v>
          </cell>
          <cell r="D349" t="str">
            <v>Suministro E Instalacion De Puerta De Acceso Principal En Aluminio Anodizado Natural, Bronce O Blanco, Y Vidrio De 6 Mm, Incluye Gato, Doble Cerradura, 2 Hojas Batientes, De 2.00 X 2.20 Mts</v>
          </cell>
          <cell r="E349" t="str">
            <v>UN</v>
          </cell>
          <cell r="F349">
            <v>1200000</v>
          </cell>
          <cell r="G349">
            <v>39736</v>
          </cell>
        </row>
        <row r="350">
          <cell r="C350">
            <v>705</v>
          </cell>
          <cell r="D350" t="str">
            <v>Suministro E Instalacion De Puerta De Acceso En Aluminio Anodizado Natural, Bronce O Blanco, Vidrio Transparente De 6 Mm, Incluye Gato, Doble Cerradura Y 2 Hojas Batientes, De 2.00 X 2.60 Mts</v>
          </cell>
          <cell r="E350" t="str">
            <v>UN</v>
          </cell>
          <cell r="F350">
            <v>1320000</v>
          </cell>
          <cell r="G350">
            <v>39736</v>
          </cell>
        </row>
        <row r="351">
          <cell r="C351">
            <v>706</v>
          </cell>
          <cell r="D351" t="str">
            <v>Suministro E Instalacion De Ventanas En Aluminio Anodizado Natural, Bronce O Blanco, Vidrio Transparente De 4 Mm, Cuerpo Fijo, Ventana De 1.00 X 1.00 Mts</v>
          </cell>
          <cell r="E351" t="str">
            <v>UN</v>
          </cell>
          <cell r="F351">
            <v>136000</v>
          </cell>
          <cell r="G351">
            <v>39736</v>
          </cell>
        </row>
        <row r="352">
          <cell r="C352">
            <v>707</v>
          </cell>
          <cell r="D352" t="str">
            <v>Suministro E Instalacion De Ventanas Para Baños En Aluminio Anodizado Natural, Bronce O Blanco, Vidrio Transparente De 4 Mm, Con Hojas Corredizas, Ventana De 0.70 X 0.50 Mts</v>
          </cell>
          <cell r="E352" t="str">
            <v>UN</v>
          </cell>
          <cell r="F352">
            <v>95000</v>
          </cell>
          <cell r="G352">
            <v>42249</v>
          </cell>
        </row>
        <row r="353">
          <cell r="C353">
            <v>708</v>
          </cell>
          <cell r="D353" t="str">
            <v>Suministro E Instalacion De Ventana En Aluminio Anodizado Natural, Bronce O Blanco, Con Vidrio Transparente De 4 Mm, Dividida En 4 Secciones, 2 Fijas Y 2 Corredizas, Ventana De 4.30 X 2.00 Mts</v>
          </cell>
          <cell r="E353" t="str">
            <v>UN</v>
          </cell>
          <cell r="F353">
            <v>900000</v>
          </cell>
          <cell r="G353">
            <v>39736</v>
          </cell>
        </row>
        <row r="354">
          <cell r="C354">
            <v>709</v>
          </cell>
          <cell r="D354" t="str">
            <v>Suministro E Instalacion De Puerta - Ventana En Aluminio Anodizado Natural, Bronce O Blanco, Vidrio Transparente De 6 Mm, Incluye Gato, Doble Cerradura, 2 Hojas Batientes, De 6.00 X 2.00 Mts</v>
          </cell>
          <cell r="E354" t="str">
            <v>UN</v>
          </cell>
          <cell r="F354">
            <v>2000000</v>
          </cell>
          <cell r="G354">
            <v>39736</v>
          </cell>
        </row>
        <row r="355">
          <cell r="C355">
            <v>710</v>
          </cell>
          <cell r="D355" t="str">
            <v>Sobrecimiento En Ladrillo Común Doble, Con Mortero De Pega 1:4 Y Pañete Impermeabilizado, Altura 0.60 Mts</v>
          </cell>
          <cell r="E355" t="str">
            <v>ML</v>
          </cell>
          <cell r="F355">
            <v>106331.62</v>
          </cell>
          <cell r="G355">
            <v>41353</v>
          </cell>
        </row>
        <row r="356">
          <cell r="C356">
            <v>711</v>
          </cell>
          <cell r="D356" t="str">
            <v>Losa Aligerada En Bloque De Arcilla No. 7, De 0.20 X 0.20 X 0.40 Mts, Incluye Acero De Refuerzo Y Formaleta</v>
          </cell>
          <cell r="E356" t="str">
            <v>M2</v>
          </cell>
          <cell r="F356">
            <v>150885.64000000001</v>
          </cell>
          <cell r="G356">
            <v>41075</v>
          </cell>
        </row>
        <row r="357">
          <cell r="C357">
            <v>712</v>
          </cell>
          <cell r="D357" t="str">
            <v>Losa Aligerada En Bloque De Arcilla No. 4 De 0.10 X 0.20 X 0.40 Mts, Incluye Acero De Refuerzo Y Formaleta</v>
          </cell>
          <cell r="E357" t="str">
            <v>M2</v>
          </cell>
          <cell r="F357">
            <v>142435.31</v>
          </cell>
          <cell r="G357">
            <v>39827</v>
          </cell>
        </row>
        <row r="358">
          <cell r="C358">
            <v>713</v>
          </cell>
          <cell r="D358" t="str">
            <v>Losa Maciza En Concreto De 3000 Psi, Reforzada Con Varillas De 1/2"  En Ambos Sentidos A Cada 0.20 Mts, E = 0.15 Mts</v>
          </cell>
          <cell r="E358" t="str">
            <v>M2</v>
          </cell>
          <cell r="F358">
            <v>203325.37</v>
          </cell>
          <cell r="G358">
            <v>42496</v>
          </cell>
        </row>
        <row r="359">
          <cell r="C359">
            <v>714</v>
          </cell>
          <cell r="D359" t="str">
            <v>Losa Maciza En Concreto De 3000 Psi Reforzada Con Varillas De 3/8"  En Ambos Sentidos A Cada 0.15  Mts, Espesor 0.05 Mts</v>
          </cell>
          <cell r="E359" t="str">
            <v>M2</v>
          </cell>
          <cell r="F359">
            <v>73202.080000000002</v>
          </cell>
          <cell r="G359">
            <v>41386</v>
          </cell>
        </row>
        <row r="360">
          <cell r="C360">
            <v>715</v>
          </cell>
          <cell r="D360" t="str">
            <v>Lavamanos Corrido, Levante En Ladrillo Doble, Losa En Concreto  De 3000 Psi, Espesor  0.05 Mts, Reforzada Con Varillas De 3/8"  A Cada 0.15 Mts En Ambos Sentidos, Pañete Impermeabilizado Con Mortero 1:4, Enchape En Baldosa De Ceramica.</v>
          </cell>
          <cell r="E360" t="str">
            <v>ML</v>
          </cell>
          <cell r="F360">
            <v>282265.33</v>
          </cell>
          <cell r="G360">
            <v>41666</v>
          </cell>
        </row>
        <row r="361">
          <cell r="C361">
            <v>718</v>
          </cell>
          <cell r="D361" t="str">
            <v>Suministro E Instalación De Cercha En Madera De Abarco, De 8.40 Mts De Luz, Altura 1.00 Mts.</v>
          </cell>
          <cell r="E361" t="str">
            <v>UN</v>
          </cell>
          <cell r="F361">
            <v>1112023</v>
          </cell>
          <cell r="G361">
            <v>41067</v>
          </cell>
        </row>
        <row r="362">
          <cell r="C362">
            <v>719</v>
          </cell>
          <cell r="D362" t="str">
            <v>Orinal Corrido, Levante En Ladrillo Doble, Losa En Concreto De 3000 Psi Espesor 0.05 Mts, Reforzada Con Varillas De 3/8"  En Ambos Sentidos, Pañete Impermeabilizado, Y Enchape En Baldosa De Ceramica</v>
          </cell>
          <cell r="E362" t="str">
            <v>ML</v>
          </cell>
          <cell r="F362">
            <v>227015.96</v>
          </cell>
          <cell r="G362">
            <v>40672</v>
          </cell>
        </row>
        <row r="363">
          <cell r="C363">
            <v>720</v>
          </cell>
          <cell r="D363" t="str">
            <v>Excavación Para Tuberia De 0.20 X 0.10 Mts Y Retiro De Material</v>
          </cell>
          <cell r="E363" t="str">
            <v>ML</v>
          </cell>
          <cell r="F363">
            <v>4670</v>
          </cell>
          <cell r="G363">
            <v>41927</v>
          </cell>
        </row>
        <row r="364">
          <cell r="C364">
            <v>721</v>
          </cell>
          <cell r="D364" t="str">
            <v>Cimiento De 0.10 X 0.20 Metros En Concreto De Fc = 3000 Psi</v>
          </cell>
          <cell r="E364" t="str">
            <v>ML</v>
          </cell>
          <cell r="F364">
            <v>15480.28</v>
          </cell>
          <cell r="G364">
            <v>41015</v>
          </cell>
        </row>
        <row r="365">
          <cell r="C365">
            <v>722</v>
          </cell>
          <cell r="D365" t="str">
            <v>Suministro E Instalacion De Juego De Porterias Para Cancha De Minifutbol, En Tuberia Galvanizada De 3"  En El Marco Y 2"  En Traseras, Incluye Pintura Con Anticorrosivo Y  Esmalte, Con Mallas En Nylon, Ancho 3.00 Mts, Altura 2.00 Mts Y Fondo 0.80 Mts</v>
          </cell>
          <cell r="E365" t="str">
            <v>JG</v>
          </cell>
          <cell r="F365">
            <v>1500000</v>
          </cell>
          <cell r="G365">
            <v>39876</v>
          </cell>
        </row>
        <row r="366">
          <cell r="C366">
            <v>723</v>
          </cell>
          <cell r="D366" t="str">
            <v>Suministro E Instalacion De Focos De Encendido Instantaneo, Ahorrador De Energia, De 30 Watios</v>
          </cell>
          <cell r="E366" t="str">
            <v>UN</v>
          </cell>
          <cell r="F366">
            <v>10000</v>
          </cell>
          <cell r="G366">
            <v>39742</v>
          </cell>
        </row>
        <row r="367">
          <cell r="C367">
            <v>724</v>
          </cell>
          <cell r="D367" t="str">
            <v>Capitulo - Suplemento De Trabajo En Tensión</v>
          </cell>
          <cell r="E367" t="str">
            <v>SD</v>
          </cell>
          <cell r="F367">
            <v>0</v>
          </cell>
          <cell r="G367">
            <v>41554</v>
          </cell>
        </row>
        <row r="368">
          <cell r="C368">
            <v>725</v>
          </cell>
          <cell r="D368" t="str">
            <v>Suministro E Instalacion De Ventaneria En Aluminio, Natural, Bronce O Blanco, Corredizas, Incluye Vidrio De 4 Mm, Transparenteo Color Bronce, Incluye Cerradura Y Accesorios</v>
          </cell>
          <cell r="E368" t="str">
            <v>M2</v>
          </cell>
          <cell r="F368">
            <v>135000</v>
          </cell>
          <cell r="G368">
            <v>42249</v>
          </cell>
        </row>
        <row r="369">
          <cell r="C369">
            <v>726</v>
          </cell>
          <cell r="D369" t="str">
            <v>Pintura De Puertas En Esmalte De Pintuco O Similar</v>
          </cell>
          <cell r="E369" t="str">
            <v>UN</v>
          </cell>
          <cell r="F369">
            <v>115679.44</v>
          </cell>
          <cell r="G369">
            <v>41047</v>
          </cell>
        </row>
        <row r="370">
          <cell r="C370">
            <v>727</v>
          </cell>
          <cell r="D370" t="str">
            <v>Suministro E Instalacion De Tablero En Lamina De Formica, Incluye Marco Y Base Para Marcadores Y Borrador En Madera De 2.50 X 1.20 Mts.</v>
          </cell>
          <cell r="E370" t="str">
            <v>UN</v>
          </cell>
          <cell r="F370">
            <v>280000</v>
          </cell>
          <cell r="G370">
            <v>39743</v>
          </cell>
        </row>
        <row r="371">
          <cell r="C371">
            <v>731</v>
          </cell>
          <cell r="D371" t="str">
            <v>Suministro, Instalación Y Montaje De Losa, Estructura Corpalosa  Steel Deck 3", En Lámina Calibre 18, Incluye Viguetas Y Riostras, Fundida En Concreto De 3000 Psi, E = 0.12 Mts Con Sus Refuerzos Y Malla Electrosoldada</v>
          </cell>
          <cell r="E371" t="str">
            <v>GL</v>
          </cell>
          <cell r="F371">
            <v>20283136.27</v>
          </cell>
          <cell r="G371">
            <v>41075</v>
          </cell>
        </row>
        <row r="372">
          <cell r="C372">
            <v>732</v>
          </cell>
          <cell r="D372" t="str">
            <v>Suministro, Instalación Y Montaje De Losa, Estructura Corpalosa  Steel Deck 3", En Lámina Calibre 18, Incluye Viguetas Y Riostras, Fundida En Concreto De 3000 Psi, E = 0.12 Mts Con Sus Refuerzos Y Malla Electrosoldada</v>
          </cell>
          <cell r="E372" t="str">
            <v>M2</v>
          </cell>
          <cell r="F372">
            <v>125010.37</v>
          </cell>
          <cell r="G372">
            <v>42524</v>
          </cell>
        </row>
        <row r="373">
          <cell r="C373">
            <v>733</v>
          </cell>
          <cell r="D373" t="str">
            <v>Escaleras En Concreto De 3000 Psi, No Incluye Acero De Refuerzo.</v>
          </cell>
          <cell r="E373" t="str">
            <v>M3</v>
          </cell>
          <cell r="F373">
            <v>1438176.3</v>
          </cell>
          <cell r="G373">
            <v>42578</v>
          </cell>
        </row>
        <row r="374">
          <cell r="C374">
            <v>737</v>
          </cell>
          <cell r="D374" t="str">
            <v>Losa Aligerada E= 0.40 Mts, Incluye Bloque De Entrepiso, Concreto De 3000 Psi Y Formaleta</v>
          </cell>
          <cell r="E374" t="str">
            <v>M2</v>
          </cell>
          <cell r="F374">
            <v>185177.71</v>
          </cell>
          <cell r="G374">
            <v>41022</v>
          </cell>
        </row>
        <row r="375">
          <cell r="C375">
            <v>738</v>
          </cell>
          <cell r="D375" t="str">
            <v>Escalera En Concreto De 3000 Psi En Dos Tramos, De 1.25 Metros Cada Uno, Huella De 0.30 Metros Y Contrahuella De 0.18 Metros, Area Total 3.60 De Ancho Por 3.70 Metros, Acabado En Granito Pulido Con Pirlan, No Incluye Acero De Refuerzo</v>
          </cell>
          <cell r="E375" t="str">
            <v>UN</v>
          </cell>
          <cell r="F375">
            <v>8411913.5</v>
          </cell>
          <cell r="G375">
            <v>42429</v>
          </cell>
        </row>
        <row r="376">
          <cell r="C376">
            <v>740</v>
          </cell>
          <cell r="D376" t="str">
            <v>Piso En Baldosa De Granito De 0.33 X 0.33 Mts Pulido</v>
          </cell>
          <cell r="E376" t="str">
            <v>M2</v>
          </cell>
          <cell r="F376">
            <v>73467.490000000005</v>
          </cell>
          <cell r="G376">
            <v>42578</v>
          </cell>
        </row>
        <row r="377">
          <cell r="C377">
            <v>744</v>
          </cell>
          <cell r="D377" t="str">
            <v>Piso En Granito Pulido Con Pirlan De Aluminio, Cuadros De 1.00 X 1.00 Mts</v>
          </cell>
          <cell r="E377" t="str">
            <v>M2</v>
          </cell>
          <cell r="F377">
            <v>95720.88</v>
          </cell>
          <cell r="G377">
            <v>41936</v>
          </cell>
        </row>
        <row r="378">
          <cell r="C378">
            <v>745</v>
          </cell>
          <cell r="D378" t="str">
            <v>Suministro E Instalación De División Metálica En Lámina Galvanizada Calibre 20, De Doble Faz, Y Marco Calibre 18, Incluye Pintura Anticorrosiva Y Esmalte</v>
          </cell>
          <cell r="E378" t="str">
            <v>M2</v>
          </cell>
          <cell r="F378">
            <v>147540</v>
          </cell>
          <cell r="G378">
            <v>42524</v>
          </cell>
        </row>
        <row r="379">
          <cell r="C379">
            <v>747</v>
          </cell>
          <cell r="D379" t="str">
            <v>Suministro E Instalación De Lavaplatos Sencillo En Acero Inoxidable, Con Una Ala Y Una Cubeta, Incluye Grifería Cuello De Ganso Metálica</v>
          </cell>
          <cell r="E379" t="str">
            <v>UN</v>
          </cell>
          <cell r="F379">
            <v>558612.5</v>
          </cell>
          <cell r="G379">
            <v>42578</v>
          </cell>
        </row>
        <row r="380">
          <cell r="C380">
            <v>748</v>
          </cell>
          <cell r="D380" t="str">
            <v>Valor Estimado Por Gestiones Y Descargos Que Genera Pago Con La Presentación De La Factura Cancelada Ante Electricaribe</v>
          </cell>
          <cell r="E380" t="str">
            <v>GL</v>
          </cell>
          <cell r="F380">
            <v>3681250</v>
          </cell>
          <cell r="G380">
            <v>41570</v>
          </cell>
        </row>
        <row r="381">
          <cell r="C381">
            <v>749</v>
          </cell>
          <cell r="D381" t="str">
            <v>Reinstalación De Cubierta En Teja Canaleta 43, Incluye Sellante De Junta, Tornillo De Fijación Y Ganchos</v>
          </cell>
          <cell r="E381" t="str">
            <v>M2</v>
          </cell>
          <cell r="F381">
            <v>21904.2</v>
          </cell>
          <cell r="G381">
            <v>41067</v>
          </cell>
        </row>
        <row r="382">
          <cell r="C382">
            <v>750</v>
          </cell>
          <cell r="D382" t="str">
            <v>Tapa Para Canal Pluvial En Concreto Reforzado De 3000 Psi, E = 0.07 Mts</v>
          </cell>
          <cell r="E382" t="str">
            <v>M2</v>
          </cell>
          <cell r="F382">
            <v>45500</v>
          </cell>
          <cell r="G382">
            <v>39749</v>
          </cell>
        </row>
        <row r="383">
          <cell r="C383">
            <v>752</v>
          </cell>
          <cell r="D383" t="str">
            <v>Limpieza General Y Retiro De Material</v>
          </cell>
          <cell r="E383" t="str">
            <v>GL</v>
          </cell>
          <cell r="F383">
            <v>100000</v>
          </cell>
          <cell r="G383">
            <v>42466</v>
          </cell>
        </row>
        <row r="384">
          <cell r="C384">
            <v>753</v>
          </cell>
          <cell r="D384" t="str">
            <v>Arreglo De Tubería Electrica Conduit Pvc 1/2", Incluye Alambrado</v>
          </cell>
          <cell r="E384" t="str">
            <v>ML</v>
          </cell>
          <cell r="F384">
            <v>14400</v>
          </cell>
          <cell r="G384">
            <v>41948</v>
          </cell>
        </row>
        <row r="385">
          <cell r="C385">
            <v>754</v>
          </cell>
          <cell r="D385" t="str">
            <v>Suministro E Instalación De Tapas En Concreto De 3000 Psi E = 0.10 Metros, Marco En L De 4" X 4" X 1/4",  De Diametro 1.00 Metro, Para Acceso A Pozo Humedo Y Registro</v>
          </cell>
          <cell r="E385" t="str">
            <v>UN</v>
          </cell>
          <cell r="F385">
            <v>102000</v>
          </cell>
          <cell r="G385">
            <v>41479</v>
          </cell>
        </row>
        <row r="386">
          <cell r="C386">
            <v>755</v>
          </cell>
          <cell r="D386" t="str">
            <v>Suministro E Instalación De Electrobomba C - 210, Incluye Todos Los Accesorios Y Fijación</v>
          </cell>
          <cell r="E386" t="str">
            <v>GL</v>
          </cell>
          <cell r="F386">
            <v>3560000</v>
          </cell>
          <cell r="G386">
            <v>41345</v>
          </cell>
        </row>
        <row r="387">
          <cell r="C387">
            <v>756</v>
          </cell>
          <cell r="D387" t="str">
            <v>Suministro E Instalacion De Puerta Metalica Incluye Marco De 0.70 X 2.00 Metros</v>
          </cell>
          <cell r="E387" t="str">
            <v>UN</v>
          </cell>
          <cell r="F387">
            <v>143181.9</v>
          </cell>
          <cell r="G387">
            <v>40106</v>
          </cell>
        </row>
        <row r="388">
          <cell r="C388">
            <v>757</v>
          </cell>
          <cell r="D388" t="str">
            <v>Localizacion, Medida Y Control De Niveles En Arroyos No Canalizados De Seccion &gt; 4.00 Mts Y &lt; 12.00 Mts.</v>
          </cell>
          <cell r="E388" t="str">
            <v>ML</v>
          </cell>
          <cell r="F388">
            <v>2448.81</v>
          </cell>
          <cell r="G388">
            <v>41906</v>
          </cell>
        </row>
        <row r="389">
          <cell r="C389">
            <v>758</v>
          </cell>
          <cell r="D389" t="str">
            <v>Limpieza Con Retrocargador De Llanta, En Arroyos No Canalizados De Seccion &gt; 4.00 Mts Y &lt; 12.00 Mts</v>
          </cell>
          <cell r="E389" t="str">
            <v>ML</v>
          </cell>
          <cell r="F389">
            <v>30983.33</v>
          </cell>
          <cell r="G389">
            <v>40669</v>
          </cell>
        </row>
        <row r="390">
          <cell r="C390">
            <v>759</v>
          </cell>
          <cell r="D390" t="str">
            <v>Corte, Excavacion Y Conformacion De Taludes En Arroyos No Canalizados De Sección &gt; 4.00 Mts Y &lt; 12.00 Mts</v>
          </cell>
          <cell r="E390" t="str">
            <v>ML</v>
          </cell>
          <cell r="F390">
            <v>46453.33</v>
          </cell>
          <cell r="G390">
            <v>40669</v>
          </cell>
        </row>
        <row r="391">
          <cell r="C391">
            <v>761</v>
          </cell>
          <cell r="D391" t="str">
            <v>Retiro En Volquetas De Material Contaminado, Basuras Y Escombro En Canalizaciones De Sección &gt; 4.00 Metros Y &lt; 12.00 Metros</v>
          </cell>
          <cell r="E391" t="str">
            <v>M3</v>
          </cell>
          <cell r="F391">
            <v>20931.939999999999</v>
          </cell>
          <cell r="G391">
            <v>41906</v>
          </cell>
        </row>
        <row r="392">
          <cell r="C392">
            <v>762</v>
          </cell>
          <cell r="D392" t="str">
            <v>Limpieza General Y Retiro De Material</v>
          </cell>
          <cell r="E392" t="str">
            <v>GL</v>
          </cell>
          <cell r="F392">
            <v>750000</v>
          </cell>
          <cell r="G392">
            <v>41570</v>
          </cell>
        </row>
        <row r="393">
          <cell r="C393">
            <v>763</v>
          </cell>
          <cell r="D393" t="str">
            <v>Limpieza Manual Con La Comunidad</v>
          </cell>
          <cell r="E393" t="str">
            <v>JO</v>
          </cell>
          <cell r="F393">
            <v>60900</v>
          </cell>
          <cell r="G393">
            <v>40282</v>
          </cell>
        </row>
        <row r="394">
          <cell r="C394">
            <v>764</v>
          </cell>
          <cell r="D394" t="str">
            <v>Limpieza Con Retroexcavadora  Sobre Oruga, En Arroyos No Canalizados De Sección &gt; 4.00 Mts Y &lt; 12.00 Mts</v>
          </cell>
          <cell r="E394" t="str">
            <v>ML</v>
          </cell>
          <cell r="F394">
            <v>33275</v>
          </cell>
          <cell r="G394">
            <v>41906</v>
          </cell>
        </row>
        <row r="395">
          <cell r="C395">
            <v>765</v>
          </cell>
          <cell r="D395" t="str">
            <v>Demolición De Sobrenivel En Ladrillo Doble Altura 1.00 Metros.</v>
          </cell>
          <cell r="E395" t="str">
            <v>ML</v>
          </cell>
          <cell r="F395">
            <v>27257.69</v>
          </cell>
          <cell r="G395">
            <v>41927</v>
          </cell>
        </row>
        <row r="396">
          <cell r="C396">
            <v>766</v>
          </cell>
          <cell r="D396" t="str">
            <v>Limpieza General Y Retiro De Material</v>
          </cell>
          <cell r="E396" t="str">
            <v>GL</v>
          </cell>
          <cell r="F396">
            <v>500000</v>
          </cell>
          <cell r="G396">
            <v>42466</v>
          </cell>
        </row>
        <row r="397">
          <cell r="C397">
            <v>767</v>
          </cell>
          <cell r="D397" t="str">
            <v>Viga Sobre Muro En Concreto De 3000 Psi De 0.15 X 0.20 Metros, No Incluye Acero De Refuerzo.</v>
          </cell>
          <cell r="E397" t="str">
            <v>M3</v>
          </cell>
          <cell r="F397">
            <v>1020917.33</v>
          </cell>
          <cell r="G397">
            <v>41075</v>
          </cell>
        </row>
        <row r="398">
          <cell r="C398">
            <v>768</v>
          </cell>
          <cell r="D398" t="str">
            <v>Puntos De Soldadura Para Tubería Galvanizada</v>
          </cell>
          <cell r="E398" t="str">
            <v>UN</v>
          </cell>
          <cell r="F398">
            <v>45000</v>
          </cell>
          <cell r="G398">
            <v>41381</v>
          </cell>
        </row>
        <row r="399">
          <cell r="C399">
            <v>769</v>
          </cell>
          <cell r="D399" t="str">
            <v>Levante De Muro En Bloque Vibrado Estructural, Espesor 0.20 Mts, Con Celdas Rellenas En Concreto De 3000 Psi, No Incluye Acero De Refuerzo</v>
          </cell>
          <cell r="E399" t="str">
            <v>M2</v>
          </cell>
          <cell r="F399">
            <v>97578.5</v>
          </cell>
          <cell r="G399">
            <v>41673</v>
          </cell>
        </row>
        <row r="400">
          <cell r="C400">
            <v>770</v>
          </cell>
          <cell r="D400" t="str">
            <v>Limpieza De Caño Con Retroexcavadora Sobre Oruga, Montada En Barcaza, Con Ancho &gt; 5 Metros Y &lt; 8 Metros Y Una Profundidad &gt; 1 Metro Y &lt; 2 Metros.</v>
          </cell>
          <cell r="E400" t="str">
            <v>ML</v>
          </cell>
          <cell r="F400">
            <v>70307.570000000007</v>
          </cell>
          <cell r="G400">
            <v>40669</v>
          </cell>
        </row>
        <row r="401">
          <cell r="C401">
            <v>775</v>
          </cell>
          <cell r="D401" t="str">
            <v>Suministro E Instalación De Puerta / Ventanas  O Estera Enroyable Metálica, Con 2 Rieles, 2 Portacandados, Mecanismo, Resortes, Cañuela, Incluye Instalación Con Servicio De Albañileria</v>
          </cell>
          <cell r="E401" t="str">
            <v>M2</v>
          </cell>
          <cell r="F401">
            <v>165000</v>
          </cell>
          <cell r="G401">
            <v>42758</v>
          </cell>
        </row>
        <row r="402">
          <cell r="C402">
            <v>776</v>
          </cell>
          <cell r="D402" t="str">
            <v>Suministro E Instalación De Portón Metálico, De 2 Hojas En Lámina Galvanizada Calibre 20, Incluye Estructura Y Troquelado, De 3.00 X 2.00 Metros</v>
          </cell>
          <cell r="E402" t="str">
            <v>UN</v>
          </cell>
          <cell r="F402">
            <v>800000</v>
          </cell>
          <cell r="G402">
            <v>41799</v>
          </cell>
        </row>
        <row r="403">
          <cell r="C403">
            <v>777</v>
          </cell>
          <cell r="D403" t="str">
            <v>Suministro E Instalación De Mesón En Concreto, Acabado En Granito Pulido, Con Lavamanos De Sobreponer Línea Blanca Corona O Similar Con Grifería, Incluye Levante Y Pañete Con Mortero 1:4</v>
          </cell>
          <cell r="E403" t="str">
            <v>UN</v>
          </cell>
          <cell r="F403">
            <v>612295.89</v>
          </cell>
          <cell r="G403">
            <v>42403</v>
          </cell>
        </row>
        <row r="404">
          <cell r="C404">
            <v>778</v>
          </cell>
          <cell r="D404" t="str">
            <v>Plantilla Para Piso En Concreto De 2500 Psi E = 0.07 Metros</v>
          </cell>
          <cell r="E404" t="str">
            <v>M2</v>
          </cell>
          <cell r="F404">
            <v>31984.63</v>
          </cell>
          <cell r="G404">
            <v>42578</v>
          </cell>
        </row>
        <row r="405">
          <cell r="C405">
            <v>779</v>
          </cell>
          <cell r="D405" t="str">
            <v>Limpieza Con Retroexcavadora De Llanta, En Arroyos Canalizados De Seccion &gt; 4.00 Mts Y &lt; 6.00 Mts Y Sus Taludes</v>
          </cell>
          <cell r="E405" t="str">
            <v>ML</v>
          </cell>
          <cell r="F405">
            <v>26050</v>
          </cell>
          <cell r="G405">
            <v>40669</v>
          </cell>
        </row>
        <row r="406">
          <cell r="C406">
            <v>780</v>
          </cell>
          <cell r="D406" t="str">
            <v>Limpieza Manual</v>
          </cell>
          <cell r="E406" t="str">
            <v>JO</v>
          </cell>
          <cell r="F406">
            <v>60900</v>
          </cell>
          <cell r="G406">
            <v>41008</v>
          </cell>
        </row>
        <row r="407">
          <cell r="C407">
            <v>781</v>
          </cell>
          <cell r="D407" t="str">
            <v>Retiro En Volqueta De Material Contaminado, Basuras Y Escombro</v>
          </cell>
          <cell r="E407" t="str">
            <v>M3</v>
          </cell>
          <cell r="F407">
            <v>15025</v>
          </cell>
          <cell r="G407">
            <v>41068</v>
          </cell>
        </row>
        <row r="408">
          <cell r="C408">
            <v>782</v>
          </cell>
          <cell r="D408" t="str">
            <v>Siembra, Resiembra Con Reposición De Plantas Y Mantenimiento O Podas De Pasto Vetiver, Incluye Los Insumos Necesarios Como Materia Organica, Fertilizantes Y Otros</v>
          </cell>
          <cell r="E408" t="str">
            <v>M2</v>
          </cell>
          <cell r="F408">
            <v>3560.8</v>
          </cell>
          <cell r="G408">
            <v>41906</v>
          </cell>
        </row>
        <row r="409">
          <cell r="C409">
            <v>787</v>
          </cell>
          <cell r="D409" t="str">
            <v>Suministro De Pasto Vetiver Tallo &gt; 0.18 Mts, Incluye Transporte Al Sitio</v>
          </cell>
          <cell r="E409" t="str">
            <v>UN</v>
          </cell>
          <cell r="F409">
            <v>1614.5</v>
          </cell>
          <cell r="G409">
            <v>41025</v>
          </cell>
        </row>
        <row r="410">
          <cell r="C410">
            <v>788</v>
          </cell>
          <cell r="D410" t="str">
            <v>Andén En Concreto De Fc = 3000 Psi E = 0.15 Metros</v>
          </cell>
          <cell r="E410" t="str">
            <v>M3</v>
          </cell>
          <cell r="F410">
            <v>596185.30000000005</v>
          </cell>
          <cell r="G410">
            <v>42067</v>
          </cell>
        </row>
        <row r="411">
          <cell r="C411">
            <v>789</v>
          </cell>
          <cell r="D411" t="str">
            <v>Muro Para Soporte O Estribos De Puente En Concreto De 3000 Psi, No Incluye Acero De Refuerzo</v>
          </cell>
          <cell r="E411" t="str">
            <v>M3</v>
          </cell>
          <cell r="F411">
            <v>604184.52</v>
          </cell>
          <cell r="G411">
            <v>41717</v>
          </cell>
        </row>
        <row r="412">
          <cell r="C412">
            <v>791</v>
          </cell>
          <cell r="D412" t="str">
            <v>Suministro E Instalación Línea De Impulsión</v>
          </cell>
          <cell r="E412" t="str">
            <v>UN</v>
          </cell>
          <cell r="F412">
            <v>0</v>
          </cell>
          <cell r="G412">
            <v>41481</v>
          </cell>
        </row>
        <row r="413">
          <cell r="C413">
            <v>795</v>
          </cell>
          <cell r="D413" t="str">
            <v>Losa Aligerada En Bloque De Entrepiso De 0.10 X 0.20 X 0.40 Mts, Incluye Acero De Refuerzo Y Formaleta. E= 0.10 Mts</v>
          </cell>
          <cell r="E413" t="str">
            <v>M2</v>
          </cell>
          <cell r="F413">
            <v>107326.38</v>
          </cell>
          <cell r="G413">
            <v>41556</v>
          </cell>
        </row>
        <row r="414">
          <cell r="C414">
            <v>797</v>
          </cell>
          <cell r="D414" t="str">
            <v>Suministro E Instalación De Ducha Sencilla, Tipo Económica Completa</v>
          </cell>
          <cell r="E414" t="str">
            <v>UN</v>
          </cell>
          <cell r="F414">
            <v>46161.05</v>
          </cell>
          <cell r="G414">
            <v>42578</v>
          </cell>
        </row>
        <row r="415">
          <cell r="C415">
            <v>799</v>
          </cell>
          <cell r="D415" t="str">
            <v>Suministro, Instalacion Y Montaje De Elementos Y Modulos Recreacionales Para El Parque Los Pitufos, Ubicado En La Carrera 9 Con Calle 46E, Barrio Ciudadela, Distrito De Barranquilla</v>
          </cell>
          <cell r="E415" t="str">
            <v>GL</v>
          </cell>
          <cell r="F415">
            <v>3955600</v>
          </cell>
          <cell r="G415">
            <v>40304</v>
          </cell>
        </row>
        <row r="416">
          <cell r="C416">
            <v>842</v>
          </cell>
          <cell r="D416" t="str">
            <v>Grada De 1.00 X 0.60 X 0.50 Mts, Incluye Cimiento En Concreto Simple De 3000 Psi, Levante En Ladrillo Comun, Pañetado, Y Placa De Concreto De 3000 Psi Con Estribos De 3/8"  En Ambos Sentidos A Cada 0.15 Mts</v>
          </cell>
          <cell r="E416" t="str">
            <v>UN</v>
          </cell>
          <cell r="F416">
            <v>272905.11</v>
          </cell>
          <cell r="G416">
            <v>39856</v>
          </cell>
        </row>
        <row r="417">
          <cell r="C417">
            <v>843</v>
          </cell>
          <cell r="D417" t="str">
            <v>Grada De 3.00 X 0.70 X 0.50 Mts, Incluye Cimiento En Concreto Simple De 3000 Psi, Levante En Ladrillo Común, Pañetado, Placa En Losa Maciza De 0.05 Mts En Concreto De 3000 Psi, Reforzado Con Varillas De 3/8"  En Ambos Sentidos A Cada 0.15 Mts</v>
          </cell>
          <cell r="E417" t="str">
            <v>UN</v>
          </cell>
          <cell r="F417">
            <v>683249.54</v>
          </cell>
          <cell r="G417">
            <v>41680</v>
          </cell>
        </row>
        <row r="418">
          <cell r="C418">
            <v>844</v>
          </cell>
          <cell r="D418" t="str">
            <v>Suministro E Instalación De Malla De Acero Galvanizada Forrada En Pvc, Calibre 7.5, Hueco De 1 1/2" X 1 1/2", Reforzada Con Tubo Galvanizado De 2", Riostras En Tubería Galvanizada De 1", Incluye Barras Tensoras Forradas En Pvc Calibre 9, Amarres Forrados En Pvc Calibre 10 , Bases Para Postes Y Viga En Concreto, Acabado Con Pintura Anticorrosiva Y Esmalte, Altura 2.50 Metros (Ver Diseño)</v>
          </cell>
          <cell r="E418" t="str">
            <v>M2</v>
          </cell>
          <cell r="F418">
            <v>62000</v>
          </cell>
          <cell r="G418">
            <v>42314</v>
          </cell>
        </row>
        <row r="419">
          <cell r="C419">
            <v>845</v>
          </cell>
          <cell r="D419" t="str">
            <v>Suministro E Instalación De Malla Ciclón Galvanizada Calibre 10 , Sencilla Con Tubo Galvanizado De 1 1/2"  Para Parales</v>
          </cell>
          <cell r="E419" t="str">
            <v>M2</v>
          </cell>
          <cell r="F419">
            <v>43600</v>
          </cell>
          <cell r="G419">
            <v>41068</v>
          </cell>
        </row>
        <row r="420">
          <cell r="C420">
            <v>846</v>
          </cell>
          <cell r="D420" t="str">
            <v>Excavación Para Cimiento De 0.15 X 0.15 Mts Y Retiro De Material</v>
          </cell>
          <cell r="E420" t="str">
            <v>ML</v>
          </cell>
          <cell r="F420">
            <v>4670</v>
          </cell>
          <cell r="G420">
            <v>42314</v>
          </cell>
        </row>
        <row r="421">
          <cell r="C421">
            <v>847</v>
          </cell>
          <cell r="D421" t="str">
            <v>Cimiento De 0.15 X 0.15 Metros En Concreto De Fc = 3000 Psi</v>
          </cell>
          <cell r="E421" t="str">
            <v>ML</v>
          </cell>
          <cell r="F421">
            <v>15480.28</v>
          </cell>
          <cell r="G421">
            <v>41386</v>
          </cell>
        </row>
        <row r="422">
          <cell r="C422">
            <v>848</v>
          </cell>
          <cell r="D422" t="str">
            <v>Demolición De Estructura En Concreto Reforzado,  Con Ancho &lt; 0.30 Metros Incluye Retiro De Material</v>
          </cell>
          <cell r="E422" t="str">
            <v>M2</v>
          </cell>
          <cell r="F422">
            <v>40408.14</v>
          </cell>
          <cell r="G422">
            <v>42417</v>
          </cell>
        </row>
        <row r="423">
          <cell r="C423">
            <v>869</v>
          </cell>
          <cell r="D423" t="str">
            <v>Suministro E Instalación De Luminaria Tipo Wall Pack De 175 W - 220 V Matal Halide, Ref. Quimbaya Ii Mhr Roy Alpha, Incluye Bombillo Y Fotocelda</v>
          </cell>
          <cell r="E423" t="str">
            <v>UN</v>
          </cell>
          <cell r="F423">
            <v>462320</v>
          </cell>
          <cell r="G423">
            <v>41480</v>
          </cell>
        </row>
        <row r="424">
          <cell r="C424">
            <v>879</v>
          </cell>
          <cell r="D424" t="str">
            <v>Piso En Baldosa Duranato Color Beige Con Vetas De 0.60 X 0.60 Mts</v>
          </cell>
          <cell r="E424" t="str">
            <v>M2</v>
          </cell>
          <cell r="F424">
            <v>78650.78</v>
          </cell>
          <cell r="G424">
            <v>41057</v>
          </cell>
        </row>
        <row r="425">
          <cell r="C425">
            <v>888</v>
          </cell>
          <cell r="D425" t="str">
            <v>Formaleteria Metálica Para Losa</v>
          </cell>
          <cell r="E425" t="str">
            <v>M2</v>
          </cell>
          <cell r="F425">
            <v>3168.43</v>
          </cell>
          <cell r="G425">
            <v>42825</v>
          </cell>
        </row>
        <row r="426">
          <cell r="C426">
            <v>889</v>
          </cell>
          <cell r="D426" t="str">
            <v>Formaletería Metálica Para Muro</v>
          </cell>
          <cell r="E426" t="str">
            <v>M2</v>
          </cell>
          <cell r="F426">
            <v>2691.43</v>
          </cell>
          <cell r="G426">
            <v>42825</v>
          </cell>
        </row>
        <row r="427">
          <cell r="C427">
            <v>890</v>
          </cell>
          <cell r="D427" t="str">
            <v>Formaletería Metálica Para Columna Altura 2.40 Mts</v>
          </cell>
          <cell r="E427" t="str">
            <v>DI</v>
          </cell>
          <cell r="F427">
            <v>13376.32</v>
          </cell>
          <cell r="G427">
            <v>42825</v>
          </cell>
        </row>
        <row r="428">
          <cell r="C428">
            <v>891</v>
          </cell>
          <cell r="D428" t="str">
            <v>Formaleteria Metalica Para Columna</v>
          </cell>
          <cell r="E428" t="str">
            <v>ML</v>
          </cell>
          <cell r="F428">
            <v>5618.05</v>
          </cell>
          <cell r="G428">
            <v>42825</v>
          </cell>
        </row>
        <row r="429">
          <cell r="C429">
            <v>892</v>
          </cell>
          <cell r="D429" t="str">
            <v>Formaletería Metálica Por Una Cara Para Viga, Columna De Confinamiento &lt; 0.50 Mts</v>
          </cell>
          <cell r="E429" t="str">
            <v>ML</v>
          </cell>
          <cell r="F429">
            <v>1170</v>
          </cell>
          <cell r="G429">
            <v>42752</v>
          </cell>
        </row>
        <row r="430">
          <cell r="C430">
            <v>896</v>
          </cell>
          <cell r="D430" t="str">
            <v>Concreto De 1500 Psi</v>
          </cell>
          <cell r="E430" t="str">
            <v>M3</v>
          </cell>
          <cell r="F430">
            <v>235430.04</v>
          </cell>
          <cell r="G430">
            <v>42438</v>
          </cell>
        </row>
        <row r="431">
          <cell r="C431">
            <v>897</v>
          </cell>
          <cell r="D431" t="str">
            <v>Plantilla Para Piso En Concreto De 1500 Psi E = 0.05 Mts</v>
          </cell>
          <cell r="E431" t="str">
            <v>M2</v>
          </cell>
          <cell r="F431">
            <v>20310.88</v>
          </cell>
          <cell r="G431">
            <v>42415</v>
          </cell>
        </row>
        <row r="432">
          <cell r="C432">
            <v>898</v>
          </cell>
          <cell r="D432" t="str">
            <v>Mortero 1:5</v>
          </cell>
          <cell r="E432" t="str">
            <v>M3</v>
          </cell>
          <cell r="F432">
            <v>208758.95</v>
          </cell>
          <cell r="G432">
            <v>42438</v>
          </cell>
        </row>
        <row r="433">
          <cell r="C433">
            <v>899</v>
          </cell>
          <cell r="D433" t="str">
            <v>Pañete Allanado Sobre Muro Con Mortero 1:5</v>
          </cell>
          <cell r="E433" t="str">
            <v>M2</v>
          </cell>
          <cell r="F433">
            <v>14682.07</v>
          </cell>
          <cell r="G433">
            <v>41712</v>
          </cell>
        </row>
        <row r="434">
          <cell r="C434">
            <v>900</v>
          </cell>
          <cell r="D434" t="str">
            <v>Cimiento De 0.30 X 0.30 Metros En Concreto De 2500 Psi.</v>
          </cell>
          <cell r="E434" t="str">
            <v>ML</v>
          </cell>
          <cell r="F434">
            <v>38029.760000000002</v>
          </cell>
          <cell r="G434">
            <v>42447</v>
          </cell>
        </row>
        <row r="435">
          <cell r="C435">
            <v>901</v>
          </cell>
          <cell r="D435" t="str">
            <v>Plantilla Para Piso En Concreto De 3000 Psi E = 0.05 Mts</v>
          </cell>
          <cell r="E435" t="str">
            <v>M2</v>
          </cell>
          <cell r="F435">
            <v>24186.79</v>
          </cell>
          <cell r="G435">
            <v>42524</v>
          </cell>
        </row>
        <row r="436">
          <cell r="C436">
            <v>902</v>
          </cell>
          <cell r="D436" t="str">
            <v>Pavimento En Concreto Rigido De 3000 Psi E = 0.10 Mts, Pasadores D = 1/2" - Longitud 0.25 Metros A Cada 0.30 Metros Y D = 3/8" - Longitud 0.65 Metros A Cada 1.00 Metro, Junta Y Antisol</v>
          </cell>
          <cell r="E436" t="str">
            <v>M2</v>
          </cell>
          <cell r="F436">
            <v>75113.52</v>
          </cell>
          <cell r="G436">
            <v>42493</v>
          </cell>
        </row>
        <row r="437">
          <cell r="C437">
            <v>903</v>
          </cell>
          <cell r="D437" t="str">
            <v>Estudio De Planimetria Y Altimetria En Arroyos No Canalizados De Seccion &gt; 4.00 Mts Y &lt; 20.00 Mts, Incluye Limpieza Manual Y Elaboración De Planos</v>
          </cell>
          <cell r="E437" t="str">
            <v>ML</v>
          </cell>
          <cell r="F437">
            <v>3759.67</v>
          </cell>
          <cell r="G437">
            <v>40669</v>
          </cell>
        </row>
        <row r="438">
          <cell r="C438">
            <v>906</v>
          </cell>
          <cell r="D438" t="str">
            <v>Columna En Concreto De 3000 Psi, De 0.20 X 0.20 Mts, Incluye Acero De Refuerzo De 4 Varillas De 1/2", Estribos De 3/8" A Cada 0.20 Mts</v>
          </cell>
          <cell r="E438" t="str">
            <v>ML</v>
          </cell>
          <cell r="F438">
            <v>61546.69</v>
          </cell>
          <cell r="G438">
            <v>41799</v>
          </cell>
        </row>
        <row r="439">
          <cell r="C439">
            <v>907</v>
          </cell>
          <cell r="D439" t="str">
            <v>Excavación Para Cimiento De 0.30 X 0.60 Mts Y Retiro De Material Sobrante</v>
          </cell>
          <cell r="E439" t="str">
            <v>ML</v>
          </cell>
          <cell r="F439">
            <v>6633.33</v>
          </cell>
          <cell r="G439">
            <v>42415</v>
          </cell>
        </row>
        <row r="440">
          <cell r="C440">
            <v>908</v>
          </cell>
          <cell r="D440" t="str">
            <v>Cimiento De 0.30 X 0.30 Mts, En Concreto De 3000 Psi Reforzado Con 4 Varillas De 1/2", Estribos De 3/8" A Cada 0.20 Mts</v>
          </cell>
          <cell r="E440" t="str">
            <v>ML</v>
          </cell>
          <cell r="F440">
            <v>80340.75</v>
          </cell>
          <cell r="G440">
            <v>42314</v>
          </cell>
        </row>
        <row r="441">
          <cell r="C441">
            <v>909</v>
          </cell>
          <cell r="D441" t="str">
            <v>Zabaleta En Ladrillo Común Con Mortero De Pega 1:4 Impermeabilizada Con Manto Edil</v>
          </cell>
          <cell r="E441" t="str">
            <v>ML</v>
          </cell>
          <cell r="F441">
            <v>69134.94</v>
          </cell>
          <cell r="G441">
            <v>42415</v>
          </cell>
        </row>
        <row r="442">
          <cell r="C442">
            <v>910</v>
          </cell>
          <cell r="D442" t="str">
            <v>Desmonte Y Reinstalación De Cubierta En Asbesto Cemento, Incluye Amarre Y Ganchos De Fijación</v>
          </cell>
          <cell r="E442" t="str">
            <v>M2</v>
          </cell>
          <cell r="F442">
            <v>28424.86</v>
          </cell>
          <cell r="G442">
            <v>41670</v>
          </cell>
        </row>
        <row r="443">
          <cell r="C443">
            <v>911</v>
          </cell>
          <cell r="D443" t="str">
            <v>Viga Corona En Concreto De 3000 Psi De 0.30 X 0.20 Mts, Incluye Acero De Refuerzo 4 Varillas D= 1/2", Estribos De D=3/8" A Cada 0.15 Mts</v>
          </cell>
          <cell r="E443" t="str">
            <v>ML</v>
          </cell>
          <cell r="F443">
            <v>84438.33</v>
          </cell>
          <cell r="G443">
            <v>41569</v>
          </cell>
        </row>
        <row r="444">
          <cell r="C444">
            <v>912</v>
          </cell>
          <cell r="D444" t="str">
            <v>Columna En Concreto De 3000 Psi, De 0.20 X 0.30 Mts, Incluye Acero De Refuerzo 4 Varillas De 1/2", Estribos De 3/8" A Cada 0.20 Mts</v>
          </cell>
          <cell r="E444" t="str">
            <v>ML</v>
          </cell>
          <cell r="F444">
            <v>75002.63</v>
          </cell>
          <cell r="G444">
            <v>41771</v>
          </cell>
        </row>
        <row r="445">
          <cell r="C445">
            <v>913</v>
          </cell>
          <cell r="D445" t="str">
            <v>Suministro E Instalacion De Reja De Hierro De 1.04 X 2.10 Mts, Incluye Pintura Contra Oxido Y Esmalte.</v>
          </cell>
          <cell r="E445" t="str">
            <v>UN</v>
          </cell>
          <cell r="F445">
            <v>300000</v>
          </cell>
          <cell r="G445">
            <v>39897</v>
          </cell>
        </row>
        <row r="446">
          <cell r="C446">
            <v>914</v>
          </cell>
          <cell r="D446" t="str">
            <v>Boya De Nivel Tipo Mercurio Incluido Soporte Metálico Galvanizado En Caliente</v>
          </cell>
          <cell r="E446" t="str">
            <v>UN</v>
          </cell>
          <cell r="F446">
            <v>356900</v>
          </cell>
          <cell r="G446">
            <v>41480</v>
          </cell>
        </row>
        <row r="447">
          <cell r="C447">
            <v>915</v>
          </cell>
          <cell r="D447" t="str">
            <v>Fuente Regulada De 110 Va.C - 24 Vd.C Omron Phoenix Contact De 50 W</v>
          </cell>
          <cell r="E447" t="str">
            <v>UN</v>
          </cell>
          <cell r="F447">
            <v>650000</v>
          </cell>
          <cell r="G447">
            <v>41480</v>
          </cell>
        </row>
        <row r="448">
          <cell r="C448">
            <v>916</v>
          </cell>
          <cell r="D448" t="str">
            <v>Plc Twido De Telemecanique Ref Twdlcaa24Drf, Incluye Programación En Ladder De Acuerdo A Requerimientos De Triple A</v>
          </cell>
          <cell r="E448" t="str">
            <v>UN</v>
          </cell>
          <cell r="F448">
            <v>9650000</v>
          </cell>
          <cell r="G448">
            <v>41480</v>
          </cell>
        </row>
        <row r="449">
          <cell r="C449">
            <v>917</v>
          </cell>
          <cell r="D449" t="str">
            <v>Suministro E Instalación De División Y Puerta De Vidrio Templado Para Sala De Juntas</v>
          </cell>
          <cell r="E449" t="str">
            <v>UN</v>
          </cell>
          <cell r="F449">
            <v>4500000</v>
          </cell>
          <cell r="G449">
            <v>41935</v>
          </cell>
        </row>
        <row r="450">
          <cell r="C450">
            <v>918</v>
          </cell>
          <cell r="D450" t="str">
            <v>Protección Contra Sobretensión 110 V Ac Marca Sime Timer</v>
          </cell>
          <cell r="E450" t="str">
            <v>UN</v>
          </cell>
          <cell r="F450">
            <v>1120000</v>
          </cell>
          <cell r="G450">
            <v>41480</v>
          </cell>
        </row>
        <row r="451">
          <cell r="C451">
            <v>920</v>
          </cell>
          <cell r="D451" t="str">
            <v>Suministro E Instalación De Sanitario Blanco Línea Infantil O Pre Escolar, Incluye Interiores.</v>
          </cell>
          <cell r="E451" t="str">
            <v>UN</v>
          </cell>
          <cell r="F451">
            <v>391001.17</v>
          </cell>
          <cell r="G451">
            <v>41717</v>
          </cell>
        </row>
        <row r="452">
          <cell r="C452">
            <v>922</v>
          </cell>
          <cell r="D452" t="str">
            <v>Muro En Concreto Ciclopeo, 60% Concreto De 3000 Psi, 40% De Piedra Ciclopea</v>
          </cell>
          <cell r="E452" t="str">
            <v>M3</v>
          </cell>
          <cell r="F452">
            <v>372473.69</v>
          </cell>
          <cell r="G452">
            <v>41786</v>
          </cell>
        </row>
        <row r="453">
          <cell r="C453">
            <v>923</v>
          </cell>
          <cell r="D453" t="str">
            <v>Zapata O Cimiento  En Concreto Ciclópeo, 60% Concreto De 3000 Psi, 40% En Piedra Ciclópea</v>
          </cell>
          <cell r="E453" t="str">
            <v>M3</v>
          </cell>
          <cell r="F453">
            <v>309214.53000000003</v>
          </cell>
          <cell r="G453">
            <v>41038</v>
          </cell>
        </row>
        <row r="454">
          <cell r="C454">
            <v>924</v>
          </cell>
          <cell r="D454" t="str">
            <v>Placa De Fondo En Concreto De 3000 Psi E= 0.25 Mts, No Incluye Acero De Refuerzo</v>
          </cell>
          <cell r="E454" t="str">
            <v>M3</v>
          </cell>
          <cell r="F454">
            <v>585502.74</v>
          </cell>
          <cell r="G454">
            <v>41906</v>
          </cell>
        </row>
        <row r="455">
          <cell r="C455">
            <v>925</v>
          </cell>
          <cell r="D455" t="str">
            <v>Escarificación De Impermeabilización Existente Y Retiro De Material</v>
          </cell>
          <cell r="E455" t="str">
            <v>M2</v>
          </cell>
          <cell r="F455">
            <v>4175</v>
          </cell>
          <cell r="G455">
            <v>42472</v>
          </cell>
        </row>
        <row r="456">
          <cell r="C456">
            <v>926</v>
          </cell>
          <cell r="D456" t="str">
            <v>Demolición De Torta De Niveles De Cubierta Y Retiro De Material</v>
          </cell>
          <cell r="E456" t="str">
            <v>M2</v>
          </cell>
          <cell r="F456">
            <v>5915</v>
          </cell>
          <cell r="G456">
            <v>41569</v>
          </cell>
        </row>
        <row r="457">
          <cell r="C457">
            <v>927</v>
          </cell>
          <cell r="D457" t="str">
            <v>Levante De Pollo En Ladrillo Común Con Mortero De Pega 1:4, Pañetado, De 0.12 X 0.08 Metros</v>
          </cell>
          <cell r="E457" t="str">
            <v>ML</v>
          </cell>
          <cell r="F457">
            <v>9950.1</v>
          </cell>
          <cell r="G457">
            <v>41022</v>
          </cell>
        </row>
        <row r="458">
          <cell r="C458">
            <v>929</v>
          </cell>
          <cell r="D458" t="str">
            <v>Suministro E Instalación De Ventana En Aluminio Anodizado Natural, Bronce O Blanco, Con Vidrio Transparente De 4 Mm, Un Cuerpo Fijo</v>
          </cell>
          <cell r="E458" t="str">
            <v>M2</v>
          </cell>
          <cell r="F458">
            <v>194311.31</v>
          </cell>
          <cell r="G458">
            <v>42538</v>
          </cell>
        </row>
        <row r="459">
          <cell r="C459">
            <v>930</v>
          </cell>
          <cell r="D459" t="str">
            <v>Plantilla De Piso En Mortero 1:6 E = 0.05 Mts</v>
          </cell>
          <cell r="E459" t="str">
            <v>M2</v>
          </cell>
          <cell r="F459">
            <v>16494.95</v>
          </cell>
          <cell r="G459">
            <v>42534</v>
          </cell>
        </row>
        <row r="460">
          <cell r="C460">
            <v>931</v>
          </cell>
          <cell r="D460" t="str">
            <v>Plantilla De Piso En Mortero 1:6 Impermabilizado E = 0.05 Mts</v>
          </cell>
          <cell r="E460" t="str">
            <v>M2</v>
          </cell>
          <cell r="F460">
            <v>24420.15</v>
          </cell>
          <cell r="G460">
            <v>41064</v>
          </cell>
        </row>
        <row r="461">
          <cell r="C461">
            <v>933</v>
          </cell>
          <cell r="D461" t="str">
            <v>Pañete Exterior Allanado Con Mortero 1:4</v>
          </cell>
          <cell r="E461" t="str">
            <v>M2</v>
          </cell>
          <cell r="F461">
            <v>21728.1</v>
          </cell>
          <cell r="G461">
            <v>42415</v>
          </cell>
        </row>
        <row r="462">
          <cell r="C462">
            <v>934</v>
          </cell>
          <cell r="D462" t="str">
            <v>Demolición De Estructura De 1.00 X 0.60 Metros, Losa En Concreto De Espesor  &gt; 0.05 Y &lt; 0.15 Mts. Y Retiro De Material</v>
          </cell>
          <cell r="E462" t="str">
            <v>ML</v>
          </cell>
          <cell r="F462">
            <v>19714.36</v>
          </cell>
          <cell r="G462">
            <v>42489</v>
          </cell>
        </row>
        <row r="463">
          <cell r="C463">
            <v>935</v>
          </cell>
          <cell r="D463" t="str">
            <v>Plantilla De Base Para Mueble De Cocina De 0.60 X 2.50 Metros,  En Concreto De 2500 Psi E = 0.07 Metros</v>
          </cell>
          <cell r="E463" t="str">
            <v>UN</v>
          </cell>
          <cell r="F463">
            <v>50375.79</v>
          </cell>
          <cell r="G463">
            <v>41066</v>
          </cell>
        </row>
        <row r="464">
          <cell r="C464">
            <v>936</v>
          </cell>
          <cell r="D464" t="str">
            <v>Desmonte De Ventana Y Retiro De Material</v>
          </cell>
          <cell r="E464" t="str">
            <v>UN</v>
          </cell>
          <cell r="F464">
            <v>17905</v>
          </cell>
          <cell r="G464">
            <v>42472</v>
          </cell>
        </row>
        <row r="465">
          <cell r="C465">
            <v>937</v>
          </cell>
          <cell r="D465" t="str">
            <v>Resane De Fisuras Y/O Grietas En Muros Y Gradas</v>
          </cell>
          <cell r="E465" t="str">
            <v>ML</v>
          </cell>
          <cell r="F465">
            <v>8995.5499999999993</v>
          </cell>
          <cell r="G465">
            <v>41508</v>
          </cell>
        </row>
        <row r="466">
          <cell r="C466">
            <v>938</v>
          </cell>
          <cell r="D466" t="str">
            <v>Lavadero, Con Plantilla De Piso En Concreto De 2500 Psi E = 0.07, De 2.00 X 1.00 Metros, Mamposteria En Bloque De Cemento Vibrado , Pañete Y Mortero De Pega 1:4 Impermeabilizado, Cimiento En Concreto De 3000 Psi De 0.30 X 0.30 Metros, Lavadero Prefabricado En Granito De 0.60 X 0.50 Metros, Con Sus Accesorios Sanitarios, Válvula De 1/2"</v>
          </cell>
          <cell r="E466" t="str">
            <v>UN</v>
          </cell>
          <cell r="F466">
            <v>414361.15</v>
          </cell>
          <cell r="G466">
            <v>42415</v>
          </cell>
        </row>
        <row r="467">
          <cell r="C467">
            <v>941</v>
          </cell>
          <cell r="D467" t="str">
            <v>Meson De Cocina De 0.60 X2.50 Metros, Mamposteria En Bloque De Cemento Vibrado Con Pañete Y Mortero De Pega 1:4 Impermeabilizado, Losa Superior En Concreto De 3000 Psi Reforzada Con Varillas De 3/8" En Ambos Sentidos A Cada 0.15 Metros De E = 0.05 Mts, Lavaplatos De Acero Inoxidable De Empotrar, Con Sus Accesorios</v>
          </cell>
          <cell r="E467" t="str">
            <v>UN</v>
          </cell>
          <cell r="F467">
            <v>428679.53</v>
          </cell>
          <cell r="G467">
            <v>42415</v>
          </cell>
        </row>
        <row r="468">
          <cell r="C468">
            <v>942</v>
          </cell>
          <cell r="D468" t="str">
            <v>Reconstrucción De Alero En Concreto De 3000 Psi, Incluye Picada De Losa Y Retiro De Material En Mal Estado, Colocación De Malla Electrosoldada Y Aditivo Sikadur 32 O Similar Para La Adherencia Del Concreto.</v>
          </cell>
          <cell r="E468" t="str">
            <v>M2</v>
          </cell>
          <cell r="F468">
            <v>116310.2</v>
          </cell>
          <cell r="G468">
            <v>41912</v>
          </cell>
        </row>
        <row r="469">
          <cell r="C469">
            <v>943</v>
          </cell>
          <cell r="D469" t="str">
            <v>Reparación De Losa De Cubierta En La Parte Inferior, Incluye Picada De Mortero, Aplicación De Mortero 1:4, Aditivo Sikadur 32 O Similar, Malla Electrosoldada</v>
          </cell>
          <cell r="E469" t="str">
            <v>M2</v>
          </cell>
          <cell r="F469">
            <v>76316.570000000007</v>
          </cell>
          <cell r="G469">
            <v>41067</v>
          </cell>
        </row>
        <row r="470">
          <cell r="C470">
            <v>944</v>
          </cell>
          <cell r="D470" t="str">
            <v>Excavación Y Fundida De Zapata De 0.80 X 0.80 X 0.30 Mts En Concreto De 3000 Psi, Reforzada.</v>
          </cell>
          <cell r="E470" t="str">
            <v>UN</v>
          </cell>
          <cell r="F470">
            <v>198173</v>
          </cell>
          <cell r="G470">
            <v>41569</v>
          </cell>
        </row>
        <row r="471">
          <cell r="C471">
            <v>945</v>
          </cell>
          <cell r="D471" t="str">
            <v>Excavación Y Fundida De Zapata De 1.20 X 1.20 X 0.30 Mts, Con Concreto De 3000 Psi, Reforzada</v>
          </cell>
          <cell r="E471" t="str">
            <v>UN</v>
          </cell>
          <cell r="F471">
            <v>258225.44</v>
          </cell>
          <cell r="G471">
            <v>42496</v>
          </cell>
        </row>
        <row r="472">
          <cell r="C472">
            <v>946</v>
          </cell>
          <cell r="D472" t="str">
            <v>Columna En Concreto De 3000 Psi, De 0.30 X 0.30 Mts, Incluye Acero De Refuerzo 4 Varillas De 1/2", Estribos De 3/8" A Cada 0.20 Metros</v>
          </cell>
          <cell r="E472" t="str">
            <v>ML</v>
          </cell>
          <cell r="F472">
            <v>84677.21</v>
          </cell>
          <cell r="G472">
            <v>41767</v>
          </cell>
        </row>
        <row r="473">
          <cell r="C473">
            <v>947</v>
          </cell>
          <cell r="D473" t="str">
            <v>Alfagías De 0.10 X 0.10 Metros En Concreto De 3000 Psi, Reforzado Con 2 Varilla De D = 3/8", Estribos De D = 1/4" A Cada 0.20 Mts</v>
          </cell>
          <cell r="E473" t="str">
            <v>ML</v>
          </cell>
          <cell r="F473">
            <v>23806.89</v>
          </cell>
          <cell r="G473">
            <v>42578</v>
          </cell>
        </row>
        <row r="474">
          <cell r="C474">
            <v>948</v>
          </cell>
          <cell r="D474" t="str">
            <v>Pintura En Esmalte Para Puerta En Lamina Galvanizada, Incluye Aplicación De Anticorrosivo</v>
          </cell>
          <cell r="E474" t="str">
            <v>M2</v>
          </cell>
          <cell r="F474">
            <v>32724.33</v>
          </cell>
          <cell r="G474">
            <v>42496</v>
          </cell>
        </row>
        <row r="475">
          <cell r="C475">
            <v>949</v>
          </cell>
          <cell r="D475" t="str">
            <v>Pavimento En Concreto Rígido Mr = 600, E = 0.20 Mts, Pasadores D = 1"  - Longitud 0.35 Metros A Cada 0.30 Metros Y D = 1/2" - Longitud 0.85 Metros A Cada 1.20 Metros, Junta Y Antisol</v>
          </cell>
          <cell r="E475" t="str">
            <v>M2</v>
          </cell>
          <cell r="F475">
            <v>134149.84</v>
          </cell>
          <cell r="G475">
            <v>42493</v>
          </cell>
        </row>
        <row r="476">
          <cell r="C476">
            <v>952</v>
          </cell>
          <cell r="D476" t="str">
            <v>Cerramiento Provisional Perimetral De Protección En Polisombra, Con Altura De 2.00 Metros</v>
          </cell>
          <cell r="E476" t="str">
            <v>ML</v>
          </cell>
          <cell r="F476">
            <v>13110.75</v>
          </cell>
          <cell r="G476">
            <v>42314</v>
          </cell>
        </row>
        <row r="477">
          <cell r="C477">
            <v>953</v>
          </cell>
          <cell r="D477" t="str">
            <v>Demolicion De Zapata 1.00 X 1.00 X 0.30 Mts</v>
          </cell>
          <cell r="E477" t="str">
            <v>UN</v>
          </cell>
          <cell r="F477">
            <v>12000</v>
          </cell>
          <cell r="G477">
            <v>39918</v>
          </cell>
        </row>
        <row r="478">
          <cell r="C478">
            <v>954</v>
          </cell>
          <cell r="D478" t="str">
            <v>Ajuste Y Mantenimiento De Cielo Raso En Lámina Plana De Asbesto Cemento</v>
          </cell>
          <cell r="E478" t="str">
            <v>M2</v>
          </cell>
          <cell r="F478">
            <v>9579.25</v>
          </cell>
          <cell r="G478">
            <v>41015</v>
          </cell>
        </row>
        <row r="479">
          <cell r="C479">
            <v>955</v>
          </cell>
          <cell r="D479" t="str">
            <v>Reparación, Mantenimiento E Instalación De Salida De Alumbrado</v>
          </cell>
          <cell r="E479" t="str">
            <v>UN</v>
          </cell>
          <cell r="F479">
            <v>46174.75</v>
          </cell>
          <cell r="G479">
            <v>41067</v>
          </cell>
        </row>
        <row r="480">
          <cell r="C480">
            <v>956</v>
          </cell>
          <cell r="D480" t="str">
            <v>Capitulo - Gestiones Y Certificaciones</v>
          </cell>
          <cell r="E480" t="str">
            <v>SD</v>
          </cell>
          <cell r="F480">
            <v>0</v>
          </cell>
          <cell r="G480">
            <v>41554</v>
          </cell>
        </row>
        <row r="481">
          <cell r="C481">
            <v>957</v>
          </cell>
          <cell r="D481" t="str">
            <v>Suministro E Instalación De Bajante De Aguas Lluvias, En Tuberia Pvc Diametro 4"</v>
          </cell>
          <cell r="E481" t="str">
            <v>ML</v>
          </cell>
          <cell r="F481">
            <v>41583.35</v>
          </cell>
          <cell r="G481">
            <v>42578</v>
          </cell>
        </row>
        <row r="482">
          <cell r="C482">
            <v>958</v>
          </cell>
          <cell r="D482" t="str">
            <v>Piso En Adoquín Tipo Rectangular Peatonal E = 0.06 Mts, Con Borde De Confinamiento De 0.15 X 0.30 Metros En Concreto De 3000 Psi A Cada 3.00 Mts, Reforzado Con 2 Varillas De D = 3/8" Y Estribos De D = 1/4" A Cada 0.32 Mts</v>
          </cell>
          <cell r="E482" t="str">
            <v>M2</v>
          </cell>
          <cell r="F482">
            <v>85458.62</v>
          </cell>
          <cell r="G482">
            <v>42496</v>
          </cell>
        </row>
        <row r="483">
          <cell r="C483">
            <v>960</v>
          </cell>
          <cell r="D483" t="str">
            <v>Levante De Muro En Ladrillo Común Para Jardinera De 0.20 X 0.12 Mts, Con Mortero De Pega 1:4</v>
          </cell>
          <cell r="E483" t="str">
            <v>ML</v>
          </cell>
          <cell r="F483">
            <v>13310.1</v>
          </cell>
          <cell r="G483">
            <v>42524</v>
          </cell>
        </row>
        <row r="484">
          <cell r="C484">
            <v>962</v>
          </cell>
          <cell r="D484" t="str">
            <v>Ornamentación Y Jardinería - Relleno En Arena Negra Abonada Para Jardines, Incluye Transporte</v>
          </cell>
          <cell r="E484" t="str">
            <v>M3</v>
          </cell>
          <cell r="F484">
            <v>41550</v>
          </cell>
          <cell r="G484">
            <v>42538</v>
          </cell>
        </row>
        <row r="485">
          <cell r="C485">
            <v>963</v>
          </cell>
          <cell r="D485" t="str">
            <v>Piso Exterior En Tablon Vitrificado De 0.33 X 0.33 Mts, Junta En Piedra China Lavada De E = 0.05 Mts, Ancho 0.30 Mts</v>
          </cell>
          <cell r="E485" t="str">
            <v>ML</v>
          </cell>
          <cell r="F485">
            <v>11700</v>
          </cell>
          <cell r="G485">
            <v>39920</v>
          </cell>
        </row>
        <row r="486">
          <cell r="C486">
            <v>967</v>
          </cell>
          <cell r="D486" t="str">
            <v>Sensor De Intruismo Para Portón De Acceso, Incluye Fuente De 24 Vdc</v>
          </cell>
          <cell r="E486" t="str">
            <v>UN</v>
          </cell>
          <cell r="F486">
            <v>1200500</v>
          </cell>
          <cell r="G486">
            <v>41480</v>
          </cell>
        </row>
        <row r="487">
          <cell r="C487">
            <v>968</v>
          </cell>
          <cell r="D487" t="str">
            <v>Borna Phoenix Contact Ref Uk5N</v>
          </cell>
          <cell r="E487" t="str">
            <v>UN</v>
          </cell>
          <cell r="F487">
            <v>1200</v>
          </cell>
          <cell r="G487">
            <v>41480</v>
          </cell>
        </row>
        <row r="488">
          <cell r="C488">
            <v>969</v>
          </cell>
          <cell r="D488" t="str">
            <v>Suministro E Instalación De Tubería Conduit Galvanizada De D = 3/4"</v>
          </cell>
          <cell r="E488" t="str">
            <v>ML</v>
          </cell>
          <cell r="F488">
            <v>12300</v>
          </cell>
          <cell r="G488">
            <v>41480</v>
          </cell>
        </row>
        <row r="489">
          <cell r="C489">
            <v>970</v>
          </cell>
          <cell r="D489" t="str">
            <v>Suministro E Instalación De Cable Vehicular No. 16 Color Azul</v>
          </cell>
          <cell r="E489" t="str">
            <v>ML</v>
          </cell>
          <cell r="F489">
            <v>4820</v>
          </cell>
          <cell r="G489">
            <v>41480</v>
          </cell>
        </row>
        <row r="490">
          <cell r="C490">
            <v>981</v>
          </cell>
          <cell r="D490" t="str">
            <v>E - Desmonte, Suministro E Instalación De Acometida Eléctrica Y Tablero De 18 Circuitos Monofásico Con Puerta, Tipo Siemens O Similar.</v>
          </cell>
          <cell r="E490" t="str">
            <v>UN</v>
          </cell>
          <cell r="F490">
            <v>1385870</v>
          </cell>
          <cell r="G490">
            <v>41451</v>
          </cell>
        </row>
        <row r="491">
          <cell r="C491">
            <v>1021</v>
          </cell>
          <cell r="D491" t="str">
            <v>Suministro Y Aplicación De Sello Expandible Contra El Paso De Agua En Juntas De Construcción  Y Pases De Tubería Sikaswell S O Similar (Según Planos Y Especificaciones De Diseño)</v>
          </cell>
          <cell r="E491" t="str">
            <v>ML</v>
          </cell>
          <cell r="F491">
            <v>25588</v>
          </cell>
          <cell r="G491">
            <v>41479</v>
          </cell>
        </row>
        <row r="492">
          <cell r="C492">
            <v>1022</v>
          </cell>
          <cell r="D492" t="str">
            <v>Suministro E Instalación De Grifería Para Lavaplatos Tipo Grival O Similar</v>
          </cell>
          <cell r="E492" t="str">
            <v>UN</v>
          </cell>
          <cell r="F492">
            <v>95105</v>
          </cell>
          <cell r="G492">
            <v>42314</v>
          </cell>
        </row>
        <row r="493">
          <cell r="C493">
            <v>1023</v>
          </cell>
          <cell r="D493" t="str">
            <v>E - Suministro E Instalación De Tablero De 18 Circuitos, Incluye Tacos</v>
          </cell>
          <cell r="E493" t="str">
            <v>UN</v>
          </cell>
          <cell r="F493">
            <v>617156.67000000004</v>
          </cell>
          <cell r="G493">
            <v>41569</v>
          </cell>
        </row>
        <row r="494">
          <cell r="C494">
            <v>1024</v>
          </cell>
          <cell r="D494" t="str">
            <v>Estuco Sobre Pañete Allanado Para Cielo Raso</v>
          </cell>
          <cell r="E494" t="str">
            <v>M2</v>
          </cell>
          <cell r="F494">
            <v>10649.99</v>
          </cell>
          <cell r="G494">
            <v>41912</v>
          </cell>
        </row>
        <row r="495">
          <cell r="C495">
            <v>1025</v>
          </cell>
          <cell r="D495" t="str">
            <v>E - Acometida Eléctrica Con Tubería Conduit Pvc D = 1" , Alambrado Con Cable No. 4</v>
          </cell>
          <cell r="E495" t="str">
            <v>ML</v>
          </cell>
          <cell r="F495">
            <v>51569.919999999998</v>
          </cell>
          <cell r="G495">
            <v>41569</v>
          </cell>
        </row>
        <row r="496">
          <cell r="C496">
            <v>1026</v>
          </cell>
          <cell r="D496" t="str">
            <v>Pavimento En Concreto Rigido Mr = 36, Con Acelerado De 3 Dias, E = 0.15 Mts, Pasadores D = 3/4" - Longitud 0.35 Metros A Cada 0.30 Metros Y  D = 1/2" Longitud 0.85 Metros A Cada 1.20 Metros , Junta Y Antisol</v>
          </cell>
          <cell r="E496" t="str">
            <v>M2</v>
          </cell>
          <cell r="F496">
            <v>106405.17</v>
          </cell>
          <cell r="G496">
            <v>42493</v>
          </cell>
        </row>
        <row r="497">
          <cell r="C497">
            <v>1028</v>
          </cell>
          <cell r="D497" t="str">
            <v>Pavimento En Concreto Rigido Mr = 36, Con Acelerado De 3 Dias, E = 0.20 Mts, Pasadores D = 1"  Longitud 0.35 Metros A Cada 0.30 Metros Y D = 1/2" - Longitud 0.85 Metros A Cada 1.20 Metros, Junta Y Antisol</v>
          </cell>
          <cell r="E497" t="str">
            <v>M2</v>
          </cell>
          <cell r="F497">
            <v>129958.24</v>
          </cell>
          <cell r="G497">
            <v>42493</v>
          </cell>
        </row>
        <row r="498">
          <cell r="C498">
            <v>1029</v>
          </cell>
          <cell r="D498" t="str">
            <v>Demolición De Andén Y Retiro De Material</v>
          </cell>
          <cell r="E498" t="str">
            <v>M2</v>
          </cell>
          <cell r="F498">
            <v>10228.91</v>
          </cell>
          <cell r="G498">
            <v>42524</v>
          </cell>
        </row>
        <row r="499">
          <cell r="C499">
            <v>1030</v>
          </cell>
          <cell r="D499" t="str">
            <v>Cuneta Bordillo En Concreto De 3000 Psi Reforzado, De 0.25 + 0.35 + 0.15  Mts, E =  0.10 Mts.</v>
          </cell>
          <cell r="E499" t="str">
            <v>ML</v>
          </cell>
          <cell r="F499">
            <v>61313.43</v>
          </cell>
          <cell r="G499">
            <v>42198</v>
          </cell>
        </row>
        <row r="500">
          <cell r="C500">
            <v>1031</v>
          </cell>
          <cell r="D500" t="str">
            <v>Concreto De 2000 Psi</v>
          </cell>
          <cell r="E500" t="str">
            <v>M3</v>
          </cell>
          <cell r="F500">
            <v>246973.55</v>
          </cell>
          <cell r="G500">
            <v>42438</v>
          </cell>
        </row>
        <row r="501">
          <cell r="C501">
            <v>1032</v>
          </cell>
          <cell r="D501" t="str">
            <v>P. B. O.  Anden En Concreto De 3000 Psi De E = 0.07 Mts, No Incluye Mano De Obra</v>
          </cell>
          <cell r="E501" t="str">
            <v>M2</v>
          </cell>
          <cell r="F501">
            <v>23990.79</v>
          </cell>
          <cell r="G501">
            <v>40283</v>
          </cell>
        </row>
        <row r="502">
          <cell r="C502">
            <v>1033</v>
          </cell>
          <cell r="D502" t="str">
            <v>P. B. O. Aplicacion De Geotextil Nt - 2500, No Incluye Mano De Obra</v>
          </cell>
          <cell r="E502" t="str">
            <v>M2</v>
          </cell>
          <cell r="F502">
            <v>7276.5</v>
          </cell>
          <cell r="G502">
            <v>40283</v>
          </cell>
        </row>
        <row r="503">
          <cell r="C503">
            <v>1034</v>
          </cell>
          <cell r="D503" t="str">
            <v>P. B. O. Bordillo En Concreto De 3000 Psi  De 0.15 X 0.30 Mts, No Incluye Mano De Obra</v>
          </cell>
          <cell r="E503" t="str">
            <v>ML</v>
          </cell>
          <cell r="F503">
            <v>19833.099999999999</v>
          </cell>
          <cell r="G503">
            <v>40283</v>
          </cell>
        </row>
        <row r="504">
          <cell r="C504">
            <v>1035</v>
          </cell>
          <cell r="D504" t="str">
            <v>P. B. O.  Excavacion Y Retiro De Material, No Incluye Mano De Obra</v>
          </cell>
          <cell r="E504" t="str">
            <v>M3</v>
          </cell>
          <cell r="F504">
            <v>37261.4</v>
          </cell>
          <cell r="G504">
            <v>40283</v>
          </cell>
        </row>
        <row r="505">
          <cell r="C505">
            <v>1036</v>
          </cell>
          <cell r="D505" t="str">
            <v>P. B. O. Nivelacion, Replanteo Y Señalizacion, No Incluye Mano De Obra</v>
          </cell>
          <cell r="E505" t="str">
            <v>M2</v>
          </cell>
          <cell r="F505">
            <v>1140.04</v>
          </cell>
          <cell r="G505">
            <v>40283</v>
          </cell>
        </row>
        <row r="506">
          <cell r="C506">
            <v>1037</v>
          </cell>
          <cell r="D506" t="str">
            <v>P. B. O. Pavimento En Concreto Rigido Mr = 500 Psi, E = 0.15 Mts, Pasadores De D = 1/2" Y 3/4", Junta Y Antisol, No Incluye Mano De Obra</v>
          </cell>
          <cell r="E506" t="str">
            <v>M2</v>
          </cell>
          <cell r="F506">
            <v>71625.2</v>
          </cell>
          <cell r="G506">
            <v>40283</v>
          </cell>
        </row>
        <row r="507">
          <cell r="C507">
            <v>1038</v>
          </cell>
          <cell r="D507" t="str">
            <v>P. B. O.  Relleno En Material Seleccionado Compactado, No Incluye Mano De Obra</v>
          </cell>
          <cell r="E507" t="str">
            <v>M3</v>
          </cell>
          <cell r="F507">
            <v>55550.91</v>
          </cell>
          <cell r="G507">
            <v>40283</v>
          </cell>
        </row>
        <row r="508">
          <cell r="C508">
            <v>1039</v>
          </cell>
          <cell r="D508" t="str">
            <v>Afirmado Estabilizado Con Cal, E = 0.30 Mts.</v>
          </cell>
          <cell r="E508" t="str">
            <v>M2</v>
          </cell>
          <cell r="F508">
            <v>32882.79</v>
          </cell>
          <cell r="G508">
            <v>41026</v>
          </cell>
        </row>
        <row r="509">
          <cell r="C509">
            <v>1040</v>
          </cell>
          <cell r="D509" t="str">
            <v>Desmonte De Capa Vegetal Y Retiro De Material</v>
          </cell>
          <cell r="E509" t="str">
            <v>M2</v>
          </cell>
          <cell r="F509">
            <v>5476</v>
          </cell>
          <cell r="G509">
            <v>41949</v>
          </cell>
        </row>
        <row r="510">
          <cell r="C510">
            <v>1041</v>
          </cell>
          <cell r="D510" t="str">
            <v>Columna En Concreto De 3000 Psi, De 0.40 X 0.40 Mts, Incluye Acero De Refuerzo De 8 Varillas De 1/2", Estribos De 3/8" A Cada 0.20 Mts</v>
          </cell>
          <cell r="E510" t="str">
            <v>ML</v>
          </cell>
          <cell r="F510">
            <v>142317.31</v>
          </cell>
          <cell r="G510">
            <v>41569</v>
          </cell>
        </row>
        <row r="511">
          <cell r="C511">
            <v>1042</v>
          </cell>
          <cell r="D511" t="str">
            <v>Salida De Ventilador De Techo</v>
          </cell>
          <cell r="E511" t="str">
            <v>UN</v>
          </cell>
          <cell r="F511">
            <v>49598.93</v>
          </cell>
          <cell r="G511">
            <v>39939</v>
          </cell>
        </row>
        <row r="512">
          <cell r="C512">
            <v>1043</v>
          </cell>
          <cell r="D512" t="str">
            <v>Suministro E Instalación De Tubería De Alcantarillado Durafort O Similar D = 12" - 315 Mm</v>
          </cell>
          <cell r="E512" t="str">
            <v>ML</v>
          </cell>
          <cell r="F512">
            <v>158488.12</v>
          </cell>
          <cell r="G512">
            <v>42548</v>
          </cell>
        </row>
        <row r="513">
          <cell r="C513">
            <v>1046</v>
          </cell>
          <cell r="D513" t="str">
            <v>Solado Para Cimiento E = 0.05 Mts En Concreto De 2000 Psi</v>
          </cell>
          <cell r="E513" t="str">
            <v>ML</v>
          </cell>
          <cell r="F513">
            <v>9055.7199999999993</v>
          </cell>
          <cell r="G513">
            <v>41067</v>
          </cell>
        </row>
        <row r="514">
          <cell r="C514">
            <v>1048</v>
          </cell>
          <cell r="D514" t="str">
            <v>Columna En Concreto De 3000 Psi , De 0.15 X 0.30 Mts, No Incluye Acero De Refuerzo</v>
          </cell>
          <cell r="E514" t="str">
            <v>ML</v>
          </cell>
          <cell r="F514">
            <v>42865.99</v>
          </cell>
          <cell r="G514">
            <v>41344</v>
          </cell>
        </row>
        <row r="515">
          <cell r="C515">
            <v>1049</v>
          </cell>
          <cell r="D515" t="str">
            <v>Dintel O Viga De Amarre, En Concreto De 3000 Psi De 0.15 X 0.20 Mts No Incluye Acero De Refuerzo</v>
          </cell>
          <cell r="E515" t="str">
            <v>ML</v>
          </cell>
          <cell r="F515">
            <v>37513.089999999997</v>
          </cell>
          <cell r="G515">
            <v>42578</v>
          </cell>
        </row>
        <row r="516">
          <cell r="C516">
            <v>1050</v>
          </cell>
          <cell r="D516" t="str">
            <v>Suministro Construcción Y Montaje De Estructura En Aluminio Para Cubierta, Incluye Anticorrosivo Y Pintura (Ver Diseño Estructural)</v>
          </cell>
          <cell r="E516" t="str">
            <v>M2</v>
          </cell>
          <cell r="F516">
            <v>82200</v>
          </cell>
          <cell r="G516">
            <v>41344</v>
          </cell>
        </row>
        <row r="517">
          <cell r="C517">
            <v>1051</v>
          </cell>
          <cell r="D517" t="str">
            <v>Demolición De Cimiento Existente De 0.30 X 0.30 Mts A Una Profundidad &gt; 1.00 Mts &lt; 1.50 Mts Y Retiro De Material</v>
          </cell>
          <cell r="E517" t="str">
            <v>ML</v>
          </cell>
          <cell r="F517">
            <v>19265</v>
          </cell>
          <cell r="G517">
            <v>41016</v>
          </cell>
        </row>
        <row r="518">
          <cell r="C518">
            <v>1052</v>
          </cell>
          <cell r="D518" t="str">
            <v>Zapata De 1.50 X 1.50 X 0.30 Mts En Concreto De 3000 Psi, Con Acero De Refuerzo 7 Varillas D = 5/8" A Cada 0.25 Mts En Ambos Sentidos</v>
          </cell>
          <cell r="E518" t="str">
            <v>UN</v>
          </cell>
          <cell r="F518">
            <v>388534.19</v>
          </cell>
          <cell r="G518">
            <v>41569</v>
          </cell>
        </row>
        <row r="519">
          <cell r="C519">
            <v>1053</v>
          </cell>
          <cell r="D519" t="str">
            <v>Pedestal De 0.60 X 0.60 X 0.60 Mts, En Concreto De 3000 Psi, Reforzado Con 4 Varilla D = 1/2" , Estribos De 3/8" A Cada 0.20 Mts</v>
          </cell>
          <cell r="E519" t="str">
            <v>UN</v>
          </cell>
          <cell r="F519">
            <v>130267.55</v>
          </cell>
          <cell r="G519">
            <v>42496</v>
          </cell>
        </row>
        <row r="520">
          <cell r="C520">
            <v>1054</v>
          </cell>
          <cell r="D520" t="str">
            <v>Columnas En Concreto De 3000 Psi, De 0.40 X 0.40 Mts, Incluye Acero De Refuerzo 8 Varillas D = 5/8", Estribos De 3/8" A Cada 0.15 Mts, Altura 3.55 Mts</v>
          </cell>
          <cell r="E520" t="str">
            <v>ML</v>
          </cell>
          <cell r="F520">
            <v>181367.39</v>
          </cell>
          <cell r="G520">
            <v>41737</v>
          </cell>
        </row>
        <row r="521">
          <cell r="C521">
            <v>1055</v>
          </cell>
          <cell r="D521" t="str">
            <v>Plantilla Para Piso En Concreto De 2500 Psi E = 0.05 Mts, Incluye Parrilla De Acero De D = 1/4" A Cada 0.50 Mts En Ambos Sentidos</v>
          </cell>
          <cell r="E521" t="str">
            <v>M2</v>
          </cell>
          <cell r="F521">
            <v>33588.449999999997</v>
          </cell>
          <cell r="G521">
            <v>42779</v>
          </cell>
        </row>
        <row r="522">
          <cell r="C522">
            <v>1056</v>
          </cell>
          <cell r="D522" t="str">
            <v>Limpieza Con Retroexcavadora Sobre Oruga, Aplicada En Arroyo Sección Promedio: Ancho = 4.00 A 5.00 Metros, Altura = 1.50 A 3.00 Metros, Profundidad De Sedimentos = 1.50 A 3.00 Metros</v>
          </cell>
          <cell r="E522" t="str">
            <v>ML</v>
          </cell>
          <cell r="F522">
            <v>25790</v>
          </cell>
          <cell r="G522">
            <v>41008</v>
          </cell>
        </row>
        <row r="523">
          <cell r="C523">
            <v>1057</v>
          </cell>
          <cell r="D523" t="str">
            <v>Acopio Con Retroexcavadora Del Material Desalojado, Aplicada En Limpieza De Arroyo, Seccion Promedio: Ancho = 4.00 A 5.00 Metros, Altura = 1.50 A 3.00 Metros, Profundidad De Sedimentos = 1.50 A 2.50 Metros</v>
          </cell>
          <cell r="E523" t="str">
            <v>HO</v>
          </cell>
          <cell r="F523">
            <v>145032.5</v>
          </cell>
          <cell r="G523">
            <v>40974</v>
          </cell>
        </row>
        <row r="524">
          <cell r="C524">
            <v>1058</v>
          </cell>
          <cell r="D524" t="str">
            <v>Remocion Con Retroexcavadora Y Retiro De Material Desalojado En Volqueta, Aplicado En Limpieza De Arroyo De Sección Promedio: Ancho = 4.00 A 5.00 Metros, Altura = 1.50 A 3.00 Metros, Profundidad De Sedimentos = 1.50 A 2.50 Metros</v>
          </cell>
          <cell r="E524" t="str">
            <v>M3</v>
          </cell>
          <cell r="F524">
            <v>58633.75</v>
          </cell>
          <cell r="G524">
            <v>40669</v>
          </cell>
        </row>
        <row r="525">
          <cell r="C525">
            <v>1059</v>
          </cell>
          <cell r="D525" t="str">
            <v>Limpieza Manual Margenes, Aplicada En Limpieza De Arroyo Seccion Promedio: Ancho = 4.00 A 5.00 Metros, Altura = 1.50 A 3.00 Metros, Profundidad De Sedimentos = 1.50 A 2.50 Metros</v>
          </cell>
          <cell r="E525" t="str">
            <v>M2</v>
          </cell>
          <cell r="F525">
            <v>8132.5</v>
          </cell>
          <cell r="G525">
            <v>40669</v>
          </cell>
        </row>
        <row r="526">
          <cell r="C526">
            <v>1060</v>
          </cell>
          <cell r="D526" t="str">
            <v>Retiro Manual De Material Vegetal, Aplicada En Limpieza De Arroyo Seccion Promedio: Ancho = 4.00 A 5.00 Metros, Altura = 1.50 A 3.00 Metros, Profundidad De Sedimento De 1.50 A 2.50 Metros</v>
          </cell>
          <cell r="E526" t="str">
            <v>M2</v>
          </cell>
          <cell r="F526">
            <v>4660</v>
          </cell>
          <cell r="G526">
            <v>40669</v>
          </cell>
        </row>
        <row r="527">
          <cell r="C527">
            <v>1066</v>
          </cell>
          <cell r="D527" t="str">
            <v>Desmonte Y Retiro De Placa De Concreto De 0.06 X 0.60 X 2.40 Mts</v>
          </cell>
          <cell r="E527" t="str">
            <v>UN</v>
          </cell>
          <cell r="F527">
            <v>14830.47</v>
          </cell>
          <cell r="G527">
            <v>40344</v>
          </cell>
        </row>
        <row r="528">
          <cell r="C528">
            <v>1067</v>
          </cell>
          <cell r="D528" t="str">
            <v>Construcción Y Montaje De Placas De 0.06 X 0.60 X 3.00 Mts, En Concreto De 2500 Psi, Reforzado Con 3 Varillas De 3/8" A Lo Ancho Y 6 Varillas De 3/8" A Lo Largo.</v>
          </cell>
          <cell r="E528" t="str">
            <v>UN</v>
          </cell>
          <cell r="F528">
            <v>81226</v>
          </cell>
          <cell r="G528">
            <v>41026</v>
          </cell>
        </row>
        <row r="529">
          <cell r="C529">
            <v>1069</v>
          </cell>
          <cell r="D529" t="str">
            <v>Cerramiento  En Tela Verde, O Malla De Lona, (Polisombra), Con Altura De 2.00 Metros, Base Para Fijacion De Estacones 0.20 X 0.20 X 0.50 Metros En Concreto De 1500 Psi, Estacones De Madera De 2" X 2", Apuntillada Y Amarrada A Los Postes Con Alambre Negro Para Rigidizacion.</v>
          </cell>
          <cell r="E529" t="str">
            <v>ML</v>
          </cell>
          <cell r="F529">
            <v>21234.06</v>
          </cell>
          <cell r="G529">
            <v>41927</v>
          </cell>
        </row>
        <row r="530">
          <cell r="C530">
            <v>1084</v>
          </cell>
          <cell r="D530" t="str">
            <v>Acopio Manual Del Material Desalojado</v>
          </cell>
          <cell r="E530" t="str">
            <v>JO</v>
          </cell>
          <cell r="F530">
            <v>60900</v>
          </cell>
          <cell r="G530">
            <v>40282</v>
          </cell>
        </row>
        <row r="531">
          <cell r="C531">
            <v>1085</v>
          </cell>
          <cell r="D531" t="str">
            <v>Construccion Y Mantaje De Placa De 0.06 X 0.60 X 2.40 Mts, En Concreto De 2500 Psi, Reforzado Con 3 Varillas De 3/8" A Lo Ancho Y 9 Varillas De 3/8" A Lo Largo</v>
          </cell>
          <cell r="E531" t="str">
            <v>UN</v>
          </cell>
          <cell r="F531">
            <v>74161.960000000006</v>
          </cell>
          <cell r="G531">
            <v>40669</v>
          </cell>
        </row>
        <row r="532">
          <cell r="C532">
            <v>1086</v>
          </cell>
          <cell r="D532" t="str">
            <v>Juegos - Suministro, Instalación Y Montaje De Rueda Infantil Giratoria Para Parque, De 2.00 Metros De Diámetro, En Madera Pino Pátula Inmunizada, Tubería Galvanizada Y Herrajes Metálicos</v>
          </cell>
          <cell r="E532" t="str">
            <v>UN</v>
          </cell>
          <cell r="F532">
            <v>754000</v>
          </cell>
          <cell r="G532">
            <v>41075</v>
          </cell>
        </row>
        <row r="533">
          <cell r="C533">
            <v>1087</v>
          </cell>
          <cell r="D533" t="str">
            <v>Juegos - Suministro, Instalación Y Montaje De Módulo No. 15 De Juego Para Parque Que Incluye: Escalera Y Puente En Madera Y Cuerda, Columpio De 2 Puestos, Con Resbaladero En Fibra De Vidrio, En Madera Pino Pátula Inmunizada Y Herrajes Metálicos</v>
          </cell>
          <cell r="E533" t="str">
            <v>UN</v>
          </cell>
          <cell r="F533">
            <v>1600800</v>
          </cell>
          <cell r="G533">
            <v>41075</v>
          </cell>
        </row>
        <row r="534">
          <cell r="C534">
            <v>1088</v>
          </cell>
          <cell r="D534" t="str">
            <v>Juegos - Suministro, Instalación Y Montaje De Sube Y Baja Para Parque En Madera Pino Pátula Inmunizada, Con Herrajes Metálicos</v>
          </cell>
          <cell r="E534" t="str">
            <v>UN</v>
          </cell>
          <cell r="F534">
            <v>203000</v>
          </cell>
          <cell r="G534">
            <v>41569</v>
          </cell>
        </row>
        <row r="535">
          <cell r="C535">
            <v>1089</v>
          </cell>
          <cell r="D535" t="str">
            <v>Excavación A Mano En Material Común, Incluye Retiro De Material Con Cargador Y Volqueta</v>
          </cell>
          <cell r="E535" t="str">
            <v>M3</v>
          </cell>
          <cell r="F535">
            <v>40702.78</v>
          </cell>
          <cell r="G535">
            <v>42241</v>
          </cell>
        </row>
        <row r="536">
          <cell r="C536">
            <v>1090</v>
          </cell>
          <cell r="D536" t="str">
            <v>Remoción Manual Y Retiro De Material Desalojado En Volqueta</v>
          </cell>
          <cell r="E536" t="str">
            <v>M3</v>
          </cell>
          <cell r="F536">
            <v>42101.67</v>
          </cell>
          <cell r="G536">
            <v>41906</v>
          </cell>
        </row>
        <row r="537">
          <cell r="C537">
            <v>1091</v>
          </cell>
          <cell r="D537" t="str">
            <v>Suministro E Instalación De Banca Para Parque, En Concreto De 3000 Psi, Reforzado Con Varillas De 3/8" En Ambos Sentidos A Cada 0.15 Mts, De 0.60 X 1.10 Mts Altura 0.60 Mts, Fondo En Placa De Concreto, Con Su Logotipo</v>
          </cell>
          <cell r="E537" t="str">
            <v>UN</v>
          </cell>
          <cell r="F537">
            <v>424513.39</v>
          </cell>
          <cell r="G537">
            <v>41697</v>
          </cell>
        </row>
        <row r="538">
          <cell r="C538">
            <v>1092</v>
          </cell>
          <cell r="D538" t="str">
            <v>Kiosco De 4.00 X 4.00 Mts, Altura = 2.80 Mts, Con 4 Columnas Y Estructura De Soporte Para Cubierta En Madera Pino Pátula Inmunizada, Cubierta De Eternit Pintada En Cualquier Color</v>
          </cell>
          <cell r="E538" t="str">
            <v>UN</v>
          </cell>
          <cell r="F538">
            <v>5000000</v>
          </cell>
          <cell r="G538">
            <v>41075</v>
          </cell>
        </row>
        <row r="539">
          <cell r="C539">
            <v>1093</v>
          </cell>
          <cell r="D539" t="str">
            <v>Juegos - Suministro, Instalación Y Montaje De Módulo No. 17 De Juego Para Parque Que Incluye: Escalera En Madera, 2 Columpios, Resbaladero En Fibra De Vidrio, Sube Y Baja, Argollas De Balanceo, En Madera Pino Pátula Inmunizada, Tubería Galvanizada Y Herrajes Metálicos</v>
          </cell>
          <cell r="E539" t="str">
            <v>UN</v>
          </cell>
          <cell r="F539">
            <v>1740000</v>
          </cell>
          <cell r="G539">
            <v>41075</v>
          </cell>
        </row>
        <row r="540">
          <cell r="C540">
            <v>1094</v>
          </cell>
          <cell r="D540" t="str">
            <v>Juegos - Suministro, Instalación Y Montaje De Módulo No. 22 De Juegos Infantiles Para Parques Que Incluye: Escalera De Madera, Resbaladero En Fibra De Vidrio, 2 Puestos De Columpios, Puente De Madera, Juego De Argollas, Elaborado En Madera Pino Pátula Inmunizado, Con Herrajes Metálicos</v>
          </cell>
          <cell r="E540" t="str">
            <v>UN</v>
          </cell>
          <cell r="F540">
            <v>3549600</v>
          </cell>
          <cell r="G540">
            <v>41569</v>
          </cell>
        </row>
        <row r="541">
          <cell r="C541">
            <v>1095</v>
          </cell>
          <cell r="D541" t="str">
            <v>Relleno En Piedra Granzón O Cascajo De Piedra China</v>
          </cell>
          <cell r="E541" t="str">
            <v>M3</v>
          </cell>
          <cell r="F541">
            <v>72000</v>
          </cell>
          <cell r="G541">
            <v>41767</v>
          </cell>
        </row>
        <row r="542">
          <cell r="C542">
            <v>1096</v>
          </cell>
          <cell r="D542" t="str">
            <v>Relleno En Material Seleccionado No Compactado</v>
          </cell>
          <cell r="E542" t="str">
            <v>M3</v>
          </cell>
          <cell r="F542">
            <v>44250</v>
          </cell>
          <cell r="G542">
            <v>42496</v>
          </cell>
        </row>
        <row r="543">
          <cell r="C543">
            <v>1097</v>
          </cell>
          <cell r="D543" t="str">
            <v>E - Suministro E Instalación De Reflectores Tipo Luz De Metal Halite De 500 Watios, Incluye Acometida Eléctrica, Caja De Protección, Fotoceldas Y Cableado</v>
          </cell>
          <cell r="E543" t="str">
            <v>UN</v>
          </cell>
          <cell r="F543">
            <v>580000</v>
          </cell>
          <cell r="G543">
            <v>41737</v>
          </cell>
        </row>
        <row r="544">
          <cell r="C544">
            <v>1098</v>
          </cell>
          <cell r="D544" t="str">
            <v>Plantilla Para Piso En Concreto De 1500 Psi E = 0.10 Metros</v>
          </cell>
          <cell r="E544" t="str">
            <v>M2</v>
          </cell>
          <cell r="F544">
            <v>35223.42</v>
          </cell>
          <cell r="G544">
            <v>41064</v>
          </cell>
        </row>
        <row r="545">
          <cell r="C545">
            <v>1099</v>
          </cell>
          <cell r="D545" t="str">
            <v>Relleno En Material De Piedra Y Arena En Proporción 1:1, Compactado</v>
          </cell>
          <cell r="E545" t="str">
            <v>M3</v>
          </cell>
          <cell r="F545">
            <v>63676</v>
          </cell>
          <cell r="G545">
            <v>41781</v>
          </cell>
        </row>
        <row r="546">
          <cell r="C546">
            <v>1100</v>
          </cell>
          <cell r="D546" t="str">
            <v>Placa De Fondo En Concreto Ciclópeo, 60% En Concreto De 3000 Psi, 40% Piedra De Cimiento</v>
          </cell>
          <cell r="E546" t="str">
            <v>M3</v>
          </cell>
          <cell r="F546">
            <v>294764.53000000003</v>
          </cell>
          <cell r="G546">
            <v>41037</v>
          </cell>
        </row>
        <row r="547">
          <cell r="C547">
            <v>1101</v>
          </cell>
          <cell r="D547" t="str">
            <v>Solado En Concreto Pobre De 2000 Psi, E = 0.05 Metros</v>
          </cell>
          <cell r="E547" t="str">
            <v>M3</v>
          </cell>
          <cell r="F547">
            <v>386152.23</v>
          </cell>
          <cell r="G547">
            <v>42578</v>
          </cell>
        </row>
        <row r="548">
          <cell r="C548">
            <v>1102</v>
          </cell>
          <cell r="D548" t="str">
            <v>Viga De Cimiento En Concreto De 3000 Psi, No Incluye Acero De Refuerzo</v>
          </cell>
          <cell r="E548" t="str">
            <v>M3</v>
          </cell>
          <cell r="F548">
            <v>500063.01</v>
          </cell>
          <cell r="G548">
            <v>42538</v>
          </cell>
        </row>
        <row r="549">
          <cell r="C549">
            <v>1103</v>
          </cell>
          <cell r="D549" t="str">
            <v>Plantilla De Piso En Concreto De 3000 Psi E = 0.10 Metros</v>
          </cell>
          <cell r="E549" t="str">
            <v>M2</v>
          </cell>
          <cell r="F549">
            <v>48333.59</v>
          </cell>
          <cell r="G549">
            <v>42241</v>
          </cell>
        </row>
        <row r="550">
          <cell r="C550">
            <v>1104</v>
          </cell>
          <cell r="D550" t="str">
            <v>Levante De Muro En Bloque Vibrado Estructural. E = 0.10 Metros</v>
          </cell>
          <cell r="E550" t="str">
            <v>M2</v>
          </cell>
          <cell r="F550">
            <v>57728.1</v>
          </cell>
          <cell r="G550">
            <v>41697</v>
          </cell>
        </row>
        <row r="551">
          <cell r="C551">
            <v>1105</v>
          </cell>
          <cell r="D551" t="str">
            <v>Meson En Concreto De 2500 Psi, Espesor De 0.06 Metros, Ancho De 0.60 Metros, Varillas De 1/2" A Cada 0.20 Metros En Ambos Sentidos, Acabado En Granito Pulido</v>
          </cell>
          <cell r="E551" t="str">
            <v>ML</v>
          </cell>
          <cell r="F551">
            <v>101353.78</v>
          </cell>
          <cell r="G551">
            <v>42578</v>
          </cell>
        </row>
        <row r="552">
          <cell r="C552">
            <v>1106</v>
          </cell>
          <cell r="D552" t="str">
            <v>Suministro E Instalación De Espejo Biselado De 4 Mm</v>
          </cell>
          <cell r="E552" t="str">
            <v>M2</v>
          </cell>
          <cell r="F552">
            <v>83084.5</v>
          </cell>
          <cell r="G552">
            <v>42578</v>
          </cell>
        </row>
        <row r="553">
          <cell r="C553">
            <v>1109</v>
          </cell>
          <cell r="D553" t="str">
            <v>Suministro E Instalacion De Sistema De Tanques De Reserva De 500 Lts, Incluye: 4 Tanques Plasticos, Accesorios, Tuberia De 2" Y 1", Flotador, Registros Y Valvula.</v>
          </cell>
          <cell r="E553" t="str">
            <v>UN</v>
          </cell>
          <cell r="F553">
            <v>1574857</v>
          </cell>
          <cell r="G553">
            <v>39968</v>
          </cell>
        </row>
        <row r="554">
          <cell r="C554">
            <v>1116</v>
          </cell>
          <cell r="D554" t="str">
            <v>Suministro E Instalación De Bajante Tipo Amazonas</v>
          </cell>
          <cell r="E554" t="str">
            <v>ML</v>
          </cell>
          <cell r="F554">
            <v>45652.55</v>
          </cell>
          <cell r="G554">
            <v>41676</v>
          </cell>
        </row>
        <row r="555">
          <cell r="C555">
            <v>1117</v>
          </cell>
          <cell r="D555" t="str">
            <v>Ornamentacion Y Jardineria - Siembra De Grama Criolla, Incluye Transporte</v>
          </cell>
          <cell r="E555" t="str">
            <v>M2</v>
          </cell>
          <cell r="F555">
            <v>4500</v>
          </cell>
          <cell r="G555">
            <v>42752</v>
          </cell>
        </row>
        <row r="556">
          <cell r="C556">
            <v>1126</v>
          </cell>
          <cell r="D556" t="str">
            <v>Suministro E Instalación De Canal Tipo Amazonas De Pvc</v>
          </cell>
          <cell r="E556" t="str">
            <v>ML</v>
          </cell>
          <cell r="F556">
            <v>47320.480000000003</v>
          </cell>
          <cell r="G556">
            <v>42241</v>
          </cell>
        </row>
        <row r="557">
          <cell r="C557">
            <v>1127</v>
          </cell>
          <cell r="D557" t="str">
            <v>Suministro E Instalación De Puerta Ventana En Reja De Varilla Cuadrada De 1/2", Con Tuberia Galvanizada De 3/4", Varilla De 5/8", Platina De 3/16" Y Balineras De Acero De 1/2", Pintada Con Anticorrosivo Y Esmalte (Segun Diseño)</v>
          </cell>
          <cell r="E557" t="str">
            <v>UN</v>
          </cell>
          <cell r="F557">
            <v>523560</v>
          </cell>
          <cell r="G557">
            <v>41068</v>
          </cell>
        </row>
        <row r="558">
          <cell r="C558">
            <v>1128</v>
          </cell>
          <cell r="D558" t="str">
            <v>Suministro E Instalación De Puerta En Reja De Varilla Cuadrada De 1/2", Para Ingreso De Baños, Con Tubería Galvanizada De 3/4", Varilla De 5/8", Platina De 3/16" Y Balinera De Acero De 1/2", Pintada Con Anticorrosivo Y Esmalte (Segun Diseño)</v>
          </cell>
          <cell r="E558" t="str">
            <v>UN</v>
          </cell>
          <cell r="F558">
            <v>265489</v>
          </cell>
          <cell r="G558">
            <v>41068</v>
          </cell>
        </row>
        <row r="559">
          <cell r="C559">
            <v>1129</v>
          </cell>
          <cell r="D559" t="str">
            <v>Rejilla De Ventilacion, Con Marco En Lamina Calibre 18, Pintada Con Anticorrosivo Y Esmalte</v>
          </cell>
          <cell r="E559" t="str">
            <v>M2</v>
          </cell>
          <cell r="F559">
            <v>81694</v>
          </cell>
          <cell r="G559">
            <v>39969</v>
          </cell>
        </row>
        <row r="560">
          <cell r="C560">
            <v>1130</v>
          </cell>
          <cell r="D560" t="str">
            <v>Cortasol Pintado, En Lámina Galvanizada Calibre 18, Incluye Perfil Y Platina De 3/16", Cadena Galvanizada De 3/8", Gancho Tensor Galvanizado De 5/16" X 5", Bisagra, Tornillo Expansivo, Gancho Galvanizado Con Platina, Pintura Anticorrosiva Y Esmalte (Segun Diseño)</v>
          </cell>
          <cell r="E560" t="str">
            <v>UN</v>
          </cell>
          <cell r="F560">
            <v>532686</v>
          </cell>
          <cell r="G560">
            <v>41075</v>
          </cell>
        </row>
        <row r="561">
          <cell r="C561">
            <v>1131</v>
          </cell>
          <cell r="D561" t="str">
            <v>Ventana En Malla Eslabonada Galvanizada Calibre 12 Hueco De 2" X 2", Con Angulo De 1" X 1" X 3/16", Platina De 1/2" X 3/16", Pintada Con Anticorrosivo Y Esmalte. (Según Diseño)</v>
          </cell>
          <cell r="E561" t="str">
            <v>M2</v>
          </cell>
          <cell r="F561">
            <v>49410</v>
          </cell>
          <cell r="G561">
            <v>41075</v>
          </cell>
        </row>
        <row r="562">
          <cell r="C562">
            <v>1132</v>
          </cell>
          <cell r="D562" t="str">
            <v>Zapata De 2.60 X 2.60 X 0.60 Metros, En Concreto De 3000 Psi, No Incluye Acero De Refuerzo</v>
          </cell>
          <cell r="E562" t="str">
            <v>UN</v>
          </cell>
          <cell r="F562">
            <v>1471856.68</v>
          </cell>
          <cell r="G562">
            <v>41075</v>
          </cell>
        </row>
        <row r="563">
          <cell r="C563">
            <v>1133</v>
          </cell>
          <cell r="D563" t="str">
            <v>Pedestal De 0.70 X 0.60 X 1.40 Metros, En Concreto De 3000 Psi, No Incluye Acero De Refuerzo</v>
          </cell>
          <cell r="E563" t="str">
            <v>UN</v>
          </cell>
          <cell r="F563">
            <v>229191.47</v>
          </cell>
          <cell r="G563">
            <v>41045</v>
          </cell>
        </row>
        <row r="564">
          <cell r="C564">
            <v>1134</v>
          </cell>
          <cell r="D564" t="str">
            <v>Viga Canal De B = 1.00 Metros, Altura = 0.45 Metros, E = 0.10 Metros, En Concreto, Impermeabilizado Con Manto Edil, No Incluye Acero De Refuerzo.</v>
          </cell>
          <cell r="E564" t="str">
            <v>ML</v>
          </cell>
          <cell r="F564">
            <v>142130.04999999999</v>
          </cell>
          <cell r="G564">
            <v>42314</v>
          </cell>
        </row>
        <row r="565">
          <cell r="C565">
            <v>1135</v>
          </cell>
          <cell r="D565" t="str">
            <v>Columna En Concreto De 3000 Psi, De 0.40 X 0.50 Metros, No Incluye Acero De Refuerzo</v>
          </cell>
          <cell r="E565" t="str">
            <v>ML</v>
          </cell>
          <cell r="F565">
            <v>108860.68</v>
          </cell>
          <cell r="G565">
            <v>41016</v>
          </cell>
        </row>
        <row r="566">
          <cell r="C566">
            <v>1136</v>
          </cell>
          <cell r="D566" t="str">
            <v>Pañete Pulido Con Cal Bajo Placa De Entrepiso</v>
          </cell>
          <cell r="E566" t="str">
            <v>M2</v>
          </cell>
          <cell r="F566">
            <v>21718.1</v>
          </cell>
          <cell r="G566">
            <v>41556</v>
          </cell>
        </row>
        <row r="567">
          <cell r="C567">
            <v>1137</v>
          </cell>
          <cell r="D567" t="str">
            <v>Encamisada De Muro De Soporte Existente En Concreto De 3000 Psi</v>
          </cell>
          <cell r="E567" t="str">
            <v>M3</v>
          </cell>
          <cell r="F567">
            <v>618987.38</v>
          </cell>
          <cell r="G567">
            <v>41037</v>
          </cell>
        </row>
        <row r="568">
          <cell r="C568">
            <v>1138</v>
          </cell>
          <cell r="D568" t="str">
            <v>Excavación Manual Para Soporte O Estribos De Puente</v>
          </cell>
          <cell r="E568" t="str">
            <v>JO</v>
          </cell>
          <cell r="F568">
            <v>60900</v>
          </cell>
          <cell r="G568">
            <v>41037</v>
          </cell>
        </row>
        <row r="569">
          <cell r="C569">
            <v>1139</v>
          </cell>
          <cell r="D569" t="str">
            <v>Suministro E Instalacion De Platina De Hierro Como Base Para Soldar La Estructura Del Puente, De 0.60 Mtrs X 0.40 Mtrs X 2"</v>
          </cell>
          <cell r="E569" t="str">
            <v>UN</v>
          </cell>
          <cell r="F569">
            <v>50000</v>
          </cell>
          <cell r="G569">
            <v>39981</v>
          </cell>
        </row>
        <row r="570">
          <cell r="C570">
            <v>1140</v>
          </cell>
          <cell r="D570" t="str">
            <v>Suministro, Instalacion Y Montaje De Puente Peatonal Metalico, De 1.50 Metros De Ancho, Incluye Cerchas, Correas, Platinas De Anclajes, Barandas De Seguridad, Construido En Canales, Angulos Y Perfiles Phr De Acesco, Soldadura Mig 7056, Tornilleria Grado 5, Plataforma En Lamina Colaborante Metaldeck Calibre 22 De 2", Para Vaciar Concreto De 3.000 Psi E = 0.10 Metros, Acabado Pintado Con Anticorrosivo  Y Esmalte.</v>
          </cell>
          <cell r="E570" t="str">
            <v>ML</v>
          </cell>
          <cell r="F570">
            <v>1350000</v>
          </cell>
          <cell r="G570">
            <v>40968</v>
          </cell>
        </row>
        <row r="571">
          <cell r="C571">
            <v>1141</v>
          </cell>
          <cell r="D571" t="str">
            <v>Placa En Concreto De 3000 Psi E = 0.10 Metros, Incluye Malla Electrosoldada</v>
          </cell>
          <cell r="E571" t="str">
            <v>M2</v>
          </cell>
          <cell r="F571">
            <v>68888.59</v>
          </cell>
          <cell r="G571">
            <v>42779</v>
          </cell>
        </row>
        <row r="572">
          <cell r="C572">
            <v>1142</v>
          </cell>
          <cell r="D572" t="str">
            <v>Grada O Rampa De Acceso Al Puente Peatonal En Concreto De 3000 Psi, E = 0.10 Metros</v>
          </cell>
          <cell r="E572" t="str">
            <v>M2</v>
          </cell>
          <cell r="F572">
            <v>60405.2</v>
          </cell>
          <cell r="G572">
            <v>41831</v>
          </cell>
        </row>
        <row r="573">
          <cell r="C573">
            <v>1143</v>
          </cell>
          <cell r="D573" t="str">
            <v>Caja De Inspeccion De 0.80 X 0.80 X 0.90 Para A. Ll.</v>
          </cell>
          <cell r="E573" t="str">
            <v>UN</v>
          </cell>
          <cell r="F573">
            <v>717731</v>
          </cell>
          <cell r="G573">
            <v>40106</v>
          </cell>
        </row>
        <row r="574">
          <cell r="C574">
            <v>1144</v>
          </cell>
          <cell r="D574" t="str">
            <v>Solado En Concreto De 1500 Psi Normal Para Limpieza E = 0.03</v>
          </cell>
          <cell r="E574" t="str">
            <v>M2</v>
          </cell>
          <cell r="F574">
            <v>15431.53</v>
          </cell>
          <cell r="G574">
            <v>41697</v>
          </cell>
        </row>
        <row r="575">
          <cell r="C575">
            <v>1145</v>
          </cell>
          <cell r="D575" t="str">
            <v>Losa Maciza En Concreto De 3000 Psi, No Incluye Acero De Refuerzo, E =0.15 Metros</v>
          </cell>
          <cell r="E575" t="str">
            <v>M2</v>
          </cell>
          <cell r="F575">
            <v>136169.18</v>
          </cell>
          <cell r="G575">
            <v>42241</v>
          </cell>
        </row>
        <row r="576">
          <cell r="C576">
            <v>1146</v>
          </cell>
          <cell r="D576" t="str">
            <v>Desmonte, Reparación E Instalación De Abanico De Techo, Incluye Acabado Con Pintura Anticorrosiva Y Esmalte Blanco</v>
          </cell>
          <cell r="E576" t="str">
            <v>UN</v>
          </cell>
          <cell r="F576">
            <v>48950</v>
          </cell>
          <cell r="G576">
            <v>41365</v>
          </cell>
        </row>
        <row r="577">
          <cell r="C577">
            <v>1147</v>
          </cell>
          <cell r="D577" t="str">
            <v>Portón En Malla Eslabonada Y Tubería Galvanizada D = 2 1/2", A Dos Hojas, Dimensiones De Las Puertas 2.00 X 3.00, Incluye Instalación, Soldadura, Pintura, Mano De Obra Y Transporte</v>
          </cell>
          <cell r="E577" t="str">
            <v>UN</v>
          </cell>
          <cell r="F577">
            <v>1500000</v>
          </cell>
          <cell r="G577">
            <v>41481</v>
          </cell>
        </row>
        <row r="578">
          <cell r="C578">
            <v>1148</v>
          </cell>
          <cell r="D578" t="str">
            <v>Demolición, Fresado Y Retiro De Material De Pavimento Asfáltico</v>
          </cell>
          <cell r="E578" t="str">
            <v>M2</v>
          </cell>
          <cell r="F578">
            <v>16180.92</v>
          </cell>
          <cell r="G578">
            <v>41831</v>
          </cell>
        </row>
        <row r="579">
          <cell r="C579">
            <v>1149</v>
          </cell>
          <cell r="D579" t="str">
            <v>Excavación Para Conformación De Taludes Y Retiro De Material Sobrante</v>
          </cell>
          <cell r="E579" t="str">
            <v>M3</v>
          </cell>
          <cell r="F579">
            <v>33254</v>
          </cell>
          <cell r="G579">
            <v>41037</v>
          </cell>
        </row>
        <row r="580">
          <cell r="C580">
            <v>1150</v>
          </cell>
          <cell r="D580" t="str">
            <v>Reparacion Y Mantenimiento De La Estructura Metalica De Puente Peatonal: Cerchas, Correas, Platinas De Anclaje, Baranda De Seguridad, Incluye Tornilleria, Soldaduras, Reposicion De Perfiles Dañados, Pintura Con Anticorrosivo Y Acabado En Esmalte.</v>
          </cell>
          <cell r="E580" t="str">
            <v>M2</v>
          </cell>
          <cell r="F580">
            <v>97000</v>
          </cell>
          <cell r="G580">
            <v>40011</v>
          </cell>
        </row>
        <row r="581">
          <cell r="C581">
            <v>1151</v>
          </cell>
          <cell r="D581" t="str">
            <v>Suministro E Instalacion De Lamina Colaborante De Metaldeck De 2", Calibre 22, Para Estructura De Piso En Concreto De 3000 Psi</v>
          </cell>
          <cell r="E581" t="str">
            <v>M2</v>
          </cell>
          <cell r="F581">
            <v>47110</v>
          </cell>
          <cell r="G581">
            <v>40011</v>
          </cell>
        </row>
        <row r="582">
          <cell r="C582">
            <v>1152</v>
          </cell>
          <cell r="D582" t="str">
            <v>Desmonte De Piso De Madera En Puente Peatonal Metálico, Incluye Retiro De Material</v>
          </cell>
          <cell r="E582" t="str">
            <v>M2</v>
          </cell>
          <cell r="F582">
            <v>12186.67</v>
          </cell>
          <cell r="G582">
            <v>41037</v>
          </cell>
        </row>
        <row r="583">
          <cell r="C583">
            <v>1153</v>
          </cell>
          <cell r="D583" t="str">
            <v>Trazado Y Replanteo Sobre Placa.</v>
          </cell>
          <cell r="E583" t="str">
            <v>M2</v>
          </cell>
          <cell r="F583">
            <v>6868.69</v>
          </cell>
          <cell r="G583">
            <v>41936</v>
          </cell>
        </row>
        <row r="584">
          <cell r="C584">
            <v>1154</v>
          </cell>
          <cell r="D584" t="str">
            <v>Registro Sanitario De 1.00 X 1.00 X 0.60 Metros, En Mamposteria, Mortero De Pega Y Pañete Con Mortero 1:4 Impermeabilizado, Tapa En Concreto De 3000 Psi</v>
          </cell>
          <cell r="E584" t="str">
            <v>UN</v>
          </cell>
          <cell r="F584">
            <v>331974.78999999998</v>
          </cell>
          <cell r="G584">
            <v>42572</v>
          </cell>
        </row>
        <row r="585">
          <cell r="C585">
            <v>1155</v>
          </cell>
          <cell r="D585" t="str">
            <v>Columna En Concreto De 3000 Psi, De 0.40 X 0.50 Metros, Incluye Acero De Refuerzo De 8 Varillas De 1/2", Estribos De 3/8" A Cada 0.20 Metros</v>
          </cell>
          <cell r="E585" t="str">
            <v>ML</v>
          </cell>
          <cell r="F585">
            <v>157962.49</v>
          </cell>
          <cell r="G585">
            <v>41016</v>
          </cell>
        </row>
        <row r="586">
          <cell r="C586">
            <v>1156</v>
          </cell>
          <cell r="D586" t="str">
            <v>Elemento Vertical En Fachada Y Portico En Columna De Concreto De 3000 Psi De 0.15 X 0.25 Metros, No Incluye Acero De Refuerzo</v>
          </cell>
          <cell r="E586" t="str">
            <v>ML</v>
          </cell>
          <cell r="F586">
            <v>32775.72</v>
          </cell>
          <cell r="G586">
            <v>41017</v>
          </cell>
        </row>
        <row r="587">
          <cell r="C587">
            <v>1157</v>
          </cell>
          <cell r="D587" t="str">
            <v>Pergolas En Tuberia De Pvc De 2", Con Varilla De 3/8", Relleno Con Concreto Fluido</v>
          </cell>
          <cell r="E587" t="str">
            <v>ML</v>
          </cell>
          <cell r="F587">
            <v>39226.49</v>
          </cell>
          <cell r="G587">
            <v>41047</v>
          </cell>
        </row>
        <row r="588">
          <cell r="C588">
            <v>1158</v>
          </cell>
          <cell r="D588" t="str">
            <v>Juegos - Suministro E Instalación De Marco Para Cancha De Uso Múltiple (Fútbol Y Basquetbol), Con Medida Y Altura Reglamentaria, Los Marcos En Tubería Galvanizada De 3" Y La Parte Posterior Que Sostienen Los Tableros, En Tubería Galvanizada De 2", Tableros En Acrílico Con Sus Medidas Profesionales, Pintados, Instalados, Con Sus Canastas Y Sus Respectivas Mallas</v>
          </cell>
          <cell r="E588" t="str">
            <v>JG</v>
          </cell>
          <cell r="F588">
            <v>5944105</v>
          </cell>
          <cell r="G588">
            <v>42496</v>
          </cell>
        </row>
        <row r="589">
          <cell r="C589">
            <v>1159</v>
          </cell>
          <cell r="D589" t="str">
            <v>Anden, Plazoleta Y Rampa De Acceso Vehicular En Concreto De 3000 Psi E = 0.07 Metros</v>
          </cell>
          <cell r="E589" t="str">
            <v>M2</v>
          </cell>
          <cell r="F589">
            <v>31963.37</v>
          </cell>
          <cell r="G589">
            <v>41386</v>
          </cell>
        </row>
        <row r="590">
          <cell r="C590">
            <v>1160</v>
          </cell>
          <cell r="D590" t="str">
            <v>Suministro E Instalación De Lavadero En Granito De 0.60 X 0.50 Metros Incluye Accesorios Sanitarios Y Válvula De Control</v>
          </cell>
          <cell r="E590" t="str">
            <v>UN</v>
          </cell>
          <cell r="F590">
            <v>195906.5</v>
          </cell>
          <cell r="G590">
            <v>42538</v>
          </cell>
        </row>
        <row r="591">
          <cell r="C591">
            <v>1161</v>
          </cell>
          <cell r="D591" t="str">
            <v>Suministro E Instalación De Lavaplatos En Acero Inoxidable, Linea Económica  De 0.51 X 0.43 Metros, Incluye Accesorios Y Grifería Cuello De Ganso Metálica</v>
          </cell>
          <cell r="E591" t="str">
            <v>UN</v>
          </cell>
          <cell r="F591">
            <v>221512.5</v>
          </cell>
          <cell r="G591">
            <v>42524</v>
          </cell>
        </row>
        <row r="592">
          <cell r="C592">
            <v>1163</v>
          </cell>
          <cell r="D592" t="str">
            <v>Suministro E Instalacion De Lavaplatos De 1.20 Metros, Sencillo En Acero Inoxidable De Una Ala Y Una Cubeta, Incluye  Accesorios Y Griferia Cuello De Ganso Metalica</v>
          </cell>
          <cell r="E592" t="str">
            <v>UN</v>
          </cell>
          <cell r="F592">
            <v>419912.5</v>
          </cell>
          <cell r="G592">
            <v>41386</v>
          </cell>
        </row>
        <row r="593">
          <cell r="C593">
            <v>1164</v>
          </cell>
          <cell r="D593" t="str">
            <v>E - Suministro, Instalación De Totalizador General De 3 X 100 Amp</v>
          </cell>
          <cell r="E593" t="str">
            <v>UN</v>
          </cell>
          <cell r="F593">
            <v>318375</v>
          </cell>
          <cell r="G593">
            <v>41737</v>
          </cell>
        </row>
        <row r="594">
          <cell r="C594">
            <v>1166</v>
          </cell>
          <cell r="D594" t="str">
            <v>Suministro E Instalación De Puerta Metálica De 2 Hojas, En Lámina Galvanizada Calibre 20 De Doble Faz Y Marco Calibre 18 De 1.80 X 2.80 Metros, Incluye Pintura Anticorrosiva Y  Acabado En Esmalte, Cerraduras Y Herrajes</v>
          </cell>
          <cell r="E594" t="str">
            <v>UN</v>
          </cell>
          <cell r="F594">
            <v>680000</v>
          </cell>
          <cell r="G594">
            <v>42524</v>
          </cell>
        </row>
        <row r="595">
          <cell r="C595">
            <v>1167</v>
          </cell>
          <cell r="D595" t="str">
            <v>Zócalo En Baldosa De Granito De 0.08 X 0.33 Metros</v>
          </cell>
          <cell r="E595" t="str">
            <v>ML</v>
          </cell>
          <cell r="F595">
            <v>9847.83</v>
          </cell>
          <cell r="G595">
            <v>42578</v>
          </cell>
        </row>
        <row r="596">
          <cell r="C596">
            <v>1174</v>
          </cell>
          <cell r="D596" t="str">
            <v>Corte Y Perfilado De Muro En Bloque O Ladrillo, Incluye Retiro De Material</v>
          </cell>
          <cell r="E596" t="str">
            <v>ML</v>
          </cell>
          <cell r="F596">
            <v>14336.77</v>
          </cell>
          <cell r="G596">
            <v>42538</v>
          </cell>
        </row>
        <row r="597">
          <cell r="C597">
            <v>1175</v>
          </cell>
          <cell r="D597" t="str">
            <v>Corte Y Perfilado De Piso Y Plantilla, Incluye Retiro De Material</v>
          </cell>
          <cell r="E597" t="str">
            <v>ML</v>
          </cell>
          <cell r="F597">
            <v>11925</v>
          </cell>
          <cell r="G597">
            <v>42416</v>
          </cell>
        </row>
        <row r="598">
          <cell r="C598">
            <v>1176</v>
          </cell>
          <cell r="D598" t="str">
            <v>Dintel En Bloque De Arcilla No. 4 De 0.10 X 0.20 Metros, Incluye 2 Varillas De 1/2"</v>
          </cell>
          <cell r="E598" t="str">
            <v>ML</v>
          </cell>
          <cell r="F598">
            <v>23391.19</v>
          </cell>
          <cell r="G598">
            <v>42415</v>
          </cell>
        </row>
        <row r="599">
          <cell r="C599">
            <v>1177</v>
          </cell>
          <cell r="D599" t="str">
            <v>Viga De Sobrecimiento De 0.15 X 0.20 Metros, En Concreto De 2500 Psi, Incluye 4 Varillas De 3/8" Y Estribos De 1/4" A Cada 0.15 Metros, Con Apuntalamiento Y Corte De Muro Existente.</v>
          </cell>
          <cell r="E599" t="str">
            <v>ML</v>
          </cell>
          <cell r="F599">
            <v>70973.52</v>
          </cell>
          <cell r="G599">
            <v>42415</v>
          </cell>
        </row>
        <row r="600">
          <cell r="C600">
            <v>1178</v>
          </cell>
          <cell r="D600" t="str">
            <v>Viga De Sobrecimiento En Concreto De 3000 Psi De 0.10 X 0.20 Metros, Incluye 4 Varillas De 3/8" Y Estribos De 1/4" A Cada 0.15 Metros</v>
          </cell>
          <cell r="E600" t="str">
            <v>ML</v>
          </cell>
          <cell r="F600">
            <v>46888.33</v>
          </cell>
          <cell r="G600">
            <v>41075</v>
          </cell>
        </row>
        <row r="601">
          <cell r="C601">
            <v>1179</v>
          </cell>
          <cell r="D601" t="str">
            <v>Columna De Confinamiento En Concreto De 3000 Psi De 0.10 X 0.20 Metros, Incluye Acero De Refuerzo  3 Varillas De 1/2", Estribos De 3/8" A Cada 0.15 Metros Y Apuntalamiento De Muro</v>
          </cell>
          <cell r="E601" t="str">
            <v>ML</v>
          </cell>
          <cell r="F601">
            <v>55876.85</v>
          </cell>
          <cell r="G601">
            <v>42538</v>
          </cell>
        </row>
        <row r="602">
          <cell r="C602">
            <v>1180</v>
          </cell>
          <cell r="D602" t="str">
            <v>Desmonte E Instalación De Puerta O Ventana De 0.70 A 1.00 Metros De Ancho, Solo Incluye Mano De Obra</v>
          </cell>
          <cell r="E602" t="str">
            <v>UN</v>
          </cell>
          <cell r="F602">
            <v>48740</v>
          </cell>
          <cell r="G602">
            <v>42415</v>
          </cell>
        </row>
        <row r="603">
          <cell r="C603">
            <v>1181</v>
          </cell>
          <cell r="D603" t="str">
            <v>Pañete Allanado Sobre Muro En Mortero 1:4, En Áreas Con Ancho &lt; 0.80 Metros</v>
          </cell>
          <cell r="E603" t="str">
            <v>ML</v>
          </cell>
          <cell r="F603">
            <v>12240.98</v>
          </cell>
          <cell r="G603">
            <v>42578</v>
          </cell>
        </row>
        <row r="604">
          <cell r="C604">
            <v>1182</v>
          </cell>
          <cell r="D604" t="str">
            <v>Viga En Concreto De 3000 Psi De 0.10 X 0.10 Metros, Incluye 2 Varillas D= 1/2" Y Estribos D = 1/4" A Cada 0.15 Metros</v>
          </cell>
          <cell r="E604" t="str">
            <v>ML</v>
          </cell>
          <cell r="F604">
            <v>33932.370000000003</v>
          </cell>
          <cell r="G604">
            <v>42439</v>
          </cell>
        </row>
        <row r="605">
          <cell r="C605">
            <v>1183</v>
          </cell>
          <cell r="D605" t="str">
            <v>Montaje De Cubierta Existente En Lamina Ondulada De Asbesto Cemento Perfil 7, Incluye Amarres Y Ganchos De Fijacion, Estructura De Soporte En Madera</v>
          </cell>
          <cell r="E605" t="str">
            <v>M2</v>
          </cell>
          <cell r="F605">
            <v>44761.35</v>
          </cell>
          <cell r="G605">
            <v>42415</v>
          </cell>
        </row>
        <row r="606">
          <cell r="C606">
            <v>1184</v>
          </cell>
          <cell r="D606" t="str">
            <v>Plantilla Para Piso En Concreto De 1500 Psi, E = 0.05 Metros, En Areas Con Ancho &lt; 0.80 Metros</v>
          </cell>
          <cell r="E606" t="str">
            <v>ML</v>
          </cell>
          <cell r="F606">
            <v>16252.7</v>
          </cell>
          <cell r="G606">
            <v>41912</v>
          </cell>
        </row>
        <row r="607">
          <cell r="C607">
            <v>1185</v>
          </cell>
          <cell r="D607" t="str">
            <v>Piso En Mosaico De Cemento De 0.20 X 0.20 Metros, En Areas Con Ancho &lt; 0.80 Metros</v>
          </cell>
          <cell r="E607" t="str">
            <v>ML</v>
          </cell>
          <cell r="F607">
            <v>30316.33</v>
          </cell>
          <cell r="G607">
            <v>41057</v>
          </cell>
        </row>
        <row r="608">
          <cell r="C608">
            <v>1186</v>
          </cell>
          <cell r="D608" t="str">
            <v>Piso En Cerámica De 0.20 X 0.20 Metros Trafico 4, En Areas Con Ancho &lt; 0.80 Metros</v>
          </cell>
          <cell r="E608" t="str">
            <v>ML</v>
          </cell>
          <cell r="F608">
            <v>39478.6</v>
          </cell>
          <cell r="G608">
            <v>41057</v>
          </cell>
        </row>
        <row r="609">
          <cell r="C609">
            <v>1187</v>
          </cell>
          <cell r="D609" t="str">
            <v>Enchape De Muros En Cerámica De 0.20 X 0.20 Metros, En Areas Con Ancho &lt; 0.80 Metros</v>
          </cell>
          <cell r="E609" t="str">
            <v>ML</v>
          </cell>
          <cell r="F609">
            <v>35378.5</v>
          </cell>
          <cell r="G609">
            <v>42578</v>
          </cell>
        </row>
        <row r="610">
          <cell r="C610">
            <v>1190</v>
          </cell>
          <cell r="D610" t="str">
            <v>Anclaje De Columneta Al Cimiento Existente Con La Utilización De Sikadur Anchor Fix - 4  (Para  Fijar 3 Varillas De  D = 1/2")</v>
          </cell>
          <cell r="E610" t="str">
            <v>UN</v>
          </cell>
          <cell r="F610">
            <v>25565.9</v>
          </cell>
          <cell r="G610">
            <v>42415</v>
          </cell>
        </row>
        <row r="611">
          <cell r="C611">
            <v>1196</v>
          </cell>
          <cell r="D611" t="str">
            <v>Aplicación De Geotextil Nt 2500</v>
          </cell>
          <cell r="E611" t="str">
            <v>M2</v>
          </cell>
          <cell r="F611">
            <v>10194.58</v>
          </cell>
          <cell r="G611">
            <v>41026</v>
          </cell>
        </row>
        <row r="612">
          <cell r="C612">
            <v>1197</v>
          </cell>
          <cell r="D612" t="str">
            <v>Aplicación De Geotextil Nt 2000</v>
          </cell>
          <cell r="E612" t="str">
            <v>M2</v>
          </cell>
          <cell r="F612">
            <v>10057.030000000001</v>
          </cell>
          <cell r="G612">
            <v>42535</v>
          </cell>
        </row>
        <row r="613">
          <cell r="C613">
            <v>1198</v>
          </cell>
          <cell r="D613" t="str">
            <v>Aplicación De Geotextil Nt 1600</v>
          </cell>
          <cell r="E613" t="str">
            <v>M2</v>
          </cell>
          <cell r="F613">
            <v>8005.33</v>
          </cell>
          <cell r="G613">
            <v>41026</v>
          </cell>
        </row>
        <row r="614">
          <cell r="C614">
            <v>1199</v>
          </cell>
          <cell r="D614" t="str">
            <v>Enrocado De Protección Con Piedra Media Zonga, Pegada Con Mortero 1:4,  E = 0.15 ( Cunetas Y Taludes )</v>
          </cell>
          <cell r="E614" t="str">
            <v>M2</v>
          </cell>
          <cell r="F614">
            <v>54826.71</v>
          </cell>
          <cell r="G614">
            <v>41508</v>
          </cell>
        </row>
        <row r="615">
          <cell r="C615">
            <v>1200</v>
          </cell>
          <cell r="D615" t="str">
            <v>Excavación A Maquina Con Retroexcavadora, Incluye Retiro De Material</v>
          </cell>
          <cell r="E615" t="str">
            <v>M3</v>
          </cell>
          <cell r="F615">
            <v>30893.439999999999</v>
          </cell>
          <cell r="G615">
            <v>42198</v>
          </cell>
        </row>
        <row r="616">
          <cell r="C616">
            <v>1201</v>
          </cell>
          <cell r="D616" t="str">
            <v>Solado En Concreto De 2000 Psi E = 0.10 Metros</v>
          </cell>
          <cell r="E616" t="str">
            <v>M3</v>
          </cell>
          <cell r="F616">
            <v>417322.23</v>
          </cell>
          <cell r="G616">
            <v>42443</v>
          </cell>
        </row>
        <row r="617">
          <cell r="C617">
            <v>1202</v>
          </cell>
          <cell r="D617" t="str">
            <v>Suministro E Instalación De Malla Ciclón Forrada En Pvc, Calibre 10</v>
          </cell>
          <cell r="E617" t="str">
            <v>M2</v>
          </cell>
          <cell r="F617">
            <v>30000</v>
          </cell>
          <cell r="G617">
            <v>42314</v>
          </cell>
        </row>
        <row r="618">
          <cell r="C618">
            <v>1205</v>
          </cell>
          <cell r="D618" t="str">
            <v>E - Suministro E Instalación De Lámpara Fluorescente De 1 X 48", Tipo Comercial, Con Encendido Instantaneo De Sobreponer</v>
          </cell>
          <cell r="E618" t="str">
            <v>UN</v>
          </cell>
          <cell r="F618">
            <v>72631.88</v>
          </cell>
          <cell r="G618">
            <v>41451</v>
          </cell>
        </row>
        <row r="619">
          <cell r="C619">
            <v>1209</v>
          </cell>
          <cell r="D619" t="str">
            <v>Piso En Tableta De Gres De Cucuta 0.20 X 0.20 Metros, Incluye Aplique Toceto A Cada 1.00 Metros</v>
          </cell>
          <cell r="E619" t="str">
            <v>M2</v>
          </cell>
          <cell r="F619">
            <v>51960.91</v>
          </cell>
          <cell r="G619">
            <v>41057</v>
          </cell>
        </row>
        <row r="620">
          <cell r="C620">
            <v>1210</v>
          </cell>
          <cell r="D620" t="str">
            <v>Baranda En Concreto De 3000 Psi De Altura 1.20 Metros, Con Columna De 0.20 X 0.20 Metros  A Cada 2.00 Metros, Y Dos Vigas Horizontales De 0.20 X 0.20 Metros A Cada 0.40 Metros, Con Anclaje A Concreto Existente Con Sikadur Anchor Fix - 4  Para Fijar Varillas.</v>
          </cell>
          <cell r="E620" t="str">
            <v>ML</v>
          </cell>
          <cell r="F620">
            <v>157773.19</v>
          </cell>
          <cell r="G620">
            <v>41026</v>
          </cell>
        </row>
        <row r="621">
          <cell r="C621">
            <v>1211</v>
          </cell>
          <cell r="D621" t="str">
            <v>Relleno En Concreto Ciclópeo, 60% En Concreto De 3000 Psi, 40% Piedra De Cimiento, E= 0.20 Metros</v>
          </cell>
          <cell r="E621" t="str">
            <v>M2</v>
          </cell>
          <cell r="F621">
            <v>76792.53</v>
          </cell>
          <cell r="G621">
            <v>41038</v>
          </cell>
        </row>
        <row r="622">
          <cell r="C622">
            <v>1214</v>
          </cell>
          <cell r="D622" t="str">
            <v>Suministro E Instalacion De Tuberia De Alcantarillado Durafort  O Similar D  = 10" - 250 Mm</v>
          </cell>
          <cell r="E622" t="str">
            <v>ML</v>
          </cell>
          <cell r="F622">
            <v>114852.34</v>
          </cell>
          <cell r="G622">
            <v>42466</v>
          </cell>
        </row>
        <row r="623">
          <cell r="C623">
            <v>1215</v>
          </cell>
          <cell r="D623" t="str">
            <v>Placa En Concreto De 3000 Psi Premezclado, E = 0.08 Metros</v>
          </cell>
          <cell r="E623" t="str">
            <v>M2</v>
          </cell>
          <cell r="F623">
            <v>52710.54</v>
          </cell>
          <cell r="G623">
            <v>41037</v>
          </cell>
        </row>
        <row r="624">
          <cell r="C624">
            <v>1216</v>
          </cell>
          <cell r="D624" t="str">
            <v>E - Suministro E Instalación De Registro Metálico Eléctrico De 0.30 X 0.30 X 0.15 Metros</v>
          </cell>
          <cell r="E624" t="str">
            <v>UN</v>
          </cell>
          <cell r="F624">
            <v>43949.58</v>
          </cell>
          <cell r="G624">
            <v>42102</v>
          </cell>
        </row>
        <row r="625">
          <cell r="C625">
            <v>1217</v>
          </cell>
          <cell r="D625" t="str">
            <v>E - Suministro E Instalación De Varilla Cooperweld, Varillas De Cobre De 5/8" Por 2.40 Metros, Incluye Hidrosolta</v>
          </cell>
          <cell r="E625" t="str">
            <v>UN</v>
          </cell>
          <cell r="F625">
            <v>237118.83</v>
          </cell>
          <cell r="G625">
            <v>42314</v>
          </cell>
        </row>
        <row r="626">
          <cell r="C626">
            <v>1218</v>
          </cell>
          <cell r="D626" t="str">
            <v>E - Acometida Parcial Eléctrica Con Tubería Conduit D = 1", Alambrado Con Cable No. 2</v>
          </cell>
          <cell r="E626" t="str">
            <v>ML</v>
          </cell>
          <cell r="F626">
            <v>62909.919999999998</v>
          </cell>
          <cell r="G626">
            <v>41451</v>
          </cell>
        </row>
        <row r="627">
          <cell r="C627">
            <v>1221</v>
          </cell>
          <cell r="D627" t="str">
            <v>E - Acometida Eléctrica En Tubería Conduit Pvc D = 2", Alambrado Con Cable No. 2</v>
          </cell>
          <cell r="E627" t="str">
            <v>ML</v>
          </cell>
          <cell r="F627">
            <v>74652.039999999994</v>
          </cell>
          <cell r="G627">
            <v>41451</v>
          </cell>
        </row>
        <row r="628">
          <cell r="C628">
            <v>1222</v>
          </cell>
          <cell r="D628" t="str">
            <v>Atraque En Concreto De 3000 Psi Al Final De La Placa De Fondo</v>
          </cell>
          <cell r="E628" t="str">
            <v>M3</v>
          </cell>
          <cell r="F628">
            <v>430705.59</v>
          </cell>
          <cell r="G628">
            <v>40697</v>
          </cell>
        </row>
        <row r="629">
          <cell r="C629">
            <v>1223</v>
          </cell>
          <cell r="D629" t="str">
            <v>Tapa Para Registro De 1.20 X 1.80 X 0.10 Metros, En Concreto De 3000 Psi, Reforzado Con Varillas Hierro De 3/8" A Cada 0.20 Metros En Ambos Sentidos</v>
          </cell>
          <cell r="E629" t="str">
            <v>UN</v>
          </cell>
          <cell r="F629">
            <v>193790.39</v>
          </cell>
          <cell r="G629">
            <v>40058</v>
          </cell>
        </row>
        <row r="630">
          <cell r="C630">
            <v>1224</v>
          </cell>
          <cell r="D630" t="str">
            <v>Placa De Fondo En Concreto De 3000 Psi Premezclado, E = 0.07 Metros</v>
          </cell>
          <cell r="E630" t="str">
            <v>M2</v>
          </cell>
          <cell r="F630">
            <v>41387.440000000002</v>
          </cell>
          <cell r="G630">
            <v>41037</v>
          </cell>
        </row>
        <row r="631">
          <cell r="C631">
            <v>1225</v>
          </cell>
          <cell r="D631" t="str">
            <v>Cuneta Rectangular Cerrada De 0.80 X 0.80 Metros E = 0.10 Metros , En Concreto De 3000 Psi,  Reforzado Con Varillas De 3/8" A Cada 0.15 Metros En Ambos Sentidos.</v>
          </cell>
          <cell r="E631" t="str">
            <v>ML</v>
          </cell>
          <cell r="F631">
            <v>234246.66</v>
          </cell>
          <cell r="G631">
            <v>41026</v>
          </cell>
        </row>
        <row r="632">
          <cell r="C632">
            <v>1228</v>
          </cell>
          <cell r="D632" t="str">
            <v>Pintura Epóxica Tipo Pintuco O Similar</v>
          </cell>
          <cell r="E632" t="str">
            <v>M2</v>
          </cell>
          <cell r="F632">
            <v>26025.81</v>
          </cell>
          <cell r="G632">
            <v>42524</v>
          </cell>
        </row>
        <row r="633">
          <cell r="C633">
            <v>1229</v>
          </cell>
          <cell r="D633" t="str">
            <v>Placa En Concreto De 2500 Psi, E = 0.08, Incluye Malla Electrosoldada</v>
          </cell>
          <cell r="E633" t="str">
            <v>M2</v>
          </cell>
          <cell r="F633">
            <v>60920.52</v>
          </cell>
          <cell r="G633">
            <v>41717</v>
          </cell>
        </row>
        <row r="634">
          <cell r="C634">
            <v>1230</v>
          </cell>
          <cell r="D634" t="str">
            <v>Levante De Pedestales De 0.50 X 0.50, Para Columnas Metálicas, En Mampostería Pañetada En Todas Sus Caras, Altura 1.50 Metros</v>
          </cell>
          <cell r="E634" t="str">
            <v>UN</v>
          </cell>
          <cell r="F634">
            <v>144663.63</v>
          </cell>
          <cell r="G634">
            <v>41022</v>
          </cell>
        </row>
        <row r="635">
          <cell r="C635">
            <v>1232</v>
          </cell>
          <cell r="D635" t="str">
            <v>Desmonte De Cerca</v>
          </cell>
          <cell r="E635" t="str">
            <v>M2</v>
          </cell>
          <cell r="F635">
            <v>3697</v>
          </cell>
          <cell r="G635">
            <v>41114</v>
          </cell>
        </row>
        <row r="636">
          <cell r="C636">
            <v>1233</v>
          </cell>
          <cell r="D636" t="str">
            <v>Impermeabilización Con Sikafelt E Imprimación Con Emulsión Asfáltica A Dos Manos</v>
          </cell>
          <cell r="E636" t="str">
            <v>M2</v>
          </cell>
          <cell r="F636">
            <v>14868.12</v>
          </cell>
          <cell r="G636">
            <v>41017</v>
          </cell>
        </row>
        <row r="637">
          <cell r="C637">
            <v>1238</v>
          </cell>
          <cell r="D637" t="str">
            <v>E - Suministro E Instalación De Tablero De Cuatro (4) Circuitos Incluye Tacos</v>
          </cell>
          <cell r="E637" t="str">
            <v>UN</v>
          </cell>
          <cell r="F637">
            <v>104317.5</v>
          </cell>
          <cell r="G637">
            <v>42496</v>
          </cell>
        </row>
        <row r="638">
          <cell r="C638">
            <v>1239</v>
          </cell>
          <cell r="D638" t="str">
            <v>Estuplast Aplicado Como Revestimiento</v>
          </cell>
          <cell r="E638" t="str">
            <v>M2</v>
          </cell>
          <cell r="F638">
            <v>15854.39</v>
          </cell>
          <cell r="G638">
            <v>42314</v>
          </cell>
        </row>
        <row r="639">
          <cell r="C639">
            <v>1240</v>
          </cell>
          <cell r="D639" t="str">
            <v>E - Salida De Cableado Estructurado Para Computadores / Salida Para Tv Cable</v>
          </cell>
          <cell r="E639" t="str">
            <v>UN</v>
          </cell>
          <cell r="F639">
            <v>200000</v>
          </cell>
          <cell r="G639">
            <v>41676</v>
          </cell>
        </row>
        <row r="640">
          <cell r="C640">
            <v>1241</v>
          </cell>
          <cell r="D640" t="str">
            <v>E - Suministro De Abanico Para Salones Tipo Loco Marca Sanyo O Similar</v>
          </cell>
          <cell r="E640" t="str">
            <v>UN</v>
          </cell>
          <cell r="F640">
            <v>200000</v>
          </cell>
          <cell r="G640">
            <v>41936</v>
          </cell>
        </row>
        <row r="641">
          <cell r="C641">
            <v>1242</v>
          </cell>
          <cell r="D641" t="str">
            <v>Levante De Muro Doble En Ladrillo Común, Mortero De Pega 1:4, En Área Con Ancho &lt;  0.80 Metros</v>
          </cell>
          <cell r="E641" t="str">
            <v>ML</v>
          </cell>
          <cell r="F641">
            <v>77174.94</v>
          </cell>
          <cell r="G641">
            <v>42472</v>
          </cell>
        </row>
        <row r="642">
          <cell r="C642">
            <v>1243</v>
          </cell>
          <cell r="D642" t="str">
            <v>Levante De Muro Sencillo En Ladrillo Común, Mortero De Pega 1:4, En Área Con Ancho &lt; 0.80 Metros</v>
          </cell>
          <cell r="E642" t="str">
            <v>ML</v>
          </cell>
          <cell r="F642">
            <v>38634.300000000003</v>
          </cell>
          <cell r="G642">
            <v>42314</v>
          </cell>
        </row>
        <row r="643">
          <cell r="C643">
            <v>1244</v>
          </cell>
          <cell r="D643" t="str">
            <v>Levante De Muro En Bloque De Cemento Vibrado De 0.15 X 0.20 X 0.40 Metros, Mortero De Pega 1:4,  En Áreas Con Ancho &lt;0.80 Metros</v>
          </cell>
          <cell r="E643" t="str">
            <v>ML</v>
          </cell>
          <cell r="F643">
            <v>51693.73</v>
          </cell>
          <cell r="G643">
            <v>42496</v>
          </cell>
        </row>
        <row r="644">
          <cell r="C644">
            <v>1245</v>
          </cell>
          <cell r="D644" t="str">
            <v>Suministro E Instalación De Rejilla De Hierro, En Platina De 2" X 1/2", Ancho 0.70 Metros</v>
          </cell>
          <cell r="E644" t="str">
            <v>ML</v>
          </cell>
          <cell r="F644">
            <v>239760</v>
          </cell>
          <cell r="G644">
            <v>42443</v>
          </cell>
        </row>
        <row r="645">
          <cell r="C645">
            <v>1248</v>
          </cell>
          <cell r="D645" t="str">
            <v>Suministro, Instalacion Y Montaje De Puente Peatonal Metalico, De 1.10 Metros De Ancho, Incluye Cerchas, Correas, Platinas De Anclajes, Barandas De Seguridad, Construido En Canales, Angulos Y Perfiles Phr De Acesco, Soldadura Mig 7056, Tornilleria Grado 5, Plataforma En Lamina Colaborante Metaldeck Calibre 22 De 2", Para Vaciar Concreto De 3000 Psi E = 0.10 Metros, Acabado Pintado Con Anticorrosivo Y Esmalte</v>
          </cell>
          <cell r="E645" t="str">
            <v>ML</v>
          </cell>
          <cell r="F645">
            <v>990000</v>
          </cell>
          <cell r="G645">
            <v>40968</v>
          </cell>
        </row>
        <row r="646">
          <cell r="C646">
            <v>1249</v>
          </cell>
          <cell r="D646" t="str">
            <v>Suministro E Instalación De Rejilla Prefabricada En Concreto Reforzado E = 0.10 Metros, Ancho 0.70 Metro, Incluye 2 Varillas D = 3/8" Y Estribos De 1/4" A Cada 0.15 Metros</v>
          </cell>
          <cell r="E646" t="str">
            <v>ML</v>
          </cell>
          <cell r="F646">
            <v>198692.58</v>
          </cell>
          <cell r="G646">
            <v>41781</v>
          </cell>
        </row>
        <row r="647">
          <cell r="C647">
            <v>1250</v>
          </cell>
          <cell r="D647" t="str">
            <v>Canal En Concreto De 3000 Psi, B = 0.70 Metros, Altura 0.70 Metros, E = 0.10 Metros, Con Acero De Refuerzo De D = 3/8 A Cada 0.40 Metros En Ambos Sentidos</v>
          </cell>
          <cell r="E647" t="str">
            <v>ML</v>
          </cell>
          <cell r="F647">
            <v>135031.19</v>
          </cell>
          <cell r="G647">
            <v>41026</v>
          </cell>
        </row>
        <row r="648">
          <cell r="C648">
            <v>1251</v>
          </cell>
          <cell r="D648" t="str">
            <v>Juegos - Reparación De Rueda Infantil Giratoria Para Parque, Incluye Tubería Y Herrajes Metálicos.</v>
          </cell>
          <cell r="E648" t="str">
            <v>UN</v>
          </cell>
          <cell r="F648">
            <v>200000</v>
          </cell>
          <cell r="G648">
            <v>41569</v>
          </cell>
        </row>
        <row r="649">
          <cell r="C649">
            <v>1252</v>
          </cell>
          <cell r="D649" t="str">
            <v>Valor Director De Interventoria + Factor Multiplicador 1.8</v>
          </cell>
          <cell r="E649" t="str">
            <v>ME</v>
          </cell>
          <cell r="F649">
            <v>11520000</v>
          </cell>
          <cell r="G649">
            <v>40249</v>
          </cell>
        </row>
        <row r="650">
          <cell r="C650">
            <v>1253</v>
          </cell>
          <cell r="D650" t="str">
            <v>Valor Residente De Interventoria + Factor Multiplicador 1.8</v>
          </cell>
          <cell r="E650" t="str">
            <v>ME</v>
          </cell>
          <cell r="F650">
            <v>10440000</v>
          </cell>
          <cell r="G650">
            <v>40249</v>
          </cell>
        </row>
        <row r="651">
          <cell r="C651">
            <v>1254</v>
          </cell>
          <cell r="D651" t="str">
            <v>Valor Ingeniero Control De Calidad + Factor Multiplicador 1.8</v>
          </cell>
          <cell r="E651" t="str">
            <v>ME</v>
          </cell>
          <cell r="F651">
            <v>5400000</v>
          </cell>
          <cell r="G651">
            <v>40249</v>
          </cell>
        </row>
        <row r="652">
          <cell r="C652">
            <v>1255</v>
          </cell>
          <cell r="D652" t="str">
            <v>Valor Ingeniero Control De Calidad - Salario Mensual $3.000.000 - Dedicacion 0.25 - Factor Multiplicador 1.8</v>
          </cell>
          <cell r="E652" t="str">
            <v>ME</v>
          </cell>
          <cell r="F652">
            <v>1350000</v>
          </cell>
          <cell r="G652">
            <v>40249</v>
          </cell>
        </row>
        <row r="653">
          <cell r="C653">
            <v>1256</v>
          </cell>
          <cell r="D653" t="str">
            <v>Valor Inspector De Obra - Salario Mensual $2.000.000 - Dedicacion 0.50 Mensual - Factor Multiplicador 1.8</v>
          </cell>
          <cell r="E653" t="str">
            <v>ME</v>
          </cell>
          <cell r="F653">
            <v>1800000</v>
          </cell>
          <cell r="G653">
            <v>40249</v>
          </cell>
        </row>
        <row r="654">
          <cell r="C654">
            <v>1257</v>
          </cell>
          <cell r="D654" t="str">
            <v>Valor Inspector De Obra + Factor Multiplicador 1.8</v>
          </cell>
          <cell r="E654" t="str">
            <v>ME</v>
          </cell>
          <cell r="F654">
            <v>3600000</v>
          </cell>
          <cell r="G654">
            <v>40249</v>
          </cell>
        </row>
        <row r="655">
          <cell r="C655">
            <v>1258</v>
          </cell>
          <cell r="D655" t="str">
            <v>Valor Cuadrilla De Topografia  $5.000.000 Mensual + Factor Multiplicador 1.8</v>
          </cell>
          <cell r="E655" t="str">
            <v>ME</v>
          </cell>
          <cell r="F655">
            <v>9000000</v>
          </cell>
          <cell r="G655">
            <v>40249</v>
          </cell>
        </row>
        <row r="656">
          <cell r="C656">
            <v>1259</v>
          </cell>
          <cell r="D656" t="str">
            <v>Valor Cuadrilla De Topografia - Salario Mensual $5.000.000 - Dedicacion 0.15 Mensual - Factor Multiplicador 1.8</v>
          </cell>
          <cell r="E656" t="str">
            <v>ME</v>
          </cell>
          <cell r="F656">
            <v>1350000</v>
          </cell>
          <cell r="G656">
            <v>41386</v>
          </cell>
        </row>
        <row r="657">
          <cell r="C657">
            <v>1261</v>
          </cell>
          <cell r="D657" t="str">
            <v>Valor Director De Interventoria -Salario Mensual $6.400.000 - Dedicacion 0.20 - Factor Multiplicador 1.8</v>
          </cell>
          <cell r="E657" t="str">
            <v>ME</v>
          </cell>
          <cell r="F657">
            <v>2304000</v>
          </cell>
          <cell r="G657">
            <v>40249</v>
          </cell>
        </row>
        <row r="658">
          <cell r="C658">
            <v>1262</v>
          </cell>
          <cell r="D658" t="str">
            <v>Valor Residente De Interventoria - Salario Mensual $5.800.000 - Dedicacion 0.25 - Factor Multiplicador 1.8</v>
          </cell>
          <cell r="E658" t="str">
            <v>ME</v>
          </cell>
          <cell r="F658">
            <v>2610000</v>
          </cell>
          <cell r="G658">
            <v>40249</v>
          </cell>
        </row>
        <row r="659">
          <cell r="C659">
            <v>1266</v>
          </cell>
          <cell r="D659" t="str">
            <v>Valor Ingeniero Asesor De Vias + Factor Multiplicador</v>
          </cell>
          <cell r="E659" t="str">
            <v>ME</v>
          </cell>
          <cell r="F659">
            <v>10800000</v>
          </cell>
          <cell r="G659">
            <v>40249</v>
          </cell>
        </row>
        <row r="660">
          <cell r="C660">
            <v>1267</v>
          </cell>
          <cell r="D660" t="str">
            <v>Valor Ingeniero Asesor De Vias - Salario Mensual $6.000.000 - Dedicacion 0.20 - Factor Multiplicador 1.8</v>
          </cell>
          <cell r="E660" t="str">
            <v>ME</v>
          </cell>
          <cell r="F660">
            <v>2160000</v>
          </cell>
          <cell r="G660">
            <v>40249</v>
          </cell>
        </row>
        <row r="661">
          <cell r="C661">
            <v>1268</v>
          </cell>
          <cell r="D661" t="str">
            <v>Desmonte De Puertas Dobles Y Retiro De Material</v>
          </cell>
          <cell r="E661" t="str">
            <v>UN</v>
          </cell>
          <cell r="F661">
            <v>24100</v>
          </cell>
          <cell r="G661">
            <v>42403</v>
          </cell>
        </row>
        <row r="662">
          <cell r="C662">
            <v>1269</v>
          </cell>
          <cell r="D662" t="str">
            <v>Pañete Exterior Allanado Con Mortero 1:4 Impermeabilizado</v>
          </cell>
          <cell r="E662" t="str">
            <v>M2</v>
          </cell>
          <cell r="F662">
            <v>23493.05</v>
          </cell>
          <cell r="G662">
            <v>42415</v>
          </cell>
        </row>
        <row r="663">
          <cell r="C663">
            <v>1270</v>
          </cell>
          <cell r="D663" t="str">
            <v>Piso En Concreto De 2500 Psi, Impermeabilizado Con Sika 1. Espesor 0.05 Metros</v>
          </cell>
          <cell r="E663" t="str">
            <v>M2</v>
          </cell>
          <cell r="F663">
            <v>35938.46</v>
          </cell>
          <cell r="G663">
            <v>42472</v>
          </cell>
        </row>
        <row r="664">
          <cell r="C664">
            <v>1271</v>
          </cell>
          <cell r="D664" t="str">
            <v>Resane De Viga Canal De 0.30 X 0.60 X 0.30 Metros, Con Mortero 1:4 Espesor 0.03 Metros, Impermeabilizado Con Manto Edil De 3Mm</v>
          </cell>
          <cell r="E664" t="str">
            <v>ML</v>
          </cell>
          <cell r="F664">
            <v>54090.720000000001</v>
          </cell>
          <cell r="G664">
            <v>41067</v>
          </cell>
        </row>
        <row r="665">
          <cell r="C665">
            <v>1272</v>
          </cell>
          <cell r="D665" t="str">
            <v>Elemento Vertical De 0.10 X 0.10 Metros, En Concreto De 3000 Psi, Reforzado Con 2 Varillas De 3/8", Estribos De 1/4" A Cada 0.20 Metros</v>
          </cell>
          <cell r="E665" t="str">
            <v>ML</v>
          </cell>
          <cell r="F665">
            <v>22306.89</v>
          </cell>
          <cell r="G665">
            <v>41017</v>
          </cell>
        </row>
        <row r="666">
          <cell r="C666">
            <v>1273</v>
          </cell>
          <cell r="D666" t="str">
            <v>Alfagías De 0.15 X 0.20 Metros, En Concreto De 3000 Psi, Reforzado Con 2 Varillas De 1/2", Estribos De 3/8" A Cada 0.15 Metros</v>
          </cell>
          <cell r="E666" t="str">
            <v>ML</v>
          </cell>
          <cell r="F666">
            <v>49595.11</v>
          </cell>
          <cell r="G666">
            <v>41799</v>
          </cell>
        </row>
        <row r="667">
          <cell r="C667">
            <v>1274</v>
          </cell>
          <cell r="D667" t="str">
            <v>Señalizacion De Obra - Soporte Para Cinta Demarcadora</v>
          </cell>
          <cell r="E667" t="str">
            <v>UN</v>
          </cell>
          <cell r="F667">
            <v>12566</v>
          </cell>
          <cell r="G667">
            <v>40357</v>
          </cell>
        </row>
        <row r="668">
          <cell r="C668">
            <v>1277</v>
          </cell>
          <cell r="D668" t="str">
            <v>Señalización - Cinta Demarcadora  Sin Soportes</v>
          </cell>
          <cell r="E668" t="str">
            <v>ML</v>
          </cell>
          <cell r="F668">
            <v>1575.59</v>
          </cell>
          <cell r="G668">
            <v>40994</v>
          </cell>
        </row>
        <row r="669">
          <cell r="C669">
            <v>1279</v>
          </cell>
          <cell r="D669" t="str">
            <v>Suministro De Tuberia De Acueducto De Polietileno De Alta Densidad Pead 20 Mm</v>
          </cell>
          <cell r="E669" t="str">
            <v>UN</v>
          </cell>
          <cell r="F669">
            <v>25347.47</v>
          </cell>
          <cell r="G669">
            <v>41501</v>
          </cell>
        </row>
        <row r="670">
          <cell r="C670">
            <v>1282</v>
          </cell>
          <cell r="D670" t="str">
            <v>Señalización - Valla Movil Tipo 2. Valla Desplegable</v>
          </cell>
          <cell r="E670" t="str">
            <v>UN</v>
          </cell>
          <cell r="F670">
            <v>199177</v>
          </cell>
          <cell r="G670">
            <v>40994</v>
          </cell>
        </row>
        <row r="671">
          <cell r="C671">
            <v>1284</v>
          </cell>
          <cell r="D671" t="str">
            <v>Señalizacion - Aviso Preventivo Fijo</v>
          </cell>
          <cell r="E671" t="str">
            <v>UN</v>
          </cell>
          <cell r="F671">
            <v>279438.15999999997</v>
          </cell>
          <cell r="G671">
            <v>40357</v>
          </cell>
        </row>
        <row r="672">
          <cell r="C672">
            <v>1285</v>
          </cell>
          <cell r="D672" t="str">
            <v>Excavacion En Zanja A Mano Para Redes De Acueducto, En Material Comun, Roca Descompuesta, A Cualquier Profundidad Y Bajo Cualquier Condicion De Humedad, Incluye Retiro De Material.</v>
          </cell>
          <cell r="E672" t="str">
            <v>M3</v>
          </cell>
          <cell r="F672">
            <v>24309.54</v>
          </cell>
          <cell r="G672">
            <v>40357</v>
          </cell>
        </row>
        <row r="673">
          <cell r="C673">
            <v>1289</v>
          </cell>
          <cell r="D673" t="str">
            <v>Instalacion De Tuberia De Polietileno De Alta Densidad (Pead) 200Mm D=8", Y Accesorios Para Acueducto</v>
          </cell>
          <cell r="E673" t="str">
            <v>ML</v>
          </cell>
          <cell r="F673">
            <v>10226.549999999999</v>
          </cell>
          <cell r="G673">
            <v>42751</v>
          </cell>
        </row>
        <row r="674">
          <cell r="C674">
            <v>1290</v>
          </cell>
          <cell r="D674" t="str">
            <v>Cimentacion De Tuberia Con Arena Compactada Al 70% De La Densidad Relativa Maxima</v>
          </cell>
          <cell r="E674" t="str">
            <v>M3</v>
          </cell>
          <cell r="F674">
            <v>48295</v>
          </cell>
          <cell r="G674">
            <v>40357</v>
          </cell>
        </row>
        <row r="675">
          <cell r="C675">
            <v>1291</v>
          </cell>
          <cell r="D675" t="str">
            <v>Relleno De Zanja Y Obras De Mamposteria Con Material Seleccionado, De Sitio, Compactado Al 90% Del Proctor Modificado</v>
          </cell>
          <cell r="E675" t="str">
            <v>M3</v>
          </cell>
          <cell r="F675">
            <v>16053.89</v>
          </cell>
          <cell r="G675">
            <v>42578</v>
          </cell>
        </row>
        <row r="676">
          <cell r="C676">
            <v>1293</v>
          </cell>
          <cell r="D676" t="str">
            <v>Relleno De Zanja Y Obras De Mamposteria Con Material Seleccionado De Cantera Compactado Al 95% Del Proctor Modificado</v>
          </cell>
          <cell r="E676" t="str">
            <v>M3</v>
          </cell>
          <cell r="F676">
            <v>40253.89</v>
          </cell>
          <cell r="G676">
            <v>40357</v>
          </cell>
        </row>
        <row r="677">
          <cell r="C677">
            <v>1294</v>
          </cell>
          <cell r="D677" t="str">
            <v>Concreto Para Anclaje Con Concreto De 3000 Psi En Obra</v>
          </cell>
          <cell r="E677" t="str">
            <v>M3</v>
          </cell>
          <cell r="F677">
            <v>366457.13</v>
          </cell>
          <cell r="G677">
            <v>40357</v>
          </cell>
        </row>
        <row r="678">
          <cell r="C678">
            <v>1295</v>
          </cell>
          <cell r="D678" t="str">
            <v>Excavacion  A Maquina En Material Comun, Roca Descompuesta A Cualquier Profundidad Y Bajo Cualquier Condicion De Humedad, Incluye Retiro De Material A Lugar Autorizado</v>
          </cell>
          <cell r="E678" t="str">
            <v>M3</v>
          </cell>
          <cell r="F678">
            <v>27440</v>
          </cell>
          <cell r="G678">
            <v>42802</v>
          </cell>
        </row>
        <row r="679">
          <cell r="C679">
            <v>1296</v>
          </cell>
          <cell r="D679" t="str">
            <v>Concreto De Limpieza F`C = 14 Mpa (2000 Psi) En Obra,  E = 0.05 Metros</v>
          </cell>
          <cell r="E679" t="str">
            <v>M2</v>
          </cell>
          <cell r="F679">
            <v>17936.939999999999</v>
          </cell>
          <cell r="G679">
            <v>40357</v>
          </cell>
        </row>
        <row r="680">
          <cell r="C680">
            <v>1300</v>
          </cell>
          <cell r="D680" t="str">
            <v>Placa De Fondo En Concreto Impermeabilizado F´C = 28 Mpa, (4000 Psi)</v>
          </cell>
          <cell r="E680" t="str">
            <v>M3</v>
          </cell>
          <cell r="F680">
            <v>775826.99</v>
          </cell>
          <cell r="G680">
            <v>40357</v>
          </cell>
        </row>
        <row r="681">
          <cell r="C681">
            <v>1304</v>
          </cell>
          <cell r="D681" t="str">
            <v>Muros En Concreto Bombeo Impermeabilizado F´C = 28 Mpa (4000 Psi)</v>
          </cell>
          <cell r="E681" t="str">
            <v>M3</v>
          </cell>
          <cell r="F681">
            <v>919377.99</v>
          </cell>
          <cell r="G681">
            <v>40100</v>
          </cell>
        </row>
        <row r="682">
          <cell r="C682">
            <v>1307</v>
          </cell>
          <cell r="D682" t="str">
            <v>Suministro E Instalacion De Compuerta Tipo Chapaleta</v>
          </cell>
          <cell r="E682" t="str">
            <v>UN</v>
          </cell>
          <cell r="F682">
            <v>3235300</v>
          </cell>
          <cell r="G682">
            <v>40100</v>
          </cell>
        </row>
        <row r="683">
          <cell r="C683">
            <v>1308</v>
          </cell>
          <cell r="D683" t="str">
            <v>Losa Superior En Concreto F`C = 28 Mpa (4000 Psi)</v>
          </cell>
          <cell r="E683" t="str">
            <v>M3</v>
          </cell>
          <cell r="F683">
            <v>876829.29</v>
          </cell>
          <cell r="G683">
            <v>40100</v>
          </cell>
        </row>
        <row r="684">
          <cell r="C684">
            <v>1313</v>
          </cell>
          <cell r="D684" t="str">
            <v>Suministro E Instalacion De Cinta Flexible Para Sellar Junta De Construccion Y Dilatacion Sika Pvc O-22 O Similar</v>
          </cell>
          <cell r="E684" t="str">
            <v>ML</v>
          </cell>
          <cell r="F684">
            <v>55565</v>
          </cell>
          <cell r="G684">
            <v>40357</v>
          </cell>
        </row>
        <row r="685">
          <cell r="C685">
            <v>1314</v>
          </cell>
          <cell r="D685" t="str">
            <v>Suministro Y Aplicación De Sello Expandible Contra El Paso De Agua En Juntas De Construcción Y Pases De Tuberia Sika Well S O Similar</v>
          </cell>
          <cell r="E685" t="str">
            <v>ML</v>
          </cell>
          <cell r="F685">
            <v>34177.800000000003</v>
          </cell>
          <cell r="G685">
            <v>41009</v>
          </cell>
        </row>
        <row r="686">
          <cell r="C686">
            <v>1315</v>
          </cell>
          <cell r="D686" t="str">
            <v>Suministro Y Aplicacion De Imprimante Y Puente De Adherencia De Concreto Fresco A Endurecido Sikadur - 32 Primer O Similar</v>
          </cell>
          <cell r="E686" t="str">
            <v>M2</v>
          </cell>
          <cell r="F686">
            <v>48150.55</v>
          </cell>
          <cell r="G686">
            <v>40357</v>
          </cell>
        </row>
        <row r="687">
          <cell r="C687">
            <v>1316</v>
          </cell>
          <cell r="D687" t="str">
            <v>Suministro Y Aplicacion De Recubrimiento Protector Epoxico Aplicable Sobre Superficies Absorventes Humedas O Metalicas Secas Sikaguard 62 O Similar</v>
          </cell>
          <cell r="E687" t="str">
            <v>M2</v>
          </cell>
          <cell r="F687">
            <v>41316.959999999999</v>
          </cell>
          <cell r="G687">
            <v>40357</v>
          </cell>
        </row>
        <row r="688">
          <cell r="C688">
            <v>1323</v>
          </cell>
          <cell r="D688" t="str">
            <v>Escalera De Gato, En Acero Astm A-36, Incluye Acabado En Pintura De Esmalte Epoxico</v>
          </cell>
          <cell r="E688" t="str">
            <v>ML</v>
          </cell>
          <cell r="F688">
            <v>52798.95</v>
          </cell>
          <cell r="G688">
            <v>40101</v>
          </cell>
        </row>
        <row r="689">
          <cell r="C689">
            <v>1324</v>
          </cell>
          <cell r="D689" t="str">
            <v>Tapa De Concreto De 21 Mpa (3000 Psi) E = 0.15 Metros, Marco En L De 100 X 100 X 6 Mm, Manija En Hierro De 1/2", Contramarco En L De 25 X 25 X3/16, Instalado Sobre Losa Y Sello Con Igas Negro O Similar, Todos Los Elementos Tendran Acabado Con Anticorrosivo</v>
          </cell>
          <cell r="E689" t="str">
            <v>M2</v>
          </cell>
          <cell r="F689">
            <v>96320</v>
          </cell>
          <cell r="G689">
            <v>40101</v>
          </cell>
        </row>
        <row r="690">
          <cell r="C690">
            <v>1325</v>
          </cell>
          <cell r="D690" t="str">
            <v>Suministro E Instalación De Gabinetes Y Extintores - Equipo Contra Incendio</v>
          </cell>
          <cell r="E690" t="str">
            <v>UN</v>
          </cell>
          <cell r="F690">
            <v>806843</v>
          </cell>
          <cell r="G690">
            <v>41936</v>
          </cell>
        </row>
        <row r="691">
          <cell r="C691">
            <v>1329</v>
          </cell>
          <cell r="D691" t="str">
            <v>Suministro E Instalación De Tuberia Galvanizada De 2"</v>
          </cell>
          <cell r="E691" t="str">
            <v>ML</v>
          </cell>
          <cell r="F691">
            <v>58015</v>
          </cell>
          <cell r="G691">
            <v>41737</v>
          </cell>
        </row>
        <row r="692">
          <cell r="C692">
            <v>1330</v>
          </cell>
          <cell r="D692" t="str">
            <v>Suministro, Instalación Y Puesta En Marcha De Sistema De Aire Acondicionado Central, Incluye Equipos, Ductos En Icopor, Rejillas, Mano De Obra De Instalación Y Transporte - Toneladas Métricas</v>
          </cell>
          <cell r="E692" t="str">
            <v>M3</v>
          </cell>
          <cell r="F692">
            <v>1800000</v>
          </cell>
          <cell r="G692">
            <v>41044</v>
          </cell>
        </row>
        <row r="693">
          <cell r="C693">
            <v>1333</v>
          </cell>
          <cell r="D693" t="str">
            <v>E - Suministro E Instalación De Tablero Trifásico De 12 Circuitos Con Puerta, Incluye Tacos</v>
          </cell>
          <cell r="E693" t="str">
            <v>UN</v>
          </cell>
          <cell r="F693">
            <v>560587.5</v>
          </cell>
          <cell r="G693">
            <v>41676</v>
          </cell>
        </row>
        <row r="694">
          <cell r="C694">
            <v>1334</v>
          </cell>
          <cell r="D694" t="str">
            <v>E - Acometida Eléctrica En Tubería Conduit Pvc De 3/4", Alambre Aislado 3 Lineas Cable Thhn No.10</v>
          </cell>
          <cell r="E694" t="str">
            <v>ML</v>
          </cell>
          <cell r="F694">
            <v>32544.41</v>
          </cell>
          <cell r="G694">
            <v>42472</v>
          </cell>
        </row>
        <row r="695">
          <cell r="C695">
            <v>1336</v>
          </cell>
          <cell r="D695" t="str">
            <v>Losa En Concreto De 3000 Psi, E = 0.05 Metros, Ancho De 0.60 Metros Varillas De 3/8" A Cada 0.15 Metros En Ambos Sentidos, Acabado En Granito Pulido</v>
          </cell>
          <cell r="E695" t="str">
            <v>ML</v>
          </cell>
          <cell r="F695">
            <v>109799.92</v>
          </cell>
          <cell r="G695">
            <v>42496</v>
          </cell>
        </row>
        <row r="696">
          <cell r="C696">
            <v>1337</v>
          </cell>
          <cell r="D696" t="str">
            <v>Desmonte De Lavaplatos Y Retiro De Material</v>
          </cell>
          <cell r="E696" t="str">
            <v>UN</v>
          </cell>
          <cell r="F696">
            <v>14610</v>
          </cell>
          <cell r="G696">
            <v>41016</v>
          </cell>
        </row>
        <row r="697">
          <cell r="C697">
            <v>1339</v>
          </cell>
          <cell r="D697" t="str">
            <v>Suministro E Instalación De Puerta -  Ventana En Aluminio Anodizado Natural, Bronce O Blanco Incluye Vidrio Templado De Seguridad Y Cerraduras</v>
          </cell>
          <cell r="E697" t="str">
            <v>M2</v>
          </cell>
          <cell r="F697">
            <v>345000</v>
          </cell>
          <cell r="G697">
            <v>42578</v>
          </cell>
        </row>
        <row r="698">
          <cell r="C698">
            <v>1351</v>
          </cell>
          <cell r="D698" t="str">
            <v>Cruceta Galvanizada En Caliente Autosoportada Y Homologada De 2.40 Metros, Incluye Pernos, Bandas, Etc</v>
          </cell>
          <cell r="E698" t="str">
            <v>UN</v>
          </cell>
          <cell r="F698">
            <v>199079.11</v>
          </cell>
          <cell r="G698">
            <v>42123</v>
          </cell>
        </row>
        <row r="699">
          <cell r="C699">
            <v>1352</v>
          </cell>
          <cell r="D699" t="str">
            <v>Cortacircuito En Acero Inoxidable, Buje Largo De 18´ De Fuga Mac-Graw Con Sus Fusibles</v>
          </cell>
          <cell r="E699" t="str">
            <v>UN</v>
          </cell>
          <cell r="F699">
            <v>431730</v>
          </cell>
          <cell r="G699">
            <v>41927</v>
          </cell>
        </row>
        <row r="700">
          <cell r="C700">
            <v>1353</v>
          </cell>
          <cell r="D700" t="str">
            <v>Pararrayos De 1O Kva-1O Ka Polimericos Homologados, Incluye Cuñas Para Montar En Cuba Del Transformador</v>
          </cell>
          <cell r="E700" t="str">
            <v>UN</v>
          </cell>
          <cell r="F700">
            <v>374185.87</v>
          </cell>
          <cell r="G700">
            <v>41927</v>
          </cell>
        </row>
        <row r="701">
          <cell r="C701">
            <v>1367</v>
          </cell>
          <cell r="D701" t="str">
            <v>Puentes Primarios En Caliente Incluye Conectores Ampact</v>
          </cell>
          <cell r="E701" t="str">
            <v>UN</v>
          </cell>
          <cell r="F701">
            <v>136697.22</v>
          </cell>
          <cell r="G701">
            <v>41338</v>
          </cell>
        </row>
        <row r="702">
          <cell r="C702">
            <v>1372</v>
          </cell>
          <cell r="D702" t="str">
            <v>Instalación De Transformador Trifasico 15 Kva I 3200 / 220 - 127 V Para Instalar En Poste</v>
          </cell>
          <cell r="E702" t="str">
            <v>UN</v>
          </cell>
          <cell r="F702">
            <v>9332884.0299999993</v>
          </cell>
          <cell r="G702">
            <v>41338</v>
          </cell>
        </row>
        <row r="703">
          <cell r="C703">
            <v>1375</v>
          </cell>
          <cell r="D703" t="str">
            <v>Acometida Electrica Desde El Transformador De 15 Kva Al Ccm En Cable Thhn 4 X No. 8, Incluye Conectores Bimetalicos 3M, Cintas 23 Y 33 3M</v>
          </cell>
          <cell r="E703" t="str">
            <v>ML</v>
          </cell>
          <cell r="F703">
            <v>43390.55</v>
          </cell>
          <cell r="G703">
            <v>41410</v>
          </cell>
        </row>
        <row r="704">
          <cell r="C704">
            <v>1380</v>
          </cell>
          <cell r="D704" t="str">
            <v>Flexiconduit Coraza Y Conectores Rectos, Etc</v>
          </cell>
          <cell r="E704" t="str">
            <v>ML</v>
          </cell>
          <cell r="F704">
            <v>27257.33</v>
          </cell>
          <cell r="G704">
            <v>41338</v>
          </cell>
        </row>
        <row r="705">
          <cell r="C705">
            <v>1382</v>
          </cell>
          <cell r="D705" t="str">
            <v>Tuberia Conduit Pvc De 2" Enterrada A 0.80 Metros De Profundidad, Incluidos Accesorios Varios, Incluye Excavacion , Relleno, Compactacion, Cinta Señalizadora Y Atraque En Concreto</v>
          </cell>
          <cell r="E705" t="str">
            <v>ML</v>
          </cell>
          <cell r="F705">
            <v>35781.839999999997</v>
          </cell>
          <cell r="G705">
            <v>41338</v>
          </cell>
        </row>
        <row r="706">
          <cell r="C706">
            <v>1383</v>
          </cell>
          <cell r="D706" t="str">
            <v>Sistema A Tierra De Subestación Mastiles (Ver Diseño)</v>
          </cell>
          <cell r="E706" t="str">
            <v>GL</v>
          </cell>
          <cell r="F706">
            <v>6420277.75</v>
          </cell>
          <cell r="G706">
            <v>41388</v>
          </cell>
        </row>
        <row r="707">
          <cell r="C707">
            <v>1390</v>
          </cell>
          <cell r="D707" t="str">
            <v>Gabinete Con Contador De Energia Homologada, Incluye 3 Transformadores De Corriente Tipo Ventana, Bloque De Prueba, Cables De Control Y Accesorios</v>
          </cell>
          <cell r="E707" t="str">
            <v>UN</v>
          </cell>
          <cell r="F707">
            <v>2664650</v>
          </cell>
          <cell r="G707">
            <v>41338</v>
          </cell>
        </row>
        <row r="708">
          <cell r="C708">
            <v>1403</v>
          </cell>
          <cell r="D708" t="str">
            <v>Malla A Tierra Para Subestacion, Incluye 3 Varillas Copperweld De 2.40 Metros, Cable De Cu Desnudo No. 2, Soldadura Caldweld</v>
          </cell>
          <cell r="E708" t="str">
            <v>GL</v>
          </cell>
          <cell r="F708">
            <v>1703467.61</v>
          </cell>
          <cell r="G708">
            <v>41927</v>
          </cell>
        </row>
        <row r="709">
          <cell r="C709">
            <v>1406</v>
          </cell>
          <cell r="D709" t="str">
            <v>Tablero En Acero Inoxidable Con Chapa De Seguridad Para Dos Unidades De Bombeo De 6 Kw, Incluye Dos Arrancadores Estrella Triangulo, Barraje Trifasico Con Barra De Tierra, Sistema De Contactores  Para Alternancia De Las Bombas, Opcion De Trabajo Local</v>
          </cell>
          <cell r="E709" t="str">
            <v>UN</v>
          </cell>
          <cell r="F709">
            <v>8812364.2300000004</v>
          </cell>
          <cell r="G709">
            <v>41338</v>
          </cell>
        </row>
        <row r="710">
          <cell r="C710">
            <v>1409</v>
          </cell>
          <cell r="D710" t="str">
            <v>Boya Tipo Sapo De Mercurio Contactos Nc - No - 220 Vac, Incluye Brazo Anclado A Pared</v>
          </cell>
          <cell r="E710" t="str">
            <v>UN</v>
          </cell>
          <cell r="F710">
            <v>242380.55</v>
          </cell>
          <cell r="G710">
            <v>41410</v>
          </cell>
        </row>
        <row r="711">
          <cell r="C711">
            <v>1410</v>
          </cell>
          <cell r="D711" t="str">
            <v>Cable Apantallado 3 X 18 + 1, Incluye Tuberia Conduit Pvc De 1" Enterrada A 0.80 Metros De Profundidad, Incluye Excavacion, Relleno, Compactacion Y Señalizacion</v>
          </cell>
          <cell r="E711" t="str">
            <v>ML</v>
          </cell>
          <cell r="F711">
            <v>1650</v>
          </cell>
          <cell r="G711">
            <v>41410</v>
          </cell>
        </row>
        <row r="712">
          <cell r="C712">
            <v>1411</v>
          </cell>
          <cell r="D712" t="str">
            <v>Excavación De 0.50 X 0.50 Metros Y Retiro De Material Sobrante</v>
          </cell>
          <cell r="E712" t="str">
            <v>ML</v>
          </cell>
          <cell r="F712">
            <v>7806.25</v>
          </cell>
          <cell r="G712">
            <v>41927</v>
          </cell>
        </row>
        <row r="713">
          <cell r="C713">
            <v>1412</v>
          </cell>
          <cell r="D713" t="str">
            <v>Excavacion De 0.30 X 0.30 X 0.30 Metros Y Retiro De Material Sobrante</v>
          </cell>
          <cell r="E713" t="str">
            <v>UN</v>
          </cell>
          <cell r="F713">
            <v>4000</v>
          </cell>
          <cell r="G713">
            <v>40106</v>
          </cell>
        </row>
        <row r="714">
          <cell r="C714">
            <v>1413</v>
          </cell>
          <cell r="D714" t="str">
            <v>Suministro De Tanques Plasticos De Alta Densidad Colectores De Basura, Con Capacidad 0.210 Metros Cubicos (55 Galones), Con Anillos De Refuerzo En El Mismo Material En Parte Superior Media E Inferior</v>
          </cell>
          <cell r="E714" t="str">
            <v>UN</v>
          </cell>
          <cell r="F714">
            <v>45000</v>
          </cell>
          <cell r="G714">
            <v>41670</v>
          </cell>
        </row>
        <row r="715">
          <cell r="C715">
            <v>1414</v>
          </cell>
          <cell r="D715" t="str">
            <v>Zapata De 0.50 X 0.50 X 0.50 Metros En Concreto De 2500 Psi, Incluye Parrilla En Acero De Refuerzo Varillas De 1/2" A Cada 0.10 Metros E N Ambos Sentidos</v>
          </cell>
          <cell r="E715" t="str">
            <v>UN</v>
          </cell>
          <cell r="F715">
            <v>72626.23</v>
          </cell>
          <cell r="G715">
            <v>41075</v>
          </cell>
        </row>
        <row r="716">
          <cell r="C716">
            <v>1415</v>
          </cell>
          <cell r="D716" t="str">
            <v>Columna De Tubería Pvc D = 4", Altura 2.60 Metros, Para Soporte De Cubierta, Relleno En Concreto De 2500 Psi Con Una Varilla D = 3/8"</v>
          </cell>
          <cell r="E716" t="str">
            <v>UN</v>
          </cell>
          <cell r="F716">
            <v>71661.63</v>
          </cell>
          <cell r="G716">
            <v>41015</v>
          </cell>
        </row>
        <row r="717">
          <cell r="C717">
            <v>1418</v>
          </cell>
          <cell r="D717" t="str">
            <v>Suministro E Instalación De Reja En Tubo Galvanizado D = 1", Con Doble Cerrojo Y Tornilleria De Anclaje, 2 Pasadores, 3 Bisagras, De 2.00 X 1.15 Metros, Incluye Acabado En  Pintura Anticorrosiva Y Esmalte</v>
          </cell>
          <cell r="E717" t="str">
            <v>UN</v>
          </cell>
          <cell r="F717">
            <v>347510</v>
          </cell>
          <cell r="G717">
            <v>41068</v>
          </cell>
        </row>
        <row r="718">
          <cell r="C718">
            <v>1419</v>
          </cell>
          <cell r="D718" t="str">
            <v>Suministro E Instalación De Reja En Tubo Galvanizado D = 1", Con Doble Cerrojo Y Tornillos De Anclaje, 2 Pasadores, 3 Bisagras, De 2.00 X 1.40 Metros Incluye Acabado En Pintura Anticorrosiva Y Esmalte</v>
          </cell>
          <cell r="E718" t="str">
            <v>UN</v>
          </cell>
          <cell r="F718">
            <v>459980</v>
          </cell>
          <cell r="G718">
            <v>41068</v>
          </cell>
        </row>
        <row r="719">
          <cell r="C719">
            <v>1421</v>
          </cell>
          <cell r="D719" t="str">
            <v>Suministro E Instalación De Cubierta En Lámina Galvanizada Trapezoidal De Acesco Longitud 3.05 Metros, Incluye Ganchos De Fijacion Y Estructura De Soporte Metalico Pintada Con Anticorrosivo Y Esmalte</v>
          </cell>
          <cell r="E719" t="str">
            <v>M2</v>
          </cell>
          <cell r="F719">
            <v>37079.35</v>
          </cell>
          <cell r="G719">
            <v>42472</v>
          </cell>
        </row>
        <row r="720">
          <cell r="C720">
            <v>1424</v>
          </cell>
          <cell r="D720" t="str">
            <v>Cerramiento De Protección En Alambre De Púa, Con Varillas De 1/2" De 0.40 Metros, Empotradas 0.10 Metros  En La Viga Corona A Cada 0.15 Metros, Incluye Pintura Con Antisorrosivo</v>
          </cell>
          <cell r="E720" t="str">
            <v>ML</v>
          </cell>
          <cell r="F720">
            <v>22330.05</v>
          </cell>
          <cell r="G720">
            <v>41015</v>
          </cell>
        </row>
        <row r="721">
          <cell r="C721">
            <v>1425</v>
          </cell>
          <cell r="D721" t="str">
            <v>E - Desmonte De Abanico, Incluye Retiro De Alambrado</v>
          </cell>
          <cell r="E721" t="str">
            <v>UN</v>
          </cell>
          <cell r="F721">
            <v>12423.75</v>
          </cell>
          <cell r="G721">
            <v>41451</v>
          </cell>
        </row>
        <row r="722">
          <cell r="C722">
            <v>1426</v>
          </cell>
          <cell r="D722" t="str">
            <v>Pañete En Mortero 1:4 Para Sellada De Calados</v>
          </cell>
          <cell r="E722" t="str">
            <v>M2</v>
          </cell>
          <cell r="F722">
            <v>25196.23</v>
          </cell>
          <cell r="G722">
            <v>41022</v>
          </cell>
        </row>
        <row r="723">
          <cell r="C723">
            <v>1427</v>
          </cell>
          <cell r="D723" t="str">
            <v>Suministro E Instalación De Puerta En Aluminio Anodizado Natural, Bronce O Blanco, Incluye Vidrio Transparente Templado De Seguridad De 10 Mm Y Cerradura</v>
          </cell>
          <cell r="E723" t="str">
            <v>M2</v>
          </cell>
          <cell r="F723">
            <v>546150</v>
          </cell>
          <cell r="G723">
            <v>42572</v>
          </cell>
        </row>
        <row r="724">
          <cell r="C724">
            <v>1429</v>
          </cell>
          <cell r="D724" t="str">
            <v>Pedestal De 0.60 X 0.70 X 0.90 Metros, En Concreto De 4000 Psi Premezclado, No Incluye Acero De Refuerzo</v>
          </cell>
          <cell r="E724" t="str">
            <v>UN</v>
          </cell>
          <cell r="F724">
            <v>192053.87</v>
          </cell>
          <cell r="G724">
            <v>41045</v>
          </cell>
        </row>
        <row r="725">
          <cell r="C725">
            <v>1430</v>
          </cell>
          <cell r="D725" t="str">
            <v>Cimiento De 0.40 X 0.40 Metros En Concreto De 3000 Psi Premezclado.</v>
          </cell>
          <cell r="E725" t="str">
            <v>ML</v>
          </cell>
          <cell r="F725">
            <v>80439.320000000007</v>
          </cell>
          <cell r="G725">
            <v>41334</v>
          </cell>
        </row>
        <row r="726">
          <cell r="C726">
            <v>1431</v>
          </cell>
          <cell r="D726" t="str">
            <v>Zapata Y Pedestal En Concreto De 3000 Psi Premezclado,  No Incluye Acero De Refuerzo</v>
          </cell>
          <cell r="E726" t="str">
            <v>M3</v>
          </cell>
          <cell r="F726">
            <v>455820.23</v>
          </cell>
          <cell r="G726">
            <v>42538</v>
          </cell>
        </row>
        <row r="727">
          <cell r="C727">
            <v>1432</v>
          </cell>
          <cell r="D727" t="str">
            <v>Columna En Concreto De 4000 Psi Premezclado, De 0.40 X 0.40 Metros, No Incluye Acero De Refuerzo</v>
          </cell>
          <cell r="E727" t="str">
            <v>ML</v>
          </cell>
          <cell r="F727">
            <v>108317.69</v>
          </cell>
          <cell r="G727">
            <v>41927</v>
          </cell>
        </row>
        <row r="728">
          <cell r="C728">
            <v>1433</v>
          </cell>
          <cell r="D728" t="str">
            <v>Columna En Concreto De 4000 Psi, De 0.40 X 0.60 Metros, No Incluye Acero De Refuerzo</v>
          </cell>
          <cell r="E728" t="str">
            <v>ML</v>
          </cell>
          <cell r="F728">
            <v>143003.81</v>
          </cell>
          <cell r="G728">
            <v>41016</v>
          </cell>
        </row>
        <row r="729">
          <cell r="C729">
            <v>1434</v>
          </cell>
          <cell r="D729" t="str">
            <v>Plantilla De Piso En Concreto De 2500 Psi Premezclado, E = 0.08 Metros</v>
          </cell>
          <cell r="E729" t="str">
            <v>M2</v>
          </cell>
          <cell r="F729">
            <v>40714.71</v>
          </cell>
          <cell r="G729">
            <v>41712</v>
          </cell>
        </row>
        <row r="730">
          <cell r="C730">
            <v>1435</v>
          </cell>
          <cell r="D730" t="str">
            <v>Suministro E Instalación De Cubierta Metálica Tipo Celosía Incluye Platina De Apoyo Fija Y Teja Sin Traslapo Acesco Calibre 26</v>
          </cell>
          <cell r="E730" t="str">
            <v>M2</v>
          </cell>
          <cell r="F730">
            <v>118182.35</v>
          </cell>
          <cell r="G730">
            <v>41750</v>
          </cell>
        </row>
        <row r="731">
          <cell r="C731">
            <v>1436</v>
          </cell>
          <cell r="D731" t="str">
            <v>Suministro E Instalación De Ventana Corrediza En Aluminio Anodizado Natural, Bronce O Blanco, Altura 2.00, Incluye Vidrio Transparente De 6 Mm, Cierre, Rodajas, Empaques, Felpa Y Accesorios (Ver Diseño)</v>
          </cell>
          <cell r="E731" t="str">
            <v>M2</v>
          </cell>
          <cell r="F731">
            <v>300000</v>
          </cell>
          <cell r="G731">
            <v>42472</v>
          </cell>
        </row>
        <row r="732">
          <cell r="C732">
            <v>1437</v>
          </cell>
          <cell r="D732" t="str">
            <v>Suministro E Instalación De Cubierta En Lámina Teja Acrílica Traslúcida, Perfil7, Incluye Amarres, Ganchos De Fijación Y Estructura De Soporte</v>
          </cell>
          <cell r="E732" t="str">
            <v>M2</v>
          </cell>
          <cell r="F732">
            <v>188471.21</v>
          </cell>
          <cell r="G732">
            <v>41067</v>
          </cell>
        </row>
        <row r="733">
          <cell r="C733">
            <v>1440</v>
          </cell>
          <cell r="D733" t="str">
            <v>Excavación De Zanja De 0.40 X 0.40 Metros Y Retiro De Material Sobrante</v>
          </cell>
          <cell r="E733" t="str">
            <v>ML</v>
          </cell>
          <cell r="F733">
            <v>8950</v>
          </cell>
          <cell r="G733">
            <v>41569</v>
          </cell>
        </row>
        <row r="734">
          <cell r="C734">
            <v>1443</v>
          </cell>
          <cell r="D734" t="str">
            <v>E - Salida De Teléfono</v>
          </cell>
          <cell r="E734" t="str">
            <v>UN</v>
          </cell>
          <cell r="F734">
            <v>67276.149999999994</v>
          </cell>
          <cell r="G734">
            <v>41697</v>
          </cell>
        </row>
        <row r="735">
          <cell r="C735">
            <v>1444</v>
          </cell>
          <cell r="D735" t="str">
            <v>E - Acometida De Teléfono</v>
          </cell>
          <cell r="E735" t="str">
            <v>ML</v>
          </cell>
          <cell r="F735">
            <v>22101.55</v>
          </cell>
          <cell r="G735">
            <v>41569</v>
          </cell>
        </row>
        <row r="736">
          <cell r="C736">
            <v>1447</v>
          </cell>
          <cell r="D736" t="str">
            <v>Listelo En Cerámica</v>
          </cell>
          <cell r="E736" t="str">
            <v>ML</v>
          </cell>
          <cell r="F736">
            <v>45839.83</v>
          </cell>
          <cell r="G736">
            <v>42538</v>
          </cell>
        </row>
        <row r="737">
          <cell r="C737">
            <v>1448</v>
          </cell>
          <cell r="D737" t="str">
            <v>Zócalo En Baldosa De Cerámica De 0.10 X 0.20 Metros</v>
          </cell>
          <cell r="E737" t="str">
            <v>ML</v>
          </cell>
          <cell r="F737">
            <v>10097.83</v>
          </cell>
          <cell r="G737">
            <v>42415</v>
          </cell>
        </row>
        <row r="738">
          <cell r="C738">
            <v>1450</v>
          </cell>
          <cell r="D738" t="str">
            <v>E - Suministro E Instalación De Caja De Paso De 0.15 X 0.15 X 0.10 Metros Con Tapa Y Bisagra</v>
          </cell>
          <cell r="E738" t="str">
            <v>UN</v>
          </cell>
          <cell r="F738">
            <v>37011.67</v>
          </cell>
          <cell r="G738">
            <v>41451</v>
          </cell>
        </row>
        <row r="739">
          <cell r="C739">
            <v>1452</v>
          </cell>
          <cell r="D739" t="str">
            <v>Suministro E Instalación De Correa Metálica, Con 2 Varillas D = 5/8", 1 Varilla D = 3/4", Con Esribos D = 3/8" A Cada 0.20 Metros, Altura De 0.50 Metros, Incluye Pintura Anticorrosiva Y Esmalte</v>
          </cell>
          <cell r="E739" t="str">
            <v>ML</v>
          </cell>
          <cell r="F739">
            <v>57888.13</v>
          </cell>
          <cell r="G739">
            <v>41067</v>
          </cell>
        </row>
        <row r="740">
          <cell r="C740">
            <v>1456</v>
          </cell>
          <cell r="D740" t="str">
            <v>Suministro E Instalación De Cercha Metálica De Luz = 10.00 Metros, En Perfiles De 2" X 2" X 1/4", 1 1/2" X 1 1/2" X 1//4", Incluye Tensores, Pintura Anticorrosiva Y Esmalte</v>
          </cell>
          <cell r="E740" t="str">
            <v>UN</v>
          </cell>
          <cell r="F740">
            <v>1382268.75</v>
          </cell>
          <cell r="G740">
            <v>41067</v>
          </cell>
        </row>
        <row r="741">
          <cell r="C741">
            <v>1457</v>
          </cell>
          <cell r="D741" t="str">
            <v>Pedestal En Concreto De 4000 Psi Premezclado, De 0.80 X 0.80 X 0.90 Metros, No Incluye Acero De Refuerzo</v>
          </cell>
          <cell r="E741" t="str">
            <v>UN</v>
          </cell>
          <cell r="F741">
            <v>291109.17</v>
          </cell>
          <cell r="G741">
            <v>41047</v>
          </cell>
        </row>
        <row r="742">
          <cell r="C742">
            <v>1458</v>
          </cell>
          <cell r="D742" t="str">
            <v>Pedestal En Concreto De 4000 Psi Premezclado, De 0.60 X 0.90 X 0.90 Metros, No Incluye Acero De Refuerzo</v>
          </cell>
          <cell r="E742" t="str">
            <v>UN</v>
          </cell>
          <cell r="F742">
            <v>252087.29</v>
          </cell>
          <cell r="G742">
            <v>41047</v>
          </cell>
        </row>
        <row r="743">
          <cell r="C743">
            <v>1459</v>
          </cell>
          <cell r="D743" t="str">
            <v>Pedestal En Concreto  Premezclado De 4000 Psi, De 0.60 X 0.60 X 0.90 Metros, No Incluye Acero De Refuerzo</v>
          </cell>
          <cell r="E743" t="str">
            <v>UN</v>
          </cell>
          <cell r="F743">
            <v>178379.28</v>
          </cell>
          <cell r="G743">
            <v>41135</v>
          </cell>
        </row>
        <row r="744">
          <cell r="C744">
            <v>1460</v>
          </cell>
          <cell r="D744" t="str">
            <v>Cimiento De 0.40 X 0.60 Metros En Concreto De 3000 Psi Premezclado.</v>
          </cell>
          <cell r="E744" t="str">
            <v>ML</v>
          </cell>
          <cell r="F744">
            <v>109812.31</v>
          </cell>
          <cell r="G744">
            <v>41015</v>
          </cell>
        </row>
        <row r="745">
          <cell r="C745">
            <v>1461</v>
          </cell>
          <cell r="D745" t="str">
            <v>Columnas En Concreto De 4000 Psi De Diametro 0.60 Metros, No Incluye Acero De Refuerzo</v>
          </cell>
          <cell r="E745" t="str">
            <v>ML</v>
          </cell>
          <cell r="F745">
            <v>182175.25</v>
          </cell>
          <cell r="G745">
            <v>41737</v>
          </cell>
        </row>
        <row r="746">
          <cell r="C746">
            <v>1462</v>
          </cell>
          <cell r="D746" t="str">
            <v>E - Instalación De Lámparas Fluorescentes</v>
          </cell>
          <cell r="E746" t="str">
            <v>UN</v>
          </cell>
          <cell r="F746">
            <v>21521.88</v>
          </cell>
          <cell r="G746">
            <v>41451</v>
          </cell>
        </row>
        <row r="747">
          <cell r="C747">
            <v>1463</v>
          </cell>
          <cell r="D747" t="str">
            <v>Suministro E Instalación De Agromantos Pavco, Fique Y/O Fique - Coco</v>
          </cell>
          <cell r="E747" t="str">
            <v>M2</v>
          </cell>
          <cell r="F747">
            <v>13108.32</v>
          </cell>
          <cell r="G747">
            <v>41038</v>
          </cell>
        </row>
        <row r="748">
          <cell r="C748">
            <v>1465</v>
          </cell>
          <cell r="D748" t="str">
            <v>E - Salida De Abanicos</v>
          </cell>
          <cell r="E748" t="str">
            <v>UN</v>
          </cell>
          <cell r="F748">
            <v>59626.76</v>
          </cell>
          <cell r="G748">
            <v>41936</v>
          </cell>
        </row>
        <row r="749">
          <cell r="C749">
            <v>1466</v>
          </cell>
          <cell r="D749" t="str">
            <v>Suministro E Instalación De Correa De Cubierta En Perfil Metálico De 120 X 60 Mm, Espesor 2 Mm, Incluye Pernos Y Anclajes De Fijación</v>
          </cell>
          <cell r="E749" t="str">
            <v>ML</v>
          </cell>
          <cell r="F749">
            <v>28702.12</v>
          </cell>
          <cell r="G749">
            <v>41569</v>
          </cell>
        </row>
        <row r="750">
          <cell r="C750">
            <v>1468</v>
          </cell>
          <cell r="D750" t="str">
            <v>Suministro, Instalación, Montaje Y Puesta En Marcha De Sistema De Aire Acondicionado Central Por Tonelada Métricas, Incluye Equipos, Ductos En Icopor, Rejillas, Accesorios, Mano De Obra De Instalación Y Transporte</v>
          </cell>
          <cell r="E750" t="str">
            <v>UN</v>
          </cell>
          <cell r="F750">
            <v>2250000</v>
          </cell>
          <cell r="G750">
            <v>41935</v>
          </cell>
        </row>
        <row r="751">
          <cell r="C751">
            <v>1469</v>
          </cell>
          <cell r="D751" t="str">
            <v>E - Desmonte De Cableado En Mal Estado Y Retiro De Material Sobrante</v>
          </cell>
          <cell r="E751" t="str">
            <v>ML</v>
          </cell>
          <cell r="F751">
            <v>7111.67</v>
          </cell>
          <cell r="G751">
            <v>41451</v>
          </cell>
        </row>
        <row r="752">
          <cell r="C752">
            <v>1472</v>
          </cell>
          <cell r="D752" t="str">
            <v>Demolicion De Viga De Confinamiento En Concreto Incluye Desmonte Y Retiro De Perfil En Hierro De Rejilla Para Drenaje De Canales</v>
          </cell>
          <cell r="E752" t="str">
            <v>M2</v>
          </cell>
          <cell r="F752">
            <v>27605.66</v>
          </cell>
          <cell r="G752">
            <v>40669</v>
          </cell>
        </row>
        <row r="753">
          <cell r="C753">
            <v>1473</v>
          </cell>
          <cell r="D753" t="str">
            <v>Construccion Y Montaje De Placa De 0.07 X 0.60 X 1.00 Metros, En Concreto De 2500 Psi, Reforzado Con 3 Varillas De 3/8" A Lo Ancho Y 6 Varillas De 3/8" A Lo Largo</v>
          </cell>
          <cell r="E753" t="str">
            <v>UN</v>
          </cell>
          <cell r="F753">
            <v>37109.22</v>
          </cell>
          <cell r="G753">
            <v>40669</v>
          </cell>
        </row>
        <row r="754">
          <cell r="C754">
            <v>1475</v>
          </cell>
          <cell r="D754" t="str">
            <v>Suministro E Instalacion De Perfil De Hierro Abierto He160A Para Rejillas De Canales, Incluye Soldadura En Acetileno</v>
          </cell>
          <cell r="E754" t="str">
            <v>UN</v>
          </cell>
          <cell r="F754">
            <v>451442.2</v>
          </cell>
          <cell r="G754">
            <v>40669</v>
          </cell>
        </row>
        <row r="755">
          <cell r="C755">
            <v>1476</v>
          </cell>
          <cell r="D755" t="str">
            <v>Excavacion A Maquina Y Retiro De Material Bajo Agua</v>
          </cell>
          <cell r="E755" t="str">
            <v>M3</v>
          </cell>
          <cell r="F755">
            <v>30733.88</v>
          </cell>
          <cell r="G755">
            <v>41906</v>
          </cell>
        </row>
        <row r="756">
          <cell r="C756">
            <v>1477</v>
          </cell>
          <cell r="D756" t="str">
            <v>Desmonte De Vidrios Partidos En Puertas</v>
          </cell>
          <cell r="E756" t="str">
            <v>M2</v>
          </cell>
          <cell r="F756">
            <v>9682.5</v>
          </cell>
          <cell r="G756">
            <v>41144</v>
          </cell>
        </row>
        <row r="757">
          <cell r="C757">
            <v>1478</v>
          </cell>
          <cell r="D757" t="str">
            <v>Desmonte De Cerradura</v>
          </cell>
          <cell r="E757" t="str">
            <v>UN</v>
          </cell>
          <cell r="F757">
            <v>10920</v>
          </cell>
          <cell r="G757">
            <v>41016</v>
          </cell>
        </row>
        <row r="758">
          <cell r="C758">
            <v>1479</v>
          </cell>
          <cell r="D758" t="str">
            <v>Suministro E Instalación De Vidrio Laminado De 6Mm</v>
          </cell>
          <cell r="E758" t="str">
            <v>M2</v>
          </cell>
          <cell r="F758">
            <v>87286.25</v>
          </cell>
          <cell r="G758">
            <v>41075</v>
          </cell>
        </row>
        <row r="759">
          <cell r="C759">
            <v>1481</v>
          </cell>
          <cell r="D759" t="str">
            <v>Suministro E Instalación De Cerradura Metálica De Pomo Para Puerta De Entrada</v>
          </cell>
          <cell r="E759" t="str">
            <v>UN</v>
          </cell>
          <cell r="F759">
            <v>105022.33</v>
          </cell>
          <cell r="G759">
            <v>41697</v>
          </cell>
        </row>
        <row r="760">
          <cell r="C760">
            <v>1482</v>
          </cell>
          <cell r="D760" t="str">
            <v>Restauración De Molduras De Vista En Losa (Cuatro Lados), Incluye Acabado En Pintura De Esmalte</v>
          </cell>
          <cell r="E760" t="str">
            <v>ML</v>
          </cell>
          <cell r="F760">
            <v>35188.519999999997</v>
          </cell>
          <cell r="G760">
            <v>41067</v>
          </cell>
        </row>
        <row r="761">
          <cell r="C761">
            <v>1484</v>
          </cell>
          <cell r="D761" t="str">
            <v>Recuperación De Elementos Verticales De Vista O Fachada, Incluye Escarificación,  Recuperación De Acero, Resane Y Acabado</v>
          </cell>
          <cell r="E761" t="str">
            <v>ML</v>
          </cell>
          <cell r="F761">
            <v>108382.58</v>
          </cell>
          <cell r="G761">
            <v>41681</v>
          </cell>
        </row>
        <row r="762">
          <cell r="C762">
            <v>1485</v>
          </cell>
          <cell r="D762" t="str">
            <v>Restauración De Molduras De Vista En Base Inferior De Frontón (Cuatro Lados), Incluye Acabado Pintura De Esmalte</v>
          </cell>
          <cell r="E762" t="str">
            <v>ML</v>
          </cell>
          <cell r="F762">
            <v>37387.360000000001</v>
          </cell>
          <cell r="G762">
            <v>41067</v>
          </cell>
        </row>
        <row r="763">
          <cell r="C763">
            <v>1486</v>
          </cell>
          <cell r="D763" t="str">
            <v>Restauración De Capitel Tipo Corintios, Incluye Reposición De Seccional En Mal Estado, Reconformación De La Misma Y Acabado En Esmalte</v>
          </cell>
          <cell r="E763" t="str">
            <v>UN</v>
          </cell>
          <cell r="F763">
            <v>67066.259999999995</v>
          </cell>
          <cell r="G763">
            <v>41067</v>
          </cell>
        </row>
        <row r="764">
          <cell r="C764">
            <v>1487</v>
          </cell>
          <cell r="D764" t="str">
            <v>Restauración De Pedestal Incluye Molduras Y Zócalo, Acabado En Pintura De Esmalte</v>
          </cell>
          <cell r="E764" t="str">
            <v>UN</v>
          </cell>
          <cell r="F764">
            <v>55126.26</v>
          </cell>
          <cell r="G764">
            <v>41067</v>
          </cell>
        </row>
        <row r="765">
          <cell r="C765">
            <v>1488</v>
          </cell>
          <cell r="D765" t="str">
            <v>Reconformación De Cuerpos De Columnas, Incluye Retiro De Pintura, Arreglo De Pañetes, Resane De Fisuras, Aplicación De Estuco Y Acabado En Pintura Viniltex, Altura 2.60 Metros</v>
          </cell>
          <cell r="E765" t="str">
            <v>UN</v>
          </cell>
          <cell r="F765">
            <v>68557.62</v>
          </cell>
          <cell r="G765">
            <v>41066</v>
          </cell>
        </row>
        <row r="766">
          <cell r="C766">
            <v>1489</v>
          </cell>
          <cell r="D766" t="str">
            <v>Restauración De Losa En Mal Estado, Incluye Demolición, Reposición De Refuerzo, Aditivo Y Concreto Nuevo</v>
          </cell>
          <cell r="E766" t="str">
            <v>M2</v>
          </cell>
          <cell r="F766">
            <v>82094.64</v>
          </cell>
          <cell r="G766">
            <v>41067</v>
          </cell>
        </row>
        <row r="767">
          <cell r="C767">
            <v>1490</v>
          </cell>
          <cell r="D767" t="str">
            <v>E - Suministro De Ups De 2000 Va, Marca Power Com O Similar</v>
          </cell>
          <cell r="E767" t="str">
            <v>UN</v>
          </cell>
          <cell r="F767">
            <v>1500000</v>
          </cell>
          <cell r="G767">
            <v>41451</v>
          </cell>
        </row>
        <row r="768">
          <cell r="C768">
            <v>1491</v>
          </cell>
          <cell r="D768" t="str">
            <v>Demolición De Muros En Calados Incluye Retiro De Material</v>
          </cell>
          <cell r="E768" t="str">
            <v>M2</v>
          </cell>
          <cell r="F768">
            <v>10550.56</v>
          </cell>
          <cell r="G768">
            <v>41366</v>
          </cell>
        </row>
        <row r="769">
          <cell r="C769">
            <v>1492</v>
          </cell>
          <cell r="D769" t="str">
            <v>Demolición De Zócalos</v>
          </cell>
          <cell r="E769" t="str">
            <v>ML</v>
          </cell>
          <cell r="F769">
            <v>4051.25</v>
          </cell>
          <cell r="G769">
            <v>42472</v>
          </cell>
        </row>
        <row r="770">
          <cell r="C770">
            <v>1493</v>
          </cell>
          <cell r="D770" t="str">
            <v>Impermeabilización Con Manto Edil O Similar De 3Mm, Acabado En Pintura Bituminosa, Para Zabaleta, Viga Canal Y Jardinera Con Ancho &gt; 0.80 Metros</v>
          </cell>
          <cell r="E770" t="str">
            <v>ML</v>
          </cell>
          <cell r="F770">
            <v>26573.63</v>
          </cell>
          <cell r="G770">
            <v>42472</v>
          </cell>
        </row>
        <row r="771">
          <cell r="C771">
            <v>1494</v>
          </cell>
          <cell r="D771" t="str">
            <v>Pintura Graniplast Aplicada En Fachada</v>
          </cell>
          <cell r="E771" t="str">
            <v>M2</v>
          </cell>
          <cell r="F771">
            <v>18766.18</v>
          </cell>
          <cell r="G771">
            <v>42472</v>
          </cell>
        </row>
        <row r="772">
          <cell r="C772">
            <v>1498</v>
          </cell>
          <cell r="D772" t="str">
            <v>Enchape De Tableta Para Fachada</v>
          </cell>
          <cell r="E772" t="str">
            <v>M2</v>
          </cell>
          <cell r="F772">
            <v>51080.33</v>
          </cell>
          <cell r="G772">
            <v>41767</v>
          </cell>
        </row>
        <row r="773">
          <cell r="C773">
            <v>1499</v>
          </cell>
          <cell r="D773" t="str">
            <v>Demolición De Plantilla En Concreto Y Retiro De Material</v>
          </cell>
          <cell r="E773" t="str">
            <v>M2</v>
          </cell>
          <cell r="F773">
            <v>10227.43</v>
          </cell>
          <cell r="G773">
            <v>42496</v>
          </cell>
        </row>
        <row r="774">
          <cell r="C774">
            <v>1503</v>
          </cell>
          <cell r="D774" t="str">
            <v>Suministro E Instalación De Tablero Acrílico De 2.50 X 1.50 Metros, Fabricado En Tablex De 9 Mm, Lámina En Fórmica Para Tableros, Portamarcador Y Portaborrador, Marco En Madera O Aluminio</v>
          </cell>
          <cell r="E774" t="str">
            <v>UN</v>
          </cell>
          <cell r="F774">
            <v>249140</v>
          </cell>
          <cell r="G774">
            <v>41068</v>
          </cell>
        </row>
        <row r="775">
          <cell r="C775">
            <v>1512</v>
          </cell>
          <cell r="D775" t="str">
            <v>Suministro, Instalacion Y Montaje De Aire Acondicionado De 5 Toneladas, Sancoil Piso Techo De Lujo Con Su Condensadora Marca Star Ligt O Similar</v>
          </cell>
          <cell r="E775" t="str">
            <v>UN</v>
          </cell>
          <cell r="F775">
            <v>5635000</v>
          </cell>
          <cell r="G775">
            <v>41046</v>
          </cell>
        </row>
        <row r="776">
          <cell r="C776">
            <v>1513</v>
          </cell>
          <cell r="D776" t="str">
            <v>Suministro, Instalación Y Montaje De Aire Acondicionado De 2 Toneladas, San Coil Piso Techo De Lujo Con Su Condensadora, Marca Star Ligt O Similar</v>
          </cell>
          <cell r="E776" t="str">
            <v>UN</v>
          </cell>
          <cell r="F776">
            <v>3146200</v>
          </cell>
          <cell r="G776">
            <v>41046</v>
          </cell>
        </row>
        <row r="777">
          <cell r="C777">
            <v>1514</v>
          </cell>
          <cell r="D777" t="str">
            <v>Suministro, Instalación Y Montaje De Aire Acondicionado Mini Split De 24000 Btu</v>
          </cell>
          <cell r="E777" t="str">
            <v>UN</v>
          </cell>
          <cell r="F777">
            <v>3078498.73</v>
          </cell>
          <cell r="G777">
            <v>41927</v>
          </cell>
        </row>
        <row r="778">
          <cell r="C778">
            <v>1515</v>
          </cell>
          <cell r="D778" t="str">
            <v>Suministro, Instalación Y Montaje De Mini Split De 1 Tonelada</v>
          </cell>
          <cell r="E778" t="str">
            <v>UN</v>
          </cell>
          <cell r="F778">
            <v>2368895.9700000002</v>
          </cell>
          <cell r="G778">
            <v>41046</v>
          </cell>
        </row>
        <row r="779">
          <cell r="C779">
            <v>1517</v>
          </cell>
          <cell r="D779" t="str">
            <v>Desbaste  Y Pulida De Piso En Granito Pulido</v>
          </cell>
          <cell r="E779" t="str">
            <v>M2</v>
          </cell>
          <cell r="F779">
            <v>32125</v>
          </cell>
          <cell r="G779">
            <v>42314</v>
          </cell>
        </row>
        <row r="780">
          <cell r="C780">
            <v>1521</v>
          </cell>
          <cell r="D780" t="str">
            <v>Desmonte Y Retiro De Cubierta A Una Altura &gt; 8 Metros &lt; 10 Metros , En Lamina Ondulada De Asbesto Cemento O Metalica, Incluye Estructura En Mal Estado</v>
          </cell>
          <cell r="E780" t="str">
            <v>M2</v>
          </cell>
          <cell r="F780">
            <v>34940</v>
          </cell>
          <cell r="G780">
            <v>41016</v>
          </cell>
        </row>
        <row r="781">
          <cell r="C781">
            <v>1522</v>
          </cell>
          <cell r="D781" t="str">
            <v>Suministro E Instalación De Cubierta En Teja Canaleta 90 A Una Altura &gt; 8 Metros Y &lt; 10 Metros, Incluye Fijador, Gancho Y Sellador.</v>
          </cell>
          <cell r="E781" t="str">
            <v>M2</v>
          </cell>
          <cell r="F781">
            <v>80242.399999999994</v>
          </cell>
          <cell r="G781">
            <v>41067</v>
          </cell>
        </row>
        <row r="782">
          <cell r="C782">
            <v>1524</v>
          </cell>
          <cell r="D782" t="str">
            <v>Suministro E Instalación De Vidrio Transparente De 4 Mm</v>
          </cell>
          <cell r="E782" t="str">
            <v>M2</v>
          </cell>
          <cell r="F782">
            <v>62296.25</v>
          </cell>
          <cell r="G782">
            <v>41144</v>
          </cell>
        </row>
        <row r="783">
          <cell r="C783">
            <v>1525</v>
          </cell>
          <cell r="D783" t="str">
            <v>Instalación  Y Montaje De Aparato Sanitario</v>
          </cell>
          <cell r="E783" t="str">
            <v>UN</v>
          </cell>
          <cell r="F783">
            <v>27919.17</v>
          </cell>
          <cell r="G783">
            <v>41017</v>
          </cell>
        </row>
        <row r="784">
          <cell r="C784">
            <v>1526</v>
          </cell>
          <cell r="D784" t="str">
            <v>Montaje De Puerta En Madera Existente</v>
          </cell>
          <cell r="E784" t="str">
            <v>UN</v>
          </cell>
          <cell r="F784">
            <v>21361.88</v>
          </cell>
          <cell r="G784">
            <v>40672</v>
          </cell>
        </row>
        <row r="785">
          <cell r="C785">
            <v>1527</v>
          </cell>
          <cell r="D785" t="str">
            <v>Capitulo - Red De Media Tensión</v>
          </cell>
          <cell r="E785" t="str">
            <v>SD</v>
          </cell>
          <cell r="F785">
            <v>0</v>
          </cell>
          <cell r="G785">
            <v>41554</v>
          </cell>
        </row>
        <row r="786">
          <cell r="C786">
            <v>1528</v>
          </cell>
          <cell r="D786" t="str">
            <v>Mueble Inferior Para La Guardia, Sin Meson, En Madera Roble Con Marco, Puerta Con Rejilla Tipo Persiana Y Tapa Luz En Madera Roble, Entrepaños En Triplex De 12Mm Enchapados En Formica Blanca Brillante, 2 Bisagras De Presion Por Puerta, Cerradura Y Boton  En Bronce, A=0.65 Metros, H=0.70 Metros, Incluye Sellador 3 Manos Y Laca Mate Natural 3 Manos, Segun Diseño, Verificar Medidas En Obra</v>
          </cell>
          <cell r="E786" t="str">
            <v>UN</v>
          </cell>
          <cell r="F786">
            <v>150000</v>
          </cell>
          <cell r="G786">
            <v>40144</v>
          </cell>
        </row>
        <row r="787">
          <cell r="C787">
            <v>1529</v>
          </cell>
          <cell r="D787" t="str">
            <v>Excavación Para Estribo O Soporte, Fondo Del Cauce Y Aletas De Puente</v>
          </cell>
          <cell r="E787" t="str">
            <v>M3</v>
          </cell>
          <cell r="F787">
            <v>35835.01</v>
          </cell>
          <cell r="G787">
            <v>41037</v>
          </cell>
        </row>
        <row r="788">
          <cell r="C788">
            <v>1530</v>
          </cell>
          <cell r="D788" t="str">
            <v>Conformación De Fondo En Piedra Ciclópea Compactada (Estabilizacion De Terreno)</v>
          </cell>
          <cell r="E788" t="str">
            <v>M3</v>
          </cell>
          <cell r="F788">
            <v>71902.47</v>
          </cell>
          <cell r="G788">
            <v>41052</v>
          </cell>
        </row>
        <row r="789">
          <cell r="C789">
            <v>1531</v>
          </cell>
          <cell r="D789" t="str">
            <v>Bordillo De 0.15 X 0.30 Metros En Concreto De 3000 Psi, Incluye Excavación Y Solado En Concreto De 2000 Psi</v>
          </cell>
          <cell r="E789" t="str">
            <v>ML</v>
          </cell>
          <cell r="F789">
            <v>57894.22</v>
          </cell>
          <cell r="G789">
            <v>41471</v>
          </cell>
        </row>
        <row r="790">
          <cell r="C790">
            <v>1532</v>
          </cell>
          <cell r="D790" t="str">
            <v>Placa O Viga En Concreto De 4000 Psi Premezclado Y Andén Para Puente</v>
          </cell>
          <cell r="E790" t="str">
            <v>M3</v>
          </cell>
          <cell r="F790">
            <v>626410.80000000005</v>
          </cell>
          <cell r="G790">
            <v>42552</v>
          </cell>
        </row>
        <row r="791">
          <cell r="C791">
            <v>1533</v>
          </cell>
          <cell r="D791" t="str">
            <v>Zapata En Concreto De 4000 Psi Premezclado, No Incluye Acero De Refuerzo</v>
          </cell>
          <cell r="E791" t="str">
            <v>M3</v>
          </cell>
          <cell r="F791">
            <v>488527.23</v>
          </cell>
          <cell r="G791">
            <v>42552</v>
          </cell>
        </row>
        <row r="792">
          <cell r="C792">
            <v>1534</v>
          </cell>
          <cell r="D792" t="str">
            <v>Muro Para Soportes En Concreto De 4000 Psi Premezclado, No Incluye Acero De Refuerzo</v>
          </cell>
          <cell r="E792" t="str">
            <v>M3</v>
          </cell>
          <cell r="F792">
            <v>662240.1</v>
          </cell>
          <cell r="G792">
            <v>42552</v>
          </cell>
        </row>
        <row r="793">
          <cell r="C793">
            <v>1535</v>
          </cell>
          <cell r="D793" t="str">
            <v>Zócalo En Tablón De 0.10 X 0.33 Metros</v>
          </cell>
          <cell r="E793" t="str">
            <v>ML</v>
          </cell>
          <cell r="F793">
            <v>6958.08</v>
          </cell>
          <cell r="G793">
            <v>42524</v>
          </cell>
        </row>
        <row r="794">
          <cell r="C794">
            <v>1537</v>
          </cell>
          <cell r="D794" t="str">
            <v>Suministro E Instalación De Listón En Madera De Abarco De 5" X 6" X 2.20 Metros</v>
          </cell>
          <cell r="E794" t="str">
            <v>UN</v>
          </cell>
          <cell r="F794">
            <v>135013.32999999999</v>
          </cell>
          <cell r="G794">
            <v>41068</v>
          </cell>
        </row>
        <row r="795">
          <cell r="C795">
            <v>1538</v>
          </cell>
          <cell r="D795" t="str">
            <v>Suministro E Instalación De Correa Metálica, Hierro De 5/8" Estribos De 3/8", Incluye Pintura Anticorrosiva Y Esmalte.</v>
          </cell>
          <cell r="E795" t="str">
            <v>ML</v>
          </cell>
          <cell r="F795">
            <v>61659.55</v>
          </cell>
          <cell r="G795">
            <v>41067</v>
          </cell>
        </row>
        <row r="796">
          <cell r="C796">
            <v>1539</v>
          </cell>
          <cell r="D796" t="str">
            <v>Suministro E Instalación De Cercha Metálica De Hierro Con Angulos De 1 1/2" X 1 1/2" Espesor 1/8", Incluye Pintura Anticorrosiva Y Esmalte</v>
          </cell>
          <cell r="E796" t="str">
            <v>ML</v>
          </cell>
          <cell r="F796">
            <v>122988.7</v>
          </cell>
          <cell r="G796">
            <v>41067</v>
          </cell>
        </row>
        <row r="797">
          <cell r="C797">
            <v>1545</v>
          </cell>
          <cell r="D797" t="str">
            <v>Suministro En Instalación De Puertas Para Archivadores De 0.90 X 1.00 Metros</v>
          </cell>
          <cell r="E797" t="str">
            <v>UN</v>
          </cell>
          <cell r="F797">
            <v>276135</v>
          </cell>
          <cell r="G797">
            <v>41075</v>
          </cell>
        </row>
        <row r="798">
          <cell r="C798">
            <v>1546</v>
          </cell>
          <cell r="D798" t="str">
            <v>Suministro E Instalacion De Base En Neopreno Dureza 60 Para Viga De Puente</v>
          </cell>
          <cell r="E798" t="str">
            <v>UN</v>
          </cell>
          <cell r="F798">
            <v>246065</v>
          </cell>
          <cell r="G798">
            <v>42250</v>
          </cell>
        </row>
        <row r="799">
          <cell r="C799">
            <v>1547</v>
          </cell>
          <cell r="D799" t="str">
            <v>Base Suelo Cemento 1:20 Compactado E = 0.10 Mts</v>
          </cell>
          <cell r="E799" t="str">
            <v>M2</v>
          </cell>
          <cell r="F799">
            <v>22743.75</v>
          </cell>
          <cell r="G799">
            <v>42443</v>
          </cell>
        </row>
        <row r="800">
          <cell r="C800">
            <v>1548</v>
          </cell>
          <cell r="D800" t="str">
            <v>Juegos - Suministro E Instalación De Marco Para Cancha De Minifutbol, Con Medidas Y Altura Reglamentarias, Los Marcos En Tubo De 3" Y La Parte Posterior En Tubo De 2", Pintados, Instalados Y Con Sus Respectivas Mallas</v>
          </cell>
          <cell r="E800" t="str">
            <v>JG</v>
          </cell>
          <cell r="F800">
            <v>1740000</v>
          </cell>
          <cell r="G800">
            <v>42496</v>
          </cell>
        </row>
        <row r="801">
          <cell r="C801">
            <v>1549</v>
          </cell>
          <cell r="D801" t="str">
            <v>Demolición Y Reconstrucción De Estructura En Losa, Vigas Y Columnas: Picada De Concreto; Limpieza De Oxidación Y Pintura Con Inhibidor De Corrosión; Aplicación De Mortero De Reparación; Puente De Adherencia Entre Concreto Nuevo Y Viejo, Incluye Anclaje</v>
          </cell>
          <cell r="E801" t="str">
            <v>M2</v>
          </cell>
          <cell r="F801">
            <v>372318.16</v>
          </cell>
          <cell r="G801">
            <v>42472</v>
          </cell>
        </row>
        <row r="802">
          <cell r="C802">
            <v>1550</v>
          </cell>
          <cell r="D802" t="str">
            <v>Pergolas De 0.10 X 0.10 Metros, En Concreto De 3000 Psi, Reforzada Con 2 Varillas De 3/8", Estribos De 1/4" A Cada 0.20 Metros</v>
          </cell>
          <cell r="E802" t="str">
            <v>ML</v>
          </cell>
          <cell r="F802">
            <v>22306.89</v>
          </cell>
          <cell r="G802">
            <v>41676</v>
          </cell>
        </row>
        <row r="803">
          <cell r="C803">
            <v>1554</v>
          </cell>
          <cell r="D803" t="str">
            <v>Suministro E Instalación De Puerta En Madera De Cedro De 2.00 X 1.00 Metros, Incluye Marco, Bisagras, Cerradura De Seguridad Doble Vuelta Y Pintura En Tintilla</v>
          </cell>
          <cell r="E803" t="str">
            <v>UN</v>
          </cell>
          <cell r="F803">
            <v>532678.32999999996</v>
          </cell>
          <cell r="G803">
            <v>41569</v>
          </cell>
        </row>
        <row r="804">
          <cell r="C804">
            <v>1555</v>
          </cell>
          <cell r="D804" t="str">
            <v>Suministro E Instalación De Puerta En Madera De Cedro De 2.00 X 0.80 Metros Incluye Marco, Cerradura De Seguridad De Doble Vuelta Y Pintura En Tintilla</v>
          </cell>
          <cell r="E804" t="str">
            <v>UN</v>
          </cell>
          <cell r="F804">
            <v>485778.33</v>
          </cell>
          <cell r="G804">
            <v>41676</v>
          </cell>
        </row>
        <row r="805">
          <cell r="C805">
            <v>1556</v>
          </cell>
          <cell r="D805" t="str">
            <v>Suministro E Instalación De Puerta En Madera De Cedro De 0.70 X 1.70 Metros, Incluye Marco, Bisagra, Cerradura De Baño Y Pintura En Tintilla</v>
          </cell>
          <cell r="E805" t="str">
            <v>UN</v>
          </cell>
          <cell r="F805">
            <v>438078.33</v>
          </cell>
          <cell r="G805">
            <v>41068</v>
          </cell>
        </row>
        <row r="806">
          <cell r="C806">
            <v>1557</v>
          </cell>
          <cell r="D806" t="str">
            <v>Suministro E Instalación De Cocina De 0.50 X 0.35 Metros, Tipo Socoda</v>
          </cell>
          <cell r="E806" t="str">
            <v>UN</v>
          </cell>
          <cell r="F806">
            <v>135350</v>
          </cell>
          <cell r="G806">
            <v>41478</v>
          </cell>
        </row>
        <row r="807">
          <cell r="C807">
            <v>1558</v>
          </cell>
          <cell r="D807" t="str">
            <v>Juegos - Suministro, Instalación Y Montaje De Juego De Columpios Para Parque, En Madera Pino Pátula Inmunizada Y Herrajes Metálicos - 3 Puestos</v>
          </cell>
          <cell r="E807" t="str">
            <v>UN</v>
          </cell>
          <cell r="F807">
            <v>568400</v>
          </cell>
          <cell r="G807">
            <v>41767</v>
          </cell>
        </row>
        <row r="808">
          <cell r="C808">
            <v>1559</v>
          </cell>
          <cell r="D808" t="str">
            <v>Demolición De Pañete Sobre Cielo Raso Y Retiro De Material</v>
          </cell>
          <cell r="E808" t="str">
            <v>M2</v>
          </cell>
          <cell r="F808">
            <v>10092.5</v>
          </cell>
          <cell r="G808">
            <v>41008</v>
          </cell>
        </row>
        <row r="809">
          <cell r="C809">
            <v>1560</v>
          </cell>
          <cell r="D809" t="str">
            <v>Suministro E Instalación De Lavaplatos De Acero Inoxidable De Dos Cubetas Con Ala En Los Extremos, Longitud 2.00 Metros, Incluye Accesorios Y Griferia Cuello De Ganso Metálica</v>
          </cell>
          <cell r="E809" t="str">
            <v>UN</v>
          </cell>
          <cell r="F809">
            <v>834225</v>
          </cell>
          <cell r="G809">
            <v>41927</v>
          </cell>
        </row>
        <row r="810">
          <cell r="C810">
            <v>1561</v>
          </cell>
          <cell r="D810" t="str">
            <v>Pañete Exterior Allanado Con Mortero 1:4 Incluye Pirlan De Aluminio A Cada 1.00 Metro</v>
          </cell>
          <cell r="E810" t="str">
            <v>M2</v>
          </cell>
          <cell r="F810">
            <v>23006.53</v>
          </cell>
          <cell r="G810">
            <v>41022</v>
          </cell>
        </row>
        <row r="811">
          <cell r="C811">
            <v>1562</v>
          </cell>
          <cell r="D811" t="str">
            <v>Ornamentacion Y Jardineria - Siembra De Arbol Ornamental Y/O Frutal, Incluye Proceso De Pega, Crecimiento E Insumos Necesarios Como Fertilizantes, Materia Organica</v>
          </cell>
          <cell r="E811" t="str">
            <v>UN</v>
          </cell>
          <cell r="F811">
            <v>62000</v>
          </cell>
          <cell r="G811">
            <v>41835</v>
          </cell>
        </row>
        <row r="812">
          <cell r="C812">
            <v>1574</v>
          </cell>
          <cell r="D812" t="str">
            <v>Suministro E Instalación De Cubierta Termoacústica Diseño Sandwich, En Lámina St - 1.5" - 0.46 Mm Calibre 26, Pintada En Poliester Estandar , Con Estructura En Perfileria Galvanizada Ag - 100 X 50, 160 X 60, Calibres 14. 16 Y 18, Tipo Acesco (Ver Diseño)</v>
          </cell>
          <cell r="E812" t="str">
            <v>M2</v>
          </cell>
          <cell r="F812">
            <v>91040.78</v>
          </cell>
          <cell r="G812">
            <v>42578</v>
          </cell>
        </row>
        <row r="813">
          <cell r="C813">
            <v>1580</v>
          </cell>
          <cell r="D813" t="str">
            <v>Suministro E Instalación De Ventana En Madera Teka Listones De 1" X 4" X 8`, Con Estructura En Tubería Galvanizada De 2" Calibre 1.9 Mm, Incluye  Pernos Y Arandelas De Fijación, Soldadura, Sellante, Anticorrosivo Y Acabado En Pintura De Esmalte Acrílico, (Ver Diseño)</v>
          </cell>
          <cell r="E813" t="str">
            <v>M2</v>
          </cell>
          <cell r="F813">
            <v>206623.05</v>
          </cell>
          <cell r="G813">
            <v>41075</v>
          </cell>
        </row>
        <row r="814">
          <cell r="C814">
            <v>1596</v>
          </cell>
          <cell r="D814" t="str">
            <v>Desmonte De Cubierta En Teja De Cemento O Arcilla, Incluye Estructura En Mal Estado Y Retiro De Material</v>
          </cell>
          <cell r="E814" t="str">
            <v>M2</v>
          </cell>
          <cell r="F814">
            <v>19651.11</v>
          </cell>
          <cell r="G814">
            <v>42416</v>
          </cell>
        </row>
        <row r="815">
          <cell r="C815">
            <v>1597</v>
          </cell>
          <cell r="D815" t="str">
            <v>Apuntalamiento Estructural Para Cubierta Y/O Vigas De Concreto (Incluye 2 Cerchas, 5 Gatos Y/O 10 Libras De Puntillas Por Cada 6 Metros)</v>
          </cell>
          <cell r="E815" t="str">
            <v>DI</v>
          </cell>
          <cell r="F815">
            <v>7338</v>
          </cell>
          <cell r="G815">
            <v>42416</v>
          </cell>
        </row>
        <row r="816">
          <cell r="C816">
            <v>1599</v>
          </cell>
          <cell r="D816" t="str">
            <v>Impermeabilizacion Con Manto Edil O Similar De 3Mm, Acabado Con Pintura Bituminosa, Para Terminacion De Lamina Ondulada De Asbesto Cemento Contra Muro En Area &lt; 0.80 Metros</v>
          </cell>
          <cell r="E816" t="str">
            <v>ML</v>
          </cell>
          <cell r="F816">
            <v>21884.16</v>
          </cell>
          <cell r="G816">
            <v>42416</v>
          </cell>
        </row>
        <row r="817">
          <cell r="C817">
            <v>1600</v>
          </cell>
          <cell r="D817" t="str">
            <v>Cerramiento Provisional En Madera Y Teja De Zinc Para La Protección Del Peatón A Una Altura Aproximada De 7.00 Metros, Incluye Polisombra</v>
          </cell>
          <cell r="E817" t="str">
            <v>ML</v>
          </cell>
          <cell r="F817">
            <v>42000</v>
          </cell>
          <cell r="G817">
            <v>41681</v>
          </cell>
        </row>
        <row r="818">
          <cell r="C818">
            <v>1602</v>
          </cell>
          <cell r="D818" t="str">
            <v>Retiro De Piso Y Recuperación De Adoquín, Incluye Lechada De Cemento Gris Y Acronal</v>
          </cell>
          <cell r="E818" t="str">
            <v>M2</v>
          </cell>
          <cell r="F818">
            <v>12761.09</v>
          </cell>
          <cell r="G818">
            <v>41067</v>
          </cell>
        </row>
        <row r="819">
          <cell r="C819">
            <v>1603</v>
          </cell>
          <cell r="D819" t="str">
            <v>Piso En Adoquín Con Borde De Confinamiento En Concreto De 3000 Psi A Cada 3.00 Metros, Reforzado Con 2 Varillas De D = 3/8" Y Estribos De D = 1/4" A Cada 0.32 Metros. (No Incluye El Material De Adoquin)</v>
          </cell>
          <cell r="E819" t="str">
            <v>M2</v>
          </cell>
          <cell r="F819">
            <v>47904.2</v>
          </cell>
          <cell r="G819">
            <v>41057</v>
          </cell>
        </row>
        <row r="820">
          <cell r="C820">
            <v>1605</v>
          </cell>
          <cell r="D820" t="str">
            <v>Suministro E Instalación De Ventana En Aluminio Natural, Bronce O Blanco Con Vidrio Transparente De 5 Mm, Un Cuerpo Fijo</v>
          </cell>
          <cell r="E820" t="str">
            <v>M2</v>
          </cell>
          <cell r="F820">
            <v>213933.75</v>
          </cell>
          <cell r="G820">
            <v>42578</v>
          </cell>
        </row>
        <row r="821">
          <cell r="C821">
            <v>1611</v>
          </cell>
          <cell r="D821" t="str">
            <v>Andén En Concreto De 3000 Psi Hecho En Obra E= 0.10 Metros</v>
          </cell>
          <cell r="E821" t="str">
            <v>M2</v>
          </cell>
          <cell r="F821">
            <v>60779.63</v>
          </cell>
          <cell r="G821">
            <v>41026</v>
          </cell>
        </row>
        <row r="822">
          <cell r="C822">
            <v>1612</v>
          </cell>
          <cell r="D822" t="str">
            <v>Ornamentacion Y Jardineria - Siembra De Cetos (Coral De Colores) Incluye Proceso De Pega, Crecimiento Y Fertilizantes</v>
          </cell>
          <cell r="E822" t="str">
            <v>ML</v>
          </cell>
          <cell r="F822">
            <v>32000</v>
          </cell>
          <cell r="G822">
            <v>41912</v>
          </cell>
        </row>
        <row r="823">
          <cell r="C823">
            <v>1613</v>
          </cell>
          <cell r="D823" t="str">
            <v>Suministro E Instalacion De Banca Para Parque Tipo Inglesa</v>
          </cell>
          <cell r="E823" t="str">
            <v>UN</v>
          </cell>
          <cell r="F823">
            <v>175000</v>
          </cell>
          <cell r="G823">
            <v>41508</v>
          </cell>
        </row>
        <row r="824">
          <cell r="C824">
            <v>1614</v>
          </cell>
          <cell r="D824" t="str">
            <v>Parque Tomas Suri Salcedo - Zona De Plazoleta Principal</v>
          </cell>
          <cell r="E824" t="str">
            <v>UN</v>
          </cell>
          <cell r="F824">
            <v>0</v>
          </cell>
          <cell r="G824">
            <v>40274</v>
          </cell>
        </row>
        <row r="825">
          <cell r="C825">
            <v>1615</v>
          </cell>
          <cell r="D825" t="str">
            <v>Parque Tomas Suri Salcedo - Zona De Terraza De Ventas</v>
          </cell>
          <cell r="E825" t="str">
            <v>UN</v>
          </cell>
          <cell r="F825">
            <v>0</v>
          </cell>
          <cell r="G825">
            <v>40274</v>
          </cell>
        </row>
        <row r="826">
          <cell r="C826">
            <v>1616</v>
          </cell>
          <cell r="D826" t="str">
            <v>Parque Tomas Suri Salcedo - Zona De Juegos Infantiles</v>
          </cell>
          <cell r="E826" t="str">
            <v>UN</v>
          </cell>
          <cell r="F826">
            <v>0</v>
          </cell>
          <cell r="G826">
            <v>40274</v>
          </cell>
        </row>
        <row r="827">
          <cell r="C827">
            <v>1617</v>
          </cell>
          <cell r="D827" t="str">
            <v>Parque Tomas Suri Salcedo - Zonas Verdes Y Sendero De Canchas</v>
          </cell>
          <cell r="E827" t="str">
            <v>UN</v>
          </cell>
          <cell r="F827">
            <v>0</v>
          </cell>
          <cell r="G827">
            <v>40274</v>
          </cell>
        </row>
        <row r="828">
          <cell r="C828">
            <v>1618</v>
          </cell>
          <cell r="D828" t="str">
            <v>Parque Tomas Suri Salcedo - Zona De Anden Exterior Y Parqueos</v>
          </cell>
          <cell r="E828" t="str">
            <v>UN</v>
          </cell>
          <cell r="F828">
            <v>0</v>
          </cell>
          <cell r="G828">
            <v>40274</v>
          </cell>
        </row>
        <row r="829">
          <cell r="C829">
            <v>1622</v>
          </cell>
          <cell r="D829" t="str">
            <v>Piso En Baldosa De Porcelanato De 0.60 X 0.60 Metros</v>
          </cell>
          <cell r="E829" t="str">
            <v>M2</v>
          </cell>
          <cell r="F829">
            <v>72336.2</v>
          </cell>
          <cell r="G829">
            <v>42578</v>
          </cell>
        </row>
        <row r="830">
          <cell r="C830">
            <v>1623</v>
          </cell>
          <cell r="D830" t="str">
            <v>Zócalo En Baldosa De Porcelanato De 0.10 Metros</v>
          </cell>
          <cell r="E830" t="str">
            <v>ML</v>
          </cell>
          <cell r="F830">
            <v>9230.5300000000007</v>
          </cell>
          <cell r="G830">
            <v>42538</v>
          </cell>
        </row>
        <row r="831">
          <cell r="C831">
            <v>1625</v>
          </cell>
          <cell r="D831" t="str">
            <v>Desmonte De Cubierta En Lámina De Asbesto Cemento Incluye Estructura</v>
          </cell>
          <cell r="E831" t="str">
            <v>M2</v>
          </cell>
          <cell r="F831">
            <v>16565</v>
          </cell>
          <cell r="G831">
            <v>42472</v>
          </cell>
        </row>
        <row r="832">
          <cell r="C832">
            <v>1626</v>
          </cell>
          <cell r="D832" t="str">
            <v>Suministro E Instalación De Cielo Raso En Lámina Plana De Asbesto Cemento Con Estructura En Madera, Incluye Entramado De Apoyo</v>
          </cell>
          <cell r="E832" t="str">
            <v>M2</v>
          </cell>
          <cell r="F832">
            <v>43053.18</v>
          </cell>
          <cell r="G832">
            <v>42416</v>
          </cell>
        </row>
        <row r="833">
          <cell r="C833">
            <v>1627</v>
          </cell>
          <cell r="D833" t="str">
            <v>Viga Culata En Concreto De 3000 Psi De 0.10 X 0.10 Metros Incluye 2 Varillas D= 3/8" Y Estribos D= 1/4" A Cada 0.15 Metros</v>
          </cell>
          <cell r="E833" t="str">
            <v>ML</v>
          </cell>
          <cell r="F833">
            <v>31027.65</v>
          </cell>
          <cell r="G833">
            <v>42416</v>
          </cell>
        </row>
        <row r="834">
          <cell r="C834">
            <v>1628</v>
          </cell>
          <cell r="D834" t="str">
            <v>Demolición De Muro De Mampostería E= 0.12 Metros, Altura Máxima De 2.00 Metros Incluye Retiro De Material</v>
          </cell>
          <cell r="E834" t="str">
            <v>M2</v>
          </cell>
          <cell r="F834">
            <v>15800.83</v>
          </cell>
          <cell r="G834">
            <v>41927</v>
          </cell>
        </row>
        <row r="835">
          <cell r="C835">
            <v>1629</v>
          </cell>
          <cell r="D835" t="str">
            <v>Alfagías De 0.25 X 0.10 Metros En Concreto De 3000 Psi, Reforzado Con 2 Varillas D = 3/8", Estribos D = 1/4" A Cada 0.20 Metros</v>
          </cell>
          <cell r="E835" t="str">
            <v>ML</v>
          </cell>
          <cell r="F835">
            <v>27021.75</v>
          </cell>
          <cell r="G835">
            <v>41927</v>
          </cell>
        </row>
        <row r="836">
          <cell r="C836">
            <v>1630</v>
          </cell>
          <cell r="D836" t="str">
            <v>Enrocado De Protección Con Piedra Ciclopea Pegada Con Mortero 1:4, E= 0.40 Metros</v>
          </cell>
          <cell r="E836" t="str">
            <v>M3</v>
          </cell>
          <cell r="F836">
            <v>261751.93</v>
          </cell>
          <cell r="G836">
            <v>42198</v>
          </cell>
        </row>
        <row r="837">
          <cell r="C837">
            <v>1631</v>
          </cell>
          <cell r="D837" t="str">
            <v>Estudio De Batimetria Con Equipos Gps + Ecosonda Digital, En Arroyos Y Caños Con  Anchos De Seccion &gt; 4.00 Metros, Con Puntos De Sondeo A Cada 5.00 Metros, Incluye Entrega De Cartografia, Los Rollos Registrados Por La Ecosonda, Planos Antes Y Despues De La Limpieza</v>
          </cell>
          <cell r="E837" t="str">
            <v>ML</v>
          </cell>
          <cell r="F837">
            <v>4000</v>
          </cell>
          <cell r="G837">
            <v>40283</v>
          </cell>
        </row>
        <row r="838">
          <cell r="C838">
            <v>1632</v>
          </cell>
          <cell r="D838" t="str">
            <v>Acopio Con Retroexcavadora Del Material Desalojado Aplicada En Limpieza De Arroyo De Seccion &gt; 4.00 Mts Y &lt; 12.00 Mts</v>
          </cell>
          <cell r="E838" t="str">
            <v>HO</v>
          </cell>
          <cell r="F838">
            <v>132739.44</v>
          </cell>
          <cell r="G838">
            <v>41008</v>
          </cell>
        </row>
        <row r="839">
          <cell r="C839">
            <v>1633</v>
          </cell>
          <cell r="D839" t="str">
            <v>Limpieza Con Minicargador Al Interior De Tunel, En Arroyos De Seccion &gt; 4.00 Mts Y &lt; 12.00 Mts</v>
          </cell>
          <cell r="E839" t="str">
            <v>ML</v>
          </cell>
          <cell r="F839">
            <v>30550</v>
          </cell>
          <cell r="G839">
            <v>41008</v>
          </cell>
        </row>
        <row r="840">
          <cell r="C840">
            <v>1634</v>
          </cell>
          <cell r="D840" t="str">
            <v>Filete Con Mortero 1:4 Y Aplicación De Pintura, Parte Superior De Culata, Altura Aproximada De 7.60 Metros, Longitud 5.00 Metros</v>
          </cell>
          <cell r="E840" t="str">
            <v>GL</v>
          </cell>
          <cell r="F840">
            <v>152561.54999999999</v>
          </cell>
          <cell r="G840">
            <v>41017</v>
          </cell>
        </row>
        <row r="841">
          <cell r="C841">
            <v>1635</v>
          </cell>
          <cell r="D841" t="str">
            <v>Conexión Acometida Sanitaria Domiciliaria Tuberia Pvc D = 4", A Manhol, Longitud 2.50 Metros, Profundidad 1.50 Metros, Incluye Excavacion, Relleno</v>
          </cell>
          <cell r="E841" t="str">
            <v>GL</v>
          </cell>
          <cell r="F841">
            <v>249896.71</v>
          </cell>
          <cell r="G841">
            <v>42314</v>
          </cell>
        </row>
        <row r="842">
          <cell r="C842">
            <v>1636</v>
          </cell>
          <cell r="D842" t="str">
            <v>Suministro E Instalación De Puerta De Doble Hoja En Lámina Galvanizada Calibre 20 De Doble Faz Y Marco Calibre 18 De 2.00 X 2.20, Incluye Pintura Anticorrosiva Y Esmalte, Cerradura Y Herrajes</v>
          </cell>
          <cell r="E842" t="str">
            <v>UN</v>
          </cell>
          <cell r="F842">
            <v>711150</v>
          </cell>
          <cell r="G842">
            <v>41508</v>
          </cell>
        </row>
        <row r="843">
          <cell r="C843">
            <v>1638</v>
          </cell>
          <cell r="D843" t="str">
            <v>Instalación De Cubierta En Lámina Ondulada De Asbesto Cemento, Perfil 7 (Mano De Obra)</v>
          </cell>
          <cell r="E843" t="str">
            <v>M2</v>
          </cell>
          <cell r="F843">
            <v>17457.5</v>
          </cell>
          <cell r="G843">
            <v>41017</v>
          </cell>
        </row>
        <row r="844">
          <cell r="C844">
            <v>1639</v>
          </cell>
          <cell r="D844" t="str">
            <v>Mantenimiento De Elementos Horizontales, Columna Y Cercha En Perfil L, Ligado, Grateado, Lavado, Suministro Y Aplicacion De Pintura Anticorrosiva Tipo Cromato De Zinc Y Acabado En Esmalte Incluye Cambio De Elementos Averiados Hasta En Un 30%</v>
          </cell>
          <cell r="E844" t="str">
            <v>ML</v>
          </cell>
          <cell r="F844">
            <v>49500</v>
          </cell>
          <cell r="G844">
            <v>42758</v>
          </cell>
        </row>
        <row r="845">
          <cell r="C845">
            <v>1640</v>
          </cell>
          <cell r="D845" t="str">
            <v>Mantenimiento De Correa Metalica En Barra Redonda, Ligado, Grateado, Lavado, Suministro Y Aplicacion De Pintura Anticorrosiva Tipo Cromato De Zinc Y Acabado En Esmalte Incluye Cambio De Elementos Averiados Hasta En Un 30%</v>
          </cell>
          <cell r="E845" t="str">
            <v>ML</v>
          </cell>
          <cell r="F845">
            <v>12400</v>
          </cell>
          <cell r="G845">
            <v>40310</v>
          </cell>
        </row>
        <row r="846">
          <cell r="C846">
            <v>1641</v>
          </cell>
          <cell r="D846" t="str">
            <v>Mantenimiento De Tensores Metalicos En Cruz, Ligado, Lavado, Suministro Y Aplicacion De Pintura Anticorrosiva Tipo Cromato De Zinc Y Acabado En Esmalte Incluye Cambio De Elementos Averiados Hasta En Un 30%</v>
          </cell>
          <cell r="E846" t="str">
            <v>ML</v>
          </cell>
          <cell r="F846">
            <v>3200</v>
          </cell>
          <cell r="G846">
            <v>40310</v>
          </cell>
        </row>
        <row r="847">
          <cell r="C847">
            <v>1642</v>
          </cell>
          <cell r="D847" t="str">
            <v>Mantenimiento En Limpieza, Impermeabilizacion Con Torofil De Canal Metalica Recolectora De Aguas Lluvias , Aplicacion De Pintura Anticorrosiva Tipo Cromato De Zinc Y Acabado En Esmalte Incluye Cambio De Elementos Averiados Hasta En Un 30%</v>
          </cell>
          <cell r="E847" t="str">
            <v>ML</v>
          </cell>
          <cell r="F847">
            <v>20500</v>
          </cell>
          <cell r="G847">
            <v>40310</v>
          </cell>
        </row>
        <row r="848">
          <cell r="C848">
            <v>1643</v>
          </cell>
          <cell r="D848" t="str">
            <v>Desmonte De Cubierta Solo Incluye  La Lámina Ondulada De Asbesto Cemento Y Retiro De Material</v>
          </cell>
          <cell r="E848" t="str">
            <v>M2</v>
          </cell>
          <cell r="F848">
            <v>9252.5</v>
          </cell>
          <cell r="G848">
            <v>41344</v>
          </cell>
        </row>
        <row r="849">
          <cell r="C849">
            <v>1644</v>
          </cell>
          <cell r="D849" t="str">
            <v>Columna En Concreto De 3000 Psi, De 0.35 X 0.35 Metros, No Incluye Acero De Refuerzo</v>
          </cell>
          <cell r="E849" t="str">
            <v>ML</v>
          </cell>
          <cell r="F849">
            <v>68286.62</v>
          </cell>
          <cell r="G849">
            <v>41016</v>
          </cell>
        </row>
        <row r="850">
          <cell r="C850">
            <v>1645</v>
          </cell>
          <cell r="D850" t="str">
            <v>Columna En Concreto De 3000 Psi De 0.20 X 0.20 Metros, No Incluye Acero De Refuerzo</v>
          </cell>
          <cell r="E850" t="str">
            <v>ML</v>
          </cell>
          <cell r="F850">
            <v>35529.89</v>
          </cell>
          <cell r="G850">
            <v>41680</v>
          </cell>
        </row>
        <row r="851">
          <cell r="C851">
            <v>1647</v>
          </cell>
          <cell r="D851" t="str">
            <v>Suministro De Carro Para Carga O Zorra Para Transportar Canecas De 55 Galones</v>
          </cell>
          <cell r="E851" t="str">
            <v>UN</v>
          </cell>
          <cell r="F851">
            <v>235000</v>
          </cell>
          <cell r="G851">
            <v>41067</v>
          </cell>
        </row>
        <row r="852">
          <cell r="C852">
            <v>1648</v>
          </cell>
          <cell r="D852" t="str">
            <v>Desmonte De Cercha En Estructura Metálica En Mal Estado Y Retiro De Material</v>
          </cell>
          <cell r="E852" t="str">
            <v>ML</v>
          </cell>
          <cell r="F852">
            <v>27966.67</v>
          </cell>
          <cell r="G852">
            <v>42496</v>
          </cell>
        </row>
        <row r="853">
          <cell r="C853">
            <v>1651</v>
          </cell>
          <cell r="D853" t="str">
            <v>Suministro E Instalación De Armarios Inferiores Bajo Mesón De Concreto, En Madera De Cedro, Incluye Entrepaño Y Puertas De 0.90 X 1.00 Metros, Longitud El Mueble 3.00 Metros</v>
          </cell>
          <cell r="E853" t="str">
            <v>UN</v>
          </cell>
          <cell r="F853">
            <v>769278.33</v>
          </cell>
          <cell r="G853">
            <v>41927</v>
          </cell>
        </row>
        <row r="854">
          <cell r="C854">
            <v>1653</v>
          </cell>
          <cell r="D854" t="str">
            <v>Suministro E Instalación De Gabinete Para Guardar Implementos, De 0.585 X 0.278 X 0.365 Metros Ref. 60271 Tipo Homecenter O Similar</v>
          </cell>
          <cell r="E854" t="str">
            <v>UN</v>
          </cell>
          <cell r="F854">
            <v>261850</v>
          </cell>
          <cell r="G854">
            <v>41067</v>
          </cell>
        </row>
        <row r="855">
          <cell r="C855">
            <v>1657</v>
          </cell>
          <cell r="D855" t="str">
            <v>Suministro E Instalacion De Tuberia De Alcantarillado Durafort O Similar D = 20" - 500 Mm</v>
          </cell>
          <cell r="E855" t="str">
            <v>ML</v>
          </cell>
          <cell r="F855">
            <v>391918.9</v>
          </cell>
          <cell r="G855">
            <v>42466</v>
          </cell>
        </row>
        <row r="856">
          <cell r="C856">
            <v>1659</v>
          </cell>
          <cell r="D856" t="str">
            <v>Levante De Muro En Bloque De 0.15 X 0.20 X 0.40 Metros Con Celdas Rellenas En Concreto De 2500 Psi, Refuerzo Central De D = 1/2" A Cada 2.00 Metros, Mortero De Pega 1:4</v>
          </cell>
          <cell r="E856" t="str">
            <v>M2</v>
          </cell>
          <cell r="F856">
            <v>99860.06</v>
          </cell>
          <cell r="G856">
            <v>42496</v>
          </cell>
        </row>
        <row r="857">
          <cell r="C857">
            <v>1660</v>
          </cell>
          <cell r="D857" t="str">
            <v>Registro De 1.20 X 1.20 X 1.50 Metros, En Bloque De 0.15 Metros, Rellenos De Concreto Y Refuerzo De Acero D = 1/2" En Las Esquinas, Pañetado Con Mortero 1:4 Impermeabilizado, Con Tapa Y Fondo En Concreto De 3000 Psi Reforzada Con Varillas D = 1/2" A Cada 0.15 Metros En Ambos Sentidos, Incluye Excavacion</v>
          </cell>
          <cell r="E857" t="str">
            <v>UN</v>
          </cell>
          <cell r="F857">
            <v>1172215.51</v>
          </cell>
          <cell r="G857">
            <v>41067</v>
          </cell>
        </row>
        <row r="858">
          <cell r="C858">
            <v>1662</v>
          </cell>
          <cell r="D858" t="str">
            <v>Adecuacion Y Restauracion De Zonas Aledañas Que Se Cancelaran Por Actividades Realizadas: - Levante De Muro M2 = $25.945.29 - Pañete De Muro M2 = $12.292.79 - Demolicion De Piso M2 = $8.263.33 - Plantilla De Piso Concreto De 1500 Psi E = 0.05 Metros M2 = $ 16.519.85 - Piso En Baldosa M2 = $33.073.15 - Cubierta En Lamina Ondulada De Asbesto Cemento M2 = $32.719.78 - Demolicion De Muro M2 = $11.319.77 - Desmonte De Cubierta M2 = 12.611.38 Entre Otros</v>
          </cell>
          <cell r="E858" t="str">
            <v>GL</v>
          </cell>
          <cell r="F858">
            <v>10000000</v>
          </cell>
          <cell r="G858">
            <v>40697</v>
          </cell>
        </row>
        <row r="859">
          <cell r="C859">
            <v>1663</v>
          </cell>
          <cell r="D859" t="str">
            <v>Red De Media Tensión Del Tablero General Al Transformador</v>
          </cell>
          <cell r="E859" t="str">
            <v>ML</v>
          </cell>
          <cell r="F859">
            <v>325000</v>
          </cell>
          <cell r="G859">
            <v>41494</v>
          </cell>
        </row>
        <row r="860">
          <cell r="C860">
            <v>1664</v>
          </cell>
          <cell r="D860" t="str">
            <v>Columna En Concreto De 3000 Psi De 0.25 X 0.25 No Incluye Acero De Refuerzo</v>
          </cell>
          <cell r="E860" t="str">
            <v>ML</v>
          </cell>
          <cell r="F860">
            <v>46080.85</v>
          </cell>
          <cell r="G860">
            <v>42472</v>
          </cell>
        </row>
        <row r="861">
          <cell r="C861">
            <v>1665</v>
          </cell>
          <cell r="D861" t="str">
            <v>E - Suministro E Instalación De Caja De Paso De 0.30 X 0.30 X 0.10 Metros Con Tapa Y Bisagra</v>
          </cell>
          <cell r="E861" t="str">
            <v>UN</v>
          </cell>
          <cell r="F861">
            <v>108825</v>
          </cell>
          <cell r="G861">
            <v>41835</v>
          </cell>
        </row>
        <row r="862">
          <cell r="C862">
            <v>1667</v>
          </cell>
          <cell r="D862" t="str">
            <v>E - Suministro Y Construcción Sistema De Polo A Tierra: 3 Varillas De Cobre De 5/8",  De 2.44 Metros, Amarrado Con Cable 2/0, Punto De Inspeccion Con Platina Aislada De Cobre Soldado, Incluye Hidrosolta ( Ver Diseño Sistema Electrico)</v>
          </cell>
          <cell r="E862" t="str">
            <v>UN</v>
          </cell>
          <cell r="F862">
            <v>1900000</v>
          </cell>
          <cell r="G862">
            <v>41771</v>
          </cell>
        </row>
        <row r="863">
          <cell r="C863">
            <v>1668</v>
          </cell>
          <cell r="D863" t="str">
            <v>E - Acometida De Desde S/E Hasta Td En Cable 3 X 2 + 4 + 6(T); Tuberia De Pvc D = 1 1/2" ( Ver Diseño De Sistema Eléctrico)</v>
          </cell>
          <cell r="E863" t="str">
            <v>ML</v>
          </cell>
          <cell r="F863">
            <v>105000</v>
          </cell>
          <cell r="G863">
            <v>41451</v>
          </cell>
        </row>
        <row r="864">
          <cell r="C864">
            <v>1669</v>
          </cell>
          <cell r="D864" t="str">
            <v>E - Acometida De Desde S/E Hasta T/D En Cable 3 X 8 + 8 + 8(T); Tuberia D = 1" Emt (Ver Diseño Sistema Eléctrico)</v>
          </cell>
          <cell r="E864" t="str">
            <v>ML</v>
          </cell>
          <cell r="F864">
            <v>50000</v>
          </cell>
          <cell r="G864">
            <v>41451</v>
          </cell>
        </row>
        <row r="865">
          <cell r="C865">
            <v>1671</v>
          </cell>
          <cell r="D865" t="str">
            <v>E - Suministro E Instalación De Luminaria Ojo De Buey Dirigible, Silver Sylvania O Similar</v>
          </cell>
          <cell r="E865" t="str">
            <v>UN</v>
          </cell>
          <cell r="F865">
            <v>61031.88</v>
          </cell>
          <cell r="G865">
            <v>41927</v>
          </cell>
        </row>
        <row r="866">
          <cell r="C866">
            <v>1672</v>
          </cell>
          <cell r="D866" t="str">
            <v>Suministro E Instalación De Transformador Seco 2 Kva 460 / 220 - 120 V Ac Trifásico, Incluye Celda De Aislamiento</v>
          </cell>
          <cell r="E866" t="str">
            <v>UN</v>
          </cell>
          <cell r="F866">
            <v>2650990</v>
          </cell>
          <cell r="G866">
            <v>41480</v>
          </cell>
        </row>
        <row r="867">
          <cell r="C867">
            <v>1673</v>
          </cell>
          <cell r="D867" t="str">
            <v>Placa Para Alma Del Puente En Concreto De 3000 Psi E = 0.35 Metros</v>
          </cell>
          <cell r="E867" t="str">
            <v>M2</v>
          </cell>
          <cell r="F867">
            <v>180944.36</v>
          </cell>
          <cell r="G867">
            <v>41038</v>
          </cell>
        </row>
        <row r="868">
          <cell r="C868">
            <v>1674</v>
          </cell>
          <cell r="D868" t="str">
            <v>Baranda De Protección En Tubería Galvanizada D = 21/2" Calibre 1/8", Incluye Pintura , Altura 1.00 Metro, Con Parales A Cada 1.20 Metros, Con Refuerzo Exterior De Fijación En Platina De 2" X 1/2" Y Tubería Horizontal A Cada 0.25 Metros</v>
          </cell>
          <cell r="E868" t="str">
            <v>ML</v>
          </cell>
          <cell r="F868">
            <v>208987.5</v>
          </cell>
          <cell r="G868">
            <v>41026</v>
          </cell>
        </row>
        <row r="869">
          <cell r="C869">
            <v>1675</v>
          </cell>
          <cell r="D869" t="str">
            <v>Limpieza Con Retrocargador De Llanta En Arroyos De Seccion &gt; 4.00 Metros</v>
          </cell>
          <cell r="E869" t="str">
            <v>M3</v>
          </cell>
          <cell r="F869">
            <v>28770</v>
          </cell>
          <cell r="G869">
            <v>42516</v>
          </cell>
        </row>
        <row r="870">
          <cell r="C870">
            <v>1676</v>
          </cell>
          <cell r="D870" t="str">
            <v>Viga De Sobrecimiento De 0.15 X 0.20 Metros, En Concreto De 2500 Psi, Incluye 4 Varillas D = 3/8", Y Estribos D = 1/4" A Cada 0.15 Metros Con Apuntalamiento</v>
          </cell>
          <cell r="E870" t="str">
            <v>ML</v>
          </cell>
          <cell r="F870">
            <v>57594.98</v>
          </cell>
          <cell r="G870">
            <v>42416</v>
          </cell>
        </row>
        <row r="871">
          <cell r="C871">
            <v>1678</v>
          </cell>
          <cell r="D871" t="str">
            <v>Pintura Granyplast Aplicada En Areas Con Ancho &lt; 0.80 Metros</v>
          </cell>
          <cell r="E871" t="str">
            <v>ML</v>
          </cell>
          <cell r="F871">
            <v>14530.38</v>
          </cell>
          <cell r="G871">
            <v>41047</v>
          </cell>
        </row>
        <row r="872">
          <cell r="C872">
            <v>1680</v>
          </cell>
          <cell r="D872" t="str">
            <v>Suministro E Instalación De Puerta Tipo Milano De 1.00 X 2.00 Metros, Pintada En Tintilla, Incluye Marco En Madera, Bisagra, Cerradura De Seguridad Doble Vuelta</v>
          </cell>
          <cell r="E872" t="str">
            <v>UN</v>
          </cell>
          <cell r="F872">
            <v>405778.33</v>
          </cell>
          <cell r="G872">
            <v>41569</v>
          </cell>
        </row>
        <row r="873">
          <cell r="C873">
            <v>1681</v>
          </cell>
          <cell r="D873" t="str">
            <v>Desmonte De Cielo Raso A Una Altura &gt; 3.00 Metros &lt; 10.00 Metros, Incluye Retiro De Material</v>
          </cell>
          <cell r="E873" t="str">
            <v>M2</v>
          </cell>
          <cell r="F873">
            <v>21401.11</v>
          </cell>
          <cell r="G873">
            <v>42416</v>
          </cell>
        </row>
        <row r="874">
          <cell r="C874">
            <v>1682</v>
          </cell>
          <cell r="D874" t="str">
            <v>Relleno En Material Seleccionado Apisonado</v>
          </cell>
          <cell r="E874" t="str">
            <v>M3</v>
          </cell>
          <cell r="F874">
            <v>46702.5</v>
          </cell>
          <cell r="G874">
            <v>42496</v>
          </cell>
        </row>
        <row r="875">
          <cell r="C875">
            <v>1683</v>
          </cell>
          <cell r="D875" t="str">
            <v>Relleno En Material Seleccionado Apisonado</v>
          </cell>
          <cell r="E875" t="str">
            <v>M3</v>
          </cell>
          <cell r="F875">
            <v>71014.25</v>
          </cell>
          <cell r="G875">
            <v>42067</v>
          </cell>
        </row>
        <row r="876">
          <cell r="C876">
            <v>1684</v>
          </cell>
          <cell r="D876" t="str">
            <v>Demolición De Estructura Existente, Incluye Retiro De Material</v>
          </cell>
          <cell r="E876" t="str">
            <v>M3</v>
          </cell>
          <cell r="F876">
            <v>58653.9</v>
          </cell>
          <cell r="G876">
            <v>42535</v>
          </cell>
        </row>
        <row r="877">
          <cell r="C877">
            <v>1685</v>
          </cell>
          <cell r="D877" t="str">
            <v>Suministro E Instalación De Tubería Pvc D = 2" Para Placa Superior O Lloradero</v>
          </cell>
          <cell r="E877" t="str">
            <v>ML</v>
          </cell>
          <cell r="F877">
            <v>21981.96</v>
          </cell>
          <cell r="G877">
            <v>41068</v>
          </cell>
        </row>
        <row r="878">
          <cell r="C878">
            <v>1686</v>
          </cell>
          <cell r="D878" t="str">
            <v>Corte Y Perfilado De Pavimento Con Disco De Diamante Y Junta En Silicona</v>
          </cell>
          <cell r="E878" t="str">
            <v>ML</v>
          </cell>
          <cell r="F878">
            <v>9624.75</v>
          </cell>
          <cell r="G878">
            <v>41212</v>
          </cell>
        </row>
        <row r="879">
          <cell r="C879">
            <v>1687</v>
          </cell>
          <cell r="D879" t="str">
            <v>Pintura Epóxica Para Piso</v>
          </cell>
          <cell r="E879" t="str">
            <v>M2</v>
          </cell>
          <cell r="F879">
            <v>26979.25</v>
          </cell>
          <cell r="G879">
            <v>42496</v>
          </cell>
        </row>
        <row r="880">
          <cell r="C880">
            <v>1688</v>
          </cell>
          <cell r="D880" t="str">
            <v>Losa Maciza En Concreto De 3000 Psi, No Incluye Acero De Refuerzo, E = 0.10 Metros</v>
          </cell>
          <cell r="E880" t="str">
            <v>M2</v>
          </cell>
          <cell r="F880">
            <v>105334.89</v>
          </cell>
          <cell r="G880">
            <v>42102</v>
          </cell>
        </row>
        <row r="881">
          <cell r="C881">
            <v>1689</v>
          </cell>
          <cell r="D881" t="str">
            <v>Suministro, Instalación Y Montaje De Concertina De 18" De Diametro, Espiral Sencillo En Acero Inoxidable Ref. 430 Calibre 26 De Origen Alemán , Con Refuerzo De Alambre Acerado 12.5, Con Cuchillas Tipo Largas O Razor, Con Un Rendimiento Lineal De 6.50 Metros, La Instalación Incluye Tubería Galvanizada De 1/2" A 1 1/4", Tensores De 1/4", Tornillos De Anclaje De 3/8" X 2" Y 2 1/2", Alambre Tensor 1070 Acerado Calibre 12</v>
          </cell>
          <cell r="E881" t="str">
            <v>ML</v>
          </cell>
          <cell r="F881">
            <v>38280</v>
          </cell>
          <cell r="G881">
            <v>41666</v>
          </cell>
        </row>
        <row r="882">
          <cell r="C882">
            <v>1692</v>
          </cell>
          <cell r="D882" t="str">
            <v>Suministro E Instalación De Rejilla Prefabricada De Concreto Reforzado Para Sumidero, Resistente Al Paso Peatonal, De 0.40 X 0.40 X 0.06 Metros, Tipo Titan O Similar</v>
          </cell>
          <cell r="E882" t="str">
            <v>ML</v>
          </cell>
          <cell r="F882">
            <v>46406.75</v>
          </cell>
          <cell r="G882">
            <v>41038</v>
          </cell>
        </row>
        <row r="883">
          <cell r="C883">
            <v>1693</v>
          </cell>
          <cell r="D883" t="str">
            <v>Placa De Fondo En Concreto De 4000 Psi  Premezclado E = 0.25 Metros</v>
          </cell>
          <cell r="E883" t="str">
            <v>M3</v>
          </cell>
          <cell r="F883">
            <v>617989.74</v>
          </cell>
          <cell r="G883">
            <v>41037</v>
          </cell>
        </row>
        <row r="884">
          <cell r="C884">
            <v>1697</v>
          </cell>
          <cell r="D884" t="str">
            <v>Viga Sobre Muro En Concreto De 3000 Psi De 0.15 X 0.15 Metros No Incluye Acero De Refuerzo</v>
          </cell>
          <cell r="E884" t="str">
            <v>ML</v>
          </cell>
          <cell r="F884">
            <v>23727.95</v>
          </cell>
          <cell r="G884">
            <v>41075</v>
          </cell>
        </row>
        <row r="885">
          <cell r="C885">
            <v>1698</v>
          </cell>
          <cell r="D885" t="str">
            <v>Juntas Transversales Con Cinta Sika Y Sikaflex O Similar</v>
          </cell>
          <cell r="E885" t="str">
            <v>ML</v>
          </cell>
          <cell r="F885">
            <v>59916.83</v>
          </cell>
          <cell r="G885">
            <v>41037</v>
          </cell>
        </row>
        <row r="886">
          <cell r="C886">
            <v>1699</v>
          </cell>
          <cell r="D886" t="str">
            <v>Junta Longitudinal Con Cinta Sika, Sikaflex Y Sikarod O Similar</v>
          </cell>
          <cell r="E886" t="str">
            <v>ML</v>
          </cell>
          <cell r="F886">
            <v>60682.33</v>
          </cell>
          <cell r="G886">
            <v>41344</v>
          </cell>
        </row>
        <row r="887">
          <cell r="C887">
            <v>1700</v>
          </cell>
          <cell r="D887" t="str">
            <v>Filtro En Canto Rodado Incluye Geotextil Nt 3000 Y Tuberia Pvc Perforada D = 4"</v>
          </cell>
          <cell r="E887" t="str">
            <v>M3</v>
          </cell>
          <cell r="F887">
            <v>117999.3</v>
          </cell>
          <cell r="G887">
            <v>42241</v>
          </cell>
        </row>
        <row r="888">
          <cell r="C888">
            <v>1702</v>
          </cell>
          <cell r="D888" t="str">
            <v>Placa De Fondo En Concreto De 4000 Psi  Premezclado Con Baja Permeabilidad</v>
          </cell>
          <cell r="E888" t="str">
            <v>M3</v>
          </cell>
          <cell r="F888">
            <v>603039.84</v>
          </cell>
          <cell r="G888">
            <v>41008</v>
          </cell>
        </row>
        <row r="889">
          <cell r="C889">
            <v>1703</v>
          </cell>
          <cell r="D889" t="str">
            <v>Muro Para Soporte, Estribos O Losa De Puente En Concreto De 4000 Psi Premezclado Con Baja Permeabilidad, No Incluye Acero De Refuerzo</v>
          </cell>
          <cell r="E889" t="str">
            <v>M3</v>
          </cell>
          <cell r="F889">
            <v>647290.19999999995</v>
          </cell>
          <cell r="G889">
            <v>41037</v>
          </cell>
        </row>
        <row r="890">
          <cell r="C890">
            <v>1704</v>
          </cell>
          <cell r="D890" t="str">
            <v>Pavimento En Concreto Rigido Mr = 600 Psi, Acelerado A Tres (3) Dias E = 0.20 Metros, Pasadores D = 1" - Longitud 0.35 Metros A Cada 0.30 Metros Y D = 1/2" - Longitud 0.85 Metros A Cada 1.20 Metros, Junta Y Antisol</v>
          </cell>
          <cell r="E890" t="str">
            <v>M2</v>
          </cell>
          <cell r="F890">
            <v>140198.75</v>
          </cell>
          <cell r="G890">
            <v>42493</v>
          </cell>
        </row>
        <row r="891">
          <cell r="C891">
            <v>1705</v>
          </cell>
          <cell r="D891" t="str">
            <v>Placa Para Alma Del Puente En Concreto De 4000 Psi</v>
          </cell>
          <cell r="E891" t="str">
            <v>M3</v>
          </cell>
          <cell r="F891">
            <v>770462.3</v>
          </cell>
          <cell r="G891">
            <v>41080</v>
          </cell>
        </row>
        <row r="892">
          <cell r="C892">
            <v>1706</v>
          </cell>
          <cell r="D892" t="str">
            <v>Andén En Loseta De Concreto Bicapa Tipo Idu A50 De 0.40 X 0.40 X 0.06 Metros Para Tráfico Peatonal Y Vehicular Liviano - Línea Titan O Similar</v>
          </cell>
          <cell r="E892" t="str">
            <v>M2</v>
          </cell>
          <cell r="F892">
            <v>77269.8</v>
          </cell>
          <cell r="G892">
            <v>41354</v>
          </cell>
        </row>
        <row r="893">
          <cell r="C893">
            <v>1709</v>
          </cell>
          <cell r="D893" t="str">
            <v>Piso En Loseta Prepulida Para Exteriores De 0.30 X 0.30 X 0.026 Metros, Tipo Alfa O Similar</v>
          </cell>
          <cell r="E893" t="str">
            <v>M2</v>
          </cell>
          <cell r="F893">
            <v>87778.66</v>
          </cell>
          <cell r="G893">
            <v>42776</v>
          </cell>
        </row>
        <row r="894">
          <cell r="C894">
            <v>1710</v>
          </cell>
          <cell r="D894" t="str">
            <v>Piso En Piedra Naturstone De 0.40 X 0.40 X 0.040 Metros, Tipo Alfa O Similar</v>
          </cell>
          <cell r="E894" t="str">
            <v>M2</v>
          </cell>
          <cell r="F894">
            <v>73380.009999999995</v>
          </cell>
          <cell r="G894">
            <v>41057</v>
          </cell>
        </row>
        <row r="895">
          <cell r="C895">
            <v>1712</v>
          </cell>
          <cell r="D895" t="str">
            <v>Plantilla De Piso En Mortero 1:6 E = 0.07 Metros</v>
          </cell>
          <cell r="E895" t="str">
            <v>M2</v>
          </cell>
          <cell r="F895">
            <v>22113.83</v>
          </cell>
          <cell r="G895">
            <v>42572</v>
          </cell>
        </row>
        <row r="896">
          <cell r="C896">
            <v>1713</v>
          </cell>
          <cell r="D896" t="str">
            <v>Plantilla De Piso En Mortero 1:6 Impermeabilizado E = 0.07 Metros</v>
          </cell>
          <cell r="E896" t="str">
            <v>M2</v>
          </cell>
          <cell r="F896">
            <v>27413.11</v>
          </cell>
          <cell r="G896">
            <v>41066</v>
          </cell>
        </row>
        <row r="897">
          <cell r="C897">
            <v>1714</v>
          </cell>
          <cell r="D897" t="str">
            <v>Relleno Y Compactación Con Material De Triturado En Capas De 0.40 Metros</v>
          </cell>
          <cell r="E897" t="str">
            <v>M3</v>
          </cell>
          <cell r="F897">
            <v>109981.5</v>
          </cell>
          <cell r="G897">
            <v>41375</v>
          </cell>
        </row>
        <row r="898">
          <cell r="C898">
            <v>1716</v>
          </cell>
          <cell r="D898" t="str">
            <v>E - Suministro E Instalación De Estufa De 4 Fogones Para Empotrar, A Gas, En Acero Inoxidable, Encendido Electrónico, Quemadores De Bronce, Tipo Haceb O Similar</v>
          </cell>
          <cell r="E898" t="str">
            <v>UN</v>
          </cell>
          <cell r="F898">
            <v>269712.5</v>
          </cell>
          <cell r="G898">
            <v>42578</v>
          </cell>
        </row>
        <row r="899">
          <cell r="C899">
            <v>1717</v>
          </cell>
          <cell r="D899" t="str">
            <v>Excavación A Máquina Con Motoniveladora, No Incluye Retiro De Material</v>
          </cell>
          <cell r="E899" t="str">
            <v>M3</v>
          </cell>
          <cell r="F899">
            <v>18744.45</v>
          </cell>
          <cell r="G899">
            <v>42535</v>
          </cell>
        </row>
        <row r="900">
          <cell r="C900">
            <v>1718</v>
          </cell>
          <cell r="D900" t="str">
            <v>Excavación Con Retroexcavadora Sobre Oruga Para Construcción De Canalización Hacia Box Coulvert, De Ancho 2.00  A 2.50 Metros, Profundidad Promedio De  2.00 Metros</v>
          </cell>
          <cell r="E900" t="str">
            <v>ML</v>
          </cell>
          <cell r="F900">
            <v>106773.75999999999</v>
          </cell>
          <cell r="G900">
            <v>41037</v>
          </cell>
        </row>
        <row r="901">
          <cell r="C901">
            <v>1720</v>
          </cell>
          <cell r="D901" t="str">
            <v>E - Suministro E Instalación De Lámpara Decorativas Tipo Aplique Para Terrazas</v>
          </cell>
          <cell r="E901" t="str">
            <v>UN</v>
          </cell>
          <cell r="F901">
            <v>166231.88</v>
          </cell>
          <cell r="G901">
            <v>41737</v>
          </cell>
        </row>
        <row r="902">
          <cell r="C902">
            <v>1721</v>
          </cell>
          <cell r="D902" t="str">
            <v>Registro Sanitario De 1.20 X 1.20 X 1.50 Metros, Muros En Ladrillo Macizo Doble , Pañetado Con Mortero 1:4 Impermeabilizado, Placa De Fondo En Concreto De 3000 Psi, Y Tapa En Reja De Hierro Con Varilla De 1/2" A Cada 0.15 Metros En Ambos Sentidos</v>
          </cell>
          <cell r="E902" t="str">
            <v>UN</v>
          </cell>
          <cell r="F902">
            <v>1567160.41</v>
          </cell>
          <cell r="G902">
            <v>41799</v>
          </cell>
        </row>
        <row r="903">
          <cell r="C903">
            <v>1722</v>
          </cell>
          <cell r="D903" t="str">
            <v>Demolición De Divisiones Modulares Y Retiro De Material</v>
          </cell>
          <cell r="E903" t="str">
            <v>M2</v>
          </cell>
          <cell r="F903">
            <v>13683.89</v>
          </cell>
          <cell r="G903">
            <v>42429</v>
          </cell>
        </row>
        <row r="904">
          <cell r="C904">
            <v>1723</v>
          </cell>
          <cell r="D904" t="str">
            <v>Kiosco De 5.00 X 5.00 Metros, Altura De Columnas 2.80 Metros, Estructura De Soporte Para Cubierta En Madera Pino Pátula Inmunizada, Cubierta De Paja, Piso Y Bancas De Concreto</v>
          </cell>
          <cell r="E904" t="str">
            <v>UN</v>
          </cell>
          <cell r="F904">
            <v>7000000</v>
          </cell>
          <cell r="G904">
            <v>41862</v>
          </cell>
        </row>
        <row r="905">
          <cell r="C905">
            <v>1724</v>
          </cell>
          <cell r="D905" t="str">
            <v>Suministro E Instalación De Parasol En Lona Litoral - Plastilona Calibre 300, Estructura De Soporte En Tubería De Hierro Cuadrada, Acabado Con Anticorrosivo Y Pintura De Esmalte</v>
          </cell>
          <cell r="E905" t="str">
            <v>M2</v>
          </cell>
          <cell r="F905">
            <v>75000</v>
          </cell>
          <cell r="G905">
            <v>41068</v>
          </cell>
        </row>
        <row r="906">
          <cell r="C906">
            <v>1725</v>
          </cell>
          <cell r="D906" t="str">
            <v>Construccion De Box Culvert Tipo 1 ( Dimensiones 3.00 X 1.00 X 7.00 Metros - Medidas Libres ), Incluye: Nivelacion, Replanteo Y Señalizacion, Manejo De Aguas, Excavaciones, Rellenos, Base En Suelo Cemento, Estructura En Concreto Armado, Aletas De 6.00 Metros, Anden, Bordillo, Baranda, Rampa De 7.00 Metros</v>
          </cell>
          <cell r="E906" t="str">
            <v>UN</v>
          </cell>
          <cell r="F906">
            <v>53788158</v>
          </cell>
          <cell r="G906">
            <v>40968</v>
          </cell>
        </row>
        <row r="907">
          <cell r="C907">
            <v>1726</v>
          </cell>
          <cell r="D907" t="str">
            <v>Parrilla De Hierro De 1/2" A Cada 0.50 Metros En Ambos Sentidos</v>
          </cell>
          <cell r="E907" t="str">
            <v>M2</v>
          </cell>
          <cell r="F907">
            <v>18528.48</v>
          </cell>
          <cell r="G907">
            <v>41345</v>
          </cell>
        </row>
        <row r="908">
          <cell r="C908">
            <v>1727</v>
          </cell>
          <cell r="D908" t="str">
            <v>Placa Para Piso En Concreto De 3000 Psi E = 0.07 Metros, Con Juntas En Tablón Vitrificado De 0.30 X 0.30 Metros</v>
          </cell>
          <cell r="E908" t="str">
            <v>M2</v>
          </cell>
          <cell r="F908">
            <v>40799.51</v>
          </cell>
          <cell r="G908">
            <v>41066</v>
          </cell>
        </row>
        <row r="909">
          <cell r="C909">
            <v>1728</v>
          </cell>
          <cell r="D909" t="str">
            <v>Acabado Exterior En Piedra China Lavada</v>
          </cell>
          <cell r="E909" t="str">
            <v>ML</v>
          </cell>
          <cell r="F909">
            <v>25585.86</v>
          </cell>
          <cell r="G909">
            <v>41011</v>
          </cell>
        </row>
        <row r="910">
          <cell r="C910">
            <v>1729</v>
          </cell>
          <cell r="D910" t="str">
            <v>Piso En Piedra China Y Granito Lavado</v>
          </cell>
          <cell r="E910" t="str">
            <v>M2</v>
          </cell>
          <cell r="F910">
            <v>54277.599999999999</v>
          </cell>
          <cell r="G910">
            <v>41386</v>
          </cell>
        </row>
        <row r="911">
          <cell r="C911">
            <v>1730</v>
          </cell>
          <cell r="D911" t="str">
            <v>Suministro, Instalación Y Montaje  De Estructura Metálica Para Cancha En Perfil De Hierro Pag, Incluye Cerchas, Correas, Riostras, Tensores, Platinas De Anclaje, Pintura En Anticorrosivo Base Cromato De Zinc, Acabado En Esmalte</v>
          </cell>
          <cell r="E911" t="str">
            <v>M2</v>
          </cell>
          <cell r="F911">
            <v>65000</v>
          </cell>
          <cell r="G911">
            <v>41680</v>
          </cell>
        </row>
        <row r="912">
          <cell r="C912">
            <v>1731</v>
          </cell>
          <cell r="D912" t="str">
            <v>Suministro Instalación Y Montaje De Columna En Estructura Metálica Para Cancha, Altura 5.00 Metros En Perfil De Hierro Pag, Incluye Platinas De Enlace, Anclaje, Pintura Anticorrosiva Base Cromato De Zinc Y Acabado En Esmalte</v>
          </cell>
          <cell r="E912" t="str">
            <v>UN</v>
          </cell>
          <cell r="F912">
            <v>650000</v>
          </cell>
          <cell r="G912">
            <v>41075</v>
          </cell>
        </row>
        <row r="913">
          <cell r="C913">
            <v>1732</v>
          </cell>
          <cell r="D913" t="str">
            <v>Suministro Instalación Y Montaje De Cercha Para Cancha, En Estructura Metálica Perfil De Hierro Pag, Incluye Platinas De Enlace, Anclaje, Pintura Anticorrosiva Base Cromato De Zinc, Acabado En Esmalte</v>
          </cell>
          <cell r="E913" t="str">
            <v>ML</v>
          </cell>
          <cell r="F913">
            <v>95000</v>
          </cell>
          <cell r="G913">
            <v>42314</v>
          </cell>
        </row>
        <row r="914">
          <cell r="C914">
            <v>1733</v>
          </cell>
          <cell r="D914" t="str">
            <v>Desmonte De Cubierta En Lámina Galvanizada Y Correas En Perfiles De Hierro Pag</v>
          </cell>
          <cell r="E914" t="str">
            <v>M2</v>
          </cell>
          <cell r="F914">
            <v>17745</v>
          </cell>
          <cell r="G914">
            <v>41949</v>
          </cell>
        </row>
        <row r="915">
          <cell r="C915">
            <v>1734</v>
          </cell>
          <cell r="D915" t="str">
            <v>Instalación De Cubierta En Lámina Galvanizada, Incluye Amarres Y Ganchos De Fijación</v>
          </cell>
          <cell r="E915" t="str">
            <v>M2</v>
          </cell>
          <cell r="F915">
            <v>25223.88</v>
          </cell>
          <cell r="G915">
            <v>41017</v>
          </cell>
        </row>
        <row r="916">
          <cell r="C916">
            <v>1735</v>
          </cell>
          <cell r="D916" t="str">
            <v>Excavacion Manual Para Canalizacion De 1.50 X 1.00 Metros</v>
          </cell>
          <cell r="E916" t="str">
            <v>ML</v>
          </cell>
          <cell r="F916">
            <v>20300</v>
          </cell>
          <cell r="G916">
            <v>40380</v>
          </cell>
        </row>
        <row r="917">
          <cell r="C917">
            <v>1736</v>
          </cell>
          <cell r="D917" t="str">
            <v>Concreto De 2500 Psi Impermeabilizado</v>
          </cell>
          <cell r="E917" t="str">
            <v>M3</v>
          </cell>
          <cell r="F917">
            <v>383985.88</v>
          </cell>
          <cell r="G917">
            <v>42438</v>
          </cell>
        </row>
        <row r="918">
          <cell r="C918">
            <v>1737</v>
          </cell>
          <cell r="D918" t="str">
            <v>Construccion De Box Culvert Tipo 2 ( Dimensiones 4.00 X 2.00 X 7.00 Metros - Medidas Libres ), Incluye: Nivelacion, Replanteo Y Señalizacion, Manejo De Aguas, Excavaciones, Rellenos, Base En Suelo Cemento, Estructura En Concreto Armado, Aletas De 6.00 Metros, Anden, Bordillo, Baranda, Rampa De 7.00 Metros</v>
          </cell>
          <cell r="E918" t="str">
            <v>UN</v>
          </cell>
          <cell r="F918">
            <v>66309436</v>
          </cell>
          <cell r="G918">
            <v>40968</v>
          </cell>
        </row>
        <row r="919">
          <cell r="C919">
            <v>1738</v>
          </cell>
          <cell r="D919" t="str">
            <v>Desmonte De Ductos De Aire Acondicionados, Frescasa, Tuberia De Gas, Cielo Raso Y Redes Electricas Y Retiro De Material</v>
          </cell>
          <cell r="E919" t="str">
            <v>ML</v>
          </cell>
          <cell r="F919">
            <v>5000</v>
          </cell>
          <cell r="G919">
            <v>40381</v>
          </cell>
        </row>
        <row r="920">
          <cell r="C920">
            <v>1739</v>
          </cell>
          <cell r="D920" t="str">
            <v>Piso En Tablón Vitrificado Con Mortero De Pega 1:4</v>
          </cell>
          <cell r="E920" t="str">
            <v>ML</v>
          </cell>
          <cell r="F920">
            <v>17528.7</v>
          </cell>
          <cell r="G920">
            <v>41008</v>
          </cell>
        </row>
        <row r="921">
          <cell r="C921">
            <v>1740</v>
          </cell>
          <cell r="D921" t="str">
            <v>Bordillo En Ladrillo Común Sencillo Con Mortero De Pega Y Pañete Impermeabilizado 1:4, Altura 0.30 Metros</v>
          </cell>
          <cell r="E921" t="str">
            <v>ML</v>
          </cell>
          <cell r="F921">
            <v>32445.21</v>
          </cell>
          <cell r="G921">
            <v>42472</v>
          </cell>
        </row>
        <row r="922">
          <cell r="C922">
            <v>1741</v>
          </cell>
          <cell r="D922" t="str">
            <v>Suministro E Instalación De Cubierta Termo - Acústica De Ajover O Similar, Incluye Cerchas, Correas, Riostras, Tensores, Platinas De Enlace, Anclaje,  Pintura En Anticorrosivo Y Acabado De Esmalte, Y Accesorios Generales De Instalación</v>
          </cell>
          <cell r="E922" t="str">
            <v>M2</v>
          </cell>
          <cell r="F922">
            <v>125000</v>
          </cell>
          <cell r="G922">
            <v>41494</v>
          </cell>
        </row>
        <row r="923">
          <cell r="C923">
            <v>1742</v>
          </cell>
          <cell r="D923" t="str">
            <v>Desmonte De Cubierta En Lamina Canaleta 43, Incluye Retiro De Material</v>
          </cell>
          <cell r="E923" t="str">
            <v>M2</v>
          </cell>
          <cell r="F923">
            <v>17745</v>
          </cell>
          <cell r="G923">
            <v>42496</v>
          </cell>
        </row>
        <row r="924">
          <cell r="C924">
            <v>1748</v>
          </cell>
          <cell r="D924" t="str">
            <v>Construcción De Gaviones De 2.00 X 1.00 X 1.00 Metros, Incluye Canasta Metálica En Alambre De Hierro Galvanizada Calibre 12 Mm, Ojo De 0.10 X 0.10 Metros, Rellena De Roca De Cantera Entre 0.10 Y 0.30 Metros</v>
          </cell>
          <cell r="E924" t="str">
            <v>UN</v>
          </cell>
          <cell r="F924">
            <v>225357.5</v>
          </cell>
          <cell r="G924">
            <v>41786</v>
          </cell>
        </row>
        <row r="925">
          <cell r="C925">
            <v>1749</v>
          </cell>
          <cell r="D925" t="str">
            <v>Construcción De Gaviones De 2.00 X 1.00 X 1.00 Metros, Incluye Canasta Metálica En Alambre De Hierro Galvanizada Calibre 13.5 Mm, Forrada En Pvc, Ojo De 0.10 X 0.10 Metros, Rellena De Roca De Cantera Entre 0.10 Y 0.30 Metros</v>
          </cell>
          <cell r="E925" t="str">
            <v>UN</v>
          </cell>
          <cell r="F925">
            <v>274757.5</v>
          </cell>
          <cell r="G925">
            <v>42198</v>
          </cell>
        </row>
        <row r="926">
          <cell r="C926">
            <v>1752</v>
          </cell>
          <cell r="D926" t="str">
            <v>Demarcación Con Pintura Reflectiva Para Cancha Y En Zona De Tráfico O Parqueo</v>
          </cell>
          <cell r="E926" t="str">
            <v>ML</v>
          </cell>
          <cell r="F926">
            <v>2706.86</v>
          </cell>
          <cell r="G926">
            <v>42578</v>
          </cell>
        </row>
        <row r="927">
          <cell r="C927">
            <v>1753</v>
          </cell>
          <cell r="D927" t="str">
            <v>Suministro De Tapa Para Manhol En Hierro Fundido Ductil, Con Bisagra Unida Al Aro, Empaque Interno, De Trafico Pesado, Diametro 0.60 Metros</v>
          </cell>
          <cell r="E927" t="str">
            <v>UN</v>
          </cell>
          <cell r="F927">
            <v>395000</v>
          </cell>
          <cell r="G927">
            <v>42466</v>
          </cell>
        </row>
        <row r="928">
          <cell r="C928">
            <v>1755</v>
          </cell>
          <cell r="D928" t="str">
            <v>Pavimento En Concreto De 3500 Psi, Incluye Antisol, Juntas E Instalación De Tapa En Hierro Fundido Para Manhol</v>
          </cell>
          <cell r="E928" t="str">
            <v>M3</v>
          </cell>
          <cell r="F928">
            <v>612332.5</v>
          </cell>
          <cell r="G928">
            <v>41564</v>
          </cell>
        </row>
        <row r="929">
          <cell r="C929">
            <v>1756</v>
          </cell>
          <cell r="D929" t="str">
            <v>Ornamentacion Y Jardineria - Poda De Formacion De Arbol De 6 A 10 Metros De Altura, Incluye Retiro De Material</v>
          </cell>
          <cell r="E929" t="str">
            <v>UN</v>
          </cell>
          <cell r="F929">
            <v>82000</v>
          </cell>
          <cell r="G929">
            <v>40403</v>
          </cell>
        </row>
        <row r="930">
          <cell r="C930">
            <v>1757</v>
          </cell>
          <cell r="D930" t="str">
            <v>Ornamentacion Y Jardineria - Siembra De Coccoloba Uvifera De 0.30 Metros ( Uva De Playa Para Seto), Incluye Transporte</v>
          </cell>
          <cell r="E930" t="str">
            <v>UN</v>
          </cell>
          <cell r="F930">
            <v>4900</v>
          </cell>
          <cell r="G930">
            <v>40403</v>
          </cell>
        </row>
        <row r="931">
          <cell r="C931">
            <v>1758</v>
          </cell>
          <cell r="D931" t="str">
            <v>Ornamentacion Y Jardineria - Siembra De Conocarpus Erectus 0.30 Metros (Mangle Zaragoza), Incluye Transporte</v>
          </cell>
          <cell r="E931" t="str">
            <v>UN</v>
          </cell>
          <cell r="F931">
            <v>4900</v>
          </cell>
          <cell r="G931">
            <v>40403</v>
          </cell>
        </row>
        <row r="932">
          <cell r="C932">
            <v>1759</v>
          </cell>
          <cell r="D932" t="str">
            <v>Ornamentacion Y Jardiineria - Siembra De Palma Washingtonia Robusta  De 4.00 Metros (Washingtonia), Incluye Transporte</v>
          </cell>
          <cell r="E932" t="str">
            <v>UN</v>
          </cell>
          <cell r="F932">
            <v>415000</v>
          </cell>
          <cell r="G932">
            <v>40672</v>
          </cell>
        </row>
        <row r="933">
          <cell r="C933">
            <v>1760</v>
          </cell>
          <cell r="D933" t="str">
            <v>Ornamentacion Y Jardineria - Siembra De Tradescantia Pallida Purpurea De 0.20 Metros (Barquito  Morado), Incluye Transporte</v>
          </cell>
          <cell r="E933" t="str">
            <v>UN</v>
          </cell>
          <cell r="F933">
            <v>4800</v>
          </cell>
          <cell r="G933">
            <v>42241</v>
          </cell>
        </row>
        <row r="934">
          <cell r="C934">
            <v>1761</v>
          </cell>
          <cell r="D934" t="str">
            <v>Ornamentacion Y Jardineria - Siembra De  Palma Phoenix Roebelini Sencilla De 2.00 Metros (Robelini), Incluye Transporte</v>
          </cell>
          <cell r="E934" t="str">
            <v>UN</v>
          </cell>
          <cell r="F934">
            <v>196000</v>
          </cell>
          <cell r="G934">
            <v>41590</v>
          </cell>
        </row>
        <row r="935">
          <cell r="C935">
            <v>1762</v>
          </cell>
          <cell r="D935" t="str">
            <v>Ornamentacion Y Jardineria - Siembra De Sanciviera Trifasciatta De 0.40 Metros, (Lengua De Suegra), Incluye Transporte</v>
          </cell>
          <cell r="E935" t="str">
            <v>UN</v>
          </cell>
          <cell r="F935">
            <v>6100</v>
          </cell>
          <cell r="G935">
            <v>40403</v>
          </cell>
        </row>
        <row r="936">
          <cell r="C936">
            <v>1763</v>
          </cell>
          <cell r="D936" t="str">
            <v>Ornamentacion Y Jardineria - Siembra De Wedelia Trilobata De 0.20 Metros (Wedelia Amarilla), Incluye Transporte</v>
          </cell>
          <cell r="E936" t="str">
            <v>UN</v>
          </cell>
          <cell r="F936">
            <v>4900</v>
          </cell>
          <cell r="G936">
            <v>40403</v>
          </cell>
        </row>
        <row r="937">
          <cell r="C937">
            <v>1764</v>
          </cell>
          <cell r="D937" t="str">
            <v>Ornamentacion Y Jardineria</v>
          </cell>
          <cell r="E937" t="str">
            <v>GL</v>
          </cell>
          <cell r="F937">
            <v>0</v>
          </cell>
          <cell r="G937">
            <v>42857</v>
          </cell>
        </row>
        <row r="938">
          <cell r="C938">
            <v>1765</v>
          </cell>
          <cell r="D938" t="str">
            <v>Suministro E Instalación De Tablaestacado En Madera De 1" X 12" X 10'</v>
          </cell>
          <cell r="E938" t="str">
            <v>M2</v>
          </cell>
          <cell r="F938">
            <v>47955</v>
          </cell>
          <cell r="G938">
            <v>41038</v>
          </cell>
        </row>
        <row r="939">
          <cell r="C939">
            <v>1766</v>
          </cell>
          <cell r="D939" t="str">
            <v>Suministro E Instalación De Postes De Madera De 4" X 4", Incados 0.60 Metros En Concreto De 2500 Psi, Altura Promedio 2.40 Metros</v>
          </cell>
          <cell r="E939" t="str">
            <v>UN</v>
          </cell>
          <cell r="F939">
            <v>86240.72</v>
          </cell>
          <cell r="G939">
            <v>41038</v>
          </cell>
        </row>
        <row r="940">
          <cell r="C940">
            <v>1767</v>
          </cell>
          <cell r="D940" t="str">
            <v>Suministro E Instalación De Cubierta Termo Acustic Tipo Ajover O Similar, Incluye Accesorios</v>
          </cell>
          <cell r="E940" t="str">
            <v>M2</v>
          </cell>
          <cell r="F940">
            <v>95000</v>
          </cell>
          <cell r="G940">
            <v>41927</v>
          </cell>
        </row>
        <row r="941">
          <cell r="C941">
            <v>1768</v>
          </cell>
          <cell r="D941" t="str">
            <v>Suministro E Instalación De Entramado O Estructura Metálica Para Cielo Raso En Drywall</v>
          </cell>
          <cell r="E941" t="str">
            <v>M2</v>
          </cell>
          <cell r="F941">
            <v>21892.59</v>
          </cell>
          <cell r="G941">
            <v>41067</v>
          </cell>
        </row>
        <row r="942">
          <cell r="C942">
            <v>1769</v>
          </cell>
          <cell r="D942" t="str">
            <v>Suministro E Instalación De Rejilla De Retorno En Aluminio De 1.00 X 3.00 Metros</v>
          </cell>
          <cell r="E942" t="str">
            <v>UN</v>
          </cell>
          <cell r="F942">
            <v>100000</v>
          </cell>
          <cell r="G942">
            <v>41068</v>
          </cell>
        </row>
        <row r="943">
          <cell r="C943">
            <v>1770</v>
          </cell>
          <cell r="D943" t="str">
            <v>Muro En Concreto Ciclópeo, 60% Concreto De 3000 Psi, 40% Piedra Ciclópea, Para Dentellón O Pantalla</v>
          </cell>
          <cell r="E943" t="str">
            <v>M3</v>
          </cell>
          <cell r="F943">
            <v>383962.66</v>
          </cell>
          <cell r="G943">
            <v>41037</v>
          </cell>
        </row>
        <row r="944">
          <cell r="C944">
            <v>1771</v>
          </cell>
          <cell r="D944" t="str">
            <v>Reacomodamiento De Muro En Concreto, Caido Al Fondo Del Cauce De Arroyo, Incluye Concreto De Fijacion</v>
          </cell>
          <cell r="E944" t="str">
            <v>M2</v>
          </cell>
          <cell r="F944">
            <v>45000</v>
          </cell>
          <cell r="G944">
            <v>40415</v>
          </cell>
        </row>
        <row r="945">
          <cell r="C945">
            <v>1773</v>
          </cell>
          <cell r="D945" t="str">
            <v>Suministro E Instalación De Tensores D = 1/4" Longitud 3.00 Metros, Amarrados A Un Muerto De Concreto De 2000 Psi,  De 0.30 X 0.30 X 0.50 Metros</v>
          </cell>
          <cell r="E945" t="str">
            <v>UN</v>
          </cell>
          <cell r="F945">
            <v>20639.75</v>
          </cell>
          <cell r="G945">
            <v>41038</v>
          </cell>
        </row>
        <row r="946">
          <cell r="C946">
            <v>1775</v>
          </cell>
          <cell r="D946" t="str">
            <v>Suministro E Instalación De Saco De Polietileno Relleno En Material Arcilloso</v>
          </cell>
          <cell r="E946" t="str">
            <v>UN</v>
          </cell>
          <cell r="F946">
            <v>6685</v>
          </cell>
          <cell r="G946">
            <v>41038</v>
          </cell>
        </row>
        <row r="947">
          <cell r="C947">
            <v>1785</v>
          </cell>
          <cell r="D947" t="str">
            <v>Juegos - Suministro E Instalación De Marcos Para Cancha De Uso Múltiple (Fútbol Y Basquetbol), Con Medidas Y Altura Reglamentaria, Los Marcos En Tubería Galvanizada De 3" Y La Parte Posterior Que Sostienen Los Tableros En Tubería Galvanizada De 2", Tableros En Madera Con Sus Medidas Profesionales, Pintados, Instalados Con Sus Canastas Y Respectivas Mallas</v>
          </cell>
          <cell r="E947" t="str">
            <v>JG</v>
          </cell>
          <cell r="F947">
            <v>2900000</v>
          </cell>
          <cell r="G947">
            <v>41075</v>
          </cell>
        </row>
        <row r="948">
          <cell r="C948">
            <v>1788</v>
          </cell>
          <cell r="D948" t="str">
            <v>Pintura En Esmalte De Tuberia Galvanizada, Incluye Anticorrosivo Pulida Y Lijada</v>
          </cell>
          <cell r="E948" t="str">
            <v>ML</v>
          </cell>
          <cell r="F948">
            <v>5000</v>
          </cell>
          <cell r="G948">
            <v>42314</v>
          </cell>
        </row>
        <row r="949">
          <cell r="C949">
            <v>1803</v>
          </cell>
          <cell r="D949" t="str">
            <v>Suministro, Instalación Y Montaje De Mini Split De 3 Toneladas</v>
          </cell>
          <cell r="E949" t="str">
            <v>UN</v>
          </cell>
          <cell r="F949">
            <v>2971010</v>
          </cell>
          <cell r="G949">
            <v>41046</v>
          </cell>
        </row>
        <row r="950">
          <cell r="C950">
            <v>1807</v>
          </cell>
          <cell r="D950" t="str">
            <v>Suministro, Instalación Y Anclaje  De Caneca Plástica Con Capacidad De 50 Litros, Incluye Sistema De Pivote Antivandálico Con Tubería Galvanizada De 1.1/4"</v>
          </cell>
          <cell r="E950" t="str">
            <v>UN</v>
          </cell>
          <cell r="F950">
            <v>288222.40000000002</v>
          </cell>
          <cell r="G950">
            <v>41075</v>
          </cell>
        </row>
        <row r="951">
          <cell r="C951">
            <v>1808</v>
          </cell>
          <cell r="D951" t="str">
            <v>Juegos - Suministro E Instalación De Barras De Ejercicio En Tubería Galvanizada D = 2", Calibre 14 Mm, Marco De 2.00 X 1.50 Metros Y Paralelas En A Cada 0.50 Metros, Incluye Pintura Con Anticorrosivo Y Esmalte</v>
          </cell>
          <cell r="E951" t="str">
            <v>UN</v>
          </cell>
          <cell r="F951">
            <v>458100.8</v>
          </cell>
          <cell r="G951">
            <v>41075</v>
          </cell>
        </row>
        <row r="952">
          <cell r="C952">
            <v>1809</v>
          </cell>
          <cell r="D952" t="str">
            <v>Excavación Manual De Pilotines D = 0.20 Metros, Longitud 1.00 Metros</v>
          </cell>
          <cell r="E952" t="str">
            <v>UN</v>
          </cell>
          <cell r="F952">
            <v>7598.33</v>
          </cell>
          <cell r="G952">
            <v>41017</v>
          </cell>
        </row>
        <row r="953">
          <cell r="C953">
            <v>1810</v>
          </cell>
          <cell r="D953" t="str">
            <v>Relleno De Pilotines D = 0.20 Metros, Longitud 1.00 Metros, Con Calnare - Cal Hidratada</v>
          </cell>
          <cell r="E953" t="str">
            <v>UN</v>
          </cell>
          <cell r="F953">
            <v>50494</v>
          </cell>
          <cell r="G953">
            <v>41067</v>
          </cell>
        </row>
        <row r="954">
          <cell r="C954">
            <v>1811</v>
          </cell>
          <cell r="D954" t="str">
            <v>Placa De Cimentación Corrida En Concreto Premezclado De 3000 Psi, E = 0.30 Metros Ancho 1.00 Metro</v>
          </cell>
          <cell r="E954" t="str">
            <v>M2</v>
          </cell>
          <cell r="F954">
            <v>154509.04999999999</v>
          </cell>
          <cell r="G954">
            <v>42496</v>
          </cell>
        </row>
        <row r="955">
          <cell r="C955">
            <v>1812</v>
          </cell>
          <cell r="D955" t="str">
            <v>Columna En Concreto De 3000 Psi Premezclado De 0.15 X 0.60 Metros</v>
          </cell>
          <cell r="E955" t="str">
            <v>ML</v>
          </cell>
          <cell r="F955">
            <v>98993.58</v>
          </cell>
          <cell r="G955">
            <v>41016</v>
          </cell>
        </row>
        <row r="956">
          <cell r="C956">
            <v>1813</v>
          </cell>
          <cell r="D956" t="str">
            <v>Levante De Muro En Bloque De Concreto Abuzardado (Split) De 0.15 X 0.20 X 0.40 Metros, Mortero De Pega 1:4</v>
          </cell>
          <cell r="E956" t="str">
            <v>M2</v>
          </cell>
          <cell r="F956">
            <v>61992.160000000003</v>
          </cell>
          <cell r="G956">
            <v>42669</v>
          </cell>
        </row>
        <row r="957">
          <cell r="C957">
            <v>1814</v>
          </cell>
          <cell r="D957" t="str">
            <v>Levante De Muro En Bloque De Concreto Split De 0.15 X 0.20 X 0.40 Metros, Mortero De Pega 1:4, En Áreas Con Ancho &lt; De 0.80 Metros</v>
          </cell>
          <cell r="E957" t="str">
            <v>ML</v>
          </cell>
          <cell r="F957">
            <v>47121.74</v>
          </cell>
          <cell r="G957">
            <v>42578</v>
          </cell>
        </row>
        <row r="958">
          <cell r="C958">
            <v>1815</v>
          </cell>
          <cell r="D958" t="str">
            <v>Instalación De Cubierta Sin Incluir La Lámina Ondulada De Asbesto Cemento, Perfil7, Incluye Amarres, Ganchos De Fijación, Estructura En Madera  Y Mano De Obra</v>
          </cell>
          <cell r="E958" t="str">
            <v>M2</v>
          </cell>
          <cell r="F958">
            <v>37404.35</v>
          </cell>
          <cell r="G958">
            <v>41017</v>
          </cell>
        </row>
        <row r="959">
          <cell r="C959">
            <v>1816</v>
          </cell>
          <cell r="D959" t="str">
            <v>E - Instalación Y Montaje De Abanicos</v>
          </cell>
          <cell r="E959" t="str">
            <v>UN</v>
          </cell>
          <cell r="F959">
            <v>43633.75</v>
          </cell>
          <cell r="G959">
            <v>41451</v>
          </cell>
        </row>
        <row r="960">
          <cell r="C960">
            <v>1817</v>
          </cell>
          <cell r="D960" t="str">
            <v>Engolose De Muro A Cubierta</v>
          </cell>
          <cell r="E960" t="str">
            <v>ML</v>
          </cell>
          <cell r="F960">
            <v>13910.1</v>
          </cell>
          <cell r="G960">
            <v>41017</v>
          </cell>
        </row>
        <row r="961">
          <cell r="C961">
            <v>1818</v>
          </cell>
          <cell r="D961" t="str">
            <v>Juegos - Desmonte, Reparación Y Mantenimiento De Túnel En Madera Con Aros, Incluye Reposición De Elementos De Madera, Aros, Tuercas, Tornillos, Lijada, Aplicación De Anticorrosivos, Bases Y Acabado En Pintura De Esmalte</v>
          </cell>
          <cell r="E961" t="str">
            <v>UN</v>
          </cell>
          <cell r="F961">
            <v>120000</v>
          </cell>
          <cell r="G961">
            <v>41075</v>
          </cell>
        </row>
        <row r="962">
          <cell r="C962">
            <v>1819</v>
          </cell>
          <cell r="D962" t="str">
            <v>Juegos - Desmonte, Reparación Y Mantenimiento De Columpio De Tres (3) Puestos, Con Estructura De Madera Pino Pátula, Herrajes Y Aros, Incluye Reposición De Balancines, Elementos De Estructura De Madera, Aros, Tuercas, Tornillos, Lijada, Aplicación De Anticorrosivos, Bases Y Acabado En Pintura De Esmalte</v>
          </cell>
          <cell r="E962" t="str">
            <v>UN</v>
          </cell>
          <cell r="F962">
            <v>300000</v>
          </cell>
          <cell r="G962">
            <v>41075</v>
          </cell>
        </row>
        <row r="963">
          <cell r="C963">
            <v>1820</v>
          </cell>
          <cell r="D963" t="str">
            <v>Juegos - Desmonte, Reparación Y Mantenimiento De Sube Y Baja, Con Estructura De Madera Pino Pátula, Herrajes Y Aros, Incluye Reposición De Sillas Y Barra De Agarre, Elementos De Estructura De Madera, Galvanizados, Aros, Tuercas, Tornillos, Lijada, Aplicación De Anticorrosivos, Bases Y Acabado En Pintura De Esmalte</v>
          </cell>
          <cell r="E963" t="str">
            <v>UN</v>
          </cell>
          <cell r="F963">
            <v>300000</v>
          </cell>
          <cell r="G963">
            <v>41075</v>
          </cell>
        </row>
        <row r="964">
          <cell r="C964">
            <v>1821</v>
          </cell>
          <cell r="D964" t="str">
            <v>Juegos - Suministro E Instalación De Túnel Longitud 2.00 Metros, En Madera Pino Pátula, Con Aros, Incluye Herrajes, Tornillos De Fijación Y Acabado En Pintura De Esmalte.</v>
          </cell>
          <cell r="E964" t="str">
            <v>UN</v>
          </cell>
          <cell r="F964">
            <v>600000</v>
          </cell>
          <cell r="G964">
            <v>41075</v>
          </cell>
        </row>
        <row r="965">
          <cell r="C965">
            <v>1822</v>
          </cell>
          <cell r="D965" t="str">
            <v>Zapata De 1.50 X 1.50 X 0.40 Metros, En Concreto De 3000 Psi, Con Acero De Refuerzo Varillas De 1/2" A Cada 0.10 Metros En Ambos Sentidos</v>
          </cell>
          <cell r="E965" t="str">
            <v>UN</v>
          </cell>
          <cell r="F965">
            <v>517817.93</v>
          </cell>
          <cell r="G965">
            <v>41697</v>
          </cell>
        </row>
        <row r="966">
          <cell r="C966">
            <v>1823</v>
          </cell>
          <cell r="D966" t="str">
            <v>Pedestal De 0.80 X 0.80 X 0.70 Metros, En Concreto De 3000 Psi, Reforzado Con 8 Varillas De 5/8" Y Estribos De 3/8" A Cada 0.15 Metros</v>
          </cell>
          <cell r="E966" t="str">
            <v>UN</v>
          </cell>
          <cell r="F966">
            <v>281700.46000000002</v>
          </cell>
          <cell r="G966">
            <v>41680</v>
          </cell>
        </row>
        <row r="967">
          <cell r="C967">
            <v>1824</v>
          </cell>
          <cell r="D967" t="str">
            <v>Viga De Cimiento En Concreto De 3000 Psi De 0.40 X 0.40 Metros, Incluye 4 Varillas De 5/8" Estribos De 3/8" A Cada 0.20 Metros</v>
          </cell>
          <cell r="E967" t="str">
            <v>ML</v>
          </cell>
          <cell r="F967">
            <v>120282.94</v>
          </cell>
          <cell r="G967">
            <v>41799</v>
          </cell>
        </row>
        <row r="968">
          <cell r="C968">
            <v>1825</v>
          </cell>
          <cell r="D968" t="str">
            <v>Columna En Concreto De 3000 Psi De 0.40 X 0.60 Metros, Incluye 10 Varillas De 5/8" Estribos De 3/8" A Cada 0.10 Metros</v>
          </cell>
          <cell r="E968" t="str">
            <v>ML</v>
          </cell>
          <cell r="F968">
            <v>243532.01</v>
          </cell>
          <cell r="G968">
            <v>41016</v>
          </cell>
        </row>
        <row r="969">
          <cell r="C969">
            <v>1826</v>
          </cell>
          <cell r="D969" t="str">
            <v>Viga En Concreto De 3000 Psi, De 0.60 X 0.40 Metros, Incluye Acero De Refuerzo 8 Varillas De 5/8" Y Estribos De 3/8" A Cada 0.10 Metros</v>
          </cell>
          <cell r="E969" t="str">
            <v>ML</v>
          </cell>
          <cell r="F969">
            <v>219018.67</v>
          </cell>
          <cell r="G969">
            <v>41569</v>
          </cell>
        </row>
        <row r="970">
          <cell r="C970">
            <v>1827</v>
          </cell>
          <cell r="D970" t="str">
            <v>Viga En Concreto De 3000 Psi De 0.30 X 0.60 Metros, Incluye Acero De Refuerzo 4 Varillas De 5/8" Estribos De 3/8" A Cada 0.10 Metros</v>
          </cell>
          <cell r="E970" t="str">
            <v>ML</v>
          </cell>
          <cell r="F970">
            <v>165417.38</v>
          </cell>
          <cell r="G970">
            <v>41334</v>
          </cell>
        </row>
        <row r="971">
          <cell r="C971">
            <v>1828</v>
          </cell>
          <cell r="D971" t="str">
            <v>Mantenimiento De Ventana Corrediza De Aluminio Anodizado De 4.00 X 1.00 Metros, Incluye Felpa, Rodamiento, Tornilleria Y Suministro E Instalacion De Cerradura</v>
          </cell>
          <cell r="E971" t="str">
            <v>UN</v>
          </cell>
          <cell r="F971">
            <v>150000</v>
          </cell>
          <cell r="G971">
            <v>41418</v>
          </cell>
        </row>
        <row r="972">
          <cell r="C972">
            <v>1829</v>
          </cell>
          <cell r="D972" t="str">
            <v>Escalera En Mamposteria De Ladrillo, Con Tres Peldaños, Pañetada Con Mortero 1:4, Plantilla De Piso En Concreto De 3000 Psi E = 0.05 Metros</v>
          </cell>
          <cell r="E972" t="str">
            <v>M2</v>
          </cell>
          <cell r="F972">
            <v>106859.13</v>
          </cell>
          <cell r="G972">
            <v>41590</v>
          </cell>
        </row>
        <row r="973">
          <cell r="C973">
            <v>1830</v>
          </cell>
          <cell r="D973" t="str">
            <v>Demolición Manual De Estructura En Concreto</v>
          </cell>
          <cell r="E973" t="str">
            <v>M3</v>
          </cell>
          <cell r="F973">
            <v>75733.33</v>
          </cell>
          <cell r="G973">
            <v>41270</v>
          </cell>
        </row>
        <row r="974">
          <cell r="C974">
            <v>1831</v>
          </cell>
          <cell r="D974" t="str">
            <v>Concreto De 3500 Psi</v>
          </cell>
          <cell r="E974" t="str">
            <v>M3</v>
          </cell>
          <cell r="F974">
            <v>335603.04</v>
          </cell>
          <cell r="G974">
            <v>42438</v>
          </cell>
        </row>
        <row r="975">
          <cell r="C975">
            <v>1834</v>
          </cell>
          <cell r="D975" t="str">
            <v>Columna En Concreto De 3500 Psi Con Diámetro De 0.30 Metros, Incluye Acelerante Y Acero De Refuerzo</v>
          </cell>
          <cell r="E975" t="str">
            <v>ML</v>
          </cell>
          <cell r="F975">
            <v>145122.92000000001</v>
          </cell>
          <cell r="G975">
            <v>41016</v>
          </cell>
        </row>
        <row r="976">
          <cell r="C976">
            <v>1835</v>
          </cell>
          <cell r="D976" t="str">
            <v>Pedestal En Concreto De 3500 Psi, Con Diametro De 0.70 Metros Altura 0.80 Metros, Incluye Acelerante Y Acero De Refuerzo</v>
          </cell>
          <cell r="E976" t="str">
            <v>UN</v>
          </cell>
          <cell r="F976">
            <v>180847.34</v>
          </cell>
          <cell r="G976">
            <v>41045</v>
          </cell>
        </row>
        <row r="977">
          <cell r="C977">
            <v>1837</v>
          </cell>
          <cell r="D977" t="str">
            <v>Suministro E Instalación De Cielo Raso En Lámina Superboard, Con Estructura Metálica Y Perfil Omega A Cada 0.61 Metros.</v>
          </cell>
          <cell r="E977" t="str">
            <v>M2</v>
          </cell>
          <cell r="F977">
            <v>44779.15</v>
          </cell>
          <cell r="G977">
            <v>42472</v>
          </cell>
        </row>
        <row r="978">
          <cell r="C978">
            <v>1838</v>
          </cell>
          <cell r="D978" t="str">
            <v>Suministro E Instalación De Puerta División De Acero Inoxidable Para Baños, En Lámina De Acero Inoxidable Aisi Tipo 304, Calibre 20, Antimagnético Y Resistente A La Corrosión, Entamborado De 1" De Ancho Con Relleno Interno En Lámina De Icopor (0.552 Mts2)</v>
          </cell>
          <cell r="E978" t="str">
            <v>M2</v>
          </cell>
          <cell r="F978">
            <v>115838.74</v>
          </cell>
          <cell r="G978">
            <v>41935</v>
          </cell>
        </row>
        <row r="979">
          <cell r="C979">
            <v>1839</v>
          </cell>
          <cell r="D979" t="str">
            <v>Ornamentacion Y Jardineria - Siembra De Fraylejon Incluye Proceso De Pega, Crecimiento Y Fertilizantes</v>
          </cell>
          <cell r="E979" t="str">
            <v>UN</v>
          </cell>
          <cell r="F979">
            <v>6000</v>
          </cell>
          <cell r="G979">
            <v>40501</v>
          </cell>
        </row>
        <row r="980">
          <cell r="C980">
            <v>1840</v>
          </cell>
          <cell r="D980" t="str">
            <v>Ornamentacion Y Jardineria - Siembra De  Planta De Helecho, Incluye Transporte, Pega , Crecimiento Y Fertilizantes</v>
          </cell>
          <cell r="E980" t="str">
            <v>UN</v>
          </cell>
          <cell r="F980">
            <v>17000</v>
          </cell>
          <cell r="G980">
            <v>42241</v>
          </cell>
        </row>
        <row r="981">
          <cell r="C981">
            <v>1841</v>
          </cell>
          <cell r="D981" t="str">
            <v>Columna En Concreto De 3000 Psi Con Diametro De 0.30 Metros, No Incluye Acero De Refuerzo</v>
          </cell>
          <cell r="E981" t="str">
            <v>ML</v>
          </cell>
          <cell r="F981">
            <v>67374.91</v>
          </cell>
          <cell r="G981">
            <v>41016</v>
          </cell>
        </row>
        <row r="982">
          <cell r="C982">
            <v>1842</v>
          </cell>
          <cell r="D982" t="str">
            <v>Cimiento En Concreto Ciclópeo 60% Concreto De 3000 Psi, 40% Piedra De Cimiento, De 0.40 X 0.40 Metros</v>
          </cell>
          <cell r="E982" t="str">
            <v>ML</v>
          </cell>
          <cell r="F982">
            <v>48811.62</v>
          </cell>
          <cell r="G982">
            <v>41927</v>
          </cell>
        </row>
        <row r="983">
          <cell r="C983">
            <v>1844</v>
          </cell>
          <cell r="D983" t="str">
            <v>Piso En Adoquín Tipo Exagonal Peatonal E = 0.06 Metros, Con Borde De Confinamiento De 0.15 X 0.30 Metros En Concreto De 3000 Psi A Cada 3.00 Metros, Reforzado Con 2 Varillas D = 3/8" Y Estribos D = 1/4" A Cada 0.32 Metros</v>
          </cell>
          <cell r="E983" t="str">
            <v>M2</v>
          </cell>
          <cell r="F983">
            <v>86372.12</v>
          </cell>
          <cell r="G983">
            <v>42314</v>
          </cell>
        </row>
        <row r="984">
          <cell r="C984">
            <v>1845</v>
          </cell>
          <cell r="D984" t="str">
            <v>Andén En Gramoquín, Con Borde De Confinamiento A Ambos Lados De 0.15 X 0.30 Metros En Concreto De 3000 Psi, Reforzado Con 2 Varillas D = 3/8" Y Estribos D =1/4" A Cada 0.32 Metros</v>
          </cell>
          <cell r="E984" t="str">
            <v>M2</v>
          </cell>
          <cell r="F984">
            <v>81225.960000000006</v>
          </cell>
          <cell r="G984">
            <v>42067</v>
          </cell>
        </row>
        <row r="985">
          <cell r="C985">
            <v>1847</v>
          </cell>
          <cell r="D985" t="str">
            <v>Viga De Cimiento En Concreto De 3000 Psi, De 0.20 X 0.15 Metros, Incluye 4 Varillas D = 1/2", Estribos D = 3/8" A Cada 0.20 Metros</v>
          </cell>
          <cell r="E985" t="str">
            <v>ML</v>
          </cell>
          <cell r="F985">
            <v>49488.26</v>
          </cell>
          <cell r="G985">
            <v>41075</v>
          </cell>
        </row>
        <row r="986">
          <cell r="C986">
            <v>1848</v>
          </cell>
          <cell r="D986" t="str">
            <v>Viga De Amarre En Concreto De 3000 Psi  De 0.15 X 0.20 Metros, Incluye Acero De Refuerzo 4 Varillas D = 1/2", Estribos D = 3/8" A Cada 0.20 Metros</v>
          </cell>
          <cell r="E986" t="str">
            <v>ML</v>
          </cell>
          <cell r="F986">
            <v>55166.59</v>
          </cell>
          <cell r="G986">
            <v>42496</v>
          </cell>
        </row>
        <row r="987">
          <cell r="C987">
            <v>1849</v>
          </cell>
          <cell r="D987" t="str">
            <v>Juegos - Desmonte, Reparación Y Mantenimiento De Módulo 15, Incluye Reposición De Materiales, Elementos De Estructura De Madera, Aros, Tuercas, Tornillos, Lijada, Aplicación De Anticorrosivos, Bases Y Cabados En Pintura De Esmaltes</v>
          </cell>
          <cell r="E987" t="str">
            <v>UN</v>
          </cell>
          <cell r="F987">
            <v>600000</v>
          </cell>
          <cell r="G987">
            <v>41075</v>
          </cell>
        </row>
        <row r="988">
          <cell r="C988">
            <v>1850</v>
          </cell>
          <cell r="D988" t="str">
            <v>Suministro E Instalación Puerta En Aluminio Anodizado Natural, Bronce O Blanco, Incluye Vidriotemplado De Seguridad De 10 Mm, Color Azul Oceano O Lago Y Cerradura.</v>
          </cell>
          <cell r="E988" t="str">
            <v>M2</v>
          </cell>
          <cell r="F988">
            <v>550000</v>
          </cell>
          <cell r="G988">
            <v>42403</v>
          </cell>
        </row>
        <row r="989">
          <cell r="C989">
            <v>1851</v>
          </cell>
          <cell r="D989" t="str">
            <v>Suministro E Instalación De Ventana En Aluminio Anodizado Natural, Bronce O Blanco Incluye Vidrio De 6 Mm., Azul Oceano O Lago, Un Cuerpo Fijo Y Dos Corredizos</v>
          </cell>
          <cell r="E989" t="str">
            <v>M2</v>
          </cell>
          <cell r="F989">
            <v>208655.89</v>
          </cell>
          <cell r="G989">
            <v>41821</v>
          </cell>
        </row>
        <row r="990">
          <cell r="C990">
            <v>1852</v>
          </cell>
          <cell r="D990" t="str">
            <v>Desmonte De Pasamanos De Madera En Escalera Y Retiro De Material</v>
          </cell>
          <cell r="E990" t="str">
            <v>ML</v>
          </cell>
          <cell r="F990">
            <v>4081.25</v>
          </cell>
          <cell r="G990">
            <v>41016</v>
          </cell>
        </row>
        <row r="991">
          <cell r="C991">
            <v>1853</v>
          </cell>
          <cell r="D991" t="str">
            <v>Suministro E Instalación De Baranda Pasamanos Altura 1.00 Metros, En Tubo De Acero Inoxidable De 2" De Diámetro Externo, Parales, Flanches En Platina De Acero Inoxidable De 1" X 3/16", Anclados A Muro  Con Pernos De Anclaje De 3/8" X 2" Cubiertos Con Escudos Troquelados De Acero Inoxidable</v>
          </cell>
          <cell r="E991" t="str">
            <v>ML</v>
          </cell>
          <cell r="F991">
            <v>225000</v>
          </cell>
          <cell r="G991">
            <v>42578</v>
          </cell>
        </row>
        <row r="992">
          <cell r="C992">
            <v>1854</v>
          </cell>
          <cell r="D992" t="str">
            <v>Desmonte De Ventana En Aluminio Altura &gt; 3.00 Metros, Incluye Vidrios Y Retiro De Material</v>
          </cell>
          <cell r="E992" t="str">
            <v>M2</v>
          </cell>
          <cell r="F992">
            <v>15050.83</v>
          </cell>
          <cell r="G992">
            <v>42403</v>
          </cell>
        </row>
        <row r="993">
          <cell r="C993">
            <v>1855</v>
          </cell>
          <cell r="D993" t="str">
            <v>Suministro E Instalación De Cercha En Madera De Abarco, De 7.40 Metros De Luz, Altura 1.50 Metros, Para Soportar Estructura Convencional Para La Colocación De Láminas Onduladas De Asbesto Cemento, Perfil 7</v>
          </cell>
          <cell r="E993" t="str">
            <v>UN</v>
          </cell>
          <cell r="F993">
            <v>568175.5</v>
          </cell>
          <cell r="G993">
            <v>41067</v>
          </cell>
        </row>
        <row r="994">
          <cell r="C994">
            <v>1856</v>
          </cell>
          <cell r="D994" t="str">
            <v>Fumigacion De Area Afectada Con Comejen, Polilla Y Carcoma, Con Aplicacion De Inmunizante, Con Caracter Curativo Y Preventivo, Sistema De Aspersión Y Seguimiento, Garantizado Por 6 Meses</v>
          </cell>
          <cell r="E994" t="str">
            <v>M2</v>
          </cell>
          <cell r="F994">
            <v>550</v>
          </cell>
          <cell r="G994">
            <v>40521</v>
          </cell>
        </row>
        <row r="995">
          <cell r="C995">
            <v>1857</v>
          </cell>
          <cell r="D995" t="str">
            <v>Retiro Manual De Material De Piedra Para Otro Sitio De La Obra</v>
          </cell>
          <cell r="E995" t="str">
            <v>M3</v>
          </cell>
          <cell r="F995">
            <v>40802.5</v>
          </cell>
          <cell r="G995">
            <v>41038</v>
          </cell>
        </row>
        <row r="996">
          <cell r="C996">
            <v>1860</v>
          </cell>
          <cell r="D996" t="str">
            <v>Juegos - Suministro E Instalación De Bancas Inclinadas Para Abdominales De Longitud 2.00 X 0.35 Metros, Con Perfil Abierto "C" En Acero De 2" X 4" X 2Mm, Asiento En Madera De Pino De 2" X 8", Anclada Con Tubería Galvanizada De 2"  Y 1 1/2", Acero De 3/8" Para Fijación Y Base En Concreto De 2500 Psi De 0.50 X 0.50 X 0.15 Metros (Segun Diseño)</v>
          </cell>
          <cell r="E996" t="str">
            <v>UN</v>
          </cell>
          <cell r="F996">
            <v>559074.05000000005</v>
          </cell>
          <cell r="G996">
            <v>41075</v>
          </cell>
        </row>
        <row r="997">
          <cell r="C997">
            <v>1861</v>
          </cell>
          <cell r="D997" t="str">
            <v>Juegos - Suministro E Instalación De Bancas Para Flexión De Pecho  De Longitud 2.10 X 0.35 Metros, Con Perfil Abierto "C" En Acero De 2" X 4" X 2Mm, Asiento En Madera De Pino De 2" X 8", Anclada Con Tubería Galvanizada De 2"  Y 1 1/2", Acero De 3/8" Para Fijación Y Base En Concreto De 2500 Psi De 0.50 X 0.50 X 0.15 Metros (Segun Diseño)</v>
          </cell>
          <cell r="E997" t="str">
            <v>UN</v>
          </cell>
          <cell r="F997">
            <v>531331.30000000005</v>
          </cell>
          <cell r="G997">
            <v>41075</v>
          </cell>
        </row>
        <row r="998">
          <cell r="C998">
            <v>1863</v>
          </cell>
          <cell r="D998" t="str">
            <v>Suministro E Instalación De Divisiones En Acero Inoxidable Para Baños De Mujeres (Ver Diseño) Compuesta De: 1 Puerta De 1.50 Metros De Altura Por 0.80 Metros De Largo Y 0.62 Metros De Tabiques Frontales X 1.80 Metros De Altura, En Lámina De Acero Inoxidable Aisi Tipo 304 Calibre 20, Antimagnético Y Resistente A La Corrosión, Entamborado De 1" De Ancho Con Relleno Interno En Lámina De Icopor (2.361 Mts2)</v>
          </cell>
          <cell r="E998" t="str">
            <v>UN</v>
          </cell>
          <cell r="F998">
            <v>1100000</v>
          </cell>
          <cell r="G998">
            <v>41067</v>
          </cell>
        </row>
        <row r="999">
          <cell r="C999">
            <v>1864</v>
          </cell>
          <cell r="D999" t="str">
            <v>Suministro E Instalación De Divisiones En Acero Inoxidable Para Baños De Hombres (Ver Diseño) Compuesta De: 2 Puerta De 1.50 Metros De Altura Por 0.80 Metros De Largo Un Separador Interno De 1.50 Metros De Altura X 1.40 Metros De Largo, Y 0.93 Metros De Tabiques Frontales X 1.80 Metros De Altura, En Lámina De Acero Inoxidable Aisi Tipo 304 Calibre 20, Antimagnético Y Resistente A La Corrosion, Entamborado De 1" De Ancho Con Relleno Interno En Lámina De Icopor (6.174 Mts2)</v>
          </cell>
          <cell r="E999" t="str">
            <v>UN</v>
          </cell>
          <cell r="F999">
            <v>2950000</v>
          </cell>
          <cell r="G999">
            <v>41767</v>
          </cell>
        </row>
        <row r="1000">
          <cell r="C1000">
            <v>1865</v>
          </cell>
          <cell r="D1000" t="str">
            <v>Suministro E Instalación De Divisiones En Acero Inoxidable Para Baños De Hombres (Ver Diseño) Separador De Orinal Compuesta De: 2 Separadores De 0.46 Metros De Largo X 1.20 Metros De Altura En Lámina De Acero Inoxidable Aisi Tipo 304 Calibre 20, Antimagnético Y Resistente A La Corrosión, Entamborado De 1" De Ancho Con Relleno Interno En Lámina De Icopor (0.552 Mts2)</v>
          </cell>
          <cell r="E1000" t="str">
            <v>UN</v>
          </cell>
          <cell r="F1000">
            <v>530000</v>
          </cell>
          <cell r="G1000">
            <v>42572</v>
          </cell>
        </row>
        <row r="1001">
          <cell r="C1001">
            <v>1866</v>
          </cell>
          <cell r="D1001" t="str">
            <v>Pavimento En Concreto Mr = 600 Psi, E = 0.20 Metros, Incluye Pasadores D = 1" - Longitud 0.35 Metros A Cada 0.30 Metros Y D = 1/2" - Longitud 0.85 Metros A Cada 1.20 Metros, Parrilla De 1/2" A Cada 0.40 Metros En Ambos Sentidos, Junta En Silicona Y Antisol</v>
          </cell>
          <cell r="E1001" t="str">
            <v>M2</v>
          </cell>
          <cell r="F1001">
            <v>152458.69</v>
          </cell>
          <cell r="G1001">
            <v>42524</v>
          </cell>
        </row>
        <row r="1002">
          <cell r="C1002">
            <v>1867</v>
          </cell>
          <cell r="D1002" t="str">
            <v>Bordillo En Concreto Mr = 500 Psi Premezclado Y Transportado Al Sitio, De 0.15 X .040 Metros, Incluye Acero De 3/8" Longitudinal Y Grapas De 3/8" A Cada 0.50 Metros</v>
          </cell>
          <cell r="E1002" t="str">
            <v>ML</v>
          </cell>
          <cell r="F1002">
            <v>63195.51</v>
          </cell>
          <cell r="G1002">
            <v>41026</v>
          </cell>
        </row>
        <row r="1003">
          <cell r="C1003">
            <v>1868</v>
          </cell>
          <cell r="D1003" t="str">
            <v>Desmonte De Malla De Cerramiento Y Retiro De Material</v>
          </cell>
          <cell r="E1003" t="str">
            <v>M2</v>
          </cell>
          <cell r="F1003">
            <v>6661.83</v>
          </cell>
          <cell r="G1003">
            <v>42314</v>
          </cell>
        </row>
        <row r="1004">
          <cell r="C1004">
            <v>1869</v>
          </cell>
          <cell r="D1004" t="str">
            <v>Suministro, Instalación Y Montaje De Reja En Aluminio, Con Parales Verticales A Cada 1.50 Metros De 2" X 2", Y De 1" X 1" A Cada 0.15 Metros, Parales Horizontales De Amarre De 2" X 1" A Una Distancia De 1.00 Metro Incluye Transporte (Segun Diseño).</v>
          </cell>
          <cell r="E1004" t="str">
            <v>M2</v>
          </cell>
          <cell r="F1004">
            <v>120000</v>
          </cell>
          <cell r="G1004">
            <v>41912</v>
          </cell>
        </row>
        <row r="1005">
          <cell r="C1005">
            <v>1889</v>
          </cell>
          <cell r="D1005" t="str">
            <v>E - Suministro, Instalación Y Montaje De Pararrayo Tipo T-8, Con Bajante En Cable 2/0 Desnudo</v>
          </cell>
          <cell r="E1005" t="str">
            <v>UN</v>
          </cell>
          <cell r="F1005">
            <v>1219712.3400000001</v>
          </cell>
          <cell r="G1005">
            <v>41451</v>
          </cell>
        </row>
        <row r="1006">
          <cell r="C1006">
            <v>1890</v>
          </cell>
          <cell r="D1006" t="str">
            <v>Remodelación De Tablero General, Incluye Platina De Cobre De 1/4" X 2" X 3.00 Metro, Breacker Industriales: 2 De 3*150 Tablero De Distribucion Normal (Tdn-1), 2 De 3*50 Tablero De Distribucion Normal (Tdn-2) Y Tablero De Distribucion (Td1-1), 3De 3*60 Tablero De Distribucion Regulada (Tdr-1) Incluye Traslado (Ver Diseño)</v>
          </cell>
          <cell r="E1006" t="str">
            <v>UN</v>
          </cell>
          <cell r="F1006">
            <v>3014125</v>
          </cell>
          <cell r="G1006">
            <v>41067</v>
          </cell>
        </row>
        <row r="1007">
          <cell r="C1007">
            <v>1891</v>
          </cell>
          <cell r="D1007" t="str">
            <v>E - Acometida De Transformador A Tablero  General 2#2/0(F)+2#2/0+1#1/0(T) (Ver Diseño)</v>
          </cell>
          <cell r="E1007" t="str">
            <v>ML</v>
          </cell>
          <cell r="F1007">
            <v>318412.93</v>
          </cell>
          <cell r="G1007">
            <v>41451</v>
          </cell>
        </row>
        <row r="1008">
          <cell r="C1008">
            <v>1892</v>
          </cell>
          <cell r="D1008" t="str">
            <v>Nivelacion, Replanteo Y Señalizacion Aplicado En El Mantenimiento Vial</v>
          </cell>
          <cell r="E1008" t="str">
            <v>M2</v>
          </cell>
          <cell r="F1008">
            <v>4182.59</v>
          </cell>
          <cell r="G1008">
            <v>41019</v>
          </cell>
        </row>
        <row r="1009">
          <cell r="C1009">
            <v>1896</v>
          </cell>
          <cell r="D1009" t="str">
            <v>Regata O Canal Para Embonar Tubería, Cable O Canales,  En Muros, Pisos Y Otros, Incluye Resane</v>
          </cell>
          <cell r="E1009" t="str">
            <v>ML</v>
          </cell>
          <cell r="F1009">
            <v>10614.05</v>
          </cell>
          <cell r="G1009">
            <v>42472</v>
          </cell>
        </row>
        <row r="1010">
          <cell r="C1010">
            <v>1897</v>
          </cell>
          <cell r="D1010" t="str">
            <v>E - Alimentador De Tablero De Distribución Normal (Tdn) 3#6+N#8+T#8 En Tuberia Conduit Pvc De 1 1/2", Incluye Regata Y Resane</v>
          </cell>
          <cell r="E1010" t="str">
            <v>ML</v>
          </cell>
          <cell r="F1010">
            <v>35799.300000000003</v>
          </cell>
          <cell r="G1010">
            <v>41451</v>
          </cell>
        </row>
        <row r="1011">
          <cell r="C1011">
            <v>1898</v>
          </cell>
          <cell r="D1011" t="str">
            <v>E - Alimentador De Tablero De Distribución Normal Tdn2, 3#8+N#8+T#10, En Tubería Conduit Pvc De 1 1/2"Incluye Regata Y Resane</v>
          </cell>
          <cell r="E1011" t="str">
            <v>ML</v>
          </cell>
          <cell r="F1011">
            <v>22279.61</v>
          </cell>
          <cell r="G1011">
            <v>41451</v>
          </cell>
        </row>
        <row r="1012">
          <cell r="C1012">
            <v>1899</v>
          </cell>
          <cell r="D1012" t="str">
            <v>E - Alimentador A Ups 3#6+N#4+T#8 En Tubería Conduit Pvc De 1 1/2", Incluye Regata Y Resane</v>
          </cell>
          <cell r="E1012" t="str">
            <v>ML</v>
          </cell>
          <cell r="F1012">
            <v>42212.14</v>
          </cell>
          <cell r="G1012">
            <v>41451</v>
          </cell>
        </row>
        <row r="1013">
          <cell r="C1013">
            <v>1900</v>
          </cell>
          <cell r="D1013" t="str">
            <v>E - Alimentador De Tablero De Distribución Regulada (Tdr) 3#6+N#6+T#8, En Tubería Conduit Pvc De 1 1/2", Incluye Regata Y Resane</v>
          </cell>
          <cell r="E1013" t="str">
            <v>ML</v>
          </cell>
          <cell r="F1013">
            <v>37671.18</v>
          </cell>
          <cell r="G1013">
            <v>41737</v>
          </cell>
        </row>
        <row r="1014">
          <cell r="C1014">
            <v>1901</v>
          </cell>
          <cell r="D1014" t="str">
            <v>E - Suministro E Instalación De Tablero De Distribución Trifásica De 24 Circuitos (Tdn - 1/Tdi-1) (Segun Diseño)</v>
          </cell>
          <cell r="E1014" t="str">
            <v>UN</v>
          </cell>
          <cell r="F1014">
            <v>383496.8</v>
          </cell>
          <cell r="G1014">
            <v>41451</v>
          </cell>
        </row>
        <row r="1015">
          <cell r="C1015">
            <v>1902</v>
          </cell>
          <cell r="D1015" t="str">
            <v>E - Suministro E Instalación De Tablero De Distribución Trifásica De 18 Circuitos Tdn-2 ( Segun Diseño)</v>
          </cell>
          <cell r="E1015" t="str">
            <v>UN</v>
          </cell>
          <cell r="F1015">
            <v>369186.2</v>
          </cell>
          <cell r="G1015">
            <v>41451</v>
          </cell>
        </row>
        <row r="1016">
          <cell r="C1016">
            <v>1903</v>
          </cell>
          <cell r="D1016" t="str">
            <v>Suministro E Instalación De Tablero De Distribución Trifásica De 18 Circuitos Con Espacio Para Totalizador, Incluye Breaker De 3*50 Amp (Tdr-1) (Segun Diseño)</v>
          </cell>
          <cell r="E1016" t="str">
            <v>UN</v>
          </cell>
          <cell r="F1016">
            <v>380050.25</v>
          </cell>
          <cell r="G1016">
            <v>41068</v>
          </cell>
        </row>
        <row r="1017">
          <cell r="C1017">
            <v>1904</v>
          </cell>
          <cell r="D1017" t="str">
            <v>Cofre De 0.28 X 0.18 X 0.16 Metros, De Doble Fondo Y Cerradura, Incluye Breaker De 3*60 Amperios (Entrada A Ups)</v>
          </cell>
          <cell r="E1017" t="str">
            <v>UN</v>
          </cell>
          <cell r="F1017">
            <v>386554.65</v>
          </cell>
          <cell r="G1017">
            <v>40596</v>
          </cell>
        </row>
        <row r="1018">
          <cell r="C1018">
            <v>1905</v>
          </cell>
          <cell r="D1018" t="str">
            <v>E - Salida Regulada De 120V (En Cable Thhn 2# 12 + 1#14T), Con Promedio Al Tablero De 14.00 Metros, Incluye Regata Y Resane (Segun Diseño)</v>
          </cell>
          <cell r="E1018" t="str">
            <v>UN</v>
          </cell>
          <cell r="F1018">
            <v>132154.76999999999</v>
          </cell>
          <cell r="G1018">
            <v>42496</v>
          </cell>
        </row>
        <row r="1019">
          <cell r="C1019">
            <v>1906</v>
          </cell>
          <cell r="D1019" t="str">
            <v>E - Salida De 220V (En Cable Thhn 2# 10 + 1# 12) Para Iluminación, Con Promedio Al Tablero De 15.00 Metros, Para Iluminación Exterior, Incluye Regata Y Resane (Segun Diseño)</v>
          </cell>
          <cell r="E1019" t="str">
            <v>UN</v>
          </cell>
          <cell r="F1019">
            <v>157174.28</v>
          </cell>
          <cell r="G1019">
            <v>42496</v>
          </cell>
        </row>
        <row r="1020">
          <cell r="C1020">
            <v>1907</v>
          </cell>
          <cell r="D1020" t="str">
            <v>E - Suministro E Instalación De Tablero De Aire Acondicionado, Incluye Cofre De 0.50 X 0.30 X 0.25 De Doble Fondo Y Cerradura, Barraje De 200 Amperios, Totalizador De 150 Amperios, 3 Breaker Atornillable De 2X 50 Amperios ( Ver Diseño)</v>
          </cell>
          <cell r="E1020" t="str">
            <v>UN</v>
          </cell>
          <cell r="F1020">
            <v>1124003.33</v>
          </cell>
          <cell r="G1020">
            <v>41451</v>
          </cell>
        </row>
        <row r="1021">
          <cell r="C1021">
            <v>1908</v>
          </cell>
          <cell r="D1021" t="str">
            <v>E - Suministro E Instalación De Tablero De Distribución Trifásica De 18 Circuitos Con Espacio Para Totalizador, Incluye Breaker De 3*150 Amperios (Ta-2), Regata Y Resane, (Segun Diseño)</v>
          </cell>
          <cell r="E1021" t="str">
            <v>UN</v>
          </cell>
          <cell r="F1021">
            <v>802643.95</v>
          </cell>
          <cell r="G1021">
            <v>41451</v>
          </cell>
        </row>
        <row r="1022">
          <cell r="C1022">
            <v>1909</v>
          </cell>
          <cell r="D1022" t="str">
            <v>E - Alimentador A Tablero De Aire Acondicionado 3#1/0 + 1#2T, Tubería Conduit Pvc De 2", Incluye Regata Y Resane</v>
          </cell>
          <cell r="E1022" t="str">
            <v>ML</v>
          </cell>
          <cell r="F1022">
            <v>110182.89</v>
          </cell>
          <cell r="G1022">
            <v>41737</v>
          </cell>
        </row>
        <row r="1023">
          <cell r="C1023">
            <v>1910</v>
          </cell>
          <cell r="D1023" t="str">
            <v>E - Alimentador A Aire Acondicionado Central Y Aire Piso Techo Para Aire Acondicionado 3#8 + 1#10, Tubería Conduit Pvc De 1", Incluye Regata Y Resane</v>
          </cell>
          <cell r="E1023" t="str">
            <v>ML</v>
          </cell>
          <cell r="F1023">
            <v>21756.69</v>
          </cell>
          <cell r="G1023">
            <v>41569</v>
          </cell>
        </row>
        <row r="1024">
          <cell r="C1024">
            <v>1911</v>
          </cell>
          <cell r="D1024" t="str">
            <v>E - Alimentador A Condensadoras, Cable 3#12, Tuberia Conduit Pvc De 1", Incluye Regata Y Resane</v>
          </cell>
          <cell r="E1024" t="str">
            <v>ML</v>
          </cell>
          <cell r="F1024">
            <v>14988.98</v>
          </cell>
          <cell r="G1024">
            <v>41451</v>
          </cell>
        </row>
        <row r="1025">
          <cell r="C1025">
            <v>1912</v>
          </cell>
          <cell r="D1025" t="str">
            <v>E - Salida De 220 Voltios (En Cable Thhn 2#10 + 1#12), Con Promedio Al Tablero De 20.00 Metros, Incluye Tomacorriente,  Regata Y Resane</v>
          </cell>
          <cell r="E1025" t="str">
            <v>UN</v>
          </cell>
          <cell r="F1025">
            <v>234270.99</v>
          </cell>
          <cell r="G1025">
            <v>41737</v>
          </cell>
        </row>
        <row r="1026">
          <cell r="C1026">
            <v>1913</v>
          </cell>
          <cell r="D1026" t="str">
            <v>Valor Estimado Por Concepto De Solicitud De Carga A Transformador, O Estudio De La Conexión Que Genera Pago Con La Presentacion De La Factura Cancelada A Electricaribe</v>
          </cell>
          <cell r="E1026" t="str">
            <v>GL</v>
          </cell>
          <cell r="F1026">
            <v>3500000</v>
          </cell>
          <cell r="G1026">
            <v>42447</v>
          </cell>
        </row>
        <row r="1027">
          <cell r="C1027">
            <v>1914</v>
          </cell>
          <cell r="D1027" t="str">
            <v>Valor Estimado Por Concepto De Estudios Y Trámites Del Sistema Eléctrico Retilap Que Genera Pago Con La Presentación De La Factura Cancelada A Electricaribe</v>
          </cell>
          <cell r="E1027" t="str">
            <v>GL</v>
          </cell>
          <cell r="F1027">
            <v>31180800</v>
          </cell>
          <cell r="G1027">
            <v>42529</v>
          </cell>
        </row>
        <row r="1028">
          <cell r="C1028">
            <v>1915</v>
          </cell>
          <cell r="D1028" t="str">
            <v>Valor Estimado Por Concepto De Certificado Retie, Que Genera Pago Con La Presentacion De La Factura Cancelada A Electricaribe</v>
          </cell>
          <cell r="E1028" t="str">
            <v>GL</v>
          </cell>
          <cell r="F1028">
            <v>22448552</v>
          </cell>
          <cell r="G1028">
            <v>42529</v>
          </cell>
        </row>
        <row r="1029">
          <cell r="C1029">
            <v>1916</v>
          </cell>
          <cell r="D1029" t="str">
            <v>E - Suministro E Instalación De Lámpara Tipo Tortuga De 1*20 Wattios</v>
          </cell>
          <cell r="E1029" t="str">
            <v>UN</v>
          </cell>
          <cell r="F1029">
            <v>56000</v>
          </cell>
          <cell r="G1029">
            <v>41737</v>
          </cell>
        </row>
        <row r="1030">
          <cell r="C1030">
            <v>1917</v>
          </cell>
          <cell r="D1030" t="str">
            <v>E - Suministro E Instalación De Bala Fluorescente De 2*26 Wattios</v>
          </cell>
          <cell r="E1030" t="str">
            <v>UN</v>
          </cell>
          <cell r="F1030">
            <v>108000</v>
          </cell>
          <cell r="G1030">
            <v>41451</v>
          </cell>
        </row>
        <row r="1031">
          <cell r="C1031">
            <v>1923</v>
          </cell>
          <cell r="D1031" t="str">
            <v>Pañete Allanado Sobre Muro Con Mortero 1:5, E =  0.05 Metros</v>
          </cell>
          <cell r="E1031" t="str">
            <v>M2</v>
          </cell>
          <cell r="F1031">
            <v>34502.699999999997</v>
          </cell>
          <cell r="G1031">
            <v>41037</v>
          </cell>
        </row>
        <row r="1032">
          <cell r="C1032">
            <v>1924</v>
          </cell>
          <cell r="D1032" t="str">
            <v>Demolición De Estructura Existente En Concreto, E = 0.40 A 0.60 Metros</v>
          </cell>
          <cell r="E1032" t="str">
            <v>M2</v>
          </cell>
          <cell r="F1032">
            <v>21663.33</v>
          </cell>
          <cell r="G1032">
            <v>41831</v>
          </cell>
        </row>
        <row r="1033">
          <cell r="C1033">
            <v>1925</v>
          </cell>
          <cell r="D1033" t="str">
            <v>Suministro E Instalación De Sardinel En Concreto Prefabricado De 0.50 X 0.20 X 0.80 Tipo Titan Ref. A10, Incluye Excavación, Base En Material Seleccionado Y Solado En Concreto De 2000 Psi</v>
          </cell>
          <cell r="E1033" t="str">
            <v>ML</v>
          </cell>
          <cell r="F1033">
            <v>97836.49</v>
          </cell>
          <cell r="G1033">
            <v>42241</v>
          </cell>
        </row>
        <row r="1034">
          <cell r="C1034">
            <v>1927</v>
          </cell>
          <cell r="D1034" t="str">
            <v>Suministro E Instalación De Sardinel En Concreto Prefabricado De 0.35 X 0.20 X 0.80 Tipo Titan Ref. A80 O Similar, Incluye Excavación, Base En Material Seleccionado Y Solado En Concreto De 2000 Psi</v>
          </cell>
          <cell r="E1034" t="str">
            <v>ML</v>
          </cell>
          <cell r="F1034">
            <v>90828.49</v>
          </cell>
          <cell r="G1034">
            <v>41354</v>
          </cell>
        </row>
        <row r="1035">
          <cell r="C1035">
            <v>1928</v>
          </cell>
          <cell r="D1035" t="str">
            <v>Suministro E Instalación De Bolardos Bajos En Concreto Prefabricado, Diametro 0.24 Metros, Longitud 0.83 Metros, Tipo Titan Ref.M60 (Gravilla Lavada)</v>
          </cell>
          <cell r="E1035" t="str">
            <v>UN</v>
          </cell>
          <cell r="F1035">
            <v>87957</v>
          </cell>
          <cell r="G1035">
            <v>42514</v>
          </cell>
        </row>
        <row r="1036">
          <cell r="C1036">
            <v>1929</v>
          </cell>
          <cell r="D1036" t="str">
            <v>Suministro E Instalación De Banca En Concreto Con Espaldar Metálico, Tipo Idu De 1.80 X 0.60 Metros, Titan  Ref M30 O Similar</v>
          </cell>
          <cell r="E1036" t="str">
            <v>UN</v>
          </cell>
          <cell r="F1036">
            <v>709090</v>
          </cell>
          <cell r="G1036">
            <v>42227</v>
          </cell>
        </row>
        <row r="1037">
          <cell r="C1037">
            <v>1930</v>
          </cell>
          <cell r="D1037" t="str">
            <v>Suministro E Instalación De Banca Modular Prefabricada En Concreto, Tipo Idu De 0.55 X 0.44 Metros, Titan  Ref M40</v>
          </cell>
          <cell r="E1037" t="str">
            <v>ML</v>
          </cell>
          <cell r="F1037">
            <v>252663.58</v>
          </cell>
          <cell r="G1037">
            <v>41067</v>
          </cell>
        </row>
        <row r="1038">
          <cell r="C1038">
            <v>1932</v>
          </cell>
          <cell r="D1038" t="str">
            <v>Plantilla De Piso En Concreto De 3000 Psi, En Color, E = 0.10</v>
          </cell>
          <cell r="E1038" t="str">
            <v>M2</v>
          </cell>
          <cell r="F1038">
            <v>59379</v>
          </cell>
          <cell r="G1038">
            <v>42572</v>
          </cell>
        </row>
        <row r="1039">
          <cell r="C1039">
            <v>1933</v>
          </cell>
          <cell r="D1039" t="str">
            <v>Plantilla En Concreto De 3500 Psi E = 0.10 Metros</v>
          </cell>
          <cell r="E1039" t="str">
            <v>M2</v>
          </cell>
          <cell r="F1039">
            <v>57043.65</v>
          </cell>
          <cell r="G1039">
            <v>42200</v>
          </cell>
        </row>
        <row r="1040">
          <cell r="C1040">
            <v>1938</v>
          </cell>
          <cell r="D1040" t="str">
            <v>Suministro E Instalación De Lavamanos Acuaser O Similar Con Grifería Push (Fluxómetro) Incluye Incrustaciones De Jabonera.</v>
          </cell>
          <cell r="E1040" t="str">
            <v>UN</v>
          </cell>
          <cell r="F1040">
            <v>324316.17</v>
          </cell>
          <cell r="G1040">
            <v>42578</v>
          </cell>
        </row>
        <row r="1041">
          <cell r="C1041">
            <v>1939</v>
          </cell>
          <cell r="D1041" t="str">
            <v>Suministro E Instalación De Sanitario Con Taza Adriática 1.28, De Color Blanco, Incluye Fluxometro Manual E Incrustación De Papelera</v>
          </cell>
          <cell r="E1041" t="str">
            <v>UN</v>
          </cell>
          <cell r="F1041">
            <v>768807</v>
          </cell>
          <cell r="G1041">
            <v>42314</v>
          </cell>
        </row>
        <row r="1042">
          <cell r="C1042">
            <v>1940</v>
          </cell>
          <cell r="D1042" t="str">
            <v>Suministro E Instalación De Orinal Santa Fé O Similar Para Fluxómetro, Incluye Grifería Push Antivandálica</v>
          </cell>
          <cell r="E1042" t="str">
            <v>UN</v>
          </cell>
          <cell r="F1042">
            <v>346900</v>
          </cell>
          <cell r="G1042">
            <v>42578</v>
          </cell>
        </row>
        <row r="1043">
          <cell r="C1043">
            <v>1941</v>
          </cell>
          <cell r="D1043" t="str">
            <v>Suministro E Instalación De Listón De Abarco De 2" X 2" X 15´, Medida Franca O Cepillado</v>
          </cell>
          <cell r="E1043" t="str">
            <v>ML</v>
          </cell>
          <cell r="F1043">
            <v>16667.95</v>
          </cell>
          <cell r="G1043">
            <v>41068</v>
          </cell>
        </row>
        <row r="1044">
          <cell r="C1044">
            <v>1944</v>
          </cell>
          <cell r="D1044" t="str">
            <v>E - Suministro E Instalación De Luminarias Exteriores Decorativas De 150 Watios De Sodio Tipo Rap, Incluye Poste De Tuberia Galvanizada De 4.00 Metros</v>
          </cell>
          <cell r="E1044" t="str">
            <v>UN</v>
          </cell>
          <cell r="F1044">
            <v>613255.5</v>
          </cell>
          <cell r="G1044">
            <v>41912</v>
          </cell>
        </row>
        <row r="1045">
          <cell r="C1045">
            <v>1946</v>
          </cell>
          <cell r="D1045" t="str">
            <v>Suministro E Instalación De Caneca En Lámina Perforada, Tipo A &amp; A O Similar, Pintura En Extracto De Aluminio, Con Parales Para Anclaje Al Piso, En Una Base De Concreto De 3.000 Psi De 0.30 X 0.15 Metros</v>
          </cell>
          <cell r="E1045" t="str">
            <v>UN</v>
          </cell>
          <cell r="F1045">
            <v>423504.44</v>
          </cell>
          <cell r="G1045">
            <v>41067</v>
          </cell>
        </row>
        <row r="1046">
          <cell r="C1046">
            <v>1948</v>
          </cell>
          <cell r="D1046" t="str">
            <v>Suministro E Instalación De Lavatraperos En Granito Prefabricado De 0.35 X 0.35 Metros</v>
          </cell>
          <cell r="E1046" t="str">
            <v>UN</v>
          </cell>
          <cell r="F1046">
            <v>80440</v>
          </cell>
          <cell r="G1046">
            <v>41131</v>
          </cell>
        </row>
        <row r="1047">
          <cell r="C1047">
            <v>1950</v>
          </cell>
          <cell r="D1047" t="str">
            <v>Suministro E Instalación De Rejilla De Piso De 4"</v>
          </cell>
          <cell r="E1047" t="str">
            <v>UN</v>
          </cell>
          <cell r="F1047">
            <v>24027.919999999998</v>
          </cell>
          <cell r="G1047">
            <v>42538</v>
          </cell>
        </row>
        <row r="1048">
          <cell r="C1048">
            <v>1952</v>
          </cell>
          <cell r="D1048" t="str">
            <v>Suministro E Instalacion De Valvula De Control De 3/4"</v>
          </cell>
          <cell r="E1048" t="str">
            <v>UN</v>
          </cell>
          <cell r="F1048">
            <v>33981.699999999997</v>
          </cell>
          <cell r="G1048">
            <v>42578</v>
          </cell>
        </row>
        <row r="1049">
          <cell r="C1049">
            <v>1956</v>
          </cell>
          <cell r="D1049" t="str">
            <v>Reciclaje De Concreto Asfaltico Y Base Granular E = 0.20 Metros, Incluye Trazado</v>
          </cell>
          <cell r="E1049" t="str">
            <v>M3</v>
          </cell>
          <cell r="F1049">
            <v>51000</v>
          </cell>
          <cell r="G1049">
            <v>40602</v>
          </cell>
        </row>
        <row r="1050">
          <cell r="C1050">
            <v>1959</v>
          </cell>
          <cell r="D1050" t="str">
            <v>Suministro E Instalación De Poste En Concreto De 12.00 Metros X 750 Kilogramos</v>
          </cell>
          <cell r="E1050" t="str">
            <v>UN</v>
          </cell>
          <cell r="F1050">
            <v>1250332.33</v>
          </cell>
          <cell r="G1050">
            <v>42524</v>
          </cell>
        </row>
        <row r="1051">
          <cell r="C1051">
            <v>1960</v>
          </cell>
          <cell r="D1051" t="str">
            <v>Sellamiento De Juntas En Asfalto</v>
          </cell>
          <cell r="E1051" t="str">
            <v>ML</v>
          </cell>
          <cell r="F1051">
            <v>6917.87</v>
          </cell>
          <cell r="G1051">
            <v>42524</v>
          </cell>
        </row>
        <row r="1052">
          <cell r="C1052">
            <v>1961</v>
          </cell>
          <cell r="D1052" t="str">
            <v>Columna En Concreto De 3000 Psi De 0.35 X 0.50 Metros, No Incluye Acero De Refuerzo</v>
          </cell>
          <cell r="E1052" t="str">
            <v>ML</v>
          </cell>
          <cell r="F1052">
            <v>93598.05</v>
          </cell>
          <cell r="G1052">
            <v>41016</v>
          </cell>
        </row>
        <row r="1053">
          <cell r="C1053">
            <v>1962</v>
          </cell>
          <cell r="D1053" t="str">
            <v>Estudio De Planimetría Y Altimetría En Área De Influencia De Arroyo, Incluye Elaboración De Planos Y  Diagnóstico Entregados En Medio Físico Y Magnético</v>
          </cell>
          <cell r="E1053" t="str">
            <v>M2</v>
          </cell>
          <cell r="F1053">
            <v>2019.05</v>
          </cell>
          <cell r="G1053">
            <v>41037</v>
          </cell>
        </row>
        <row r="1054">
          <cell r="C1054">
            <v>1963</v>
          </cell>
          <cell r="D1054" t="str">
            <v>Viga Aérea En Concreto De 3000 Psi De 0.40 X 0.30 A La Vista, No Incluye Acero De Refuerzo</v>
          </cell>
          <cell r="E1054" t="str">
            <v>ML</v>
          </cell>
          <cell r="F1054">
            <v>65668.570000000007</v>
          </cell>
          <cell r="G1054">
            <v>41835</v>
          </cell>
        </row>
        <row r="1055">
          <cell r="C1055">
            <v>1968</v>
          </cell>
          <cell r="D1055" t="str">
            <v>Suministro E Instalación De Tuberia De Agua Potable En Pvc D = 1"</v>
          </cell>
          <cell r="E1055" t="str">
            <v>ML</v>
          </cell>
          <cell r="F1055">
            <v>20932.16</v>
          </cell>
          <cell r="G1055">
            <v>42578</v>
          </cell>
        </row>
        <row r="1056">
          <cell r="C1056">
            <v>1969</v>
          </cell>
          <cell r="D1056" t="str">
            <v>Suministro E Instalación De Tubería De Ventilación Pvc D= 2"</v>
          </cell>
          <cell r="E1056" t="str">
            <v>ML</v>
          </cell>
          <cell r="F1056">
            <v>25144.39</v>
          </cell>
          <cell r="G1056">
            <v>42578</v>
          </cell>
        </row>
        <row r="1057">
          <cell r="C1057">
            <v>1970</v>
          </cell>
          <cell r="D1057" t="str">
            <v>Andén En Adoquín Rectangular Tipo Peatonal, Con Borde De Confinamiento A Ambos Lados De 0.15 X 0.30 Metros En Concreto De 3000 Psi, Reforzado Con 2 Varillas De 3/8" Y Estribos De 1/4" A Cada 0.32 Metros, Incluye Base En Material Seleccionado.</v>
          </cell>
          <cell r="E1057" t="str">
            <v>M2</v>
          </cell>
          <cell r="F1057">
            <v>86979.96</v>
          </cell>
          <cell r="G1057">
            <v>42240</v>
          </cell>
        </row>
        <row r="1058">
          <cell r="C1058">
            <v>1980</v>
          </cell>
          <cell r="D1058" t="str">
            <v>E - Acometida De Alta Tensión 13.2 Kva En Cable No. 2 Xlpe</v>
          </cell>
          <cell r="E1058" t="str">
            <v>ML</v>
          </cell>
          <cell r="F1058">
            <v>153033.98000000001</v>
          </cell>
          <cell r="G1058">
            <v>41460</v>
          </cell>
        </row>
        <row r="1059">
          <cell r="C1059">
            <v>1981</v>
          </cell>
          <cell r="D1059" t="str">
            <v>Bajante De Media Tensión (Incluye Tubería Galvanizada D = 3" Y Capacete De 3"</v>
          </cell>
          <cell r="E1059" t="str">
            <v>UN</v>
          </cell>
          <cell r="F1059">
            <v>601614.67000000004</v>
          </cell>
          <cell r="G1059">
            <v>41015</v>
          </cell>
        </row>
        <row r="1060">
          <cell r="C1060">
            <v>1982</v>
          </cell>
          <cell r="D1060" t="str">
            <v>Suministro E Instalacion De Premoldeados (Un Juego X 3 Unidades) Tipo Exterior Para Cable No.2</v>
          </cell>
          <cell r="E1060" t="str">
            <v>UN</v>
          </cell>
          <cell r="F1060">
            <v>757343.75</v>
          </cell>
          <cell r="G1060">
            <v>41737</v>
          </cell>
        </row>
        <row r="1061">
          <cell r="C1061">
            <v>1983</v>
          </cell>
          <cell r="D1061" t="str">
            <v>Suministro E Instalacion De Codos Rompecargas (Un Juego X 3 Unidades) Sub Pedestal Radial</v>
          </cell>
          <cell r="E1061" t="str">
            <v>UN</v>
          </cell>
          <cell r="F1061">
            <v>983213.6</v>
          </cell>
          <cell r="G1061">
            <v>41338</v>
          </cell>
        </row>
        <row r="1062">
          <cell r="C1062">
            <v>1984</v>
          </cell>
          <cell r="D1062" t="str">
            <v>Canalizacion Para Acometida De Media Tension, Incluye 2 Tubos Conduit Pvc D = 3"</v>
          </cell>
          <cell r="E1062" t="str">
            <v>ML</v>
          </cell>
          <cell r="F1062">
            <v>37979</v>
          </cell>
          <cell r="G1062">
            <v>42538</v>
          </cell>
        </row>
        <row r="1063">
          <cell r="C1063">
            <v>1986</v>
          </cell>
          <cell r="D1063" t="str">
            <v>E - Suministro E Instalación De Lámpara Para Poste Roy Alpha De Sodio De 150 Watios, Tipo Venecia</v>
          </cell>
          <cell r="E1063" t="str">
            <v>UN</v>
          </cell>
          <cell r="F1063">
            <v>560510</v>
          </cell>
          <cell r="G1063">
            <v>41697</v>
          </cell>
        </row>
        <row r="1064">
          <cell r="C1064">
            <v>1987</v>
          </cell>
          <cell r="D1064" t="str">
            <v>Suministro E Instalación De Poste Para Lampara Tipo Venecia</v>
          </cell>
          <cell r="E1064" t="str">
            <v>UN</v>
          </cell>
          <cell r="F1064">
            <v>188548.75</v>
          </cell>
          <cell r="G1064">
            <v>41697</v>
          </cell>
        </row>
        <row r="1065">
          <cell r="C1065">
            <v>1989</v>
          </cell>
          <cell r="D1065" t="str">
            <v>Demolicion De Zonas De Viviendas Que Se Cancelaran Por Actividades Realizadas: Desmonte De Cerca M2 = $2.694.00 - Demolicion De Muros De Mamposteria M2 = $11.319.77 - Demolicion De Pisos M2 = $8.263.33 - Demolicion De Cimientos Ml = $6.733.33 Entre Otros Incluye Retiro De Material</v>
          </cell>
          <cell r="E1065" t="str">
            <v>GL</v>
          </cell>
          <cell r="F1065">
            <v>10000000</v>
          </cell>
          <cell r="G1065">
            <v>40674</v>
          </cell>
        </row>
        <row r="1066">
          <cell r="C1066">
            <v>1990</v>
          </cell>
          <cell r="D1066" t="str">
            <v>Relleno Con Material 70% Del Sitio Y 30% Con Caliche Compactado</v>
          </cell>
          <cell r="E1066" t="str">
            <v>M3</v>
          </cell>
          <cell r="F1066">
            <v>37410.54</v>
          </cell>
          <cell r="G1066">
            <v>41038</v>
          </cell>
        </row>
        <row r="1067">
          <cell r="C1067">
            <v>1992</v>
          </cell>
          <cell r="D1067" t="str">
            <v>Fondo De Canal En Canasta Metálica  Con Malla De Alambre Galvanizado Calibre 10  Forrado En Pvc, De  0.40 X 1.00 X 2.00 Metros, Ojo De 0.10 X 0.12 Metros, Incluye Relleno En Piedra</v>
          </cell>
          <cell r="E1067" t="str">
            <v>M2</v>
          </cell>
          <cell r="F1067">
            <v>85165.25</v>
          </cell>
          <cell r="G1067">
            <v>41037</v>
          </cell>
        </row>
        <row r="1068">
          <cell r="C1068">
            <v>1993</v>
          </cell>
          <cell r="D1068" t="str">
            <v>Muro De Canal En Canasta Metálica Con Malla De Alambre Galvanizado Calibre 10, Forrada En Pvc, De  0.40 X 1.00 X 2.00 Metros, Ojo De 0.10 X 0.12 Metros, Incluye Relleno En Piedra</v>
          </cell>
          <cell r="E1068" t="str">
            <v>M2</v>
          </cell>
          <cell r="F1068">
            <v>97765.28</v>
          </cell>
          <cell r="G1068">
            <v>41037</v>
          </cell>
        </row>
        <row r="1069">
          <cell r="C1069">
            <v>1994</v>
          </cell>
          <cell r="D1069" t="str">
            <v>Placa De Concreto E = 0.15 Metros, Para Caidas O Disipadoras De Energía Para Arroyos, Incluye Acero De Refuerzo D = 1/2" En Ambos Sentidos A Cada 0.20 Metros</v>
          </cell>
          <cell r="E1069" t="str">
            <v>M2</v>
          </cell>
          <cell r="F1069">
            <v>126549.1</v>
          </cell>
          <cell r="G1069">
            <v>41383</v>
          </cell>
        </row>
        <row r="1070">
          <cell r="C1070">
            <v>1995</v>
          </cell>
          <cell r="D1070" t="str">
            <v>Construccion De Ponton O Puente Tipo A De 8.00 X 7.00 X 2.20 Metros (Medidas Libres</v>
          </cell>
          <cell r="E1070" t="str">
            <v>UN</v>
          </cell>
          <cell r="F1070">
            <v>56843041</v>
          </cell>
          <cell r="G1070">
            <v>40676</v>
          </cell>
        </row>
        <row r="1071">
          <cell r="C1071">
            <v>1997</v>
          </cell>
          <cell r="D1071" t="str">
            <v>Columna En Concreto De 4000 Psi  De Diametro 0.50 Metros, No Incluye Acero De Refuerzo</v>
          </cell>
          <cell r="E1071" t="str">
            <v>ML</v>
          </cell>
          <cell r="F1071">
            <v>111617.95</v>
          </cell>
          <cell r="G1071">
            <v>42541</v>
          </cell>
        </row>
        <row r="1072">
          <cell r="C1072">
            <v>1998</v>
          </cell>
          <cell r="D1072" t="str">
            <v>Suministro E Instalación De Puerta En Madera De 3.00 X 2.30 Metros, Incluye Marco, Bisagra Y Cerradura De Seguridad Doble Vuelta</v>
          </cell>
          <cell r="E1072" t="str">
            <v>UN</v>
          </cell>
          <cell r="F1072">
            <v>700000</v>
          </cell>
          <cell r="G1072">
            <v>41068</v>
          </cell>
        </row>
        <row r="1073">
          <cell r="C1073">
            <v>1999</v>
          </cell>
          <cell r="D1073" t="str">
            <v>Suministro E Instalación De Puerta Corrediza Metálica Calibre 20 Por Una Faz, Marco Calibre 18,  De 1.80 X 2.30 Metros, Incluye Pintura Anticorrosiva Y Acabado En Esmalte, Cerraduras Y Herrajes</v>
          </cell>
          <cell r="E1073" t="str">
            <v>UN</v>
          </cell>
          <cell r="F1073">
            <v>680000</v>
          </cell>
          <cell r="G1073">
            <v>41666</v>
          </cell>
        </row>
        <row r="1074">
          <cell r="C1074">
            <v>2001</v>
          </cell>
          <cell r="D1074" t="str">
            <v>Resane De Fisuras Y Grietas En Pisos</v>
          </cell>
          <cell r="E1074" t="str">
            <v>M2</v>
          </cell>
          <cell r="F1074">
            <v>10000</v>
          </cell>
          <cell r="G1074">
            <v>41569</v>
          </cell>
        </row>
        <row r="1075">
          <cell r="C1075">
            <v>2002</v>
          </cell>
          <cell r="D1075" t="str">
            <v>Suministro E Instalación De Persianas En Madera Inmunizada, Incluye Accesorios</v>
          </cell>
          <cell r="E1075" t="str">
            <v>M2</v>
          </cell>
          <cell r="F1075">
            <v>80437.5</v>
          </cell>
          <cell r="G1075">
            <v>41068</v>
          </cell>
        </row>
        <row r="1076">
          <cell r="C1076">
            <v>2003</v>
          </cell>
          <cell r="D1076" t="str">
            <v>Instalación De Cielo Raso En Lámina De Asbesto Cemento (Mano De Obra)</v>
          </cell>
          <cell r="E1076" t="str">
            <v>M2</v>
          </cell>
          <cell r="F1076">
            <v>16425</v>
          </cell>
          <cell r="G1076">
            <v>41017</v>
          </cell>
        </row>
        <row r="1077">
          <cell r="C1077">
            <v>2007</v>
          </cell>
          <cell r="D1077" t="str">
            <v>E - Suministro E Instalación De Luminaria Tipo Senderita Con Bombillo De Sodio O Metal Halide De 70 Watios</v>
          </cell>
          <cell r="E1077" t="str">
            <v>UN</v>
          </cell>
          <cell r="F1077">
            <v>322349.93</v>
          </cell>
          <cell r="G1077">
            <v>41835</v>
          </cell>
        </row>
        <row r="1078">
          <cell r="C1078">
            <v>2008</v>
          </cell>
          <cell r="D1078" t="str">
            <v>Juegos - Suministro E Instalación De Marco Para Cancha De Microfutbol En Tubería Galvanizada Acabada Con Anticorrosivo Y Pintura De Esmalte, Incluye Malla Para Porterias</v>
          </cell>
          <cell r="E1078" t="str">
            <v>PR</v>
          </cell>
          <cell r="F1078">
            <v>1245388.79</v>
          </cell>
          <cell r="G1078">
            <v>42496</v>
          </cell>
        </row>
        <row r="1079">
          <cell r="C1079">
            <v>2011</v>
          </cell>
          <cell r="D1079" t="str">
            <v>Juegos - Suministro E Instalación De Mesa Con 4 Puestos En Concreto,  Incluye Refuerzo De 3/8" Y Estribos De 1/4" A Cada 0.20 Metros Con Malla De Refuerzo Para La Mesa,  Parasol Con Estructura En Madera Bambú Color Azul (Segun Diseño)</v>
          </cell>
          <cell r="E1079" t="str">
            <v>UN</v>
          </cell>
          <cell r="F1079">
            <v>373772.62</v>
          </cell>
          <cell r="G1079">
            <v>41075</v>
          </cell>
        </row>
        <row r="1080">
          <cell r="C1080">
            <v>2012</v>
          </cell>
          <cell r="D1080" t="str">
            <v>Juegos - Suministro E Instalación De Estructura De Baloncesto Con Tubería Galvanizada Y Tablero En Acrílico De 10 Mm, Mallas Y Aros</v>
          </cell>
          <cell r="E1080" t="str">
            <v>PR</v>
          </cell>
          <cell r="F1080">
            <v>3300000</v>
          </cell>
          <cell r="G1080">
            <v>42314</v>
          </cell>
        </row>
        <row r="1081">
          <cell r="C1081">
            <v>2013</v>
          </cell>
          <cell r="D1081" t="str">
            <v>Juegos - Suministro E Instalación De Juego Voleibol Incluye Parales En Tubería De 6" Y Mallas Con Antenas</v>
          </cell>
          <cell r="E1081" t="str">
            <v>UN</v>
          </cell>
          <cell r="F1081">
            <v>754590.55</v>
          </cell>
          <cell r="G1081">
            <v>42496</v>
          </cell>
        </row>
        <row r="1082">
          <cell r="C1082">
            <v>2014</v>
          </cell>
          <cell r="D1082" t="str">
            <v>Suministro E Instalación De División En Acero Inoxidable Para Baños En Lámina De Acero Inoxidable Aisi Tipo 304 Calibre 20, Antimagnético Y Resistente A La Corrosión, Entamborado De 1" De Ancho Con Relleno Interno En Lámina De Icopor (0.552 Mts2)</v>
          </cell>
          <cell r="E1082" t="str">
            <v>M2</v>
          </cell>
          <cell r="F1082">
            <v>450000</v>
          </cell>
          <cell r="G1082">
            <v>42534</v>
          </cell>
        </row>
        <row r="1083">
          <cell r="C1083">
            <v>2015</v>
          </cell>
          <cell r="D1083" t="str">
            <v>Base Suelo Cemento 1:20 Compactado</v>
          </cell>
          <cell r="E1083" t="str">
            <v>M3</v>
          </cell>
          <cell r="F1083">
            <v>227837.87</v>
          </cell>
          <cell r="G1083">
            <v>42240</v>
          </cell>
        </row>
        <row r="1084">
          <cell r="C1084">
            <v>2016</v>
          </cell>
          <cell r="D1084" t="str">
            <v>Mantenimiento De Pasamanos Metalico, Incluye Ligado, Grateado, Lavado, Suministro Y Aplicacion De Pintura Anticorrosiva Tipo Cromato De Zinc Y Acabado En Esmalte Incluye Cambio De Elementos Averiados Hasta En Un 30%</v>
          </cell>
          <cell r="E1084" t="str">
            <v>ML</v>
          </cell>
          <cell r="F1084">
            <v>19000</v>
          </cell>
          <cell r="G1084">
            <v>40641</v>
          </cell>
        </row>
        <row r="1085">
          <cell r="C1085">
            <v>2018</v>
          </cell>
          <cell r="D1085" t="str">
            <v>Viga De Amarre De 0.30 X 030 Metros, En Concreto De 4000 Psi Premezclado, Acelerado A 7 Dias, No Incluye Acero De Refuerzo</v>
          </cell>
          <cell r="E1085" t="str">
            <v>ML</v>
          </cell>
          <cell r="F1085">
            <v>59471.29</v>
          </cell>
          <cell r="G1085">
            <v>41008</v>
          </cell>
        </row>
        <row r="1086">
          <cell r="C1086">
            <v>2019</v>
          </cell>
          <cell r="D1086" t="str">
            <v>Viga Aérea De 0.15 X 0.60 Metros, En Concreto De 4000 Psi Premezclado Acelerado A 7 Dias, No Incluye Acero De Refuerzo</v>
          </cell>
          <cell r="E1086" t="str">
            <v>ML</v>
          </cell>
          <cell r="F1086">
            <v>109379.48</v>
          </cell>
          <cell r="G1086">
            <v>41075</v>
          </cell>
        </row>
        <row r="1087">
          <cell r="C1087">
            <v>2020</v>
          </cell>
          <cell r="D1087" t="str">
            <v>Columna - Portico En Concreto De 4000 Psi Premezclado Acelerado De 7 Dias, Para Cubierta En Voladizo, De 0.20 X 0.50 (Promedio) Metros, No Incluye Acero De Refuerzo</v>
          </cell>
          <cell r="E1087" t="str">
            <v>ML</v>
          </cell>
          <cell r="F1087">
            <v>134536.25</v>
          </cell>
          <cell r="G1087">
            <v>41015</v>
          </cell>
        </row>
        <row r="1088">
          <cell r="C1088">
            <v>2021</v>
          </cell>
          <cell r="D1088" t="str">
            <v>Zapata En Concreto Premezclado De 4000 Psi</v>
          </cell>
          <cell r="E1088" t="str">
            <v>M3</v>
          </cell>
          <cell r="F1088">
            <v>502051.73</v>
          </cell>
          <cell r="G1088">
            <v>42578</v>
          </cell>
        </row>
        <row r="1089">
          <cell r="C1089">
            <v>2022</v>
          </cell>
          <cell r="D1089" t="str">
            <v>Instalación Y Desmonte De Campamento, Incluye Piso En Concreto Y Cubierta De Eternit, De 5.00 X 3.00 Metros</v>
          </cell>
          <cell r="E1089" t="str">
            <v>UN</v>
          </cell>
          <cell r="F1089">
            <v>3363284.92</v>
          </cell>
          <cell r="G1089">
            <v>41927</v>
          </cell>
        </row>
        <row r="1090">
          <cell r="C1090">
            <v>2026</v>
          </cell>
          <cell r="D1090" t="str">
            <v>Suministro E Instalacion De Valvula De Compuerta D = 4" (100 Mm)</v>
          </cell>
          <cell r="E1090" t="str">
            <v>UN</v>
          </cell>
          <cell r="F1090">
            <v>538107.5</v>
          </cell>
          <cell r="G1090">
            <v>40652</v>
          </cell>
        </row>
        <row r="1091">
          <cell r="C1091">
            <v>2027</v>
          </cell>
          <cell r="D1091" t="str">
            <v>Caja En Concreto Para Valvula Regulada D = 4"</v>
          </cell>
          <cell r="E1091" t="str">
            <v>UN</v>
          </cell>
          <cell r="F1091">
            <v>320544.46000000002</v>
          </cell>
          <cell r="G1091">
            <v>40652</v>
          </cell>
        </row>
        <row r="1092">
          <cell r="C1092">
            <v>2030</v>
          </cell>
          <cell r="D1092" t="str">
            <v>E - Suministro E Instalación De Lámpara De Incrustar 2 X 17 W T - 8, Pantalla Especular De 0.60 X 0.60 Metros</v>
          </cell>
          <cell r="E1092" t="str">
            <v>UN</v>
          </cell>
          <cell r="F1092">
            <v>176131.88</v>
          </cell>
          <cell r="G1092">
            <v>41737</v>
          </cell>
        </row>
        <row r="1093">
          <cell r="C1093">
            <v>2036</v>
          </cell>
          <cell r="D1093" t="str">
            <v>Mantenimiento En Base De Columna En Perfileria Tipo Phr - C Existente O En Tuberia D = 10", Incluye Lijada, Grateado, Aplicacion De Pintura Tipo Epoxipoliamida</v>
          </cell>
          <cell r="E1093" t="str">
            <v>UN</v>
          </cell>
          <cell r="F1093">
            <v>110645.58</v>
          </cell>
          <cell r="G1093">
            <v>40659</v>
          </cell>
        </row>
        <row r="1094">
          <cell r="C1094">
            <v>2037</v>
          </cell>
          <cell r="D1094" t="str">
            <v>Mantenimiento De Estructura Metalica De Cubierta En Perfil Phr - C, Lijada, Grateada,  Cepillada, Aplicacion De Pintura Anticorrosiva Tipo Epoxipoliamida</v>
          </cell>
          <cell r="E1094" t="str">
            <v>M2</v>
          </cell>
          <cell r="F1094">
            <v>24267.57</v>
          </cell>
          <cell r="G1094">
            <v>40659</v>
          </cell>
        </row>
        <row r="1095">
          <cell r="C1095">
            <v>2038</v>
          </cell>
          <cell r="D1095" t="str">
            <v>Mantenimiento De Cubierta Trapezoidal De Acesco, Incluye Cambio De Teja Averiada Por Nueva, Tornilleria, Impermeabilizacion En La Tornilleria</v>
          </cell>
          <cell r="E1095" t="str">
            <v>M2</v>
          </cell>
          <cell r="F1095">
            <v>27598</v>
          </cell>
          <cell r="G1095">
            <v>40659</v>
          </cell>
        </row>
        <row r="1096">
          <cell r="C1096">
            <v>2039</v>
          </cell>
          <cell r="D1096" t="str">
            <v>Cambio De Elementos Averiados En La Estructura Metálica Cerchas, Correas Y Platinas De Uniones</v>
          </cell>
          <cell r="E1096" t="str">
            <v>M2</v>
          </cell>
          <cell r="F1096">
            <v>37531.660000000003</v>
          </cell>
          <cell r="G1096">
            <v>41015</v>
          </cell>
        </row>
        <row r="1097">
          <cell r="C1097">
            <v>2040</v>
          </cell>
          <cell r="D1097" t="str">
            <v>Suministro E Instalación De Malla Tipo Ciclón Galvanizada De 2" X 2", Forrada En Pvc, Calibre 10, Reforzada Con Tubería Galvanizada D = 2" Y 1 1/2 " A Cada 2.00 Metros, Acabada En Pintura Anticorrosiva Y Esmalte, Incluye Base Y Viga En Concreto</v>
          </cell>
          <cell r="E1097" t="str">
            <v>M2</v>
          </cell>
          <cell r="F1097">
            <v>63900.9</v>
          </cell>
          <cell r="G1097">
            <v>42524</v>
          </cell>
        </row>
        <row r="1098">
          <cell r="C1098">
            <v>2041</v>
          </cell>
          <cell r="D1098" t="str">
            <v>Mantenimiento De Lamina De Losa Metaldeck, Incluye Lijado, Grateado, Cepillado, Aplicacion De Pintura Tipo Epoxipoliamida</v>
          </cell>
          <cell r="E1098" t="str">
            <v>M2</v>
          </cell>
          <cell r="F1098">
            <v>35011.879999999997</v>
          </cell>
          <cell r="G1098">
            <v>40659</v>
          </cell>
        </row>
        <row r="1099">
          <cell r="C1099">
            <v>2042</v>
          </cell>
          <cell r="D1099" t="str">
            <v>Mantenimiento De Baranda Metalica, Consta De  Lijada, Grateada,  Cepillada, Aplicacion De Pintura Anticorrosiva Tipo Epoxipoliamida</v>
          </cell>
          <cell r="E1099" t="str">
            <v>M2</v>
          </cell>
          <cell r="F1099">
            <v>18654.64</v>
          </cell>
          <cell r="G1099">
            <v>40659</v>
          </cell>
        </row>
        <row r="1100">
          <cell r="C1100">
            <v>2043</v>
          </cell>
          <cell r="D1100" t="str">
            <v>Mantenimiento De Estructura Metalica De Escalera, Consta De  Lijada, Grateada,  Cepillada, Aplicacion De Pintura Anticorrosiva Tipo Epoxipoliamida, Incluye Arreglo De Peldaños En Concreto</v>
          </cell>
          <cell r="E1100" t="str">
            <v>M2</v>
          </cell>
          <cell r="F1100">
            <v>45500</v>
          </cell>
          <cell r="G1100">
            <v>40659</v>
          </cell>
        </row>
        <row r="1101">
          <cell r="C1101">
            <v>2053</v>
          </cell>
          <cell r="D1101" t="str">
            <v>Suministro E Instalación De Portón Metálico En Lámina Galvanizada Calibre 14, Incluye Marcos Y Refuerzos En Tubería Galvanizada D = 2", Pintura Con Anticorrosivo Y Esmalte, Cerraduras Y Herrajes</v>
          </cell>
          <cell r="E1101" t="str">
            <v>M2</v>
          </cell>
          <cell r="F1101">
            <v>130000</v>
          </cell>
          <cell r="G1101">
            <v>41068</v>
          </cell>
        </row>
        <row r="1102">
          <cell r="C1102">
            <v>2056</v>
          </cell>
          <cell r="D1102" t="str">
            <v>Relleno En Material De Subbase (E) Compactado</v>
          </cell>
          <cell r="E1102" t="str">
            <v>M3</v>
          </cell>
          <cell r="F1102">
            <v>112684.45</v>
          </cell>
          <cell r="G1102">
            <v>42102</v>
          </cell>
        </row>
        <row r="1103">
          <cell r="C1103">
            <v>2057</v>
          </cell>
          <cell r="D1103" t="str">
            <v>Relleno En Material De Base (E) Compactado</v>
          </cell>
          <cell r="E1103" t="str">
            <v>M3</v>
          </cell>
          <cell r="F1103">
            <v>114595.45</v>
          </cell>
          <cell r="G1103">
            <v>42552</v>
          </cell>
        </row>
        <row r="1104">
          <cell r="C1104">
            <v>2066</v>
          </cell>
          <cell r="D1104" t="str">
            <v>Suministro E Instalacion De Malla Ciclon Galvanizada Altura 2.40 Metros, Calibre 8, Con Hueco De 2" X 2", Estructura Con Parales En Tuberia Galvanizada De 100 X 40 Mm Calibre 2 Mm, Angulos De 2" X 2" X 1/8" Y 1" X 1" X 1/8", Tuberia Galvanizada De 1" Calibre 18 Como Rigidizador, Platina De 3/4" Para Pisamalla, Tuberia Mueble Horizontal Cuadrado De 1.1/2" Calibre 20, Soldadura 6013 As Welding, Acabado Con Pintura Anticorrosiva Y Esmalte</v>
          </cell>
          <cell r="E1104" t="str">
            <v>ML</v>
          </cell>
          <cell r="F1104">
            <v>320606.74</v>
          </cell>
          <cell r="G1104">
            <v>40674</v>
          </cell>
        </row>
        <row r="1105">
          <cell r="C1105">
            <v>2067</v>
          </cell>
          <cell r="D1105" t="str">
            <v>Suministro E Instalacion De Malla Ciclon Galvanizada Altura 2.40 Metros, Calibre 8, Con Hueco De 2" X 2", Estructura Con Parales En Tuberia Galvanizada De 100 X 40 Mm Calibre 2 Mm, Angulos De 2" X 2" X 1/8" Y 1" X 1" X 1/8", Tuberia Galvanizada De 1" Calibre 18 Como Rigidizador, Platina De 3/4" Para Pisamalla, Tuberia Mueble Horizontal Cuadrado De 1.1/2" Calibre 20, Soldadura 6013 As Welding, Acabado Con Pintura Anticorrosiva Y Esmalte</v>
          </cell>
          <cell r="E1105" t="str">
            <v>M2</v>
          </cell>
          <cell r="F1105">
            <v>106184.33</v>
          </cell>
          <cell r="G1105">
            <v>42314</v>
          </cell>
        </row>
        <row r="1106">
          <cell r="C1106">
            <v>2068</v>
          </cell>
          <cell r="D1106" t="str">
            <v>Construccion De Ponton O Puente Tipo A De 8.00 X 7.00 X 2.20 Metros (Medidas Libres) Incluye Nivelacion, Replanteo Y Señalizacion, Manejo De Aguas, Excavaciones, Rellenos, Base En Suelo Cemento, Estructura En Concreto Armado, Baranda, Bordillo, Rampa De 7.00 Metros</v>
          </cell>
          <cell r="E1106" t="str">
            <v>UN</v>
          </cell>
          <cell r="F1106">
            <v>60297327</v>
          </cell>
          <cell r="G1106">
            <v>41008</v>
          </cell>
        </row>
        <row r="1107">
          <cell r="C1107">
            <v>2069</v>
          </cell>
          <cell r="D1107" t="str">
            <v>Suministro E Instalación De Muro En Drywall Por Ambas Caras</v>
          </cell>
          <cell r="E1107" t="str">
            <v>M2</v>
          </cell>
          <cell r="F1107">
            <v>72642.350000000006</v>
          </cell>
          <cell r="G1107">
            <v>42472</v>
          </cell>
        </row>
        <row r="1108">
          <cell r="C1108">
            <v>2070</v>
          </cell>
          <cell r="D1108" t="str">
            <v>Suministro E Instalacion De Puerta  De Tablero De 2.00 X 1.00 Metro En Madera De Cedro Tallada Con Decorado, Color Caramelo Oscuro, Marco En Madera De Roble De 5" X 2", Bisagra Pala Ancha De 3", Con Tornillo Goloso De 1 1/4", Incluye Cerradura De Bola</v>
          </cell>
          <cell r="E1108" t="str">
            <v>UN</v>
          </cell>
          <cell r="F1108">
            <v>555500</v>
          </cell>
          <cell r="G1108">
            <v>41344</v>
          </cell>
        </row>
        <row r="1109">
          <cell r="C1109">
            <v>2071</v>
          </cell>
          <cell r="D1109" t="str">
            <v>Suministro E Instalacion De Puerta  De Tablero De 2.00 X 0.90 Metros En Madera De Cedro Tallada Con Decorado, Color Caramelo Oscuro, Marco En Madera De Roble De 5" X 2", Bisagra Pala Ancha De 3", Con Tornillo Goloso De 1 1/4", Incluye Cerradura De Bola</v>
          </cell>
          <cell r="E1109" t="str">
            <v>UN</v>
          </cell>
          <cell r="F1109">
            <v>500000</v>
          </cell>
          <cell r="G1109">
            <v>41590</v>
          </cell>
        </row>
        <row r="1110">
          <cell r="C1110">
            <v>2072</v>
          </cell>
          <cell r="D1110" t="str">
            <v>Suministro E Instalacion De Puerta  De Tablero De 2.00 X 0.80 Metros En Madera De Cedro Tallada Con Decorado, Color Caramelo Oscuro, Marco En Madera De Roble De 5" X 2", Bisagra Pala Ancha De 3", Con Tornillo Goloso De 1 1/4", Incluye Cerradura De Bola</v>
          </cell>
          <cell r="E1110" t="str">
            <v>UN</v>
          </cell>
          <cell r="F1110">
            <v>450000</v>
          </cell>
          <cell r="G1110">
            <v>40696</v>
          </cell>
        </row>
        <row r="1111">
          <cell r="C1111">
            <v>2073</v>
          </cell>
          <cell r="D1111" t="str">
            <v>Suministro E Instalacion De Puerta  De Tablero De 2.00 X 0.70 Metro En Madera De Cedro Tallada Con Decorado, Color Caramelo Oscuro, Marco En Madera De Roble De 5" X 2", Bisagra Pala Ancha De 3", Con Tornillo Goloso De 1 1/4", Incluye Cerradura De Bola</v>
          </cell>
          <cell r="E1111" t="str">
            <v>UN</v>
          </cell>
          <cell r="F1111">
            <v>400000</v>
          </cell>
          <cell r="G1111">
            <v>40696</v>
          </cell>
        </row>
        <row r="1112">
          <cell r="C1112">
            <v>2074</v>
          </cell>
          <cell r="D1112" t="str">
            <v>Suministro E Instalacion De Puerta  De Tablero De 2.00 X 0.95 Metro En Madera De Cedro Tallada Con Decorado, Color Caramelo Oscuro, Marco En Madera De Roble De 5" X 2", Bisagra Pala Ancha De 3", Con Tornillo Goloso De 1 1/4", Incluye Cerradura De Bola</v>
          </cell>
          <cell r="E1112" t="str">
            <v>UN</v>
          </cell>
          <cell r="F1112">
            <v>525000</v>
          </cell>
          <cell r="G1112">
            <v>40696</v>
          </cell>
        </row>
        <row r="1113">
          <cell r="C1113">
            <v>2075</v>
          </cell>
          <cell r="D1113" t="str">
            <v>Suministro E Instalacion De Closet: Marco, Jambas Y Hojas En Madera De Cedro, Incluye Bisagras, Manijas, Pasadores Y Cerraduras; Estructura Interna En Triplex Pizano Okume Calibre 4 Mm, Entamborados Con Madera De Cedro (2 Caras), Con Espacio Para Percheros, Entrepaños, Divisiones, Zapateras; Pintado En Color Madera Natural (Lacas Catalizadas Semi Mate)</v>
          </cell>
          <cell r="E1113" t="str">
            <v>M2</v>
          </cell>
          <cell r="F1113">
            <v>464000</v>
          </cell>
          <cell r="G1113">
            <v>42578</v>
          </cell>
        </row>
        <row r="1114">
          <cell r="C1114">
            <v>2076</v>
          </cell>
          <cell r="D1114" t="str">
            <v>Suministro E Instalacion De Mueble 100% Metalico En Lamina Cold Rolled 2.00 X 1.35 X 0.67 Metros 3G, 98 Pistolas, Cierre De Seguridad, Capacidad De Almacenamiento, Ref. M001 Compumuebles O Similar</v>
          </cell>
          <cell r="E1114" t="str">
            <v>UN</v>
          </cell>
          <cell r="F1114">
            <v>5403500</v>
          </cell>
          <cell r="G1114">
            <v>40696</v>
          </cell>
        </row>
        <row r="1115">
          <cell r="C1115">
            <v>2077</v>
          </cell>
          <cell r="D1115" t="str">
            <v>Suministro E Instalacion De Mueble De Recepcion Para 2 Personas, De 2.40 X 1.00 X 0.60 Metros, Incluye Archivador Metalico, Frente En Lamina Para Cada Puesto, Puesto De Trabajo En Formica De 30 Mm, Ref. M00 De Compumuebles O Similar</v>
          </cell>
          <cell r="E1115" t="str">
            <v>UN</v>
          </cell>
          <cell r="F1115">
            <v>6000000</v>
          </cell>
          <cell r="G1115">
            <v>40696</v>
          </cell>
        </row>
        <row r="1116">
          <cell r="C1116">
            <v>2078</v>
          </cell>
          <cell r="D1116" t="str">
            <v>Limpieza Y Lavado De Fachada Con Acido Para Quitar Manchas Y Mohos</v>
          </cell>
          <cell r="E1116" t="str">
            <v>M2</v>
          </cell>
          <cell r="F1116">
            <v>800</v>
          </cell>
          <cell r="G1116">
            <v>40689</v>
          </cell>
        </row>
        <row r="1117">
          <cell r="C1117">
            <v>2079</v>
          </cell>
          <cell r="D1117" t="str">
            <v>Suministro E Instalacion De Vidrio Transparente Templado De Seguridad De 10 Mm, Para Fachadas, Con Bordes Pulidos, Brillados, Instalados Con Accesorios En Aluminio, Para Puerta: Esquinero Superior E Inferior, Manija En Acero, Pivote De Piso,Bisagra Hidraulica, Pistola De Giro, Para Cuerpos Fijos Seran Sostenidos Con Perfil Efe En La Parte Superior E Inferior, Tornilleria En Acero Y Sellado Con Silicona</v>
          </cell>
          <cell r="E1117" t="str">
            <v>M2</v>
          </cell>
          <cell r="F1117">
            <v>222160</v>
          </cell>
          <cell r="G1117">
            <v>42496</v>
          </cell>
        </row>
        <row r="1118">
          <cell r="C1118">
            <v>2081</v>
          </cell>
          <cell r="D1118" t="str">
            <v>Suministro E Instalacion De Mueble Inferior Y Superior Para Cocina, Puertas En Mdf 15 Mm Con Caras Enchapadas En Melamina Color Wengue, Bisagras De Presion Y Manijas En Barra De 3/8", Maciza De Acero Inoxidable De 0.25 Metros Y Cerradura Tipo Boton, 3 Gavetas Con Rieles De Extensión, Mueble Para Micro Ondas, Incluye Meson En Marmol Granito, Sifon Y Griferia, Incluye Transporte (Ver Diseño)</v>
          </cell>
          <cell r="E1118" t="str">
            <v>ML</v>
          </cell>
          <cell r="F1118">
            <v>1700000</v>
          </cell>
          <cell r="G1118">
            <v>42578</v>
          </cell>
        </row>
        <row r="1119">
          <cell r="C1119">
            <v>2082</v>
          </cell>
          <cell r="D1119" t="str">
            <v>E - Suministro E Instalacion De Cantonera En Puerta De Recepcion</v>
          </cell>
          <cell r="E1119" t="str">
            <v>UN</v>
          </cell>
          <cell r="F1119">
            <v>353500</v>
          </cell>
          <cell r="G1119">
            <v>41451</v>
          </cell>
        </row>
        <row r="1120">
          <cell r="C1120">
            <v>2083</v>
          </cell>
          <cell r="D1120" t="str">
            <v>Suministro E Instalacion De Archivo Rodante De 1 Cuerpo - 2 Servicios En Lamina Cold Rolled Y Riel De Desplazamiento, Ref. N23 Compumuebles O Similar</v>
          </cell>
          <cell r="E1120" t="str">
            <v>UN</v>
          </cell>
          <cell r="F1120">
            <v>1500000</v>
          </cell>
          <cell r="G1120">
            <v>40696</v>
          </cell>
        </row>
        <row r="1121">
          <cell r="C1121">
            <v>2084</v>
          </cell>
          <cell r="D1121" t="str">
            <v>Mantenimiento Preventivo Y Correctivo: Sondeo, Destaponamiento Y Desodorizacion De Aparatos Sanitarios En Baterias Sanitarias Hasta La Red De Distribucion General</v>
          </cell>
          <cell r="E1121" t="str">
            <v>UN</v>
          </cell>
          <cell r="F1121">
            <v>160000</v>
          </cell>
          <cell r="G1121">
            <v>40697</v>
          </cell>
        </row>
        <row r="1122">
          <cell r="C1122">
            <v>2085</v>
          </cell>
          <cell r="D1122" t="str">
            <v>Mantenimiento Preventivo Y Correctivo: Sondeo, Destaponamiento Y Desodorizacion De Registros Sanitarios Hasta El Punto De Desague Final</v>
          </cell>
          <cell r="E1122" t="str">
            <v>UN</v>
          </cell>
          <cell r="F1122">
            <v>240000</v>
          </cell>
          <cell r="G1122">
            <v>40697</v>
          </cell>
        </row>
        <row r="1123">
          <cell r="C1123">
            <v>2086</v>
          </cell>
          <cell r="D1123" t="str">
            <v>Mantenimiento Preventivo Y Correctivo: Sondeo, Destaponamiento Y Desodorizacion De Tuberia Sanitaria Pvc, Red De Distribucion O De Interconexion General</v>
          </cell>
          <cell r="E1123" t="str">
            <v>ML</v>
          </cell>
          <cell r="F1123">
            <v>15000</v>
          </cell>
          <cell r="G1123">
            <v>40812</v>
          </cell>
        </row>
        <row r="1124">
          <cell r="C1124">
            <v>2087</v>
          </cell>
          <cell r="D1124" t="str">
            <v>Suministro E Instalacion De Puerta De 3.00 X 2.38 Metros, Estructura En Aluminio Con Perfil De 3 X 1, En Cristal Templado De Seguridad De 10 Mm, Color Bronce, Incluye Flete, (Ver Diseño)</v>
          </cell>
          <cell r="E1124" t="str">
            <v>UN</v>
          </cell>
          <cell r="F1124">
            <v>5257120</v>
          </cell>
          <cell r="G1124">
            <v>40697</v>
          </cell>
        </row>
        <row r="1125">
          <cell r="C1125">
            <v>2088</v>
          </cell>
          <cell r="D1125" t="str">
            <v>Suministro Instalacion Y Montaje De Sistema De Puertas Deslizante Marca Ditec, Diseño Y Fabricación Italiano, Producto De Gama Alta Para Uso Intensivo, Con Mas De 3 Millones De Aperturas, Incluye Fotocelda, Bateria De Respaldo, Sensores De Movimiento, Pulsador Multifuncionales Inalambrico, Apertura En 1.2 M/S, Funciona A 220V, Ref Rex 44 O Sumilar, Incluye Programacion De Puerta Y Flete</v>
          </cell>
          <cell r="E1125" t="str">
            <v>UN</v>
          </cell>
          <cell r="F1125">
            <v>14700000</v>
          </cell>
          <cell r="G1125">
            <v>40697</v>
          </cell>
        </row>
        <row r="1126">
          <cell r="C1126">
            <v>2089</v>
          </cell>
          <cell r="D1126" t="str">
            <v>Mantenimiento De Ventaneria De Fachada Altura 15 Metros Aproximadamente: Limpieza Y Lavado, Incluye Reposición De Perfileria En Aluminio, Felpa, Rodamiento, Tornilleria, Cerraduras, Sustitución De Papel Polarizado, Sellamiento Con Silicona</v>
          </cell>
          <cell r="E1126" t="str">
            <v>M2</v>
          </cell>
          <cell r="F1126">
            <v>65000</v>
          </cell>
          <cell r="G1126">
            <v>40697</v>
          </cell>
        </row>
        <row r="1127">
          <cell r="C1127">
            <v>2090</v>
          </cell>
          <cell r="D1127" t="str">
            <v>Suministro E Instalacion De Divisiones De Oficina En Vidrio Templado De Seguridad De 10 Mm, Incoloro Con Bordes Pulidos, Brillados, Instalados Con Perfil Efe En La Parte Superior E Inferior (Sistema Spider)</v>
          </cell>
          <cell r="E1127" t="str">
            <v>M2</v>
          </cell>
          <cell r="F1127">
            <v>525000</v>
          </cell>
          <cell r="G1127">
            <v>42429</v>
          </cell>
        </row>
        <row r="1128">
          <cell r="C1128">
            <v>2102</v>
          </cell>
          <cell r="D1128" t="str">
            <v>Suministro E Instalacion De Banca Tipo Foro - S (Ver Diseño)</v>
          </cell>
          <cell r="E1128" t="str">
            <v>UN</v>
          </cell>
          <cell r="F1128">
            <v>367569.12</v>
          </cell>
          <cell r="G1128">
            <v>40703</v>
          </cell>
        </row>
        <row r="1129">
          <cell r="C1129">
            <v>2103</v>
          </cell>
          <cell r="D1129" t="str">
            <v>Suministro E Instalacion De Banca Tipo Foro - L (Ver Diseño)</v>
          </cell>
          <cell r="E1129" t="str">
            <v>UN</v>
          </cell>
          <cell r="F1129">
            <v>414332.81</v>
          </cell>
          <cell r="G1129">
            <v>40703</v>
          </cell>
        </row>
        <row r="1130">
          <cell r="C1130">
            <v>2104</v>
          </cell>
          <cell r="D1130" t="str">
            <v>Suministro E Instalacion De Avisos De Señalizacion De 1.00 X 050 Metros En Lamina Galvanizada Calibre 16, Estructura De Soporte - Paral En Angulo De Hierro De 1 1/2" X 1/8" De Espesor, Pintado Con Anticorrosivo Y Esmalte, Incluye Escrito De Informacion, Logotipo Institucional De La Alcaldia Y Secretaria De Salud, Punto De Instalacion, Excavacion De 0.50 X 0.70 Metros, Concreto Para Fijacion De 2500 Psi  De 0.50 X 0.50 X 0.20 Metros , Relleno Y Reparacion De Pisos Afectados. (Ver Diseño)</v>
          </cell>
          <cell r="E1130" t="str">
            <v>UN</v>
          </cell>
          <cell r="F1130">
            <v>338000</v>
          </cell>
          <cell r="G1130">
            <v>40704</v>
          </cell>
        </row>
        <row r="1131">
          <cell r="C1131">
            <v>2105</v>
          </cell>
          <cell r="D1131" t="str">
            <v>Equipamiento - Suministro E Instalacion De Barras Paralelas De 1.20 Metros De Largo X 0.95 Metros De Alto, En Tuberia Galvanizada D = 1.1/2", Pintadas Con Anticorrosivo Y Acabadas En Esmalte, Incluye Adecuacion Del Punto De Instalacion, Excavacion, Concreto De 2500 Psi Para Fijacion, Relleno Y Reparacion De Pisos Afectados. (Ver Diseño)</v>
          </cell>
          <cell r="E1131" t="str">
            <v>UN</v>
          </cell>
          <cell r="F1131">
            <v>350000</v>
          </cell>
          <cell r="G1131">
            <v>40704</v>
          </cell>
        </row>
        <row r="1132">
          <cell r="C1132">
            <v>2106</v>
          </cell>
          <cell r="D1132" t="str">
            <v>Equipamiento - Suministro E Instalacion De Barras Fijas De 2.50 Metros De Alto X 0.70 Metros De Ancho, En Tuberia Galvanizada D = 1.1/2", Pintadas Con Anticorrosivo Y Acabadas En Esmalte, Incluye Adecuacion Del Punto De Instalacion, Excavacion, Concreto De 2500 Psi Para Fijacion, Relleno Y Reparacion De Pisos Afectados. (Ver Diseño)</v>
          </cell>
          <cell r="E1132" t="str">
            <v>UN</v>
          </cell>
          <cell r="F1132">
            <v>250000</v>
          </cell>
          <cell r="G1132">
            <v>40704</v>
          </cell>
        </row>
        <row r="1133">
          <cell r="C1133">
            <v>2107</v>
          </cell>
          <cell r="D1133" t="str">
            <v>Equipamiento - Suministro E Instalacion De Paralelas Para Ejercicio De Tricep De 1.30 Metros De Alto, Con Barra Superior De 0.30 Metros, A Una Distancia Entre Ellas De 0.80 Metros, En Tuberia Galvanizada D = 1.1/2", Pintadas Con Anticorrosivo Y Acabadas En Esmalte, Incluye Adecuacion Del Punto De Instalacion, Excavacion, Concreto De 2500 Psi Para Fijacion, Relleno Y Reparacion De Pisos Afectados. (Ver Diseño)</v>
          </cell>
          <cell r="E1133" t="str">
            <v>UN</v>
          </cell>
          <cell r="F1133">
            <v>300000</v>
          </cell>
          <cell r="G1133">
            <v>40704</v>
          </cell>
        </row>
        <row r="1134">
          <cell r="C1134">
            <v>2108</v>
          </cell>
          <cell r="D1134" t="str">
            <v>Equipamiento - Suministro E Instalacion De Juego De Soportes Para Ejercicios Abdominales De 0.40 Metros De Ancho, X 0.20 Metros De Alto, En Tuberia Galvanizada D = 1.1/2", Pintadas Con Anticorrosivo Y Acabadas En Esmalte, Incluye Adecuacion Del Punto De Instalacion, Excavacion, Concreto De 2500 Psi Para Fijacion, Relleno Y Reparacion De Pisos Afectados. (Ver Diseño)</v>
          </cell>
          <cell r="E1134" t="str">
            <v>UN</v>
          </cell>
          <cell r="F1134">
            <v>200000</v>
          </cell>
          <cell r="G1134">
            <v>40704</v>
          </cell>
        </row>
        <row r="1135">
          <cell r="C1135">
            <v>2109</v>
          </cell>
          <cell r="D1135" t="str">
            <v>Bordillo En Concreto De 3000 Psi De 0.15 X 0.60 Metros</v>
          </cell>
          <cell r="E1135" t="str">
            <v>ML</v>
          </cell>
          <cell r="F1135">
            <v>69307.39</v>
          </cell>
          <cell r="G1135">
            <v>42068</v>
          </cell>
        </row>
        <row r="1136">
          <cell r="C1136">
            <v>2110</v>
          </cell>
          <cell r="D1136" t="str">
            <v>Solado En Concreto Premezclado De Fc =  2500 Psi</v>
          </cell>
          <cell r="E1136" t="str">
            <v>M3</v>
          </cell>
          <cell r="F1136">
            <v>534750.5</v>
          </cell>
          <cell r="G1136">
            <v>41008</v>
          </cell>
        </row>
        <row r="1137">
          <cell r="C1137">
            <v>2111</v>
          </cell>
          <cell r="D1137" t="str">
            <v>Demolicion De Sobrenivel En Ladrillo Doble Altura 0.30 Metros.</v>
          </cell>
          <cell r="E1137" t="str">
            <v>ML</v>
          </cell>
          <cell r="F1137">
            <v>5706.92</v>
          </cell>
          <cell r="G1137">
            <v>40717</v>
          </cell>
        </row>
        <row r="1138">
          <cell r="C1138">
            <v>2114</v>
          </cell>
          <cell r="D1138" t="str">
            <v>E - Suministro E Instalacion De Tuberia Flexiconduit - Coraza 1" L/T Metalica</v>
          </cell>
          <cell r="E1138" t="str">
            <v>ML</v>
          </cell>
          <cell r="F1138">
            <v>10483.219999999999</v>
          </cell>
          <cell r="G1138">
            <v>41451</v>
          </cell>
        </row>
        <row r="1139">
          <cell r="C1139">
            <v>2115</v>
          </cell>
          <cell r="D1139" t="str">
            <v>E - Suministro E Instalacion De Tuberia Flexiconduit - Coraza 3/4" L/T Metalica</v>
          </cell>
          <cell r="E1139" t="str">
            <v>ML</v>
          </cell>
          <cell r="F1139">
            <v>6610.82</v>
          </cell>
          <cell r="G1139">
            <v>41451</v>
          </cell>
        </row>
        <row r="1140">
          <cell r="C1140">
            <v>2118</v>
          </cell>
          <cell r="D1140" t="str">
            <v>E - Suministro E Instalacion De Conector Recto Electrico De 3/4"</v>
          </cell>
          <cell r="E1140" t="str">
            <v>UN</v>
          </cell>
          <cell r="F1140">
            <v>5997.19</v>
          </cell>
          <cell r="G1140">
            <v>41451</v>
          </cell>
        </row>
        <row r="1141">
          <cell r="C1141">
            <v>2120</v>
          </cell>
          <cell r="D1141" t="str">
            <v>Suministro E Instalacion De Caja De Paso De Interperie De 240 X 310 X 120</v>
          </cell>
          <cell r="E1141" t="str">
            <v>UN</v>
          </cell>
          <cell r="F1141">
            <v>76805.5</v>
          </cell>
          <cell r="G1141">
            <v>41451</v>
          </cell>
        </row>
        <row r="1142">
          <cell r="C1142">
            <v>2122</v>
          </cell>
          <cell r="D1142" t="str">
            <v>Perforaciones En Lamina Super Board, Para Empotrar Lampara, Ductos De Aire Acondicionado, Rejillas, Entre Otros</v>
          </cell>
          <cell r="E1142" t="str">
            <v>UN</v>
          </cell>
          <cell r="F1142">
            <v>21411.88</v>
          </cell>
          <cell r="G1142">
            <v>40746</v>
          </cell>
        </row>
        <row r="1143">
          <cell r="C1143">
            <v>2123</v>
          </cell>
          <cell r="D1143" t="str">
            <v>Perforaciones En Muro De 0.40 X 0.40 Metros, Incluye Filetes Y Acabado</v>
          </cell>
          <cell r="E1143" t="str">
            <v>UN</v>
          </cell>
          <cell r="F1143">
            <v>47508.81</v>
          </cell>
          <cell r="G1143">
            <v>40746</v>
          </cell>
        </row>
        <row r="1144">
          <cell r="C1144">
            <v>2127</v>
          </cell>
          <cell r="D1144" t="str">
            <v>E - Salida En Cable No. 4 + 1 No. 4 + 1 No. 6 (T)</v>
          </cell>
          <cell r="E1144" t="str">
            <v>ML</v>
          </cell>
          <cell r="F1144">
            <v>69294.38</v>
          </cell>
          <cell r="G1144">
            <v>41451</v>
          </cell>
        </row>
        <row r="1145">
          <cell r="C1145">
            <v>2128</v>
          </cell>
          <cell r="D1145" t="str">
            <v>Suministro E Instalacion De Cielo Raso En Lamina Superboard, Con Estructura Metalica Y Perfil Omega A Cada 0.41 Metros.</v>
          </cell>
          <cell r="E1145" t="str">
            <v>M2</v>
          </cell>
          <cell r="F1145">
            <v>49592.03</v>
          </cell>
          <cell r="G1145">
            <v>41927</v>
          </cell>
        </row>
        <row r="1146">
          <cell r="C1146">
            <v>2129</v>
          </cell>
          <cell r="D1146" t="str">
            <v>Suministro E Instalacion De Estructura De Soporte Adicional Para Condiciones Diferentes De Amarre Del Cielo Raso Con Lamina Superboard</v>
          </cell>
          <cell r="E1146" t="str">
            <v>ML</v>
          </cell>
          <cell r="F1146">
            <v>27034.27</v>
          </cell>
          <cell r="G1146">
            <v>40792</v>
          </cell>
        </row>
        <row r="1147">
          <cell r="C1147">
            <v>2137</v>
          </cell>
          <cell r="D1147" t="str">
            <v>Pañete Allanado Impermeabilizado Sobre Losa De Entrepiso, Mortero 1:4</v>
          </cell>
          <cell r="E1147" t="str">
            <v>M2</v>
          </cell>
          <cell r="F1147">
            <v>19336.52</v>
          </cell>
          <cell r="G1147">
            <v>40785</v>
          </cell>
        </row>
        <row r="1148">
          <cell r="C1148">
            <v>2138</v>
          </cell>
          <cell r="D1148" t="str">
            <v>Columna En Tuberia Pvc D = 2", Rellena Con Mortero 1:4, Incluye Acero De Refuerzo 1 Varilla De 3/8"</v>
          </cell>
          <cell r="E1148" t="str">
            <v>ML</v>
          </cell>
          <cell r="F1148">
            <v>21656.52</v>
          </cell>
          <cell r="G1148">
            <v>40785</v>
          </cell>
        </row>
        <row r="1149">
          <cell r="C1149">
            <v>2139</v>
          </cell>
          <cell r="D1149" t="str">
            <v>Suministro E Instalacion De Extractor De Aire De 6" Cuadrado Kdk</v>
          </cell>
          <cell r="E1149" t="str">
            <v>UN</v>
          </cell>
          <cell r="F1149">
            <v>121590</v>
          </cell>
          <cell r="G1149">
            <v>40785</v>
          </cell>
        </row>
        <row r="1150">
          <cell r="C1150">
            <v>2140</v>
          </cell>
          <cell r="D1150" t="str">
            <v>Suministro E Instalacion De Canaleta Plastica De 100 X 45 Mm Lisa Dexon</v>
          </cell>
          <cell r="E1150" t="str">
            <v>ML</v>
          </cell>
          <cell r="F1150">
            <v>33019.67</v>
          </cell>
          <cell r="G1150">
            <v>40785</v>
          </cell>
        </row>
        <row r="1151">
          <cell r="C1151">
            <v>2141</v>
          </cell>
          <cell r="D1151" t="str">
            <v>Cimiento De 0.30 X 0.30 Mts, En Concreto De 2500 Psi Reforzado Con 4 Varillas De 1/2", Estribos De 3/8" A Cada 0.20 Mts</v>
          </cell>
          <cell r="E1151" t="str">
            <v>ML</v>
          </cell>
          <cell r="F1151">
            <v>78450.11</v>
          </cell>
          <cell r="G1151">
            <v>42201</v>
          </cell>
        </row>
        <row r="1152">
          <cell r="C1152">
            <v>2142</v>
          </cell>
          <cell r="D1152" t="str">
            <v>Viga De Amarre En Concreto De 3000 Psi De 0.15 X 0.20 Metros, Incluye Acero De Refuerzo 2 Varillas D = 3/8", Estribos D = 1/4" A Cada 0.20 Metros</v>
          </cell>
          <cell r="E1152" t="str">
            <v>ML</v>
          </cell>
          <cell r="F1152">
            <v>36481.33</v>
          </cell>
          <cell r="G1152">
            <v>42779</v>
          </cell>
        </row>
        <row r="1153">
          <cell r="C1153">
            <v>2143</v>
          </cell>
          <cell r="D1153" t="str">
            <v>Plantilla De Piso En Concreto De 2000 Psi E = 0.05 Metros</v>
          </cell>
          <cell r="E1153" t="str">
            <v>M2</v>
          </cell>
          <cell r="F1153">
            <v>20871.11</v>
          </cell>
          <cell r="G1153">
            <v>42201</v>
          </cell>
        </row>
        <row r="1154">
          <cell r="C1154">
            <v>2144</v>
          </cell>
          <cell r="D1154" t="str">
            <v>Viga Dintel En Concreto De 2000 Psi De 0.10 X 0.20, Incluye 2 Varillas De 3/8"</v>
          </cell>
          <cell r="E1154" t="str">
            <v>ML</v>
          </cell>
          <cell r="F1154">
            <v>31661.71</v>
          </cell>
          <cell r="G1154">
            <v>42601</v>
          </cell>
        </row>
        <row r="1155">
          <cell r="C1155">
            <v>2145</v>
          </cell>
          <cell r="D1155" t="str">
            <v>Pañete Mortero 1:6 Impermeabilizado, Allanado Sobre Muro E = 0.025 Metros</v>
          </cell>
          <cell r="E1155" t="str">
            <v>M2</v>
          </cell>
          <cell r="F1155">
            <v>19208.36</v>
          </cell>
          <cell r="G1155">
            <v>40816</v>
          </cell>
        </row>
        <row r="1156">
          <cell r="C1156">
            <v>2146</v>
          </cell>
          <cell r="D1156" t="str">
            <v>Suministro E Instalacion De Puerta Entamborada De 2.00 X 1.00 Metros Incluye Marco En Madera, Bisagras Y Cerrojo O Pasador</v>
          </cell>
          <cell r="E1156" t="str">
            <v>UN</v>
          </cell>
          <cell r="F1156">
            <v>264848.33</v>
          </cell>
          <cell r="G1156">
            <v>40816</v>
          </cell>
        </row>
        <row r="1157">
          <cell r="C1157">
            <v>2148</v>
          </cell>
          <cell r="D1157" t="str">
            <v>Suministro E Instalación De Rejilla De Retorno De Aire Acondicionado En Aluminio Blanco De 18" X 12" Sin Damper Mas Contramarco.</v>
          </cell>
          <cell r="E1157" t="str">
            <v>UN</v>
          </cell>
          <cell r="F1157">
            <v>129685</v>
          </cell>
          <cell r="G1157">
            <v>41144</v>
          </cell>
        </row>
        <row r="1158">
          <cell r="C1158">
            <v>2151</v>
          </cell>
          <cell r="D1158" t="str">
            <v>E - Suministro, Instalacion Y Montaje De Transformador Seco De 15 Kva, 225 Vp, 214/124 Vs, Marca Jlb O Similar</v>
          </cell>
          <cell r="E1158" t="str">
            <v>UN</v>
          </cell>
          <cell r="F1158">
            <v>4321875</v>
          </cell>
          <cell r="G1158">
            <v>41737</v>
          </cell>
        </row>
        <row r="1159">
          <cell r="C1159">
            <v>2152</v>
          </cell>
          <cell r="D1159" t="str">
            <v>Base En Concreto Fluido De 1500 Psi E= 0.15 Metros</v>
          </cell>
          <cell r="E1159" t="str">
            <v>M2</v>
          </cell>
          <cell r="F1159">
            <v>80288.08</v>
          </cell>
          <cell r="G1159">
            <v>41052</v>
          </cell>
        </row>
        <row r="1160">
          <cell r="C1160">
            <v>2153</v>
          </cell>
          <cell r="D1160" t="str">
            <v>Base En Concreto Fluído De 1500 Psi Premezclado, E = 0.15 Metros</v>
          </cell>
          <cell r="E1160" t="str">
            <v>M2</v>
          </cell>
          <cell r="F1160">
            <v>52556</v>
          </cell>
          <cell r="G1160">
            <v>42524</v>
          </cell>
        </row>
        <row r="1161">
          <cell r="C1161">
            <v>2156</v>
          </cell>
          <cell r="D1161" t="str">
            <v>Solado En Concreto De 1500 Psi E = 0.07 Metros</v>
          </cell>
          <cell r="E1161" t="str">
            <v>M2</v>
          </cell>
          <cell r="F1161">
            <v>33480.11</v>
          </cell>
          <cell r="G1161">
            <v>41008</v>
          </cell>
        </row>
        <row r="1162">
          <cell r="C1162">
            <v>2158</v>
          </cell>
          <cell r="D1162" t="str">
            <v>Pavimento En Concreto Rígido Mr = 600 Psi,  E = 0.30 Metros, Pasadores  D = 1 1/2" - Longitud 0.50 Metros A Cada 0.30 Metros Y D = 5/8" - Longitud 1.00 Metro A Cada 1.20 Metros, Junta Y Antisol, Acelerado A 3 Dias</v>
          </cell>
          <cell r="E1162" t="str">
            <v>M2</v>
          </cell>
          <cell r="F1162">
            <v>193080.6</v>
          </cell>
          <cell r="G1162">
            <v>42493</v>
          </cell>
        </row>
        <row r="1163">
          <cell r="C1163">
            <v>2159</v>
          </cell>
          <cell r="D1163" t="str">
            <v>Placa De Fondo En Concreto De 3000 Psi, E = 0.30 Metros, No Incluye Acero De Refuerzo</v>
          </cell>
          <cell r="E1163" t="str">
            <v>M2</v>
          </cell>
          <cell r="F1163">
            <v>154710.65</v>
          </cell>
          <cell r="G1163">
            <v>41345</v>
          </cell>
        </row>
        <row r="1164">
          <cell r="C1164">
            <v>2160</v>
          </cell>
          <cell r="D1164" t="str">
            <v>Pavimento En Concreto Rígido Mr = 650 Psi, E = 0.30 Metros, Pasadores D = 1 1/2" - Longitud 0.50 Metros A Cada 0.30 Metros Y D = 5/8" - Longitud 1.00 Metros A Cada 1.20 Metros, Junta Y Antisol</v>
          </cell>
          <cell r="E1164" t="str">
            <v>M2</v>
          </cell>
          <cell r="F1164">
            <v>189809.29</v>
          </cell>
          <cell r="G1164">
            <v>42493</v>
          </cell>
        </row>
        <row r="1165">
          <cell r="C1165">
            <v>2161</v>
          </cell>
          <cell r="D1165" t="str">
            <v>Desmonte De Rejilla De Piso Metálica, De 4.00 X 8.00 Metros, Anclada En Placa De Concreto, Incluye Retiro De Material</v>
          </cell>
          <cell r="E1165" t="str">
            <v>M2</v>
          </cell>
          <cell r="F1165">
            <v>23815</v>
          </cell>
          <cell r="G1165">
            <v>41345</v>
          </cell>
        </row>
        <row r="1166">
          <cell r="C1166">
            <v>2162</v>
          </cell>
          <cell r="D1166" t="str">
            <v>Excavación A Mano</v>
          </cell>
          <cell r="E1166" t="str">
            <v>M3</v>
          </cell>
          <cell r="F1166">
            <v>18051.11</v>
          </cell>
          <cell r="G1166">
            <v>42578</v>
          </cell>
        </row>
        <row r="1167">
          <cell r="C1167">
            <v>2163</v>
          </cell>
          <cell r="D1167" t="str">
            <v>Pañete Allanado Sobre Losa De Entrepiso, Mortero 1:4 Impermeabilizado Con Sika 1</v>
          </cell>
          <cell r="E1167" t="str">
            <v>M2</v>
          </cell>
          <cell r="F1167">
            <v>19416.52</v>
          </cell>
          <cell r="G1167">
            <v>42496</v>
          </cell>
        </row>
        <row r="1168">
          <cell r="C1168">
            <v>2170</v>
          </cell>
          <cell r="D1168" t="str">
            <v>Punto De Agua Potable En Pvc De 1 1/4"</v>
          </cell>
          <cell r="E1168" t="str">
            <v>UN</v>
          </cell>
          <cell r="F1168">
            <v>67099.75</v>
          </cell>
          <cell r="G1168">
            <v>41927</v>
          </cell>
        </row>
        <row r="1169">
          <cell r="C1169">
            <v>2171</v>
          </cell>
          <cell r="D1169" t="str">
            <v>Suministro E Instalación De Tubería De Agua Potable En Pvc 1 1/4"</v>
          </cell>
          <cell r="E1169" t="str">
            <v>ML</v>
          </cell>
          <cell r="F1169">
            <v>26093.19</v>
          </cell>
          <cell r="G1169">
            <v>42524</v>
          </cell>
        </row>
        <row r="1170">
          <cell r="C1170">
            <v>2173</v>
          </cell>
          <cell r="D1170" t="str">
            <v>Suministro E Instalación De Sanitario Taza Báltica De Color Blanco, Incluye Grifería De Fluxómetro Ref. 02657, Línea Corona O Similar</v>
          </cell>
          <cell r="E1170" t="str">
            <v>UN</v>
          </cell>
          <cell r="F1170">
            <v>741407</v>
          </cell>
          <cell r="G1170">
            <v>42241</v>
          </cell>
        </row>
        <row r="1171">
          <cell r="C1171">
            <v>2175</v>
          </cell>
          <cell r="D1171" t="str">
            <v>Suministro E Instalación De Sanitario Montecarlo Alongado, Color Blanco, Línea Corona O Similar,  Incluye Grifería E Incrustación De Papelera</v>
          </cell>
          <cell r="E1171" t="str">
            <v>UN</v>
          </cell>
          <cell r="F1171">
            <v>481407</v>
          </cell>
          <cell r="G1171">
            <v>42578</v>
          </cell>
        </row>
        <row r="1172">
          <cell r="C1172">
            <v>2177</v>
          </cell>
          <cell r="D1172" t="str">
            <v>Suministro E Instalación De Orinal Gotta Color Blanco, Línea Corona O Similar, Incluye Griferia Push Antivandálica</v>
          </cell>
          <cell r="E1172" t="str">
            <v>UN</v>
          </cell>
          <cell r="F1172">
            <v>906835</v>
          </cell>
          <cell r="G1172">
            <v>42538</v>
          </cell>
        </row>
        <row r="1173">
          <cell r="C1173">
            <v>2179</v>
          </cell>
          <cell r="D1173" t="str">
            <v>Suministro E Instalación De Lavamanos De Sobreponer Marsella Color Blanco, Linea Corona O Similar, Incluye Griferia Push Antivandálica E Incrustación De Jabonera</v>
          </cell>
          <cell r="E1173" t="str">
            <v>UN</v>
          </cell>
          <cell r="F1173">
            <v>352180.17</v>
          </cell>
          <cell r="G1173">
            <v>42578</v>
          </cell>
        </row>
        <row r="1174">
          <cell r="C1174">
            <v>2180</v>
          </cell>
          <cell r="D1174" t="str">
            <v>Suministro E Instalación De Muro Drywall En Lámina Superboard De 6 Mm Por Ambas Caras</v>
          </cell>
          <cell r="E1174" t="str">
            <v>M2</v>
          </cell>
          <cell r="F1174">
            <v>73357.19</v>
          </cell>
          <cell r="G1174">
            <v>42403</v>
          </cell>
        </row>
        <row r="1175">
          <cell r="C1175">
            <v>2182</v>
          </cell>
          <cell r="D1175" t="str">
            <v>Enchape En Cerámica Nevada Brillante  Blanco De 0.40 X 0.40 Metros</v>
          </cell>
          <cell r="E1175" t="str">
            <v>M2</v>
          </cell>
          <cell r="F1175">
            <v>63748.25</v>
          </cell>
          <cell r="G1175">
            <v>42534</v>
          </cell>
        </row>
        <row r="1176">
          <cell r="C1176">
            <v>2184</v>
          </cell>
          <cell r="D1176" t="str">
            <v>Piso En Cerámica Nantes De 0.55 X 0.55 Metros</v>
          </cell>
          <cell r="E1176" t="str">
            <v>M2</v>
          </cell>
          <cell r="F1176">
            <v>65540.91</v>
          </cell>
          <cell r="G1176">
            <v>42472</v>
          </cell>
        </row>
        <row r="1177">
          <cell r="C1177">
            <v>2187</v>
          </cell>
          <cell r="D1177" t="str">
            <v>Suministro E Instalación De Mesón De Cocina En Acero Inoxidable De 1.20 Metros, Incluye Poceta, Mueble Superior E Inferior, Accesorios Y Grifería</v>
          </cell>
          <cell r="E1177" t="str">
            <v>UN</v>
          </cell>
          <cell r="F1177">
            <v>1164648.75</v>
          </cell>
          <cell r="G1177">
            <v>42538</v>
          </cell>
        </row>
        <row r="1178">
          <cell r="C1178">
            <v>2189</v>
          </cell>
          <cell r="D1178" t="str">
            <v>Suministro E Instalación Flotante De Cristal Flotado Importado De 5 Mm, Bordes Pulidos Y Brillados, Incluye Perfil De Aluminio, Dilatadores Perforados, Tornillería En Acero Inoxidable</v>
          </cell>
          <cell r="E1178" t="str">
            <v>M2</v>
          </cell>
          <cell r="F1178">
            <v>170702.5</v>
          </cell>
          <cell r="G1178">
            <v>42472</v>
          </cell>
        </row>
        <row r="1179">
          <cell r="C1179">
            <v>2190</v>
          </cell>
          <cell r="D1179" t="str">
            <v>Suministro E Instalación De Cubierta De Mesón En Granito Natural Negro Diamantex, Incluye Zócalo De 0.07 Metros Y Bisel Doble Donde Se Requiera</v>
          </cell>
          <cell r="E1179" t="str">
            <v>ML</v>
          </cell>
          <cell r="F1179">
            <v>266800</v>
          </cell>
          <cell r="G1179">
            <v>42472</v>
          </cell>
        </row>
        <row r="1180">
          <cell r="C1180">
            <v>2193</v>
          </cell>
          <cell r="D1180" t="str">
            <v>Suministro E Instalación De Válvula De Control De 1/2" Tipo Red White O Similar</v>
          </cell>
          <cell r="E1180" t="str">
            <v>UN</v>
          </cell>
          <cell r="F1180">
            <v>49981.7</v>
          </cell>
          <cell r="G1180">
            <v>42472</v>
          </cell>
        </row>
        <row r="1181">
          <cell r="C1181">
            <v>2196</v>
          </cell>
          <cell r="D1181" t="str">
            <v>Suministro E Instalación De Válvula De Control De 1 1/4 " Tipo Red White O Similar</v>
          </cell>
          <cell r="E1181" t="str">
            <v>UN</v>
          </cell>
          <cell r="F1181">
            <v>105082.88</v>
          </cell>
          <cell r="G1181">
            <v>42578</v>
          </cell>
        </row>
        <row r="1182">
          <cell r="C1182">
            <v>2197</v>
          </cell>
          <cell r="D1182" t="str">
            <v>Pavimento En Concreto Rígido De 3500 Psi E = 0.15 Mts, Pasadores D = 3/4"  - Longitud 0.35 Metros A Cada 0.30 Metros  Y  D = 1/2" Longitud De 0.85 A Cada 1.20 Metros, Junta Y Antisol</v>
          </cell>
          <cell r="E1182" t="str">
            <v>M2</v>
          </cell>
          <cell r="F1182">
            <v>96575.77</v>
          </cell>
          <cell r="G1182">
            <v>42493</v>
          </cell>
        </row>
        <row r="1183">
          <cell r="C1183">
            <v>2203</v>
          </cell>
          <cell r="D1183" t="str">
            <v>Corral En Madera Vareta Altura De Cerca 1.60 Metros, Con Postes En Madera Vareta De 4" X 4" A Cada 1.00 Metros, Con 4 Tiras Horizontales De 4" X 2", Incluye Pintura Vareta Impermeabilizante</v>
          </cell>
          <cell r="E1183" t="str">
            <v>ML</v>
          </cell>
          <cell r="F1183">
            <v>110881.01</v>
          </cell>
          <cell r="G1183">
            <v>41011</v>
          </cell>
        </row>
        <row r="1184">
          <cell r="C1184">
            <v>2204</v>
          </cell>
          <cell r="D1184" t="str">
            <v>Embarcadero  En Madera Vareta Altura 2.00 Metros, Con Postes En Madera Vareta De 4" X 4" , Con 4 Tiras Horizontales De 4" X 2", Incluye Pintura Vareta Impermeabilizante</v>
          </cell>
          <cell r="E1184" t="str">
            <v>ML</v>
          </cell>
          <cell r="F1184">
            <v>141962.43</v>
          </cell>
          <cell r="G1184">
            <v>41008</v>
          </cell>
        </row>
        <row r="1185">
          <cell r="C1185">
            <v>2207</v>
          </cell>
          <cell r="D1185" t="str">
            <v>Suministro E Instalación De Portón De Doble Hoja En Lámina Galvanizada Calibre 18 De 2.40 X 5.00 Metros, Incluye Marcos Y Refuerzo En Tubería Galvanizada D = 2", Pintura Con Anticorrosivo Y Esmalte, Cerraduras Y Herrajes.</v>
          </cell>
          <cell r="E1185" t="str">
            <v>M2</v>
          </cell>
          <cell r="F1185">
            <v>178837.2</v>
          </cell>
          <cell r="G1185">
            <v>41927</v>
          </cell>
        </row>
        <row r="1186">
          <cell r="C1186">
            <v>2208</v>
          </cell>
          <cell r="D1186" t="str">
            <v>Muro De Contención En Concreto De 3000 Psi, Altura Promedio 0.50 Metros, E = 0.25 Metros, Incluye Acero Figurado</v>
          </cell>
          <cell r="E1186" t="str">
            <v>ML</v>
          </cell>
          <cell r="F1186">
            <v>80135.399999999994</v>
          </cell>
          <cell r="G1186">
            <v>42240</v>
          </cell>
        </row>
        <row r="1187">
          <cell r="C1187">
            <v>2209</v>
          </cell>
          <cell r="D1187" t="str">
            <v>Suministro E Instalación De Sistema De Tratamiento De Aguas Negras, Incluye Trampa De Grasa, Tanque Septico Y Filtro Anaerobico, Capacidad De 2000 Litros</v>
          </cell>
          <cell r="E1187" t="str">
            <v>UN</v>
          </cell>
          <cell r="F1187">
            <v>1800000</v>
          </cell>
          <cell r="G1187">
            <v>41008</v>
          </cell>
        </row>
        <row r="1188">
          <cell r="C1188">
            <v>2210</v>
          </cell>
          <cell r="D1188" t="str">
            <v>Siembra De Pasto Mombasa, Incluye Preparación De Terreno Y Proceso De Pega</v>
          </cell>
          <cell r="E1188" t="str">
            <v>M2</v>
          </cell>
          <cell r="F1188">
            <v>3000</v>
          </cell>
          <cell r="G1188">
            <v>41676</v>
          </cell>
        </row>
        <row r="1189">
          <cell r="C1189">
            <v>2212</v>
          </cell>
          <cell r="D1189" t="str">
            <v>Suministro E Instalación De Lavamanos De Sobreponer Manantial Duo, Linea Corona O Similar, Incluye Griferia Push Antivandálica E Incrustación De Jabonera</v>
          </cell>
          <cell r="E1189" t="str">
            <v>UN</v>
          </cell>
          <cell r="F1189">
            <v>417076.17</v>
          </cell>
          <cell r="G1189">
            <v>42538</v>
          </cell>
        </row>
        <row r="1190">
          <cell r="C1190">
            <v>2213</v>
          </cell>
          <cell r="D1190" t="str">
            <v>Levante De Muro En Bloque Vibrado Estructural, Espesor 0.20 Metros, Con Celdas Rellenas En Mortero 1:4, No Incluye Acero De Refuerzo</v>
          </cell>
          <cell r="E1190" t="str">
            <v>M2</v>
          </cell>
          <cell r="F1190">
            <v>91158.75</v>
          </cell>
          <cell r="G1190">
            <v>41009</v>
          </cell>
        </row>
        <row r="1191">
          <cell r="C1191">
            <v>2214</v>
          </cell>
          <cell r="D1191" t="str">
            <v>Placa Para Losas Superiores De 3500 Psi, E = 0.15 Metros</v>
          </cell>
          <cell r="E1191" t="str">
            <v>M2</v>
          </cell>
          <cell r="F1191">
            <v>120372.28</v>
          </cell>
          <cell r="G1191">
            <v>41009</v>
          </cell>
        </row>
        <row r="1192">
          <cell r="C1192">
            <v>2215</v>
          </cell>
          <cell r="D1192" t="str">
            <v>Pavimento En Concreto Rígido Mr = 600, E = 0.15 Metros, Pasadores D = 3/4" - Longitud 0.35 Metros A Cada 0.30 Metros Y D = 1/2" - Longitud 0.85 Metros A Cada 1.20 Metros, Junta Y Antisol</v>
          </cell>
          <cell r="E1192" t="str">
            <v>M2</v>
          </cell>
          <cell r="F1192">
            <v>109029.12</v>
          </cell>
          <cell r="G1192">
            <v>42493</v>
          </cell>
        </row>
        <row r="1193">
          <cell r="C1193">
            <v>2217</v>
          </cell>
          <cell r="D1193" t="str">
            <v>Construcción De Filtro France De 0.60 X 0.40 Metros, Incluye Geotextil Nt 1800</v>
          </cell>
          <cell r="E1193" t="str">
            <v>ML</v>
          </cell>
          <cell r="F1193">
            <v>38708.22</v>
          </cell>
          <cell r="G1193">
            <v>41508</v>
          </cell>
        </row>
        <row r="1194">
          <cell r="C1194">
            <v>2218</v>
          </cell>
          <cell r="D1194" t="str">
            <v>Suministro E Instalación De Cubierta Con Altura &gt; 8.00 Metros, En Lámina Ondulada De Asbesto Cemento, Incluye Amarres Y Ganchos De Fijación, Estructura De Soporte En Madera De Abarco, Para La Nave Principal De La Zona De Alojamiento (Ver Diseño)</v>
          </cell>
          <cell r="E1194" t="str">
            <v>M2</v>
          </cell>
          <cell r="F1194">
            <v>118562.2</v>
          </cell>
          <cell r="G1194">
            <v>41144</v>
          </cell>
        </row>
        <row r="1195">
          <cell r="C1195">
            <v>2219</v>
          </cell>
          <cell r="D1195" t="str">
            <v>Muro De Contención, Muro Para Soporte O Estribos De Puente, Y Box Culvert En Concreto De 3500 Psi, No Incluye Acero De Refuerzo</v>
          </cell>
          <cell r="E1195" t="str">
            <v>M3</v>
          </cell>
          <cell r="F1195">
            <v>637250.1</v>
          </cell>
          <cell r="G1195">
            <v>42437</v>
          </cell>
        </row>
        <row r="1196">
          <cell r="C1196">
            <v>2223</v>
          </cell>
          <cell r="D1196" t="str">
            <v>Suministro E Instalación De Lavamanos Corrido En Granito Natural Negro Diamante .X, De Longitud 1.45 Metros, Incluye 2 Griferías Para Lavamanos De Mesa Push Antivandálico, Desague Push Y Sifón</v>
          </cell>
          <cell r="E1196" t="str">
            <v>UN</v>
          </cell>
          <cell r="F1196">
            <v>1108207.28</v>
          </cell>
          <cell r="G1196">
            <v>41131</v>
          </cell>
        </row>
        <row r="1197">
          <cell r="C1197">
            <v>2226</v>
          </cell>
          <cell r="D1197" t="str">
            <v>Suministro E Instalación De Cubierta Para Mesón En Quarzton Aquabianca De 20 Mm Con Frentero Y Zócalo, Incluye Estructura Metálica De Soporte</v>
          </cell>
          <cell r="E1197" t="str">
            <v>ML</v>
          </cell>
          <cell r="F1197">
            <v>738168.75</v>
          </cell>
          <cell r="G1197">
            <v>41131</v>
          </cell>
        </row>
        <row r="1198">
          <cell r="C1198">
            <v>2227</v>
          </cell>
          <cell r="D1198" t="str">
            <v>Suministro E Instalación De Mueble Colgante Para Lavamanos De Longitud 1.10 Metros, En Lámina Triplex Pizano De 12 Mm, Acabado En Pintura Color Wenge, Incluye Bisagras, Cerraduras Y Manijas (Ver Diseño)</v>
          </cell>
          <cell r="E1198" t="str">
            <v>UN</v>
          </cell>
          <cell r="F1198">
            <v>650000</v>
          </cell>
          <cell r="G1198">
            <v>42429</v>
          </cell>
        </row>
        <row r="1199">
          <cell r="C1199">
            <v>2228</v>
          </cell>
          <cell r="D1199" t="str">
            <v>Suministro E Instalación De 3 Entrepaños Y Fondo En Tripelx Pizano De 12 Mm Acabado En Pintura Color Wenge (Ver Diseño)</v>
          </cell>
          <cell r="E1199" t="str">
            <v>GL</v>
          </cell>
          <cell r="F1199">
            <v>290000</v>
          </cell>
          <cell r="G1199">
            <v>41131</v>
          </cell>
        </row>
        <row r="1200">
          <cell r="C1200">
            <v>2236</v>
          </cell>
          <cell r="D1200" t="str">
            <v>Anclaje Por Metro Lineal (Ml) De Pantalla. Activos De 4" - Torones De 1/2"</v>
          </cell>
          <cell r="E1200" t="str">
            <v>ML</v>
          </cell>
          <cell r="F1200">
            <v>409975.47</v>
          </cell>
          <cell r="G1200">
            <v>41025</v>
          </cell>
        </row>
        <row r="1201">
          <cell r="C1201">
            <v>2237</v>
          </cell>
          <cell r="D1201" t="str">
            <v>Pilotes Pre Excavados (Diámetro De 0.60 A 0.80 Metros . Excavación En Terrenos Con Material Roca, Caliza, Arcilla, Etc. - Con Piloteadora De Balde O Tricono Con Bentonita O Encamisados Según Necesidad)</v>
          </cell>
          <cell r="E1201" t="str">
            <v>ML</v>
          </cell>
          <cell r="F1201">
            <v>394608.33</v>
          </cell>
          <cell r="G1201">
            <v>41025</v>
          </cell>
        </row>
        <row r="1202">
          <cell r="C1202">
            <v>2238</v>
          </cell>
          <cell r="D1202" t="str">
            <v>Concreto Tipo Tremie 280 Mpa. Premezclado Para Pilotes - Sin Acero, Diámetro Variable Máximo 0.80 Metros</v>
          </cell>
          <cell r="E1202" t="str">
            <v>M3</v>
          </cell>
          <cell r="F1202">
            <v>757418.4</v>
          </cell>
          <cell r="G1202">
            <v>41025</v>
          </cell>
        </row>
        <row r="1203">
          <cell r="C1203">
            <v>2239</v>
          </cell>
          <cell r="D1203" t="str">
            <v>Concreto Tipo Tremie 280 Mpa. Acelerado A 3 Días, Premezclado Para Pilotes Sin Acero, Diámetro Máximo 0.80 Metros</v>
          </cell>
          <cell r="E1203" t="str">
            <v>M3</v>
          </cell>
          <cell r="F1203">
            <v>819904.6</v>
          </cell>
          <cell r="G1203">
            <v>41025</v>
          </cell>
        </row>
        <row r="1204">
          <cell r="C1204">
            <v>2240</v>
          </cell>
          <cell r="D1204" t="str">
            <v>Concreto Tipo Normal Fluido 280 Mpa. Premezclado Para Muros, Vigas Cabezal, Sin Acero</v>
          </cell>
          <cell r="E1204" t="str">
            <v>M3</v>
          </cell>
          <cell r="F1204">
            <v>679246.64</v>
          </cell>
          <cell r="G1204">
            <v>41024</v>
          </cell>
        </row>
        <row r="1205">
          <cell r="C1205">
            <v>2245</v>
          </cell>
          <cell r="D1205" t="str">
            <v>Concreto Tipo Normal Fluido 280 Mpa. Premezclado Para Muros - Vigas Cabezal, Sin Acero</v>
          </cell>
          <cell r="E1205" t="str">
            <v>M3</v>
          </cell>
          <cell r="F1205">
            <v>976590.77</v>
          </cell>
          <cell r="G1205">
            <v>41508</v>
          </cell>
        </row>
        <row r="1206">
          <cell r="C1206">
            <v>2246</v>
          </cell>
          <cell r="D1206" t="str">
            <v>Empradización Ladera Con Pasto Vetiver Sin Manto Para La Erosión</v>
          </cell>
          <cell r="E1206" t="str">
            <v>M2</v>
          </cell>
          <cell r="F1206">
            <v>28434.87</v>
          </cell>
          <cell r="G1206">
            <v>41906</v>
          </cell>
        </row>
        <row r="1207">
          <cell r="C1207">
            <v>2248</v>
          </cell>
          <cell r="D1207" t="str">
            <v>Empradizacion Ladera Con Semilla</v>
          </cell>
          <cell r="E1207" t="str">
            <v>M2</v>
          </cell>
          <cell r="F1207">
            <v>18220.169999999998</v>
          </cell>
          <cell r="G1207">
            <v>41025</v>
          </cell>
        </row>
        <row r="1208">
          <cell r="C1208">
            <v>2249</v>
          </cell>
          <cell r="D1208" t="str">
            <v>Relleno Con Material Del Sitio (Incluye Corte, Traslado, Extendida, Humectación Y Compactación</v>
          </cell>
          <cell r="E1208" t="str">
            <v>M3</v>
          </cell>
          <cell r="F1208">
            <v>21623</v>
          </cell>
          <cell r="G1208">
            <v>42240</v>
          </cell>
        </row>
        <row r="1209">
          <cell r="C1209">
            <v>2250</v>
          </cell>
          <cell r="D1209" t="str">
            <v>Solado En Concreto De 1500 Psi E = 0.10 Metros</v>
          </cell>
          <cell r="E1209" t="str">
            <v>M3</v>
          </cell>
          <cell r="F1209">
            <v>343145.04</v>
          </cell>
          <cell r="G1209">
            <v>41025</v>
          </cell>
        </row>
        <row r="1210">
          <cell r="C1210">
            <v>2251</v>
          </cell>
          <cell r="D1210" t="str">
            <v>Zócalo Media Caña En Piedra China Y/O Granito Lavado</v>
          </cell>
          <cell r="E1210" t="str">
            <v>ML</v>
          </cell>
          <cell r="F1210">
            <v>11137.4</v>
          </cell>
          <cell r="G1210">
            <v>41591</v>
          </cell>
        </row>
        <row r="1211">
          <cell r="C1211">
            <v>2252</v>
          </cell>
          <cell r="D1211" t="str">
            <v>Suministro E Instalación De Puesto Secretarial, Superficies (Promedio De 1.80 X 0.60 Metros) En Tablex De 25 Mm, Enchapadas En Formica, Con Archivador Metálico Con Pintura Electro Estática, Costados Metálicos, Platinas Y Soportes Unión Metálicos</v>
          </cell>
          <cell r="E1211" t="str">
            <v>UN</v>
          </cell>
          <cell r="F1211">
            <v>600000</v>
          </cell>
          <cell r="G1211">
            <v>41044</v>
          </cell>
        </row>
        <row r="1212">
          <cell r="C1212">
            <v>2253</v>
          </cell>
          <cell r="D1212" t="str">
            <v>Suministro E Instalación De Puesto De Trabajo, Superficie De 2.30 X 0.60 Metros En Tablex De 25 Mm, Enchapadas En Formica, Con Archivador Metálico Con Pintura Electro Estática, Costados Metálicos, Platinas Y Soportes Unión Metálicos</v>
          </cell>
          <cell r="E1212" t="str">
            <v>UN</v>
          </cell>
          <cell r="F1212">
            <v>850000</v>
          </cell>
          <cell r="G1212">
            <v>41044</v>
          </cell>
        </row>
        <row r="1213">
          <cell r="C1213">
            <v>2254</v>
          </cell>
          <cell r="D1213" t="str">
            <v>Suministro E Instalación De Puesto De Trabajo Jefe, Superficies De 1.50 X 1.50 X 0.60 Metros En Tablex De 25 Mm, Enchapadas En Formica, Con Archivador Metálico Con Pintura Electro Estática, Costados Metálicos, Falda, Platinas Y Soportes Unión Metálicos</v>
          </cell>
          <cell r="E1213" t="str">
            <v>UN</v>
          </cell>
          <cell r="F1213">
            <v>978000</v>
          </cell>
          <cell r="G1213">
            <v>41144</v>
          </cell>
        </row>
        <row r="1214">
          <cell r="C1214">
            <v>2255</v>
          </cell>
          <cell r="D1214" t="str">
            <v>Suministro E Instalación De Sistema Detector De Incendio. Modelo First Alert Sco5, Con Detector De Humo Y Monóxido De Carbón 2 En 1. Una Alarma Protege Contra Dos Amenazas: Detecta Humo Y Co. Resistente A Alarmas Fallidas Tecnología Sensora De  Humo Fotoelectrica &amp; Sensor De Co Electroquímico. 2 Baterías Aa, Cajón Frontal Para Bateria Permite Remplazar La Batería Sin Desmontar La Unidad, Advertencia De Nivel De Bateria, Alarma Con Sonido De 85 Decibel Y 5 Años De Garantia</v>
          </cell>
          <cell r="E1214" t="str">
            <v>UN</v>
          </cell>
          <cell r="F1214">
            <v>153000</v>
          </cell>
          <cell r="G1214">
            <v>41936</v>
          </cell>
        </row>
        <row r="1215">
          <cell r="C1215">
            <v>2256</v>
          </cell>
          <cell r="D1215" t="str">
            <v>E- Suministro E Instalación De Control De Acceso Con Lector Digital. Control De Acceso Biométrico Y Por Tarjeta O Ta710. * Memoria Para 3.000 Huellas Dactilares Y 80.000 Registros. Usa Chip Industrial Atmel, Velocidad De Computo Mejorada Para Identificar La Huella Dactilar ( Menos De 1 Segundo Para Buscar En 3.000 Registros). Lector 3 En 1, Sirve Para Huella Dactilar, Tarjetas De Proximidad Rfid Y Teclado.Tiene Conexiones Fastethernet Rs485 Y Puerto Usb 2.0 Velocidad. Entre Otras Caracteristicas</v>
          </cell>
          <cell r="E1215" t="str">
            <v>UN</v>
          </cell>
          <cell r="F1215">
            <v>3750000</v>
          </cell>
          <cell r="G1215">
            <v>41451</v>
          </cell>
        </row>
        <row r="1216">
          <cell r="C1216">
            <v>2257</v>
          </cell>
          <cell r="D1216" t="str">
            <v>Suministro E Instalacion De Mesa De Junta De 10 Puestos, Tipo U, Compuesta Pór 4 Superficies Curvas De 2.20 X 0.76 Y 0.90 Metros Y 5 Superficies De 1.90 Y 2.00 X 0.40 Y 1.24 Metros, Bases Compuestas Por 8 Arcos De 1.60 X 0.70 Metros, 12 Bases De 0.60 Y 0.40 X 0.70 Metros. Vidrio Templado De 10 Mm Bordes Pulidos Redondos De 2.00 Metros De Diametro, 8 Dilatadores De Acero Inoxidable</v>
          </cell>
          <cell r="E1216" t="str">
            <v>UN</v>
          </cell>
          <cell r="F1216">
            <v>10000000</v>
          </cell>
          <cell r="G1216">
            <v>41045</v>
          </cell>
        </row>
        <row r="1217">
          <cell r="C1217">
            <v>2258</v>
          </cell>
          <cell r="D1217" t="str">
            <v>Suministro E Instalacion De Mesa De Junta De 3 Puestos, Tipo C, Compuesta Por 2 Superficies Curvas De 2.40 X 0.80 Y 0.70 Metros, Bases Compuestas Por 3 Bases De 0.60 Y 0.40 X 0.70 Metros, 2 Arcos De 2.40 X 0.70 Metros</v>
          </cell>
          <cell r="E1217" t="str">
            <v>UN</v>
          </cell>
          <cell r="F1217">
            <v>2600000</v>
          </cell>
          <cell r="G1217">
            <v>41045</v>
          </cell>
        </row>
        <row r="1218">
          <cell r="C1218">
            <v>2263</v>
          </cell>
          <cell r="D1218" t="str">
            <v>Suministro E Instalación De Divisiones Modulares En Paño Y Vidrio, Paneles Llenos De 0.80, 0.60,Y 0.75 X 2.00 Metros,  Estructura Estrella En Aluminio Con Pintura Electrostática</v>
          </cell>
          <cell r="E1218" t="str">
            <v>M2</v>
          </cell>
          <cell r="F1218">
            <v>160000</v>
          </cell>
          <cell r="G1218">
            <v>41676</v>
          </cell>
        </row>
        <row r="1219">
          <cell r="C1219">
            <v>2265</v>
          </cell>
          <cell r="D1219" t="str">
            <v>Zócalo En Guardaescobas De Porcelanato O Cerámica</v>
          </cell>
          <cell r="E1219" t="str">
            <v>ML</v>
          </cell>
          <cell r="F1219">
            <v>12057.2</v>
          </cell>
          <cell r="G1219">
            <v>42478</v>
          </cell>
        </row>
        <row r="1220">
          <cell r="C1220">
            <v>2267</v>
          </cell>
          <cell r="D1220" t="str">
            <v>Pavimento En Concreto Rigido De 3500 Psi, Acelerado A 3 Días, E = 0.20 Metros Pasadores D = 1" - Longitud 0.35 Metros A Cada 0.30 Metros Y D= 1/2" - Longitud 0.85 Metros A Cada 1.20 Metros, Junta Y Antisol</v>
          </cell>
          <cell r="E1220" t="str">
            <v>M2</v>
          </cell>
          <cell r="F1220">
            <v>123210.94</v>
          </cell>
          <cell r="G1220">
            <v>42493</v>
          </cell>
        </row>
        <row r="1221">
          <cell r="C1221">
            <v>2268</v>
          </cell>
          <cell r="D1221" t="str">
            <v>Marco A Una Altura &gt; 4.00 Metros, En Concreto De 3000 Psi,   De 0.12 X 0.05 Metros, Incluye Varilla De Acero D = 1/4" Y Ganchos De Amarre</v>
          </cell>
          <cell r="E1221" t="str">
            <v>ML</v>
          </cell>
          <cell r="F1221">
            <v>99988.51</v>
          </cell>
          <cell r="G1221">
            <v>41366</v>
          </cell>
        </row>
        <row r="1222">
          <cell r="C1222">
            <v>2270</v>
          </cell>
          <cell r="D1222" t="str">
            <v>Letras Para Aviso En Cristanac Corona De 0.25 X 0.30 Metros, Aplicadas Sobre Muro A Una Altura &gt; 4.00 Metros</v>
          </cell>
          <cell r="E1222" t="str">
            <v>UN</v>
          </cell>
          <cell r="F1222">
            <v>87550.5</v>
          </cell>
          <cell r="G1222">
            <v>41366</v>
          </cell>
        </row>
        <row r="1223">
          <cell r="C1223">
            <v>2272</v>
          </cell>
          <cell r="D1223" t="str">
            <v>Columna De Altura 4.00 Metros, En Concreto De 3000 Psi, De 0.30 X 0.40 Metros, Incluye Acero De Refuerzo De 6 Varillas De 1/2", Estribos De 3/8" A Cada 0.20 Metros</v>
          </cell>
          <cell r="E1223" t="str">
            <v>ML</v>
          </cell>
          <cell r="F1223">
            <v>181285.19</v>
          </cell>
          <cell r="G1223">
            <v>41136</v>
          </cell>
        </row>
        <row r="1224">
          <cell r="C1224">
            <v>2274</v>
          </cell>
          <cell r="D1224" t="str">
            <v>Pavimento En Concreto Rígido De 5000 Psi E = 0.25 Metros, Pasadores D = 1 1/4" - Longitud  0.45 Metros A Cada 0.30 Metros Y 1/2" - Longitud 0.85 Metros A Cada 1.20 Metros, Junta Y Antisol</v>
          </cell>
          <cell r="E1224" t="str">
            <v>M2</v>
          </cell>
          <cell r="F1224">
            <v>149160.68</v>
          </cell>
          <cell r="G1224">
            <v>42493</v>
          </cell>
        </row>
        <row r="1225">
          <cell r="C1225">
            <v>2276</v>
          </cell>
          <cell r="D1225" t="str">
            <v>Andén En Adoquín Rectangular, Tipo Vehícular, De Colores De 0.20 X 0.10 Metros E = 0.08 Metros</v>
          </cell>
          <cell r="E1225" t="str">
            <v>M2</v>
          </cell>
          <cell r="F1225">
            <v>67396.7</v>
          </cell>
          <cell r="G1225">
            <v>42068</v>
          </cell>
        </row>
        <row r="1226">
          <cell r="C1226">
            <v>2277</v>
          </cell>
          <cell r="D1226" t="str">
            <v>Solado En Concreto De 1500 Psi E = 0.05 Metros</v>
          </cell>
          <cell r="E1226" t="str">
            <v>M2</v>
          </cell>
          <cell r="F1226">
            <v>27007.7</v>
          </cell>
          <cell r="G1226">
            <v>41345</v>
          </cell>
        </row>
        <row r="1227">
          <cell r="C1227">
            <v>2278</v>
          </cell>
          <cell r="D1227" t="str">
            <v>Remoción Y Acopio Manual De Material Contaminado</v>
          </cell>
          <cell r="E1227" t="str">
            <v>M3</v>
          </cell>
          <cell r="F1227">
            <v>27101.67</v>
          </cell>
          <cell r="G1227">
            <v>41346</v>
          </cell>
        </row>
        <row r="1228">
          <cell r="C1228">
            <v>2279</v>
          </cell>
          <cell r="D1228" t="str">
            <v>Viga De Sobrecimiento De 0.15 X 0.20 Metros, En Concreto De 4000 Psi, No Incluye Acero De Refuerzo</v>
          </cell>
          <cell r="E1228" t="str">
            <v>ML</v>
          </cell>
          <cell r="F1228">
            <v>44093.77</v>
          </cell>
          <cell r="G1228">
            <v>41072</v>
          </cell>
        </row>
        <row r="1229">
          <cell r="C1229">
            <v>2280</v>
          </cell>
          <cell r="D1229" t="str">
            <v>Columna En Concreto De 4000 Psi, Con Sistema De Bombeo, De 0.35 X 0.35 X  3.30 Metros, No Incluye Acero De Refuerzo</v>
          </cell>
          <cell r="E1229" t="str">
            <v>UN</v>
          </cell>
          <cell r="F1229">
            <v>372331.1</v>
          </cell>
          <cell r="G1229">
            <v>41072</v>
          </cell>
        </row>
        <row r="1230">
          <cell r="C1230">
            <v>2281</v>
          </cell>
          <cell r="D1230" t="str">
            <v>Losa Maciza, Gradas En Concreto Premezclado De 4000 Psi Con Bombeo, No Incluye Acero De Refuerzo</v>
          </cell>
          <cell r="E1230" t="str">
            <v>M3</v>
          </cell>
          <cell r="F1230">
            <v>731176.24</v>
          </cell>
          <cell r="G1230">
            <v>42534</v>
          </cell>
        </row>
        <row r="1231">
          <cell r="C1231">
            <v>2283</v>
          </cell>
          <cell r="D1231" t="str">
            <v>E - Suministro E Instalación De Lampara De Incrustar 2 X 17W T8, Pantalla Especular De 0.90 X 0.90 Metros</v>
          </cell>
          <cell r="E1231" t="str">
            <v>UN</v>
          </cell>
          <cell r="F1231">
            <v>226231.88</v>
          </cell>
          <cell r="G1231">
            <v>41451</v>
          </cell>
        </row>
        <row r="1232">
          <cell r="C1232">
            <v>2285</v>
          </cell>
          <cell r="D1232" t="str">
            <v>Pavimento En Concreto Rígido Mr = 650 Psi, E = 0.20 Metros, Pasadores D = 1" - Longitud 0.35 Metros A Cada 0.30 Metros Y D= 1/2" - Longitud 0.85 Metros A Cada 1.20 Metros, Junta Y Antisol</v>
          </cell>
          <cell r="E1232" t="str">
            <v>M2</v>
          </cell>
          <cell r="F1232">
            <v>138131.16</v>
          </cell>
          <cell r="G1232">
            <v>42493</v>
          </cell>
        </row>
        <row r="1233">
          <cell r="C1233">
            <v>2286</v>
          </cell>
          <cell r="D1233" t="str">
            <v>Losa Aligerada E = 0.50 Metros, En Concreto De 4000 Psi Bombeado, No Incluye Acero De Refuerzo</v>
          </cell>
          <cell r="E1233" t="str">
            <v>M2</v>
          </cell>
          <cell r="F1233">
            <v>220455.27</v>
          </cell>
          <cell r="G1233">
            <v>41073</v>
          </cell>
        </row>
        <row r="1234">
          <cell r="C1234">
            <v>2289</v>
          </cell>
          <cell r="D1234" t="str">
            <v>Suministro E Instalación De Puerta En Madera Tipo Ibiza De 0.81 X 2.03 Metros Incluye Marco, Bisagras, Cerradura De Seguridad De Doble Vuelta.</v>
          </cell>
          <cell r="E1234" t="str">
            <v>UN</v>
          </cell>
          <cell r="F1234">
            <v>587678.32999999996</v>
          </cell>
          <cell r="G1234">
            <v>41079</v>
          </cell>
        </row>
        <row r="1235">
          <cell r="C1235">
            <v>2306</v>
          </cell>
          <cell r="D1235" t="str">
            <v>Suministro E Instalación De Panel Mixto (Paño - Vidrio) De 0.60 X 2.00 Metros Para División Modular.</v>
          </cell>
          <cell r="E1235" t="str">
            <v>UN</v>
          </cell>
          <cell r="F1235">
            <v>192738</v>
          </cell>
          <cell r="G1235">
            <v>41087</v>
          </cell>
        </row>
        <row r="1236">
          <cell r="C1236">
            <v>2307</v>
          </cell>
          <cell r="D1236" t="str">
            <v>Suministro E Instalación De Panel Mixto (Paño - Vidrio) De 0.68 X 2.00 Metros Para División Modular.</v>
          </cell>
          <cell r="E1236" t="str">
            <v>UN</v>
          </cell>
          <cell r="F1236">
            <v>224862</v>
          </cell>
          <cell r="G1236">
            <v>41087</v>
          </cell>
        </row>
        <row r="1237">
          <cell r="C1237">
            <v>2308</v>
          </cell>
          <cell r="D1237" t="str">
            <v>Suministro E Instalación De Panel Mixto (Paño - Vidrio) De 0.72 X 2.00 Metros Para División Modular.</v>
          </cell>
          <cell r="E1237" t="str">
            <v>UN</v>
          </cell>
          <cell r="F1237">
            <v>231286</v>
          </cell>
          <cell r="G1237">
            <v>41087</v>
          </cell>
        </row>
        <row r="1238">
          <cell r="C1238">
            <v>2309</v>
          </cell>
          <cell r="D1238" t="str">
            <v>Suministro E Instalación De Panel Mixto (Paño - Vidrio) De 0.82 X 2.00 Metros Para División Modular.</v>
          </cell>
          <cell r="E1238" t="str">
            <v>UN</v>
          </cell>
          <cell r="F1238">
            <v>263409</v>
          </cell>
          <cell r="G1238">
            <v>41087</v>
          </cell>
        </row>
        <row r="1239">
          <cell r="C1239">
            <v>2310</v>
          </cell>
          <cell r="D1239" t="str">
            <v>Suministro E Instalación De Panel Mixto (Paño - Vidrio) De 0.90 X 2.00 Metros Para División Modular.</v>
          </cell>
          <cell r="E1239" t="str">
            <v>UN</v>
          </cell>
          <cell r="F1239">
            <v>289108</v>
          </cell>
          <cell r="G1239">
            <v>41087</v>
          </cell>
        </row>
        <row r="1240">
          <cell r="C1240">
            <v>2311</v>
          </cell>
          <cell r="D1240" t="str">
            <v>Suministro E Instalación De Panel Mixto (Paño - Vidrio) De 0.80 X 1.67 Metros Para División Modular.</v>
          </cell>
          <cell r="E1240" t="str">
            <v>UN</v>
          </cell>
          <cell r="F1240">
            <v>214582</v>
          </cell>
          <cell r="G1240">
            <v>41087</v>
          </cell>
        </row>
        <row r="1241">
          <cell r="C1241">
            <v>2312</v>
          </cell>
          <cell r="D1241" t="str">
            <v>Suministro E Instalación De Panel Mixto (Paño - Vidrio) De 0.35, 0.48, 0.49, 0.50, 0.60 X 1.67 Metros Para División Modular.</v>
          </cell>
          <cell r="E1241" t="str">
            <v>UN</v>
          </cell>
          <cell r="F1241">
            <v>160937</v>
          </cell>
          <cell r="G1241">
            <v>41087</v>
          </cell>
        </row>
        <row r="1242">
          <cell r="C1242">
            <v>2313</v>
          </cell>
          <cell r="D1242" t="str">
            <v>Suministro E Instalación De Panel Mixto (Paño - Vidrio) De 0.90 X 1.67 Metros Para División Modular.</v>
          </cell>
          <cell r="E1242" t="str">
            <v>UN</v>
          </cell>
          <cell r="F1242">
            <v>241405</v>
          </cell>
          <cell r="G1242">
            <v>41087</v>
          </cell>
        </row>
        <row r="1243">
          <cell r="C1243">
            <v>2314</v>
          </cell>
          <cell r="D1243" t="str">
            <v>Suministro E Instalación De Panel Mixto (Paño - Vidrio) De 0.60 X 1.30 Metros Para División Modular.</v>
          </cell>
          <cell r="E1243" t="str">
            <v>UN</v>
          </cell>
          <cell r="F1243">
            <v>125280</v>
          </cell>
          <cell r="G1243">
            <v>41087</v>
          </cell>
        </row>
        <row r="1244">
          <cell r="C1244">
            <v>2315</v>
          </cell>
          <cell r="D1244" t="str">
            <v>Suministro E Instalación De Panel Mixto (Paño - Vidrio) De 0.80 X 1.30 Metros Para División Modular.</v>
          </cell>
          <cell r="E1244" t="str">
            <v>UN</v>
          </cell>
          <cell r="F1244">
            <v>167040</v>
          </cell>
          <cell r="G1244">
            <v>41087</v>
          </cell>
        </row>
        <row r="1245">
          <cell r="C1245">
            <v>2316</v>
          </cell>
          <cell r="D1245" t="str">
            <v>Suministro E Instalación De Panel Mixto (Paño - Vidrio) De 0.73 X 1.30 Metros Para División Modular.</v>
          </cell>
          <cell r="E1245" t="str">
            <v>UN</v>
          </cell>
          <cell r="F1245">
            <v>152424</v>
          </cell>
          <cell r="G1245">
            <v>41087</v>
          </cell>
        </row>
        <row r="1246">
          <cell r="C1246">
            <v>2317</v>
          </cell>
          <cell r="D1246" t="str">
            <v>Suministro E Instalación De Panel Mixto (Paño - Vidrio) De 0.90 X 1.30 Metros Para División Modular.</v>
          </cell>
          <cell r="E1246" t="str">
            <v>UN</v>
          </cell>
          <cell r="F1246">
            <v>187920</v>
          </cell>
          <cell r="G1246">
            <v>41087</v>
          </cell>
        </row>
        <row r="1247">
          <cell r="C1247">
            <v>2318</v>
          </cell>
          <cell r="D1247" t="str">
            <v>Suministro E Instalación De Puerta Triplex  De 2.00 X 0.90, 0.80, 0.70 Metros, Incluye Marco Metálico, Bisagra Y Cerradura De Seguridad (Ver Diseño)</v>
          </cell>
          <cell r="E1247" t="str">
            <v>UN</v>
          </cell>
          <cell r="F1247">
            <v>340000</v>
          </cell>
          <cell r="G1247">
            <v>41087</v>
          </cell>
        </row>
        <row r="1248">
          <cell r="C1248">
            <v>2319</v>
          </cell>
          <cell r="D1248" t="str">
            <v>Suministro E Instalación De Superficie Micro En Fórmica De 1.80 X 0.90 X 0.60 Metros</v>
          </cell>
          <cell r="E1248" t="str">
            <v>UN</v>
          </cell>
          <cell r="F1248">
            <v>196308</v>
          </cell>
          <cell r="G1248">
            <v>41087</v>
          </cell>
        </row>
        <row r="1249">
          <cell r="C1249">
            <v>2320</v>
          </cell>
          <cell r="D1249" t="str">
            <v>Suministro E Instalación De Superficie Micro En Fórmica De 1.40, 1.35, 1.50 X 0.90 X 0.60 Metros</v>
          </cell>
          <cell r="E1249" t="str">
            <v>UN</v>
          </cell>
          <cell r="F1249">
            <v>178462</v>
          </cell>
          <cell r="G1249">
            <v>41087</v>
          </cell>
        </row>
        <row r="1250">
          <cell r="C1250">
            <v>2321</v>
          </cell>
          <cell r="D1250" t="str">
            <v>Suministro E Instalación De Superficie En Fórmica De 0.90 X 0.60 Metros</v>
          </cell>
          <cell r="E1250" t="str">
            <v>UN</v>
          </cell>
          <cell r="F1250">
            <v>107077</v>
          </cell>
          <cell r="G1250">
            <v>41087</v>
          </cell>
        </row>
        <row r="1251">
          <cell r="C1251">
            <v>2322</v>
          </cell>
          <cell r="D1251" t="str">
            <v>Suministro E Instalación De Superficie En Fórmica De 0.50, 0.60 X 0.60 Metros</v>
          </cell>
          <cell r="E1251" t="str">
            <v>UN</v>
          </cell>
          <cell r="F1251">
            <v>75846</v>
          </cell>
          <cell r="G1251">
            <v>41087</v>
          </cell>
        </row>
        <row r="1252">
          <cell r="C1252">
            <v>2323</v>
          </cell>
          <cell r="D1252" t="str">
            <v>Suministro E Instalación De Superficie En Fórmica De 0.78 X 0.60 Metros</v>
          </cell>
          <cell r="E1252" t="str">
            <v>UN</v>
          </cell>
          <cell r="F1252">
            <v>107077</v>
          </cell>
          <cell r="G1252">
            <v>41087</v>
          </cell>
        </row>
        <row r="1253">
          <cell r="C1253">
            <v>2324</v>
          </cell>
          <cell r="D1253" t="str">
            <v>Suministro E Instalación De Costado Metálico H</v>
          </cell>
          <cell r="E1253" t="str">
            <v>UN</v>
          </cell>
          <cell r="F1253">
            <v>50000</v>
          </cell>
          <cell r="G1253">
            <v>41087</v>
          </cell>
        </row>
        <row r="1254">
          <cell r="C1254">
            <v>2325</v>
          </cell>
          <cell r="D1254" t="str">
            <v>Suministro E Instalación De Falda Recta Metálica Perforada</v>
          </cell>
          <cell r="E1254" t="str">
            <v>UN</v>
          </cell>
          <cell r="F1254">
            <v>40000</v>
          </cell>
          <cell r="G1254">
            <v>41087</v>
          </cell>
        </row>
        <row r="1255">
          <cell r="C1255">
            <v>2328</v>
          </cell>
          <cell r="D1255" t="str">
            <v>Suministro E Instalación De Rejilla De Suministro De Aire Acondicionado En Aluminio Blanco De 15" X 6"</v>
          </cell>
          <cell r="E1255" t="str">
            <v>UN</v>
          </cell>
          <cell r="F1255">
            <v>79439</v>
          </cell>
          <cell r="G1255">
            <v>41086</v>
          </cell>
        </row>
        <row r="1256">
          <cell r="C1256">
            <v>2330</v>
          </cell>
          <cell r="D1256" t="str">
            <v>Desmonte Y Retiro De Tapa En Concreto De 1.00 X 0.70 Metros</v>
          </cell>
          <cell r="E1256" t="str">
            <v>UN</v>
          </cell>
          <cell r="F1256">
            <v>8112.5</v>
          </cell>
          <cell r="G1256">
            <v>41345</v>
          </cell>
        </row>
        <row r="1257">
          <cell r="C1257">
            <v>2331</v>
          </cell>
          <cell r="D1257" t="str">
            <v>Tapa De 0.70 X 1.00 X 0.07 Metros, En Concreto De 3000 Psi, Con Parrilla De Hierro De 1/2"  A Cada 0.20 Metros En Ambos Sentidos</v>
          </cell>
          <cell r="E1257" t="str">
            <v>UN</v>
          </cell>
          <cell r="F1257">
            <v>50251.76</v>
          </cell>
          <cell r="G1257">
            <v>41345</v>
          </cell>
        </row>
        <row r="1258">
          <cell r="C1258">
            <v>2332</v>
          </cell>
          <cell r="D1258" t="str">
            <v>Desmonte De Placa De Concreto De 3.40 X 1.00 Metros Con Equipo Pesado</v>
          </cell>
          <cell r="E1258" t="str">
            <v>UN</v>
          </cell>
          <cell r="F1258">
            <v>63828.57</v>
          </cell>
          <cell r="G1258">
            <v>41345</v>
          </cell>
        </row>
        <row r="1259">
          <cell r="C1259">
            <v>2333</v>
          </cell>
          <cell r="D1259" t="str">
            <v>Tapa De 3.40 X 1.00 X 0.10 Metros, En Concreto De 3000 Psi, Con Parrilla De Hierro De 1/2"  A Cada 0.20 Metros En Ambos Sentidos</v>
          </cell>
          <cell r="E1259" t="str">
            <v>UN</v>
          </cell>
          <cell r="F1259">
            <v>296497.95</v>
          </cell>
          <cell r="G1259">
            <v>41345</v>
          </cell>
        </row>
        <row r="1260">
          <cell r="C1260">
            <v>2335</v>
          </cell>
          <cell r="D1260" t="str">
            <v>Suministro E Instalación De Barrera Monodireccional New Yersey De Altura = 0.90 Metros X Base =  0.29 Metros  X Longitud = 1.00 Metros, Peso = 375 Kg, Tipo Titan O Similar. Incluye Cargue, Descargue Y Fijación Con Acero</v>
          </cell>
          <cell r="E1260" t="str">
            <v>UN</v>
          </cell>
          <cell r="F1260">
            <v>242243.20000000001</v>
          </cell>
          <cell r="G1260">
            <v>41200</v>
          </cell>
        </row>
        <row r="1261">
          <cell r="C1261">
            <v>2336</v>
          </cell>
          <cell r="D1261" t="str">
            <v>Kiosco Publicitario De 1.20 X 1.20 X 2.30 Metros, Elaborado En Perfilería De Aluminio Color Natural, Sistema Estructural (Vertical Y Horizontal) En Perfil De 3" Y 1 1/2", Tres Modulos Cerrados En Machimbre Plano, Piso En Lámina Alfajor De 1.5 Mm, Base En  Perfil De 1 1/2" Cuadrado, Techo En Lámina Termoacústica Ajover Con Estructura En Perfil De 1" Cuadrado Con Inclinación Para Desague, Puerta Tipo Persiana Elevadiza (Estera) Elaborada En Lámina Galvanizada Acabado En Color Aluminio (Ver Diseño)</v>
          </cell>
          <cell r="E1261" t="str">
            <v>UN</v>
          </cell>
          <cell r="F1261">
            <v>3960000</v>
          </cell>
          <cell r="G1261">
            <v>41113</v>
          </cell>
        </row>
        <row r="1262">
          <cell r="C1262">
            <v>2338</v>
          </cell>
          <cell r="D1262" t="str">
            <v>Suministro E Instalación De Tanque De Almacenamiento Plástico De 2000 Litros Tipo Colombit O Similar Incluye  Conexión.</v>
          </cell>
          <cell r="E1262" t="str">
            <v>UN</v>
          </cell>
          <cell r="F1262">
            <v>735578.33</v>
          </cell>
          <cell r="G1262">
            <v>42572</v>
          </cell>
        </row>
        <row r="1263">
          <cell r="C1263">
            <v>2341</v>
          </cell>
          <cell r="D1263" t="str">
            <v>Levante De Muro En Bloque De Cemento De 0.15 X 0.20 X 0.40, Reforzado Con Acero De 1/2", Incluye Relleno En Concreto De 2500 Psi Y Mortero De Pega 1:4</v>
          </cell>
          <cell r="E1263" t="str">
            <v>ML</v>
          </cell>
          <cell r="F1263">
            <v>30296.89</v>
          </cell>
          <cell r="G1263">
            <v>42496</v>
          </cell>
        </row>
        <row r="1264">
          <cell r="C1264">
            <v>2343</v>
          </cell>
          <cell r="D1264" t="str">
            <v>Enchape En Tableta Cristanac De 0.30 X 0.30 Metros</v>
          </cell>
          <cell r="E1264" t="str">
            <v>M2</v>
          </cell>
          <cell r="F1264">
            <v>189880.33</v>
          </cell>
          <cell r="G1264">
            <v>42578</v>
          </cell>
        </row>
        <row r="1265">
          <cell r="C1265">
            <v>2344</v>
          </cell>
          <cell r="D1265" t="str">
            <v>Pedestal En Concreto De 4000 Psi, No Incluye Acero De Refuerzo</v>
          </cell>
          <cell r="E1265" t="str">
            <v>M3</v>
          </cell>
          <cell r="F1265">
            <v>606702.61</v>
          </cell>
          <cell r="G1265">
            <v>42578</v>
          </cell>
        </row>
        <row r="1266">
          <cell r="C1266">
            <v>2345</v>
          </cell>
          <cell r="D1266" t="str">
            <v>Concreto De 4000 Psi Para  Encamisado De Columna Y Viga En Obra De Rehabilitación Estructural, Con Aplicación De Epóxico Sikadur 32, Sika Fiber Ad, Sika Fluid, Sika Set Nc, Formaletería Para Aseguramiento Y Apuntalamiento En La Zona</v>
          </cell>
          <cell r="E1266" t="str">
            <v>M3</v>
          </cell>
          <cell r="F1266">
            <v>1956113.87</v>
          </cell>
          <cell r="G1266">
            <v>41569</v>
          </cell>
        </row>
        <row r="1267">
          <cell r="C1267">
            <v>2349</v>
          </cell>
          <cell r="D1267" t="str">
            <v>Rehabilitación Cubierta Ligera Con Estructura En Madera Y Lámina De Eternit</v>
          </cell>
          <cell r="E1267" t="str">
            <v>M2</v>
          </cell>
          <cell r="F1267">
            <v>142575.88</v>
          </cell>
          <cell r="G1267">
            <v>41144</v>
          </cell>
        </row>
        <row r="1268">
          <cell r="C1268">
            <v>2353</v>
          </cell>
          <cell r="D1268" t="str">
            <v>Aplicación De Sikagrout - 200 En Obras De Rehabilitación</v>
          </cell>
          <cell r="E1268" t="str">
            <v>M3</v>
          </cell>
          <cell r="F1268">
            <v>10527715</v>
          </cell>
          <cell r="G1268">
            <v>41135</v>
          </cell>
        </row>
        <row r="1269">
          <cell r="C1269">
            <v>2355</v>
          </cell>
          <cell r="D1269" t="str">
            <v>Conectores De 3/8" De 0.10 Metros En Obra De Rehabilitación</v>
          </cell>
          <cell r="E1269" t="str">
            <v>UN</v>
          </cell>
          <cell r="F1269">
            <v>6119.37</v>
          </cell>
          <cell r="G1269">
            <v>41569</v>
          </cell>
        </row>
        <row r="1270">
          <cell r="C1270">
            <v>2356</v>
          </cell>
          <cell r="D1270" t="str">
            <v>Concreto De 4000 Psi, Para Losa Maciza E= 0.08 Metros En Obra De Rehabilitación Estructural Con Formaletería Para Aseguramiento Y Apuntalamiento En La Zona</v>
          </cell>
          <cell r="E1270" t="str">
            <v>M2</v>
          </cell>
          <cell r="F1270">
            <v>167949.62</v>
          </cell>
          <cell r="G1270">
            <v>41271</v>
          </cell>
        </row>
        <row r="1271">
          <cell r="C1271">
            <v>2357</v>
          </cell>
          <cell r="D1271" t="str">
            <v>Concreto De 4000 Psi Para Viga En Obra De Rehabilitación Estructural, Con Aplicación De Epóxico Sikadur 32, Sika Fiber Ad, Sika Fluid, Sika Set Nc, Formaletería Para Aseguramiento Y Apuntalamiento En La Zona</v>
          </cell>
          <cell r="E1271" t="str">
            <v>M3</v>
          </cell>
          <cell r="F1271">
            <v>1338931.5</v>
          </cell>
          <cell r="G1271">
            <v>41569</v>
          </cell>
        </row>
        <row r="1272">
          <cell r="C1272">
            <v>2358</v>
          </cell>
          <cell r="D1272" t="str">
            <v>Concreto  De 4000 Psi Para Encamisado De Viga En Obra De Rehabilitación Estructural, Con Aplicación De Epóxico Sikadur 32, Sika Fiber Ad, Sika Fluid, Sika Set Nc, Formaletería Para Aseguramiento Y Apuntalamiento En La Zona</v>
          </cell>
          <cell r="E1272" t="str">
            <v>M3</v>
          </cell>
          <cell r="F1272">
            <v>2245369.2000000002</v>
          </cell>
          <cell r="G1272">
            <v>41135</v>
          </cell>
        </row>
        <row r="1273">
          <cell r="C1273">
            <v>2367</v>
          </cell>
          <cell r="D1273" t="str">
            <v>Campamento  - Instalación Y Desmonte, Incluye Piso En Concreto Y Cubierta De Eternit, De 5.00 X 3.00 Metros</v>
          </cell>
          <cell r="E1273" t="str">
            <v>UN</v>
          </cell>
          <cell r="F1273">
            <v>4920000</v>
          </cell>
          <cell r="G1273">
            <v>42578</v>
          </cell>
        </row>
        <row r="1274">
          <cell r="C1274">
            <v>2368</v>
          </cell>
          <cell r="D1274" t="str">
            <v>Demolición De Concreto En Obras De Rehabilitación Estructural, Con Malla De Protección, Incluye Retiro De Material</v>
          </cell>
          <cell r="E1274" t="str">
            <v>M3</v>
          </cell>
          <cell r="F1274">
            <v>4851783.33</v>
          </cell>
          <cell r="G1274">
            <v>41569</v>
          </cell>
        </row>
        <row r="1275">
          <cell r="C1275">
            <v>2372</v>
          </cell>
          <cell r="D1275" t="str">
            <v>Concreto Para Espesores De 0 A 5 Centimetros En Obras De Rehabilitación Estructural, Con Aplicación De Sika Top - 122, Malla De Protección, Formaletería Para Aseguramiento Y Apuntalamiento En La Zona</v>
          </cell>
          <cell r="E1275" t="str">
            <v>M3</v>
          </cell>
          <cell r="F1275">
            <v>16306100</v>
          </cell>
          <cell r="G1275">
            <v>41569</v>
          </cell>
        </row>
        <row r="1276">
          <cell r="C1276">
            <v>2374</v>
          </cell>
          <cell r="D1276" t="str">
            <v>Concreto Para Espesores De 5 A 12 Centimetros Con + 30% En Gravilla En Obra De Rehabilitación Estructural, Con Sika Top - 122, Sikadur 32 Primer, Malla De Protección Y Formaletería Para Aseguramiento Y Apuntalamiento En La Zona</v>
          </cell>
          <cell r="E1276" t="str">
            <v>M3</v>
          </cell>
          <cell r="F1276">
            <v>14058371.789999999</v>
          </cell>
          <cell r="G1276">
            <v>41569</v>
          </cell>
        </row>
        <row r="1277">
          <cell r="C1277">
            <v>2377</v>
          </cell>
          <cell r="D1277" t="str">
            <v>Concreto Para Espesores Mayores A 12 Centimetros En Obra De Rehabilitación Estructural, Con Productos Sikadur 32 Primer, Sikaconcrelisto Re, Sikafiber Ad,  Sikafluid, Sikaset Nc, Malla De Protección Y Formaletería Para Aseguramiento Y Apuntalamiento En La Zona</v>
          </cell>
          <cell r="E1277" t="str">
            <v>M3</v>
          </cell>
          <cell r="F1277">
            <v>6805337.1900000004</v>
          </cell>
          <cell r="G1277">
            <v>42417</v>
          </cell>
        </row>
        <row r="1278">
          <cell r="C1278">
            <v>2381</v>
          </cell>
          <cell r="D1278" t="str">
            <v>Protección Del Refuerzo No Expuesto En Obras De Rehabilitación Estructural</v>
          </cell>
          <cell r="E1278" t="str">
            <v>M2</v>
          </cell>
          <cell r="F1278">
            <v>19006.96</v>
          </cell>
          <cell r="G1278">
            <v>41569</v>
          </cell>
        </row>
        <row r="1279">
          <cell r="C1279">
            <v>2383</v>
          </cell>
          <cell r="D1279" t="str">
            <v>Protección Del Concreto Con Sika Color C En Obras De Rehabilitación Estructural</v>
          </cell>
          <cell r="E1279" t="str">
            <v>M2</v>
          </cell>
          <cell r="F1279">
            <v>16953.7</v>
          </cell>
          <cell r="G1279">
            <v>41569</v>
          </cell>
        </row>
        <row r="1280">
          <cell r="C1280">
            <v>2387</v>
          </cell>
          <cell r="D1280" t="str">
            <v>Protección Del Acero De Refuerzo En Obras De Rehabilitación Estructural Con Sikatop Armatec 110 Epocem Y Malla De Protección</v>
          </cell>
          <cell r="E1280" t="str">
            <v>KG</v>
          </cell>
          <cell r="F1280">
            <v>13140.36</v>
          </cell>
          <cell r="G1280">
            <v>41569</v>
          </cell>
        </row>
        <row r="1281">
          <cell r="C1281">
            <v>2388</v>
          </cell>
          <cell r="D1281" t="str">
            <v>Escarificación De Columnas Y Vigas En Obras En Obras De  Rehabilitación Estructural</v>
          </cell>
          <cell r="E1281" t="str">
            <v>M2</v>
          </cell>
          <cell r="F1281">
            <v>14111.67</v>
          </cell>
          <cell r="G1281">
            <v>41570</v>
          </cell>
        </row>
        <row r="1282">
          <cell r="C1282">
            <v>2389</v>
          </cell>
          <cell r="D1282" t="str">
            <v>Concreto  De 3500 Psi Para Viga De Amarre No Incluye Acero De Refuerzo</v>
          </cell>
          <cell r="E1282" t="str">
            <v>M3</v>
          </cell>
          <cell r="F1282">
            <v>612305.30000000005</v>
          </cell>
          <cell r="G1282">
            <v>42538</v>
          </cell>
        </row>
        <row r="1283">
          <cell r="C1283">
            <v>2390</v>
          </cell>
          <cell r="D1283" t="str">
            <v>Instalación De Derivación Tif Rígida Acsr 1/0 Acsr - 2 Cu Awg S/N</v>
          </cell>
          <cell r="E1283" t="str">
            <v>UN</v>
          </cell>
          <cell r="F1283">
            <v>169770.59</v>
          </cell>
          <cell r="G1283">
            <v>41906</v>
          </cell>
        </row>
        <row r="1284">
          <cell r="C1284">
            <v>2399</v>
          </cell>
          <cell r="D1284" t="str">
            <v>Construcción Canalización Cada Dos Tubos De 3" De Diámetro, En Lecho De Arena</v>
          </cell>
          <cell r="E1284" t="str">
            <v>ML</v>
          </cell>
          <cell r="F1284">
            <v>49896.02</v>
          </cell>
          <cell r="G1284">
            <v>42135</v>
          </cell>
        </row>
        <row r="1285">
          <cell r="C1285">
            <v>2408</v>
          </cell>
          <cell r="D1285" t="str">
            <v>E - Suministro E Instalación De Conductor De Cobre Forrado, No. 1/0 Awg Thhw</v>
          </cell>
          <cell r="E1285" t="str">
            <v>ML</v>
          </cell>
          <cell r="F1285">
            <v>26894.38</v>
          </cell>
          <cell r="G1285">
            <v>41451</v>
          </cell>
        </row>
        <row r="1286">
          <cell r="C1286">
            <v>2427</v>
          </cell>
          <cell r="D1286" t="str">
            <v>Instalación De Paso Aéreo-Subterráneo Trif 13,2 Kv 2 Awg Cu</v>
          </cell>
          <cell r="E1286" t="str">
            <v>UN</v>
          </cell>
          <cell r="F1286">
            <v>1792701.46</v>
          </cell>
          <cell r="G1286">
            <v>42557</v>
          </cell>
        </row>
        <row r="1287">
          <cell r="C1287">
            <v>2429</v>
          </cell>
          <cell r="D1287" t="str">
            <v>Canalización Con Topo D=3"</v>
          </cell>
          <cell r="E1287" t="str">
            <v>ML</v>
          </cell>
          <cell r="F1287">
            <v>136035.9</v>
          </cell>
          <cell r="G1287">
            <v>42447</v>
          </cell>
        </row>
        <row r="1288">
          <cell r="C1288">
            <v>2430</v>
          </cell>
          <cell r="D1288" t="str">
            <v>Tendido De Línea Trif Subt Mt 15 Kv 3 X 2 Cu Por Ducto</v>
          </cell>
          <cell r="E1288" t="str">
            <v>ML</v>
          </cell>
          <cell r="F1288">
            <v>142896.19</v>
          </cell>
          <cell r="G1288">
            <v>42538</v>
          </cell>
        </row>
        <row r="1289">
          <cell r="C1289">
            <v>2431</v>
          </cell>
          <cell r="D1289" t="str">
            <v>Montaje Cruceta Metálica Aux De Protecciones</v>
          </cell>
          <cell r="E1289" t="str">
            <v>UN</v>
          </cell>
          <cell r="F1289">
            <v>1169124.95</v>
          </cell>
          <cell r="G1289">
            <v>41703</v>
          </cell>
        </row>
        <row r="1290">
          <cell r="C1290">
            <v>2432</v>
          </cell>
          <cell r="D1290" t="str">
            <v>Construcción Registro Con Tapa De 1,00 X 1,00 X 1,00 Metros En Mampostería</v>
          </cell>
          <cell r="E1290" t="str">
            <v>UN</v>
          </cell>
          <cell r="F1290">
            <v>1048510.21</v>
          </cell>
          <cell r="G1290">
            <v>42067</v>
          </cell>
        </row>
        <row r="1291">
          <cell r="C1291">
            <v>2433</v>
          </cell>
          <cell r="D1291" t="str">
            <v>Suministro E Instalación De Transformador Tipo Pad Mounted 112,5 Kva</v>
          </cell>
          <cell r="E1291" t="str">
            <v>UN</v>
          </cell>
          <cell r="F1291">
            <v>13940233</v>
          </cell>
          <cell r="G1291">
            <v>41388</v>
          </cell>
        </row>
        <row r="1292">
          <cell r="C1292">
            <v>2434</v>
          </cell>
          <cell r="D1292" t="str">
            <v>Foso Para Transformador</v>
          </cell>
          <cell r="E1292" t="str">
            <v>UN</v>
          </cell>
          <cell r="F1292">
            <v>1835115.96</v>
          </cell>
          <cell r="G1292">
            <v>41234</v>
          </cell>
        </row>
        <row r="1293">
          <cell r="C1293">
            <v>2435</v>
          </cell>
          <cell r="D1293" t="str">
            <v>Instalación De Puerta Cortafuego De 1,5 X 2,5 M</v>
          </cell>
          <cell r="E1293" t="str">
            <v>UN</v>
          </cell>
          <cell r="F1293">
            <v>4825662.5</v>
          </cell>
          <cell r="G1293">
            <v>41388</v>
          </cell>
        </row>
        <row r="1294">
          <cell r="C1294">
            <v>2438</v>
          </cell>
          <cell r="D1294" t="str">
            <v>Suministro E Instalación De Damper De 0,60 X 0,50 Metros</v>
          </cell>
          <cell r="E1294" t="str">
            <v>UN</v>
          </cell>
          <cell r="F1294">
            <v>743534.17</v>
          </cell>
          <cell r="G1294">
            <v>41375</v>
          </cell>
        </row>
        <row r="1295">
          <cell r="C1295">
            <v>2439</v>
          </cell>
          <cell r="D1295" t="str">
            <v>Instalación De Pararrayos Tipo Franklin Blunt P8 Con Mástil De 6 M</v>
          </cell>
          <cell r="E1295" t="str">
            <v>UN</v>
          </cell>
          <cell r="F1295">
            <v>298465.83</v>
          </cell>
          <cell r="G1295">
            <v>41388</v>
          </cell>
        </row>
        <row r="1296">
          <cell r="C1296">
            <v>2440</v>
          </cell>
          <cell r="D1296" t="str">
            <v>Instalación De Cable Cu 2/0 Awg Thhw En Tubería Emt 3/4"</v>
          </cell>
          <cell r="E1296" t="str">
            <v>UN</v>
          </cell>
          <cell r="F1296">
            <v>51656.47</v>
          </cell>
          <cell r="G1296">
            <v>41129</v>
          </cell>
        </row>
        <row r="1297">
          <cell r="C1297">
            <v>2441</v>
          </cell>
          <cell r="D1297" t="str">
            <v>Instalación De Electrodos De Pat Tipo Varilla De Cobre 5/8" X 2,4 M</v>
          </cell>
          <cell r="E1297" t="str">
            <v>UN</v>
          </cell>
          <cell r="F1297">
            <v>401165.16</v>
          </cell>
          <cell r="G1297">
            <v>42447</v>
          </cell>
        </row>
        <row r="1298">
          <cell r="C1298">
            <v>2442</v>
          </cell>
          <cell r="D1298" t="str">
            <v>Punto De Soldadura Exotérmica Cable - Cable Hasta 2/0</v>
          </cell>
          <cell r="E1298" t="str">
            <v>UN</v>
          </cell>
          <cell r="F1298">
            <v>79123.75</v>
          </cell>
          <cell r="G1298">
            <v>41927</v>
          </cell>
        </row>
        <row r="1299">
          <cell r="C1299">
            <v>2443</v>
          </cell>
          <cell r="D1299" t="str">
            <v>Instalación De Caja De Inspección Para Electrodo De Pat</v>
          </cell>
          <cell r="E1299" t="str">
            <v>UN</v>
          </cell>
          <cell r="F1299">
            <v>189208.78</v>
          </cell>
          <cell r="G1299">
            <v>42524</v>
          </cell>
        </row>
        <row r="1300">
          <cell r="C1300">
            <v>2450</v>
          </cell>
          <cell r="D1300" t="str">
            <v>Mortero 1:8</v>
          </cell>
          <cell r="E1300" t="str">
            <v>M3</v>
          </cell>
          <cell r="F1300">
            <v>162739.54</v>
          </cell>
          <cell r="G1300">
            <v>42438</v>
          </cell>
        </row>
        <row r="1301">
          <cell r="C1301">
            <v>2451</v>
          </cell>
          <cell r="D1301" t="str">
            <v>Suministro E Instalación De Breaker  Enchufable De 2 X 15 A</v>
          </cell>
          <cell r="E1301" t="str">
            <v>UN</v>
          </cell>
          <cell r="F1301">
            <v>39255.83</v>
          </cell>
          <cell r="G1301">
            <v>42135</v>
          </cell>
        </row>
        <row r="1302">
          <cell r="C1302">
            <v>2452</v>
          </cell>
          <cell r="D1302" t="str">
            <v>Suministro E Instalación De Breaker  Enchufable De 2 X 30 A</v>
          </cell>
          <cell r="E1302" t="str">
            <v>UN</v>
          </cell>
          <cell r="F1302">
            <v>39255.83</v>
          </cell>
          <cell r="G1302">
            <v>42578</v>
          </cell>
        </row>
        <row r="1303">
          <cell r="C1303">
            <v>2453</v>
          </cell>
          <cell r="D1303" t="str">
            <v>Suministro E Instalación De Breaker  Industrial De 3 X 30 A</v>
          </cell>
          <cell r="E1303" t="str">
            <v>UN</v>
          </cell>
          <cell r="F1303">
            <v>77192.5</v>
          </cell>
          <cell r="G1303">
            <v>42538</v>
          </cell>
        </row>
        <row r="1304">
          <cell r="C1304">
            <v>2454</v>
          </cell>
          <cell r="D1304" t="str">
            <v>Suministro E Instalación De Breaker  Industrial De 3 X 40 A</v>
          </cell>
          <cell r="E1304" t="str">
            <v>UN</v>
          </cell>
          <cell r="F1304">
            <v>103092.5</v>
          </cell>
          <cell r="G1304">
            <v>42524</v>
          </cell>
        </row>
        <row r="1305">
          <cell r="C1305">
            <v>2455</v>
          </cell>
          <cell r="D1305" t="str">
            <v>Suministro E Instalación De Breaker  Industrial De 3 X 80 A</v>
          </cell>
          <cell r="E1305" t="str">
            <v>UN</v>
          </cell>
          <cell r="F1305">
            <v>153292.5</v>
          </cell>
          <cell r="G1305">
            <v>42538</v>
          </cell>
        </row>
        <row r="1306">
          <cell r="C1306">
            <v>2456</v>
          </cell>
          <cell r="D1306" t="str">
            <v>Suministro E Instalación De Breaker  Industrial De 3 X 200 A</v>
          </cell>
          <cell r="E1306" t="str">
            <v>UN</v>
          </cell>
          <cell r="F1306">
            <v>320795.39</v>
          </cell>
          <cell r="G1306">
            <v>42524</v>
          </cell>
        </row>
        <row r="1307">
          <cell r="C1307">
            <v>2488</v>
          </cell>
          <cell r="D1307" t="str">
            <v>Suministro E Instalación De Bala Compacta Fluorescente 2 X 32 Wattios</v>
          </cell>
          <cell r="E1307" t="str">
            <v>UN</v>
          </cell>
          <cell r="F1307">
            <v>94251.67</v>
          </cell>
          <cell r="G1307">
            <v>42135</v>
          </cell>
        </row>
        <row r="1308">
          <cell r="C1308">
            <v>2490</v>
          </cell>
          <cell r="D1308" t="str">
            <v>Suministro E Instalación De Luminaria Fluorescente Hermética 2 X 32 Wattios Tipo Comercial De Encendido Instantáneo De Sobreponer</v>
          </cell>
          <cell r="E1308" t="str">
            <v>UN</v>
          </cell>
          <cell r="F1308">
            <v>121477.5</v>
          </cell>
          <cell r="G1308">
            <v>42135</v>
          </cell>
        </row>
        <row r="1309">
          <cell r="C1309">
            <v>2491</v>
          </cell>
          <cell r="D1309" t="str">
            <v>Suministro E Instalación De Tablero De Medida Trifásico Autosoportado Incluye 12 Medidores Monofásicos 3H</v>
          </cell>
          <cell r="E1309" t="str">
            <v>UN</v>
          </cell>
          <cell r="F1309">
            <v>20278050</v>
          </cell>
          <cell r="G1309">
            <v>41129</v>
          </cell>
        </row>
        <row r="1310">
          <cell r="C1310">
            <v>2492</v>
          </cell>
          <cell r="D1310" t="str">
            <v>Suministro E Instalación De Tablero Bifásico Con Puerta Para Totalizador 12 Circuitos Para Empotrar</v>
          </cell>
          <cell r="E1310" t="str">
            <v>UN</v>
          </cell>
          <cell r="F1310">
            <v>330858</v>
          </cell>
          <cell r="G1310">
            <v>41703</v>
          </cell>
        </row>
        <row r="1311">
          <cell r="C1311">
            <v>2493</v>
          </cell>
          <cell r="D1311" t="str">
            <v>Suministro E Instalación De Tablero Bifásico Con Puerta Y Espacio Para Totalizador 8 Circuitos Para Empotrar</v>
          </cell>
          <cell r="E1311" t="str">
            <v>UN</v>
          </cell>
          <cell r="F1311">
            <v>262448.09000000003</v>
          </cell>
          <cell r="G1311">
            <v>42538</v>
          </cell>
        </row>
        <row r="1312">
          <cell r="C1312">
            <v>2494</v>
          </cell>
          <cell r="D1312" t="str">
            <v>Suministro E Instalación De Tablero Trifásico Con Puerta Y Espacio Para Totalizador 42 Circuitos Para Empotrar</v>
          </cell>
          <cell r="E1312" t="str">
            <v>UN</v>
          </cell>
          <cell r="F1312">
            <v>1049807.69</v>
          </cell>
          <cell r="G1312">
            <v>42531</v>
          </cell>
        </row>
        <row r="1313">
          <cell r="C1313">
            <v>2495</v>
          </cell>
          <cell r="D1313" t="str">
            <v>Suministro E Instalación De Tablero Trifásico Con Puerta Y Espacio Para Totalizador 18 Circuitos Para Empotrar</v>
          </cell>
          <cell r="E1313" t="str">
            <v>UN</v>
          </cell>
          <cell r="F1313">
            <v>593568.98</v>
          </cell>
          <cell r="G1313">
            <v>41129</v>
          </cell>
        </row>
        <row r="1314">
          <cell r="C1314">
            <v>2496</v>
          </cell>
          <cell r="D1314" t="str">
            <v>Suministro E Instalación De Tablero Trifásico Con Puerta Y Espacio Para Totalizador 12 Circuitos Para Empotrar</v>
          </cell>
          <cell r="E1314" t="str">
            <v>UN</v>
          </cell>
          <cell r="F1314">
            <v>565275</v>
          </cell>
          <cell r="G1314">
            <v>42135</v>
          </cell>
        </row>
        <row r="1315">
          <cell r="C1315">
            <v>2497</v>
          </cell>
          <cell r="D1315" t="str">
            <v>Suministro E Instalación De Breaker Enchufable Desde 10 Hasta 60 Amperios</v>
          </cell>
          <cell r="E1315" t="str">
            <v>UN</v>
          </cell>
          <cell r="F1315">
            <v>23395.5</v>
          </cell>
          <cell r="G1315">
            <v>42447</v>
          </cell>
        </row>
        <row r="1316">
          <cell r="C1316">
            <v>2498</v>
          </cell>
          <cell r="D1316" t="str">
            <v>Suministro E Instalación De Breaker Enchufable De 1 X 15 Amperios</v>
          </cell>
          <cell r="E1316" t="str">
            <v>UN</v>
          </cell>
          <cell r="F1316">
            <v>25062.39</v>
          </cell>
          <cell r="G1316">
            <v>42524</v>
          </cell>
        </row>
        <row r="1317">
          <cell r="C1317">
            <v>2500</v>
          </cell>
          <cell r="D1317" t="str">
            <v>Suministro E Instalación De Tubería Pvc Conduit De 2 1/2"</v>
          </cell>
          <cell r="E1317" t="str">
            <v>ML</v>
          </cell>
          <cell r="F1317">
            <v>19530.13</v>
          </cell>
          <cell r="G1317">
            <v>42557</v>
          </cell>
        </row>
        <row r="1318">
          <cell r="C1318">
            <v>2506</v>
          </cell>
          <cell r="D1318" t="str">
            <v>Suministro E Instalación De Tubería Pvc Conduit De 1 1/2"</v>
          </cell>
          <cell r="E1318" t="str">
            <v>ML</v>
          </cell>
          <cell r="F1318">
            <v>10602.01</v>
          </cell>
          <cell r="G1318">
            <v>42557</v>
          </cell>
        </row>
        <row r="1319">
          <cell r="C1319">
            <v>2507</v>
          </cell>
          <cell r="D1319" t="str">
            <v>Suministro E Instalación De Tubería Pvc Conduit De 1"</v>
          </cell>
          <cell r="E1319" t="str">
            <v>ML</v>
          </cell>
          <cell r="F1319">
            <v>7576.33</v>
          </cell>
          <cell r="G1319">
            <v>42557</v>
          </cell>
        </row>
        <row r="1320">
          <cell r="C1320">
            <v>2508</v>
          </cell>
          <cell r="D1320" t="str">
            <v>Suministro E Instalación De Acometida Parcial 2 # 12 + #14T Cu Thhw</v>
          </cell>
          <cell r="E1320" t="str">
            <v>ML</v>
          </cell>
          <cell r="F1320">
            <v>14292.41</v>
          </cell>
          <cell r="G1320">
            <v>42135</v>
          </cell>
        </row>
        <row r="1321">
          <cell r="C1321">
            <v>2509</v>
          </cell>
          <cell r="D1321" t="str">
            <v>Suministro E Instalación Acometida Parcial 2#10 + #10 + 12T Cu Thhw</v>
          </cell>
          <cell r="E1321" t="str">
            <v>ML</v>
          </cell>
          <cell r="F1321">
            <v>6868.6</v>
          </cell>
          <cell r="G1321">
            <v>42135</v>
          </cell>
        </row>
        <row r="1322">
          <cell r="C1322">
            <v>2510</v>
          </cell>
          <cell r="D1322" t="str">
            <v>Suministro E Instalación Acometida Parcial 3#8 + #8 + 10T Cu Thhw</v>
          </cell>
          <cell r="E1322" t="str">
            <v>ML</v>
          </cell>
          <cell r="F1322">
            <v>18819.900000000001</v>
          </cell>
          <cell r="G1322">
            <v>42538</v>
          </cell>
        </row>
        <row r="1323">
          <cell r="C1323">
            <v>2511</v>
          </cell>
          <cell r="D1323" t="str">
            <v>Suministro E Instalación Acometida Parcial 3#2 + #2 + 4T Cu Thhw</v>
          </cell>
          <cell r="E1323" t="str">
            <v>ML</v>
          </cell>
          <cell r="F1323">
            <v>61157.47</v>
          </cell>
          <cell r="G1323">
            <v>42538</v>
          </cell>
        </row>
        <row r="1324">
          <cell r="C1324">
            <v>2512</v>
          </cell>
          <cell r="D1324" t="str">
            <v>Suministro E Instalación Acometida Parcial 3#4/0 + #4/0 + 2/0T Cu Thhw</v>
          </cell>
          <cell r="E1324" t="str">
            <v>ML</v>
          </cell>
          <cell r="F1324">
            <v>179573.78</v>
          </cell>
          <cell r="G1324">
            <v>42538</v>
          </cell>
        </row>
        <row r="1325">
          <cell r="C1325">
            <v>2513</v>
          </cell>
          <cell r="D1325" t="str">
            <v>Suministro E Instalación De Interruptor Conmutable (Pareja)</v>
          </cell>
          <cell r="E1325" t="str">
            <v>UN</v>
          </cell>
          <cell r="F1325">
            <v>162804.42000000001</v>
          </cell>
          <cell r="G1325">
            <v>41129</v>
          </cell>
        </row>
        <row r="1326">
          <cell r="C1326">
            <v>2514</v>
          </cell>
          <cell r="D1326" t="str">
            <v>Salida Toma Bifásica 220 V Con Polo A Tierra</v>
          </cell>
          <cell r="E1326" t="str">
            <v>UN</v>
          </cell>
          <cell r="F1326">
            <v>118579.11</v>
          </cell>
          <cell r="G1326">
            <v>42531</v>
          </cell>
        </row>
        <row r="1327">
          <cell r="C1327">
            <v>2515</v>
          </cell>
          <cell r="D1327" t="str">
            <v>Salida Para Toma Gfci 120 V Con Polo A Tierra</v>
          </cell>
          <cell r="E1327" t="str">
            <v>UN</v>
          </cell>
          <cell r="F1327">
            <v>110160.36</v>
          </cell>
          <cell r="G1327">
            <v>42538</v>
          </cell>
        </row>
        <row r="1328">
          <cell r="C1328">
            <v>2516</v>
          </cell>
          <cell r="D1328" t="str">
            <v>Salida Para Toma Trifásica 220 V Con Polo A Tierra</v>
          </cell>
          <cell r="E1328" t="str">
            <v>UN</v>
          </cell>
          <cell r="F1328">
            <v>143060.94</v>
          </cell>
          <cell r="G1328">
            <v>42531</v>
          </cell>
        </row>
        <row r="1329">
          <cell r="C1329">
            <v>2518</v>
          </cell>
          <cell r="D1329" t="str">
            <v>Suministro E Instalación De Cable  Thw De Cobre Desnudo Awg 1/0 Thhw</v>
          </cell>
          <cell r="E1329" t="str">
            <v>ML</v>
          </cell>
          <cell r="F1329">
            <v>38416.339999999997</v>
          </cell>
          <cell r="G1329">
            <v>42447</v>
          </cell>
        </row>
        <row r="1330">
          <cell r="C1330">
            <v>2520</v>
          </cell>
          <cell r="D1330" t="str">
            <v>Suministro E Instalación De Luminaria Mh 1000 Watios, 220 Voltios, Incluye Bombillo (Ver Diseño)</v>
          </cell>
          <cell r="E1330" t="str">
            <v>UN</v>
          </cell>
          <cell r="F1330">
            <v>1690850</v>
          </cell>
          <cell r="G1330">
            <v>41376</v>
          </cell>
        </row>
        <row r="1331">
          <cell r="C1331">
            <v>2522</v>
          </cell>
          <cell r="D1331" t="str">
            <v>Recurso Base Para Suplemento Tet Personal</v>
          </cell>
          <cell r="E1331" t="str">
            <v>UN</v>
          </cell>
          <cell r="F1331">
            <v>25000</v>
          </cell>
          <cell r="G1331">
            <v>41338</v>
          </cell>
        </row>
        <row r="1332">
          <cell r="C1332">
            <v>2523</v>
          </cell>
          <cell r="D1332" t="str">
            <v>Recursos Base Para Suplemento Tet Puente De Línea Trifásico M.T.</v>
          </cell>
          <cell r="E1332" t="str">
            <v>UN</v>
          </cell>
          <cell r="F1332">
            <v>178062.5</v>
          </cell>
          <cell r="G1332">
            <v>42557</v>
          </cell>
        </row>
        <row r="1333">
          <cell r="C1333">
            <v>2526</v>
          </cell>
          <cell r="D1333" t="str">
            <v>Descapote Y Limpieza A Máquina Y Adecuación Con Compactación Del Terreno Existente, Incluye Retiro De Material E= 0.25</v>
          </cell>
          <cell r="E1333" t="str">
            <v>M2</v>
          </cell>
          <cell r="F1333">
            <v>10243.950000000001</v>
          </cell>
          <cell r="G1333">
            <v>42667</v>
          </cell>
        </row>
        <row r="1334">
          <cell r="C1334">
            <v>2527</v>
          </cell>
          <cell r="D1334" t="str">
            <v>Viga Corona A Una Altura &gt; 4.00 Metros, En Concreto De 3000 Psi De 0.30 X 0.20 Metros Incluye Acero De Refuerzo 4 Varillas D = 1/2", Estribos D = 3/8" A Cada 0.15 Metros</v>
          </cell>
          <cell r="E1334" t="str">
            <v>ML</v>
          </cell>
          <cell r="F1334">
            <v>136563.32999999999</v>
          </cell>
          <cell r="G1334">
            <v>41136</v>
          </cell>
        </row>
        <row r="1335">
          <cell r="C1335">
            <v>2528</v>
          </cell>
          <cell r="D1335" t="str">
            <v>Canal En Concreto De 3000 Psi. B = 0.90 Metros, A = 0.70 Metros, E =  0.20 Metros, Con 11 Acero De Refuerzo D = 1/2" Long. 1.00 Metro, Estribos De 1/2" A Cada 0.40 Metros</v>
          </cell>
          <cell r="E1335" t="str">
            <v>ML</v>
          </cell>
          <cell r="F1335">
            <v>193515.81</v>
          </cell>
          <cell r="G1335">
            <v>41540</v>
          </cell>
        </row>
        <row r="1336">
          <cell r="C1336">
            <v>2529</v>
          </cell>
          <cell r="D1336" t="str">
            <v>Suministro E Instalación De Rejilla De Piso En Hierro Legitimo D = 1", De 0.90 Metros De Ancho</v>
          </cell>
          <cell r="E1336" t="str">
            <v>ML</v>
          </cell>
          <cell r="F1336">
            <v>170000</v>
          </cell>
          <cell r="G1336">
            <v>42443</v>
          </cell>
        </row>
        <row r="1337">
          <cell r="C1337">
            <v>2533</v>
          </cell>
          <cell r="D1337" t="str">
            <v>Suministro E Instalación De Interruptor Termomagnético M9 Para Riel Din 2 X 50 Amperios</v>
          </cell>
          <cell r="E1337" t="str">
            <v>UN</v>
          </cell>
          <cell r="F1337">
            <v>139910</v>
          </cell>
          <cell r="G1337">
            <v>41737</v>
          </cell>
        </row>
        <row r="1338">
          <cell r="C1338">
            <v>2534</v>
          </cell>
          <cell r="D1338" t="str">
            <v>Adecuación De Tablero De Energía Principal Y Alimentadores Provisionales De Tableros De Distribución Existentes</v>
          </cell>
          <cell r="E1338" t="str">
            <v>UN</v>
          </cell>
          <cell r="F1338">
            <v>1465250</v>
          </cell>
          <cell r="G1338">
            <v>41410</v>
          </cell>
        </row>
        <row r="1339">
          <cell r="C1339">
            <v>2535</v>
          </cell>
          <cell r="D1339" t="str">
            <v>Reorganización De Y Conexionado De Acometidas De Llegada Y Salida En Cuarto Eléctrico Actual</v>
          </cell>
          <cell r="E1339" t="str">
            <v>UN</v>
          </cell>
          <cell r="F1339">
            <v>3292816.67</v>
          </cell>
          <cell r="G1339">
            <v>41388</v>
          </cell>
        </row>
        <row r="1340">
          <cell r="C1340">
            <v>2536</v>
          </cell>
          <cell r="D1340" t="str">
            <v>Construcción De Muro En Bloque, Placa En Concreto De 3000 Psi, Para Protección De Gabinete Principal</v>
          </cell>
          <cell r="E1340" t="str">
            <v>UN</v>
          </cell>
          <cell r="F1340">
            <v>448940.65</v>
          </cell>
          <cell r="G1340">
            <v>41410</v>
          </cell>
        </row>
        <row r="1341">
          <cell r="C1341">
            <v>2537</v>
          </cell>
          <cell r="D1341" t="str">
            <v>Andén En Concreto De Fc = 3500 Psi, E= 0.08 Metros</v>
          </cell>
          <cell r="E1341" t="str">
            <v>M2</v>
          </cell>
          <cell r="F1341">
            <v>54386.29</v>
          </cell>
          <cell r="G1341">
            <v>42068</v>
          </cell>
        </row>
        <row r="1342">
          <cell r="C1342">
            <v>2540</v>
          </cell>
          <cell r="D1342" t="str">
            <v>Construcción De Baranda En Concreto De 4000 Psi, Altura 1.20 Metros, Incluye Anclaje Con Sikadur 42. (Ver Diseño)</v>
          </cell>
          <cell r="E1342" t="str">
            <v>ML</v>
          </cell>
          <cell r="F1342">
            <v>208538.14</v>
          </cell>
          <cell r="G1342">
            <v>41155</v>
          </cell>
        </row>
        <row r="1343">
          <cell r="C1343">
            <v>2541</v>
          </cell>
          <cell r="D1343" t="str">
            <v>Bordillo En Puente, De 0.30 X 0.30 Metros, En Concreto De 4000 Psi, Incluye Anclaje Con Sikadur 42 (Ver Diseño)</v>
          </cell>
          <cell r="E1343" t="str">
            <v>ML</v>
          </cell>
          <cell r="F1343">
            <v>102716.18</v>
          </cell>
          <cell r="G1343">
            <v>41155</v>
          </cell>
        </row>
        <row r="1344">
          <cell r="C1344">
            <v>2545</v>
          </cell>
          <cell r="D1344" t="str">
            <v>Junta Expansiva Para Losa De Puente</v>
          </cell>
          <cell r="E1344" t="str">
            <v>ML</v>
          </cell>
          <cell r="F1344">
            <v>268400.28000000003</v>
          </cell>
          <cell r="G1344">
            <v>41180</v>
          </cell>
        </row>
        <row r="1345">
          <cell r="C1345">
            <v>2546</v>
          </cell>
          <cell r="D1345" t="str">
            <v>Placa En Concreto De 3000 Psi, Estampado De Color, E = 0.05 Metros, Para Piso</v>
          </cell>
          <cell r="E1345" t="str">
            <v>M2</v>
          </cell>
          <cell r="F1345">
            <v>42609.9</v>
          </cell>
          <cell r="G1345">
            <v>42535</v>
          </cell>
        </row>
        <row r="1346">
          <cell r="C1346">
            <v>2547</v>
          </cell>
          <cell r="D1346" t="str">
            <v>Placa En Concreto De 3000 Psi, Estampado De Color, E = 0.05 Metros, Para Piso</v>
          </cell>
          <cell r="E1346" t="str">
            <v>M2</v>
          </cell>
          <cell r="F1346">
            <v>47808.67</v>
          </cell>
          <cell r="G1346">
            <v>41835</v>
          </cell>
        </row>
        <row r="1347">
          <cell r="C1347">
            <v>2552</v>
          </cell>
          <cell r="D1347" t="str">
            <v>Suministro E Instalación De Tubería Pvc Conduit De 2"</v>
          </cell>
          <cell r="E1347" t="str">
            <v>ML</v>
          </cell>
          <cell r="F1347">
            <v>17516.46</v>
          </cell>
          <cell r="G1347">
            <v>42447</v>
          </cell>
        </row>
        <row r="1348">
          <cell r="C1348">
            <v>2553</v>
          </cell>
          <cell r="D1348" t="str">
            <v>Suministro E Instalación De Tubería Pvc Conduit De 3"</v>
          </cell>
          <cell r="E1348" t="str">
            <v>ML</v>
          </cell>
          <cell r="F1348">
            <v>27629.46</v>
          </cell>
          <cell r="G1348">
            <v>42447</v>
          </cell>
        </row>
        <row r="1349">
          <cell r="C1349">
            <v>2556</v>
          </cell>
          <cell r="D1349" t="str">
            <v>Suministro E Instalación De Tubería Galvanizada De 1"</v>
          </cell>
          <cell r="E1349" t="str">
            <v>ML</v>
          </cell>
          <cell r="F1349">
            <v>35523.660000000003</v>
          </cell>
          <cell r="G1349">
            <v>41703</v>
          </cell>
        </row>
        <row r="1350">
          <cell r="C1350">
            <v>2557</v>
          </cell>
          <cell r="D1350" t="str">
            <v>Suministro E Instalación De Alambre 8 Thw Cobre Forrado 90° C - Awg</v>
          </cell>
          <cell r="E1350" t="str">
            <v>ML</v>
          </cell>
          <cell r="F1350">
            <v>4222.75</v>
          </cell>
          <cell r="G1350">
            <v>41388</v>
          </cell>
        </row>
        <row r="1351">
          <cell r="C1351">
            <v>2558</v>
          </cell>
          <cell r="D1351" t="str">
            <v>Suministro E Instalación De Cable Thw Cobre Desnudo 90° C - Awg 2</v>
          </cell>
          <cell r="E1351" t="str">
            <v>ML</v>
          </cell>
          <cell r="F1351">
            <v>14777.5</v>
          </cell>
          <cell r="G1351">
            <v>42557</v>
          </cell>
        </row>
        <row r="1352">
          <cell r="C1352">
            <v>2559</v>
          </cell>
          <cell r="D1352" t="str">
            <v>Suministro E Instalación De Alambre De Cobre No. 10 Awg Thhw</v>
          </cell>
          <cell r="E1352" t="str">
            <v>ML</v>
          </cell>
          <cell r="F1352">
            <v>3009.04</v>
          </cell>
          <cell r="G1352">
            <v>41906</v>
          </cell>
        </row>
        <row r="1353">
          <cell r="C1353">
            <v>2560</v>
          </cell>
          <cell r="D1353" t="str">
            <v>Suministro E Instalación De Cable Antifraude 2 X 8 + 8 Awg</v>
          </cell>
          <cell r="E1353" t="str">
            <v>ML</v>
          </cell>
          <cell r="F1353">
            <v>13189.5</v>
          </cell>
          <cell r="G1353">
            <v>41703</v>
          </cell>
        </row>
        <row r="1354">
          <cell r="C1354">
            <v>2564</v>
          </cell>
          <cell r="D1354" t="str">
            <v>Suministro E Instalación De Bajante Galvanizado Para Acometida Principal Incluye Accesorios (Ver Diseño)</v>
          </cell>
          <cell r="E1354" t="str">
            <v>UN</v>
          </cell>
          <cell r="F1354">
            <v>301035.5</v>
          </cell>
          <cell r="G1354">
            <v>41785</v>
          </cell>
        </row>
        <row r="1355">
          <cell r="C1355">
            <v>2565</v>
          </cell>
          <cell r="D1355" t="str">
            <v>Registro Eléctrico De 0.60 X 0.60 X 0.60 Metros En Concreto De 3.000 Psi, E = 0.10 Metros Incluye Malla Electrosoldada Y Tapa Con Marco En Angulo De Hierro De 1 1/2" X 3/16", Reja De Hierro De 1/2" Legítimo</v>
          </cell>
          <cell r="E1355" t="str">
            <v>UN</v>
          </cell>
          <cell r="F1355">
            <v>273054.12</v>
          </cell>
          <cell r="G1355">
            <v>42557</v>
          </cell>
        </row>
        <row r="1356">
          <cell r="C1356">
            <v>2566</v>
          </cell>
          <cell r="D1356" t="str">
            <v>Registro Eléctrico De 0.80 X 0.80 X 0.60 Metros En Concreto De 3.000 Psi, E = 0.10 Metros Incluye Malla Electrosoldada Y Tapa Con Marco En Angulo De Hierro De 1 1/2" X 3/16", Reja De Hierro De 1/2" Legítimo</v>
          </cell>
          <cell r="E1356" t="str">
            <v>UN</v>
          </cell>
          <cell r="F1356">
            <v>368078.23</v>
          </cell>
          <cell r="G1356">
            <v>42557</v>
          </cell>
        </row>
        <row r="1357">
          <cell r="C1357">
            <v>2567</v>
          </cell>
          <cell r="D1357" t="str">
            <v>Instalación De Transformador Monofásico 50 Kva, 13200 / 240 V, Incluye Elementos De Protección, Accesorios Para Postes</v>
          </cell>
          <cell r="E1357" t="str">
            <v>UN</v>
          </cell>
          <cell r="F1357">
            <v>8966835</v>
          </cell>
          <cell r="G1357">
            <v>42447</v>
          </cell>
        </row>
        <row r="1358">
          <cell r="C1358">
            <v>2569</v>
          </cell>
          <cell r="D1358" t="str">
            <v>Suministro E Instalación De Tablero De Contadores Con Sus Protecciones Y Accesorios De Montaje</v>
          </cell>
          <cell r="E1358" t="str">
            <v>UN</v>
          </cell>
          <cell r="F1358">
            <v>4007996</v>
          </cell>
          <cell r="G1358">
            <v>41388</v>
          </cell>
        </row>
        <row r="1359">
          <cell r="C1359">
            <v>2571</v>
          </cell>
          <cell r="D1359" t="str">
            <v>Empalme Subterraneo De Baja Tensión  Acometida 14 - 4</v>
          </cell>
          <cell r="E1359" t="str">
            <v>UN</v>
          </cell>
          <cell r="F1359">
            <v>164338.20000000001</v>
          </cell>
          <cell r="G1359">
            <v>42531</v>
          </cell>
        </row>
        <row r="1360">
          <cell r="C1360">
            <v>2572</v>
          </cell>
          <cell r="D1360" t="str">
            <v>Enchape De Muro En Piedra China Y Granito Lavado</v>
          </cell>
          <cell r="E1360" t="str">
            <v>M2</v>
          </cell>
          <cell r="F1360">
            <v>82731.13</v>
          </cell>
          <cell r="G1360">
            <v>41912</v>
          </cell>
        </row>
        <row r="1361">
          <cell r="C1361">
            <v>2573</v>
          </cell>
          <cell r="D1361" t="str">
            <v>Bordillo En Puente, De 0.20 X 0.20 Metros, En Concreto De 4000 Psi, Incluye Anclaje Con Sikadur 42 (Ver Diseño)</v>
          </cell>
          <cell r="E1361" t="str">
            <v>ML</v>
          </cell>
          <cell r="F1361">
            <v>76652.240000000005</v>
          </cell>
          <cell r="G1361">
            <v>41771</v>
          </cell>
        </row>
        <row r="1362">
          <cell r="C1362">
            <v>2574</v>
          </cell>
          <cell r="D1362" t="str">
            <v>Bordillo En Concreto De 4000 Psi De 0.20 X 0.50 Metros, No Incluye Acero De Refuerzo</v>
          </cell>
          <cell r="E1362" t="str">
            <v>ML</v>
          </cell>
          <cell r="F1362">
            <v>88844.85</v>
          </cell>
          <cell r="G1362">
            <v>41180</v>
          </cell>
        </row>
        <row r="1363">
          <cell r="C1363">
            <v>2575</v>
          </cell>
          <cell r="D1363" t="str">
            <v>Andén En Concreto De Fc = 4000 Psi, E = 0.10 Metros</v>
          </cell>
          <cell r="E1363" t="str">
            <v>M2</v>
          </cell>
          <cell r="F1363">
            <v>67302.16</v>
          </cell>
          <cell r="G1363">
            <v>42552</v>
          </cell>
        </row>
        <row r="1364">
          <cell r="C1364">
            <v>2576</v>
          </cell>
          <cell r="D1364" t="str">
            <v>Suministro E Instalación De Ventana Blindada En Nivel 5, Marcos Fabricados En Lámina De Acero Balística Calibre 12, Forrados Exteriormente  Con Lámina Nivel 5, Calibre 10, Vidrio En Polibinil De 0.60 Micras, De 42 Mm, Película Antiesquirla.</v>
          </cell>
          <cell r="E1364" t="str">
            <v>M2</v>
          </cell>
          <cell r="F1364">
            <v>1950000</v>
          </cell>
          <cell r="G1364">
            <v>41697</v>
          </cell>
        </row>
        <row r="1365">
          <cell r="C1365">
            <v>2577</v>
          </cell>
          <cell r="D1365" t="str">
            <v>Suministro E Instalación De Ventana Blindada En Nivel 3, Marcos Fabricados En Lámina De Acero Balística Calibre 12, Forrados Exteriormente  Con Lámina Nivel 3, Calibre 10, Vidrio En Polibinil De 0.60 Micras, De 24 Mm, Película Antiesquirla, Pintura Orneada Color Anolock De Alta Biscosidad, Empotrada Con Chazos De Expansión De 1/2" X 6"</v>
          </cell>
          <cell r="E1365" t="str">
            <v>M2</v>
          </cell>
          <cell r="F1365">
            <v>1750000</v>
          </cell>
          <cell r="G1365">
            <v>41697</v>
          </cell>
        </row>
        <row r="1366">
          <cell r="C1366">
            <v>2578</v>
          </cell>
          <cell r="D1366" t="str">
            <v>Suministro E Instalación De Puerta Blindada Nivel 3, Marco Fabricado En Lámina Calibre 10, Hoja Montada Sobre Una Estructura De Tubo Cuadrado Calibre 10 Y Cubierta En Acero Calibre 10, Bisagras Tubulares  En Acero De 3/4", Con Graceras Para Mantenimiento, Pintura Orneada Color Anolock De Alta Biscosidad, Vidrio En Polibinil Cristal No. 1, Con Película Antiesquirla</v>
          </cell>
          <cell r="E1366" t="str">
            <v>M2</v>
          </cell>
          <cell r="F1366">
            <v>2550000</v>
          </cell>
          <cell r="G1366">
            <v>41697</v>
          </cell>
        </row>
        <row r="1367">
          <cell r="C1367">
            <v>2579</v>
          </cell>
          <cell r="D1367" t="str">
            <v>Suministro E Instalación De Compuerta De Escape Y Persiana Blindada, Nivel 3, Marco Fabricado En Lámina Calibre 10, Hoja Escualizable, Montada Sobre Una Estructura De Tubo Cuadrado Calibre 10, Cubierta En Acero Calibre 10, De 0.60 Metros X 0.25 Metros</v>
          </cell>
          <cell r="E1367" t="str">
            <v>UN</v>
          </cell>
          <cell r="F1367">
            <v>850000</v>
          </cell>
          <cell r="G1367">
            <v>41697</v>
          </cell>
        </row>
        <row r="1368">
          <cell r="C1368">
            <v>2585</v>
          </cell>
          <cell r="D1368" t="str">
            <v>P. B. O. Mantenimiento De Vias Con Asfalto En Frio Modificado Con Polimeros:  Hueco Tipo A. (Area Entre 0.0025&lt;A&lt;0.0225) M2, Incluye Demolición En Pavimento Rigido Y Retiro De Material Cuando Se Requiera</v>
          </cell>
          <cell r="E1368" t="str">
            <v>UN</v>
          </cell>
          <cell r="F1368">
            <v>16049.98</v>
          </cell>
          <cell r="G1368">
            <v>42740</v>
          </cell>
        </row>
        <row r="1369">
          <cell r="C1369">
            <v>2587</v>
          </cell>
          <cell r="D1369" t="str">
            <v>P. B. O. Mantenimiento De Vias Con Asfalto En Frio Modificado Con Polimeros: Hueco Tipo B. (Area Entre 0.0225&lt;A&lt;0.09) M2, Incluye Demolición En Pavimento Rigido Y Retiro De Material Cuando Se Requiera</v>
          </cell>
          <cell r="E1369" t="str">
            <v>UN</v>
          </cell>
          <cell r="F1369">
            <v>57977.93</v>
          </cell>
          <cell r="G1369">
            <v>42740</v>
          </cell>
        </row>
        <row r="1370">
          <cell r="C1370">
            <v>2588</v>
          </cell>
          <cell r="D1370" t="str">
            <v>P. B. O. Mantenimiento De Vias Con Asfalto En Frio Modificado Con Polimeros: Hueco Tipo C. (Área Entre 0.09&lt;A&lt;0.16) M2, Incluye Demolición En Pavimento Rígido Y Retiro De Material Cuando Se Requiera</v>
          </cell>
          <cell r="E1370" t="str">
            <v>UN</v>
          </cell>
          <cell r="F1370">
            <v>96511.39</v>
          </cell>
          <cell r="G1370">
            <v>42740</v>
          </cell>
        </row>
        <row r="1371">
          <cell r="C1371">
            <v>2589</v>
          </cell>
          <cell r="D1371" t="str">
            <v>P. B. O. Mantenimiento De Vias Con Asfalto En Frio Modificado Con Polimeros: Hueco Tipo D. (Área Entre 0.16&lt;A&lt;0.25) M2, Incluye Demolición En Pavimento Rígido Y Retiro De Material Cuando Se Requiera</v>
          </cell>
          <cell r="E1371" t="str">
            <v>UN</v>
          </cell>
          <cell r="F1371">
            <v>118818.12</v>
          </cell>
          <cell r="G1371">
            <v>42740</v>
          </cell>
        </row>
        <row r="1372">
          <cell r="C1372">
            <v>2590</v>
          </cell>
          <cell r="D1372" t="str">
            <v>P. B. O. Mantenimiento De Vias Con Asfalto En Frio Modificado Con Polimeros: Hueco Tipo E. (Área Entre 0.25&lt;A&lt;0.36) M2, Incluye Demolición En Pavimento Rígido Y Retiro De Material Cuando Se Requiera</v>
          </cell>
          <cell r="E1372" t="str">
            <v>UN</v>
          </cell>
          <cell r="F1372">
            <v>140876.57</v>
          </cell>
          <cell r="G1372">
            <v>42740</v>
          </cell>
        </row>
        <row r="1373">
          <cell r="C1373">
            <v>2591</v>
          </cell>
          <cell r="D1373" t="str">
            <v>P. B. O. Mantenimiento De Vias Con Asfalto En Frio Modificado Con Polimeros: Hueco Tipo F. (Área Entre 0.36&lt;A&lt;0.49) M2, Incluye Demolición En Pavimento Rígido Y Retiro De Material Cuando Se Requiera</v>
          </cell>
          <cell r="E1373" t="str">
            <v>UN</v>
          </cell>
          <cell r="F1373">
            <v>235596.17</v>
          </cell>
          <cell r="G1373">
            <v>42740</v>
          </cell>
        </row>
        <row r="1374">
          <cell r="C1374">
            <v>2592</v>
          </cell>
          <cell r="D1374" t="str">
            <v>P. B. O. Mantenimiento De Vias Con Asfalto En Frio Modificado Con Polimeros: Hueco Tipo G. Area Mayor A 0.50 M2, Incluye Demolición En Pavimento Rigido Y Retiro De Material Cuando Se Requiera</v>
          </cell>
          <cell r="E1374" t="str">
            <v>M2</v>
          </cell>
          <cell r="F1374">
            <v>263706.03000000003</v>
          </cell>
          <cell r="G1374">
            <v>42740</v>
          </cell>
        </row>
        <row r="1375">
          <cell r="C1375">
            <v>2593</v>
          </cell>
          <cell r="D1375" t="str">
            <v>P. B. O. Mantenimiento De Vias Con Asfalto En Frio Modificado Con Polimeros: Grietas. Ancho Menor A 0.10 M, Incluye Demolición En Pavimento Rígido Y Retiro De Material Cuando Se Requiera</v>
          </cell>
          <cell r="E1375" t="str">
            <v>ML</v>
          </cell>
          <cell r="F1375">
            <v>43543.09</v>
          </cell>
          <cell r="G1375">
            <v>42740</v>
          </cell>
        </row>
        <row r="1376">
          <cell r="C1376">
            <v>2595</v>
          </cell>
          <cell r="D1376" t="str">
            <v>Enrocado De Protección Con Piedra Ciclópea Y Concreto Premezclado De 2000 Psi, E = 0.20 Metros (Cunetas Y Taludes)</v>
          </cell>
          <cell r="E1376" t="str">
            <v>M2</v>
          </cell>
          <cell r="F1376">
            <v>70688.100000000006</v>
          </cell>
          <cell r="G1376">
            <v>42249</v>
          </cell>
        </row>
        <row r="1377">
          <cell r="C1377">
            <v>2600</v>
          </cell>
          <cell r="D1377" t="str">
            <v>Desmonte De Marcos De Portería De Cancha Deportiva</v>
          </cell>
          <cell r="E1377" t="str">
            <v>UN</v>
          </cell>
          <cell r="F1377">
            <v>38380.550000000003</v>
          </cell>
          <cell r="G1377">
            <v>41680</v>
          </cell>
        </row>
        <row r="1378">
          <cell r="C1378">
            <v>2601</v>
          </cell>
          <cell r="D1378" t="str">
            <v>Relleno En Material Seleccionado (Arena Santo Tomás)</v>
          </cell>
          <cell r="E1378" t="str">
            <v>M3</v>
          </cell>
          <cell r="F1378">
            <v>33674.42</v>
          </cell>
          <cell r="G1378">
            <v>42524</v>
          </cell>
        </row>
        <row r="1379">
          <cell r="C1379">
            <v>2602</v>
          </cell>
          <cell r="D1379" t="str">
            <v>Nivelación Y Compactación De Cancha E = 0.10 Metros, Con Caliche</v>
          </cell>
          <cell r="E1379" t="str">
            <v>M2</v>
          </cell>
          <cell r="F1379">
            <v>9991.9699999999993</v>
          </cell>
          <cell r="G1379">
            <v>42578</v>
          </cell>
        </row>
        <row r="1380">
          <cell r="C1380">
            <v>2604</v>
          </cell>
          <cell r="D1380" t="str">
            <v>Pintura En Barniz Sintético</v>
          </cell>
          <cell r="E1380" t="str">
            <v>M2</v>
          </cell>
          <cell r="F1380">
            <v>15310.77</v>
          </cell>
          <cell r="G1380">
            <v>41386</v>
          </cell>
        </row>
        <row r="1381">
          <cell r="C1381">
            <v>2606</v>
          </cell>
          <cell r="D1381" t="str">
            <v>Suministro E Instalación De Baranda Con  Altura  1.10 Metros, En Calado Prefabricado Ornamental Tipo Villanueva, Incluye Pasamanos Moldurado</v>
          </cell>
          <cell r="E1381" t="str">
            <v>ML</v>
          </cell>
          <cell r="F1381">
            <v>149136.76999999999</v>
          </cell>
          <cell r="G1381">
            <v>41220</v>
          </cell>
        </row>
        <row r="1382">
          <cell r="C1382">
            <v>2607</v>
          </cell>
          <cell r="D1382" t="str">
            <v>Suministro E Instalación De Closet En Madera De Roble,  De 2.00 X 1.80 X 0.60 Metros, Acabado Con Pintura Color Caramelo (Ver Diseño)</v>
          </cell>
          <cell r="E1382" t="str">
            <v>M2</v>
          </cell>
          <cell r="F1382">
            <v>700000</v>
          </cell>
          <cell r="G1382">
            <v>41220</v>
          </cell>
        </row>
        <row r="1383">
          <cell r="C1383">
            <v>2608</v>
          </cell>
          <cell r="D1383" t="str">
            <v>Suministro E Instalación De Ventana En Madera De Cedro De 1.00 X 2.20 Metros, Con Persianas, Incluye  Pintura Para Madera Color Caramelo (Ver Diseño)</v>
          </cell>
          <cell r="E1383" t="str">
            <v>UN</v>
          </cell>
          <cell r="F1383">
            <v>320000</v>
          </cell>
          <cell r="G1383">
            <v>41220</v>
          </cell>
        </row>
        <row r="1384">
          <cell r="C1384">
            <v>2611</v>
          </cell>
          <cell r="D1384" t="str">
            <v>Viga Aérea En Concreto De 3000 Psi De 0.40 X 0.35 A La Vista, No Incluye Acero De Refuerzo</v>
          </cell>
          <cell r="E1384" t="str">
            <v>ML</v>
          </cell>
          <cell r="F1384">
            <v>83752.789999999994</v>
          </cell>
          <cell r="G1384">
            <v>41311</v>
          </cell>
        </row>
        <row r="1385">
          <cell r="C1385">
            <v>2612</v>
          </cell>
          <cell r="D1385" t="str">
            <v>Viga Aérea En Concreto De 3000 Psi De 0.10 X 0.35 A La Vista, No Incluye Acero De Refuerzo</v>
          </cell>
          <cell r="E1385" t="str">
            <v>ML</v>
          </cell>
          <cell r="F1385">
            <v>40697.230000000003</v>
          </cell>
          <cell r="G1385">
            <v>41311</v>
          </cell>
        </row>
        <row r="1386">
          <cell r="C1386">
            <v>2613</v>
          </cell>
          <cell r="D1386" t="str">
            <v>Viga Aérea En Concreto De 3000 Psi De 0.12 X 0.35 A La Vista, No Incluye Acero De Refuerzo</v>
          </cell>
          <cell r="E1386" t="str">
            <v>ML</v>
          </cell>
          <cell r="F1386">
            <v>40697.230000000003</v>
          </cell>
          <cell r="G1386">
            <v>41344</v>
          </cell>
        </row>
        <row r="1387">
          <cell r="C1387">
            <v>2614</v>
          </cell>
          <cell r="D1387" t="str">
            <v>Viga Aérea En Concreto De 3000 Psi De 0.30 X 0.35 A La Vista, No Incluye Acero De Refuerzo</v>
          </cell>
          <cell r="E1387" t="str">
            <v>ML</v>
          </cell>
          <cell r="F1387">
            <v>71720.11</v>
          </cell>
          <cell r="G1387">
            <v>41311</v>
          </cell>
        </row>
        <row r="1388">
          <cell r="C1388">
            <v>2616</v>
          </cell>
          <cell r="D1388" t="str">
            <v>Losa Aligerada Con Casetón Ecológico De Icopor, Altura 0.40 Metros, Incluye Torta Superior De 0.05 Metros En Concreto De 3000 Psi</v>
          </cell>
          <cell r="E1388" t="str">
            <v>M2</v>
          </cell>
          <cell r="F1388">
            <v>103492.03</v>
          </cell>
          <cell r="G1388">
            <v>42538</v>
          </cell>
        </row>
        <row r="1389">
          <cell r="C1389">
            <v>2617</v>
          </cell>
          <cell r="D1389" t="str">
            <v>Columna En Concreto De 3000 Psi, De 0.30 X 0.30 Metros, No Incluye Acero De Refuerzo</v>
          </cell>
          <cell r="E1389" t="str">
            <v>M3</v>
          </cell>
          <cell r="F1389">
            <v>696658</v>
          </cell>
          <cell r="G1389">
            <v>42241</v>
          </cell>
        </row>
        <row r="1390">
          <cell r="C1390">
            <v>2627</v>
          </cell>
          <cell r="D1390" t="str">
            <v>Suministro E Instalación De Tablero Trifásico Con Puerta Y Espacio Para Totalizador De 24 Circuitos Para Empotrar</v>
          </cell>
          <cell r="E1390" t="str">
            <v>UN</v>
          </cell>
          <cell r="F1390">
            <v>468545.83</v>
          </cell>
          <cell r="G1390">
            <v>42538</v>
          </cell>
        </row>
        <row r="1391">
          <cell r="C1391">
            <v>2628</v>
          </cell>
          <cell r="D1391" t="str">
            <v>Suministro E Instalación De Tablero Trifásico Con Puerta Y Espacio Para Totalizador De 30 Circuitos Para Empotrar</v>
          </cell>
          <cell r="E1391" t="str">
            <v>UN</v>
          </cell>
          <cell r="F1391">
            <v>590420.75</v>
          </cell>
          <cell r="G1391">
            <v>42531</v>
          </cell>
        </row>
        <row r="1392">
          <cell r="C1392">
            <v>2629</v>
          </cell>
          <cell r="D1392" t="str">
            <v>Suministro E Instalación De Breaker  Industrial De 3 X 400 A</v>
          </cell>
          <cell r="E1392" t="str">
            <v>UN</v>
          </cell>
          <cell r="F1392">
            <v>611443.57999999996</v>
          </cell>
          <cell r="G1392">
            <v>42135</v>
          </cell>
        </row>
        <row r="1393">
          <cell r="C1393">
            <v>2630</v>
          </cell>
          <cell r="D1393" t="str">
            <v>Suministro E Instalación De Breaker  Industrial De 3 X 250 A</v>
          </cell>
          <cell r="E1393" t="str">
            <v>UN</v>
          </cell>
          <cell r="F1393">
            <v>462573.67</v>
          </cell>
          <cell r="G1393">
            <v>41927</v>
          </cell>
        </row>
        <row r="1394">
          <cell r="C1394">
            <v>2631</v>
          </cell>
          <cell r="D1394" t="str">
            <v>Suministro E Instalación De Breaker  Industrial De 3 X 125 A</v>
          </cell>
          <cell r="E1394" t="str">
            <v>UN</v>
          </cell>
          <cell r="F1394">
            <v>369198.75</v>
          </cell>
          <cell r="G1394">
            <v>42067</v>
          </cell>
        </row>
        <row r="1395">
          <cell r="C1395">
            <v>2632</v>
          </cell>
          <cell r="D1395" t="str">
            <v>Suministro E Instalación De Breaker  Industrial De 3 X 100 A</v>
          </cell>
          <cell r="E1395" t="str">
            <v>UN</v>
          </cell>
          <cell r="F1395">
            <v>143918.75</v>
          </cell>
          <cell r="G1395">
            <v>42578</v>
          </cell>
        </row>
        <row r="1396">
          <cell r="C1396">
            <v>2633</v>
          </cell>
          <cell r="D1396" t="str">
            <v>Suministro E Instalación De Breaker  Industrial De 3 X 70 A</v>
          </cell>
          <cell r="E1396" t="str">
            <v>UN</v>
          </cell>
          <cell r="F1396">
            <v>143192.5</v>
          </cell>
          <cell r="G1396">
            <v>42067</v>
          </cell>
        </row>
        <row r="1397">
          <cell r="C1397">
            <v>2634</v>
          </cell>
          <cell r="D1397" t="str">
            <v>Suministro E Instalación De Breaker  Industrial De 3 X 50 A</v>
          </cell>
          <cell r="E1397" t="str">
            <v>UN</v>
          </cell>
          <cell r="F1397">
            <v>103092.5</v>
          </cell>
          <cell r="G1397">
            <v>42538</v>
          </cell>
        </row>
        <row r="1398">
          <cell r="C1398">
            <v>2635</v>
          </cell>
          <cell r="D1398" t="str">
            <v>Suministro E Instalación De Breaker  Enchufable De 2 X 20 A</v>
          </cell>
          <cell r="E1398" t="str">
            <v>UN</v>
          </cell>
          <cell r="F1398">
            <v>33562.5</v>
          </cell>
          <cell r="G1398">
            <v>42578</v>
          </cell>
        </row>
        <row r="1399">
          <cell r="C1399">
            <v>2637</v>
          </cell>
          <cell r="D1399" t="str">
            <v>Suministro E Instalación De Transformador Tipo Pad Mounted 150 Kva</v>
          </cell>
          <cell r="E1399" t="str">
            <v>UN</v>
          </cell>
          <cell r="F1399">
            <v>14592800</v>
          </cell>
          <cell r="G1399">
            <v>42557</v>
          </cell>
        </row>
        <row r="1400">
          <cell r="C1400">
            <v>2638</v>
          </cell>
          <cell r="D1400" t="str">
            <v>Suministro E Instalación De Tubería Pvc Conduit De 3/4"</v>
          </cell>
          <cell r="E1400" t="str">
            <v>ML</v>
          </cell>
          <cell r="F1400">
            <v>8812.07</v>
          </cell>
          <cell r="G1400">
            <v>42557</v>
          </cell>
        </row>
        <row r="1401">
          <cell r="C1401">
            <v>2639</v>
          </cell>
          <cell r="D1401" t="str">
            <v>Suministro E Instalación Acometida Parcial 3#4 + #4 + #6T Cu Thhw</v>
          </cell>
          <cell r="E1401" t="str">
            <v>ML</v>
          </cell>
          <cell r="F1401">
            <v>197778.02</v>
          </cell>
          <cell r="G1401">
            <v>42531</v>
          </cell>
        </row>
        <row r="1402">
          <cell r="C1402">
            <v>2640</v>
          </cell>
          <cell r="D1402" t="str">
            <v>Sumnistro E Instalación De Baranda En Tubo De Acero Inoxidable De 2", Altura 0.90, Con Antepecho En Vidrio Templado De 10Mm</v>
          </cell>
          <cell r="E1402" t="str">
            <v>ML</v>
          </cell>
          <cell r="F1402">
            <v>327800</v>
          </cell>
          <cell r="G1402">
            <v>42403</v>
          </cell>
        </row>
        <row r="1403">
          <cell r="C1403">
            <v>2642</v>
          </cell>
          <cell r="D1403" t="str">
            <v>E - Suministro E Instalación De Lámpara Djk De Parque En Acrílico</v>
          </cell>
          <cell r="E1403" t="str">
            <v>UN</v>
          </cell>
          <cell r="F1403">
            <v>171503.98</v>
          </cell>
          <cell r="G1403">
            <v>41451</v>
          </cell>
        </row>
        <row r="1404">
          <cell r="C1404">
            <v>2643</v>
          </cell>
          <cell r="D1404" t="str">
            <v>Suministro E Instalación De Baranda Con Altura De 1.00 Metro, En Vidrio Templado De 10 Mm Color Verde Empotrados A Muro Y Pasamanos En Aluminio Natural De 2", Incluye Empaque Y Silicona</v>
          </cell>
          <cell r="E1404" t="str">
            <v>ML</v>
          </cell>
          <cell r="F1404">
            <v>120000</v>
          </cell>
          <cell r="G1404">
            <v>41277</v>
          </cell>
        </row>
        <row r="1405">
          <cell r="C1405">
            <v>2644</v>
          </cell>
          <cell r="D1405" t="str">
            <v>Suministro, Instalación Y Montaje De Reja En Aluminio, Tipo Estera Transparente Con Tubo De 3/8" Y Platina De 3/4" X 1/16", Incluye Accesorios Y Cerradura</v>
          </cell>
          <cell r="E1405" t="str">
            <v>M2</v>
          </cell>
          <cell r="F1405">
            <v>200000</v>
          </cell>
          <cell r="G1405">
            <v>41277</v>
          </cell>
        </row>
        <row r="1406">
          <cell r="C1406">
            <v>2656</v>
          </cell>
          <cell r="D1406" t="str">
            <v>E - Suministro, Montaje E Instalaciones Eléctricas En La Zona De Alojamiento En El Batallón Del Ejercito Segunda Brigada (Ver Diseño)</v>
          </cell>
          <cell r="E1406" t="str">
            <v>UN</v>
          </cell>
          <cell r="F1406">
            <v>15854385.5</v>
          </cell>
          <cell r="G1406">
            <v>41451</v>
          </cell>
        </row>
        <row r="1407">
          <cell r="C1407">
            <v>2668</v>
          </cell>
          <cell r="D1407" t="str">
            <v>Suministro, Montaje E Instalaciones De Aire Acondicionado En La Zona De Alojamiento En El Batallón Del Ejercito Segunda Brigada (Ver Diseño)</v>
          </cell>
          <cell r="E1407" t="str">
            <v>UN</v>
          </cell>
          <cell r="F1407">
            <v>61483040</v>
          </cell>
          <cell r="G1407">
            <v>41304</v>
          </cell>
        </row>
        <row r="1408">
          <cell r="C1408">
            <v>2669</v>
          </cell>
          <cell r="D1408" t="str">
            <v>Demolición De Piso De Huella Y Contrahuella De Escalera En Granito Pulido</v>
          </cell>
          <cell r="E1408" t="str">
            <v>ML</v>
          </cell>
          <cell r="F1408">
            <v>9261.34</v>
          </cell>
          <cell r="G1408">
            <v>41912</v>
          </cell>
        </row>
        <row r="1409">
          <cell r="C1409">
            <v>2670</v>
          </cell>
          <cell r="D1409" t="str">
            <v>Piso En Granito Pulido Y Lavado Para Huella Y Contrahuella De Escalera</v>
          </cell>
          <cell r="E1409" t="str">
            <v>ML</v>
          </cell>
          <cell r="F1409">
            <v>76576.7</v>
          </cell>
          <cell r="G1409">
            <v>42578</v>
          </cell>
        </row>
        <row r="1410">
          <cell r="C1410">
            <v>2671</v>
          </cell>
          <cell r="D1410" t="str">
            <v>Desmonte De Portones De 3.50 X 3.50 Y Retiro De Material</v>
          </cell>
          <cell r="E1410" t="str">
            <v>UN</v>
          </cell>
          <cell r="F1410">
            <v>40320</v>
          </cell>
          <cell r="G1410">
            <v>41666</v>
          </cell>
        </row>
        <row r="1411">
          <cell r="C1411">
            <v>2673</v>
          </cell>
          <cell r="D1411" t="str">
            <v>Demolición De Pañete Sobre Muro En Obras De Restauración Y Reforzamiento Estructural Y Retiro De Material.</v>
          </cell>
          <cell r="E1411" t="str">
            <v>M2</v>
          </cell>
          <cell r="F1411">
            <v>12856.67</v>
          </cell>
          <cell r="G1411">
            <v>41570</v>
          </cell>
        </row>
        <row r="1412">
          <cell r="C1412">
            <v>2676</v>
          </cell>
          <cell r="D1412" t="str">
            <v>Sobrecubierta En Varas, Con Teja Metálica Ondulada De Zinc, (Ver Diseño)</v>
          </cell>
          <cell r="E1412" t="str">
            <v>M2</v>
          </cell>
          <cell r="F1412">
            <v>67362.06</v>
          </cell>
          <cell r="G1412">
            <v>41354</v>
          </cell>
        </row>
        <row r="1413">
          <cell r="C1413">
            <v>2677</v>
          </cell>
          <cell r="D1413" t="str">
            <v>Cimiento En Concreto Ciclópeo E= 0.50 Metros, En Un 50% De Concreto De 3000 Psi Y 50% En Piedra Ciclópea</v>
          </cell>
          <cell r="E1413" t="str">
            <v>M3</v>
          </cell>
          <cell r="F1413">
            <v>203002.94</v>
          </cell>
          <cell r="G1413">
            <v>42102</v>
          </cell>
        </row>
        <row r="1414">
          <cell r="C1414">
            <v>2681</v>
          </cell>
          <cell r="D1414" t="str">
            <v>Desmonte, Suministro E Instalación De Poste En Madera Pino Pátula D = 8", Altura 3.00 Metros</v>
          </cell>
          <cell r="E1414" t="str">
            <v>UN</v>
          </cell>
          <cell r="F1414">
            <v>241357.31</v>
          </cell>
          <cell r="G1414">
            <v>41332</v>
          </cell>
        </row>
        <row r="1415">
          <cell r="C1415">
            <v>2682</v>
          </cell>
          <cell r="D1415" t="str">
            <v>Registro De 1.00 X 1.00 X 1.00 Metros, En Mampostería, Pañete Con Mortero 1:4 Impermeabilizado, Tapa Y Fondo En Concreto Reforzado De 3000 Psi,  Incluye Marco Metálico, Excavación Y Relleno</v>
          </cell>
          <cell r="E1415" t="str">
            <v>UN</v>
          </cell>
          <cell r="F1415">
            <v>506950.3</v>
          </cell>
          <cell r="G1415">
            <v>42443</v>
          </cell>
        </row>
        <row r="1416">
          <cell r="C1416">
            <v>2685</v>
          </cell>
          <cell r="D1416" t="str">
            <v>Suministro, Instalación Y Montaje De Portón Metálico En Lámina Galvanizada Calibre 18, De Correr Eléctrico De 4.00 X 3.90 Metros, Sin Perfil Superior, Incluye Motor Reductor Electromecánico, Cremalleras Y Botoneras Exteriores</v>
          </cell>
          <cell r="E1416" t="str">
            <v>UN</v>
          </cell>
          <cell r="F1416">
            <v>7371166.6600000001</v>
          </cell>
          <cell r="G1416">
            <v>41334</v>
          </cell>
        </row>
        <row r="1417">
          <cell r="C1417">
            <v>2686</v>
          </cell>
          <cell r="D1417" t="str">
            <v>Aplicación De Pañete Con Mortero 1: 3, Incluye Ejecución De Filetes, Dilataciones Lineales, Goteros.</v>
          </cell>
          <cell r="E1417" t="str">
            <v>M2</v>
          </cell>
          <cell r="F1417">
            <v>20884.560000000001</v>
          </cell>
          <cell r="G1417">
            <v>41344</v>
          </cell>
        </row>
        <row r="1418">
          <cell r="C1418">
            <v>2687</v>
          </cell>
          <cell r="D1418" t="str">
            <v>Aplicación De Resane Con Pañete Impermeabilizado Con Cualquier Mortero En Muros Y Cielo Raso, Incluye Retiro De Pañete, Filos Y Dilataciones Lineales</v>
          </cell>
          <cell r="E1418" t="str">
            <v>ML</v>
          </cell>
          <cell r="F1418">
            <v>14324.44</v>
          </cell>
          <cell r="G1418">
            <v>41508</v>
          </cell>
        </row>
        <row r="1419">
          <cell r="C1419">
            <v>2688</v>
          </cell>
          <cell r="D1419" t="str">
            <v>Escalera En Concreto De 3000 Psi, No Incluye Acero De Refuerzo, (Ver Diseño)</v>
          </cell>
          <cell r="E1419" t="str">
            <v>M2</v>
          </cell>
          <cell r="F1419">
            <v>266347.83</v>
          </cell>
          <cell r="G1419">
            <v>42241</v>
          </cell>
        </row>
        <row r="1420">
          <cell r="C1420">
            <v>2689</v>
          </cell>
          <cell r="D1420" t="str">
            <v>Suministro E Instalación De Cielo Raso En Drywall Con Estructura Adicional A Una Altura &gt; 3.00 Metro &lt;  10.00 Metros</v>
          </cell>
          <cell r="E1420" t="str">
            <v>M2</v>
          </cell>
          <cell r="F1420">
            <v>55461.73</v>
          </cell>
          <cell r="G1420">
            <v>42489</v>
          </cell>
        </row>
        <row r="1421">
          <cell r="C1421">
            <v>2691</v>
          </cell>
          <cell r="D1421" t="str">
            <v>Plantilla De Piso En Mortero 1:3  = E = 0.05 Metros</v>
          </cell>
          <cell r="E1421" t="str">
            <v>M2</v>
          </cell>
          <cell r="F1421">
            <v>21151.49</v>
          </cell>
          <cell r="G1421">
            <v>41767</v>
          </cell>
        </row>
        <row r="1422">
          <cell r="C1422">
            <v>2696</v>
          </cell>
          <cell r="D1422" t="str">
            <v>Piso Pompeya En Un Solo Color O Similar</v>
          </cell>
          <cell r="E1422" t="str">
            <v>M2</v>
          </cell>
          <cell r="F1422">
            <v>82423.259999999995</v>
          </cell>
          <cell r="G1422">
            <v>41344</v>
          </cell>
        </row>
        <row r="1423">
          <cell r="C1423">
            <v>2697</v>
          </cell>
          <cell r="D1423" t="str">
            <v>Piso Pompeya Tipo Tapete O Similar</v>
          </cell>
          <cell r="E1423" t="str">
            <v>M2</v>
          </cell>
          <cell r="F1423">
            <v>101218.26</v>
          </cell>
          <cell r="G1423">
            <v>41344</v>
          </cell>
        </row>
        <row r="1424">
          <cell r="C1424">
            <v>2698</v>
          </cell>
          <cell r="D1424" t="str">
            <v>Zócalo En Pompeya E = 0.10 Metros O Similar</v>
          </cell>
          <cell r="E1424" t="str">
            <v>ML</v>
          </cell>
          <cell r="F1424">
            <v>27415.72</v>
          </cell>
          <cell r="G1424">
            <v>41344</v>
          </cell>
        </row>
        <row r="1425">
          <cell r="C1425">
            <v>2699</v>
          </cell>
          <cell r="D1425" t="str">
            <v>Cenefa En Pompeya O Similar</v>
          </cell>
          <cell r="E1425" t="str">
            <v>ML</v>
          </cell>
          <cell r="F1425">
            <v>21562.67</v>
          </cell>
          <cell r="G1425">
            <v>41344</v>
          </cell>
        </row>
        <row r="1426">
          <cell r="C1426">
            <v>2700</v>
          </cell>
          <cell r="D1426" t="str">
            <v>Demolición De Muro Doble De Mampostería Y Retiro De Material</v>
          </cell>
          <cell r="E1426" t="str">
            <v>M2</v>
          </cell>
          <cell r="F1426">
            <v>30701.66</v>
          </cell>
          <cell r="G1426">
            <v>41335</v>
          </cell>
        </row>
        <row r="1427">
          <cell r="C1427">
            <v>2701</v>
          </cell>
          <cell r="D1427" t="str">
            <v>Resane  Con Mortero 1: 3 Impermeabilizado Y Acabado De Muros Interiores Con Pintura Viniltex  O Similar Tipo A1, Incluye Filos Y Dilataciones</v>
          </cell>
          <cell r="E1427" t="str">
            <v>M2</v>
          </cell>
          <cell r="F1427">
            <v>25389.91</v>
          </cell>
          <cell r="G1427">
            <v>41344</v>
          </cell>
        </row>
        <row r="1428">
          <cell r="C1428">
            <v>2702</v>
          </cell>
          <cell r="D1428" t="str">
            <v>Resane  Con Mortero 1: 3 Impermeabilizado Y Acabado De Muros Interiores Con Pintura Viniltex  O Similar Tipo A1, Incluye Filos Y Dilataciones</v>
          </cell>
          <cell r="E1428" t="str">
            <v>M2</v>
          </cell>
          <cell r="F1428">
            <v>29102.38</v>
          </cell>
          <cell r="G1428">
            <v>41344</v>
          </cell>
        </row>
        <row r="1429">
          <cell r="C1429">
            <v>2703</v>
          </cell>
          <cell r="D1429" t="str">
            <v>Salida Para Extractores</v>
          </cell>
          <cell r="E1429" t="str">
            <v>UN</v>
          </cell>
          <cell r="F1429">
            <v>83125.88</v>
          </cell>
          <cell r="G1429">
            <v>41344</v>
          </cell>
        </row>
        <row r="1430">
          <cell r="C1430">
            <v>2708</v>
          </cell>
          <cell r="D1430" t="str">
            <v>Salida De Voz + Dato</v>
          </cell>
          <cell r="E1430" t="str">
            <v>UN</v>
          </cell>
          <cell r="F1430">
            <v>216584.27</v>
          </cell>
          <cell r="G1430">
            <v>42578</v>
          </cell>
        </row>
        <row r="1431">
          <cell r="C1431">
            <v>2710</v>
          </cell>
          <cell r="D1431" t="str">
            <v>Suministro E Instalación De Gabinete De Pared Marca Quest De 1.80 Metros, Incluye Multitoma</v>
          </cell>
          <cell r="E1431" t="str">
            <v>UN</v>
          </cell>
          <cell r="F1431">
            <v>4936800</v>
          </cell>
          <cell r="G1431">
            <v>41344</v>
          </cell>
        </row>
        <row r="1432">
          <cell r="C1432">
            <v>2713</v>
          </cell>
          <cell r="D1432" t="str">
            <v>Campamento E Instalaciones Provisionales</v>
          </cell>
          <cell r="E1432" t="str">
            <v>GL</v>
          </cell>
          <cell r="F1432">
            <v>12000000</v>
          </cell>
          <cell r="G1432">
            <v>42557</v>
          </cell>
        </row>
        <row r="1433">
          <cell r="C1433">
            <v>2718</v>
          </cell>
          <cell r="D1433" t="str">
            <v>Suministro E Instalación De Strip Telefónico De 10 Pares</v>
          </cell>
          <cell r="E1433" t="str">
            <v>UN</v>
          </cell>
          <cell r="F1433">
            <v>547110.53</v>
          </cell>
          <cell r="G1433">
            <v>41344</v>
          </cell>
        </row>
        <row r="1434">
          <cell r="C1434">
            <v>2719</v>
          </cell>
          <cell r="D1434" t="str">
            <v>Suministro E Instalación De Tablero Trifásico Con Puerta Y Espacio Para Totalizador De 36 Circuitos Para Empotrar</v>
          </cell>
          <cell r="E1434" t="str">
            <v>UN</v>
          </cell>
          <cell r="F1434">
            <v>725250</v>
          </cell>
          <cell r="G1434">
            <v>42135</v>
          </cell>
        </row>
        <row r="1435">
          <cell r="C1435">
            <v>2723</v>
          </cell>
          <cell r="D1435" t="str">
            <v>Suministro E Instalación De Tomacorriente Water Proff</v>
          </cell>
          <cell r="E1435" t="str">
            <v>UN</v>
          </cell>
          <cell r="F1435">
            <v>67914.58</v>
          </cell>
          <cell r="G1435">
            <v>41344</v>
          </cell>
        </row>
        <row r="1436">
          <cell r="C1436">
            <v>2724</v>
          </cell>
          <cell r="D1436" t="str">
            <v>E - Acometida Eléctrica En Tubería Conduit 1 1/4", Con 4 # 4 + 1 # 8 Awg Thhn</v>
          </cell>
          <cell r="E1436" t="str">
            <v>ML</v>
          </cell>
          <cell r="F1436">
            <v>61244.4</v>
          </cell>
          <cell r="G1436">
            <v>41451</v>
          </cell>
        </row>
        <row r="1437">
          <cell r="C1437">
            <v>2725</v>
          </cell>
          <cell r="D1437" t="str">
            <v>E - Acometida Eléctrica En Tubería Conduit 1 1/4", Con 4 # 6 + 1 # 8 Awg Thhn</v>
          </cell>
          <cell r="E1437" t="str">
            <v>ML</v>
          </cell>
          <cell r="F1437">
            <v>47526</v>
          </cell>
          <cell r="G1437">
            <v>41451</v>
          </cell>
        </row>
        <row r="1438">
          <cell r="C1438">
            <v>2726</v>
          </cell>
          <cell r="D1438" t="str">
            <v>E - Acometida Eléctrica En Tubería Conduit 3", Con 4 # 4/0 + 1 # 2 Awg Thhn</v>
          </cell>
          <cell r="E1438" t="str">
            <v>ML</v>
          </cell>
          <cell r="F1438">
            <v>241329.6</v>
          </cell>
          <cell r="G1438">
            <v>41451</v>
          </cell>
        </row>
        <row r="1439">
          <cell r="C1439">
            <v>2727</v>
          </cell>
          <cell r="D1439" t="str">
            <v>E - Acometida Eléctrica En Tubería Conduit 1", Con 3 # 8 + 1 # 10 Awg Thhn</v>
          </cell>
          <cell r="E1439" t="str">
            <v>ML</v>
          </cell>
          <cell r="F1439">
            <v>31578</v>
          </cell>
          <cell r="G1439">
            <v>41451</v>
          </cell>
        </row>
        <row r="1440">
          <cell r="C1440">
            <v>2728</v>
          </cell>
          <cell r="D1440" t="str">
            <v>E - Acometida Termostatos En 3/4" Con 6 # 16</v>
          </cell>
          <cell r="E1440" t="str">
            <v>ML</v>
          </cell>
          <cell r="F1440">
            <v>16722</v>
          </cell>
          <cell r="G1440">
            <v>41451</v>
          </cell>
        </row>
        <row r="1441">
          <cell r="C1441">
            <v>2729</v>
          </cell>
          <cell r="D1441" t="str">
            <v>E - Acometida Principal De Baja Tensión Desde Transformador En Poste Hasta Transferencia Automática En 2 Tubería Conduit De Pvc De 3" Con 8 No. 250 Mcm + 1 2/0</v>
          </cell>
          <cell r="E1441" t="str">
            <v>ML</v>
          </cell>
          <cell r="F1441">
            <v>554559.6</v>
          </cell>
          <cell r="G1441">
            <v>41451</v>
          </cell>
        </row>
        <row r="1442">
          <cell r="C1442">
            <v>2730</v>
          </cell>
          <cell r="D1442" t="str">
            <v>Suministro E Instalación De Planta Eléctrica De 150 Kva. Cabina Insonora Incluye Todos Los Accesorios Y Conexiones</v>
          </cell>
          <cell r="E1442" t="str">
            <v>GL</v>
          </cell>
          <cell r="F1442">
            <v>62000000</v>
          </cell>
          <cell r="G1442">
            <v>41344</v>
          </cell>
        </row>
        <row r="1443">
          <cell r="C1443">
            <v>2731</v>
          </cell>
          <cell r="D1443" t="str">
            <v>Malla A Tierra (4 Varillas De Cobre 5/8" X 2.40 Metros + Cable 4 / 0 Awg Unidos Con Soldadura Exotermica)</v>
          </cell>
          <cell r="E1443" t="str">
            <v>GL</v>
          </cell>
          <cell r="F1443">
            <v>3155946</v>
          </cell>
          <cell r="G1443">
            <v>41344</v>
          </cell>
        </row>
        <row r="1444">
          <cell r="C1444">
            <v>2732</v>
          </cell>
          <cell r="D1444" t="str">
            <v>E - Suministro E Instalación De Patch Panel De 24 Puertos Cat. 6 ( Datos)</v>
          </cell>
          <cell r="E1444" t="str">
            <v>UN</v>
          </cell>
          <cell r="F1444">
            <v>579600</v>
          </cell>
          <cell r="G1444">
            <v>41451</v>
          </cell>
        </row>
        <row r="1445">
          <cell r="C1445">
            <v>2733</v>
          </cell>
          <cell r="D1445" t="str">
            <v>E - Suministro E Instalación De Patch Panel De 24 Puertos Cat. 5E ( Voz)</v>
          </cell>
          <cell r="E1445" t="str">
            <v>UN</v>
          </cell>
          <cell r="F1445">
            <v>433800</v>
          </cell>
          <cell r="G1445">
            <v>41451</v>
          </cell>
        </row>
        <row r="1446">
          <cell r="C1446">
            <v>2734</v>
          </cell>
          <cell r="D1446" t="str">
            <v>Suministro Y Montaje De Bala Halógena De 50 W</v>
          </cell>
          <cell r="E1446" t="str">
            <v>UN</v>
          </cell>
          <cell r="F1446">
            <v>34485</v>
          </cell>
          <cell r="G1446">
            <v>41737</v>
          </cell>
        </row>
        <row r="1447">
          <cell r="C1447">
            <v>2735</v>
          </cell>
          <cell r="D1447" t="str">
            <v>Suministro Y Montaje De Lampara Descolgada Tipo Cilindro Ref. Pluto, Tipo Higt Lihgts O Similar</v>
          </cell>
          <cell r="E1447" t="str">
            <v>UN</v>
          </cell>
          <cell r="F1447">
            <v>517000</v>
          </cell>
          <cell r="G1447">
            <v>41344</v>
          </cell>
        </row>
        <row r="1448">
          <cell r="C1448">
            <v>2736</v>
          </cell>
          <cell r="D1448" t="str">
            <v>Suministro Y Montaje De Bala Fluorescente Con Bombillo Autobakastado De 15 W, Tipo Higt Lihgts O Similar</v>
          </cell>
          <cell r="E1448" t="str">
            <v>UN</v>
          </cell>
          <cell r="F1448">
            <v>64200</v>
          </cell>
          <cell r="G1448">
            <v>41344</v>
          </cell>
        </row>
        <row r="1449">
          <cell r="C1449">
            <v>2737</v>
          </cell>
          <cell r="D1449" t="str">
            <v>Suministro Y Montaje De Aplique  Leti Square De 17 W Tipo Higt Lihgts O Similar</v>
          </cell>
          <cell r="E1449" t="str">
            <v>UN</v>
          </cell>
          <cell r="F1449">
            <v>480000</v>
          </cell>
          <cell r="G1449">
            <v>41344</v>
          </cell>
        </row>
        <row r="1450">
          <cell r="C1450">
            <v>2738</v>
          </cell>
          <cell r="D1450" t="str">
            <v>Suministro Y Montaje De Extractores De Baños</v>
          </cell>
          <cell r="E1450" t="str">
            <v>UN</v>
          </cell>
          <cell r="F1450">
            <v>152300</v>
          </cell>
          <cell r="G1450">
            <v>42538</v>
          </cell>
        </row>
        <row r="1451">
          <cell r="C1451">
            <v>2739</v>
          </cell>
          <cell r="D1451" t="str">
            <v>Suministro E Instalación De Equipo De Bombeo De Presión 1515 Hhe - 33 (2 Unid) Y Contraincendio 2020Hhe - 10. Instalación Niples, Vávulas, Abrazaderas, Pasamuros, Tablero De Control, Contactores, Conexión, Flotador De Mercurio, Válvula De Cheque, Válvula De Pie, Válvula De Flotador. (Según Diseño Hidráulico Y Sanitario)</v>
          </cell>
          <cell r="E1451" t="str">
            <v>GL</v>
          </cell>
          <cell r="F1451">
            <v>25747058</v>
          </cell>
          <cell r="G1451">
            <v>41344</v>
          </cell>
        </row>
        <row r="1452">
          <cell r="C1452">
            <v>2740</v>
          </cell>
          <cell r="D1452" t="str">
            <v>Suplemento Instalación De Poste De Mt En Tet</v>
          </cell>
          <cell r="E1452" t="str">
            <v>UN</v>
          </cell>
          <cell r="F1452">
            <v>204323.53</v>
          </cell>
          <cell r="G1452">
            <v>42557</v>
          </cell>
        </row>
        <row r="1453">
          <cell r="C1453">
            <v>2742</v>
          </cell>
          <cell r="D1453" t="str">
            <v>Suministro E Instalación Muebles Cocineta, Incluye Estufa De 2 Puestos (Ver Diseño)</v>
          </cell>
          <cell r="E1453" t="str">
            <v>ML</v>
          </cell>
          <cell r="F1453">
            <v>2888153</v>
          </cell>
          <cell r="G1453">
            <v>41344</v>
          </cell>
        </row>
        <row r="1454">
          <cell r="C1454">
            <v>2743</v>
          </cell>
          <cell r="D1454" t="str">
            <v>Suplemento En Arm Simp Trif Ángulo Disp Hor</v>
          </cell>
          <cell r="E1454" t="str">
            <v>UN</v>
          </cell>
          <cell r="F1454">
            <v>204323.53</v>
          </cell>
          <cell r="G1454">
            <v>41569</v>
          </cell>
        </row>
        <row r="1455">
          <cell r="C1455">
            <v>2744</v>
          </cell>
          <cell r="D1455" t="str">
            <v>Peldaño De Acero De 3/4", Longitud De 1.00 Metros, Para Tanque, Incluye Imprimante Rojo Tipo Sika Y Sika Guard 62</v>
          </cell>
          <cell r="E1455" t="str">
            <v>UN</v>
          </cell>
          <cell r="F1455">
            <v>56560.43</v>
          </cell>
          <cell r="G1455">
            <v>41344</v>
          </cell>
        </row>
        <row r="1456">
          <cell r="C1456">
            <v>2745</v>
          </cell>
          <cell r="D1456" t="str">
            <v>Suplemento En Arm Simp Trif Anclaje Y Fin De Línea Disp Hor</v>
          </cell>
          <cell r="E1456" t="str">
            <v>UN</v>
          </cell>
          <cell r="F1456">
            <v>204323.53</v>
          </cell>
          <cell r="G1456">
            <v>42524</v>
          </cell>
        </row>
        <row r="1457">
          <cell r="C1457">
            <v>2746</v>
          </cell>
          <cell r="D1457" t="str">
            <v>Suplemento En Arm Simp Trif Anclaje (2) Disp Hor</v>
          </cell>
          <cell r="E1457" t="str">
            <v>UN</v>
          </cell>
          <cell r="F1457">
            <v>204323.53</v>
          </cell>
          <cell r="G1457">
            <v>42524</v>
          </cell>
        </row>
        <row r="1458">
          <cell r="C1458">
            <v>2747</v>
          </cell>
          <cell r="D1458" t="str">
            <v>Suministro E Instalación De Cubierta En Teja Royal "R", Tendido En Madera, Incluye Angulo Metálico Galvanizado En Platina 1 1/2" X 1 1/2" X 1/4", Alistado En Madera Necesario Para El Tendido De Tejas (Ver Diseño)</v>
          </cell>
          <cell r="E1458" t="str">
            <v>M2</v>
          </cell>
          <cell r="F1458">
            <v>137722</v>
          </cell>
          <cell r="G1458">
            <v>41344</v>
          </cell>
        </row>
        <row r="1459">
          <cell r="C1459">
            <v>2748</v>
          </cell>
          <cell r="D1459" t="str">
            <v>Supl Tet Vano Retensado Lin (1F) 1/0 A 4/0 Cu 4/0 A 477Mcm Al Ascr</v>
          </cell>
          <cell r="E1459" t="str">
            <v>UN</v>
          </cell>
          <cell r="F1459">
            <v>58366.07</v>
          </cell>
          <cell r="G1459">
            <v>41906</v>
          </cell>
        </row>
        <row r="1460">
          <cell r="C1460">
            <v>2749</v>
          </cell>
          <cell r="D1460" t="str">
            <v>Supl Tet Puente De Línea Trifásico M.T.</v>
          </cell>
          <cell r="E1460" t="str">
            <v>UN</v>
          </cell>
          <cell r="F1460">
            <v>87554.34</v>
          </cell>
          <cell r="G1460">
            <v>42524</v>
          </cell>
        </row>
        <row r="1461">
          <cell r="C1461">
            <v>2750</v>
          </cell>
          <cell r="D1461" t="str">
            <v>Sup L Tet Desmontaje De Postes Mt</v>
          </cell>
          <cell r="E1461" t="str">
            <v>UN</v>
          </cell>
          <cell r="F1461">
            <v>204323.53</v>
          </cell>
          <cell r="G1461">
            <v>42447</v>
          </cell>
        </row>
        <row r="1462">
          <cell r="C1462">
            <v>2751</v>
          </cell>
          <cell r="D1462" t="str">
            <v>Suplemento En Tet Desm Arm En Cruceta Sencilla</v>
          </cell>
          <cell r="E1462" t="str">
            <v>UN</v>
          </cell>
          <cell r="F1462">
            <v>87554.34</v>
          </cell>
          <cell r="G1462">
            <v>42538</v>
          </cell>
        </row>
        <row r="1463">
          <cell r="C1463">
            <v>2752</v>
          </cell>
          <cell r="D1463" t="str">
            <v>Pavimento En Concreto Rígido Mr = 600 Psi A La Flexión E = 0.28 Metros , Incluye Pasadores De 1 3/8" Longitud 0.50 Metros A 0.30 Metros Y Barra De Amarre De 5/8" Longitud 1.00 Metros A 1.20 Metros De Separación, Cortadora De Pavimento Junta Y Aditivo Curado</v>
          </cell>
          <cell r="E1463" t="str">
            <v>M2</v>
          </cell>
          <cell r="F1463">
            <v>173228</v>
          </cell>
          <cell r="G1463">
            <v>42493</v>
          </cell>
        </row>
        <row r="1464">
          <cell r="C1464">
            <v>2753</v>
          </cell>
          <cell r="D1464" t="str">
            <v>Suministros E Instalaciòn De Rejillas De Captación Ver Diseños</v>
          </cell>
          <cell r="E1464" t="str">
            <v>GL</v>
          </cell>
          <cell r="F1464">
            <v>3000000</v>
          </cell>
          <cell r="G1464">
            <v>41355</v>
          </cell>
        </row>
        <row r="1465">
          <cell r="C1465">
            <v>2754</v>
          </cell>
          <cell r="D1465" t="str">
            <v>Aplicación De Geotextil Nt 1800</v>
          </cell>
          <cell r="E1465" t="str">
            <v>M2</v>
          </cell>
          <cell r="F1465">
            <v>9061.6299999999992</v>
          </cell>
          <cell r="G1465">
            <v>42443</v>
          </cell>
        </row>
        <row r="1466">
          <cell r="C1466">
            <v>2756</v>
          </cell>
          <cell r="D1466" t="str">
            <v>Suministro E Instalación De Adoquín Peatonal En Losetas Prefabricadas A50, Táctil Alerta A55 Y Táctil Guía A56 0.40X0.40X0.06 Metros Con Borde De Confinamiento A Ambos Lados De 0.15 X 0.30 M En Concreto De 3000 Psi Reforzado Con 2 Varillas De 3/8" Y Estribos De 1/4" A Cada .032 M. Incluye Base En Material Seleccionado</v>
          </cell>
          <cell r="E1466" t="str">
            <v>M2</v>
          </cell>
          <cell r="F1466">
            <v>90474.4</v>
          </cell>
          <cell r="G1466">
            <v>42517</v>
          </cell>
        </row>
        <row r="1467">
          <cell r="C1467">
            <v>2757</v>
          </cell>
          <cell r="D1467" t="str">
            <v>Redes Eléctricas Ampliación De La 51B</v>
          </cell>
          <cell r="E1467" t="str">
            <v>GL</v>
          </cell>
          <cell r="F1467">
            <v>1139907449</v>
          </cell>
          <cell r="G1467">
            <v>41337</v>
          </cell>
        </row>
        <row r="1468">
          <cell r="C1468">
            <v>2758</v>
          </cell>
          <cell r="D1468" t="str">
            <v>Alumbrado Público Ampliación 51B</v>
          </cell>
          <cell r="E1468" t="str">
            <v>GL</v>
          </cell>
          <cell r="F1468">
            <v>1956346980.3099999</v>
          </cell>
          <cell r="G1468">
            <v>41337</v>
          </cell>
        </row>
        <row r="1469">
          <cell r="C1469">
            <v>2759</v>
          </cell>
          <cell r="D1469" t="str">
            <v>Provisión De Otras Redes De Servicios Públicos</v>
          </cell>
          <cell r="E1469" t="str">
            <v>GL</v>
          </cell>
          <cell r="F1469">
            <v>900000000</v>
          </cell>
          <cell r="G1469">
            <v>42447</v>
          </cell>
        </row>
        <row r="1470">
          <cell r="C1470">
            <v>2760</v>
          </cell>
          <cell r="D1470" t="str">
            <v>Provisión De Paisajismo Y Amoblamiento</v>
          </cell>
          <cell r="E1470" t="str">
            <v>GL</v>
          </cell>
          <cell r="F1470">
            <v>370000000</v>
          </cell>
          <cell r="G1470">
            <v>42447</v>
          </cell>
        </row>
        <row r="1471">
          <cell r="C1471">
            <v>2761</v>
          </cell>
          <cell r="D1471" t="str">
            <v>Provisión De La Implementación Del Plan De Manejo De Tráfico Y Publicidad Institucional</v>
          </cell>
          <cell r="E1471" t="str">
            <v>GL</v>
          </cell>
          <cell r="F1471">
            <v>50000000</v>
          </cell>
          <cell r="G1471">
            <v>42486</v>
          </cell>
        </row>
        <row r="1472">
          <cell r="C1472">
            <v>2762</v>
          </cell>
          <cell r="D1472" t="str">
            <v>Provisión De Plan De Manejo Ambiental Y Social</v>
          </cell>
          <cell r="E1472" t="str">
            <v>GL</v>
          </cell>
          <cell r="F1472">
            <v>265929743.66999999</v>
          </cell>
          <cell r="G1472">
            <v>42578</v>
          </cell>
        </row>
        <row r="1473">
          <cell r="C1473">
            <v>2763</v>
          </cell>
          <cell r="D1473" t="str">
            <v>Suministro E Instalación De Caballete Para Teja Royal "R" Tipo Española</v>
          </cell>
          <cell r="E1473" t="str">
            <v>ML</v>
          </cell>
          <cell r="F1473">
            <v>59942</v>
          </cell>
          <cell r="G1473">
            <v>41344</v>
          </cell>
        </row>
        <row r="1474">
          <cell r="C1474">
            <v>2765</v>
          </cell>
          <cell r="D1474" t="str">
            <v>Reforzamiento De Columnas Con Fibra De Carbono Sika Wrap 600 C O Similar E = 35 Mm</v>
          </cell>
          <cell r="E1474" t="str">
            <v>M2</v>
          </cell>
          <cell r="F1474">
            <v>178373.33</v>
          </cell>
          <cell r="G1474">
            <v>41344</v>
          </cell>
        </row>
        <row r="1475">
          <cell r="C1475">
            <v>2766</v>
          </cell>
          <cell r="D1475" t="str">
            <v>Suministro E Instalación De Barandas Para Balcones En Balaustres Y Pasamanos En Concreto Identico Al Original</v>
          </cell>
          <cell r="E1475" t="str">
            <v>ML</v>
          </cell>
          <cell r="F1475">
            <v>343000</v>
          </cell>
          <cell r="G1475">
            <v>41344</v>
          </cell>
        </row>
        <row r="1476">
          <cell r="C1476">
            <v>2768</v>
          </cell>
          <cell r="D1476" t="str">
            <v>Enchape De Pared En Cerámica Ref. Coco Pulido  De 0.60 X 0.60 Metros, Incluye Biselado, Cenefa.</v>
          </cell>
          <cell r="E1476" t="str">
            <v>M2</v>
          </cell>
          <cell r="F1476">
            <v>82928.42</v>
          </cell>
          <cell r="G1476">
            <v>41344</v>
          </cell>
        </row>
        <row r="1477">
          <cell r="C1477">
            <v>2769</v>
          </cell>
          <cell r="D1477" t="str">
            <v>Pañete Con Mortero Impermeabilizado A 3 Manos Tipo Sika, Sikalatex O Similar, Incluye Limpieza Previa Del Concreto, Resane, Y Mediacaña</v>
          </cell>
          <cell r="E1477" t="str">
            <v>ML</v>
          </cell>
          <cell r="F1477">
            <v>25341.39</v>
          </cell>
          <cell r="G1477">
            <v>41344</v>
          </cell>
        </row>
        <row r="1478">
          <cell r="C1478">
            <v>2770</v>
          </cell>
          <cell r="D1478" t="str">
            <v>Suplemento En Tet Desm Arm En Cruceta Doble</v>
          </cell>
          <cell r="E1478" t="str">
            <v>UN</v>
          </cell>
          <cell r="F1478">
            <v>87554.34</v>
          </cell>
          <cell r="G1478">
            <v>41906</v>
          </cell>
        </row>
        <row r="1479">
          <cell r="C1479">
            <v>2771</v>
          </cell>
          <cell r="D1479" t="str">
            <v>Supl Tet Retiro Puente De Linea Trifasico Mt</v>
          </cell>
          <cell r="E1479" t="str">
            <v>UN</v>
          </cell>
          <cell r="F1479">
            <v>87554.34</v>
          </cell>
          <cell r="G1479">
            <v>42538</v>
          </cell>
        </row>
        <row r="1480">
          <cell r="C1480">
            <v>2772</v>
          </cell>
          <cell r="D1480" t="str">
            <v>Supl Tet Reub Interruptor Seccionador Trifasico</v>
          </cell>
          <cell r="E1480" t="str">
            <v>UN</v>
          </cell>
          <cell r="F1480">
            <v>325682.34000000003</v>
          </cell>
          <cell r="G1480">
            <v>41569</v>
          </cell>
        </row>
        <row r="1481">
          <cell r="C1481">
            <v>2773</v>
          </cell>
          <cell r="D1481" t="str">
            <v>Suministro E Instalacion De Poste Hpc 500 Dan 12 M</v>
          </cell>
          <cell r="E1481" t="str">
            <v>UN</v>
          </cell>
          <cell r="F1481">
            <v>1363771.25</v>
          </cell>
          <cell r="G1481">
            <v>41906</v>
          </cell>
        </row>
        <row r="1482">
          <cell r="C1482">
            <v>2776</v>
          </cell>
          <cell r="D1482" t="str">
            <v>Suministro E Instalacion De Poste Hpc 800 Dan 12 M</v>
          </cell>
          <cell r="E1482" t="str">
            <v>UN</v>
          </cell>
          <cell r="F1482">
            <v>2138522.7200000002</v>
          </cell>
          <cell r="G1482">
            <v>41927</v>
          </cell>
        </row>
        <row r="1483">
          <cell r="C1483">
            <v>2778</v>
          </cell>
          <cell r="D1483" t="str">
            <v>Suministro E Instalacion De Poste Hpc 1250 Dan 12 M</v>
          </cell>
          <cell r="E1483" t="str">
            <v>UN</v>
          </cell>
          <cell r="F1483">
            <v>3035585.74</v>
          </cell>
          <cell r="G1483">
            <v>42524</v>
          </cell>
        </row>
        <row r="1484">
          <cell r="C1484">
            <v>2781</v>
          </cell>
          <cell r="D1484" t="str">
            <v>Contenedores De Raiz De 1.50 X 1.50  X 1.60 Metros, En Concreto Reforzado, Con Refuerzo En Malla De 0.15 X 0.15 X 1/4 " Y Piso Con Apertura De Hueco De 0.25 X 0.25 Metros  Y Remate Superior En Bordillo Redondeado</v>
          </cell>
          <cell r="E1484" t="str">
            <v>UN</v>
          </cell>
          <cell r="F1484">
            <v>464007.13</v>
          </cell>
          <cell r="G1484">
            <v>42578</v>
          </cell>
        </row>
        <row r="1485">
          <cell r="C1485">
            <v>2783</v>
          </cell>
          <cell r="D1485" t="str">
            <v>Suministro E Instalación De Baranda En Tubería De Acero Inoxidable De 2 1/2" Cada 3.00 Metros Con 9 Cables Tipo Guaya De 1/4"</v>
          </cell>
          <cell r="E1485" t="str">
            <v>ML</v>
          </cell>
          <cell r="F1485">
            <v>290156.25</v>
          </cell>
          <cell r="G1485">
            <v>42201</v>
          </cell>
        </row>
        <row r="1486">
          <cell r="C1486">
            <v>2784</v>
          </cell>
          <cell r="D1486" t="str">
            <v>Mortero 1:2</v>
          </cell>
          <cell r="E1486" t="str">
            <v>M3</v>
          </cell>
          <cell r="F1486">
            <v>361551.01</v>
          </cell>
          <cell r="G1486">
            <v>42438</v>
          </cell>
        </row>
        <row r="1487">
          <cell r="C1487">
            <v>2785</v>
          </cell>
          <cell r="D1487" t="str">
            <v>Suministro E Instalacion De Poste Hpc 2000 Dan 12 M</v>
          </cell>
          <cell r="E1487" t="str">
            <v>UN</v>
          </cell>
          <cell r="F1487">
            <v>4443847.67</v>
          </cell>
          <cell r="G1487">
            <v>41404</v>
          </cell>
        </row>
        <row r="1488">
          <cell r="C1488">
            <v>2786</v>
          </cell>
          <cell r="D1488" t="str">
            <v>Suministro E Instalación De Estructura Para Piso, Incluye Pilotaje En Madera Rolliza D = 0.25 Metros, Pilotes Cortos De 0.10 X 0.10 Metros Y Viga De Madera De 0.10 X 0.10 Metros Inmunizada, Impermeabilizadas ( Ver Diseño)</v>
          </cell>
          <cell r="E1488" t="str">
            <v>M2</v>
          </cell>
          <cell r="F1488">
            <v>128000</v>
          </cell>
          <cell r="G1488">
            <v>41345</v>
          </cell>
        </row>
        <row r="1489">
          <cell r="C1489">
            <v>2787</v>
          </cell>
          <cell r="D1489" t="str">
            <v>Suministro E Instalación De Estructura Para Piso Deck, Incluye, Pilotes Cortos De 0.10 X 0.10 Metros Y Vigas Laterales Inmunizadas E Impermeabilizadas ( Ver Diseño)</v>
          </cell>
          <cell r="E1489" t="str">
            <v>M2</v>
          </cell>
          <cell r="F1489">
            <v>105000</v>
          </cell>
          <cell r="G1489">
            <v>41345</v>
          </cell>
        </row>
        <row r="1490">
          <cell r="C1490">
            <v>2788</v>
          </cell>
          <cell r="D1490" t="str">
            <v>Suministro E Instalación De Armado Simp Cto  Trif Fin Línea Para Acsr 1/0</v>
          </cell>
          <cell r="E1490" t="str">
            <v>UN</v>
          </cell>
          <cell r="F1490">
            <v>1126501.24</v>
          </cell>
          <cell r="G1490">
            <v>41404</v>
          </cell>
        </row>
        <row r="1491">
          <cell r="C1491">
            <v>2790</v>
          </cell>
          <cell r="D1491" t="str">
            <v>Suministro E Instalación De Piso Deck En Madera Teka Con Apertura De 5 Mm</v>
          </cell>
          <cell r="E1491" t="str">
            <v>M2</v>
          </cell>
          <cell r="F1491">
            <v>151870</v>
          </cell>
          <cell r="G1491">
            <v>41345</v>
          </cell>
        </row>
        <row r="1492">
          <cell r="C1492">
            <v>2791</v>
          </cell>
          <cell r="D1492" t="str">
            <v>Construcción De Tanque En Concreto De 3000 Psi, Altura 1.80 Metros, Con Placa De Concreto Y Tapa De Inspección En Lámina, Incluye Pasos</v>
          </cell>
          <cell r="E1492" t="str">
            <v>GL</v>
          </cell>
          <cell r="F1492">
            <v>1950000</v>
          </cell>
          <cell r="G1492">
            <v>41345</v>
          </cell>
        </row>
        <row r="1493">
          <cell r="C1493">
            <v>2794</v>
          </cell>
          <cell r="D1493" t="str">
            <v>Cárcamo En Ladrillo Pañetado De 0.20 X 0.30 Metros, Incluye Rejilla En Adoquín (Ver Diseño)</v>
          </cell>
          <cell r="E1493" t="str">
            <v>ML</v>
          </cell>
          <cell r="F1493">
            <v>88514.71</v>
          </cell>
          <cell r="G1493">
            <v>41345</v>
          </cell>
        </row>
        <row r="1494">
          <cell r="C1494">
            <v>2797</v>
          </cell>
          <cell r="D1494" t="str">
            <v>Suministro E Instalacion De Poste Hpc 500 Dan 14 M</v>
          </cell>
          <cell r="E1494" t="str">
            <v>UN</v>
          </cell>
          <cell r="F1494">
            <v>1711686.43</v>
          </cell>
          <cell r="G1494">
            <v>41404</v>
          </cell>
        </row>
        <row r="1495">
          <cell r="C1495">
            <v>2799</v>
          </cell>
          <cell r="D1495" t="str">
            <v>Placa De Piso En Concreto De 3000 Psi Espejos De Agua De 0.10 Metros, Incluye Recebo B-600 Compactado, Solado De Limpieza En Concreto De 2000 Psi, Y Malla Electrosoldada De 0.15 X 0.15 Metros</v>
          </cell>
          <cell r="E1495" t="str">
            <v>M2</v>
          </cell>
          <cell r="F1495">
            <v>97232.13</v>
          </cell>
          <cell r="G1495">
            <v>41354</v>
          </cell>
        </row>
        <row r="1496">
          <cell r="C1496">
            <v>2801</v>
          </cell>
          <cell r="D1496" t="str">
            <v>Suministro E Instalacion De Poste Hpc 800 Dan 14 M</v>
          </cell>
          <cell r="E1496" t="str">
            <v>UN</v>
          </cell>
          <cell r="F1496">
            <v>2436925.19</v>
          </cell>
          <cell r="G1496">
            <v>42524</v>
          </cell>
        </row>
        <row r="1497">
          <cell r="C1497">
            <v>2802</v>
          </cell>
          <cell r="D1497" t="str">
            <v>Viga Superior De 0.30 X 0.30 Metros, En Concreto De 3000 Psi, No Incluye Acero De Refuerzo</v>
          </cell>
          <cell r="E1497" t="str">
            <v>M3</v>
          </cell>
          <cell r="F1497">
            <v>788921.21</v>
          </cell>
          <cell r="G1497">
            <v>41345</v>
          </cell>
        </row>
        <row r="1498">
          <cell r="C1498">
            <v>2803</v>
          </cell>
          <cell r="D1498" t="str">
            <v>Suministro E Instalación De Arm Simp Cto Trif Alineación Disp Hor 13,2 Kv</v>
          </cell>
          <cell r="E1498" t="str">
            <v>UN</v>
          </cell>
          <cell r="F1498">
            <v>2019078.37</v>
          </cell>
          <cell r="G1498">
            <v>41906</v>
          </cell>
        </row>
        <row r="1499">
          <cell r="C1499">
            <v>2808</v>
          </cell>
          <cell r="D1499" t="str">
            <v>Suministro E Instalacion De Poste Hpc 1250 Dan 14 M</v>
          </cell>
          <cell r="E1499" t="str">
            <v>UN</v>
          </cell>
          <cell r="F1499">
            <v>3443947.14</v>
          </cell>
          <cell r="G1499">
            <v>41569</v>
          </cell>
        </row>
        <row r="1500">
          <cell r="C1500">
            <v>2809</v>
          </cell>
          <cell r="D1500" t="str">
            <v>Suministro E Instalación De Arm Simp Cto Trif Ang 5° A 20°/30° Disp Hor 13.2 Kv</v>
          </cell>
          <cell r="E1500" t="str">
            <v>UN</v>
          </cell>
          <cell r="F1500">
            <v>3622214.8</v>
          </cell>
          <cell r="G1500">
            <v>41404</v>
          </cell>
        </row>
        <row r="1501">
          <cell r="C1501">
            <v>2811</v>
          </cell>
          <cell r="D1501" t="str">
            <v>Suministro E Instalacion De Poste Hpc 2000 Dan 14 M</v>
          </cell>
          <cell r="E1501" t="str">
            <v>UN</v>
          </cell>
          <cell r="F1501">
            <v>11231349.49</v>
          </cell>
          <cell r="G1501">
            <v>41569</v>
          </cell>
        </row>
        <row r="1502">
          <cell r="C1502">
            <v>2812</v>
          </cell>
          <cell r="D1502" t="str">
            <v>Suministro E Instalación De Arm Simp Cto Trif Anclaje Disp Hor 13.2 Kv477-559.5</v>
          </cell>
          <cell r="E1502" t="str">
            <v>UN</v>
          </cell>
          <cell r="F1502">
            <v>4097265.82</v>
          </cell>
          <cell r="G1502">
            <v>41906</v>
          </cell>
        </row>
        <row r="1503">
          <cell r="C1503">
            <v>2814</v>
          </cell>
          <cell r="D1503" t="str">
            <v>Suministro E Instalación De Arm Simp Cto Trif Anclaje (2) Disp Hor 13.2 Kv 477-559.5</v>
          </cell>
          <cell r="E1503" t="str">
            <v>UN</v>
          </cell>
          <cell r="F1503">
            <v>6904772</v>
          </cell>
          <cell r="G1503">
            <v>41404</v>
          </cell>
        </row>
        <row r="1504">
          <cell r="C1504">
            <v>2816</v>
          </cell>
          <cell r="D1504" t="str">
            <v>Sumnistro E Instalación De Arm Simp Cto Trif Anclaje Disp Hor 13,2 Kv Acsr 1/0</v>
          </cell>
          <cell r="E1504" t="str">
            <v>UN</v>
          </cell>
          <cell r="F1504">
            <v>3895414.8</v>
          </cell>
          <cell r="G1504">
            <v>41404</v>
          </cell>
        </row>
        <row r="1505">
          <cell r="C1505">
            <v>2817</v>
          </cell>
          <cell r="D1505" t="str">
            <v>Suministro E Instalación De Arm Simp Cto Trif Fiin Línea Disp Hor 13.2 Kv 1/0 - 123.3</v>
          </cell>
          <cell r="E1505" t="str">
            <v>UN</v>
          </cell>
          <cell r="F1505">
            <v>3238493.96</v>
          </cell>
          <cell r="G1505">
            <v>41404</v>
          </cell>
        </row>
        <row r="1506">
          <cell r="C1506">
            <v>2818</v>
          </cell>
          <cell r="D1506" t="str">
            <v>Suministro E Instalación De Arm Simple Cto Trif En Línea Disp Hor 13.2Kv 477 - 559.5</v>
          </cell>
          <cell r="E1506" t="str">
            <v>UN</v>
          </cell>
          <cell r="F1506">
            <v>3335714.8</v>
          </cell>
          <cell r="G1506">
            <v>41404</v>
          </cell>
        </row>
        <row r="1507">
          <cell r="C1507">
            <v>2819</v>
          </cell>
          <cell r="D1507" t="str">
            <v>Suministro E Instalación De Armado Horiz Cto Bif Fin Línea 1/0 123.3</v>
          </cell>
          <cell r="E1507" t="str">
            <v>UN</v>
          </cell>
          <cell r="F1507">
            <v>3075414.8</v>
          </cell>
          <cell r="G1507">
            <v>41404</v>
          </cell>
        </row>
        <row r="1508">
          <cell r="C1508">
            <v>2821</v>
          </cell>
          <cell r="D1508" t="str">
            <v>Tendido De Linea Trif Simp Cto Acsr 477 Mcm S/N</v>
          </cell>
          <cell r="E1508" t="str">
            <v>ML</v>
          </cell>
          <cell r="F1508">
            <v>97085.83</v>
          </cell>
          <cell r="G1508">
            <v>41906</v>
          </cell>
        </row>
        <row r="1509">
          <cell r="C1509">
            <v>2822</v>
          </cell>
          <cell r="D1509" t="str">
            <v>Cañuela Tipo "B" H = 0.25 X 0.30 Metros, Incluye Excavación, Base, Solado En Concreto Pobre, Acero De Refuerzo Y Sello De Junta</v>
          </cell>
          <cell r="E1509" t="str">
            <v>ML</v>
          </cell>
          <cell r="F1509">
            <v>68667.67</v>
          </cell>
          <cell r="G1509">
            <v>41345</v>
          </cell>
        </row>
        <row r="1510">
          <cell r="C1510">
            <v>2823</v>
          </cell>
          <cell r="D1510" t="str">
            <v>Suministro E Instalación De Terminal Ext Contráctil En Frío 15 Kv Cable 2</v>
          </cell>
          <cell r="E1510" t="str">
            <v>UN</v>
          </cell>
          <cell r="F1510">
            <v>340501.27</v>
          </cell>
          <cell r="G1510">
            <v>42538</v>
          </cell>
        </row>
        <row r="1511">
          <cell r="C1511">
            <v>2824</v>
          </cell>
          <cell r="D1511" t="str">
            <v>Campamento Incluye Area De Acopio De Materiales (Ver Diseño)</v>
          </cell>
          <cell r="E1511" t="str">
            <v>M2</v>
          </cell>
          <cell r="F1511">
            <v>111876.5</v>
          </cell>
          <cell r="G1511">
            <v>42443</v>
          </cell>
        </row>
        <row r="1512">
          <cell r="C1512">
            <v>2825</v>
          </cell>
          <cell r="D1512" t="str">
            <v>Provisión De Señalización Horizontal Y Vertical</v>
          </cell>
          <cell r="E1512" t="str">
            <v>GL</v>
          </cell>
          <cell r="F1512">
            <v>10000000</v>
          </cell>
          <cell r="G1512">
            <v>42447</v>
          </cell>
        </row>
        <row r="1513">
          <cell r="C1513">
            <v>2826</v>
          </cell>
          <cell r="D1513" t="str">
            <v>Provisión De Semaforización</v>
          </cell>
          <cell r="E1513" t="str">
            <v>GL</v>
          </cell>
          <cell r="F1513">
            <v>10000000</v>
          </cell>
          <cell r="G1513">
            <v>42447</v>
          </cell>
        </row>
        <row r="1514">
          <cell r="C1514">
            <v>2828</v>
          </cell>
          <cell r="D1514" t="str">
            <v>Suministro E Instalación De Empalme Contractil En Frío 15 Kv Cable 2 Cu</v>
          </cell>
          <cell r="E1514" t="str">
            <v>UN</v>
          </cell>
          <cell r="F1514">
            <v>1124327.3899999999</v>
          </cell>
          <cell r="G1514">
            <v>41404</v>
          </cell>
        </row>
        <row r="1515">
          <cell r="C1515">
            <v>2830</v>
          </cell>
          <cell r="D1515" t="str">
            <v>Ml Tendido Linea Trif Simp Cto Acsr 4/0 Awg S/N</v>
          </cell>
          <cell r="E1515" t="str">
            <v>ML</v>
          </cell>
          <cell r="F1515">
            <v>54570.33</v>
          </cell>
          <cell r="G1515">
            <v>41404</v>
          </cell>
        </row>
        <row r="1516">
          <cell r="C1516">
            <v>2831</v>
          </cell>
          <cell r="D1516" t="str">
            <v>Salida De Balas De Piso Para Áreas Circundantes</v>
          </cell>
          <cell r="E1516" t="str">
            <v>UN</v>
          </cell>
          <cell r="F1516">
            <v>99478.17</v>
          </cell>
          <cell r="G1516">
            <v>41354</v>
          </cell>
        </row>
        <row r="1517">
          <cell r="C1517">
            <v>2833</v>
          </cell>
          <cell r="D1517" t="str">
            <v>Suministro E Instalación De Puesta A Tierra En Poste Hormigón De 12 M</v>
          </cell>
          <cell r="E1517" t="str">
            <v>UN</v>
          </cell>
          <cell r="F1517">
            <v>385631.14</v>
          </cell>
          <cell r="G1517">
            <v>42447</v>
          </cell>
        </row>
        <row r="1518">
          <cell r="C1518">
            <v>2839</v>
          </cell>
          <cell r="D1518" t="str">
            <v>Tendido De Linea Trif Simp Cto Acsr 1/0 Awg S/N</v>
          </cell>
          <cell r="E1518" t="str">
            <v>ML</v>
          </cell>
          <cell r="F1518">
            <v>27735.37</v>
          </cell>
          <cell r="G1518">
            <v>41906</v>
          </cell>
        </row>
        <row r="1519">
          <cell r="C1519">
            <v>2842</v>
          </cell>
          <cell r="D1519" t="str">
            <v>Suministro E Instalación De Puesta A Tierra En Poste Hormigón De 14 M</v>
          </cell>
          <cell r="E1519" t="str">
            <v>UN</v>
          </cell>
          <cell r="F1519">
            <v>412931.14</v>
          </cell>
          <cell r="G1519">
            <v>41569</v>
          </cell>
        </row>
        <row r="1520">
          <cell r="C1520">
            <v>2843</v>
          </cell>
          <cell r="D1520" t="str">
            <v>Suministro E Instalación De Breaker Enchufable Tripolar</v>
          </cell>
          <cell r="E1520" t="str">
            <v>UN</v>
          </cell>
          <cell r="F1520">
            <v>95505.600000000006</v>
          </cell>
          <cell r="G1520">
            <v>41354</v>
          </cell>
        </row>
        <row r="1521">
          <cell r="C1521">
            <v>2844</v>
          </cell>
          <cell r="D1521" t="str">
            <v>E - Acometida Eléctrica En Tubería Conduit D = 3", Con 4 # 2 + 1 # 6 Aw G Thhn (Ver Diseño)</v>
          </cell>
          <cell r="E1521" t="str">
            <v>ML</v>
          </cell>
          <cell r="F1521">
            <v>86121.600000000006</v>
          </cell>
          <cell r="G1521">
            <v>41451</v>
          </cell>
        </row>
        <row r="1522">
          <cell r="C1522">
            <v>2845</v>
          </cell>
          <cell r="D1522" t="str">
            <v>E - Acometida Planta De Emergencia Hasta Transferencia Automática En 2 Tubería Conduit D = 3" Con 8 # 250 Mcm + 1 # 2/0 (Ver Diseño)</v>
          </cell>
          <cell r="E1522" t="str">
            <v>ML</v>
          </cell>
          <cell r="F1522">
            <v>563720.4</v>
          </cell>
          <cell r="G1522">
            <v>41451</v>
          </cell>
        </row>
        <row r="1523">
          <cell r="C1523">
            <v>2846</v>
          </cell>
          <cell r="D1523" t="str">
            <v>Acometida De Señal Desde Planta De Emergencia Hasta Transferencia Automática En Tubería Conduit D = 3/4" Con 1 Cable Encauchetado 3 X 16 (Ver Diseño)</v>
          </cell>
          <cell r="E1523" t="str">
            <v>ML</v>
          </cell>
          <cell r="F1523">
            <v>13153.2</v>
          </cell>
          <cell r="G1523">
            <v>41345</v>
          </cell>
        </row>
        <row r="1524">
          <cell r="C1524">
            <v>2847</v>
          </cell>
          <cell r="D1524" t="str">
            <v>Desmonte De Poste De Hormigón De 6-10 M</v>
          </cell>
          <cell r="E1524" t="str">
            <v>UN</v>
          </cell>
          <cell r="F1524">
            <v>277096.95</v>
          </cell>
          <cell r="G1524">
            <v>41404</v>
          </cell>
        </row>
        <row r="1525">
          <cell r="C1525">
            <v>2849</v>
          </cell>
          <cell r="D1525" t="str">
            <v>Tendido De Linea Bif Acsr 1/0 Awg S/N</v>
          </cell>
          <cell r="E1525" t="str">
            <v>ML</v>
          </cell>
          <cell r="F1525">
            <v>15023.84</v>
          </cell>
          <cell r="G1525">
            <v>41404</v>
          </cell>
        </row>
        <row r="1526">
          <cell r="C1526">
            <v>2850</v>
          </cell>
          <cell r="D1526" t="str">
            <v>E - Acometida Para Cargador De Baterias De La Planta De Emergencia En Tubería Conduit D = 1/2" Con 2 # 12 +1 # 14</v>
          </cell>
          <cell r="E1526" t="str">
            <v>ML</v>
          </cell>
          <cell r="F1526">
            <v>11788.8</v>
          </cell>
          <cell r="G1526">
            <v>41451</v>
          </cell>
        </row>
        <row r="1527">
          <cell r="C1527">
            <v>2851</v>
          </cell>
          <cell r="D1527" t="str">
            <v>E - Suministro Y Montaje De Sistema De Media Tensión, Tipo Exterior ( Ver Diseño)</v>
          </cell>
          <cell r="E1527" t="str">
            <v>GL</v>
          </cell>
          <cell r="F1527">
            <v>25167360</v>
          </cell>
          <cell r="G1527">
            <v>41451</v>
          </cell>
        </row>
        <row r="1528">
          <cell r="C1528">
            <v>2852</v>
          </cell>
          <cell r="D1528" t="str">
            <v>E - Transferencia Automática De 500 Amp. 220 V, Según Diagrama Unifilar (Ver Diseño)</v>
          </cell>
          <cell r="E1528" t="str">
            <v>GL</v>
          </cell>
          <cell r="F1528">
            <v>24402000</v>
          </cell>
          <cell r="G1528">
            <v>41451</v>
          </cell>
        </row>
        <row r="1529">
          <cell r="C1529">
            <v>2853</v>
          </cell>
          <cell r="D1529" t="str">
            <v>E - Suministro E Instalación De Bala Dulux 2 X 26 W A 32 W , Tipo Higt Lihgts O Similar</v>
          </cell>
          <cell r="E1529" t="str">
            <v>UN</v>
          </cell>
          <cell r="F1529">
            <v>159500</v>
          </cell>
          <cell r="G1529">
            <v>41451</v>
          </cell>
        </row>
        <row r="1530">
          <cell r="C1530">
            <v>2854</v>
          </cell>
          <cell r="D1530" t="str">
            <v>Desmonte De Poste De Hormigón De 11-12 M</v>
          </cell>
          <cell r="E1530" t="str">
            <v>UN</v>
          </cell>
          <cell r="F1530">
            <v>353420.83</v>
          </cell>
          <cell r="G1530">
            <v>42447</v>
          </cell>
        </row>
        <row r="1531">
          <cell r="C1531">
            <v>2855</v>
          </cell>
          <cell r="D1531" t="str">
            <v>E - Suministro E Instalación De Bala De Piso, De 70W Doble Contacto , Tipo Higt Lihgts O Similar</v>
          </cell>
          <cell r="E1531" t="str">
            <v>UN</v>
          </cell>
          <cell r="F1531">
            <v>957000</v>
          </cell>
          <cell r="G1531">
            <v>41451</v>
          </cell>
        </row>
        <row r="1532">
          <cell r="C1532">
            <v>2856</v>
          </cell>
          <cell r="D1532" t="str">
            <v>E - Suministro E Instalación De Bala De Piso, De10 W Led , Tipo Higt Lihgts O Similar</v>
          </cell>
          <cell r="E1532" t="str">
            <v>UN</v>
          </cell>
          <cell r="F1532">
            <v>242000</v>
          </cell>
          <cell r="G1532">
            <v>41451</v>
          </cell>
        </row>
        <row r="1533">
          <cell r="C1533">
            <v>2857</v>
          </cell>
          <cell r="D1533" t="str">
            <v>E - Suministro E Instalación De Bala De Piso, De35  W  Halogena , Tipo Higt Lihgts O Similar</v>
          </cell>
          <cell r="E1533" t="str">
            <v>UN</v>
          </cell>
          <cell r="F1533">
            <v>192500</v>
          </cell>
          <cell r="G1533">
            <v>41451</v>
          </cell>
        </row>
        <row r="1534">
          <cell r="C1534">
            <v>2859</v>
          </cell>
          <cell r="D1534" t="str">
            <v>Fusible Expulsion 10 A Tipo K</v>
          </cell>
          <cell r="E1534" t="str">
            <v>UN</v>
          </cell>
          <cell r="F1534">
            <v>15527.76</v>
          </cell>
          <cell r="G1534">
            <v>41404</v>
          </cell>
        </row>
        <row r="1535">
          <cell r="C1535">
            <v>2860</v>
          </cell>
          <cell r="D1535" t="str">
            <v>Desmonte De Poste De Hormigón 14 M</v>
          </cell>
          <cell r="E1535" t="str">
            <v>UN</v>
          </cell>
          <cell r="F1535">
            <v>406717.5</v>
          </cell>
          <cell r="G1535">
            <v>41569</v>
          </cell>
        </row>
        <row r="1536">
          <cell r="C1536">
            <v>2861</v>
          </cell>
          <cell r="D1536" t="str">
            <v>Desmonte De Armado M.T. Dos Crucetas</v>
          </cell>
          <cell r="E1536" t="str">
            <v>UN</v>
          </cell>
          <cell r="F1536">
            <v>137137.5</v>
          </cell>
          <cell r="G1536">
            <v>41906</v>
          </cell>
        </row>
        <row r="1537">
          <cell r="C1537">
            <v>2862</v>
          </cell>
          <cell r="D1537" t="str">
            <v>Desmonte De Armado M.T. Una Cruceta</v>
          </cell>
          <cell r="E1537" t="str">
            <v>UN</v>
          </cell>
          <cell r="F1537">
            <v>64523</v>
          </cell>
          <cell r="G1537">
            <v>42447</v>
          </cell>
        </row>
        <row r="1538">
          <cell r="C1538">
            <v>2863</v>
          </cell>
          <cell r="D1538" t="str">
            <v>Desmonte De Armado M.T. Compacto Trifásico</v>
          </cell>
          <cell r="E1538" t="str">
            <v>UN</v>
          </cell>
          <cell r="F1538">
            <v>127202.5</v>
          </cell>
          <cell r="G1538">
            <v>41404</v>
          </cell>
        </row>
        <row r="1539">
          <cell r="C1539">
            <v>2864</v>
          </cell>
          <cell r="D1539" t="str">
            <v>Desmonte De Armado M.T. Compacto Bifásico</v>
          </cell>
          <cell r="E1539" t="str">
            <v>UN</v>
          </cell>
          <cell r="F1539">
            <v>82723.960000000006</v>
          </cell>
          <cell r="G1539">
            <v>41404</v>
          </cell>
        </row>
        <row r="1540">
          <cell r="C1540">
            <v>2865</v>
          </cell>
          <cell r="D1540" t="str">
            <v>E - Suministro E Instalación De Cinta Led Strp 2.4 W/M Tipo Higt Lihgts O Similar</v>
          </cell>
          <cell r="E1540" t="str">
            <v>ML</v>
          </cell>
          <cell r="F1540">
            <v>106700</v>
          </cell>
          <cell r="G1540">
            <v>41451</v>
          </cell>
        </row>
        <row r="1541">
          <cell r="C1541">
            <v>2866</v>
          </cell>
          <cell r="D1541" t="str">
            <v>E - Suministro E Instalación Led River 1.00 X 4.00 Metros De Cinta Led, Tipo Higt Lihgts O Similar</v>
          </cell>
          <cell r="E1541" t="str">
            <v>ML</v>
          </cell>
          <cell r="F1541">
            <v>214500</v>
          </cell>
          <cell r="G1541">
            <v>41451</v>
          </cell>
        </row>
        <row r="1542">
          <cell r="C1542">
            <v>2867</v>
          </cell>
          <cell r="D1542" t="str">
            <v>Diseño Y Montaje De Sistema De Apantallamiento, Incluye Todos Los Materiales Y Mano De Obra</v>
          </cell>
          <cell r="E1542" t="str">
            <v>GL</v>
          </cell>
          <cell r="F1542">
            <v>8850000</v>
          </cell>
          <cell r="G1542">
            <v>41345</v>
          </cell>
        </row>
        <row r="1543">
          <cell r="C1543">
            <v>2868</v>
          </cell>
          <cell r="D1543" t="str">
            <v>Desmonte De Línea Aérea Mt (1F) 266 A 477</v>
          </cell>
          <cell r="E1543" t="str">
            <v>ML</v>
          </cell>
          <cell r="F1543">
            <v>6823.91</v>
          </cell>
          <cell r="G1543">
            <v>41906</v>
          </cell>
        </row>
        <row r="1544">
          <cell r="C1544">
            <v>2869</v>
          </cell>
          <cell r="D1544" t="str">
            <v>Caja De Inspección De 0.30 X 0.30 Metros, Altura Máxima 1.00 Metros En Mampostería, Incluye Tapa, Marco Y Contramarcos, Excavación, Pañete, Medias Cañas, Relleno Con Recebo E = 0.20 Base, Base En Concreto</v>
          </cell>
          <cell r="E1544" t="str">
            <v>UN</v>
          </cell>
          <cell r="F1544">
            <v>285638.18</v>
          </cell>
          <cell r="G1544">
            <v>41345</v>
          </cell>
        </row>
        <row r="1545">
          <cell r="C1545">
            <v>2870</v>
          </cell>
          <cell r="D1545" t="str">
            <v>Desmonte De Línea Mt (1F) 2 A 4/0</v>
          </cell>
          <cell r="E1545" t="str">
            <v>ML</v>
          </cell>
          <cell r="F1545">
            <v>5291.08</v>
          </cell>
          <cell r="G1545">
            <v>41404</v>
          </cell>
        </row>
        <row r="1546">
          <cell r="C1546">
            <v>2871</v>
          </cell>
          <cell r="D1546" t="str">
            <v>Provisión De Red Media Tensión, Baja Tensión, Alumbrado, Luminarias, Obras Civiles, Gestiones Y Certificaciones L: 800 Ml</v>
          </cell>
          <cell r="E1546" t="str">
            <v>GL</v>
          </cell>
          <cell r="F1546">
            <v>1600000000</v>
          </cell>
          <cell r="G1546">
            <v>41821</v>
          </cell>
        </row>
        <row r="1547">
          <cell r="C1547">
            <v>2872</v>
          </cell>
          <cell r="D1547" t="str">
            <v>Retiro Puente De Línea Trifásico En Poste Cto Mt</v>
          </cell>
          <cell r="E1547" t="str">
            <v>UN</v>
          </cell>
          <cell r="F1547">
            <v>103431.95</v>
          </cell>
          <cell r="G1547">
            <v>41906</v>
          </cell>
        </row>
        <row r="1548">
          <cell r="C1548">
            <v>2873</v>
          </cell>
          <cell r="D1548" t="str">
            <v>Adoquín De Arcilla Altura 0.06 Metros, Tipo Tolete Pendientes Mayores A 10% Y Hasta 15% Con Estructura De Sub Base Gradación B = 400, E = 0.20 Metros + Base B = 600 E = 0.15 Metros + Adoquín E = 0.06 Metros, Mortero De Alisado Y Pegado, Sellado Con Mortero 1 : 6, Dilatación De Confinamiento Cada 20 M2 ( Tabla 5 - 1 Tipo 1 Suelos Blandos), Incluye Excavación, Compactación, Fondo, Rellenos En Recebo / Tabla De Diseño Geotextil De Pavco Y Retiro De Material Sobrante</v>
          </cell>
          <cell r="E1548" t="str">
            <v>M2</v>
          </cell>
          <cell r="F1548">
            <v>136291.5</v>
          </cell>
          <cell r="G1548">
            <v>41345</v>
          </cell>
        </row>
        <row r="1549">
          <cell r="C1549">
            <v>2874</v>
          </cell>
          <cell r="D1549" t="str">
            <v>Retiro Puente De Línea En Medio De Vano Cto Mt Bifásico</v>
          </cell>
          <cell r="E1549" t="str">
            <v>UN</v>
          </cell>
          <cell r="F1549">
            <v>187745.22</v>
          </cell>
          <cell r="G1549">
            <v>41404</v>
          </cell>
        </row>
        <row r="1550">
          <cell r="C1550">
            <v>2875</v>
          </cell>
          <cell r="D1550" t="str">
            <v>Adoquín De Concreto E =  0.08 Metros, Para Pendientes Menores A 5% Con Estructura De Sub Base Gradación B = 400, E = 0.15 Metros + Base B = 600 E = 0.15 Metros + Adoquín E = 0.08 Metros, Sobre Arena Con Dilatación De Confinamiento Cada 20 M2 ( Tabla 5 - 1 Tipo 2 Suelos Medios), Incluye Excavación, Compactación, Fondo, Rellenos En Recebo / Tabla De Diseño Geotextil T - 1700 De Pavco Y Retiro De Material Sobrante</v>
          </cell>
          <cell r="E1550" t="str">
            <v>M2</v>
          </cell>
          <cell r="F1550">
            <v>127257.31</v>
          </cell>
          <cell r="G1550">
            <v>41912</v>
          </cell>
        </row>
        <row r="1551">
          <cell r="C1551">
            <v>2877</v>
          </cell>
          <cell r="D1551" t="str">
            <v>Desmontaje De Retenida Sencilla Primaria</v>
          </cell>
          <cell r="E1551" t="str">
            <v>UN</v>
          </cell>
          <cell r="F1551">
            <v>82723.960000000006</v>
          </cell>
          <cell r="G1551">
            <v>41569</v>
          </cell>
        </row>
        <row r="1552">
          <cell r="C1552">
            <v>2878</v>
          </cell>
          <cell r="D1552" t="str">
            <v>Adoquín De Arcilla E =  0.06 Metros, Tipo Tolete Para Pendientes Menores A 5% Con Estructura De Sub Base B = 400, E = 0.10 Metros + Base B = 600 E = 0.15 Metros + Adoquín E = 0.06 Metros, Sobre Arena Con Dilatación De Confinamiento Cada 20 M2 ( Tabla 5 - 3 Tipo 2 Suelos Medios), Incluye Excavación, Compactación, Fondo, Rellenos En Recebo / Tabla De Diseño Geotextil Lafayette Fortex Bx - 30 Y Retiro De Material Sobrante</v>
          </cell>
          <cell r="E1552" t="str">
            <v>M2</v>
          </cell>
          <cell r="F1552">
            <v>115002.48</v>
          </cell>
          <cell r="G1552">
            <v>41345</v>
          </cell>
        </row>
        <row r="1553">
          <cell r="C1553">
            <v>2880</v>
          </cell>
          <cell r="D1553" t="str">
            <v>Desmonte De Percha De 3 O 4 Puestos</v>
          </cell>
          <cell r="E1553" t="str">
            <v>UN</v>
          </cell>
          <cell r="F1553">
            <v>72694.33</v>
          </cell>
          <cell r="G1553">
            <v>41906</v>
          </cell>
        </row>
        <row r="1554">
          <cell r="C1554">
            <v>2881</v>
          </cell>
          <cell r="D1554" t="str">
            <v>Adoquín Ecológico E =  0.06 Metros, Tipo Concreto Para Pendientes Menores A 5% Con Estructura De Sub Base B = 400, E = 0.10 Metros + Base B = 600 E = 0.15 Metros + Adoquín E = 0.06 Metros, Sobre Arena Con Dilatación De Confinamiento Cada 20 M2 ( Tabla 5 - 3 Tipo 2 Suelos Medios), Incluye Excavación, Compactación, Fondo, Rellenos En Recebo / Tabla De Diseño Geotextil Lafayette Fortex Bx - 30 Y Retiro De Material Sobrante. Relleno En Arena De Rio 70% Y Tierra Negra Abonada 30%</v>
          </cell>
          <cell r="E1554" t="str">
            <v>M2</v>
          </cell>
          <cell r="F1554">
            <v>130012.23</v>
          </cell>
          <cell r="G1554">
            <v>41345</v>
          </cell>
        </row>
        <row r="1555">
          <cell r="C1555">
            <v>2882</v>
          </cell>
          <cell r="D1555" t="str">
            <v>Instalacion De Derivacion Trif Rigida Acsr 477-477 Mcm Acsr S/N</v>
          </cell>
          <cell r="E1555" t="str">
            <v>UN</v>
          </cell>
          <cell r="F1555">
            <v>639120.18999999994</v>
          </cell>
          <cell r="G1555">
            <v>41906</v>
          </cell>
        </row>
        <row r="1556">
          <cell r="C1556">
            <v>2883</v>
          </cell>
          <cell r="D1556" t="str">
            <v>Desmonte De Línea Bt (Ra) 1 Hilo No. 4 A 1/0</v>
          </cell>
          <cell r="E1556" t="str">
            <v>UN</v>
          </cell>
          <cell r="F1556">
            <v>2211.79</v>
          </cell>
          <cell r="G1556">
            <v>41906</v>
          </cell>
        </row>
        <row r="1557">
          <cell r="C1557">
            <v>2884</v>
          </cell>
          <cell r="D1557" t="str">
            <v>Mortero 1:3 Impermeabilizado Con Sika 1</v>
          </cell>
          <cell r="E1557" t="str">
            <v>M3</v>
          </cell>
          <cell r="F1557">
            <v>389125.33</v>
          </cell>
          <cell r="G1557">
            <v>42438</v>
          </cell>
        </row>
        <row r="1558">
          <cell r="C1558">
            <v>2885</v>
          </cell>
          <cell r="D1558" t="str">
            <v>Instalacion De Derivacion Trif Rigida Acsr 477-Acsr 1/0</v>
          </cell>
          <cell r="E1558" t="str">
            <v>UN</v>
          </cell>
          <cell r="F1558">
            <v>391954.65</v>
          </cell>
          <cell r="G1558">
            <v>41906</v>
          </cell>
        </row>
        <row r="1559">
          <cell r="C1559">
            <v>2886</v>
          </cell>
          <cell r="D1559" t="str">
            <v>Instalacion De Derivacion Trif Rigida Medio De Vano Acsr 4/0-Acsr 4/0</v>
          </cell>
          <cell r="E1559" t="str">
            <v>UN</v>
          </cell>
          <cell r="F1559">
            <v>377824.97</v>
          </cell>
          <cell r="G1559">
            <v>41404</v>
          </cell>
        </row>
        <row r="1560">
          <cell r="C1560">
            <v>2888</v>
          </cell>
          <cell r="D1560" t="str">
            <v>Cimentación Especial Cuadrada Con Refuerzo Apoyo Para Poste De 12M 2000 Dan</v>
          </cell>
          <cell r="E1560" t="str">
            <v>UN</v>
          </cell>
          <cell r="F1560">
            <v>3319309.36</v>
          </cell>
          <cell r="G1560">
            <v>41372</v>
          </cell>
        </row>
        <row r="1561">
          <cell r="C1561">
            <v>2890</v>
          </cell>
          <cell r="D1561" t="str">
            <v>Aplicación De Geotextil T - 1700</v>
          </cell>
          <cell r="E1561" t="str">
            <v>M2</v>
          </cell>
          <cell r="F1561">
            <v>9427.0300000000007</v>
          </cell>
          <cell r="G1561">
            <v>41386</v>
          </cell>
        </row>
        <row r="1562">
          <cell r="C1562">
            <v>2891</v>
          </cell>
          <cell r="D1562" t="str">
            <v>Cimentación Especial Cuadrada Con Refuerzo De Apoyo Para Poste De 14 M 2000 Dan</v>
          </cell>
          <cell r="E1562" t="str">
            <v>UN</v>
          </cell>
          <cell r="F1562">
            <v>3774988.26</v>
          </cell>
          <cell r="G1562">
            <v>41372</v>
          </cell>
        </row>
        <row r="1563">
          <cell r="C1563">
            <v>2892</v>
          </cell>
          <cell r="D1563" t="str">
            <v>Suministro E Instalación De Tres Cortacircuitos Nn Completo 13,2 Kv 100A</v>
          </cell>
          <cell r="E1563" t="str">
            <v>UN</v>
          </cell>
          <cell r="F1563">
            <v>1621555.05</v>
          </cell>
          <cell r="G1563">
            <v>42538</v>
          </cell>
        </row>
        <row r="1564">
          <cell r="C1564">
            <v>2898</v>
          </cell>
          <cell r="D1564" t="str">
            <v>Aplicación De Geotextil Tejido De Poliester De 30.5 Kn/M, Tipo T 2100 Fortex Bx-30</v>
          </cell>
          <cell r="E1564" t="str">
            <v>M2</v>
          </cell>
          <cell r="F1564">
            <v>5774.58</v>
          </cell>
          <cell r="G1564">
            <v>42500</v>
          </cell>
        </row>
        <row r="1565">
          <cell r="C1565">
            <v>2899</v>
          </cell>
          <cell r="D1565" t="str">
            <v>Suministro E Instalación De Dos Cortacircuitos Nn Completo 13.2 Kv 100 A</v>
          </cell>
          <cell r="E1565" t="str">
            <v>UN</v>
          </cell>
          <cell r="F1565">
            <v>1081036.71</v>
          </cell>
          <cell r="G1565">
            <v>41404</v>
          </cell>
        </row>
        <row r="1566">
          <cell r="C1566">
            <v>2900</v>
          </cell>
          <cell r="D1566" t="str">
            <v>Suministro, Instalación Y Montaje De Dos Pararrayos 13.2 Kv Fijación En Cruceta Metálica</v>
          </cell>
          <cell r="E1566" t="str">
            <v>UN</v>
          </cell>
          <cell r="F1566">
            <v>357102.56</v>
          </cell>
          <cell r="G1566">
            <v>42067</v>
          </cell>
        </row>
        <row r="1567">
          <cell r="C1567">
            <v>2901</v>
          </cell>
          <cell r="D1567" t="str">
            <v>Suministro, Instalación Y Montaje Retenida 1/2" En Poste Mt Nn</v>
          </cell>
          <cell r="E1567" t="str">
            <v>UN</v>
          </cell>
          <cell r="F1567">
            <v>1327515.8400000001</v>
          </cell>
          <cell r="G1567">
            <v>41404</v>
          </cell>
        </row>
        <row r="1568">
          <cell r="C1568">
            <v>2908</v>
          </cell>
          <cell r="D1568" t="str">
            <v>Suministro E Instalación De Arm Bt (Rt) Alin Y Ang Hasta 30° Y Fin De Línea</v>
          </cell>
          <cell r="E1568" t="str">
            <v>UN</v>
          </cell>
          <cell r="F1568">
            <v>79969.37</v>
          </cell>
          <cell r="G1568">
            <v>41906</v>
          </cell>
        </row>
        <row r="1569">
          <cell r="C1569">
            <v>2912</v>
          </cell>
          <cell r="D1569" t="str">
            <v>Suministro E Instalación De Caneca Para Exterior En Lámina Perforada De Acero Inoxidable 304, Satinado Con Parales Para Anclaje  A Piso Tipo A &amp; A O Similar, En Una Base De Concreto De 3.000 Psi De 0.30 X 0.15 Metros</v>
          </cell>
          <cell r="E1569" t="str">
            <v>UN</v>
          </cell>
          <cell r="F1569">
            <v>1190904.44</v>
          </cell>
          <cell r="G1569">
            <v>42227</v>
          </cell>
        </row>
        <row r="1570">
          <cell r="C1570">
            <v>2914</v>
          </cell>
          <cell r="D1570" t="str">
            <v>Suminstro E Instalación De Armado Bt (Ra) 3 Hilos Alineación Y Fin De Línea</v>
          </cell>
          <cell r="E1570" t="str">
            <v>UN</v>
          </cell>
          <cell r="F1570">
            <v>155624.98000000001</v>
          </cell>
          <cell r="G1570">
            <v>41569</v>
          </cell>
        </row>
        <row r="1571">
          <cell r="C1571">
            <v>2917</v>
          </cell>
          <cell r="D1571" t="str">
            <v>Reubicación De Tranformador Monofásico De  13,2 Kv En Poste Nn</v>
          </cell>
          <cell r="E1571" t="str">
            <v>UN</v>
          </cell>
          <cell r="F1571">
            <v>1335196.31</v>
          </cell>
          <cell r="G1571">
            <v>41906</v>
          </cell>
        </row>
        <row r="1572">
          <cell r="C1572">
            <v>2918</v>
          </cell>
          <cell r="D1572" t="str">
            <v>Reubicación De Tranformador Trifásico De 13,2 Kv En Poste Nn</v>
          </cell>
          <cell r="E1572" t="str">
            <v>UN</v>
          </cell>
          <cell r="F1572">
            <v>1487533.38</v>
          </cell>
          <cell r="G1572">
            <v>41906</v>
          </cell>
        </row>
        <row r="1573">
          <cell r="C1573">
            <v>2919</v>
          </cell>
          <cell r="D1573" t="str">
            <v>Reubicación De Cortacircuito</v>
          </cell>
          <cell r="E1573" t="str">
            <v>UN</v>
          </cell>
          <cell r="F1573">
            <v>174751.95</v>
          </cell>
          <cell r="G1573">
            <v>41906</v>
          </cell>
        </row>
        <row r="1574">
          <cell r="C1574">
            <v>2920</v>
          </cell>
          <cell r="D1574" t="str">
            <v>Reubicación De Un Descargador De Sobret Autovalv Fijación En Cruc Met</v>
          </cell>
          <cell r="E1574" t="str">
            <v>UN</v>
          </cell>
          <cell r="F1574">
            <v>148893.96</v>
          </cell>
          <cell r="G1574">
            <v>41906</v>
          </cell>
        </row>
        <row r="1575">
          <cell r="C1575">
            <v>2921</v>
          </cell>
          <cell r="D1575" t="str">
            <v>Reubicación De Interruptor / Reconectador / Autoseccionador Trifásico De 13.2 Kv</v>
          </cell>
          <cell r="E1575" t="str">
            <v>UN</v>
          </cell>
          <cell r="F1575">
            <v>910917.94</v>
          </cell>
          <cell r="G1575">
            <v>41569</v>
          </cell>
        </row>
        <row r="1576">
          <cell r="C1576">
            <v>2922</v>
          </cell>
          <cell r="D1576" t="str">
            <v>Reubicación Paso Aéreo Subterráneo Mt</v>
          </cell>
          <cell r="E1576" t="str">
            <v>UN</v>
          </cell>
          <cell r="F1576">
            <v>821037.88</v>
          </cell>
          <cell r="G1576">
            <v>41906</v>
          </cell>
        </row>
        <row r="1577">
          <cell r="C1577">
            <v>2923</v>
          </cell>
          <cell r="D1577" t="str">
            <v>Apertura O Cierre De Equipo De Maniobra Monofásico O Trifásico</v>
          </cell>
          <cell r="E1577" t="str">
            <v>UN</v>
          </cell>
          <cell r="F1577">
            <v>12385.77</v>
          </cell>
          <cell r="G1577">
            <v>41906</v>
          </cell>
        </row>
        <row r="1578">
          <cell r="C1578">
            <v>2924</v>
          </cell>
          <cell r="D1578" t="str">
            <v>Ml Retenido Existente Tríplex Todos Los Calibres</v>
          </cell>
          <cell r="E1578" t="str">
            <v>ML</v>
          </cell>
          <cell r="F1578">
            <v>20671.77</v>
          </cell>
          <cell r="G1578">
            <v>41404</v>
          </cell>
        </row>
        <row r="1579">
          <cell r="C1579">
            <v>2925</v>
          </cell>
          <cell r="D1579" t="str">
            <v>Reubicación Caja De Deriv Mon A 1,5 M Del Poste En Cable Triplex 4/0</v>
          </cell>
          <cell r="E1579" t="str">
            <v>UN</v>
          </cell>
          <cell r="F1579">
            <v>228481.95</v>
          </cell>
          <cell r="G1579">
            <v>41906</v>
          </cell>
        </row>
        <row r="1580">
          <cell r="C1580">
            <v>2927</v>
          </cell>
          <cell r="D1580" t="str">
            <v>Reubicación De Medidor Monofásico De Medida Directa</v>
          </cell>
          <cell r="E1580" t="str">
            <v>UN</v>
          </cell>
          <cell r="F1580">
            <v>117621.95</v>
          </cell>
          <cell r="G1580">
            <v>41906</v>
          </cell>
        </row>
        <row r="1581">
          <cell r="C1581">
            <v>2928</v>
          </cell>
          <cell r="D1581" t="str">
            <v>Instalacion De Derivacion Bif Rigida Medio De Vano Acsr 477-1/0</v>
          </cell>
          <cell r="E1581" t="str">
            <v>UN</v>
          </cell>
          <cell r="F1581">
            <v>291379.84000000003</v>
          </cell>
          <cell r="G1581">
            <v>41569</v>
          </cell>
        </row>
        <row r="1582">
          <cell r="C1582">
            <v>2929</v>
          </cell>
          <cell r="D1582" t="str">
            <v>Vano Retensado Lin (1 F) 1/0 A 4/0 Cu 4/0 A 477 Mcm Al,Acsr</v>
          </cell>
          <cell r="E1582" t="str">
            <v>UN</v>
          </cell>
          <cell r="F1582">
            <v>34867.42</v>
          </cell>
          <cell r="G1582">
            <v>41906</v>
          </cell>
        </row>
        <row r="1583">
          <cell r="C1583">
            <v>2930</v>
          </cell>
          <cell r="D1583" t="str">
            <v>Retiro De Luminaria</v>
          </cell>
          <cell r="E1583" t="str">
            <v>UN</v>
          </cell>
          <cell r="F1583">
            <v>52583.41</v>
          </cell>
          <cell r="G1583">
            <v>41906</v>
          </cell>
        </row>
        <row r="1584">
          <cell r="C1584">
            <v>2931</v>
          </cell>
          <cell r="D1584" t="str">
            <v>Instalacion De Conexion Conductor Acsr 477; Aaac 559,5-Cu 2</v>
          </cell>
          <cell r="E1584" t="str">
            <v>UN</v>
          </cell>
          <cell r="F1584">
            <v>136109.63</v>
          </cell>
          <cell r="G1584">
            <v>41906</v>
          </cell>
        </row>
        <row r="1585">
          <cell r="C1585">
            <v>2932</v>
          </cell>
          <cell r="D1585" t="str">
            <v>Instalacion De Paso Aereo-Subterraneo Trif 13,2 Kv 2 Awg Cu-Ampliacion Cra 51B</v>
          </cell>
          <cell r="E1585" t="str">
            <v>UN</v>
          </cell>
          <cell r="F1585">
            <v>2160404.0699999998</v>
          </cell>
          <cell r="G1585">
            <v>41404</v>
          </cell>
        </row>
        <row r="1586">
          <cell r="C1586">
            <v>2933</v>
          </cell>
          <cell r="D1586" t="str">
            <v>Canalización 0.30 X0.50 M En Zona De Arena, Recubierta Con En Concreto. Incluye Excavación, Compactado Con Material Del Sitio, Concreto Rojo Y Cinta De Seguridad.</v>
          </cell>
          <cell r="E1586" t="str">
            <v>ML</v>
          </cell>
          <cell r="F1586">
            <v>40442.699999999997</v>
          </cell>
          <cell r="G1586">
            <v>42447</v>
          </cell>
        </row>
        <row r="1587">
          <cell r="C1587">
            <v>2934</v>
          </cell>
          <cell r="D1587" t="str">
            <v>Canalización 0.30 X0.50 M En Zona De Arena. Incluye Excavación, Compactado Con Material Del Sitio Y Cinta De Seguridad.</v>
          </cell>
          <cell r="E1587" t="str">
            <v>ML</v>
          </cell>
          <cell r="F1587">
            <v>21762.7</v>
          </cell>
          <cell r="G1587">
            <v>42557</v>
          </cell>
        </row>
        <row r="1588">
          <cell r="C1588">
            <v>2938</v>
          </cell>
          <cell r="D1588" t="str">
            <v>Suministro E Instalación De Cable Thw Aluminio Aislado, 90°C Awg 1/0</v>
          </cell>
          <cell r="E1588" t="str">
            <v>ML</v>
          </cell>
          <cell r="F1588">
            <v>11984</v>
          </cell>
          <cell r="G1588">
            <v>42557</v>
          </cell>
        </row>
        <row r="1589">
          <cell r="C1589">
            <v>2939</v>
          </cell>
          <cell r="D1589" t="str">
            <v>Suministro E Instalacion De Bajante  En Tuberia Galvanizada De 2", Incluye: Accesorios, Capacete, Cinta Bandit, Hebillas, Curva, Etc.</v>
          </cell>
          <cell r="E1589" t="str">
            <v>UN</v>
          </cell>
          <cell r="F1589">
            <v>357827.13</v>
          </cell>
          <cell r="G1589">
            <v>42447</v>
          </cell>
        </row>
        <row r="1590">
          <cell r="C1590">
            <v>2940</v>
          </cell>
          <cell r="D1590" t="str">
            <v>Suministro E Instalación De Cable Thw Aluminio Aislado, 90°C Awg 2</v>
          </cell>
          <cell r="E1590" t="str">
            <v>ML</v>
          </cell>
          <cell r="F1590">
            <v>7726.52</v>
          </cell>
          <cell r="G1590">
            <v>42557</v>
          </cell>
        </row>
        <row r="1591">
          <cell r="C1591">
            <v>2941</v>
          </cell>
          <cell r="D1591" t="str">
            <v>Suministro E Instalación De Cable Thw Aluminio Aislado, 90°C Awg 6</v>
          </cell>
          <cell r="E1591" t="str">
            <v>ML</v>
          </cell>
          <cell r="F1591">
            <v>6385</v>
          </cell>
          <cell r="G1591">
            <v>42557</v>
          </cell>
        </row>
        <row r="1592">
          <cell r="C1592">
            <v>2942</v>
          </cell>
          <cell r="D1592" t="str">
            <v>Suministro E Instalación De Cable Thw Cobre Forrado, 90°C -Awg 4</v>
          </cell>
          <cell r="E1592" t="str">
            <v>ML</v>
          </cell>
          <cell r="F1592">
            <v>18659.939999999999</v>
          </cell>
          <cell r="G1592">
            <v>42557</v>
          </cell>
        </row>
        <row r="1593">
          <cell r="C1593">
            <v>2944</v>
          </cell>
          <cell r="D1593" t="str">
            <v>Suministro E Instalación De Cable Encauchetado 2X14 Awg</v>
          </cell>
          <cell r="E1593" t="str">
            <v>ML</v>
          </cell>
          <cell r="F1593">
            <v>9631.18</v>
          </cell>
          <cell r="G1593">
            <v>41906</v>
          </cell>
        </row>
        <row r="1594">
          <cell r="C1594">
            <v>2945</v>
          </cell>
          <cell r="D1594" t="str">
            <v>Suministro E Instalación De Cable Thw Cobre, 90°C -Awg 2/0</v>
          </cell>
          <cell r="E1594" t="str">
            <v>ML</v>
          </cell>
          <cell r="F1594">
            <v>47701.82</v>
          </cell>
          <cell r="G1594">
            <v>42447</v>
          </cell>
        </row>
        <row r="1595">
          <cell r="C1595">
            <v>2947</v>
          </cell>
          <cell r="D1595" t="str">
            <v>Empalme Subterráneo Baja Tensión Acometida 2-1/0</v>
          </cell>
          <cell r="E1595" t="str">
            <v>UN</v>
          </cell>
          <cell r="F1595">
            <v>584313.57999999996</v>
          </cell>
          <cell r="G1595">
            <v>42447</v>
          </cell>
        </row>
        <row r="1596">
          <cell r="C1596">
            <v>2950</v>
          </cell>
          <cell r="D1596" t="str">
            <v>Suministro E Instalación De Poste Acero Galvanizado En Caliente De 7 Mts. De Altura, Tronco Cónico Poligonal, En Lámina De Acero,  Acabado Final En Pintura De Esmalte Para Exteriores, Incluye Base De Concreto Y Pedestal (Ver Diseño)</v>
          </cell>
          <cell r="E1596" t="str">
            <v>UN</v>
          </cell>
          <cell r="F1596">
            <v>1473754.12</v>
          </cell>
          <cell r="G1596">
            <v>42447</v>
          </cell>
        </row>
        <row r="1597">
          <cell r="C1597">
            <v>2951</v>
          </cell>
          <cell r="D1597" t="str">
            <v>Suministro E Instalación De Luminaria De Led 110 Watios, Incluye Brazo Ornamental De 2,5 Mts, Pernos Y Fotocelda  (Ver Diseño)</v>
          </cell>
          <cell r="E1597" t="str">
            <v>UN</v>
          </cell>
          <cell r="F1597">
            <v>2490648.9500000002</v>
          </cell>
          <cell r="G1597">
            <v>42067</v>
          </cell>
        </row>
        <row r="1598">
          <cell r="C1598">
            <v>2958</v>
          </cell>
          <cell r="D1598" t="str">
            <v>Suministro E Instalación De Poste Acero Galvanizado En Caliente De 10 Mts De Altura, Tronco Cónico Poligonal, En Lámina De Acero, Acabado Final En Pintura De Esmalte Para Exteriores, Incluye Base De Concreto (Ver Diseño)</v>
          </cell>
          <cell r="E1598" t="str">
            <v>UN</v>
          </cell>
          <cell r="F1598">
            <v>3162958.05</v>
          </cell>
          <cell r="G1598">
            <v>42067</v>
          </cell>
        </row>
        <row r="1599">
          <cell r="C1599">
            <v>2960</v>
          </cell>
          <cell r="D1599" t="str">
            <v>Suministro E Instalacion De Medidor Semidirecto, Incluye Tc, Protocolo, Bloque De Prueba, Cajas De Policarbonato - Ver Diseño</v>
          </cell>
          <cell r="E1599" t="str">
            <v>UN</v>
          </cell>
          <cell r="F1599">
            <v>3163868</v>
          </cell>
          <cell r="G1599">
            <v>42447</v>
          </cell>
        </row>
        <row r="1600">
          <cell r="C1600">
            <v>2961</v>
          </cell>
          <cell r="D1600" t="str">
            <v>Corte, Demolicion, Resane Con Concreto De 3000 Psi De Anden, Para Instalacion De Tuberia - Ver Diseño</v>
          </cell>
          <cell r="E1600" t="str">
            <v>ML</v>
          </cell>
          <cell r="F1600">
            <v>93346.2</v>
          </cell>
          <cell r="G1600">
            <v>42447</v>
          </cell>
        </row>
        <row r="1601">
          <cell r="C1601">
            <v>2963</v>
          </cell>
          <cell r="D1601" t="str">
            <v>Suministro E Instalación De Transformador Monofásico 25 Kva, Incluye Elementos De Protección, Accesorios Para Poste,  (Ver Diseño)</v>
          </cell>
          <cell r="E1601" t="str">
            <v>UN</v>
          </cell>
          <cell r="F1601">
            <v>10053972.5</v>
          </cell>
          <cell r="G1601">
            <v>42447</v>
          </cell>
        </row>
        <row r="1602">
          <cell r="C1602">
            <v>2964</v>
          </cell>
          <cell r="D1602" t="str">
            <v>Suplemento En Tet Arm Simp Trif Alineacion Disp Hor</v>
          </cell>
          <cell r="E1602" t="str">
            <v>UN</v>
          </cell>
          <cell r="F1602">
            <v>204118.61</v>
          </cell>
          <cell r="G1602">
            <v>42557</v>
          </cell>
        </row>
        <row r="1603">
          <cell r="C1603">
            <v>2965</v>
          </cell>
          <cell r="D1603" t="str">
            <v>Suministro E Instalación De Bancas En Perfiles Canal En C De Acero 80X40X5Mm  9Ml Y Canal En C De Acero 100X50X6Mm X 5.4 Ml, Antibandálicas Apernadas Al Piso De 0.60X3.0 M Sin Espaldar</v>
          </cell>
          <cell r="E1603" t="str">
            <v>UN</v>
          </cell>
          <cell r="F1603">
            <v>580000</v>
          </cell>
          <cell r="G1603">
            <v>41408</v>
          </cell>
        </row>
        <row r="1604">
          <cell r="C1604">
            <v>2966</v>
          </cell>
          <cell r="D1604" t="str">
            <v>Suministro E Instalación De Poste Para Soporte De Reja Para Cielo Raso En Tubería De Hierro De 2" Calibre 40. Incluye Armado Y Pintura.</v>
          </cell>
          <cell r="E1604" t="str">
            <v>ML</v>
          </cell>
          <cell r="F1604">
            <v>32610</v>
          </cell>
          <cell r="G1604">
            <v>41666</v>
          </cell>
        </row>
        <row r="1605">
          <cell r="C1605">
            <v>2967</v>
          </cell>
          <cell r="D1605" t="str">
            <v>Hormigonado Tipo Para Apoyo. Ver Diseño</v>
          </cell>
          <cell r="E1605" t="str">
            <v>UN</v>
          </cell>
          <cell r="F1605">
            <v>217486.73</v>
          </cell>
          <cell r="G1605">
            <v>41906</v>
          </cell>
        </row>
        <row r="1606">
          <cell r="C1606">
            <v>2968</v>
          </cell>
          <cell r="D1606" t="str">
            <v>Desmonte, Ampliación, Mantenimiento Y Reinstalación De Casetas, Incluye Subida De 50 Cm En La Parte Superior De La Cubierta De Cada Módulo, Mantenimiento Y Reparación De Las Puertas Batientes, Colocación De Dos Cerraduras  Con Sus Respectivos Candados Y Plantillas De Nivelación. Los Modulos Finales Con Adecuación Incluidos Los 50 Cms De Ampliación Medirán 2.80 M De Altura Y 1.90 M De Ancho.</v>
          </cell>
          <cell r="E1606" t="str">
            <v>UN</v>
          </cell>
          <cell r="F1606">
            <v>650000</v>
          </cell>
          <cell r="G1606">
            <v>41355</v>
          </cell>
        </row>
        <row r="1607">
          <cell r="C1607">
            <v>2969</v>
          </cell>
          <cell r="D1607" t="str">
            <v>Rellenos Para Estructuras</v>
          </cell>
          <cell r="E1607" t="str">
            <v>M3</v>
          </cell>
          <cell r="F1607">
            <v>96035.95</v>
          </cell>
          <cell r="G1607">
            <v>41906</v>
          </cell>
        </row>
        <row r="1608">
          <cell r="C1608">
            <v>2970</v>
          </cell>
          <cell r="D1608" t="str">
            <v>Capítulo - Pavimento En Concreto Y Andenes</v>
          </cell>
          <cell r="E1608" t="str">
            <v>SD</v>
          </cell>
          <cell r="F1608">
            <v>0</v>
          </cell>
          <cell r="G1608">
            <v>41351</v>
          </cell>
        </row>
        <row r="1609">
          <cell r="C1609">
            <v>2971</v>
          </cell>
          <cell r="D1609" t="str">
            <v>Suministro E Instalación De Luminaria De Led 30W. (Incluye Pernos Y Fotocelda)</v>
          </cell>
          <cell r="E1609" t="str">
            <v>UN</v>
          </cell>
          <cell r="F1609">
            <v>1108415</v>
          </cell>
          <cell r="G1609">
            <v>42447</v>
          </cell>
        </row>
        <row r="1610">
          <cell r="C1610">
            <v>2972</v>
          </cell>
          <cell r="D1610" t="str">
            <v>Pavimento En Concreto Rígido  Mr = 600 Psi A La Flexión, Incluye Pasadores De 1 3/8" Liso A 0.30 Metros Y Barra De Amarre De 5/8" Corrugado A 1.20 Metros De Separación, Cortadora De Pavimento Junta Y Aditivo Curado</v>
          </cell>
          <cell r="E1610" t="str">
            <v>M3</v>
          </cell>
          <cell r="F1610">
            <v>618844.78</v>
          </cell>
          <cell r="G1610">
            <v>42493</v>
          </cell>
        </row>
        <row r="1611">
          <cell r="C1611">
            <v>2973</v>
          </cell>
          <cell r="D1611" t="str">
            <v>Conformación De Terraplén En Material Seleccionado Compactado</v>
          </cell>
          <cell r="E1611" t="str">
            <v>M3</v>
          </cell>
          <cell r="F1611">
            <v>72874.27</v>
          </cell>
          <cell r="G1611">
            <v>42443</v>
          </cell>
        </row>
        <row r="1612">
          <cell r="C1612">
            <v>2974</v>
          </cell>
          <cell r="D1612" t="str">
            <v>Conformación De Pedraplén Compacto Con Material De Demolición</v>
          </cell>
          <cell r="E1612" t="str">
            <v>M3</v>
          </cell>
          <cell r="F1612">
            <v>27508.5</v>
          </cell>
          <cell r="G1612">
            <v>42443</v>
          </cell>
        </row>
        <row r="1613">
          <cell r="C1613">
            <v>2979</v>
          </cell>
          <cell r="D1613" t="str">
            <v>Cerramiento En Lamina De Zinc, Altura 2,00 Mts</v>
          </cell>
          <cell r="E1613" t="str">
            <v>ML</v>
          </cell>
          <cell r="F1613">
            <v>51854.68</v>
          </cell>
          <cell r="G1613">
            <v>42132</v>
          </cell>
        </row>
        <row r="1614">
          <cell r="C1614">
            <v>2981</v>
          </cell>
          <cell r="D1614" t="str">
            <v>Piso En Loseta Tactil Guia A56 De 0.40 X 0.40 X 0.06 Mts Para Exteriores</v>
          </cell>
          <cell r="E1614" t="str">
            <v>M2</v>
          </cell>
          <cell r="F1614">
            <v>66218.55</v>
          </cell>
          <cell r="G1614">
            <v>41499</v>
          </cell>
        </row>
        <row r="1615">
          <cell r="C1615">
            <v>2982</v>
          </cell>
          <cell r="D1615" t="str">
            <v>Construccion De Anden Ref. Via Colectora, Anden De 5.00 Mts Doble Calzada, Incluye: Anden En Concreto, Concreto Asfaltico, Loseta Tactil Guia De .40X.40X.06, Grama Tapete Y Base Granular, (Ver Diseño).</v>
          </cell>
          <cell r="E1615" t="str">
            <v>ML</v>
          </cell>
          <cell r="F1615">
            <v>315957.83</v>
          </cell>
          <cell r="G1615">
            <v>41499</v>
          </cell>
        </row>
        <row r="1616">
          <cell r="C1616">
            <v>2983</v>
          </cell>
          <cell r="D1616" t="str">
            <v>Suministro E Instalacion De Grama Tapete, Incluye: Transporte Y Siembra.</v>
          </cell>
          <cell r="E1616" t="str">
            <v>M2</v>
          </cell>
          <cell r="F1616">
            <v>18500</v>
          </cell>
          <cell r="G1616">
            <v>42514</v>
          </cell>
        </row>
        <row r="1617">
          <cell r="C1617">
            <v>2985</v>
          </cell>
          <cell r="D1617" t="str">
            <v>Construccion De Anden Ref. Via Colectora, Anden De 1.90 Mts Doble Calzada, Incluye: Base Granular, Loseta Tactil Y Anden En Concreto,(Ver Diseño).</v>
          </cell>
          <cell r="E1617" t="str">
            <v>ML</v>
          </cell>
          <cell r="F1617">
            <v>165125.88</v>
          </cell>
          <cell r="G1617">
            <v>41499</v>
          </cell>
        </row>
        <row r="1618">
          <cell r="C1618">
            <v>2987</v>
          </cell>
          <cell r="D1618" t="str">
            <v>Suministro E Instalacion De Iluminacion City Wing Led Bps742 O Similar- Peatonal Anden</v>
          </cell>
          <cell r="E1618" t="str">
            <v>UN</v>
          </cell>
          <cell r="F1618">
            <v>2741700</v>
          </cell>
          <cell r="G1618">
            <v>41556</v>
          </cell>
        </row>
        <row r="1619">
          <cell r="C1619">
            <v>2989</v>
          </cell>
          <cell r="D1619" t="str">
            <v>Suministro E Instalacion De Iluminacion Vivara N O Similar Poste Exterior Jardines</v>
          </cell>
          <cell r="E1619" t="str">
            <v>UN</v>
          </cell>
          <cell r="F1619">
            <v>778680</v>
          </cell>
          <cell r="G1619">
            <v>41556</v>
          </cell>
        </row>
        <row r="1620">
          <cell r="C1620">
            <v>2991</v>
          </cell>
          <cell r="D1620" t="str">
            <v>Suministro E Instalacion De Iluminacion Decoflood 605 O Similar Para Uso Exterior</v>
          </cell>
          <cell r="E1620" t="str">
            <v>UN</v>
          </cell>
          <cell r="F1620">
            <v>511387.5</v>
          </cell>
          <cell r="G1620">
            <v>41556</v>
          </cell>
        </row>
        <row r="1621">
          <cell r="C1621">
            <v>2992</v>
          </cell>
          <cell r="D1621" t="str">
            <v>Muro De Contencion En Concreto De 3000 Psi, Altura 1.00 Mt, E:0.15 Mts, Incluye Acero.</v>
          </cell>
          <cell r="E1621" t="str">
            <v>M2</v>
          </cell>
          <cell r="F1621">
            <v>124975.55</v>
          </cell>
          <cell r="G1621">
            <v>41499</v>
          </cell>
        </row>
        <row r="1622">
          <cell r="C1622">
            <v>2993</v>
          </cell>
          <cell r="D1622" t="str">
            <v>Ornamentacion Y Jardineria - Suministro E Instalacion De Plantas Corales Amarillos, Rojos Y Rosado, Incluye Transporte Y Siembra.</v>
          </cell>
          <cell r="E1622" t="str">
            <v>UN</v>
          </cell>
          <cell r="F1622">
            <v>5500</v>
          </cell>
          <cell r="G1622">
            <v>41414</v>
          </cell>
        </row>
        <row r="1623">
          <cell r="C1623">
            <v>2994</v>
          </cell>
          <cell r="D1623" t="str">
            <v>Ornamentacion Y Jardineria - Suministro E Instalacion De Plantas Miami, Incluye Transporte Y Siembra.</v>
          </cell>
          <cell r="E1623" t="str">
            <v>UN</v>
          </cell>
          <cell r="F1623">
            <v>5500</v>
          </cell>
          <cell r="G1623">
            <v>41414</v>
          </cell>
        </row>
        <row r="1624">
          <cell r="C1624">
            <v>2995</v>
          </cell>
          <cell r="D1624" t="str">
            <v>Ornamentacion Y Jardineria - Suministro E Instalacion De Plantas Euphorbia Milli 0.20 M  (Tu Y Yo), Incluye Transporte Y Siembra.</v>
          </cell>
          <cell r="E1624" t="str">
            <v>UN</v>
          </cell>
          <cell r="F1624">
            <v>5200</v>
          </cell>
          <cell r="G1624">
            <v>41712</v>
          </cell>
        </row>
        <row r="1625">
          <cell r="C1625">
            <v>2996</v>
          </cell>
          <cell r="D1625" t="str">
            <v>Ornamentacion Y Jardineria - Suministro E Instalacion De Trinitarias Rojas, Blancas Y Moradas, Incluye Transporte Y Siembra.</v>
          </cell>
          <cell r="E1625" t="str">
            <v>UN</v>
          </cell>
          <cell r="F1625">
            <v>20000</v>
          </cell>
          <cell r="G1625">
            <v>41414</v>
          </cell>
        </row>
        <row r="1626">
          <cell r="C1626">
            <v>2997</v>
          </cell>
          <cell r="D1626" t="str">
            <v>Ornamentacion Y Jardineria - Suministro E Instalacion De Sillas O Bancas Prefabricadas En Concreto Para Exteriores,Sin Espaldar, De 1.20 Mts, Incluye Transporte</v>
          </cell>
          <cell r="E1626" t="str">
            <v>UN</v>
          </cell>
          <cell r="F1626">
            <v>400000</v>
          </cell>
          <cell r="G1626">
            <v>41590</v>
          </cell>
        </row>
        <row r="1627">
          <cell r="C1627">
            <v>2998</v>
          </cell>
          <cell r="D1627" t="str">
            <v>Ornamentacion Y Jardineria - Suministro E Instalacion De Pergolas En Madera Teca, Elaborado Con Piezas De 0.045 Mts X 0.15 Mts, Para Exteriores, Estructura Anclada Con Tornilleria Galvanizada, Acabada Con Pintura De Madera Para Interperie.</v>
          </cell>
          <cell r="E1627" t="str">
            <v>M2</v>
          </cell>
          <cell r="F1627">
            <v>380000</v>
          </cell>
          <cell r="G1627">
            <v>41414</v>
          </cell>
        </row>
        <row r="1628">
          <cell r="C1628">
            <v>2999</v>
          </cell>
          <cell r="D1628" t="str">
            <v>Escalera En Concreto De 3000 Psi, No Incluye Acero Refuerzo, Acabado En Granito Pulido,(Ver Diseño).</v>
          </cell>
          <cell r="E1628" t="str">
            <v>M3</v>
          </cell>
          <cell r="F1628">
            <v>826572.18</v>
          </cell>
          <cell r="G1628">
            <v>41403</v>
          </cell>
        </row>
        <row r="1629">
          <cell r="C1629">
            <v>3000</v>
          </cell>
          <cell r="D1629" t="str">
            <v>Piso En Tablón Rojo Vitrificado De 0.30 X 0.30 Metros Para Huella Y Contrahuella En Reparación De Escalera</v>
          </cell>
          <cell r="E1629" t="str">
            <v>M2</v>
          </cell>
          <cell r="F1629">
            <v>39632.85</v>
          </cell>
          <cell r="G1629">
            <v>41365</v>
          </cell>
        </row>
        <row r="1630">
          <cell r="C1630">
            <v>3001</v>
          </cell>
          <cell r="D1630" t="str">
            <v>Mortero 1:7</v>
          </cell>
          <cell r="E1630" t="str">
            <v>M3</v>
          </cell>
          <cell r="F1630">
            <v>174901.95</v>
          </cell>
          <cell r="G1630">
            <v>42438</v>
          </cell>
        </row>
        <row r="1631">
          <cell r="C1631">
            <v>3002</v>
          </cell>
          <cell r="D1631" t="str">
            <v>Relleno En Piedra De Canto Rodado.</v>
          </cell>
          <cell r="E1631" t="str">
            <v>M3</v>
          </cell>
          <cell r="F1631">
            <v>102540</v>
          </cell>
          <cell r="G1631">
            <v>41499</v>
          </cell>
        </row>
        <row r="1632">
          <cell r="C1632">
            <v>3005</v>
          </cell>
          <cell r="D1632" t="str">
            <v>Desmonte Y Limpieza De Bosque Incluye Retiro De Material</v>
          </cell>
          <cell r="E1632" t="str">
            <v>HA</v>
          </cell>
          <cell r="F1632">
            <v>2200750</v>
          </cell>
          <cell r="G1632">
            <v>41408</v>
          </cell>
        </row>
        <row r="1633">
          <cell r="C1633">
            <v>3006</v>
          </cell>
          <cell r="D1633" t="str">
            <v>Conformación De Terraplenes</v>
          </cell>
          <cell r="E1633" t="str">
            <v>M3</v>
          </cell>
          <cell r="F1633">
            <v>20725.88</v>
          </cell>
          <cell r="G1633">
            <v>41408</v>
          </cell>
        </row>
        <row r="1634">
          <cell r="C1634">
            <v>3009</v>
          </cell>
          <cell r="D1634" t="str">
            <v>Imprimación Con Emulsión Asfáltica Crl - 0 O Crl - 1H</v>
          </cell>
          <cell r="E1634" t="str">
            <v>M2</v>
          </cell>
          <cell r="F1634">
            <v>2607.5</v>
          </cell>
          <cell r="G1634">
            <v>42552</v>
          </cell>
        </row>
        <row r="1635">
          <cell r="C1635">
            <v>3010</v>
          </cell>
          <cell r="D1635" t="str">
            <v>Nivelación, Replanteo Y Señalización De Estructuras Viales</v>
          </cell>
          <cell r="E1635" t="str">
            <v>M2</v>
          </cell>
          <cell r="F1635">
            <v>2746.63</v>
          </cell>
          <cell r="G1635">
            <v>41786</v>
          </cell>
        </row>
        <row r="1636">
          <cell r="C1636">
            <v>3011</v>
          </cell>
          <cell r="D1636" t="str">
            <v>Excavación Sin Clasificar De Las Explanaciones Y Canales Con Retroexcavadora, No Incluye Retiro De Material</v>
          </cell>
          <cell r="E1636" t="str">
            <v>M3</v>
          </cell>
          <cell r="F1636">
            <v>7757.22</v>
          </cell>
          <cell r="G1636">
            <v>41821</v>
          </cell>
        </row>
        <row r="1637">
          <cell r="C1637">
            <v>3012</v>
          </cell>
          <cell r="D1637" t="str">
            <v>Conformación De Terraplen Compactado Con Material Seleccionado</v>
          </cell>
          <cell r="E1637" t="str">
            <v>M3</v>
          </cell>
          <cell r="F1637">
            <v>96187.4</v>
          </cell>
          <cell r="G1637">
            <v>42552</v>
          </cell>
        </row>
        <row r="1638">
          <cell r="C1638">
            <v>3013</v>
          </cell>
          <cell r="D1638" t="str">
            <v>Relleno En Material De Subbase Granular Compactado</v>
          </cell>
          <cell r="E1638" t="str">
            <v>M3</v>
          </cell>
          <cell r="F1638">
            <v>102793.5</v>
          </cell>
          <cell r="G1638">
            <v>42572</v>
          </cell>
        </row>
        <row r="1639">
          <cell r="C1639">
            <v>3015</v>
          </cell>
          <cell r="D1639" t="str">
            <v>Relleno En Material De Base Granular Compactado</v>
          </cell>
          <cell r="E1639" t="str">
            <v>M3</v>
          </cell>
          <cell r="F1639">
            <v>127527.25</v>
          </cell>
          <cell r="G1639">
            <v>42724</v>
          </cell>
        </row>
        <row r="1640">
          <cell r="C1640">
            <v>3016</v>
          </cell>
          <cell r="D1640" t="str">
            <v>Pavimento En Concreto Rígido Mr = 45 (650 Psi), E = 0.30 Metros, Pasadores D = 1 1/2" - Longitud 0.50 Metros A Cada 0.30 Metros Y D = 5/8" - Longitud 1.00 Metros A Cada 1.20 Metros, Junta Y Antisol</v>
          </cell>
          <cell r="E1640" t="str">
            <v>M3</v>
          </cell>
          <cell r="F1640">
            <v>651866.35</v>
          </cell>
          <cell r="G1640">
            <v>42552</v>
          </cell>
        </row>
        <row r="1641">
          <cell r="C1641">
            <v>3018</v>
          </cell>
          <cell r="D1641" t="str">
            <v>Relleno Con Material Granular Filtrante</v>
          </cell>
          <cell r="E1641" t="str">
            <v>M3</v>
          </cell>
          <cell r="F1641">
            <v>83638.94</v>
          </cell>
          <cell r="G1641">
            <v>41408</v>
          </cell>
        </row>
        <row r="1642">
          <cell r="C1642">
            <v>3020</v>
          </cell>
          <cell r="D1642" t="str">
            <v>Canal Pluvial En Concreto De 3000 Psi No Incluye Acero De Refuerzo</v>
          </cell>
          <cell r="E1642" t="str">
            <v>M3</v>
          </cell>
          <cell r="F1642">
            <v>514315.42</v>
          </cell>
          <cell r="G1642">
            <v>41579</v>
          </cell>
        </row>
        <row r="1643">
          <cell r="C1643">
            <v>3022</v>
          </cell>
          <cell r="D1643" t="str">
            <v>Cuneta En Concreto De 3000 Psi,  Clase F, Fundida En El Lugar</v>
          </cell>
          <cell r="E1643" t="str">
            <v>M3</v>
          </cell>
          <cell r="F1643">
            <v>515970.36</v>
          </cell>
          <cell r="G1643">
            <v>41569</v>
          </cell>
        </row>
        <row r="1644">
          <cell r="C1644">
            <v>3023</v>
          </cell>
          <cell r="D1644" t="str">
            <v>Corte, Demolición Incluye Retiro De Material Y Resane Con Concreto De 3000 Psi De Andén, Para Instalación De Tubería</v>
          </cell>
          <cell r="E1644" t="str">
            <v>ML</v>
          </cell>
          <cell r="F1644">
            <v>79232.539999999994</v>
          </cell>
          <cell r="G1644">
            <v>41781</v>
          </cell>
        </row>
        <row r="1645">
          <cell r="C1645">
            <v>3025</v>
          </cell>
          <cell r="D1645" t="str">
            <v>Suministro E Instalación De Transformador Monofásico De 37.5 Kva, Incluye Elementos De Protección, Accesorios Para Poste. (Ver Diseño)</v>
          </cell>
          <cell r="E1645" t="str">
            <v>UN</v>
          </cell>
          <cell r="F1645">
            <v>11250832.960000001</v>
          </cell>
          <cell r="G1645">
            <v>42447</v>
          </cell>
        </row>
        <row r="1646">
          <cell r="C1646">
            <v>3026</v>
          </cell>
          <cell r="D1646" t="str">
            <v>Cimentación Para Base De Mástil De 24.00 Metros En Concreto Armado De 3500 Psi, Zapata De 2.00 X 2.00 X 0.40 Metros, Pedestal De 0.80 X 0.80 X 2.60 Metros, Incluye Pedestal Ornamental (Ver Diseño)</v>
          </cell>
          <cell r="E1646" t="str">
            <v>UN</v>
          </cell>
          <cell r="F1646">
            <v>6141417.6699999999</v>
          </cell>
          <cell r="G1646">
            <v>41388</v>
          </cell>
        </row>
        <row r="1647">
          <cell r="C1647">
            <v>3033</v>
          </cell>
          <cell r="D1647" t="str">
            <v>Suministro E Instalación De Tablero De Control Para 5 Salidas De Iluminación, Incluye Fotocelda, Contactores, Breaker Y Accesorios</v>
          </cell>
          <cell r="E1647" t="str">
            <v>UN</v>
          </cell>
          <cell r="F1647">
            <v>9628640</v>
          </cell>
          <cell r="G1647">
            <v>41737</v>
          </cell>
        </row>
        <row r="1648">
          <cell r="C1648">
            <v>3035</v>
          </cell>
          <cell r="D1648" t="str">
            <v>Suministro E Instalación De Dispensador Para Jabón Líquido Para Instalar En Pared, Con Tornillos Escondidos, Cuerpo En Acero Inoxidable Satinado, Botón Pulsador En Abs Resistente, Capacidad 1.2 Lts, Ventanilla De Descarga Superior Con Llave, Nivel De Jabón, Push Frontal</v>
          </cell>
          <cell r="E1648" t="str">
            <v>UN</v>
          </cell>
          <cell r="F1648">
            <v>161975</v>
          </cell>
          <cell r="G1648">
            <v>42538</v>
          </cell>
        </row>
        <row r="1649">
          <cell r="C1649">
            <v>3037</v>
          </cell>
          <cell r="D1649" t="str">
            <v>Suministro E Instalación De Gabinete Para Toallas De Papel De Sobreponer A La Pared, En Acero Inoxidable Satinado 304, Capacidad 300 Toallas O Dos (2) Paquetes, Cerradura Con Llave</v>
          </cell>
          <cell r="E1649" t="str">
            <v>UN</v>
          </cell>
          <cell r="F1649">
            <v>175075</v>
          </cell>
          <cell r="G1649">
            <v>42241</v>
          </cell>
        </row>
        <row r="1650">
          <cell r="C1650">
            <v>3039</v>
          </cell>
          <cell r="D1650" t="str">
            <v>Suministro E Instalación De Protector Para Papel Higiénico De Sobreponer En La Pared, En Acero Inoxidable 304 Satinado Para Rollo De 200/400 Metros, Cerradura Con Llave</v>
          </cell>
          <cell r="E1650" t="str">
            <v>UN</v>
          </cell>
          <cell r="F1650">
            <v>136875</v>
          </cell>
          <cell r="G1650">
            <v>42538</v>
          </cell>
        </row>
        <row r="1651">
          <cell r="C1651">
            <v>3040</v>
          </cell>
          <cell r="D1651" t="str">
            <v>Desmonte Muro En Vidrio Block</v>
          </cell>
          <cell r="E1651" t="str">
            <v>M2</v>
          </cell>
          <cell r="F1651">
            <v>21800</v>
          </cell>
          <cell r="G1651">
            <v>41381</v>
          </cell>
        </row>
        <row r="1652">
          <cell r="C1652">
            <v>3043</v>
          </cell>
          <cell r="D1652" t="str">
            <v>Suministro E Instalación De Vidro Block De 0.19 X 0.19 X 0.08 Metros</v>
          </cell>
          <cell r="E1652" t="str">
            <v>M2</v>
          </cell>
          <cell r="F1652">
            <v>294885</v>
          </cell>
          <cell r="G1652">
            <v>41381</v>
          </cell>
        </row>
        <row r="1653">
          <cell r="C1653">
            <v>3046</v>
          </cell>
          <cell r="D1653" t="str">
            <v>Mantenimiento Y Ampliación De Puesto Para Vendedores De 1.54 X 2.00 Metros, Muros Y Cubierta En Superboard De 14 Mm, Incluye Estructura En Tuberia Galvanizada Cuadrada De 3", Estera Metálica Enrollable De 2.00 X 2.00 Metros, Acabado Con Anticorrosivo Y Esmalte, Y Pintura Exterior En Vinilo.</v>
          </cell>
          <cell r="E1653" t="str">
            <v>UN</v>
          </cell>
          <cell r="F1653">
            <v>1730750.28</v>
          </cell>
          <cell r="G1653">
            <v>41386</v>
          </cell>
        </row>
        <row r="1654">
          <cell r="C1654">
            <v>3047</v>
          </cell>
          <cell r="D1654" t="str">
            <v>Mantenimiento Y Ampliación Modulo De Caseta De 6 Puestos Para Vendedores, Cada Puesto De 1.54 X 2.00 Metros, Altura Maxima De 2.62 Metros, Muros Y Cubierta En Superboard De 14 Mm, Incluye Estructura En Tuberia Galvanizada Cuadrada De 3", Estera Metálica Enrollable De 2.00 X 2.00 Metros, Acabado Con Anticorrosivo Y Esmalte, Y Pintura Exterior En Vinilo. (Ver Diseño)</v>
          </cell>
          <cell r="E1654" t="str">
            <v>UN</v>
          </cell>
          <cell r="F1654">
            <v>10232075.76</v>
          </cell>
          <cell r="G1654">
            <v>41386</v>
          </cell>
        </row>
        <row r="1655">
          <cell r="C1655">
            <v>3048</v>
          </cell>
          <cell r="D1655" t="str">
            <v>Mantenimiento Y Ampliación Modulo De Caseta De 4 Puestos Para Vendedores, Cada Puesto De 1.54 X 2.00 Metros, Altura Maxima De 2.62 Metros, Muros Y Cubierta En Superboard De 14 Mm, Incluye Estructura En Tuberia Galvanizada Cuadrada De 3", Estera Metálica Enrollable De 2.00 X 2.00 Metros, Acabado Con Anticorrosivo Y Esmalte, Y Pintura Exterior En Vinilo. (Ver Diseño)</v>
          </cell>
          <cell r="E1655" t="str">
            <v>UN</v>
          </cell>
          <cell r="F1655">
            <v>6821383.8399999999</v>
          </cell>
          <cell r="G1655">
            <v>41386</v>
          </cell>
        </row>
        <row r="1656">
          <cell r="C1656">
            <v>3052</v>
          </cell>
          <cell r="D1656" t="str">
            <v>Suministro E Instalación De Mastil Para Iluminación De 24.00 Metros, En Acero Galvanizado. Tronco Cónico Poligonal, Seccionado, Corona Fija, Incluye Canastilla De Anclaje Y Sistema De Pararrayo</v>
          </cell>
          <cell r="E1656" t="str">
            <v>UN</v>
          </cell>
          <cell r="F1656">
            <v>17163900</v>
          </cell>
          <cell r="G1656">
            <v>41388</v>
          </cell>
        </row>
        <row r="1657">
          <cell r="C1657">
            <v>3054</v>
          </cell>
          <cell r="D1657" t="str">
            <v>Suministro E Instalación De Secador De Mano Eléctrico 1Aa Eco Sra  Turbo De Sobreponer En La Pared, En Acero Inoxidable 304 Satinado Con Sensor</v>
          </cell>
          <cell r="E1657" t="str">
            <v>UN</v>
          </cell>
          <cell r="F1657">
            <v>823958.33</v>
          </cell>
          <cell r="G1657">
            <v>42538</v>
          </cell>
        </row>
        <row r="1658">
          <cell r="C1658">
            <v>3056</v>
          </cell>
          <cell r="D1658" t="str">
            <v>Canal De Aguas Lluvias Con Base, Muros Y Tapa En Concreto De 3000 Psi, De 0.90 Metros  De Base, Por 0.50 A 0.30 Metros De Altura, Muros E = 0.15 Metros, Con Acero De Refuerzo  3/8"  A Cada 0.50 Metros, En Ambos Sentidos (Ver Diseño)</v>
          </cell>
          <cell r="E1658" t="str">
            <v>ML</v>
          </cell>
          <cell r="F1658">
            <v>219364.78</v>
          </cell>
          <cell r="G1658">
            <v>41389</v>
          </cell>
        </row>
        <row r="1659">
          <cell r="C1659">
            <v>3057</v>
          </cell>
          <cell r="D1659" t="str">
            <v>Colector De Inicio En Canal De Aguas Lluvias Con Muros En Ladrillo Tolete Altura 0.75 Metros, Pañetados Con Mortero Impermeabilizado, Viga Perimetral De 0.15 X 0.20 Metros Con 2 Varillas De 3/8" Estribos De 1/4" A Cada 0.25 Metros, Tapa Y Base  En Concreto De 3000 Psi De 1.20 X 2.15 Metros, Base  E = 0.15 Metros, Con Acero De Refuerzo  3/8"  A Cada 0.25 Metros En Ambos Sentidos Incluye 5 Varillas De Acero D = 3/4"  Longitud 0.30 Metros (Ver Diseño)</v>
          </cell>
          <cell r="E1659" t="str">
            <v>UN</v>
          </cell>
          <cell r="F1659">
            <v>839174.28</v>
          </cell>
          <cell r="G1659">
            <v>41389</v>
          </cell>
        </row>
        <row r="1660">
          <cell r="C1660">
            <v>3060</v>
          </cell>
          <cell r="D1660" t="str">
            <v>Suministro E Instalación De Orinal Santa Fé O Similar, Incluye Grifería De Fluxómetro Electrónico</v>
          </cell>
          <cell r="E1660" t="str">
            <v>UN</v>
          </cell>
          <cell r="F1660">
            <v>659100</v>
          </cell>
          <cell r="G1660">
            <v>41390</v>
          </cell>
        </row>
        <row r="1661">
          <cell r="C1661">
            <v>3062</v>
          </cell>
          <cell r="D1661" t="str">
            <v>Suministro E Instalación De Sanitario Taza Báltica O Similar, Incluye Grifería De Fluxómetro Electrónico</v>
          </cell>
          <cell r="E1661" t="str">
            <v>UN</v>
          </cell>
          <cell r="F1661">
            <v>924200</v>
          </cell>
          <cell r="G1661">
            <v>42534</v>
          </cell>
        </row>
        <row r="1662">
          <cell r="C1662">
            <v>3064</v>
          </cell>
          <cell r="D1662" t="str">
            <v>Pintura En Esmalte Sobre Tubería, Incluye Anticorrosivo</v>
          </cell>
          <cell r="E1662" t="str">
            <v>ML</v>
          </cell>
          <cell r="F1662">
            <v>7656.68</v>
          </cell>
          <cell r="G1662">
            <v>41390</v>
          </cell>
        </row>
        <row r="1663">
          <cell r="C1663">
            <v>3070</v>
          </cell>
          <cell r="D1663" t="str">
            <v>Suministro E Instalación De Cubierta En Lámina Ecoroof, Con Estructura En Vigas Ipe 240, Pares Y Correas En Pag Calibre 14 Y 16, Decoración En Circulo En Los Pie Amigos, Acabado En Pintura Anticorrosiva Y Esmalte Blanco, Zapatas Para La Instalación De Las Vigas, Incluye Tornillos Y Accesorios De Fijación. Area 330 M2 (Ver Diseño)</v>
          </cell>
          <cell r="E1663" t="str">
            <v>UN</v>
          </cell>
          <cell r="F1663">
            <v>36708959.68</v>
          </cell>
          <cell r="G1663">
            <v>41393</v>
          </cell>
        </row>
        <row r="1664">
          <cell r="C1664">
            <v>3072</v>
          </cell>
          <cell r="D1664" t="str">
            <v>Provisión De Otras Redes De Servicios Públicos Reconstrucción Cra 54</v>
          </cell>
          <cell r="E1664" t="str">
            <v>GL</v>
          </cell>
          <cell r="F1664">
            <v>400000000</v>
          </cell>
          <cell r="G1664">
            <v>41410</v>
          </cell>
        </row>
        <row r="1665">
          <cell r="C1665">
            <v>3073</v>
          </cell>
          <cell r="D1665" t="str">
            <v>Provisión De Paisajismo Y Amoblamiento Reconstrucción Cra 54</v>
          </cell>
          <cell r="E1665" t="str">
            <v>GL</v>
          </cell>
          <cell r="F1665">
            <v>300000000</v>
          </cell>
          <cell r="G1665">
            <v>41410</v>
          </cell>
        </row>
        <row r="1666">
          <cell r="C1666">
            <v>3074</v>
          </cell>
          <cell r="D1666" t="str">
            <v>Provisión De La Implementación Del Plan De Manejo De Tráfico Y Publicidad Institucional Reconstrucción Cra 54</v>
          </cell>
          <cell r="E1666" t="str">
            <v>GL</v>
          </cell>
          <cell r="F1666">
            <v>150000000</v>
          </cell>
          <cell r="G1666">
            <v>41410</v>
          </cell>
        </row>
        <row r="1667">
          <cell r="C1667">
            <v>3075</v>
          </cell>
          <cell r="D1667" t="str">
            <v>Provisión Para Los Estudios Y Diseños Necesarios, Construccion Carcel Distrital Para Varones En El Distrito De Barranquilla.</v>
          </cell>
          <cell r="E1667" t="str">
            <v>GL</v>
          </cell>
          <cell r="F1667">
            <v>255000000</v>
          </cell>
          <cell r="G1667">
            <v>42573</v>
          </cell>
        </row>
        <row r="1668">
          <cell r="C1668">
            <v>3076</v>
          </cell>
          <cell r="D1668" t="str">
            <v>Provisión De Señalización Horizontal Y Vertical Reconstrucción Cra 54</v>
          </cell>
          <cell r="E1668" t="str">
            <v>GL</v>
          </cell>
          <cell r="F1668">
            <v>100000000</v>
          </cell>
          <cell r="G1668">
            <v>41410</v>
          </cell>
        </row>
        <row r="1669">
          <cell r="C1669">
            <v>3077</v>
          </cell>
          <cell r="D1669" t="str">
            <v>Provisión Para Las Instalaciones Hidraulicas, Sanitarias Y Contraincendios (Ver Diseño).</v>
          </cell>
          <cell r="E1669" t="str">
            <v>GL</v>
          </cell>
          <cell r="F1669">
            <v>440000000</v>
          </cell>
          <cell r="G1669">
            <v>42401</v>
          </cell>
        </row>
        <row r="1670">
          <cell r="C1670">
            <v>3078</v>
          </cell>
          <cell r="D1670" t="str">
            <v>Base De Concreto De 3000 Psi, De 0.60 X 0.60 X 1.20 Metros, Con Varillas De 3/8"  Y Estribos De 3/8" A Cada 0.20 Metros Incluye Excavación A Mano</v>
          </cell>
          <cell r="E1670" t="str">
            <v>UN</v>
          </cell>
          <cell r="F1670">
            <v>242900.06</v>
          </cell>
          <cell r="G1670">
            <v>41403</v>
          </cell>
        </row>
        <row r="1671">
          <cell r="C1671">
            <v>3080</v>
          </cell>
          <cell r="D1671" t="str">
            <v>Suministro E Instalación De Poste De Acero Galvanizado En Caliente De 6 Mts. De Altura, Tronco Cónico Poligonal, En Lamina De Acero. Acabado Final En Pintura De Esmalte Para Exteriores. Incluye Base De Concreto.</v>
          </cell>
          <cell r="E1671" t="str">
            <v>UN</v>
          </cell>
          <cell r="F1671">
            <v>2016761.39</v>
          </cell>
          <cell r="G1671">
            <v>42557</v>
          </cell>
        </row>
        <row r="1672">
          <cell r="C1672">
            <v>3081</v>
          </cell>
          <cell r="D1672" t="str">
            <v>Provisiones Generales (Ver Diseño).</v>
          </cell>
          <cell r="E1672" t="str">
            <v>GL</v>
          </cell>
          <cell r="F1672">
            <v>220000000</v>
          </cell>
          <cell r="G1672">
            <v>42401</v>
          </cell>
        </row>
        <row r="1673">
          <cell r="C1673">
            <v>3082</v>
          </cell>
          <cell r="D1673" t="str">
            <v>Pavimento En Concreto Rígido Mr = 600 Psi A La Flexión, E = 0.29 Metros, Incluye Pasadores De 1 1/2" Liso A 0.30 Metros Y Barra De Amarre De 5/8" Corrugado A 1.20 Metros De Separación, Cortadora De Pavimento Junta Y Aditivo Curado</v>
          </cell>
          <cell r="E1673" t="str">
            <v>M3</v>
          </cell>
          <cell r="F1673">
            <v>618844.78</v>
          </cell>
          <cell r="G1673">
            <v>42493</v>
          </cell>
        </row>
        <row r="1674">
          <cell r="C1674">
            <v>3083</v>
          </cell>
          <cell r="D1674" t="str">
            <v>Restauracion De Monumento Policarpa Salavarrieta (Ver Diseño).</v>
          </cell>
          <cell r="E1674" t="str">
            <v>GL</v>
          </cell>
          <cell r="F1674">
            <v>25000000</v>
          </cell>
          <cell r="G1674">
            <v>42067</v>
          </cell>
        </row>
        <row r="1675">
          <cell r="C1675">
            <v>3084</v>
          </cell>
          <cell r="D1675" t="str">
            <v>Desmonte De Vista De Cubierta A Una Altura &gt; 3.00 Metros &lt; 10.00 Metros, Incluye Retiro De Material</v>
          </cell>
          <cell r="E1675" t="str">
            <v>ML</v>
          </cell>
          <cell r="F1675">
            <v>7424</v>
          </cell>
          <cell r="G1675">
            <v>41410</v>
          </cell>
        </row>
        <row r="1676">
          <cell r="C1676">
            <v>3085</v>
          </cell>
          <cell r="D1676" t="str">
            <v>Limpieza Y Mantenimiento General De Estatua A La Libertad Plaza San Jose, Incluye: Hidrofugante Y Tratamiento Preventivo (Ver Diseño).</v>
          </cell>
          <cell r="E1676" t="str">
            <v>GL</v>
          </cell>
          <cell r="F1676">
            <v>16000000</v>
          </cell>
          <cell r="G1676">
            <v>42241</v>
          </cell>
        </row>
        <row r="1677">
          <cell r="C1677">
            <v>3086</v>
          </cell>
          <cell r="D1677" t="str">
            <v>Provision Para Iluminacion Plazoleta Once De Noviembre, (Ver Diseño).</v>
          </cell>
          <cell r="E1677" t="str">
            <v>GL</v>
          </cell>
          <cell r="F1677">
            <v>200000000</v>
          </cell>
          <cell r="G1677">
            <v>41415</v>
          </cell>
        </row>
        <row r="1678">
          <cell r="C1678">
            <v>3087</v>
          </cell>
          <cell r="D1678" t="str">
            <v>Capitulo - Andenes Y Plazas</v>
          </cell>
          <cell r="E1678" t="str">
            <v>SD</v>
          </cell>
          <cell r="F1678">
            <v>0</v>
          </cell>
          <cell r="G1678">
            <v>41417</v>
          </cell>
        </row>
        <row r="1679">
          <cell r="C1679">
            <v>3088</v>
          </cell>
          <cell r="D1679" t="str">
            <v>Capitulo - Plazas</v>
          </cell>
          <cell r="E1679" t="str">
            <v>SD</v>
          </cell>
          <cell r="G1679">
            <v>41415</v>
          </cell>
        </row>
        <row r="1680">
          <cell r="C1680">
            <v>3089</v>
          </cell>
          <cell r="D1680" t="str">
            <v>Suministro E Instalación De Cubierta En Lámina Ondulada Tipo Española De Eternit , Incluye Accesorios, Amarres Y Ganchos De Fijación, Estructura De Soporte En Madera De Abarco</v>
          </cell>
          <cell r="E1680" t="str">
            <v>M2</v>
          </cell>
          <cell r="F1680">
            <v>98146.85</v>
          </cell>
          <cell r="G1680">
            <v>41416</v>
          </cell>
        </row>
        <row r="1681">
          <cell r="C1681">
            <v>3092</v>
          </cell>
          <cell r="D1681" t="str">
            <v>Columnas En Concreto De 3500 Psi, No Incluye Acero De Refuerzo</v>
          </cell>
          <cell r="E1681" t="str">
            <v>M3</v>
          </cell>
          <cell r="F1681">
            <v>780009.45</v>
          </cell>
          <cell r="G1681">
            <v>42538</v>
          </cell>
        </row>
        <row r="1682">
          <cell r="C1682">
            <v>3093</v>
          </cell>
          <cell r="D1682" t="str">
            <v>Vigas De Amarre En Concreto De 3500 Psi, No Incluye Acero De Refuerzo</v>
          </cell>
          <cell r="E1682" t="str">
            <v>M3</v>
          </cell>
          <cell r="F1682">
            <v>727181.49</v>
          </cell>
          <cell r="G1682">
            <v>42578</v>
          </cell>
        </row>
        <row r="1683">
          <cell r="C1683">
            <v>3094</v>
          </cell>
          <cell r="D1683" t="str">
            <v>Losa , Escalera En Concreto De 3500 Psi, No Incluye Acero De Refuerzo</v>
          </cell>
          <cell r="E1683" t="str">
            <v>M3</v>
          </cell>
          <cell r="F1683">
            <v>931451.22</v>
          </cell>
          <cell r="G1683">
            <v>42524</v>
          </cell>
        </row>
        <row r="1684">
          <cell r="C1684">
            <v>3095</v>
          </cell>
          <cell r="D1684" t="str">
            <v>Concreto De 4000 Psi Impermeabilizado</v>
          </cell>
          <cell r="E1684" t="str">
            <v>M3</v>
          </cell>
          <cell r="F1684">
            <v>424840.81</v>
          </cell>
          <cell r="G1684">
            <v>42573</v>
          </cell>
        </row>
        <row r="1685">
          <cell r="C1685">
            <v>3096</v>
          </cell>
          <cell r="D1685" t="str">
            <v>Muro Para Soporte O Estribos De Puente E = 0.25 Metros, En Concreto Impermeabilizado De 4000 Psi, No Incluye Acero De Refuerzo</v>
          </cell>
          <cell r="E1685" t="str">
            <v>M2</v>
          </cell>
          <cell r="F1685">
            <v>158264.18</v>
          </cell>
          <cell r="G1685">
            <v>41477</v>
          </cell>
        </row>
        <row r="1686">
          <cell r="C1686">
            <v>3097</v>
          </cell>
          <cell r="D1686" t="str">
            <v>Muro Para Soporte O Estribos De Puente E = 0.30 Metros, En Concreto Impermeabilizado De 4000 Psi, No Incluye Acero De Refuerzo</v>
          </cell>
          <cell r="E1686" t="str">
            <v>M2</v>
          </cell>
          <cell r="F1686">
            <v>180427.63</v>
          </cell>
          <cell r="G1686">
            <v>41477</v>
          </cell>
        </row>
        <row r="1687">
          <cell r="C1687">
            <v>3098</v>
          </cell>
          <cell r="D1687" t="str">
            <v>Levante De Muro En Ladrillo Tolete De 0.24 X 0.06 X 0.12 Metros, Con Mortero De Pega 1:4 A La Vista</v>
          </cell>
          <cell r="E1687" t="str">
            <v>M2</v>
          </cell>
          <cell r="F1687">
            <v>76432.88</v>
          </cell>
          <cell r="G1687">
            <v>41478</v>
          </cell>
        </row>
        <row r="1688">
          <cell r="C1688">
            <v>3099</v>
          </cell>
          <cell r="D1688" t="str">
            <v>Levante De Muro En Ladrillo Tolete De 0.24 X 0.06 X 0.12 Metros, Con Mortero De Pega 1:4 A La Vista, En Área Con Ancho &lt; 0.80 Metros</v>
          </cell>
          <cell r="E1688" t="str">
            <v>ML</v>
          </cell>
          <cell r="F1688">
            <v>62131.15</v>
          </cell>
          <cell r="G1688">
            <v>42496</v>
          </cell>
        </row>
        <row r="1689">
          <cell r="C1689">
            <v>3100</v>
          </cell>
          <cell r="D1689" t="str">
            <v>Mesón En Concreto De 3000 Psi, E = 0.05 Metros, Ancho &lt; 0.60 Metros Varillas De 3/8" A Cada 0.15 Metros En Ambos Sentidos, Acabado A La Vista</v>
          </cell>
          <cell r="E1689" t="str">
            <v>ML</v>
          </cell>
          <cell r="F1689">
            <v>43921.25</v>
          </cell>
          <cell r="G1689">
            <v>42416</v>
          </cell>
        </row>
        <row r="1690">
          <cell r="C1690">
            <v>3101</v>
          </cell>
          <cell r="D1690" t="str">
            <v>Plantilla De Piso En Concreto De 3000 Psi E = 0.08 Metros</v>
          </cell>
          <cell r="E1690" t="str">
            <v>M2</v>
          </cell>
          <cell r="F1690">
            <v>41903.870000000003</v>
          </cell>
          <cell r="G1690">
            <v>42538</v>
          </cell>
        </row>
        <row r="1691">
          <cell r="C1691">
            <v>3102</v>
          </cell>
          <cell r="D1691" t="str">
            <v>Placa Para Losas Superiores De 3500 Psi, E = 0.10 Metros</v>
          </cell>
          <cell r="E1691" t="str">
            <v>M2</v>
          </cell>
          <cell r="F1691">
            <v>95742.95</v>
          </cell>
          <cell r="G1691">
            <v>41479</v>
          </cell>
        </row>
        <row r="1692">
          <cell r="C1692">
            <v>3103</v>
          </cell>
          <cell r="D1692" t="str">
            <v>Placa Para Losa De Fondo De 3500 Psi, E = 0.20 Metros</v>
          </cell>
          <cell r="E1692" t="str">
            <v>M2</v>
          </cell>
          <cell r="F1692">
            <v>114257.3</v>
          </cell>
          <cell r="G1692">
            <v>41479</v>
          </cell>
        </row>
        <row r="1693">
          <cell r="C1693">
            <v>3105</v>
          </cell>
          <cell r="D1693" t="str">
            <v>Suministro De Válvula De Compuerta Brida X Brida Norma Iso Pn 10 D = 100 Mm (4")</v>
          </cell>
          <cell r="E1693" t="str">
            <v>UN</v>
          </cell>
          <cell r="F1693">
            <v>475000</v>
          </cell>
          <cell r="G1693">
            <v>41480</v>
          </cell>
        </row>
        <row r="1694">
          <cell r="C1694">
            <v>3106</v>
          </cell>
          <cell r="D1694" t="str">
            <v>Suministro De Codo 90° Brida X Brida Hd Norma Iso Pn 10, D = 100 Mm (4")</v>
          </cell>
          <cell r="E1694" t="str">
            <v>UN</v>
          </cell>
          <cell r="F1694">
            <v>209000</v>
          </cell>
          <cell r="G1694">
            <v>41480</v>
          </cell>
        </row>
        <row r="1695">
          <cell r="C1695">
            <v>3107</v>
          </cell>
          <cell r="D1695" t="str">
            <v>Suministro De Niples En Hd Bridados Norma Iso Pn 10 (3.00 Metros &lt; L &gt; = 4.00 Metros) L = 3.6 D = 100 Mm  (4")</v>
          </cell>
          <cell r="E1695" t="str">
            <v>UN</v>
          </cell>
          <cell r="F1695">
            <v>1266720</v>
          </cell>
          <cell r="G1695">
            <v>41480</v>
          </cell>
        </row>
        <row r="1696">
          <cell r="C1696">
            <v>3108</v>
          </cell>
          <cell r="D1696" t="str">
            <v>Suministro De Pasamuro Hd Norma  Iso Pn 10, L &lt;= 1.00 Metro, L = 0.80 Metro, Brida X Brida D = 100 Mm (4")</v>
          </cell>
          <cell r="E1696" t="str">
            <v>UN</v>
          </cell>
          <cell r="F1696">
            <v>389760</v>
          </cell>
          <cell r="G1696">
            <v>41480</v>
          </cell>
        </row>
        <row r="1697">
          <cell r="C1697">
            <v>3109</v>
          </cell>
          <cell r="D1697" t="str">
            <v>Suministro De Niples Bridados Norma Iso  Pn 10, (1.00 Metro &lt; L &lt;= 2.00 Metros) L = 1.40 Metros D = 100 (4")</v>
          </cell>
          <cell r="E1697" t="str">
            <v>UN</v>
          </cell>
          <cell r="F1697">
            <v>535920</v>
          </cell>
          <cell r="G1697">
            <v>41480</v>
          </cell>
        </row>
        <row r="1698">
          <cell r="C1698">
            <v>3110</v>
          </cell>
          <cell r="D1698" t="str">
            <v>Suministro De Niple Bridados Norma Iso Pn10 (L &lt; = 1.00 Metros) L =0.90 D = 100 Mm (4")</v>
          </cell>
          <cell r="E1698" t="str">
            <v>UN</v>
          </cell>
          <cell r="F1698">
            <v>389760</v>
          </cell>
          <cell r="G1698">
            <v>41480</v>
          </cell>
        </row>
        <row r="1699">
          <cell r="C1699">
            <v>3111</v>
          </cell>
          <cell r="D1699" t="str">
            <v>Suministro De Niples Bridados Norma Iso Pn 10 ( L &lt;= 1.00 Metro) L = 0.25 Metros D = 100 Mm (4")</v>
          </cell>
          <cell r="E1699" t="str">
            <v>UN</v>
          </cell>
          <cell r="F1699">
            <v>243600</v>
          </cell>
          <cell r="G1699">
            <v>41480</v>
          </cell>
        </row>
        <row r="1700">
          <cell r="C1700">
            <v>3112</v>
          </cell>
          <cell r="D1700" t="str">
            <v>Suministro De Unión De Desmontaje Norma Iso Pn 10 D = 100 Mm (4")</v>
          </cell>
          <cell r="E1700" t="str">
            <v>UN</v>
          </cell>
          <cell r="F1700">
            <v>105000</v>
          </cell>
          <cell r="G1700">
            <v>41480</v>
          </cell>
        </row>
        <row r="1701">
          <cell r="C1701">
            <v>3113</v>
          </cell>
          <cell r="D1701" t="str">
            <v>Suministro De Válvula Cheque D = 100 Mm (4"), Bridada</v>
          </cell>
          <cell r="E1701" t="str">
            <v>UN</v>
          </cell>
          <cell r="F1701">
            <v>680000</v>
          </cell>
          <cell r="G1701">
            <v>41480</v>
          </cell>
        </row>
        <row r="1702">
          <cell r="C1702">
            <v>3114</v>
          </cell>
          <cell r="D1702" t="str">
            <v>Suministro De Tee Brida X Brida X Brida Hd Norma Iso Pn 10 D = 100 Mm (4")</v>
          </cell>
          <cell r="E1702" t="str">
            <v>UN</v>
          </cell>
          <cell r="F1702">
            <v>344000</v>
          </cell>
          <cell r="G1702">
            <v>41480</v>
          </cell>
        </row>
        <row r="1703">
          <cell r="C1703">
            <v>3115</v>
          </cell>
          <cell r="D1703" t="str">
            <v>Suministro De Bomba Para Aguas Residuales Domésticas, Q = 11.4 Lps Y Tdh = 11.4 Metros, Tipo Sumergibles, Para Trabajar En Pozo Húmedo, Motor Eléctrico 3 Fases, 460 Vac, 60 Ciclos, Incluye: - Codo Y Soporte Para Pozo Húmedo Y Sistema De Elevación Con Tubos Guía Soporte Y Cadena Eslabonada De 15 Metros Para Izamiento De La Bomba - Cable De Fuerza Y Control Para Su Conexión (25.00 Metros)</v>
          </cell>
          <cell r="E1703" t="str">
            <v>UN</v>
          </cell>
          <cell r="F1703">
            <v>4715000</v>
          </cell>
          <cell r="G1703">
            <v>41480</v>
          </cell>
        </row>
        <row r="1704">
          <cell r="C1704">
            <v>3116</v>
          </cell>
          <cell r="D1704" t="str">
            <v>Suministro De Tuberías De Acueducto De Polietileno De Alta Densidad (Pead) De 110Mm Pn 10 Pe 100 D=4"</v>
          </cell>
          <cell r="E1704" t="str">
            <v>ML</v>
          </cell>
          <cell r="F1704">
            <v>17224.259999999998</v>
          </cell>
          <cell r="G1704">
            <v>42691</v>
          </cell>
        </row>
        <row r="1705">
          <cell r="C1705">
            <v>3117</v>
          </cell>
          <cell r="D1705" t="str">
            <v>Suministro De Codo De Polietileno 110Mm X 90°</v>
          </cell>
          <cell r="E1705" t="str">
            <v>UN</v>
          </cell>
          <cell r="F1705">
            <v>35067.78</v>
          </cell>
          <cell r="G1705">
            <v>42692</v>
          </cell>
        </row>
        <row r="1706">
          <cell r="C1706">
            <v>3120</v>
          </cell>
          <cell r="D1706" t="str">
            <v>Capitulo - Andenes, Separador Central Y Alameda</v>
          </cell>
          <cell r="E1706" t="str">
            <v>SD</v>
          </cell>
          <cell r="F1706">
            <v>0</v>
          </cell>
          <cell r="G1706">
            <v>41491</v>
          </cell>
        </row>
        <row r="1707">
          <cell r="C1707">
            <v>3121</v>
          </cell>
          <cell r="D1707" t="str">
            <v>Vigas De Confinamiento De 0.20*0.30 Metros, En Concreto De 4000 Psi, Reforzado Con Dos Varillas De 3/8" Y Estribos De 1/4" A Cada 0.32 Metros</v>
          </cell>
          <cell r="E1707" t="str">
            <v>ML</v>
          </cell>
          <cell r="F1707">
            <v>47850.46</v>
          </cell>
          <cell r="G1707">
            <v>41717</v>
          </cell>
        </row>
        <row r="1708">
          <cell r="C1708">
            <v>3123</v>
          </cell>
          <cell r="D1708" t="str">
            <v>Suministro E Instalacion De Piso En Baldosa Granallada Ref. Pg13 Tipo Alfa De 0.30*0.30 Metros, En Colores Azul Y Negro.</v>
          </cell>
          <cell r="E1708" t="str">
            <v>M2</v>
          </cell>
          <cell r="F1708">
            <v>94108.61</v>
          </cell>
          <cell r="G1708">
            <v>41717</v>
          </cell>
        </row>
        <row r="1709">
          <cell r="C1709">
            <v>3124</v>
          </cell>
          <cell r="D1709" t="str">
            <v>Plantilla De Piso En Concreto De 4000 Psi E: 0.10 Metros</v>
          </cell>
          <cell r="E1709" t="str">
            <v>M2</v>
          </cell>
          <cell r="F1709">
            <v>59542.65</v>
          </cell>
          <cell r="G1709">
            <v>41492</v>
          </cell>
        </row>
        <row r="1710">
          <cell r="C1710">
            <v>3125</v>
          </cell>
          <cell r="D1710" t="str">
            <v>Capitulo - Provisiones</v>
          </cell>
          <cell r="E1710" t="str">
            <v>SD</v>
          </cell>
          <cell r="F1710">
            <v>0</v>
          </cell>
          <cell r="G1710">
            <v>42395</v>
          </cell>
        </row>
        <row r="1711">
          <cell r="C1711">
            <v>3127</v>
          </cell>
          <cell r="D1711" t="str">
            <v>Piso En Baldosa Sargazos De 0.45 X 0.45 Metros</v>
          </cell>
          <cell r="E1711" t="str">
            <v>M2</v>
          </cell>
          <cell r="F1711">
            <v>51634.36</v>
          </cell>
          <cell r="G1711">
            <v>41494</v>
          </cell>
        </row>
        <row r="1712">
          <cell r="C1712">
            <v>3128</v>
          </cell>
          <cell r="D1712" t="str">
            <v>Capitulo - Instalaciones Electricas</v>
          </cell>
          <cell r="E1712" t="str">
            <v>SD</v>
          </cell>
          <cell r="F1712">
            <v>0</v>
          </cell>
          <cell r="G1712">
            <v>41494</v>
          </cell>
        </row>
        <row r="1713">
          <cell r="C1713">
            <v>3129</v>
          </cell>
          <cell r="D1713" t="str">
            <v>Redes Baja Tension</v>
          </cell>
          <cell r="E1713" t="str">
            <v>SD</v>
          </cell>
          <cell r="F1713">
            <v>0</v>
          </cell>
          <cell r="G1713">
            <v>41494</v>
          </cell>
        </row>
        <row r="1714">
          <cell r="C1714">
            <v>3130</v>
          </cell>
          <cell r="D1714" t="str">
            <v>Alumbrado - Luminarias</v>
          </cell>
          <cell r="E1714" t="str">
            <v>SD</v>
          </cell>
          <cell r="F1714">
            <v>0</v>
          </cell>
          <cell r="G1714">
            <v>41494</v>
          </cell>
        </row>
        <row r="1715">
          <cell r="C1715">
            <v>3131</v>
          </cell>
          <cell r="D1715" t="str">
            <v>Obras Civiles</v>
          </cell>
          <cell r="E1715" t="str">
            <v>SD</v>
          </cell>
          <cell r="F1715">
            <v>0</v>
          </cell>
          <cell r="G1715">
            <v>41494</v>
          </cell>
        </row>
        <row r="1716">
          <cell r="C1716">
            <v>3149</v>
          </cell>
          <cell r="D1716" t="str">
            <v>Capitulo - Suministro E Instalacion Del Sistema De Riego</v>
          </cell>
          <cell r="E1716" t="str">
            <v>SD</v>
          </cell>
          <cell r="F1716">
            <v>0</v>
          </cell>
          <cell r="G1716">
            <v>41494</v>
          </cell>
        </row>
        <row r="1717">
          <cell r="C1717">
            <v>3150</v>
          </cell>
          <cell r="D1717" t="str">
            <v>Sumininistro E Instalacion De Cable 10 Thw Cobre, 90° C - Awg</v>
          </cell>
          <cell r="E1717" t="str">
            <v>ML</v>
          </cell>
          <cell r="F1717">
            <v>3941.91</v>
          </cell>
          <cell r="G1717">
            <v>42457</v>
          </cell>
        </row>
        <row r="1718">
          <cell r="C1718">
            <v>3151</v>
          </cell>
          <cell r="D1718" t="str">
            <v>Suministro E Instalacion De Bancas Prefabricadas De 1.60*0.44*0.72 Metros En Granito Pulido Reforzado De 3000 Psi (Ver Diseño).</v>
          </cell>
          <cell r="E1718" t="str">
            <v>UN</v>
          </cell>
          <cell r="F1718">
            <v>1760798.93</v>
          </cell>
          <cell r="G1718">
            <v>41717</v>
          </cell>
        </row>
        <row r="1719">
          <cell r="C1719">
            <v>3152</v>
          </cell>
          <cell r="D1719" t="str">
            <v>Suministro Y Siembra De Arboles</v>
          </cell>
          <cell r="E1719" t="str">
            <v>SD</v>
          </cell>
          <cell r="F1719">
            <v>0</v>
          </cell>
          <cell r="G1719">
            <v>41498</v>
          </cell>
        </row>
        <row r="1720">
          <cell r="C1720">
            <v>3153</v>
          </cell>
          <cell r="D1720" t="str">
            <v>Ornamentacion Y Jardineria - Suministro E Instalacion De Arbol Alistonia Scholaris 3 M (Alistonia), Incluye: Transporte Y Siembra</v>
          </cell>
          <cell r="E1720" t="str">
            <v>UN</v>
          </cell>
          <cell r="F1720">
            <v>294580</v>
          </cell>
          <cell r="G1720">
            <v>41712</v>
          </cell>
        </row>
        <row r="1721">
          <cell r="C1721">
            <v>3154</v>
          </cell>
          <cell r="D1721" t="str">
            <v>Ornamentacion Y Jardineria - Suministro E Instalacion De Arbol Bahuinia Variegata 2 M (Pata De Vaca), Incluye: Transporte Y Siembra</v>
          </cell>
          <cell r="E1721" t="str">
            <v>UN</v>
          </cell>
          <cell r="F1721">
            <v>186000</v>
          </cell>
          <cell r="G1721">
            <v>41712</v>
          </cell>
        </row>
        <row r="1722">
          <cell r="C1722">
            <v>3155</v>
          </cell>
          <cell r="D1722" t="str">
            <v>Ornamentacion Y Jardineria - Suministro E Instalacion De Arbol Cassia Fistula 3 M (Lluvia De Oro), Incluye Transporte Y Siembra</v>
          </cell>
          <cell r="E1722" t="str">
            <v>UN</v>
          </cell>
          <cell r="F1722">
            <v>324500</v>
          </cell>
          <cell r="G1722">
            <v>41712</v>
          </cell>
        </row>
        <row r="1723">
          <cell r="C1723">
            <v>3156</v>
          </cell>
          <cell r="D1723" t="str">
            <v>Ornamentacion Y Jardineria - Suministro E Instalacion De Arbol Delonix Regia 3 M (Acacia Rojo), Incluye Transporte Y Siembra</v>
          </cell>
          <cell r="E1723" t="str">
            <v>UN</v>
          </cell>
          <cell r="F1723">
            <v>272950</v>
          </cell>
          <cell r="G1723">
            <v>41712</v>
          </cell>
        </row>
        <row r="1724">
          <cell r="C1724">
            <v>3157</v>
          </cell>
          <cell r="D1724" t="str">
            <v>Ornamentacion Y Jardineria - Suministro E Instalacion De Arbol Terminalia Cattapa 3 M (Almendro Tropical), Incluye Transporte Y Siembra</v>
          </cell>
          <cell r="E1724" t="str">
            <v>UN</v>
          </cell>
          <cell r="F1724">
            <v>272950</v>
          </cell>
          <cell r="G1724">
            <v>41712</v>
          </cell>
        </row>
        <row r="1725">
          <cell r="C1725">
            <v>3158</v>
          </cell>
          <cell r="D1725" t="str">
            <v>Ornamentacion Y Jardineria - Suministro E Instalacion De Arbol Tabebuia Impretiginosa 1.5 M (Roble Morado), Incluye Transporte Y Siembra</v>
          </cell>
          <cell r="E1725" t="str">
            <v>UN</v>
          </cell>
          <cell r="F1725">
            <v>103000</v>
          </cell>
          <cell r="G1725">
            <v>41835</v>
          </cell>
        </row>
        <row r="1726">
          <cell r="C1726">
            <v>3159</v>
          </cell>
          <cell r="D1726" t="str">
            <v>Ornamentacion Y Jardineria - Excavacion</v>
          </cell>
          <cell r="E1726" t="str">
            <v>M3</v>
          </cell>
          <cell r="F1726">
            <v>12000</v>
          </cell>
          <cell r="G1726">
            <v>41712</v>
          </cell>
        </row>
        <row r="1727">
          <cell r="C1727">
            <v>3160</v>
          </cell>
          <cell r="D1727" t="str">
            <v>Ornamentacion Y Jardineria - Desecho Y Retiro De Escombros</v>
          </cell>
          <cell r="E1727" t="str">
            <v>M3</v>
          </cell>
          <cell r="F1727">
            <v>23000</v>
          </cell>
          <cell r="G1727">
            <v>41712</v>
          </cell>
        </row>
        <row r="1728">
          <cell r="C1728">
            <v>3161</v>
          </cell>
          <cell r="D1728" t="str">
            <v>Ornamentacion Y Jardineria - Suministro E Instalacion De Palmas Dypsis Lutescens 1 M (Palma Areca), Incluye Transporte Y Siembra</v>
          </cell>
          <cell r="E1728" t="str">
            <v>UN</v>
          </cell>
          <cell r="F1728">
            <v>360500</v>
          </cell>
          <cell r="G1728">
            <v>41712</v>
          </cell>
        </row>
        <row r="1729">
          <cell r="C1729">
            <v>3162</v>
          </cell>
          <cell r="D1729" t="str">
            <v>Ornamentacion Y Jardineria - Suministro E Instalacion De Palmas Washingtonia Robusta 2-3 M (Palma Washingtonia), Incluye Transporte Y Siembra</v>
          </cell>
          <cell r="E1729" t="str">
            <v>UN</v>
          </cell>
          <cell r="F1729">
            <v>114500</v>
          </cell>
          <cell r="G1729">
            <v>41712</v>
          </cell>
        </row>
        <row r="1730">
          <cell r="C1730">
            <v>3163</v>
          </cell>
          <cell r="D1730" t="str">
            <v>Ornamentacion Y Jardineria - Suministro E Instalacion De Planta Allamanda Cathartica 0.20 M (Campanola Amarilla), Incluye Transporte Y Siembra</v>
          </cell>
          <cell r="E1730" t="str">
            <v>UN</v>
          </cell>
          <cell r="F1730">
            <v>6600</v>
          </cell>
          <cell r="G1730">
            <v>41712</v>
          </cell>
        </row>
        <row r="1731">
          <cell r="C1731">
            <v>3164</v>
          </cell>
          <cell r="D1731" t="str">
            <v>Ornamentacion Y Jardineria - Suministro E Instalacion De Plantas Asparagus Desinflorum Sprengeri 0.20 M (Esmeralda Castillo), Incluye Transporte Y Siembra</v>
          </cell>
          <cell r="E1731" t="str">
            <v>UN</v>
          </cell>
          <cell r="F1731">
            <v>6500</v>
          </cell>
          <cell r="G1731">
            <v>41712</v>
          </cell>
        </row>
        <row r="1732">
          <cell r="C1732">
            <v>3165</v>
          </cell>
          <cell r="D1732" t="str">
            <v>Ornamentacion Y Jardineria - Suministro E Instalacion De Plantas Alpinia Zerumbet 0.40 M (Ginger Variegado), Incluye Transporte Y Siembra</v>
          </cell>
          <cell r="E1732" t="str">
            <v>UN</v>
          </cell>
          <cell r="F1732">
            <v>8600</v>
          </cell>
          <cell r="G1732">
            <v>41712</v>
          </cell>
        </row>
        <row r="1733">
          <cell r="C1733">
            <v>3166</v>
          </cell>
          <cell r="D1733" t="str">
            <v>Ornamentacion Y Jardineria - Suministro E Instalacion De Plantas Conocarpus Erectus Sericeus 0.40 M (Mangle Plateado), Incluye Transporte Y Siembra</v>
          </cell>
          <cell r="E1733" t="str">
            <v>UN</v>
          </cell>
          <cell r="F1733">
            <v>5800</v>
          </cell>
          <cell r="G1733">
            <v>41712</v>
          </cell>
        </row>
        <row r="1734">
          <cell r="C1734">
            <v>3167</v>
          </cell>
          <cell r="D1734" t="str">
            <v>Ornamentacion Y Jardineria - Suministro E Instalacion De Plantas Crysobalanus Icaco 0.40 M (Cocplum Icaco), Incluye Transporte Y Siembra</v>
          </cell>
          <cell r="E1734" t="str">
            <v>UN</v>
          </cell>
          <cell r="F1734">
            <v>6900</v>
          </cell>
          <cell r="G1734">
            <v>41712</v>
          </cell>
        </row>
        <row r="1735">
          <cell r="C1735">
            <v>3168</v>
          </cell>
          <cell r="D1735" t="str">
            <v>Ornamentacion Y Jardineria - Suministro E Instalacion De Plantas Cordilyne Terminalis 0.40 M (Caña De La India), Incluye Transporte Y Siembra</v>
          </cell>
          <cell r="E1735" t="str">
            <v>UN</v>
          </cell>
          <cell r="F1735">
            <v>12800</v>
          </cell>
          <cell r="G1735">
            <v>41712</v>
          </cell>
        </row>
        <row r="1736">
          <cell r="C1736">
            <v>3169</v>
          </cell>
          <cell r="D1736" t="str">
            <v>Ornamentacion Y Jardineria - Suministro E Instalacion De Plantas Cocooloba Uvifera 0.30 M (Uva De Playa), Incluye Transporte Y Siembra</v>
          </cell>
          <cell r="E1736" t="str">
            <v>UN</v>
          </cell>
          <cell r="F1736">
            <v>5800</v>
          </cell>
          <cell r="G1736">
            <v>41712</v>
          </cell>
        </row>
        <row r="1737">
          <cell r="C1737">
            <v>3170</v>
          </cell>
          <cell r="D1737" t="str">
            <v>Ornamentacion Y Jardineria - Suministro E Instalacion De Plantas Dianella Tazmanica 0.20 M (Dianella), Incluye Transporte Y Siembra</v>
          </cell>
          <cell r="E1737" t="str">
            <v>UN</v>
          </cell>
          <cell r="F1737">
            <v>8900</v>
          </cell>
          <cell r="G1737">
            <v>41712</v>
          </cell>
        </row>
        <row r="1738">
          <cell r="C1738">
            <v>3171</v>
          </cell>
          <cell r="D1738" t="str">
            <v>Ornamentacion Y Jardineria - Suministro E Instalacion De Plantas Duranta Repens 0.20 M (Duranta Gold), Incluye Transporte Y Siembra</v>
          </cell>
          <cell r="E1738" t="str">
            <v>UN</v>
          </cell>
          <cell r="F1738">
            <v>5500</v>
          </cell>
          <cell r="G1738">
            <v>42241</v>
          </cell>
        </row>
        <row r="1739">
          <cell r="C1739">
            <v>3172</v>
          </cell>
          <cell r="D1739" t="str">
            <v>Ornamentacion Y Jardineria - Suministro E Instalacion De Plantas Heliconia Psitacorum 0.30 M (Ave Del Paraiso), Incluye Transporte Y Siembra</v>
          </cell>
          <cell r="E1739" t="str">
            <v>UN</v>
          </cell>
          <cell r="F1739">
            <v>7900</v>
          </cell>
          <cell r="G1739">
            <v>42242</v>
          </cell>
        </row>
        <row r="1740">
          <cell r="C1740">
            <v>3173</v>
          </cell>
          <cell r="D1740" t="str">
            <v>Ornamentacion Y Jardineria - Suministro E Instalacion De Plantas Philodendron Congo 0.30 M (Filodendro Congo), Incluye Transporte Y Siembra</v>
          </cell>
          <cell r="E1740" t="str">
            <v>UN</v>
          </cell>
          <cell r="F1740">
            <v>28400</v>
          </cell>
          <cell r="G1740">
            <v>41712</v>
          </cell>
        </row>
        <row r="1741">
          <cell r="C1741">
            <v>3174</v>
          </cell>
          <cell r="D1741" t="str">
            <v>Ornamentacion Y Jardineria - Suministro E Instalacion De Plantas Philodendron Lemonade 0.20 M (Filodendro Limon), Incluye Transporte Y Siembra</v>
          </cell>
          <cell r="E1741" t="str">
            <v>UN</v>
          </cell>
          <cell r="F1741">
            <v>7400</v>
          </cell>
          <cell r="G1741">
            <v>41712</v>
          </cell>
        </row>
        <row r="1742">
          <cell r="C1742">
            <v>3175</v>
          </cell>
          <cell r="D1742" t="str">
            <v>Ornamentacion Y Jardineria - Suministro E Instalacion De Plantas Philodendron Selloum 0.40 M (Hoja Rota), Incluye Transporte Y Siembra</v>
          </cell>
          <cell r="E1742" t="str">
            <v>UN</v>
          </cell>
          <cell r="F1742">
            <v>9300</v>
          </cell>
          <cell r="G1742">
            <v>41712</v>
          </cell>
        </row>
        <row r="1743">
          <cell r="C1743">
            <v>3176</v>
          </cell>
          <cell r="D1743" t="str">
            <v>Ornamentacion Y Jardineria - Suminstro E Instalacion De Plantas Tradescantia Spathacea 0.20 M (Cinta Morada), Incluye Transporte Y Siembra</v>
          </cell>
          <cell r="E1743" t="str">
            <v>UN</v>
          </cell>
          <cell r="F1743">
            <v>5500</v>
          </cell>
          <cell r="G1743">
            <v>41712</v>
          </cell>
        </row>
        <row r="1744">
          <cell r="C1744">
            <v>3177</v>
          </cell>
          <cell r="D1744" t="str">
            <v>Suministro Y Siembra De Palmas</v>
          </cell>
          <cell r="E1744" t="str">
            <v>SD</v>
          </cell>
          <cell r="F1744">
            <v>0</v>
          </cell>
          <cell r="G1744">
            <v>41495</v>
          </cell>
        </row>
        <row r="1745">
          <cell r="C1745">
            <v>3178</v>
          </cell>
          <cell r="D1745" t="str">
            <v>Suministro Y Siembra De Arbustos Y Cubresuelos</v>
          </cell>
          <cell r="E1745" t="str">
            <v>SD</v>
          </cell>
          <cell r="F1745">
            <v>0</v>
          </cell>
          <cell r="G1745">
            <v>41495</v>
          </cell>
        </row>
        <row r="1746">
          <cell r="C1746">
            <v>3179</v>
          </cell>
          <cell r="D1746" t="str">
            <v>Capitulo - Obras De Paisajismo Y Amoblamiento Urbano</v>
          </cell>
          <cell r="E1746" t="str">
            <v>SD</v>
          </cell>
          <cell r="F1746">
            <v>0</v>
          </cell>
          <cell r="G1746">
            <v>42153</v>
          </cell>
        </row>
        <row r="1747">
          <cell r="C1747">
            <v>3180</v>
          </cell>
          <cell r="D1747" t="str">
            <v>Suministro E Instalacion De Canecas De Basuras De 0.47*0.61*0.75 Metros, Prefabricadas En Granito Pulido Con Tapa En Fibra De Vidrio (Ver Diseño).</v>
          </cell>
          <cell r="E1747" t="str">
            <v>UN</v>
          </cell>
          <cell r="F1747">
            <v>2446486.14</v>
          </cell>
          <cell r="G1747">
            <v>41717</v>
          </cell>
        </row>
        <row r="1748">
          <cell r="C1748">
            <v>3182</v>
          </cell>
          <cell r="D1748" t="str">
            <v>Suministro E Instalacion De Mesas De Juego De Ajedrez, Prefabricadas En Granito Pulido Reforzado De 3000 Psi. Incluye Mesa De 0.70*0.70*0.72 Metros Y Sillas: 4 Cubos Con Perforaciones En Granito Pulido De 0.43*0.43*0.44 Metros (Ver Diseño).</v>
          </cell>
          <cell r="E1748" t="str">
            <v>UN</v>
          </cell>
          <cell r="F1748">
            <v>4001603.42</v>
          </cell>
          <cell r="G1748">
            <v>41717</v>
          </cell>
        </row>
        <row r="1749">
          <cell r="C1749">
            <v>3183</v>
          </cell>
          <cell r="D1749" t="str">
            <v>Suministro E Instalacion De Cubos Solidos De 0.43*0.43*0.44 Metros En Granito Pulido (Ver Diseño).</v>
          </cell>
          <cell r="E1749" t="str">
            <v>UN</v>
          </cell>
          <cell r="F1749">
            <v>492344.41</v>
          </cell>
          <cell r="G1749">
            <v>41717</v>
          </cell>
        </row>
        <row r="1750">
          <cell r="C1750">
            <v>3184</v>
          </cell>
          <cell r="D1750" t="str">
            <v>Suministro E Instalacion De Bancas O Sillas Prefabricadas De 2.40*0.44*0.72 Metros En Granito Pulido (Ver Diseño).</v>
          </cell>
          <cell r="E1750" t="str">
            <v>UN</v>
          </cell>
          <cell r="F1750">
            <v>2597032.2599999998</v>
          </cell>
          <cell r="G1750">
            <v>41508</v>
          </cell>
        </row>
        <row r="1751">
          <cell r="C1751">
            <v>3185</v>
          </cell>
          <cell r="D1751" t="str">
            <v>Suministro E Instalacion De Sala Prefabricada, Incluye: Dos Bancas Prefabricadas De 2.40*0.44*0.72 Metros En Granito Pulido Reforzado De 3000 Psi Y Tres Cubos Solidos De 0.43*0.43*0.44 Metros En Granito Pulido (Ver Diseño).</v>
          </cell>
          <cell r="E1751" t="str">
            <v>UN</v>
          </cell>
          <cell r="F1751">
            <v>6671097.75</v>
          </cell>
          <cell r="G1751">
            <v>41717</v>
          </cell>
        </row>
        <row r="1752">
          <cell r="C1752">
            <v>3186</v>
          </cell>
          <cell r="D1752" t="str">
            <v>Escalinatas En Concreto Armado Con Textura Antideslizante De 4000 Psi, E: 0.10 Metros, Incluye Malla Electrosoldada</v>
          </cell>
          <cell r="E1752" t="str">
            <v>ML</v>
          </cell>
          <cell r="F1752">
            <v>63367.12</v>
          </cell>
          <cell r="G1752">
            <v>41717</v>
          </cell>
        </row>
        <row r="1753">
          <cell r="C1753">
            <v>3188</v>
          </cell>
          <cell r="D1753" t="str">
            <v>Suministro E Instalacion De Poste De Acero Galvanizado En Caliente De 6.00 Metros De Altura, Tronco Conico Poligonal En Lamina De Acero, Acabado Final En Pintura De Esmalte Para Exteriores, Incluye Base De Concreto (Ver Diseño).</v>
          </cell>
          <cell r="E1753" t="str">
            <v>UN</v>
          </cell>
          <cell r="F1753">
            <v>1357058.05</v>
          </cell>
          <cell r="G1753">
            <v>42534</v>
          </cell>
        </row>
        <row r="1754">
          <cell r="C1754">
            <v>3189</v>
          </cell>
          <cell r="D1754" t="str">
            <v>Ornamentacion Y Jardineria - Suministro E Instalacion De Contenedor De Raices (Ver Diseño).</v>
          </cell>
          <cell r="E1754" t="str">
            <v>UN</v>
          </cell>
          <cell r="F1754">
            <v>350000</v>
          </cell>
          <cell r="G1754">
            <v>41712</v>
          </cell>
        </row>
        <row r="1755">
          <cell r="C1755">
            <v>3190</v>
          </cell>
          <cell r="D1755" t="str">
            <v>Ornamentacion Y Jardineria - Suministro E Instalacion De Alcorque Prefabricado De 1.60*1.60 Metros (Ver Diseño).</v>
          </cell>
          <cell r="E1755" t="str">
            <v>UN</v>
          </cell>
          <cell r="F1755">
            <v>400000</v>
          </cell>
          <cell r="G1755">
            <v>42242</v>
          </cell>
        </row>
        <row r="1756">
          <cell r="C1756">
            <v>3191</v>
          </cell>
          <cell r="D1756" t="str">
            <v>Ornamentacion Y Jardineria - Tala De Arboles, Incluye Retiro De Material (Ver Diseño).</v>
          </cell>
          <cell r="E1756" t="str">
            <v>UN</v>
          </cell>
          <cell r="F1756">
            <v>800000</v>
          </cell>
          <cell r="G1756">
            <v>41785</v>
          </cell>
        </row>
        <row r="1757">
          <cell r="C1757">
            <v>3192</v>
          </cell>
          <cell r="D1757" t="str">
            <v>Suministro E Instalacion De Cubos Con Perforaciones De 0.43*0.43*0.44 Metros, En Granito Pulido (Ver Diseño)</v>
          </cell>
          <cell r="E1757" t="str">
            <v>UN</v>
          </cell>
          <cell r="F1757">
            <v>673205.19</v>
          </cell>
          <cell r="G1757">
            <v>41717</v>
          </cell>
        </row>
        <row r="1758">
          <cell r="C1758">
            <v>3194</v>
          </cell>
          <cell r="D1758" t="str">
            <v>Suministro E Instalación De Perfil Galvanizado 220 X 16 Mm Tipo Cajón, Astm 123, Is 153, Incluye Pintura Líquida Primer Epóxica Y Acabado En Esmalte</v>
          </cell>
          <cell r="E1758" t="str">
            <v>ML</v>
          </cell>
          <cell r="F1758">
            <v>40990.019999999997</v>
          </cell>
          <cell r="G1758">
            <v>41569</v>
          </cell>
        </row>
        <row r="1759">
          <cell r="C1759">
            <v>3196</v>
          </cell>
          <cell r="D1759" t="str">
            <v>Enchape De Pared Mamarracho De 0.30 X 0.60 Metros</v>
          </cell>
          <cell r="E1759" t="str">
            <v>M2</v>
          </cell>
          <cell r="F1759">
            <v>71623.25</v>
          </cell>
          <cell r="G1759">
            <v>41569</v>
          </cell>
        </row>
        <row r="1760">
          <cell r="C1760">
            <v>3198</v>
          </cell>
          <cell r="D1760" t="str">
            <v>Suministro E Instalación De Perfil Galvanizado 305 X 80 Mm Tipo Cajón, Calibre 2.</v>
          </cell>
          <cell r="E1760" t="str">
            <v>ML</v>
          </cell>
          <cell r="F1760">
            <v>39686.17</v>
          </cell>
          <cell r="G1760">
            <v>41927</v>
          </cell>
        </row>
        <row r="1761">
          <cell r="C1761">
            <v>3201</v>
          </cell>
          <cell r="D1761" t="str">
            <v>Suministro E Instalacion De Luminaria De Led 90 W. Incluye: Brazo Ornamental De 2.50 Metros, Pernos Y Fotocelda (Ver Diseño).</v>
          </cell>
          <cell r="E1761" t="str">
            <v>UN</v>
          </cell>
          <cell r="F1761">
            <v>2102215</v>
          </cell>
          <cell r="G1761">
            <v>42240</v>
          </cell>
        </row>
        <row r="1762">
          <cell r="C1762">
            <v>3204</v>
          </cell>
          <cell r="D1762" t="str">
            <v>Suministro E Instalacion De Proyector Led De 60 W 100-277 V, Ip 65 Rgb, Automatizado Incluye: Accesorios De Sujecion, Accesorios De Conexion Y Nicho (Ver Diseño).</v>
          </cell>
          <cell r="E1762" t="str">
            <v>UN</v>
          </cell>
          <cell r="F1762">
            <v>1978775</v>
          </cell>
          <cell r="G1762">
            <v>42198</v>
          </cell>
        </row>
        <row r="1763">
          <cell r="C1763">
            <v>3206</v>
          </cell>
          <cell r="D1763" t="str">
            <v>Suministro E Instalacion De Decoled 60 W, 100-277 V, Ip 65, Blanco Frio Incluye: Accesorios De Sujecion Y Accesorios De Conexion (Ver Diseño).</v>
          </cell>
          <cell r="E1763" t="str">
            <v>UN</v>
          </cell>
          <cell r="F1763">
            <v>1907173.33</v>
          </cell>
          <cell r="G1763">
            <v>42240</v>
          </cell>
        </row>
        <row r="1764">
          <cell r="C1764">
            <v>3208</v>
          </cell>
          <cell r="D1764" t="str">
            <v>Suministro E Instalacion De Proyector Led De 120 W 100-277 V, Ip 65 Blanco Frio, Incluye: Accesorios De Sujecion Y Accesorios De Conexion (Ver Diseño).</v>
          </cell>
          <cell r="E1764" t="str">
            <v>UN</v>
          </cell>
          <cell r="F1764">
            <v>2590390</v>
          </cell>
          <cell r="G1764">
            <v>42240</v>
          </cell>
        </row>
        <row r="1765">
          <cell r="C1765">
            <v>3211</v>
          </cell>
          <cell r="D1765" t="str">
            <v>Suministro E Instalacion De Proyector Led De 12 W 100-277 V, Ip 65 Verde, Incluye: Accesorios De Sujecion Y Conexion Y Nicho (Ver Diseño).</v>
          </cell>
          <cell r="E1765" t="str">
            <v>UN</v>
          </cell>
          <cell r="F1765">
            <v>208323.33</v>
          </cell>
          <cell r="G1765">
            <v>42314</v>
          </cell>
        </row>
        <row r="1766">
          <cell r="C1766">
            <v>3213</v>
          </cell>
          <cell r="D1766" t="str">
            <v>Suministro E Instalacion De Proyector Led Tipo Baliza De 3 W 100-277 V, Ip 65 Rgb Automatizado, Incluye: Accesorios De Sujecion Y Conexion Y Nicho (Ver Diseño).</v>
          </cell>
          <cell r="E1766" t="str">
            <v>UN</v>
          </cell>
          <cell r="F1766">
            <v>327370</v>
          </cell>
          <cell r="G1766">
            <v>41737</v>
          </cell>
        </row>
        <row r="1767">
          <cell r="C1767">
            <v>3214</v>
          </cell>
          <cell r="D1767" t="str">
            <v>Suministro E Instalación De Puerta En Madera De Roble De 1.20 X 2.00 Metros, Marco En Madera De 5" X 2" , Bisagra Pala Ancha De 3", Con Tornillo Goloso De 1 1/4", Incluye Pintura Para Madera Y Cerradura De Seguridad</v>
          </cell>
          <cell r="E1767" t="str">
            <v>UN</v>
          </cell>
          <cell r="F1767">
            <v>650000</v>
          </cell>
          <cell r="G1767">
            <v>41536</v>
          </cell>
        </row>
        <row r="1768">
          <cell r="C1768">
            <v>3215</v>
          </cell>
          <cell r="D1768" t="str">
            <v>Suministro E Instalación De Ventana En Madera De Roble De 1.50 X 1.50 Metros, Incluye Marco Y Pintura Para Madera (Ver Diseño)</v>
          </cell>
          <cell r="E1768" t="str">
            <v>UN</v>
          </cell>
          <cell r="F1768">
            <v>400000</v>
          </cell>
          <cell r="G1768">
            <v>41536</v>
          </cell>
        </row>
        <row r="1769">
          <cell r="C1769">
            <v>3216</v>
          </cell>
          <cell r="D1769" t="str">
            <v>Excavacion De La Explanacion</v>
          </cell>
          <cell r="E1769" t="str">
            <v>M3</v>
          </cell>
          <cell r="F1769">
            <v>5837.61</v>
          </cell>
          <cell r="G1769">
            <v>42242</v>
          </cell>
        </row>
        <row r="1770">
          <cell r="C1770">
            <v>3217</v>
          </cell>
          <cell r="D1770" t="str">
            <v>Instalación De Poste Hpv 750 Kg  X 12 Metros</v>
          </cell>
          <cell r="E1770" t="str">
            <v>UN</v>
          </cell>
          <cell r="F1770">
            <v>1298012.79</v>
          </cell>
          <cell r="G1770">
            <v>41569</v>
          </cell>
        </row>
        <row r="1771">
          <cell r="C1771">
            <v>3219</v>
          </cell>
          <cell r="D1771" t="str">
            <v>Remocion Y Transplante De Especies Vegetales, De 2.50 A 7.00 Metros De Altura</v>
          </cell>
          <cell r="E1771" t="str">
            <v>UN</v>
          </cell>
          <cell r="F1771">
            <v>1461307</v>
          </cell>
          <cell r="G1771">
            <v>42443</v>
          </cell>
        </row>
        <row r="1772">
          <cell r="C1772">
            <v>3220</v>
          </cell>
          <cell r="D1772" t="str">
            <v>Entibados</v>
          </cell>
          <cell r="E1772" t="str">
            <v>M2</v>
          </cell>
          <cell r="F1772">
            <v>8667.8799999999992</v>
          </cell>
          <cell r="G1772">
            <v>42242</v>
          </cell>
        </row>
        <row r="1773">
          <cell r="C1773">
            <v>3221</v>
          </cell>
          <cell r="D1773" t="str">
            <v>Transporte De Materiales Provenientes De La Excavacion</v>
          </cell>
          <cell r="E1773" t="str">
            <v>M3</v>
          </cell>
          <cell r="F1773">
            <v>11359</v>
          </cell>
          <cell r="G1773">
            <v>42242</v>
          </cell>
        </row>
        <row r="1774">
          <cell r="C1774">
            <v>3223</v>
          </cell>
          <cell r="D1774" t="str">
            <v>Instalación De Poste Hpv 1050 Kg  X 12 Metros</v>
          </cell>
          <cell r="E1774" t="str">
            <v>UN</v>
          </cell>
          <cell r="F1774">
            <v>1531607.77</v>
          </cell>
          <cell r="G1774">
            <v>42557</v>
          </cell>
        </row>
        <row r="1775">
          <cell r="C1775">
            <v>3224</v>
          </cell>
          <cell r="D1775" t="str">
            <v>Capitulo - Movimientos De Tierras, Excavaciones Y Rellenos.</v>
          </cell>
          <cell r="E1775" t="str">
            <v>SD</v>
          </cell>
          <cell r="F1775">
            <v>0</v>
          </cell>
          <cell r="G1775">
            <v>41547</v>
          </cell>
        </row>
        <row r="1776">
          <cell r="C1776">
            <v>3225</v>
          </cell>
          <cell r="D1776" t="str">
            <v>Instalación De Poste Hpv 1050 Kg  X 14 Metros</v>
          </cell>
          <cell r="E1776" t="str">
            <v>UN</v>
          </cell>
          <cell r="F1776">
            <v>1880422.41</v>
          </cell>
          <cell r="G1776">
            <v>41569</v>
          </cell>
        </row>
        <row r="1777">
          <cell r="C1777">
            <v>3227</v>
          </cell>
          <cell r="D1777" t="str">
            <v>Cimentación Monobloque Cilíndrica P/Apoyo 12 X 1050 Kgf</v>
          </cell>
          <cell r="E1777" t="str">
            <v>UN</v>
          </cell>
          <cell r="F1777">
            <v>400483.68</v>
          </cell>
          <cell r="G1777">
            <v>42557</v>
          </cell>
        </row>
        <row r="1778">
          <cell r="C1778">
            <v>3228</v>
          </cell>
          <cell r="D1778" t="str">
            <v>Cimentación Monobloque Cilíndrica P/Apoyo 12 X 750 Kgf</v>
          </cell>
          <cell r="E1778" t="str">
            <v>UN</v>
          </cell>
          <cell r="F1778">
            <v>418901.89</v>
          </cell>
          <cell r="G1778">
            <v>42524</v>
          </cell>
        </row>
        <row r="1779">
          <cell r="C1779">
            <v>3229</v>
          </cell>
          <cell r="D1779" t="str">
            <v>Cimentación Monobloque Cilíndrica P/Apoyo 12 X 800 Dan</v>
          </cell>
          <cell r="E1779" t="str">
            <v>UN</v>
          </cell>
          <cell r="F1779">
            <v>407609.82</v>
          </cell>
          <cell r="G1779">
            <v>41569</v>
          </cell>
        </row>
        <row r="1780">
          <cell r="C1780">
            <v>3230</v>
          </cell>
          <cell r="D1780" t="str">
            <v>Cimentación Monobloque Cilíndrica P/Apoyo 12 X 1250 Dan</v>
          </cell>
          <cell r="E1780" t="str">
            <v>UN</v>
          </cell>
          <cell r="F1780">
            <v>869657.47</v>
          </cell>
          <cell r="G1780">
            <v>42524</v>
          </cell>
        </row>
        <row r="1781">
          <cell r="C1781">
            <v>3231</v>
          </cell>
          <cell r="D1781" t="str">
            <v>Mejoramiento De La Subrasante, Involucrando El Suelo Existente E= 0.20 Metros.</v>
          </cell>
          <cell r="E1781" t="str">
            <v>M2</v>
          </cell>
          <cell r="F1781">
            <v>4220.53</v>
          </cell>
          <cell r="G1781">
            <v>42242</v>
          </cell>
        </row>
        <row r="1782">
          <cell r="C1782">
            <v>3232</v>
          </cell>
          <cell r="D1782" t="str">
            <v>Mejoramiento De La Subrasante, Involucrando El Suelo Existente E= 0.30 Metros.</v>
          </cell>
          <cell r="E1782" t="str">
            <v>M2</v>
          </cell>
          <cell r="F1782">
            <v>6882.17</v>
          </cell>
          <cell r="G1782">
            <v>42242</v>
          </cell>
        </row>
        <row r="1783">
          <cell r="C1783">
            <v>3233</v>
          </cell>
          <cell r="D1783" t="str">
            <v>Cimentación Monobloque Cilíndrica P/Apoyo 14 X 1050 Kgf</v>
          </cell>
          <cell r="E1783" t="str">
            <v>UN</v>
          </cell>
          <cell r="F1783">
            <v>418901.89</v>
          </cell>
          <cell r="G1783">
            <v>41569</v>
          </cell>
        </row>
        <row r="1784">
          <cell r="C1784">
            <v>3234</v>
          </cell>
          <cell r="D1784" t="str">
            <v>Cimentación Monobloque Cilíndrica P/Apoyo 14 X 800 Dan</v>
          </cell>
          <cell r="E1784" t="str">
            <v>UN</v>
          </cell>
          <cell r="F1784">
            <v>422335.03</v>
          </cell>
          <cell r="G1784">
            <v>42524</v>
          </cell>
        </row>
        <row r="1785">
          <cell r="C1785">
            <v>3235</v>
          </cell>
          <cell r="D1785" t="str">
            <v>Separacion De Suelos De Subrasante Y Capas Granulares Con Geotextil.</v>
          </cell>
          <cell r="E1785" t="str">
            <v>M2</v>
          </cell>
          <cell r="F1785">
            <v>5767.63</v>
          </cell>
          <cell r="G1785">
            <v>42242</v>
          </cell>
        </row>
        <row r="1786">
          <cell r="C1786">
            <v>3237</v>
          </cell>
          <cell r="D1786" t="str">
            <v>Tendido De Linea Trifásica Conductor Aaac 312,8 Mcm (Butte)</v>
          </cell>
          <cell r="E1786" t="str">
            <v>ML</v>
          </cell>
          <cell r="F1786">
            <v>68460.7</v>
          </cell>
          <cell r="G1786">
            <v>41569</v>
          </cell>
        </row>
        <row r="1787">
          <cell r="C1787">
            <v>3241</v>
          </cell>
          <cell r="D1787" t="str">
            <v>Capitulo - Manejo De Aguas De Infiltracion O Subterraneas.</v>
          </cell>
          <cell r="E1787" t="str">
            <v>SD</v>
          </cell>
          <cell r="F1787">
            <v>0</v>
          </cell>
          <cell r="G1787">
            <v>41548</v>
          </cell>
        </row>
        <row r="1788">
          <cell r="C1788">
            <v>3242</v>
          </cell>
          <cell r="D1788" t="str">
            <v>Columnas De Infiltracion.</v>
          </cell>
          <cell r="E1788" t="str">
            <v>UN</v>
          </cell>
          <cell r="F1788">
            <v>326131.59999999998</v>
          </cell>
          <cell r="G1788">
            <v>42242</v>
          </cell>
        </row>
        <row r="1789">
          <cell r="C1789">
            <v>3243</v>
          </cell>
          <cell r="D1789" t="str">
            <v>Tendido De Linea Trifásica Conductor Aaac 123,3 Mcm (Azusa)</v>
          </cell>
          <cell r="E1789" t="str">
            <v>ML</v>
          </cell>
          <cell r="F1789">
            <v>25858.2</v>
          </cell>
          <cell r="G1789">
            <v>42524</v>
          </cell>
        </row>
        <row r="1790">
          <cell r="C1790">
            <v>3245</v>
          </cell>
          <cell r="D1790" t="str">
            <v>Instalación De Derivación Trifásica Rígida Acsr 1/0 - 1/0 Awg Acsr S/N</v>
          </cell>
          <cell r="E1790" t="str">
            <v>UN</v>
          </cell>
          <cell r="F1790">
            <v>337976.43</v>
          </cell>
          <cell r="G1790">
            <v>42524</v>
          </cell>
        </row>
        <row r="1791">
          <cell r="C1791">
            <v>3248</v>
          </cell>
          <cell r="D1791" t="str">
            <v>Instalación De Derivación Trifásica Rígida Acsr 336,4 A 336,4 Mcm Acsr S/N</v>
          </cell>
          <cell r="E1791" t="str">
            <v>UN</v>
          </cell>
          <cell r="F1791">
            <v>715617.02</v>
          </cell>
          <cell r="G1791">
            <v>41569</v>
          </cell>
        </row>
        <row r="1792">
          <cell r="C1792">
            <v>3250</v>
          </cell>
          <cell r="D1792" t="str">
            <v>Instalación De Derivación Trifásica Rígida Medio De Vano Acsr 336,4</v>
          </cell>
          <cell r="E1792" t="str">
            <v>UN</v>
          </cell>
          <cell r="F1792">
            <v>588800.01</v>
          </cell>
          <cell r="G1792">
            <v>41569</v>
          </cell>
        </row>
        <row r="1793">
          <cell r="C1793">
            <v>3251</v>
          </cell>
          <cell r="D1793" t="str">
            <v>Capitulo - Pañetes, Estucos, Pinturas Y Enchapes.</v>
          </cell>
          <cell r="E1793" t="str">
            <v>SD</v>
          </cell>
          <cell r="F1793">
            <v>0</v>
          </cell>
          <cell r="G1793">
            <v>41548</v>
          </cell>
        </row>
        <row r="1794">
          <cell r="C1794">
            <v>3253</v>
          </cell>
          <cell r="D1794" t="str">
            <v>Instalación De Aislador Tipo Poste 13,2 Kv Contaminación Alta</v>
          </cell>
          <cell r="E1794" t="str">
            <v>UN</v>
          </cell>
          <cell r="F1794">
            <v>270235.90000000002</v>
          </cell>
          <cell r="G1794">
            <v>42557</v>
          </cell>
        </row>
        <row r="1795">
          <cell r="C1795">
            <v>3255</v>
          </cell>
          <cell r="D1795" t="str">
            <v>Instalación De Cadena De Amarre 13,2 Kv Conductor T1 Contaminación Alta</v>
          </cell>
          <cell r="E1795" t="str">
            <v>UN</v>
          </cell>
          <cell r="F1795">
            <v>252261.28</v>
          </cell>
          <cell r="G1795">
            <v>42524</v>
          </cell>
        </row>
        <row r="1796">
          <cell r="C1796">
            <v>3257</v>
          </cell>
          <cell r="D1796" t="str">
            <v>Instalación De Cadena De Amarre 13,2 Kv Conductor T4 Contaminación Alta</v>
          </cell>
          <cell r="E1796" t="str">
            <v>UN</v>
          </cell>
          <cell r="F1796">
            <v>290335.48</v>
          </cell>
          <cell r="G1796">
            <v>41569</v>
          </cell>
        </row>
        <row r="1797">
          <cell r="C1797">
            <v>3260</v>
          </cell>
          <cell r="D1797" t="str">
            <v>Instalación De Armado Compacto Trifásico Alineación 13,2 Kv</v>
          </cell>
          <cell r="E1797" t="str">
            <v>UN</v>
          </cell>
          <cell r="F1797">
            <v>285803.58</v>
          </cell>
          <cell r="G1797">
            <v>42524</v>
          </cell>
        </row>
        <row r="1798">
          <cell r="C1798">
            <v>3263</v>
          </cell>
          <cell r="D1798" t="str">
            <v>Instalación De Armado Compacto Trifásico Anclaje De 30° A 60° 13,2 Kv</v>
          </cell>
          <cell r="E1798" t="str">
            <v>UN</v>
          </cell>
          <cell r="F1798">
            <v>703560.08</v>
          </cell>
          <cell r="G1798">
            <v>41569</v>
          </cell>
        </row>
        <row r="1799">
          <cell r="C1799">
            <v>3264</v>
          </cell>
          <cell r="D1799" t="str">
            <v>Instalación De Armado Trifásico / Bifásico Alineación Disposición Horizontal 13,2 Kv</v>
          </cell>
          <cell r="E1799" t="str">
            <v>UN</v>
          </cell>
          <cell r="F1799">
            <v>469202.91</v>
          </cell>
          <cell r="G1799">
            <v>42557</v>
          </cell>
        </row>
        <row r="1800">
          <cell r="C1800">
            <v>3265</v>
          </cell>
          <cell r="D1800" t="str">
            <v>Instalación De Armado Trifásico / Bifásico Ang 5° A 20°/30° Disposición Horizontal 13,2 Kv</v>
          </cell>
          <cell r="E1800" t="str">
            <v>UN</v>
          </cell>
          <cell r="F1800">
            <v>852868.66</v>
          </cell>
          <cell r="G1800">
            <v>41569</v>
          </cell>
        </row>
        <row r="1801">
          <cell r="C1801">
            <v>3266</v>
          </cell>
          <cell r="D1801" t="str">
            <v>Instalación De Armado Trifásico / Bifásico Anclaje 30° A 60° Disposición Horizontal 13,2 Kv</v>
          </cell>
          <cell r="E1801" t="str">
            <v>UN</v>
          </cell>
          <cell r="F1801">
            <v>848901.44</v>
          </cell>
          <cell r="G1801">
            <v>41569</v>
          </cell>
        </row>
        <row r="1802">
          <cell r="C1802">
            <v>3267</v>
          </cell>
          <cell r="D1802" t="str">
            <v>Instalación De Armado Trifásico / Bifásico Fin De Línea Disposición Horizontal 13,2 Kv</v>
          </cell>
          <cell r="E1802" t="str">
            <v>UN</v>
          </cell>
          <cell r="F1802">
            <v>842771.58</v>
          </cell>
          <cell r="G1802">
            <v>42524</v>
          </cell>
        </row>
        <row r="1803">
          <cell r="C1803">
            <v>3268</v>
          </cell>
          <cell r="D1803" t="str">
            <v>Aplomado Poste De 11 - 12 Y 14 Metros</v>
          </cell>
          <cell r="E1803" t="str">
            <v>UN</v>
          </cell>
          <cell r="F1803">
            <v>431804.58</v>
          </cell>
          <cell r="G1803">
            <v>41569</v>
          </cell>
        </row>
        <row r="1804">
          <cell r="C1804">
            <v>3270</v>
          </cell>
          <cell r="D1804" t="str">
            <v>Ornamentación Y Jardinería - Poda Ligera Por Árbol C/ Brig Trabajo Frío (Con Botada Desechos)</v>
          </cell>
          <cell r="E1804" t="str">
            <v>UN</v>
          </cell>
          <cell r="F1804">
            <v>42050.78</v>
          </cell>
          <cell r="G1804">
            <v>41565</v>
          </cell>
        </row>
        <row r="1805">
          <cell r="C1805">
            <v>3271</v>
          </cell>
          <cell r="D1805" t="str">
            <v>Ornamentación Y Jardinería - Poda Exhaustiva Por Árbol C/ Brig Trabajo Frío (Con Botada Desechos)</v>
          </cell>
          <cell r="E1805" t="str">
            <v>UN</v>
          </cell>
          <cell r="F1805">
            <v>108746</v>
          </cell>
          <cell r="G1805">
            <v>41565</v>
          </cell>
        </row>
        <row r="1806">
          <cell r="C1806">
            <v>3277</v>
          </cell>
          <cell r="D1806" t="str">
            <v>Instalación De Conexión Conductor Aaac 246.9 A No. 2 De Cobre</v>
          </cell>
          <cell r="E1806" t="str">
            <v>UN</v>
          </cell>
          <cell r="F1806">
            <v>83035.820000000007</v>
          </cell>
          <cell r="G1806">
            <v>41569</v>
          </cell>
        </row>
        <row r="1807">
          <cell r="C1807">
            <v>3278</v>
          </cell>
          <cell r="D1807" t="str">
            <v>Instalación De Conexión Cond Acsr 1/0; Aaac 123,3 No. 2 De Cobre</v>
          </cell>
          <cell r="E1807" t="str">
            <v>UN</v>
          </cell>
          <cell r="F1807">
            <v>70507.88</v>
          </cell>
          <cell r="G1807">
            <v>42538</v>
          </cell>
        </row>
        <row r="1808">
          <cell r="C1808">
            <v>3279</v>
          </cell>
          <cell r="D1808" t="str">
            <v>Conexión Acometida 3 Hilos A Caja Derivación</v>
          </cell>
          <cell r="E1808" t="str">
            <v>UN</v>
          </cell>
          <cell r="F1808">
            <v>15767.52</v>
          </cell>
          <cell r="G1808">
            <v>41569</v>
          </cell>
        </row>
        <row r="1809">
          <cell r="C1809">
            <v>3280</v>
          </cell>
          <cell r="D1809" t="str">
            <v>Instalación De Derivación Bt Conec Perf 1/0 - 1/0 Triplex</v>
          </cell>
          <cell r="E1809" t="str">
            <v>UN</v>
          </cell>
          <cell r="F1809">
            <v>270702.38</v>
          </cell>
          <cell r="G1809">
            <v>41906</v>
          </cell>
        </row>
        <row r="1810">
          <cell r="C1810">
            <v>3281</v>
          </cell>
          <cell r="D1810" t="str">
            <v>Instalación De Derivación Bt Conec Perf 1/0 - 1/0 Neutro</v>
          </cell>
          <cell r="E1810" t="str">
            <v>UN</v>
          </cell>
          <cell r="F1810">
            <v>110405.25</v>
          </cell>
          <cell r="G1810">
            <v>41906</v>
          </cell>
        </row>
        <row r="1811">
          <cell r="C1811">
            <v>3282</v>
          </cell>
          <cell r="D1811" t="str">
            <v>Lavada Y Proteccion De Fachadas.</v>
          </cell>
          <cell r="E1811" t="str">
            <v>M2</v>
          </cell>
          <cell r="F1811">
            <v>10402.5</v>
          </cell>
          <cell r="G1811">
            <v>42241</v>
          </cell>
        </row>
        <row r="1812">
          <cell r="C1812">
            <v>3283</v>
          </cell>
          <cell r="D1812" t="str">
            <v>Montaje Caja Derivación Mono 4P Fijación Sobre Vano Trenza 4/0</v>
          </cell>
          <cell r="E1812" t="str">
            <v>UN</v>
          </cell>
          <cell r="F1812">
            <v>625467.93000000005</v>
          </cell>
          <cell r="G1812">
            <v>41569</v>
          </cell>
        </row>
        <row r="1813">
          <cell r="C1813">
            <v>3284</v>
          </cell>
          <cell r="D1813" t="str">
            <v>Reubicación De Equipo De Medida Indirecta Tipo Exterior De Tres Elementos</v>
          </cell>
          <cell r="E1813" t="str">
            <v>UN</v>
          </cell>
          <cell r="F1813">
            <v>1902250</v>
          </cell>
          <cell r="G1813">
            <v>41549</v>
          </cell>
        </row>
        <row r="1814">
          <cell r="C1814">
            <v>3285</v>
          </cell>
          <cell r="D1814" t="str">
            <v>Desmonte De Línea Aérea M.T. Trifásica Calibre No. 2 A 4/0 Awg Y Equivalentes Mcm</v>
          </cell>
          <cell r="E1814" t="str">
            <v>ML</v>
          </cell>
          <cell r="F1814">
            <v>4795.4799999999996</v>
          </cell>
          <cell r="G1814">
            <v>41569</v>
          </cell>
        </row>
        <row r="1815">
          <cell r="C1815">
            <v>3286</v>
          </cell>
          <cell r="D1815" t="str">
            <v>Desmonte De Línea Aérea M.T. Bifásica Calibre No. 2 A 4/0 Awg Y Equivalentes Mcm</v>
          </cell>
          <cell r="E1815" t="str">
            <v>ML</v>
          </cell>
          <cell r="F1815">
            <v>3903.5</v>
          </cell>
          <cell r="G1815">
            <v>41906</v>
          </cell>
        </row>
        <row r="1816">
          <cell r="C1816">
            <v>3287</v>
          </cell>
          <cell r="D1816" t="str">
            <v>Retiro Puente De Línea Bifásico En Poste Cto Mt</v>
          </cell>
          <cell r="E1816" t="str">
            <v>UN</v>
          </cell>
          <cell r="F1816">
            <v>68901.490000000005</v>
          </cell>
          <cell r="G1816">
            <v>41569</v>
          </cell>
        </row>
        <row r="1817">
          <cell r="C1817">
            <v>3288</v>
          </cell>
          <cell r="D1817" t="str">
            <v>Desmonte De Percha De 1 Puesto</v>
          </cell>
          <cell r="E1817" t="str">
            <v>UN</v>
          </cell>
          <cell r="F1817">
            <v>28137.77</v>
          </cell>
          <cell r="G1817">
            <v>41569</v>
          </cell>
        </row>
        <row r="1818">
          <cell r="C1818">
            <v>3289</v>
          </cell>
          <cell r="D1818" t="str">
            <v>Desmonte De Línea Bt (Rt) Triplex 2 A 4/0</v>
          </cell>
          <cell r="E1818" t="str">
            <v>ML</v>
          </cell>
          <cell r="F1818">
            <v>7274.08</v>
          </cell>
          <cell r="G1818">
            <v>42767</v>
          </cell>
        </row>
        <row r="1819">
          <cell r="C1819">
            <v>3290</v>
          </cell>
          <cell r="D1819" t="str">
            <v>Desmonte De Caja Derivación  Acometida Mono</v>
          </cell>
          <cell r="E1819" t="str">
            <v>UN</v>
          </cell>
          <cell r="F1819">
            <v>112939.26</v>
          </cell>
          <cell r="G1819">
            <v>41569</v>
          </cell>
        </row>
        <row r="1820">
          <cell r="C1820">
            <v>3291</v>
          </cell>
          <cell r="D1820" t="str">
            <v>Suplemento De Trabajo En Tensión Instalación De Poste De 12 A 14 Metros</v>
          </cell>
          <cell r="E1820" t="str">
            <v>UN</v>
          </cell>
          <cell r="F1820">
            <v>200976.56</v>
          </cell>
          <cell r="G1820">
            <v>41549</v>
          </cell>
        </row>
        <row r="1821">
          <cell r="C1821">
            <v>3292</v>
          </cell>
          <cell r="D1821" t="str">
            <v>Suplemento De Trabajo En Tensión Puente De Línea Bifásico M.T.</v>
          </cell>
          <cell r="E1821" t="str">
            <v>UN</v>
          </cell>
          <cell r="F1821">
            <v>64312.5</v>
          </cell>
          <cell r="G1821">
            <v>41569</v>
          </cell>
        </row>
        <row r="1822">
          <cell r="C1822">
            <v>3294</v>
          </cell>
          <cell r="D1822" t="str">
            <v>Reubicación De Luminaria Ap</v>
          </cell>
          <cell r="E1822" t="str">
            <v>UN</v>
          </cell>
          <cell r="F1822">
            <v>145627.5</v>
          </cell>
          <cell r="G1822">
            <v>41569</v>
          </cell>
        </row>
        <row r="1823">
          <cell r="C1823">
            <v>3295</v>
          </cell>
          <cell r="D1823" t="str">
            <v>Reubicación Paso Aéreo Subterráneo Bt</v>
          </cell>
          <cell r="E1823" t="str">
            <v>UN</v>
          </cell>
          <cell r="F1823">
            <v>146478.54999999999</v>
          </cell>
          <cell r="G1823">
            <v>41569</v>
          </cell>
        </row>
        <row r="1824">
          <cell r="C1824">
            <v>3296</v>
          </cell>
          <cell r="D1824" t="str">
            <v>Construcción Registro Con Tapa De 0.60 X 0.60 X 0.60 Metros En Mampostería</v>
          </cell>
          <cell r="E1824" t="str">
            <v>UN</v>
          </cell>
          <cell r="F1824">
            <v>736790.88</v>
          </cell>
          <cell r="G1824">
            <v>42578</v>
          </cell>
        </row>
        <row r="1825">
          <cell r="C1825">
            <v>3299</v>
          </cell>
          <cell r="D1825" t="str">
            <v>Estructura Metalica Umbrales Y Modulos (Ver Diseño).</v>
          </cell>
          <cell r="E1825" t="str">
            <v>KG</v>
          </cell>
          <cell r="F1825">
            <v>61386.33</v>
          </cell>
          <cell r="G1825">
            <v>42242</v>
          </cell>
        </row>
        <row r="1826">
          <cell r="C1826">
            <v>3300</v>
          </cell>
          <cell r="D1826" t="str">
            <v>Capitulo - Pisos</v>
          </cell>
          <cell r="E1826" t="str">
            <v>SD</v>
          </cell>
          <cell r="F1826">
            <v>0</v>
          </cell>
          <cell r="G1826">
            <v>41550</v>
          </cell>
        </row>
        <row r="1827">
          <cell r="C1827">
            <v>3303</v>
          </cell>
          <cell r="D1827" t="str">
            <v>Calados Calzas</v>
          </cell>
          <cell r="E1827" t="str">
            <v>M2</v>
          </cell>
          <cell r="F1827">
            <v>269263.21000000002</v>
          </cell>
          <cell r="G1827">
            <v>42227</v>
          </cell>
        </row>
        <row r="1828">
          <cell r="C1828">
            <v>3304</v>
          </cell>
          <cell r="D1828" t="str">
            <v>Capitulo - Cielos Y Cubiertas.</v>
          </cell>
          <cell r="E1828" t="str">
            <v>SD</v>
          </cell>
          <cell r="F1828">
            <v>0</v>
          </cell>
          <cell r="G1828">
            <v>41554</v>
          </cell>
        </row>
        <row r="1829">
          <cell r="C1829">
            <v>3307</v>
          </cell>
          <cell r="D1829" t="str">
            <v>Cubierta De Modulos De Venta Estacionaria Con Teja Tipo Sandwich (Ver Diseño).</v>
          </cell>
          <cell r="E1829" t="str">
            <v>M2</v>
          </cell>
          <cell r="F1829">
            <v>88774.8</v>
          </cell>
          <cell r="G1829">
            <v>42242</v>
          </cell>
        </row>
        <row r="1830">
          <cell r="C1830">
            <v>3308</v>
          </cell>
          <cell r="D1830" t="str">
            <v>Cimentación Especial Cuadrada Con Refuerzo Apoyo 14 X 1250 Dan</v>
          </cell>
          <cell r="E1830" t="str">
            <v>UN</v>
          </cell>
          <cell r="F1830">
            <v>2073448.74</v>
          </cell>
          <cell r="G1830">
            <v>41569</v>
          </cell>
        </row>
        <row r="1831">
          <cell r="C1831">
            <v>3309</v>
          </cell>
          <cell r="D1831" t="str">
            <v>Cimentación Especial Cuadrada Con Refuerzo Apoyo 14 X 2000 Dan</v>
          </cell>
          <cell r="E1831" t="str">
            <v>UN</v>
          </cell>
          <cell r="F1831">
            <v>4786512.93</v>
          </cell>
          <cell r="G1831">
            <v>42800</v>
          </cell>
        </row>
        <row r="1832">
          <cell r="C1832">
            <v>3310</v>
          </cell>
          <cell r="D1832" t="str">
            <v>Instalación De Arm Bt (Rt) Anc Y Ang 30 - 90°</v>
          </cell>
          <cell r="E1832" t="str">
            <v>UN</v>
          </cell>
          <cell r="F1832">
            <v>115381.83</v>
          </cell>
          <cell r="G1832">
            <v>41569</v>
          </cell>
        </row>
        <row r="1833">
          <cell r="C1833">
            <v>3311</v>
          </cell>
          <cell r="D1833" t="str">
            <v>Canal De Conducción Tipo I En Concreto De 4000 Psi</v>
          </cell>
          <cell r="E1833" t="str">
            <v>M3</v>
          </cell>
          <cell r="F1833">
            <v>849052.67</v>
          </cell>
          <cell r="G1833">
            <v>41569</v>
          </cell>
        </row>
        <row r="1834">
          <cell r="C1834">
            <v>3316</v>
          </cell>
          <cell r="D1834" t="str">
            <v>Rejilla Para Cruce Vehicular</v>
          </cell>
          <cell r="E1834" t="str">
            <v>ML</v>
          </cell>
          <cell r="F1834">
            <v>1991349.67</v>
          </cell>
          <cell r="G1834">
            <v>41565</v>
          </cell>
        </row>
        <row r="1835">
          <cell r="C1835">
            <v>3317</v>
          </cell>
          <cell r="D1835" t="str">
            <v>Rejilla De Captación Sobre Acceso Vehicular</v>
          </cell>
          <cell r="E1835" t="str">
            <v>ML</v>
          </cell>
          <cell r="F1835">
            <v>1399216.67</v>
          </cell>
          <cell r="G1835">
            <v>42438</v>
          </cell>
        </row>
        <row r="1836">
          <cell r="C1836">
            <v>3318</v>
          </cell>
          <cell r="D1836" t="str">
            <v>Rejilla Tipo 1</v>
          </cell>
          <cell r="E1836" t="str">
            <v>ML</v>
          </cell>
          <cell r="F1836">
            <v>696203.39</v>
          </cell>
          <cell r="G1836">
            <v>42429</v>
          </cell>
        </row>
        <row r="1837">
          <cell r="C1837">
            <v>3319</v>
          </cell>
          <cell r="D1837" t="str">
            <v>Rejilla Tipo 2</v>
          </cell>
          <cell r="E1837" t="str">
            <v>ML</v>
          </cell>
          <cell r="F1837">
            <v>1033447.78</v>
          </cell>
          <cell r="G1837">
            <v>41565</v>
          </cell>
        </row>
        <row r="1838">
          <cell r="C1838">
            <v>3320</v>
          </cell>
          <cell r="D1838" t="str">
            <v>Rejilla Tipo 3</v>
          </cell>
          <cell r="E1838" t="str">
            <v>ML</v>
          </cell>
          <cell r="F1838">
            <v>1606179</v>
          </cell>
          <cell r="G1838">
            <v>41565</v>
          </cell>
        </row>
        <row r="1839">
          <cell r="C1839">
            <v>3321</v>
          </cell>
          <cell r="D1839" t="str">
            <v>Capitulo - Señalizacion</v>
          </cell>
          <cell r="E1839" t="str">
            <v>SD</v>
          </cell>
          <cell r="F1839">
            <v>0</v>
          </cell>
          <cell r="G1839">
            <v>41554</v>
          </cell>
        </row>
        <row r="1840">
          <cell r="C1840">
            <v>3322</v>
          </cell>
          <cell r="D1840" t="str">
            <v>Capitulo - Zonas Humedas Y Cocinetas.</v>
          </cell>
          <cell r="E1840" t="str">
            <v>SD</v>
          </cell>
          <cell r="F1840">
            <v>0</v>
          </cell>
          <cell r="G1840">
            <v>41554</v>
          </cell>
        </row>
        <row r="1841">
          <cell r="C1841">
            <v>3324</v>
          </cell>
          <cell r="D1841" t="str">
            <v>Suministro E Instalacion De Meson En Acero Inoxidable</v>
          </cell>
          <cell r="E1841" t="str">
            <v>ML</v>
          </cell>
          <cell r="F1841">
            <v>259620</v>
          </cell>
          <cell r="G1841">
            <v>42416</v>
          </cell>
        </row>
        <row r="1842">
          <cell r="C1842">
            <v>3326</v>
          </cell>
          <cell r="D1842" t="str">
            <v>Suministro, Transporte E Instalacion De Señales Verticales Sp, Sr, Si, General En Lamina Galvanizada Calibre 16 De 0.75*0.75 Metros, Papel Reflectivo Grado De Ingenieria, Señal Con Angulo Transversal De 2" * 2" * 1/4", Brazo T Anclaje En  Angulo 2" * 2" * 1/8", Angulo Y Tableros Pintados Con Anticorrosivo Y Esmalte Blanco Con Su Respectiva Tornilleria Galvanizada.</v>
          </cell>
          <cell r="E1842" t="str">
            <v>UN</v>
          </cell>
          <cell r="F1842">
            <v>255780</v>
          </cell>
          <cell r="G1842">
            <v>42237</v>
          </cell>
        </row>
        <row r="1843">
          <cell r="C1843">
            <v>3327</v>
          </cell>
          <cell r="D1843" t="str">
            <v>Suministro E Instalacion De Demarcacion Vial, Flechas Un Solo Destino.</v>
          </cell>
          <cell r="E1843" t="str">
            <v>UN</v>
          </cell>
          <cell r="F1843">
            <v>13347</v>
          </cell>
          <cell r="G1843">
            <v>42237</v>
          </cell>
        </row>
        <row r="1844">
          <cell r="C1844">
            <v>3328</v>
          </cell>
          <cell r="D1844" t="str">
            <v>Suministro E Instalacion De Demarcacion Vial, Flechas Dos Destinos.</v>
          </cell>
          <cell r="E1844" t="str">
            <v>UN</v>
          </cell>
          <cell r="F1844">
            <v>24191</v>
          </cell>
          <cell r="G1844">
            <v>42237</v>
          </cell>
        </row>
        <row r="1845">
          <cell r="C1845">
            <v>3329</v>
          </cell>
          <cell r="D1845" t="str">
            <v>Suministro E Instalacion De Demarcacion Vial, Flechas Tres Destinos.</v>
          </cell>
          <cell r="E1845" t="str">
            <v>UN</v>
          </cell>
          <cell r="F1845">
            <v>36829</v>
          </cell>
          <cell r="G1845">
            <v>42237</v>
          </cell>
        </row>
        <row r="1846">
          <cell r="C1846">
            <v>3330</v>
          </cell>
          <cell r="D1846" t="str">
            <v>Suministro Y Aplicacion De Demarcacion Vial, Lineas Continuas Y Discontinuas En Colores Blanco Y Amarillo, Con Ancho De 0.12 Metros, Incluye: Microsfera De Vidrio Reflectiva</v>
          </cell>
          <cell r="E1846" t="str">
            <v>ML</v>
          </cell>
          <cell r="F1846">
            <v>1335</v>
          </cell>
          <cell r="G1846">
            <v>42237</v>
          </cell>
        </row>
        <row r="1847">
          <cell r="C1847">
            <v>3331</v>
          </cell>
          <cell r="D1847" t="str">
            <v>Suministro Y Aplicacion De Demarcacion Vial, Cebras Y Lineas Continuas De 0.40 Metros, Incluye Microsfera De Vidrio Reflectiva.</v>
          </cell>
          <cell r="E1847" t="str">
            <v>M2</v>
          </cell>
          <cell r="F1847">
            <v>21924</v>
          </cell>
          <cell r="G1847">
            <v>42237</v>
          </cell>
        </row>
        <row r="1848">
          <cell r="C1848">
            <v>3332</v>
          </cell>
          <cell r="D1848" t="str">
            <v>Señal Reglamentaria De Pare</v>
          </cell>
          <cell r="E1848" t="str">
            <v>UN</v>
          </cell>
          <cell r="F1848">
            <v>44730</v>
          </cell>
          <cell r="G1848">
            <v>42237</v>
          </cell>
        </row>
        <row r="1849">
          <cell r="C1849">
            <v>3334</v>
          </cell>
          <cell r="D1849" t="str">
            <v>Instalaciones Eléctricas Provisionales</v>
          </cell>
          <cell r="E1849" t="str">
            <v>GL</v>
          </cell>
          <cell r="F1849">
            <v>850000</v>
          </cell>
          <cell r="G1849">
            <v>41555</v>
          </cell>
        </row>
        <row r="1850">
          <cell r="C1850">
            <v>3335</v>
          </cell>
          <cell r="D1850" t="str">
            <v>Instalaciones Hidrosanitarias Provisionales</v>
          </cell>
          <cell r="E1850" t="str">
            <v>GL</v>
          </cell>
          <cell r="F1850">
            <v>850000</v>
          </cell>
          <cell r="G1850">
            <v>41555</v>
          </cell>
        </row>
        <row r="1851">
          <cell r="C1851">
            <v>3336</v>
          </cell>
          <cell r="D1851" t="str">
            <v>Campamento E Instalaciones Provisionales (Servicios Públicos Y Acometidas Provisionales) Ver Diseño.</v>
          </cell>
          <cell r="E1851" t="str">
            <v>GL</v>
          </cell>
          <cell r="F1851">
            <v>12045587.529999999</v>
          </cell>
          <cell r="G1851">
            <v>42747</v>
          </cell>
        </row>
        <row r="1852">
          <cell r="C1852">
            <v>3342</v>
          </cell>
          <cell r="D1852" t="str">
            <v>Meson En Madera, Puertas Modulo De Ventas (Ver Diseño).</v>
          </cell>
          <cell r="E1852" t="str">
            <v>ML</v>
          </cell>
          <cell r="F1852">
            <v>119317</v>
          </cell>
          <cell r="G1852">
            <v>42242</v>
          </cell>
        </row>
        <row r="1853">
          <cell r="C1853">
            <v>3343</v>
          </cell>
          <cell r="D1853" t="str">
            <v>Desmonte Y Retiro De Acometidas  Electricas (Incluye Desmonte De Cableado,Abanicos De Techo Y Ducteria).</v>
          </cell>
          <cell r="E1853" t="str">
            <v>UN</v>
          </cell>
          <cell r="F1853">
            <v>2499242.11</v>
          </cell>
          <cell r="G1853">
            <v>41936</v>
          </cell>
        </row>
        <row r="1854">
          <cell r="C1854">
            <v>3344</v>
          </cell>
          <cell r="D1854" t="str">
            <v>Desmonte Y Retiro De Acometidas Hidrosanitarias (Baño).</v>
          </cell>
          <cell r="E1854" t="str">
            <v>UN</v>
          </cell>
          <cell r="F1854">
            <v>233658.06</v>
          </cell>
          <cell r="G1854">
            <v>41936</v>
          </cell>
        </row>
        <row r="1855">
          <cell r="C1855">
            <v>3347</v>
          </cell>
          <cell r="D1855" t="str">
            <v>Fachada En Madera Modulo De Baños Y Venta Estacionaria (Ver Diseño).</v>
          </cell>
          <cell r="E1855" t="str">
            <v>M2</v>
          </cell>
          <cell r="F1855">
            <v>223175.33</v>
          </cell>
          <cell r="G1855">
            <v>42227</v>
          </cell>
        </row>
        <row r="1856">
          <cell r="C1856">
            <v>3348</v>
          </cell>
          <cell r="D1856" t="str">
            <v>Demolición De Losa En Concreto Reforzada E= 0,15 Mts.  Hlosa= 5 Mts.</v>
          </cell>
          <cell r="E1856" t="str">
            <v>M2</v>
          </cell>
          <cell r="F1856">
            <v>20373.11</v>
          </cell>
          <cell r="G1856">
            <v>42538</v>
          </cell>
        </row>
        <row r="1857">
          <cell r="C1857">
            <v>3349</v>
          </cell>
          <cell r="D1857" t="str">
            <v>Demolicion De Mezanini En Concreto (Incluye Viga Con Espesor De  40 Cms Y Losa De E = 25 Cms)</v>
          </cell>
          <cell r="E1857" t="str">
            <v>M2</v>
          </cell>
          <cell r="F1857">
            <v>33582.11</v>
          </cell>
          <cell r="G1857">
            <v>41570</v>
          </cell>
        </row>
        <row r="1858">
          <cell r="C1858">
            <v>3350</v>
          </cell>
          <cell r="D1858" t="str">
            <v>Desmonte Y Retiro De Escalera Metalica Yprefabricada.</v>
          </cell>
          <cell r="E1858" t="str">
            <v>M2</v>
          </cell>
          <cell r="F1858">
            <v>112160.27</v>
          </cell>
          <cell r="G1858">
            <v>41570</v>
          </cell>
        </row>
        <row r="1859">
          <cell r="C1859">
            <v>3352</v>
          </cell>
          <cell r="D1859" t="str">
            <v>Fachada Abatible En Acero Inoxidable, Modulo De Venta Estacionaria (Ver Diseño).</v>
          </cell>
          <cell r="E1859" t="str">
            <v>M2</v>
          </cell>
          <cell r="F1859">
            <v>496061.67</v>
          </cell>
          <cell r="G1859">
            <v>42242</v>
          </cell>
        </row>
        <row r="1860">
          <cell r="C1860">
            <v>3356</v>
          </cell>
          <cell r="D1860" t="str">
            <v>Cubierta Umbrales (Ver Diseño).</v>
          </cell>
          <cell r="E1860" t="str">
            <v>M2</v>
          </cell>
          <cell r="F1860">
            <v>246886.53</v>
          </cell>
          <cell r="G1860">
            <v>42227</v>
          </cell>
        </row>
        <row r="1861">
          <cell r="C1861">
            <v>3357</v>
          </cell>
          <cell r="D1861" t="str">
            <v>Dovelas En Levante De Bloques.</v>
          </cell>
          <cell r="E1861" t="str">
            <v>ML</v>
          </cell>
          <cell r="F1861">
            <v>10312.35</v>
          </cell>
          <cell r="G1861">
            <v>42578</v>
          </cell>
        </row>
        <row r="1862">
          <cell r="C1862">
            <v>3359</v>
          </cell>
          <cell r="D1862" t="str">
            <v>Concreto Grout F´C 21 Mpa Relleno Una Celda Vertical Reforzada En Muros E:0.12 M De Ladrillo.</v>
          </cell>
          <cell r="E1862" t="str">
            <v>ML</v>
          </cell>
          <cell r="F1862">
            <v>13926.55</v>
          </cell>
          <cell r="G1862">
            <v>42578</v>
          </cell>
        </row>
        <row r="1863">
          <cell r="C1863">
            <v>3360</v>
          </cell>
          <cell r="D1863" t="str">
            <v>Planchones (Ver Diseño).</v>
          </cell>
          <cell r="E1863" t="str">
            <v>M2</v>
          </cell>
          <cell r="F1863">
            <v>308097.93</v>
          </cell>
          <cell r="G1863">
            <v>42227</v>
          </cell>
        </row>
        <row r="1864">
          <cell r="C1864">
            <v>3361</v>
          </cell>
          <cell r="D1864" t="str">
            <v>Rampa En Concreto Visto F'C 21 Mpa. Conjunto Estructural Viga + Losa Maciza + Descanso (Secciones Según Planos) Incluye Malla Electrosoldada Con Acabado Estriado Horizontal, Junta  E= 0,10 Mts.</v>
          </cell>
          <cell r="E1864" t="str">
            <v>M2</v>
          </cell>
          <cell r="F1864">
            <v>157949.03</v>
          </cell>
          <cell r="G1864">
            <v>42538</v>
          </cell>
        </row>
        <row r="1865">
          <cell r="C1865">
            <v>3363</v>
          </cell>
          <cell r="D1865" t="str">
            <v>Bicicleteros (Ver Diseño).</v>
          </cell>
          <cell r="E1865" t="str">
            <v>UN</v>
          </cell>
          <cell r="F1865">
            <v>2440664.4</v>
          </cell>
          <cell r="G1865">
            <v>42241</v>
          </cell>
        </row>
        <row r="1866">
          <cell r="C1866">
            <v>3365</v>
          </cell>
          <cell r="D1866" t="str">
            <v>Lavado E Hidrolavado Del Pañete Interno Y Externo De La Edificacion. Ver Diseño.</v>
          </cell>
          <cell r="E1866" t="str">
            <v>M2</v>
          </cell>
          <cell r="F1866">
            <v>6102.14</v>
          </cell>
          <cell r="G1866">
            <v>41936</v>
          </cell>
        </row>
        <row r="1867">
          <cell r="C1867">
            <v>3369</v>
          </cell>
          <cell r="D1867" t="str">
            <v>Suministro E Instalacion De Enchape De Piso Tipo Zargaso De Baños.</v>
          </cell>
          <cell r="E1867" t="str">
            <v>M2</v>
          </cell>
          <cell r="F1867">
            <v>58501.06</v>
          </cell>
          <cell r="G1867">
            <v>42578</v>
          </cell>
        </row>
        <row r="1868">
          <cell r="C1868">
            <v>3370</v>
          </cell>
          <cell r="D1868" t="str">
            <v>Suministro E Instalacion De Totem Señalizacion (Ver Diseño).</v>
          </cell>
          <cell r="E1868" t="str">
            <v>UN</v>
          </cell>
          <cell r="F1868">
            <v>4246176.76</v>
          </cell>
          <cell r="G1868">
            <v>42241</v>
          </cell>
        </row>
        <row r="1869">
          <cell r="C1869">
            <v>3371</v>
          </cell>
          <cell r="D1869" t="str">
            <v>Canal De Captación Tipo I En Concreto De 4000 Psi, Ancho 0.70 Metros</v>
          </cell>
          <cell r="E1869" t="str">
            <v>M3</v>
          </cell>
          <cell r="F1869">
            <v>769822.01</v>
          </cell>
          <cell r="G1869">
            <v>42443</v>
          </cell>
        </row>
        <row r="1870">
          <cell r="C1870">
            <v>3372</v>
          </cell>
          <cell r="D1870" t="str">
            <v>Canal De Captación Tipo 2 En Concreto De 4000 Psi, Ancho 2.00 Metros</v>
          </cell>
          <cell r="E1870" t="str">
            <v>M3</v>
          </cell>
          <cell r="F1870">
            <v>844116.45</v>
          </cell>
          <cell r="G1870">
            <v>41565</v>
          </cell>
        </row>
        <row r="1871">
          <cell r="C1871">
            <v>3373</v>
          </cell>
          <cell r="D1871" t="str">
            <v>Instalaciones Hidrosanitarias</v>
          </cell>
          <cell r="E1871" t="str">
            <v>SD</v>
          </cell>
          <cell r="F1871">
            <v>0</v>
          </cell>
          <cell r="G1871">
            <v>41555</v>
          </cell>
        </row>
        <row r="1872">
          <cell r="C1872">
            <v>3378</v>
          </cell>
          <cell r="D1872" t="str">
            <v>Suministro E Instalacion De Medidor De Agua, Diametro 1" (Ver Diseño).</v>
          </cell>
          <cell r="E1872" t="str">
            <v>UN</v>
          </cell>
          <cell r="F1872">
            <v>557986.67000000004</v>
          </cell>
          <cell r="G1872">
            <v>42242</v>
          </cell>
        </row>
        <row r="1873">
          <cell r="C1873">
            <v>3381</v>
          </cell>
          <cell r="D1873" t="str">
            <v>Suplemento De Trabajo En Tensión Instalación De Poste De 12 A 14 Mts.</v>
          </cell>
          <cell r="E1873" t="str">
            <v>UN</v>
          </cell>
          <cell r="F1873">
            <v>173250</v>
          </cell>
          <cell r="G1873">
            <v>42524</v>
          </cell>
        </row>
        <row r="1874">
          <cell r="C1874">
            <v>3382</v>
          </cell>
          <cell r="D1874" t="str">
            <v>Suplemento De Trabajo En Tensión Cortacircuito Nn Completo 13,2 Kv 100 A</v>
          </cell>
          <cell r="E1874" t="str">
            <v>UN</v>
          </cell>
          <cell r="F1874">
            <v>123873.39</v>
          </cell>
          <cell r="G1874">
            <v>42538</v>
          </cell>
        </row>
        <row r="1875">
          <cell r="C1875">
            <v>3383</v>
          </cell>
          <cell r="D1875" t="str">
            <v>Supl Tet Desm. Seccionador Fusible O Pararrayo</v>
          </cell>
          <cell r="E1875" t="str">
            <v>UN</v>
          </cell>
          <cell r="F1875">
            <v>49500</v>
          </cell>
          <cell r="G1875">
            <v>41569</v>
          </cell>
        </row>
        <row r="1876">
          <cell r="C1876">
            <v>3387</v>
          </cell>
          <cell r="D1876" t="str">
            <v>Acometidas Hidraulicas (Ver Diseño).</v>
          </cell>
          <cell r="E1876" t="str">
            <v>UN</v>
          </cell>
          <cell r="F1876">
            <v>277748.2</v>
          </cell>
          <cell r="G1876">
            <v>42242</v>
          </cell>
        </row>
        <row r="1877">
          <cell r="C1877">
            <v>3388</v>
          </cell>
          <cell r="D1877" t="str">
            <v>Colector Sanitario Pvc De 6"</v>
          </cell>
          <cell r="E1877" t="str">
            <v>ML</v>
          </cell>
          <cell r="F1877">
            <v>68900.61</v>
          </cell>
          <cell r="G1877">
            <v>42242</v>
          </cell>
        </row>
        <row r="1878">
          <cell r="C1878">
            <v>3389</v>
          </cell>
          <cell r="D1878" t="str">
            <v>Reposicion Redes Domiciliarias Sanitario (Ver Diseño).</v>
          </cell>
          <cell r="E1878" t="str">
            <v>UN</v>
          </cell>
          <cell r="F1878">
            <v>670329.01</v>
          </cell>
          <cell r="G1878">
            <v>42241</v>
          </cell>
        </row>
        <row r="1879">
          <cell r="C1879">
            <v>3394</v>
          </cell>
          <cell r="D1879" t="str">
            <v>Boton Antivandalico Metalico Cromado Para Accionar Valvula De Descarga.</v>
          </cell>
          <cell r="E1879" t="str">
            <v>UN</v>
          </cell>
          <cell r="F1879">
            <v>105800.28</v>
          </cell>
          <cell r="G1879">
            <v>41936</v>
          </cell>
        </row>
        <row r="1880">
          <cell r="C1880">
            <v>3395</v>
          </cell>
          <cell r="D1880" t="str">
            <v>Suministro E Instalacion De Lavamanos De Colgar A La Pared, Especial Para Discapacitados Tipo Toto. Incluye Griferia Y Jabonera.</v>
          </cell>
          <cell r="E1880" t="str">
            <v>UN</v>
          </cell>
          <cell r="F1880">
            <v>475443.74</v>
          </cell>
          <cell r="G1880">
            <v>42572</v>
          </cell>
        </row>
        <row r="1881">
          <cell r="C1881">
            <v>3396</v>
          </cell>
          <cell r="D1881" t="str">
            <v>Reposicion Redes Sanitaria De 8" (Ver Diseño).</v>
          </cell>
          <cell r="E1881" t="str">
            <v>ML</v>
          </cell>
          <cell r="F1881">
            <v>140887.98000000001</v>
          </cell>
          <cell r="G1881">
            <v>41590</v>
          </cell>
        </row>
        <row r="1882">
          <cell r="C1882">
            <v>3399</v>
          </cell>
          <cell r="D1882" t="str">
            <v>Suministro E Instalacion De Sanitarios Para Discapacitados Alongado, Bajo Consumo 1,6 Linea Integral Blanco. Incluye Griferia Y Papelera De Sobreponer En La Pared, En Acero Inoxidable Para Rollo De 200/400, Cerradura Con Llave.</v>
          </cell>
          <cell r="E1882" t="str">
            <v>UN</v>
          </cell>
          <cell r="F1882">
            <v>549343.74</v>
          </cell>
          <cell r="G1882">
            <v>42572</v>
          </cell>
        </row>
        <row r="1883">
          <cell r="C1883">
            <v>3401</v>
          </cell>
          <cell r="D1883" t="str">
            <v>Reposicion Redes Sanitaria De 10" (Ver Diseño).</v>
          </cell>
          <cell r="E1883" t="str">
            <v>ML</v>
          </cell>
          <cell r="F1883">
            <v>166477.5</v>
          </cell>
          <cell r="G1883">
            <v>42535</v>
          </cell>
        </row>
        <row r="1884">
          <cell r="C1884">
            <v>3402</v>
          </cell>
          <cell r="D1884" t="str">
            <v>Boton Cromado Para Minusvalido Para Accionar Valvula De Descarga.</v>
          </cell>
          <cell r="E1884" t="str">
            <v>UN</v>
          </cell>
          <cell r="F1884">
            <v>222231.24</v>
          </cell>
          <cell r="G1884">
            <v>41936</v>
          </cell>
        </row>
        <row r="1885">
          <cell r="C1885">
            <v>3403</v>
          </cell>
          <cell r="D1885" t="str">
            <v>Demolicion De Camara De Inspeccion (Ver Diseño).</v>
          </cell>
          <cell r="E1885" t="str">
            <v>UN</v>
          </cell>
          <cell r="F1885">
            <v>366599.33</v>
          </cell>
          <cell r="G1885">
            <v>42242</v>
          </cell>
        </row>
        <row r="1886">
          <cell r="C1886">
            <v>3406</v>
          </cell>
          <cell r="D1886" t="str">
            <v>Punto Sanitario D=3".</v>
          </cell>
          <cell r="E1886" t="str">
            <v>UN</v>
          </cell>
          <cell r="F1886">
            <v>90585.1</v>
          </cell>
          <cell r="G1886">
            <v>42572</v>
          </cell>
        </row>
        <row r="1887">
          <cell r="C1887">
            <v>3413</v>
          </cell>
          <cell r="D1887" t="str">
            <v>Punto Sanitario D=1 1/2"</v>
          </cell>
          <cell r="E1887" t="str">
            <v>UN</v>
          </cell>
          <cell r="F1887">
            <v>41248.6</v>
          </cell>
          <cell r="G1887">
            <v>42102</v>
          </cell>
        </row>
        <row r="1888">
          <cell r="C1888">
            <v>3416</v>
          </cell>
          <cell r="D1888" t="str">
            <v>Suministro E Instalación De Tuberia Sanitaria Pvc De 6"</v>
          </cell>
          <cell r="E1888" t="str">
            <v>ML</v>
          </cell>
          <cell r="F1888">
            <v>54062.31</v>
          </cell>
          <cell r="G1888">
            <v>42578</v>
          </cell>
        </row>
        <row r="1889">
          <cell r="C1889">
            <v>3417</v>
          </cell>
          <cell r="D1889" t="str">
            <v>Suministro E Instalacion De Piso En Adoquin Tipo Rectangular Vehicular De 0.20*0.10*0.08 Metros, Con Borde De Confinamiento De 0.15*0.30 Metros En Concreto De 3000 Psi A Cada 3.00 Metros, Reforzado Con Dos Varillas De D= 3/8" Y Estribos De D= 1/4" A Cada 0.32 Metros.</v>
          </cell>
          <cell r="E1889" t="str">
            <v>M2</v>
          </cell>
          <cell r="F1889">
            <v>90204.62</v>
          </cell>
          <cell r="G1889">
            <v>42240</v>
          </cell>
        </row>
        <row r="1890">
          <cell r="C1890">
            <v>3418</v>
          </cell>
          <cell r="D1890" t="str">
            <v>Suministro E Instalación De Tuberia Sanitaria Pvc D=3"</v>
          </cell>
          <cell r="E1890" t="str">
            <v>ML</v>
          </cell>
          <cell r="F1890">
            <v>31821.51</v>
          </cell>
          <cell r="G1890">
            <v>42572</v>
          </cell>
        </row>
        <row r="1891">
          <cell r="C1891">
            <v>3419</v>
          </cell>
          <cell r="D1891" t="str">
            <v>Puntos De Conexion Salida De Ventilacion Pvc Sanitaria D=2".</v>
          </cell>
          <cell r="E1891" t="str">
            <v>UN</v>
          </cell>
          <cell r="F1891">
            <v>48070.29</v>
          </cell>
          <cell r="G1891">
            <v>42578</v>
          </cell>
        </row>
        <row r="1892">
          <cell r="C1892">
            <v>3420</v>
          </cell>
          <cell r="D1892" t="str">
            <v>Suministro E Instalacion De Transformador Monofasico 15 Kva, Incluye Elementos De Proteccion, Accesorios Para Poste (Ver Diseño).</v>
          </cell>
          <cell r="E1892" t="str">
            <v>UN</v>
          </cell>
          <cell r="F1892">
            <v>6600960.5</v>
          </cell>
          <cell r="G1892">
            <v>42198</v>
          </cell>
        </row>
        <row r="1893">
          <cell r="C1893">
            <v>3422</v>
          </cell>
          <cell r="D1893" t="str">
            <v>Suministro E Instalación De Tubería De Ventilación Pvc D=1 1/2".</v>
          </cell>
          <cell r="E1893" t="str">
            <v>ML</v>
          </cell>
          <cell r="F1893">
            <v>17217.490000000002</v>
          </cell>
          <cell r="G1893">
            <v>42461</v>
          </cell>
        </row>
        <row r="1894">
          <cell r="C1894">
            <v>3427</v>
          </cell>
          <cell r="D1894" t="str">
            <v>Derivación Punto Adaptador De Limpieza D=4".</v>
          </cell>
          <cell r="E1894" t="str">
            <v>UN</v>
          </cell>
          <cell r="F1894">
            <v>33813.07</v>
          </cell>
          <cell r="G1894">
            <v>41570</v>
          </cell>
        </row>
        <row r="1895">
          <cell r="C1895">
            <v>3428</v>
          </cell>
          <cell r="D1895" t="str">
            <v>Derivación Punto Adaptador De Limpieza D=3".</v>
          </cell>
          <cell r="E1895" t="str">
            <v>UN</v>
          </cell>
          <cell r="F1895">
            <v>20935.009999999998</v>
          </cell>
          <cell r="G1895">
            <v>41936</v>
          </cell>
        </row>
        <row r="1896">
          <cell r="C1896">
            <v>3429</v>
          </cell>
          <cell r="D1896" t="str">
            <v>Derivación Punto Adaptador De Limpieza D=2".</v>
          </cell>
          <cell r="E1896" t="str">
            <v>UN</v>
          </cell>
          <cell r="F1896">
            <v>10963.99</v>
          </cell>
          <cell r="G1896">
            <v>41927</v>
          </cell>
        </row>
        <row r="1897">
          <cell r="C1897">
            <v>3431</v>
          </cell>
          <cell r="D1897" t="str">
            <v>Bajante Sanitario D=4".</v>
          </cell>
          <cell r="E1897" t="str">
            <v>ML</v>
          </cell>
          <cell r="F1897">
            <v>32215.34</v>
          </cell>
          <cell r="G1897">
            <v>42578</v>
          </cell>
        </row>
        <row r="1898">
          <cell r="C1898">
            <v>3432</v>
          </cell>
          <cell r="D1898" t="str">
            <v>Registro En Concreto. 60X60 Cm.</v>
          </cell>
          <cell r="E1898" t="str">
            <v>UN</v>
          </cell>
          <cell r="F1898">
            <v>412201.79</v>
          </cell>
          <cell r="G1898">
            <v>42416</v>
          </cell>
        </row>
        <row r="1899">
          <cell r="C1899">
            <v>3433</v>
          </cell>
          <cell r="D1899" t="str">
            <v>Manhole D=1M.</v>
          </cell>
          <cell r="E1899" t="str">
            <v>UN</v>
          </cell>
          <cell r="F1899">
            <v>2734524.06</v>
          </cell>
          <cell r="G1899">
            <v>42486</v>
          </cell>
        </row>
        <row r="1900">
          <cell r="C1900">
            <v>3436</v>
          </cell>
          <cell r="D1900" t="str">
            <v>Suministro, Fabricación Y Montaje De Cubierta Estructural Curva Totalmente Grafada, Lámina Galvanizada Astm A653 Grado 40. Calibre 24 (0.6 Mm), Prepintada Por Ambas Caras Con Pintura Tipo Poliester . Incluye Estructura Area Exterior</v>
          </cell>
          <cell r="E1900" t="str">
            <v>M2</v>
          </cell>
          <cell r="F1900">
            <v>108000</v>
          </cell>
          <cell r="G1900">
            <v>41557</v>
          </cell>
        </row>
        <row r="1901">
          <cell r="C1901">
            <v>3437</v>
          </cell>
          <cell r="D1901" t="str">
            <v>Suministro, Fabricación Y Montaje De Cubierta Estructural Curva Totalmente Grafada, Lámina Galvanizada Astm A653 Grado 40. Calibre 22 (0.8 Mm), Prepintada Por Ambas Caras Con Pintura Tipo Poliester . Incluye Estructura Area Exterior</v>
          </cell>
          <cell r="E1901" t="str">
            <v>M2</v>
          </cell>
          <cell r="F1901">
            <v>120960</v>
          </cell>
          <cell r="G1901">
            <v>41936</v>
          </cell>
        </row>
        <row r="1902">
          <cell r="C1902">
            <v>3440</v>
          </cell>
          <cell r="D1902" t="str">
            <v>Suministro E Instalación De Tubería Colgante A.Ll. Pvc Sanitaria D=6".</v>
          </cell>
          <cell r="E1902" t="str">
            <v>ML</v>
          </cell>
          <cell r="F1902">
            <v>66910.64</v>
          </cell>
          <cell r="G1902">
            <v>42578</v>
          </cell>
        </row>
        <row r="1903">
          <cell r="C1903">
            <v>3441</v>
          </cell>
          <cell r="D1903" t="str">
            <v>Suministro Einstalación De Tubería Pvc De Ventilacion D=4".</v>
          </cell>
          <cell r="E1903" t="str">
            <v>ML</v>
          </cell>
          <cell r="F1903">
            <v>30997.47</v>
          </cell>
          <cell r="G1903">
            <v>42578</v>
          </cell>
        </row>
        <row r="1904">
          <cell r="C1904">
            <v>3442</v>
          </cell>
          <cell r="D1904" t="str">
            <v>Suministro E Instalacion De Sistema Hidraulico Para Fuente Espejo De Agua (Ver Diseño).</v>
          </cell>
          <cell r="E1904" t="str">
            <v>GL</v>
          </cell>
          <cell r="F1904">
            <v>280000000</v>
          </cell>
          <cell r="G1904">
            <v>41767</v>
          </cell>
        </row>
        <row r="1905">
          <cell r="C1905">
            <v>3443</v>
          </cell>
          <cell r="D1905" t="str">
            <v>Muro Fuente</v>
          </cell>
          <cell r="E1905" t="str">
            <v>SD</v>
          </cell>
          <cell r="F1905">
            <v>0</v>
          </cell>
          <cell r="G1905">
            <v>41743</v>
          </cell>
        </row>
        <row r="1906">
          <cell r="C1906">
            <v>3444</v>
          </cell>
          <cell r="D1906" t="str">
            <v>Registro En Concreto 50X50 Cm.</v>
          </cell>
          <cell r="E1906" t="str">
            <v>UN</v>
          </cell>
          <cell r="F1906">
            <v>322729.86</v>
          </cell>
          <cell r="G1906">
            <v>42572</v>
          </cell>
        </row>
        <row r="1907">
          <cell r="C1907">
            <v>3445</v>
          </cell>
          <cell r="D1907" t="str">
            <v>Muro Anden Avenida Circunvalar</v>
          </cell>
          <cell r="E1907" t="str">
            <v>SD</v>
          </cell>
          <cell r="F1907">
            <v>0</v>
          </cell>
          <cell r="G1907">
            <v>41743</v>
          </cell>
        </row>
        <row r="1908">
          <cell r="C1908">
            <v>3446</v>
          </cell>
          <cell r="D1908" t="str">
            <v>Espejo De Agua</v>
          </cell>
          <cell r="E1908" t="str">
            <v>SD</v>
          </cell>
          <cell r="F1908">
            <v>0</v>
          </cell>
          <cell r="G1908">
            <v>41743</v>
          </cell>
        </row>
        <row r="1909">
          <cell r="C1909">
            <v>3447</v>
          </cell>
          <cell r="D1909" t="str">
            <v>Demolicion De Edificaciones, Proyecto Plaza De San Roque(Ver Diseño).</v>
          </cell>
          <cell r="E1909" t="str">
            <v>GL</v>
          </cell>
          <cell r="F1909">
            <v>37569378.420000002</v>
          </cell>
          <cell r="G1909">
            <v>41558</v>
          </cell>
        </row>
        <row r="1910">
          <cell r="C1910">
            <v>3448</v>
          </cell>
          <cell r="D1910" t="str">
            <v>Instalaciones Pluviales</v>
          </cell>
          <cell r="E1910" t="str">
            <v>SD</v>
          </cell>
          <cell r="F1910">
            <v>0</v>
          </cell>
          <cell r="G1910">
            <v>41558</v>
          </cell>
        </row>
        <row r="1911">
          <cell r="C1911">
            <v>3449</v>
          </cell>
          <cell r="D1911" t="str">
            <v>Instalaciones Hidráulicas</v>
          </cell>
          <cell r="E1911" t="str">
            <v>SD</v>
          </cell>
          <cell r="F1911">
            <v>0</v>
          </cell>
          <cell r="G1911">
            <v>41558</v>
          </cell>
        </row>
        <row r="1912">
          <cell r="C1912">
            <v>3450</v>
          </cell>
          <cell r="D1912" t="str">
            <v>Demolicion De Edificaciones Para Los Proyectos De Las Plazas (Ver Diseño).</v>
          </cell>
          <cell r="E1912" t="str">
            <v>GL</v>
          </cell>
          <cell r="F1912">
            <v>80000000</v>
          </cell>
          <cell r="G1912">
            <v>42241</v>
          </cell>
        </row>
        <row r="1913">
          <cell r="C1913">
            <v>3456</v>
          </cell>
          <cell r="D1913" t="str">
            <v>Punto Salida De Agua Fría 3/4" Pvc.</v>
          </cell>
          <cell r="E1913" t="str">
            <v>UN</v>
          </cell>
          <cell r="F1913">
            <v>30588.53</v>
          </cell>
          <cell r="G1913">
            <v>42242</v>
          </cell>
        </row>
        <row r="1914">
          <cell r="C1914">
            <v>3458</v>
          </cell>
          <cell r="D1914" t="str">
            <v>Ornamentacion Y Jardineria - Suministro E Instalacion De Arbol Zapote ( Nombre Cientifico: Pouteria Sapota), Altura= De 2.00 A 3.00 Metros, Incluye: Transporte Y Siembra.</v>
          </cell>
          <cell r="E1914" t="str">
            <v>UN</v>
          </cell>
          <cell r="F1914">
            <v>230000</v>
          </cell>
          <cell r="G1914">
            <v>41590</v>
          </cell>
        </row>
        <row r="1915">
          <cell r="C1915">
            <v>3459</v>
          </cell>
          <cell r="D1915" t="str">
            <v>Red De Suministro De 1 1/2".</v>
          </cell>
          <cell r="E1915" t="str">
            <v>ML</v>
          </cell>
          <cell r="F1915">
            <v>16423.28</v>
          </cell>
          <cell r="G1915">
            <v>41570</v>
          </cell>
        </row>
        <row r="1916">
          <cell r="C1916">
            <v>3460</v>
          </cell>
          <cell r="D1916" t="str">
            <v>Ornamentacion Y Jardineria - Suministro E Instalacion De Arbol Loro (Nombre Cientifico: Dilodendron Costaricencis), Altura De 2.00 A 3.00 Metros, Incluye: Transporte Y Siembra.</v>
          </cell>
          <cell r="E1916" t="str">
            <v>UN</v>
          </cell>
          <cell r="F1916">
            <v>230000</v>
          </cell>
          <cell r="G1916">
            <v>41590</v>
          </cell>
        </row>
        <row r="1917">
          <cell r="C1917">
            <v>3461</v>
          </cell>
          <cell r="D1917" t="str">
            <v>Ornamentacion Y Jardineria - Suministro E Instalacion De Arbol Piñon De Oreja (Nombre Cientifico: Enterolobium Cyclocarpum) Altura De 2.00 A 3.00 Metros, Incluye: Transporte Y Siembra.</v>
          </cell>
          <cell r="E1917" t="str">
            <v>UN</v>
          </cell>
          <cell r="F1917">
            <v>230000</v>
          </cell>
          <cell r="G1917">
            <v>41590</v>
          </cell>
        </row>
        <row r="1918">
          <cell r="C1918">
            <v>3462</v>
          </cell>
          <cell r="D1918" t="str">
            <v>Ornamentacion Y Jardineria - Suministro E Instalacion De Arbol Algarrobo (Nombre Cientifico Hymenea Courbaryl) Con Altura De 2.00 A 3.00 Metros, Incluye: Transporte Y Siembra.</v>
          </cell>
          <cell r="E1918" t="str">
            <v>UN</v>
          </cell>
          <cell r="F1918">
            <v>230000</v>
          </cell>
          <cell r="G1918">
            <v>42153</v>
          </cell>
        </row>
        <row r="1919">
          <cell r="C1919">
            <v>3463</v>
          </cell>
          <cell r="D1919" t="str">
            <v>Ornamentacion Y Jardineria - Suministro E Instalacion De Arbol Mamon (Nombre Cientifico: Melicoccus Bijugatus) Altura De 2.00 A 3.00 Metros, Incluye: Transporte Y Siembra.</v>
          </cell>
          <cell r="E1919" t="str">
            <v>UN</v>
          </cell>
          <cell r="F1919">
            <v>230000</v>
          </cell>
          <cell r="G1919">
            <v>41590</v>
          </cell>
        </row>
        <row r="1920">
          <cell r="C1920">
            <v>3464</v>
          </cell>
          <cell r="D1920" t="str">
            <v>Ornamentacion Y Jardineria - Suministro E Instalacion De Arbol Caimito (Nombre Cientifico: Chrysophyllum Cainito) Altura De 2.00 A 3.00 Metros, Incluye: Transporte Y Siembra.</v>
          </cell>
          <cell r="E1920" t="str">
            <v>UN</v>
          </cell>
          <cell r="F1920">
            <v>230000</v>
          </cell>
          <cell r="G1920">
            <v>41590</v>
          </cell>
        </row>
        <row r="1921">
          <cell r="C1921">
            <v>3465</v>
          </cell>
          <cell r="D1921" t="str">
            <v>Ornamentacion Y Jardineria - Suministro E Instalacion De Arbol Camajon (Nombre Cientifico: Sterculia Apetala) Altura De 2.00 A 3.00 Metros, Incluye: Transporte Y Siembra.</v>
          </cell>
          <cell r="E1921" t="str">
            <v>UN</v>
          </cell>
          <cell r="F1921">
            <v>230000</v>
          </cell>
          <cell r="G1921">
            <v>41590</v>
          </cell>
        </row>
        <row r="1922">
          <cell r="C1922">
            <v>3466</v>
          </cell>
          <cell r="D1922" t="str">
            <v>Ornamentacion Y Jardineria - Suministro E Instalacion De Arbol Mamey (Nombre Cientifico: Mammea Americana) Altura De 2.00 A 3.00 Metros, Incluye: Transporte Y Siembra.</v>
          </cell>
          <cell r="E1922" t="str">
            <v>UN</v>
          </cell>
          <cell r="F1922">
            <v>230000</v>
          </cell>
          <cell r="G1922">
            <v>41590</v>
          </cell>
        </row>
        <row r="1923">
          <cell r="C1923">
            <v>3467</v>
          </cell>
          <cell r="D1923" t="str">
            <v>Ornamentacion Y Jardineria - Suministro E Instalacion De Arbol Cedro (Nombre Cientifico: Cedrela Odorata) Altura De 2.00 A 3.00 Metros, Incluye: Transporte Y Siembra.</v>
          </cell>
          <cell r="E1923" t="str">
            <v>UN</v>
          </cell>
          <cell r="F1923">
            <v>230000</v>
          </cell>
          <cell r="G1923">
            <v>41590</v>
          </cell>
        </row>
        <row r="1924">
          <cell r="C1924">
            <v>3468</v>
          </cell>
          <cell r="D1924" t="str">
            <v>Ornamentacion Y Jardineria - Suministro E Instalacion De Arbol Tamarindo (Nombre Cientifico: Tamarindus Indica) Altura De 2.00 A 3.00 Metros, Incluye: Transporte Y Siembra.</v>
          </cell>
          <cell r="E1924" t="str">
            <v>UN</v>
          </cell>
          <cell r="F1924">
            <v>230000</v>
          </cell>
          <cell r="G1924">
            <v>41590</v>
          </cell>
        </row>
        <row r="1925">
          <cell r="C1925">
            <v>3469</v>
          </cell>
          <cell r="D1925" t="str">
            <v>Ornamentacion Y Jardineria - Sumistro E Instalacion De Arbol Nispero (Nombre Cientifico: Manilkara Sapota) Altura De 2.00 A 3.00 Metros, Incluye: Transporte Y Siembra.</v>
          </cell>
          <cell r="E1925" t="str">
            <v>UN</v>
          </cell>
          <cell r="F1925">
            <v>230000</v>
          </cell>
          <cell r="G1925">
            <v>41590</v>
          </cell>
        </row>
        <row r="1926">
          <cell r="C1926">
            <v>3470</v>
          </cell>
          <cell r="D1926" t="str">
            <v>Ornamentacion Y Jardineria - Suministro E Instalacion De Arbol Guayacan Azul (Nombre Cientifico: Guaiacum Oficinalis) Altura De 2.00 A 3.00 Metros, Incluye: Transporte Y Siembra.</v>
          </cell>
          <cell r="E1926" t="str">
            <v>UN</v>
          </cell>
          <cell r="F1926">
            <v>230000</v>
          </cell>
          <cell r="G1926">
            <v>41590</v>
          </cell>
        </row>
        <row r="1927">
          <cell r="C1927">
            <v>3471</v>
          </cell>
          <cell r="D1927" t="str">
            <v>Ornamentacion Y Jardineria - Suministro E Instalacion De Arbol Congo (Nombre Cientifico: Andira Inermis) Altura De 2.00 A 3.00 Metros, Incluye Transporte Y Siembra.</v>
          </cell>
          <cell r="E1927" t="str">
            <v>UN</v>
          </cell>
          <cell r="F1927">
            <v>230000</v>
          </cell>
          <cell r="G1927">
            <v>41590</v>
          </cell>
        </row>
        <row r="1928">
          <cell r="C1928">
            <v>3472</v>
          </cell>
          <cell r="D1928" t="str">
            <v>Ornamentacion Y Jardineria - Suministro E Instalacion De Arbol Guayacan Amarillo (Nombre Cientifico: Tabebuia Chrysantha) Altura De 2.00 A 3.00 Metros, Incluye: Transporte Y Siembra.</v>
          </cell>
          <cell r="E1928" t="str">
            <v>UN</v>
          </cell>
          <cell r="F1928">
            <v>230000</v>
          </cell>
          <cell r="G1928">
            <v>41590</v>
          </cell>
        </row>
        <row r="1929">
          <cell r="C1929">
            <v>3473</v>
          </cell>
          <cell r="D1929" t="str">
            <v>Ornamentacion Y Jardineria - Suministro E Instalacion De Arbol Caoba (Nombre Cientifico: Swietenia Macrophilla) Altura De 2.00 A 3.00 Metros, Incluye: Transporte Y Siembra.</v>
          </cell>
          <cell r="E1929" t="str">
            <v>UN</v>
          </cell>
          <cell r="F1929">
            <v>230000</v>
          </cell>
          <cell r="G1929">
            <v>41590</v>
          </cell>
        </row>
        <row r="1930">
          <cell r="C1930">
            <v>3474</v>
          </cell>
          <cell r="D1930" t="str">
            <v>Ornamentacion Y Jardineria - Sumnistro E Instalacion De Arbol Choiba (Nombre Cientifico: Dipteryx Oleifera) Altura De 2.00 A 3.00 Metros, Incluye: Transporte Y Siembra.</v>
          </cell>
          <cell r="E1930" t="str">
            <v>UN</v>
          </cell>
          <cell r="F1930">
            <v>230000</v>
          </cell>
          <cell r="G1930">
            <v>41590</v>
          </cell>
        </row>
        <row r="1931">
          <cell r="C1931">
            <v>3475</v>
          </cell>
          <cell r="D1931" t="str">
            <v>Ornamentacion Y Jardineria - Suministro E Instalacion De Arbol Membrillo (Nombre Cientifico: Gustavia Superba) Altura De 2.00 A 3.00 Metros, Incluye: Transporte Y Siembra.</v>
          </cell>
          <cell r="E1931" t="str">
            <v>UN</v>
          </cell>
          <cell r="F1931">
            <v>230000</v>
          </cell>
          <cell r="G1931">
            <v>41590</v>
          </cell>
        </row>
        <row r="1932">
          <cell r="C1932">
            <v>3476</v>
          </cell>
          <cell r="D1932" t="str">
            <v>Ornamentacion Y Jardineria - Suministro E Instalacion De Palma Amarga (Nombre Cientifico: Sabal Mauritiformis) Altura De 2.00 A 3.00 Metros, Incluye: Transporte Y Siembra.</v>
          </cell>
          <cell r="E1932" t="str">
            <v>UN</v>
          </cell>
          <cell r="F1932">
            <v>230000</v>
          </cell>
          <cell r="G1932">
            <v>41590</v>
          </cell>
        </row>
        <row r="1933">
          <cell r="C1933">
            <v>3478</v>
          </cell>
          <cell r="D1933" t="str">
            <v>Ornamentacion Y Jardineria - Suministro E Instalacion De Palma Africana (Nombre Cientifico: Elaesis Guineesis) Altura De 2.00 A 3.00 Metros, Incluye: Transporte Y Siembra.</v>
          </cell>
          <cell r="E1933" t="str">
            <v>UN</v>
          </cell>
          <cell r="F1933">
            <v>230000</v>
          </cell>
          <cell r="G1933">
            <v>41590</v>
          </cell>
        </row>
        <row r="1934">
          <cell r="C1934">
            <v>3482</v>
          </cell>
          <cell r="D1934" t="str">
            <v>Ornamentacion Y Jardineria - Suministro E Instalacion De Palma Madagascar (Nombre Cientifico: Dypsis Madagascariensis) Altura De 2.00 A 3.00 Metros, Incluye: Transporte Y Siembra.</v>
          </cell>
          <cell r="E1934" t="str">
            <v>UN</v>
          </cell>
          <cell r="F1934">
            <v>230000</v>
          </cell>
          <cell r="G1934">
            <v>41590</v>
          </cell>
        </row>
        <row r="1935">
          <cell r="C1935">
            <v>3485</v>
          </cell>
          <cell r="D1935" t="str">
            <v>Ornamentacion Y Jardineria - Suministro E Instalacion De Planta Tango (Nombre Cientifico: Lantana Camara), Incluye: Transporte Y Siembra.</v>
          </cell>
          <cell r="E1935" t="str">
            <v>UN</v>
          </cell>
          <cell r="F1935">
            <v>3500</v>
          </cell>
          <cell r="G1935">
            <v>42242</v>
          </cell>
        </row>
        <row r="1936">
          <cell r="C1936">
            <v>3486</v>
          </cell>
          <cell r="D1936" t="str">
            <v>Ornamentacion Y Jardineria - Suministro E Instalacion De Planta Siete Cueros (Nombre Cientifico: Schizocentron Elegans) Incluye: Transporte Y Siembra</v>
          </cell>
          <cell r="E1936" t="str">
            <v>UN</v>
          </cell>
          <cell r="F1936">
            <v>3250</v>
          </cell>
          <cell r="G1936">
            <v>42242</v>
          </cell>
        </row>
        <row r="1937">
          <cell r="C1937">
            <v>3487</v>
          </cell>
          <cell r="D1937" t="str">
            <v>Ornamentacion Y Jardineria - Suministro E Instalacion De Planta Agave (Nombre Cientifico: Agave), Incluye: Transporte Y Siembra.</v>
          </cell>
          <cell r="E1937" t="str">
            <v>UN</v>
          </cell>
          <cell r="F1937">
            <v>10000</v>
          </cell>
          <cell r="G1937">
            <v>42242</v>
          </cell>
        </row>
        <row r="1938">
          <cell r="C1938">
            <v>3489</v>
          </cell>
          <cell r="D1938" t="str">
            <v>Ornamentacion Y Jardineria - Suministro E Instalacion De Planta Cupea ( Nombre Cientifico: Cuphea Hyssopifolia), Incluye: Transporte Y Siembra.</v>
          </cell>
          <cell r="E1938" t="str">
            <v>UN</v>
          </cell>
          <cell r="F1938">
            <v>3500</v>
          </cell>
          <cell r="G1938">
            <v>42242</v>
          </cell>
        </row>
        <row r="1939">
          <cell r="C1939">
            <v>3490</v>
          </cell>
          <cell r="D1939" t="str">
            <v>Red De Suministro De 2".</v>
          </cell>
          <cell r="E1939" t="str">
            <v>ML</v>
          </cell>
          <cell r="F1939">
            <v>30160.49</v>
          </cell>
          <cell r="G1939">
            <v>41570</v>
          </cell>
        </row>
        <row r="1940">
          <cell r="C1940">
            <v>3491</v>
          </cell>
          <cell r="D1940" t="str">
            <v>Ornamentacion Y Jardineria - Suministro E Instalacion De Planta Ajuga (Nombre Cientifico: Ajuga Reptans), Incluye: Transporte Y Siembra.</v>
          </cell>
          <cell r="E1940" t="str">
            <v>UN</v>
          </cell>
          <cell r="F1940">
            <v>3815</v>
          </cell>
          <cell r="G1940">
            <v>42242</v>
          </cell>
        </row>
        <row r="1941">
          <cell r="C1941">
            <v>3492</v>
          </cell>
          <cell r="D1941" t="str">
            <v>Ornamentacion Y Jardineria - Suministro E Instalacion De Planta Balazo (Nombre Cientifico: Monstera Deliciosa), Incluye: Transporte Y Siembra.</v>
          </cell>
          <cell r="E1941" t="str">
            <v>UN</v>
          </cell>
          <cell r="F1941">
            <v>20000</v>
          </cell>
          <cell r="G1941">
            <v>42242</v>
          </cell>
        </row>
        <row r="1942">
          <cell r="C1942">
            <v>3493</v>
          </cell>
          <cell r="D1942" t="str">
            <v>Ornamentacion Y Jardineria - Suministro E Instalacion De Planta Curculigo (Nombre Cientifico: Curculigo Capitulata), Incluye: Transporte Y Siembra.</v>
          </cell>
          <cell r="E1942" t="str">
            <v>UN</v>
          </cell>
          <cell r="F1942">
            <v>15000</v>
          </cell>
          <cell r="G1942">
            <v>42242</v>
          </cell>
        </row>
        <row r="1943">
          <cell r="C1943">
            <v>3495</v>
          </cell>
          <cell r="D1943" t="str">
            <v>Ornamentacion Y Jardineria - Suministro E Instalacion De Planta Cinta Variegata (Nombre Cientifico: Liriope Variegata), Incluye: Transporte Y Siembra.</v>
          </cell>
          <cell r="E1943" t="str">
            <v>UN</v>
          </cell>
          <cell r="F1943">
            <v>5000</v>
          </cell>
          <cell r="G1943">
            <v>42242</v>
          </cell>
        </row>
        <row r="1944">
          <cell r="C1944">
            <v>3497</v>
          </cell>
          <cell r="D1944" t="str">
            <v>Suministro E Instalación De Junta Antivibratoria De 2".</v>
          </cell>
          <cell r="E1944" t="str">
            <v>UN</v>
          </cell>
          <cell r="F1944">
            <v>182027.36</v>
          </cell>
          <cell r="G1944">
            <v>41570</v>
          </cell>
        </row>
        <row r="1945">
          <cell r="C1945">
            <v>3498</v>
          </cell>
          <cell r="D1945" t="str">
            <v>Ornamentacion Y Jardineria - Suministro E Instalacion De Planta Coqueta (Nombre Cientifico: Vinka Major), Incluye: Transporte Y Siembra.</v>
          </cell>
          <cell r="E1945" t="str">
            <v>UN</v>
          </cell>
          <cell r="F1945">
            <v>3250</v>
          </cell>
          <cell r="G1945">
            <v>42242</v>
          </cell>
        </row>
        <row r="1946">
          <cell r="C1946">
            <v>3499</v>
          </cell>
          <cell r="D1946" t="str">
            <v>Ornamentacion Y Jardineria - Suministro E Instalacion De Planta Liriope (Nombre Cientifico: Liriope Platyphylla), Incluye: Transporte Y Siembra.</v>
          </cell>
          <cell r="E1946" t="str">
            <v>UN</v>
          </cell>
          <cell r="F1946">
            <v>11300</v>
          </cell>
          <cell r="G1946">
            <v>42241</v>
          </cell>
        </row>
        <row r="1947">
          <cell r="C1947">
            <v>3500</v>
          </cell>
          <cell r="D1947" t="str">
            <v>Ornamentacion Y Jardineria - Suministro E Instalacion De Planta Pasto Mondo (Nombre Cientifico: Tradescantia Pallida), Incluye: Transporte Y Siembra.</v>
          </cell>
          <cell r="E1947" t="str">
            <v>UN</v>
          </cell>
          <cell r="F1947">
            <v>3000</v>
          </cell>
          <cell r="G1947">
            <v>41590</v>
          </cell>
        </row>
        <row r="1948">
          <cell r="C1948">
            <v>3501</v>
          </cell>
          <cell r="D1948" t="str">
            <v>Ornamentacion Y Jardineria - Suministro E Instalacion De Planta Hiedra (Nombre Cientifico: Hedera Helix), Incluye: Transporte Y Siembra.</v>
          </cell>
          <cell r="E1948" t="str">
            <v>UN</v>
          </cell>
          <cell r="F1948">
            <v>3000</v>
          </cell>
          <cell r="G1948">
            <v>42242</v>
          </cell>
        </row>
        <row r="1949">
          <cell r="C1949">
            <v>3502</v>
          </cell>
          <cell r="D1949" t="str">
            <v>Ornamentacion Y Jardineria - Suministro E Instalacion De Planta Curazao (Nombre Cientifico: Bougainvilea Glabra), Incluye: Transporte Y Siembra.</v>
          </cell>
          <cell r="E1949" t="str">
            <v>UN</v>
          </cell>
          <cell r="F1949">
            <v>12000</v>
          </cell>
          <cell r="G1949">
            <v>42242</v>
          </cell>
        </row>
        <row r="1950">
          <cell r="C1950">
            <v>3505</v>
          </cell>
          <cell r="D1950" t="str">
            <v>Control Red White D=3/4" O Similar.</v>
          </cell>
          <cell r="E1950" t="str">
            <v>UN</v>
          </cell>
          <cell r="F1950">
            <v>50483.17</v>
          </cell>
          <cell r="G1950">
            <v>42534</v>
          </cell>
        </row>
        <row r="1951">
          <cell r="C1951">
            <v>3508</v>
          </cell>
          <cell r="D1951" t="str">
            <v>Control Red White D=1" O Similar.</v>
          </cell>
          <cell r="E1951" t="str">
            <v>UN</v>
          </cell>
          <cell r="F1951">
            <v>72186.460000000006</v>
          </cell>
          <cell r="G1951">
            <v>41936</v>
          </cell>
        </row>
        <row r="1952">
          <cell r="C1952">
            <v>3512</v>
          </cell>
          <cell r="D1952" t="str">
            <v>Control Red White D= 1 1/2" O Similar.</v>
          </cell>
          <cell r="E1952" t="str">
            <v>UN</v>
          </cell>
          <cell r="F1952">
            <v>137564.95000000001</v>
          </cell>
          <cell r="G1952">
            <v>41927</v>
          </cell>
        </row>
        <row r="1953">
          <cell r="C1953">
            <v>3514</v>
          </cell>
          <cell r="D1953" t="str">
            <v>Colector Enterrado Tubo De Concreto, Clase 2, De 355 Mm De Diámetro, Incluye Lecho De Arena Nivelado Y Compactado, Relleno, Accesorios, Piezas Especiales, Junta De Goma Y Lubricantes.</v>
          </cell>
          <cell r="E1953" t="str">
            <v>ML</v>
          </cell>
          <cell r="F1953">
            <v>162389.1</v>
          </cell>
          <cell r="G1953">
            <v>42067</v>
          </cell>
        </row>
        <row r="1954">
          <cell r="C1954">
            <v>3517</v>
          </cell>
          <cell r="D1954" t="str">
            <v>Cheque Red White D=2" O Similar.</v>
          </cell>
          <cell r="E1954" t="str">
            <v>UN</v>
          </cell>
          <cell r="F1954">
            <v>203335.66</v>
          </cell>
          <cell r="G1954">
            <v>41570</v>
          </cell>
        </row>
        <row r="1955">
          <cell r="C1955">
            <v>3518</v>
          </cell>
          <cell r="D1955" t="str">
            <v>Colector Enterrado Tubo De Concreto, Clase 2, De 406 Mm De Diámetro, Incluye Lecho De Arena Nivelado Y Compactado, Relleno, Accesorios, Piezas Especiales, Junta De Goma Y Lubricantes.</v>
          </cell>
          <cell r="E1955" t="str">
            <v>ML</v>
          </cell>
          <cell r="F1955">
            <v>206106.3</v>
          </cell>
          <cell r="G1955">
            <v>42067</v>
          </cell>
        </row>
        <row r="1956">
          <cell r="C1956">
            <v>3521</v>
          </cell>
          <cell r="D1956" t="str">
            <v>Colector Enterrado Tubo De Concreto, Clase 2, De 457 Mm De Diámetro, Incluye Lecho De Arena Nivelado Y Compactado, Relleno, Accesorios, Piezas Especiales, Junta De Goma Y Lubricantes.</v>
          </cell>
          <cell r="E1956" t="str">
            <v>ML</v>
          </cell>
          <cell r="F1956">
            <v>279160.7</v>
          </cell>
          <cell r="G1956">
            <v>42067</v>
          </cell>
        </row>
        <row r="1957">
          <cell r="C1957">
            <v>3522</v>
          </cell>
          <cell r="D1957" t="str">
            <v>Llave Manguera D=1/2" Tipo Pesado.</v>
          </cell>
          <cell r="E1957" t="str">
            <v>UN</v>
          </cell>
          <cell r="F1957">
            <v>28766.98</v>
          </cell>
          <cell r="G1957">
            <v>41570</v>
          </cell>
        </row>
        <row r="1958">
          <cell r="C1958">
            <v>3523</v>
          </cell>
          <cell r="D1958" t="str">
            <v>Colector Enterrado Tubo De Concreto Reforzado, Clase 3, De  685 Mm De Diámetro, Incluye Lecho De Arena Nivelado Y Compactado, Relleno, Accesorios, Piezas Especiales, Junta De Goma Y Lubricantes</v>
          </cell>
          <cell r="E1958" t="str">
            <v>ML</v>
          </cell>
          <cell r="F1958">
            <v>537532.07999999996</v>
          </cell>
          <cell r="G1958">
            <v>42067</v>
          </cell>
        </row>
        <row r="1959">
          <cell r="C1959">
            <v>3524</v>
          </cell>
          <cell r="D1959" t="str">
            <v>Colector Enterrado Tubo De Concreto Reforzado, Clase 3, De 900 Mm De Diámetro, Incluye Lecho De Arena Nivelado Y Compactado, Relleno, Accesorios, Piezas Especiales, Junta De Goma Y Lubricantes.</v>
          </cell>
          <cell r="E1959" t="str">
            <v>ML</v>
          </cell>
          <cell r="F1959">
            <v>785054.84</v>
          </cell>
          <cell r="G1959">
            <v>42067</v>
          </cell>
        </row>
        <row r="1960">
          <cell r="C1960">
            <v>3525</v>
          </cell>
          <cell r="D1960" t="str">
            <v>Colector Enterrado Tubo De Concreto Reforzado, Clase 3, De 1200 Mm De Diámetro, Incluye Lecho De Arena Nivelado Y Compactado, Relleno, Accesorios, Piezas Especiales, Junta De Goma Y Lubricantes.</v>
          </cell>
          <cell r="E1960" t="str">
            <v>ML</v>
          </cell>
          <cell r="F1960">
            <v>1184752.8899999999</v>
          </cell>
          <cell r="G1960">
            <v>42067</v>
          </cell>
        </row>
        <row r="1961">
          <cell r="C1961">
            <v>3528</v>
          </cell>
          <cell r="D1961" t="str">
            <v>Lavado Inferior De La Losa De Cubierta Con Agua A Presión.</v>
          </cell>
          <cell r="E1961" t="str">
            <v>M2</v>
          </cell>
          <cell r="F1961">
            <v>16833.46</v>
          </cell>
          <cell r="G1961">
            <v>41570</v>
          </cell>
        </row>
        <row r="1962">
          <cell r="C1962">
            <v>3537</v>
          </cell>
          <cell r="D1962" t="str">
            <v>Aplicación De Sikatop-122 Sobre Losa. E=5Mm. En Obras De Rehabilitación.</v>
          </cell>
          <cell r="E1962" t="str">
            <v>M2</v>
          </cell>
          <cell r="F1962">
            <v>147047.32</v>
          </cell>
          <cell r="G1962">
            <v>41570</v>
          </cell>
        </row>
        <row r="1963">
          <cell r="C1963">
            <v>3538</v>
          </cell>
          <cell r="D1963" t="str">
            <v>Pozo Registro De 1.20 Metros De Diámetro Interior, Altura Útil Interior &lt;= 1.00 Metro, (Sin Base), De Elementos Prefabricados De Concreto Con Cierre De Tapa Circular Con Bloqueo Y Marco De Fundición Carga De Rotura 400 Kn</v>
          </cell>
          <cell r="E1963" t="str">
            <v>UN</v>
          </cell>
          <cell r="F1963">
            <v>1366692.26</v>
          </cell>
          <cell r="G1963">
            <v>41799</v>
          </cell>
        </row>
        <row r="1964">
          <cell r="C1964">
            <v>3539</v>
          </cell>
          <cell r="D1964" t="str">
            <v>Pozo De Inspeccion De Diámetro De Cilindro De 1.20 Metros, 1 Metro&lt;H&lt;= 1.45 Metros, De Elementos Prefabricados De Concreto Con Cierre De Tapa Circular Con Bloqueo Y Marco De Fundición</v>
          </cell>
          <cell r="E1964" t="str">
            <v>UN</v>
          </cell>
          <cell r="F1964">
            <v>1659012.26</v>
          </cell>
          <cell r="G1964">
            <v>42699</v>
          </cell>
        </row>
        <row r="1965">
          <cell r="C1965">
            <v>3540</v>
          </cell>
          <cell r="D1965" t="str">
            <v>Pozo Registro De 1.20 Metros De Diámetro Interior, Altura Útil Interior = 2.00 Metro, (Sin Base), De Elementos Prefabricados De Concreto Con Cierre De Tapa Circular Con Bloqueo Y Marco De Fundición Carga De Rotura 400 Kn</v>
          </cell>
          <cell r="E1965" t="str">
            <v>UN</v>
          </cell>
          <cell r="F1965">
            <v>1936154.61</v>
          </cell>
          <cell r="G1965">
            <v>41799</v>
          </cell>
        </row>
        <row r="1966">
          <cell r="C1966">
            <v>3541</v>
          </cell>
          <cell r="D1966" t="str">
            <v>Pozo Registro De 1.20 Metros De Diámetro Interior, Altura Útil Interior = 2.50 Metro, (Sin Base), De Elementos Prefabricados De Concreto Con Cierre De Tapa Circular Con Bloqueo Y Marco De Fundición Carga De Rotura 400 Kn</v>
          </cell>
          <cell r="E1966" t="str">
            <v>UN</v>
          </cell>
          <cell r="F1966">
            <v>2228474.61</v>
          </cell>
          <cell r="G1966">
            <v>41563</v>
          </cell>
        </row>
        <row r="1967">
          <cell r="C1967">
            <v>3542</v>
          </cell>
          <cell r="D1967" t="str">
            <v>Pozo De Inspeccion De Cilindro De 1.20 Metros, 1.80 Metros&lt;H&lt;= 3.00 Metros, De Elementos Prefabricados De Concreto Con Cierre De Tapa Circular Con Bloqueo Y Marco De Fundición</v>
          </cell>
          <cell r="E1967" t="str">
            <v>UN</v>
          </cell>
          <cell r="F1967">
            <v>2788754.61</v>
          </cell>
          <cell r="G1967">
            <v>42699</v>
          </cell>
        </row>
        <row r="1968">
          <cell r="C1968">
            <v>3543</v>
          </cell>
          <cell r="D1968" t="str">
            <v>Pozo Registro De 1.20 Metros De Diámetro Interior, Altura Útil Interior = 3.50 Metro, (Sin Base), De Elementos Prefabricados De Concreto Con Cierre De Tapa Circular Con Bloqueo Y Marco De Fundición Carga De Rotura 400 Kn</v>
          </cell>
          <cell r="E1968" t="str">
            <v>UN</v>
          </cell>
          <cell r="F1968">
            <v>3349034.61</v>
          </cell>
          <cell r="G1968">
            <v>41799</v>
          </cell>
        </row>
        <row r="1969">
          <cell r="C1969">
            <v>3548</v>
          </cell>
          <cell r="D1969" t="str">
            <v>Inyección De Grietas En Obras De Rehabilitación.</v>
          </cell>
          <cell r="E1969" t="str">
            <v>KG</v>
          </cell>
          <cell r="F1969">
            <v>329453.94</v>
          </cell>
          <cell r="G1969">
            <v>41570</v>
          </cell>
        </row>
        <row r="1970">
          <cell r="C1970">
            <v>3549</v>
          </cell>
          <cell r="D1970" t="str">
            <v>Demolición De Losa Existente En Obras De Rehabilitación.</v>
          </cell>
          <cell r="E1970" t="str">
            <v>M2</v>
          </cell>
          <cell r="F1970">
            <v>226465.37</v>
          </cell>
          <cell r="G1970">
            <v>41570</v>
          </cell>
        </row>
        <row r="1971">
          <cell r="C1971">
            <v>3550</v>
          </cell>
          <cell r="D1971" t="str">
            <v>Demolición De Nudos Para Unión De Columnas En Obras De Rehabilitación.</v>
          </cell>
          <cell r="E1971" t="str">
            <v>M3</v>
          </cell>
          <cell r="F1971">
            <v>631237.42000000004</v>
          </cell>
          <cell r="G1971">
            <v>41936</v>
          </cell>
        </row>
        <row r="1972">
          <cell r="C1972">
            <v>3551</v>
          </cell>
          <cell r="D1972" t="str">
            <v>Concreto De 4000 Psi Para Columna En Obra De Rehabilitaciónestructural, Con Aplicación De Epóxico Sikadur 32, Sikafiber Ad, Sika Fluid, Sika Set Nc, Formaletería Paraaseguramiento Y Apuntalamiento En La Zona.</v>
          </cell>
          <cell r="E1972" t="str">
            <v>M3</v>
          </cell>
          <cell r="F1972">
            <v>1063170.58</v>
          </cell>
          <cell r="G1972">
            <v>41570</v>
          </cell>
        </row>
        <row r="1973">
          <cell r="C1973">
            <v>3552</v>
          </cell>
          <cell r="D1973" t="str">
            <v>Concreto Para Losa Maciza E=0.10M F'C=4000 Psi.</v>
          </cell>
          <cell r="E1973" t="str">
            <v>M2</v>
          </cell>
          <cell r="F1973">
            <v>186573.57</v>
          </cell>
          <cell r="G1973">
            <v>41570</v>
          </cell>
        </row>
        <row r="1974">
          <cell r="C1974">
            <v>3556</v>
          </cell>
          <cell r="D1974" t="str">
            <v>Suministro E Instalación De Cinta De Carbono Sikawrap 600C Para Vigas En Obras De Rehabilitación.</v>
          </cell>
          <cell r="E1974" t="str">
            <v>M2</v>
          </cell>
          <cell r="F1974">
            <v>538755.54</v>
          </cell>
          <cell r="G1974">
            <v>41570</v>
          </cell>
        </row>
        <row r="1975">
          <cell r="C1975">
            <v>3557</v>
          </cell>
          <cell r="D1975" t="str">
            <v>Punto De Aguas Lluvias D=6" Pvc Sanitario.</v>
          </cell>
          <cell r="E1975" t="str">
            <v>UN</v>
          </cell>
          <cell r="F1975">
            <v>77122.59</v>
          </cell>
          <cell r="G1975">
            <v>42534</v>
          </cell>
        </row>
        <row r="1976">
          <cell r="C1976">
            <v>3562</v>
          </cell>
          <cell r="D1976" t="str">
            <v>Suministro E Instalación De Válvula De Control Red White D=2" O Similar.</v>
          </cell>
          <cell r="E1976" t="str">
            <v>UN</v>
          </cell>
          <cell r="F1976">
            <v>181739.12</v>
          </cell>
          <cell r="G1976">
            <v>42572</v>
          </cell>
        </row>
        <row r="1977">
          <cell r="C1977">
            <v>3565</v>
          </cell>
          <cell r="D1977" t="str">
            <v>Suministro E Instalación De Válvula Mariposa D=2 1/2".</v>
          </cell>
          <cell r="E1977" t="str">
            <v>UN</v>
          </cell>
          <cell r="F1977">
            <v>326448.36</v>
          </cell>
          <cell r="G1977">
            <v>41737</v>
          </cell>
        </row>
        <row r="1978">
          <cell r="C1978">
            <v>3568</v>
          </cell>
          <cell r="D1978" t="str">
            <v>Suministro E Instalación De Tubería De Agua Potable Pvc D= 2 1/2".</v>
          </cell>
          <cell r="E1978" t="str">
            <v>ML</v>
          </cell>
          <cell r="F1978">
            <v>52307.519999999997</v>
          </cell>
          <cell r="G1978">
            <v>42572</v>
          </cell>
        </row>
        <row r="1979">
          <cell r="C1979">
            <v>3571</v>
          </cell>
          <cell r="D1979" t="str">
            <v>Suministro E Instalación De Boya Mecánica D= 1".</v>
          </cell>
          <cell r="E1979" t="str">
            <v>UN</v>
          </cell>
          <cell r="F1979">
            <v>202416.36</v>
          </cell>
          <cell r="G1979">
            <v>41936</v>
          </cell>
        </row>
        <row r="1980">
          <cell r="C1980">
            <v>3574</v>
          </cell>
          <cell r="D1980" t="str">
            <v>Suministro E Instalación De Punto De Aguas Lluvias D=4" Pvc.</v>
          </cell>
          <cell r="E1980" t="str">
            <v>UN</v>
          </cell>
          <cell r="F1980">
            <v>53836.45</v>
          </cell>
          <cell r="G1980">
            <v>42578</v>
          </cell>
        </row>
        <row r="1981">
          <cell r="C1981">
            <v>3576</v>
          </cell>
          <cell r="D1981" t="str">
            <v>Suministro E Instalación De Puntos De Aguas Lluvias D=3" Pvc.</v>
          </cell>
          <cell r="E1981" t="str">
            <v>UN</v>
          </cell>
          <cell r="F1981">
            <v>40773.4</v>
          </cell>
          <cell r="G1981">
            <v>41737</v>
          </cell>
        </row>
        <row r="1982">
          <cell r="C1982">
            <v>3579</v>
          </cell>
          <cell r="D1982" t="str">
            <v>Suministro E Instalación De Rejilla Cúpula En Aluminio De 6"X4".</v>
          </cell>
          <cell r="E1982" t="str">
            <v>UN</v>
          </cell>
          <cell r="F1982">
            <v>35362.36</v>
          </cell>
          <cell r="G1982">
            <v>41936</v>
          </cell>
        </row>
        <row r="1983">
          <cell r="C1983">
            <v>3580</v>
          </cell>
          <cell r="D1983" t="str">
            <v>Suministro E Instalación De Rejilla Cúpula En Aluminio De 5"X3".</v>
          </cell>
          <cell r="E1983" t="str">
            <v>UN</v>
          </cell>
          <cell r="F1983">
            <v>34365.82</v>
          </cell>
          <cell r="G1983">
            <v>41936</v>
          </cell>
        </row>
        <row r="1984">
          <cell r="C1984">
            <v>3581</v>
          </cell>
          <cell r="D1984" t="str">
            <v>Suministro E Instalación De Control Cierre Rápido D=1/2" Italy O Similar.</v>
          </cell>
          <cell r="E1984" t="str">
            <v>UN</v>
          </cell>
          <cell r="F1984">
            <v>29027.83</v>
          </cell>
          <cell r="G1984">
            <v>42416</v>
          </cell>
        </row>
        <row r="1985">
          <cell r="C1985">
            <v>3585</v>
          </cell>
          <cell r="D1985" t="str">
            <v>Pasamuros Tanque Subterráneo D=3".</v>
          </cell>
          <cell r="E1985" t="str">
            <v>UN</v>
          </cell>
          <cell r="F1985">
            <v>197211.07</v>
          </cell>
          <cell r="G1985">
            <v>41570</v>
          </cell>
        </row>
        <row r="1986">
          <cell r="C1986">
            <v>3586</v>
          </cell>
          <cell r="D1986" t="str">
            <v>Suministro E Instalación De Caja De Válvulas De 1 X 1 X 0.60 M. Incluye Tapa.</v>
          </cell>
          <cell r="E1986" t="str">
            <v>UN</v>
          </cell>
          <cell r="F1986">
            <v>1747371.53</v>
          </cell>
          <cell r="G1986">
            <v>41570</v>
          </cell>
        </row>
        <row r="1987">
          <cell r="C1987">
            <v>3592</v>
          </cell>
          <cell r="D1987" t="str">
            <v>Cableado De Acometida Motor-Tablero. Ver Diseño.</v>
          </cell>
          <cell r="E1987" t="str">
            <v>GL</v>
          </cell>
          <cell r="F1987">
            <v>320000</v>
          </cell>
          <cell r="G1987">
            <v>41564</v>
          </cell>
        </row>
        <row r="1988">
          <cell r="C1988">
            <v>3593</v>
          </cell>
          <cell r="D1988" t="str">
            <v>Conexión Mecánica Para Succión E Impulsión. Ver Diseño.</v>
          </cell>
          <cell r="E1988" t="str">
            <v>GL</v>
          </cell>
          <cell r="F1988">
            <v>350000</v>
          </cell>
          <cell r="G1988">
            <v>41564</v>
          </cell>
        </row>
        <row r="1989">
          <cell r="C1989">
            <v>3594</v>
          </cell>
          <cell r="D1989" t="str">
            <v>Suministro E Instalación De Equipo De Bombeo Hidrofló 5 H.P./Tk. Ver Diseño.</v>
          </cell>
          <cell r="E1989" t="str">
            <v>UN</v>
          </cell>
          <cell r="F1989">
            <v>6990093.3600000003</v>
          </cell>
          <cell r="G1989">
            <v>42538</v>
          </cell>
        </row>
        <row r="1990">
          <cell r="C1990">
            <v>3598</v>
          </cell>
          <cell r="D1990" t="str">
            <v>Suministro E Instalación De Llave Para Lavadero De 1/2". Incluye Extensión.</v>
          </cell>
          <cell r="E1990" t="str">
            <v>UN</v>
          </cell>
          <cell r="F1990">
            <v>33566.980000000003</v>
          </cell>
          <cell r="G1990">
            <v>41936</v>
          </cell>
        </row>
        <row r="1991">
          <cell r="C1991">
            <v>3601</v>
          </cell>
          <cell r="D1991" t="str">
            <v>Instalación De Conexión Cond 2/4Cu-4Cu.</v>
          </cell>
          <cell r="E1991" t="str">
            <v>UN</v>
          </cell>
          <cell r="F1991">
            <v>77955.41</v>
          </cell>
          <cell r="G1991">
            <v>41569</v>
          </cell>
        </row>
        <row r="1992">
          <cell r="C1992">
            <v>3603</v>
          </cell>
          <cell r="D1992" t="str">
            <v>Suministro E Instalación De Conexión Cond Acsr 1/0 A Estribo M.T.</v>
          </cell>
          <cell r="E1992" t="str">
            <v>UN</v>
          </cell>
          <cell r="F1992">
            <v>156938.95000000001</v>
          </cell>
          <cell r="G1992">
            <v>41569</v>
          </cell>
        </row>
        <row r="1993">
          <cell r="C1993">
            <v>3604</v>
          </cell>
          <cell r="D1993" t="str">
            <v>Suministro E Instalación De Paso Aéreo Subterráneo Bt En Poste De Tubería De 3".</v>
          </cell>
          <cell r="E1993" t="str">
            <v>ML</v>
          </cell>
          <cell r="F1993">
            <v>57696.95</v>
          </cell>
          <cell r="G1993">
            <v>42524</v>
          </cell>
        </row>
        <row r="1994">
          <cell r="C1994">
            <v>3605</v>
          </cell>
          <cell r="D1994" t="str">
            <v>Suministro E Instalación De Aislador Tipo Poste 13,2 Kv Contaminación Alta.</v>
          </cell>
          <cell r="E1994" t="str">
            <v>UN</v>
          </cell>
          <cell r="F1994">
            <v>268832.99</v>
          </cell>
          <cell r="G1994">
            <v>41569</v>
          </cell>
        </row>
        <row r="1995">
          <cell r="C1995">
            <v>3606</v>
          </cell>
          <cell r="D1995" t="str">
            <v>Suministro E Instalación De Transformador Trif En Poste Nn 13,2 Kv/208-120V-112.5Kva Con Protección.</v>
          </cell>
          <cell r="E1995" t="str">
            <v>UN</v>
          </cell>
          <cell r="F1995">
            <v>16831468.949999999</v>
          </cell>
          <cell r="G1995">
            <v>42524</v>
          </cell>
        </row>
        <row r="1996">
          <cell r="C1996">
            <v>3607</v>
          </cell>
          <cell r="D1996" t="str">
            <v>Suministro E Instalación De Cruceta Metálica Auxiliar De Protecciones.</v>
          </cell>
          <cell r="E1996" t="str">
            <v>UN</v>
          </cell>
          <cell r="F1996">
            <v>222168.95999999999</v>
          </cell>
          <cell r="G1996">
            <v>41569</v>
          </cell>
        </row>
        <row r="1997">
          <cell r="C1997">
            <v>3608</v>
          </cell>
          <cell r="D1997" t="str">
            <v>Reubicación De Transformador Trifásico 13,2 Kv En Poste Nn.</v>
          </cell>
          <cell r="E1997" t="str">
            <v>UN</v>
          </cell>
          <cell r="F1997">
            <v>1249544.44</v>
          </cell>
          <cell r="G1997">
            <v>41569</v>
          </cell>
        </row>
        <row r="1998">
          <cell r="C1998">
            <v>3609</v>
          </cell>
          <cell r="D1998" t="str">
            <v>Reubicación De Luminaria Ap.</v>
          </cell>
          <cell r="E1998" t="str">
            <v>UN</v>
          </cell>
          <cell r="F1998">
            <v>131837.98000000001</v>
          </cell>
          <cell r="G1998">
            <v>42457</v>
          </cell>
        </row>
        <row r="1999">
          <cell r="C1999">
            <v>3611</v>
          </cell>
          <cell r="D1999" t="str">
            <v>Suministro E Instalación De Medidor 2F, 3H, 240V De 15 A 60 Amperios. Ver Diseño.</v>
          </cell>
          <cell r="E1999" t="str">
            <v>UN</v>
          </cell>
          <cell r="F1999">
            <v>243451.38</v>
          </cell>
          <cell r="G1999">
            <v>41569</v>
          </cell>
        </row>
        <row r="2000">
          <cell r="C2000">
            <v>3613</v>
          </cell>
          <cell r="D2000" t="str">
            <v>Construcción Canalización C/ Dos Tubos De 2" De Diámetro En Lecho De Arena.</v>
          </cell>
          <cell r="E2000" t="str">
            <v>ML</v>
          </cell>
          <cell r="F2000">
            <v>42343.67</v>
          </cell>
          <cell r="G2000">
            <v>42534</v>
          </cell>
        </row>
        <row r="2001">
          <cell r="C2001">
            <v>3618</v>
          </cell>
          <cell r="D2001" t="str">
            <v>Suministro E Instalación De Equipo De Medida Semidirecta Tipo Interior.</v>
          </cell>
          <cell r="E2001" t="str">
            <v>ML</v>
          </cell>
          <cell r="F2001">
            <v>4147671.15</v>
          </cell>
          <cell r="G2001">
            <v>42067</v>
          </cell>
        </row>
        <row r="2002">
          <cell r="C2002">
            <v>3626</v>
          </cell>
          <cell r="D2002" t="str">
            <v>Instalación De Salida Para Alumbrado. No Incluye Lámpara.</v>
          </cell>
          <cell r="E2002" t="str">
            <v>UN</v>
          </cell>
          <cell r="F2002">
            <v>114258.97</v>
          </cell>
          <cell r="G2002">
            <v>42524</v>
          </cell>
        </row>
        <row r="2003">
          <cell r="C2003">
            <v>3627</v>
          </cell>
          <cell r="D2003" t="str">
            <v>Instalación Salida Paratoma Común 120 V. Incluye Polo A Tierra.</v>
          </cell>
          <cell r="E2003" t="str">
            <v>UN</v>
          </cell>
          <cell r="F2003">
            <v>125804.05</v>
          </cell>
          <cell r="G2003">
            <v>42524</v>
          </cell>
        </row>
        <row r="2004">
          <cell r="C2004">
            <v>3631</v>
          </cell>
          <cell r="D2004" t="str">
            <v>Instalación De Salida Para Aire Acondicionado Bifásico.</v>
          </cell>
          <cell r="E2004" t="str">
            <v>UN</v>
          </cell>
          <cell r="F2004">
            <v>1509661.66</v>
          </cell>
          <cell r="G2004">
            <v>41569</v>
          </cell>
        </row>
        <row r="2005">
          <cell r="C2005">
            <v>3632</v>
          </cell>
          <cell r="D2005" t="str">
            <v>Suministro E Instalación De Interruptor Sencillo.</v>
          </cell>
          <cell r="E2005" t="str">
            <v>UN</v>
          </cell>
          <cell r="F2005">
            <v>108931.12</v>
          </cell>
          <cell r="G2005">
            <v>42578</v>
          </cell>
        </row>
        <row r="2006">
          <cell r="C2006">
            <v>3633</v>
          </cell>
          <cell r="D2006" t="str">
            <v>Suministro E Instalación De Acometida 3#4/0 + #4/0 + #2T Cu Thhw.</v>
          </cell>
          <cell r="E2006" t="str">
            <v>ML</v>
          </cell>
          <cell r="F2006">
            <v>170158.15</v>
          </cell>
          <cell r="G2006">
            <v>41569</v>
          </cell>
        </row>
        <row r="2007">
          <cell r="C2007">
            <v>3634</v>
          </cell>
          <cell r="D2007" t="str">
            <v>Suministro E Instalación De Acometida 3#1/0 + #1/0 + #2T Cu Thhw.</v>
          </cell>
          <cell r="E2007" t="str">
            <v>ML</v>
          </cell>
          <cell r="F2007">
            <v>98968.49</v>
          </cell>
          <cell r="G2007">
            <v>42524</v>
          </cell>
        </row>
        <row r="2008">
          <cell r="C2008">
            <v>3635</v>
          </cell>
          <cell r="D2008" t="str">
            <v>Suministro E Instalación De Acometida 3#2 + #4 + #10T Cu Thhw.</v>
          </cell>
          <cell r="E2008" t="str">
            <v>ML</v>
          </cell>
          <cell r="F2008">
            <v>61105.5</v>
          </cell>
          <cell r="G2008">
            <v>41569</v>
          </cell>
        </row>
        <row r="2009">
          <cell r="C2009">
            <v>3638</v>
          </cell>
          <cell r="D2009" t="str">
            <v>Suministro E Instalación De Breaker Industrial De 3 X 90 A.</v>
          </cell>
          <cell r="E2009" t="str">
            <v>UN</v>
          </cell>
          <cell r="F2009">
            <v>607148.63</v>
          </cell>
          <cell r="G2009">
            <v>41569</v>
          </cell>
        </row>
        <row r="2010">
          <cell r="C2010">
            <v>3639</v>
          </cell>
          <cell r="D2010" t="str">
            <v>Suministro E Instalación De Breaker Industrial De 3 X 350 A.</v>
          </cell>
          <cell r="E2010" t="str">
            <v>UN</v>
          </cell>
          <cell r="F2010">
            <v>1155304.42</v>
          </cell>
          <cell r="G2010">
            <v>41569</v>
          </cell>
        </row>
        <row r="2011">
          <cell r="C2011">
            <v>3640</v>
          </cell>
          <cell r="D2011" t="str">
            <v>Suministro E Instalación De Acometida Parcial 2#12 + 14T Cu Thhw.</v>
          </cell>
          <cell r="E2011" t="str">
            <v>ML</v>
          </cell>
          <cell r="F2011">
            <v>20324.96</v>
          </cell>
          <cell r="G2011">
            <v>41569</v>
          </cell>
        </row>
        <row r="2012">
          <cell r="C2012">
            <v>3641</v>
          </cell>
          <cell r="D2012" t="str">
            <v>Suministro E Instalación De Tubería Emt Conduit De 1".</v>
          </cell>
          <cell r="E2012" t="str">
            <v>ML</v>
          </cell>
          <cell r="F2012">
            <v>31774.69</v>
          </cell>
          <cell r="G2012">
            <v>42578</v>
          </cell>
        </row>
        <row r="2013">
          <cell r="C2013">
            <v>3646</v>
          </cell>
          <cell r="D2013" t="str">
            <v>Suministro E Instalación De Tubería Emt Conduit De 2".</v>
          </cell>
          <cell r="E2013" t="str">
            <v>ML</v>
          </cell>
          <cell r="F2013">
            <v>189831.23</v>
          </cell>
          <cell r="G2013">
            <v>41569</v>
          </cell>
        </row>
        <row r="2014">
          <cell r="C2014">
            <v>3648</v>
          </cell>
          <cell r="D2014" t="str">
            <v>Suministro E Instalación De Conector Bimetálico Tubular 3M De Ojo No. 8 Awg.</v>
          </cell>
          <cell r="E2014" t="str">
            <v>UN</v>
          </cell>
          <cell r="F2014">
            <v>9049.69</v>
          </cell>
          <cell r="G2014">
            <v>41569</v>
          </cell>
        </row>
        <row r="2015">
          <cell r="C2015">
            <v>3649</v>
          </cell>
          <cell r="D2015" t="str">
            <v>Suministro E Instalación De Conector Bimetálico Tubular 3M De Ojo No. 2 Awg.</v>
          </cell>
          <cell r="E2015" t="str">
            <v>UN</v>
          </cell>
          <cell r="F2015">
            <v>12531.56</v>
          </cell>
          <cell r="G2015">
            <v>42067</v>
          </cell>
        </row>
        <row r="2016">
          <cell r="C2016">
            <v>3651</v>
          </cell>
          <cell r="D2016" t="str">
            <v>Suministro E Instalación De Conector Bimetálico Tubular 3M De Ojo No. 1/0 Awg.</v>
          </cell>
          <cell r="E2016" t="str">
            <v>UN</v>
          </cell>
          <cell r="F2016">
            <v>24761.27</v>
          </cell>
          <cell r="G2016">
            <v>42067</v>
          </cell>
        </row>
        <row r="2017">
          <cell r="C2017">
            <v>3653</v>
          </cell>
          <cell r="D2017" t="str">
            <v>Suministro E Instalación De Conector Bimetálico Tubular 3M De Ojo No. 4/0 Awg.</v>
          </cell>
          <cell r="E2017" t="str">
            <v>UN</v>
          </cell>
          <cell r="F2017">
            <v>39963.26</v>
          </cell>
          <cell r="G2017">
            <v>42135</v>
          </cell>
        </row>
        <row r="2018">
          <cell r="C2018">
            <v>3654</v>
          </cell>
          <cell r="D2018" t="str">
            <v>Suministro E Instalación De Tablero Trifásico Con Puerta Y Espacio Para Totalizador 18 Circuitos Empotrar.</v>
          </cell>
          <cell r="E2018" t="str">
            <v>UN</v>
          </cell>
          <cell r="F2018">
            <v>603287.35</v>
          </cell>
          <cell r="G2018">
            <v>42534</v>
          </cell>
        </row>
        <row r="2019">
          <cell r="C2019">
            <v>3659</v>
          </cell>
          <cell r="D2019" t="str">
            <v>Instalación De Salida Para Toma Gfci 120 V. Incluye Polo A Tierra.</v>
          </cell>
          <cell r="E2019" t="str">
            <v>UN</v>
          </cell>
          <cell r="F2019">
            <v>152588.21</v>
          </cell>
          <cell r="G2019">
            <v>42578</v>
          </cell>
        </row>
        <row r="2020">
          <cell r="C2020">
            <v>3661</v>
          </cell>
          <cell r="D2020" t="str">
            <v>Suministro E Instalación De Puerta De Estera Metálica De 2M X 2M. Incluye Accesorios Para Instalación.</v>
          </cell>
          <cell r="E2020" t="str">
            <v>M2</v>
          </cell>
          <cell r="F2020">
            <v>677466.94</v>
          </cell>
          <cell r="G2020">
            <v>41570</v>
          </cell>
        </row>
        <row r="2021">
          <cell r="C2021">
            <v>3667</v>
          </cell>
          <cell r="D2021" t="str">
            <v>Suministro E Instalación De Puerta Tipo Reja. Estera Transparente. Ver Planos.</v>
          </cell>
          <cell r="E2021" t="str">
            <v>UN</v>
          </cell>
          <cell r="F2021">
            <v>1709123.43</v>
          </cell>
          <cell r="G2021">
            <v>41936</v>
          </cell>
        </row>
        <row r="2022">
          <cell r="C2022">
            <v>3668</v>
          </cell>
          <cell r="D2022" t="str">
            <v>Suministro E Instalación De Ventana Tipo Patrimonial. Ver Planos.</v>
          </cell>
          <cell r="E2022" t="str">
            <v>M2</v>
          </cell>
          <cell r="F2022">
            <v>1016534.45</v>
          </cell>
          <cell r="G2022">
            <v>41936</v>
          </cell>
        </row>
        <row r="2023">
          <cell r="C2023">
            <v>3671</v>
          </cell>
          <cell r="D2023" t="str">
            <v>Suministro, Instalacion Y Montaje De Estructura Metalica Para Pabellon En Cerchas Metalicas, Correas, Riostras, Tensores, Platinas De Anclaje, Pintura En Anticorrosivo Base Cromato De Zinc, Acabado En Esmalte, Incluye: Excavaciones, Rellenos, Estructura, Mamposteria Y Acabados - (Ver Diseño).</v>
          </cell>
          <cell r="E2023" t="str">
            <v>UN</v>
          </cell>
          <cell r="F2023">
            <v>104782741.56999999</v>
          </cell>
          <cell r="G2023">
            <v>41670</v>
          </cell>
        </row>
        <row r="2024">
          <cell r="C2024">
            <v>3672</v>
          </cell>
          <cell r="D2024" t="str">
            <v>Suministro E Instalacion De Cubierta En Pergola De Piezas De Madera Teca De 4.5 Centimetros X 12.00 Centimetros, Longitud 3.20 Metros, Ancladas Con Tornilleria Galvanizada, Soportados Sobre Perfiles Metalicos De 6.00 Metros X 3" X 6" Galvanizado, Incluye Tubo De Acero Inoxidable De 1" X 6.00 Metros De Longitud, El Cual Garantiza La Distancia Entre Listones (Ver Diseño).</v>
          </cell>
          <cell r="E2024" t="str">
            <v>UN</v>
          </cell>
          <cell r="F2024">
            <v>6529697.7800000003</v>
          </cell>
          <cell r="G2024">
            <v>41717</v>
          </cell>
        </row>
        <row r="2025">
          <cell r="C2025">
            <v>3673</v>
          </cell>
          <cell r="D2025" t="str">
            <v>Piso De Caucho Reciclado Y Tratado Para Proteccion En Zona De Juegos Infantiles (Ver Diseño).</v>
          </cell>
          <cell r="E2025" t="str">
            <v>M2</v>
          </cell>
          <cell r="F2025">
            <v>99470</v>
          </cell>
          <cell r="G2025">
            <v>42496</v>
          </cell>
        </row>
        <row r="2026">
          <cell r="C2026">
            <v>3676</v>
          </cell>
          <cell r="D2026" t="str">
            <v>Grama Sintetica Area Aferente A Juegos Infantiles (Ver Diseño).</v>
          </cell>
          <cell r="E2026" t="str">
            <v>M2</v>
          </cell>
          <cell r="F2026">
            <v>88493</v>
          </cell>
          <cell r="G2026">
            <v>42534</v>
          </cell>
        </row>
        <row r="2027">
          <cell r="C2027">
            <v>3678</v>
          </cell>
          <cell r="D2027" t="str">
            <v>Pintura De Esmalte Para Marcos Cancha De Futbol En Arena (Ver Diseño).</v>
          </cell>
          <cell r="E2027" t="str">
            <v>UN</v>
          </cell>
          <cell r="F2027">
            <v>322834.78999999998</v>
          </cell>
          <cell r="G2027">
            <v>42496</v>
          </cell>
        </row>
        <row r="2028">
          <cell r="C2028">
            <v>3679</v>
          </cell>
          <cell r="D2028" t="str">
            <v>Pintura En Esmalte Color Negro Para Losa (Ver Diseño).</v>
          </cell>
          <cell r="E2028" t="str">
            <v>M2</v>
          </cell>
          <cell r="F2028">
            <v>32164.46</v>
          </cell>
          <cell r="G2028">
            <v>41591</v>
          </cell>
        </row>
        <row r="2029">
          <cell r="C2029">
            <v>3681</v>
          </cell>
          <cell r="D2029" t="str">
            <v>Detalle Alegorico Al Carnaval En Piso Cumbiodromo (Ver Diseño).</v>
          </cell>
          <cell r="E2029" t="str">
            <v>UN</v>
          </cell>
          <cell r="F2029">
            <v>3081232</v>
          </cell>
          <cell r="G2029">
            <v>41670</v>
          </cell>
        </row>
        <row r="2030">
          <cell r="C2030">
            <v>3682</v>
          </cell>
          <cell r="D2030" t="str">
            <v>Limpieza Y Pulida De Busto (Ver Diseño).</v>
          </cell>
          <cell r="E2030" t="str">
            <v>UN</v>
          </cell>
          <cell r="F2030">
            <v>136448.07</v>
          </cell>
          <cell r="G2030">
            <v>42496</v>
          </cell>
        </row>
        <row r="2031">
          <cell r="C2031">
            <v>3684</v>
          </cell>
          <cell r="D2031" t="str">
            <v>Enchape En Ceramica Color Cafe Madera Brillante De 0.35 X 0.60 Metros (Ver Diseño).</v>
          </cell>
          <cell r="E2031" t="str">
            <v>M2</v>
          </cell>
          <cell r="F2031">
            <v>69959.199999999997</v>
          </cell>
          <cell r="G2031">
            <v>41591</v>
          </cell>
        </row>
        <row r="2032">
          <cell r="C2032">
            <v>3685</v>
          </cell>
          <cell r="D2032" t="str">
            <v>Mallas Para Marcos De 3.00 X 2.00 Metros En Cancha De Futbol (Ver Diseño).</v>
          </cell>
          <cell r="E2032" t="str">
            <v>UN</v>
          </cell>
          <cell r="F2032">
            <v>266950.73</v>
          </cell>
          <cell r="G2032">
            <v>42496</v>
          </cell>
        </row>
        <row r="2033">
          <cell r="C2033">
            <v>3687</v>
          </cell>
          <cell r="D2033" t="str">
            <v>Suministro E Instalacion De Banca En Concreto, Acabado En Granito De 2.40 X 0.44 Metros (Ver Diseño).</v>
          </cell>
          <cell r="E2033" t="str">
            <v>UN</v>
          </cell>
          <cell r="F2033">
            <v>2166211.27</v>
          </cell>
          <cell r="G2033">
            <v>42496</v>
          </cell>
        </row>
        <row r="2034">
          <cell r="C2034">
            <v>3690</v>
          </cell>
          <cell r="D2034" t="str">
            <v>Suministro E Instalacion De Juego De Mesa Con 6 Puestos, Antibandalicas De Concreto (Ver Diseño).</v>
          </cell>
          <cell r="E2034" t="str">
            <v>UN</v>
          </cell>
          <cell r="F2034">
            <v>3984010.23</v>
          </cell>
          <cell r="G2034">
            <v>41670</v>
          </cell>
        </row>
        <row r="2035">
          <cell r="C2035">
            <v>3692</v>
          </cell>
          <cell r="D2035" t="str">
            <v>Suministro E Instalacion De Juego De Mesa Con 4 Puestos, Antibandalicas De Concreto (Ver Diseño).</v>
          </cell>
          <cell r="E2035" t="str">
            <v>UN</v>
          </cell>
          <cell r="F2035">
            <v>2014010.23</v>
          </cell>
          <cell r="G2035">
            <v>42496</v>
          </cell>
        </row>
        <row r="2036">
          <cell r="C2036">
            <v>3693</v>
          </cell>
          <cell r="D2036" t="str">
            <v>Suministro E Instalacion De Cubos Con Perforaciones En Granito Pulido (Ver Diseño).</v>
          </cell>
          <cell r="E2036" t="str">
            <v>UN</v>
          </cell>
          <cell r="F2036">
            <v>488040.83</v>
          </cell>
          <cell r="G2036">
            <v>41670</v>
          </cell>
        </row>
        <row r="2037">
          <cell r="C2037">
            <v>3695</v>
          </cell>
          <cell r="D2037" t="str">
            <v>Suministro E Instalacion De Cubos Solidos En Granito Pulido (Ver Diseño).+</v>
          </cell>
          <cell r="E2037" t="str">
            <v>UN</v>
          </cell>
          <cell r="F2037">
            <v>542606.93999999994</v>
          </cell>
          <cell r="G2037">
            <v>42496</v>
          </cell>
        </row>
        <row r="2038">
          <cell r="C2038">
            <v>3698</v>
          </cell>
          <cell r="D2038" t="str">
            <v>Suministro De Caneca En Concreto (Ver Diseño).</v>
          </cell>
          <cell r="E2038" t="str">
            <v>UN</v>
          </cell>
          <cell r="F2038">
            <v>1861858.44</v>
          </cell>
          <cell r="G2038">
            <v>41968</v>
          </cell>
        </row>
        <row r="2039">
          <cell r="C2039">
            <v>3700</v>
          </cell>
          <cell r="D2039" t="str">
            <v>Suministro E Instalacion De Tubos Metalicos Galvanizados Para Diseño En Estructura Base De Pergolas (Ver Diseño).</v>
          </cell>
          <cell r="E2039" t="str">
            <v>UN</v>
          </cell>
          <cell r="F2039">
            <v>778060</v>
          </cell>
          <cell r="G2039">
            <v>41717</v>
          </cell>
        </row>
        <row r="2040">
          <cell r="C2040">
            <v>3703</v>
          </cell>
          <cell r="D2040" t="str">
            <v>Gym Biosaludable Eliptica Doble Estacion: Tuberia Principal De Alta Calidad De Tubos Con Costuras, Diametro De 114 Mm De Grosor, Revestimiento Por Pulverizacion (Ver Diseño).</v>
          </cell>
          <cell r="E2040" t="str">
            <v>UN</v>
          </cell>
          <cell r="F2040">
            <v>4507104</v>
          </cell>
          <cell r="G2040">
            <v>42496</v>
          </cell>
        </row>
        <row r="2041">
          <cell r="C2041">
            <v>3705</v>
          </cell>
          <cell r="D2041" t="str">
            <v>Gym Biosaludable Press De Pecho: Tuberia Principal De Alta Calidad De Tubos Con Costuras, Diametro De 114 Mm De Grosor, Revestimiento Por Pulverizacion Electrostatica (Ver Diseño).</v>
          </cell>
          <cell r="E2041" t="str">
            <v>UN</v>
          </cell>
          <cell r="F2041">
            <v>4810098.57</v>
          </cell>
          <cell r="G2041">
            <v>42496</v>
          </cell>
        </row>
        <row r="2042">
          <cell r="C2042">
            <v>3707</v>
          </cell>
          <cell r="D2042" t="str">
            <v>Gym Biosaludable Press De Pierna: Tuberia Principal De Alta Calidad De Tubos Con Costuras, Diametro De 14 Mm De Grosor, Revestimiento Por Pulverizacion Electrostatica (Ver Diseño).</v>
          </cell>
          <cell r="E2042" t="str">
            <v>UN</v>
          </cell>
          <cell r="F2042">
            <v>4789498.57</v>
          </cell>
          <cell r="G2042">
            <v>42496</v>
          </cell>
        </row>
        <row r="2043">
          <cell r="C2043">
            <v>3709</v>
          </cell>
          <cell r="D2043" t="str">
            <v>Gym Biosaludable Banco Abdominal: Tuberia Principal De Alta Calidad De Tubos Con Costuras, Diametro De 114 Mm De Grosor, Revestimiento Por Pulverizacion Electrostatica (Ver Diseño).</v>
          </cell>
          <cell r="E2043" t="str">
            <v>UN</v>
          </cell>
          <cell r="F2043">
            <v>3369728.25</v>
          </cell>
          <cell r="G2043">
            <v>42496</v>
          </cell>
        </row>
        <row r="2044">
          <cell r="C2044">
            <v>3711</v>
          </cell>
          <cell r="D2044" t="str">
            <v>Gym Biosaludable Barras Horizontales: Tuberia Principal De Alta Calidad De Tubos Con Costuras, Diametro De 114 Mm De Grosor, Revestimiento Por Pulverizacion Electrostatica (Ver Diseño).</v>
          </cell>
          <cell r="E2044" t="str">
            <v>UN</v>
          </cell>
          <cell r="F2044">
            <v>3106344.44</v>
          </cell>
          <cell r="G2044">
            <v>42496</v>
          </cell>
        </row>
        <row r="2045">
          <cell r="C2045">
            <v>3714</v>
          </cell>
          <cell r="D2045" t="str">
            <v>Gym Biosaludable Giro: Tuberia Principal De Alta Calidad De Tubos Con Costuras, Diametro De 114 Mm De Grosor, Revestimiento Por Pulverizacion Electrostatica (Ver Diseño).</v>
          </cell>
          <cell r="E2045" t="str">
            <v>UN</v>
          </cell>
          <cell r="F2045">
            <v>4511398.57</v>
          </cell>
          <cell r="G2045">
            <v>42496</v>
          </cell>
        </row>
        <row r="2046">
          <cell r="C2046">
            <v>3716</v>
          </cell>
          <cell r="D2046" t="str">
            <v>Gym Biosaludable Remo: Tuberia Principal De Alta Calidad De Tubos Con Costuras, Diametro De 114 Mm De Grosor, Revestimiento Por Pulverizacion Electrostatica (Ver Diseño).</v>
          </cell>
          <cell r="E2046" t="str">
            <v>UN</v>
          </cell>
          <cell r="F2046">
            <v>5128081.82</v>
          </cell>
          <cell r="G2046">
            <v>42496</v>
          </cell>
        </row>
        <row r="2047">
          <cell r="C2047">
            <v>3719</v>
          </cell>
          <cell r="D2047" t="str">
            <v>Gym Biosaludable Volantes: Tuberia Principal De Alta Calidad De Tubos Con Costuras, Diametro De 114 Mm De Grosor, Revestimiento Por Pulverizacion Electrostatica (Ver Diseño).</v>
          </cell>
          <cell r="E2047" t="str">
            <v>UN</v>
          </cell>
          <cell r="F2047">
            <v>5112872.41</v>
          </cell>
          <cell r="G2047">
            <v>42496</v>
          </cell>
        </row>
        <row r="2048">
          <cell r="C2048">
            <v>3722</v>
          </cell>
          <cell r="D2048" t="str">
            <v>Gym Biosaludable Caminador Aereo-Estacion Doble: Tuberia Principal De Alta Calidad De Tubos Con Costuras, Diametro De 114 Mm De Grosor, Revestimiento Por Pulverizacion Electrostatica (Ver Diseño).</v>
          </cell>
          <cell r="E2048" t="str">
            <v>UN</v>
          </cell>
          <cell r="F2048">
            <v>4546372.41</v>
          </cell>
          <cell r="G2048">
            <v>42496</v>
          </cell>
        </row>
        <row r="2049">
          <cell r="C2049">
            <v>3724</v>
          </cell>
          <cell r="D2049" t="str">
            <v>Gym Biosaludable Tabla: Tuberia Principal De Alta Calidad De Tubos Con Costuras, Diametro De 114 Mm De Grosor, Revestimiento Por Pulverizacion Electrostatica (Ver Diseño).</v>
          </cell>
          <cell r="E2049" t="str">
            <v>UN</v>
          </cell>
          <cell r="F2049">
            <v>3348906.25</v>
          </cell>
          <cell r="G2049">
            <v>42496</v>
          </cell>
        </row>
        <row r="2050">
          <cell r="C2050">
            <v>3727</v>
          </cell>
          <cell r="D2050" t="str">
            <v>Juego Infantil Para Niños Entre Eades De 5 A 12 Años, Compuesto De Planchas De Polietileno De 15.00 Mm, Alta Densidad Suelos Y Rampas En Contrachapado De Abedul Antideslizante, Toboganes De Polietileno Alta Densidad Obtenido Por Rotomoldeo, Herrajes De Nylon, Tornilleria Galvanizada En Caliente, Postes En Madera Tratados En Autoclave, Tuercas Y Tornillos Protegidos Con Tapones Protectores Y Accesorios Metalicos Con Cantos Redondeados, Ref. Ss-215, St-606, Fg-410 J, Fg-415 Mc, Fg-401Lm-Ver Diseño</v>
          </cell>
          <cell r="E2050" t="str">
            <v>UN</v>
          </cell>
          <cell r="F2050">
            <v>102625316.67</v>
          </cell>
          <cell r="G2050">
            <v>41670</v>
          </cell>
        </row>
        <row r="2051">
          <cell r="C2051">
            <v>3730</v>
          </cell>
          <cell r="D2051" t="str">
            <v>Juego Infantil La Torre Central, Es Una Estructura Con Forma Hexagonal, Debajo De La Misma Alberga Una Piramide De Polietileno Con Cuerdas Para Que El Niño Pueda Subir Por La Minipiramide, Que Sirve De Recodromo Y Escondite Para El Niño, Torre Con Una Altura De Caida Maxima De 1400 Mm, Dimensiones 10.00 X 10.00 Metros (Ver Diseño).</v>
          </cell>
          <cell r="E2051" t="str">
            <v>UN</v>
          </cell>
          <cell r="F2051">
            <v>72137105.409999996</v>
          </cell>
          <cell r="G2051">
            <v>41670</v>
          </cell>
        </row>
        <row r="2052">
          <cell r="C2052">
            <v>3733</v>
          </cell>
          <cell r="D2052" t="str">
            <v>Juego Infantil Tipo Blazer, Compuesto Por Diferentes Elementos Didacticos Y Pedagogicos, Componente Principal En Polietileno De Alto Impacto, Libre De Mantenimiento, Fabricado En Acero Galvanizado En Caliente Durante El Laminado, Juego Infantil Certificado Conforme A La Normativa De Ref. Une-En1176 De Seguridad En Parques Infantiles (Ver Diseño).</v>
          </cell>
          <cell r="E2052" t="str">
            <v>UN</v>
          </cell>
          <cell r="F2052">
            <v>19905937.690000001</v>
          </cell>
          <cell r="G2052">
            <v>41670</v>
          </cell>
        </row>
        <row r="2053">
          <cell r="C2053">
            <v>3736</v>
          </cell>
          <cell r="D2053" t="str">
            <v>Cerramiento En Polietileno Para Juegos Infantiles (Ver Diseño)</v>
          </cell>
          <cell r="E2053" t="str">
            <v>ML</v>
          </cell>
          <cell r="F2053">
            <v>129879.87</v>
          </cell>
          <cell r="G2053">
            <v>41670</v>
          </cell>
        </row>
        <row r="2054">
          <cell r="C2054">
            <v>3740</v>
          </cell>
          <cell r="D2054" t="str">
            <v>Juego Infantil Columpio De Sol &amp; Luna, Columpio De Dos Plazas Dirigido A Niños Con Edades Entre 5 Y 12 Años, Formado Por Cuatro Postes Colocados Dos A Dos En Forma De "V" Invertida, Dimensiones 1.53 X 3.49 Metros, Altura Libre De Caida 0.90 Metros (Ver Diseño).</v>
          </cell>
          <cell r="E2054" t="str">
            <v>UN</v>
          </cell>
          <cell r="F2054">
            <v>1785724.69</v>
          </cell>
          <cell r="G2054">
            <v>41670</v>
          </cell>
        </row>
        <row r="2055">
          <cell r="C2055">
            <v>3742</v>
          </cell>
          <cell r="D2055" t="str">
            <v>Juego Infantil Muelle De Dos Plazas Con Asientos Y Figuras Decorativas En Polietileno De 15 Mm De Espesor, Estructura Principal Realizada En Madera Laminada Y Tratada En Autoclave Nivel Iv, Dimensiones: 0.50 X 3.00 Metros, Altura Libre De Caida: Menor De 60 Cms, Area De Seguridad: 3.44 X 6.86 Metros, Debe Cumplir La Normativa Une-En1176 De Seguridad De Parques Infantiles (Ver Diseño).</v>
          </cell>
          <cell r="E2055" t="str">
            <v>UN</v>
          </cell>
          <cell r="F2055">
            <v>1800394.87</v>
          </cell>
          <cell r="G2055">
            <v>41670</v>
          </cell>
        </row>
        <row r="2056">
          <cell r="C2056">
            <v>3745</v>
          </cell>
          <cell r="D2056" t="str">
            <v>Juego Infantil Gran Tobogan, Con Estructura Principal Realizada En Polietileno De Alta Densidad Y Rampa De Descenso En Acero Inoxidable, Dimensiones: 0.46 X 3.40 Metros, Altura Libre De Caida: 90 Cms, Area De Seguridad 3.44 X 6.86 Metros (Ver Diseño).</v>
          </cell>
          <cell r="E2056" t="str">
            <v>UN</v>
          </cell>
          <cell r="F2056">
            <v>3237672.41</v>
          </cell>
          <cell r="G2056">
            <v>41670</v>
          </cell>
        </row>
        <row r="2057">
          <cell r="C2057">
            <v>3747</v>
          </cell>
          <cell r="D2057" t="str">
            <v>Señalizacion Permanente Para Ubicacion Y Orientacion En Cada Uno De Los Parques (Ver Diseño).</v>
          </cell>
          <cell r="E2057" t="str">
            <v>GL</v>
          </cell>
          <cell r="F2057">
            <v>2914647.62</v>
          </cell>
          <cell r="G2057">
            <v>42496</v>
          </cell>
        </row>
        <row r="2058">
          <cell r="C2058">
            <v>3750</v>
          </cell>
          <cell r="D2058" t="str">
            <v>Sistema De Neubulizacion Para Plazoleta Cumbiodromo De 400 M2, Incluye: Bomba De Alta Presion 1000 Psi Con Un Caudal De 1.3 Gpm Y Otras Especificaciones (Ver Diseño).</v>
          </cell>
          <cell r="E2058" t="str">
            <v>UN</v>
          </cell>
          <cell r="F2058">
            <v>21125291.18</v>
          </cell>
          <cell r="G2058">
            <v>41670</v>
          </cell>
        </row>
        <row r="2059">
          <cell r="C2059">
            <v>3753</v>
          </cell>
          <cell r="D2059" t="str">
            <v>Sistema De Neubulizacion Para Area Gym Biosaludable, Juegos Infantiles Y Cafeteria 150 M2, Incluye: Bomba De Alta Presion 1000 Psi Con Un Caudal De 1.3 Gpm Y Otras Especificaciones (Ver Diseño).</v>
          </cell>
          <cell r="E2059" t="str">
            <v>UN</v>
          </cell>
          <cell r="F2059">
            <v>11835291.18</v>
          </cell>
          <cell r="G2059">
            <v>41670</v>
          </cell>
        </row>
        <row r="2060">
          <cell r="C2060">
            <v>3755</v>
          </cell>
          <cell r="D2060" t="str">
            <v>Paisajismo General Zona Verde: Incluye Siembra De Plantas Y Transporte De:1000 M2 Coccoloba Uvifera-Uva De Playa Densidad 5 X M2, Cocardus Erectus-Mangle Verde Densidad 4 X M2, Conocardus Erectus-Mangle Plateado-Densidad 4 X M2, Leucophylum Frytences-Frailejon Densidad 4 X M2, Bougainvillea Spectabilis-Trinitarias Surtidas Densidad 3 M2, Carissa Macrocarda-Monedita Densidad 8 X M2, Sheflera Arboricola-Sheflera Densidad 6 X M2, Suinglea Glutinosa-Suingla O Limoncillo Densidad 6 X M2 (Ver Diseño).</v>
          </cell>
          <cell r="E2060" t="str">
            <v>M2</v>
          </cell>
          <cell r="F2060">
            <v>84644.3</v>
          </cell>
          <cell r="G2060">
            <v>42496</v>
          </cell>
        </row>
        <row r="2061">
          <cell r="C2061">
            <v>3758</v>
          </cell>
          <cell r="D2061" t="str">
            <v>Suministro E Instalacion De Tubos Metalicos Galvanizados Para Diseño En Estructura De Partida (Ver Diseño).</v>
          </cell>
          <cell r="E2061" t="str">
            <v>GL</v>
          </cell>
          <cell r="F2061">
            <v>4335324.25</v>
          </cell>
          <cell r="G2061">
            <v>41591</v>
          </cell>
        </row>
        <row r="2062">
          <cell r="C2062">
            <v>3759</v>
          </cell>
          <cell r="D2062" t="str">
            <v>Rejilla Metalica Para Sumidero De Aguas Lluvias, De 2.00 X 0.35 Metros, En Platinas De  1" X 1" X 1/16" (Ver Diseño).</v>
          </cell>
          <cell r="E2062" t="str">
            <v>UN</v>
          </cell>
          <cell r="F2062">
            <v>585385.9</v>
          </cell>
          <cell r="G2062">
            <v>42578</v>
          </cell>
        </row>
        <row r="2063">
          <cell r="C2063">
            <v>3760</v>
          </cell>
          <cell r="D2063" t="str">
            <v>Relleno En Material De Subbase Granular Compactado Cbr &gt; = 10%</v>
          </cell>
          <cell r="E2063" t="str">
            <v>M3</v>
          </cell>
          <cell r="F2063">
            <v>89228.1</v>
          </cell>
          <cell r="G2063">
            <v>42552</v>
          </cell>
        </row>
        <row r="2064">
          <cell r="C2064">
            <v>3762</v>
          </cell>
          <cell r="D2064" t="str">
            <v>Base Suelo Cemento 1:20 Compactado</v>
          </cell>
          <cell r="E2064" t="str">
            <v>M3</v>
          </cell>
          <cell r="F2064">
            <v>187381.9</v>
          </cell>
          <cell r="G2064">
            <v>42552</v>
          </cell>
        </row>
        <row r="2065">
          <cell r="C2065">
            <v>3763</v>
          </cell>
          <cell r="D2065" t="str">
            <v>Suministro E Instalacion De Malla Geotextil Nt 1600 Para Filtro (Ver Diseño).</v>
          </cell>
          <cell r="E2065" t="str">
            <v>M2</v>
          </cell>
          <cell r="F2065">
            <v>7357.09</v>
          </cell>
          <cell r="G2065">
            <v>42496</v>
          </cell>
        </row>
        <row r="2066">
          <cell r="C2066">
            <v>3764</v>
          </cell>
          <cell r="D2066" t="str">
            <v>Suministro De Pozo, Incluye: Adecuacion Del Area, Perforacion Exploratoria, Registro Electrico, Ampliacion Y Lavado De Pozo, Sello Sanitario, Prueba De Bombeo Con Bomba Sumergible, Tuberia, Soldadura, Grava Y Gravilla, Equipo De Bombeo Monofasico, Transportes, Informe Final, Etc. (Ver Diseño).</v>
          </cell>
          <cell r="E2066" t="str">
            <v>UN</v>
          </cell>
          <cell r="F2066">
            <v>50079436</v>
          </cell>
          <cell r="G2066">
            <v>41968</v>
          </cell>
        </row>
        <row r="2067">
          <cell r="C2067">
            <v>3765</v>
          </cell>
          <cell r="D2067" t="str">
            <v>Instalacion Equipos De Medida</v>
          </cell>
          <cell r="E2067" t="str">
            <v>GL</v>
          </cell>
          <cell r="F2067">
            <v>1950000</v>
          </cell>
          <cell r="G2067">
            <v>42558</v>
          </cell>
        </row>
        <row r="2068">
          <cell r="C2068">
            <v>3766</v>
          </cell>
          <cell r="D2068" t="str">
            <v>Certificado Retilap</v>
          </cell>
          <cell r="E2068" t="str">
            <v>GL</v>
          </cell>
          <cell r="F2068">
            <v>4132500</v>
          </cell>
          <cell r="G2068">
            <v>42578</v>
          </cell>
        </row>
        <row r="2069">
          <cell r="C2069">
            <v>3768</v>
          </cell>
          <cell r="D2069" t="str">
            <v>Certificado Retie</v>
          </cell>
          <cell r="E2069" t="str">
            <v>GL</v>
          </cell>
          <cell r="F2069">
            <v>3625000</v>
          </cell>
          <cell r="G2069">
            <v>42578</v>
          </cell>
        </row>
        <row r="2070">
          <cell r="C2070">
            <v>3769</v>
          </cell>
          <cell r="D2070" t="str">
            <v>Provisiones De Publicidad, Vallas Y Socialización</v>
          </cell>
          <cell r="E2070" t="str">
            <v>GL</v>
          </cell>
          <cell r="F2070">
            <v>70684363.5</v>
          </cell>
          <cell r="G2070">
            <v>42578</v>
          </cell>
        </row>
        <row r="2071">
          <cell r="C2071">
            <v>3770</v>
          </cell>
          <cell r="D2071" t="str">
            <v>Retiro De Postes, Cables Y Luminarias Existentes</v>
          </cell>
          <cell r="E2071" t="str">
            <v>GL</v>
          </cell>
          <cell r="F2071">
            <v>3500000</v>
          </cell>
          <cell r="G2071">
            <v>42067</v>
          </cell>
        </row>
        <row r="2072">
          <cell r="C2072">
            <v>3771</v>
          </cell>
          <cell r="D2072" t="str">
            <v>Paisajismo General Zona Verde Autosostenible (Ver Diseño)</v>
          </cell>
          <cell r="E2072" t="str">
            <v>GL</v>
          </cell>
          <cell r="F2072">
            <v>139578149.16999999</v>
          </cell>
          <cell r="G2072">
            <v>41670</v>
          </cell>
        </row>
        <row r="2073">
          <cell r="C2073">
            <v>3773</v>
          </cell>
          <cell r="D2073" t="str">
            <v>Suministro De Sistema De Jardin Autoirrigado Tec-Garden, Incluye: Placas De Piso De Polipropileno De 0.50 M X 0.50 M Y 0.03 M De Espesor, Pedestales De Polipropileno Regulables En Altura Segun Diseño Y Tubos De Irrigacion De Pvc Envueltos En Geotextil.</v>
          </cell>
          <cell r="E2073" t="str">
            <v>M2</v>
          </cell>
          <cell r="F2073">
            <v>136000</v>
          </cell>
          <cell r="G2073">
            <v>41576</v>
          </cell>
        </row>
        <row r="2074">
          <cell r="C2074">
            <v>3779</v>
          </cell>
          <cell r="D2074" t="str">
            <v>Suministro E Instalacion De Motobomba (Ver Diseño).</v>
          </cell>
          <cell r="E2074" t="str">
            <v>GL</v>
          </cell>
          <cell r="F2074">
            <v>12138041.67</v>
          </cell>
          <cell r="G2074">
            <v>41670</v>
          </cell>
        </row>
        <row r="2075">
          <cell r="C2075">
            <v>3782</v>
          </cell>
          <cell r="D2075" t="str">
            <v>Relleno De Piedra Canto Rodado Para Filtro (Piedra China), Diametro= 2.5 Centimetros (Ver Diseño)</v>
          </cell>
          <cell r="E2075" t="str">
            <v>M3</v>
          </cell>
          <cell r="F2075">
            <v>101353.9</v>
          </cell>
          <cell r="G2075">
            <v>42496</v>
          </cell>
        </row>
        <row r="2076">
          <cell r="C2076">
            <v>3783</v>
          </cell>
          <cell r="D2076" t="str">
            <v>Suministro E Instalacion De Tuberia De Filtro De 4" (Ver Diseño)</v>
          </cell>
          <cell r="E2076" t="str">
            <v>ML</v>
          </cell>
          <cell r="F2076">
            <v>23345.040000000001</v>
          </cell>
          <cell r="G2076">
            <v>41670</v>
          </cell>
        </row>
        <row r="2077">
          <cell r="C2077">
            <v>3785</v>
          </cell>
          <cell r="D2077" t="str">
            <v>Arborizacion (Ver Diseño).</v>
          </cell>
          <cell r="E2077" t="str">
            <v>UN</v>
          </cell>
          <cell r="F2077">
            <v>2610830.08</v>
          </cell>
          <cell r="G2077">
            <v>41767</v>
          </cell>
        </row>
        <row r="2078">
          <cell r="C2078">
            <v>3791</v>
          </cell>
          <cell r="D2078" t="str">
            <v>Gastos Tramites Gases Del Caribe</v>
          </cell>
          <cell r="E2078" t="str">
            <v>GL</v>
          </cell>
          <cell r="F2078">
            <v>1234552</v>
          </cell>
          <cell r="G2078">
            <v>41579</v>
          </cell>
        </row>
        <row r="2079">
          <cell r="C2079">
            <v>3792</v>
          </cell>
          <cell r="D2079" t="str">
            <v>Punto De Gas (Ver Diseño)</v>
          </cell>
          <cell r="E2079" t="str">
            <v>UN</v>
          </cell>
          <cell r="F2079">
            <v>3542701.41</v>
          </cell>
          <cell r="G2079">
            <v>42314</v>
          </cell>
        </row>
        <row r="2080">
          <cell r="C2080">
            <v>3794</v>
          </cell>
          <cell r="D2080" t="str">
            <v>Estuco En Yeso Para Filetes Y Juntas</v>
          </cell>
          <cell r="E2080" t="str">
            <v>ML</v>
          </cell>
          <cell r="F2080">
            <v>3655.25</v>
          </cell>
          <cell r="G2080">
            <v>41583</v>
          </cell>
        </row>
        <row r="2081">
          <cell r="C2081">
            <v>3795</v>
          </cell>
          <cell r="D2081" t="str">
            <v>Suministro E Instalación De Placa Prefabricada En Concreto De 3000 Psi (Aspecto Abusardado) De 0.06 X 1.20 X 0.55 Metros, Anclado Al Muro Por Medio De Pernos Acerados</v>
          </cell>
          <cell r="E2081" t="str">
            <v>UN</v>
          </cell>
          <cell r="F2081">
            <v>92846.080000000002</v>
          </cell>
          <cell r="G2081">
            <v>41676</v>
          </cell>
        </row>
        <row r="2082">
          <cell r="C2082">
            <v>3797</v>
          </cell>
          <cell r="D2082" t="str">
            <v>Suministro E Instalacion De Cable De Cobre Forrado N° 8 Awg, Aislamiento Thw</v>
          </cell>
          <cell r="E2082" t="str">
            <v>ML</v>
          </cell>
          <cell r="F2082">
            <v>6208.07</v>
          </cell>
          <cell r="G2082">
            <v>41771</v>
          </cell>
        </row>
        <row r="2083">
          <cell r="C2083">
            <v>3799</v>
          </cell>
          <cell r="D2083" t="str">
            <v>Suministro E Instalacion De Cable De Cobre Forrado N° 12 Awg - Aislamiento Thw</v>
          </cell>
          <cell r="E2083" t="str">
            <v>ML</v>
          </cell>
          <cell r="F2083">
            <v>4710.92</v>
          </cell>
          <cell r="G2083">
            <v>42557</v>
          </cell>
        </row>
        <row r="2084">
          <cell r="C2084">
            <v>3801</v>
          </cell>
          <cell r="D2084" t="str">
            <v>Suministro E Instalacion De Luminaria Terra Tipo Led De 18 W</v>
          </cell>
          <cell r="E2084" t="str">
            <v>UN</v>
          </cell>
          <cell r="F2084">
            <v>372008.53</v>
          </cell>
          <cell r="G2084">
            <v>41677</v>
          </cell>
        </row>
        <row r="2085">
          <cell r="C2085">
            <v>3803</v>
          </cell>
          <cell r="D2085" t="str">
            <v>Suministro E Instalacion De Poste De Acero Galvanizado En Caliente De 4.00 Metros De Altura Libre, Tronco Conico Poligonal, En Lamina De Acero, Acabado Final En Pintura De Esmalte Para Exteriores (Ver Diseño)</v>
          </cell>
          <cell r="E2085" t="str">
            <v>UN</v>
          </cell>
          <cell r="F2085">
            <v>1864925.41</v>
          </cell>
          <cell r="G2085">
            <v>42557</v>
          </cell>
        </row>
        <row r="2086">
          <cell r="C2086">
            <v>3806</v>
          </cell>
          <cell r="D2086" t="str">
            <v>Suministro E Instalacion De Poste De Acero Galvanizado En Caliente De 11.00 Metros De Altura, Tronco Conico Poligonal, En Lamina De Acero Con Aditamiento Para La Instalacion De Reflector Tipo Led De 120 W, Acabado Final En Pintura De Esmalte Para Exteriores, Incluye Anclaje De Concreto Y Pedestal (Ver Diseño)</v>
          </cell>
          <cell r="E2086" t="str">
            <v>UN</v>
          </cell>
          <cell r="F2086">
            <v>2050225.41</v>
          </cell>
          <cell r="G2086">
            <v>42067</v>
          </cell>
        </row>
        <row r="2087">
          <cell r="C2087">
            <v>3807</v>
          </cell>
          <cell r="D2087" t="str">
            <v>Suministro E Instalación De Reflector De Mercurio Halógeno 400 W. Rcg ( Incluye Base Para Fc, Fotocelda, Banda Y Pernos</v>
          </cell>
          <cell r="E2087" t="str">
            <v>UN</v>
          </cell>
          <cell r="F2087">
            <v>727452</v>
          </cell>
          <cell r="G2087">
            <v>41703</v>
          </cell>
        </row>
        <row r="2088">
          <cell r="C2088">
            <v>3808</v>
          </cell>
          <cell r="D2088" t="str">
            <v>Suministro E Instalación De Percha Galvanizada  De Un Puesto  ( Incluye Aislador , Pasador, Banda Y Perno)</v>
          </cell>
          <cell r="E2088" t="str">
            <v>UN</v>
          </cell>
          <cell r="F2088">
            <v>51599</v>
          </cell>
          <cell r="G2088">
            <v>41703</v>
          </cell>
        </row>
        <row r="2089">
          <cell r="C2089">
            <v>3809</v>
          </cell>
          <cell r="D2089" t="str">
            <v>Suministro E Instalación De Tubería De Alcantarillado Novafort O Similar D = 24" - 600 Mm</v>
          </cell>
          <cell r="E2089" t="str">
            <v>ML</v>
          </cell>
          <cell r="F2089">
            <v>558270.64</v>
          </cell>
          <cell r="G2089">
            <v>42466</v>
          </cell>
        </row>
        <row r="2090">
          <cell r="C2090">
            <v>3813</v>
          </cell>
          <cell r="D2090" t="str">
            <v>Demolición De Muro Bajo. Incluye Retiro De Material.</v>
          </cell>
          <cell r="E2090" t="str">
            <v>ML</v>
          </cell>
          <cell r="F2090">
            <v>6051.5</v>
          </cell>
          <cell r="G2090">
            <v>42514</v>
          </cell>
        </row>
        <row r="2091">
          <cell r="C2091">
            <v>3814</v>
          </cell>
          <cell r="D2091" t="str">
            <v>Desmonte De Adoquin. Incluye Retiro De Material.</v>
          </cell>
          <cell r="E2091" t="str">
            <v>M2</v>
          </cell>
          <cell r="F2091">
            <v>4619</v>
          </cell>
          <cell r="G2091">
            <v>42514</v>
          </cell>
        </row>
        <row r="2092">
          <cell r="C2092">
            <v>3819</v>
          </cell>
          <cell r="D2092" t="str">
            <v>Suministro E Instalación De Valla Informativa Metálica De 4.00X2.50M.</v>
          </cell>
          <cell r="E2092" t="str">
            <v>UN</v>
          </cell>
          <cell r="F2092">
            <v>3138219</v>
          </cell>
          <cell r="G2092">
            <v>42514</v>
          </cell>
        </row>
        <row r="2093">
          <cell r="C2093">
            <v>3821</v>
          </cell>
          <cell r="D2093" t="str">
            <v>Reemplazo De Elementos Constructivos (Balaustradas).</v>
          </cell>
          <cell r="E2093" t="str">
            <v>UN</v>
          </cell>
          <cell r="F2093">
            <v>20276.5</v>
          </cell>
          <cell r="G2093">
            <v>41670</v>
          </cell>
        </row>
        <row r="2094">
          <cell r="C2094">
            <v>3822</v>
          </cell>
          <cell r="D2094" t="str">
            <v>Pintura Exterior En Vinilo Tipo Coraza A Dos Manos Para Muros, Gradas Y Bordillos.</v>
          </cell>
          <cell r="E2094" t="str">
            <v>ML</v>
          </cell>
          <cell r="F2094">
            <v>8050.55</v>
          </cell>
          <cell r="G2094">
            <v>42514</v>
          </cell>
        </row>
        <row r="2095">
          <cell r="C2095">
            <v>3823</v>
          </cell>
          <cell r="D2095" t="str">
            <v>Suministro E Instalación De Topes De Estacionamiento Para Parqueo.</v>
          </cell>
          <cell r="E2095" t="str">
            <v>UN</v>
          </cell>
          <cell r="F2095">
            <v>25222.52</v>
          </cell>
          <cell r="G2095">
            <v>42198</v>
          </cell>
        </row>
        <row r="2096">
          <cell r="C2096">
            <v>3828</v>
          </cell>
          <cell r="D2096" t="str">
            <v>Arreglo Juegos Infantiles Existentes (2 Muelles O Sube Y Baja De 2 Plazas Con Asientos; 3 Columpios De 2 Plazas; 2 Toboganes Dobles; 1 Rueda; Barras Metálicas; Juego Infantil Compuesto Por Un Tobogán Pequeño, Un Columpio De 2 Plazas Y Una Estructura En Madera Para Colgarse. Ver Diseño.</v>
          </cell>
          <cell r="E2096" t="str">
            <v>GL</v>
          </cell>
          <cell r="F2096">
            <v>5316734.75</v>
          </cell>
          <cell r="G2096">
            <v>42314</v>
          </cell>
        </row>
        <row r="2097">
          <cell r="C2097">
            <v>3829</v>
          </cell>
          <cell r="D2097" t="str">
            <v>Pintura Y Reparacion En Fibra De Vidrio Del Monumento Al Soldado Caido (Ver Diseño)</v>
          </cell>
          <cell r="E2097" t="str">
            <v>GL</v>
          </cell>
          <cell r="F2097">
            <v>2000000</v>
          </cell>
          <cell r="G2097">
            <v>41750</v>
          </cell>
        </row>
        <row r="2098">
          <cell r="C2098">
            <v>3833</v>
          </cell>
          <cell r="D2098" t="str">
            <v>Suministro E Instalación De Complejo Castillo En Madera Pino Pátula Inmunizada. Incluye Deslizadero En Fibra De Vidrio, Cerramiento Y Mallas En Polipropileno, Columpios Y Pasamanos.</v>
          </cell>
          <cell r="E2098" t="str">
            <v>UN</v>
          </cell>
          <cell r="F2098">
            <v>4257754.5</v>
          </cell>
          <cell r="G2098">
            <v>41670</v>
          </cell>
        </row>
        <row r="2099">
          <cell r="C2099">
            <v>3835</v>
          </cell>
          <cell r="D2099" t="str">
            <v>Suministro E Instalación De Sube Y Baja En Madera Pino Pátula Inmunizada.</v>
          </cell>
          <cell r="E2099" t="str">
            <v>UN</v>
          </cell>
          <cell r="F2099">
            <v>259998</v>
          </cell>
          <cell r="G2099">
            <v>41670</v>
          </cell>
        </row>
        <row r="2100">
          <cell r="C2100">
            <v>3837</v>
          </cell>
          <cell r="D2100" t="str">
            <v>Suministro E Instalación De Rueda En Madera.</v>
          </cell>
          <cell r="E2100" t="str">
            <v>UN</v>
          </cell>
          <cell r="F2100">
            <v>822089.25</v>
          </cell>
          <cell r="G2100">
            <v>41670</v>
          </cell>
        </row>
        <row r="2101">
          <cell r="C2101">
            <v>3838</v>
          </cell>
          <cell r="D2101" t="str">
            <v>Diseño, Suministro E Instalación De Redes Eléctricas Y Luminarias.</v>
          </cell>
          <cell r="E2101" t="str">
            <v>UN</v>
          </cell>
          <cell r="F2101">
            <v>3099178</v>
          </cell>
          <cell r="G2101">
            <v>41677</v>
          </cell>
        </row>
        <row r="2102">
          <cell r="C2102">
            <v>3840</v>
          </cell>
          <cell r="D2102" t="str">
            <v>Suministro E Instalación De Columpio De 3.00X1.60M Con Capacidad Para Dos Niños, En Madera Pino Pátula Inmunizada Y Herrajes Metálicos.</v>
          </cell>
          <cell r="E2102" t="str">
            <v>UN</v>
          </cell>
          <cell r="F2102">
            <v>688762</v>
          </cell>
          <cell r="G2102">
            <v>41670</v>
          </cell>
        </row>
        <row r="2103">
          <cell r="C2103">
            <v>3844</v>
          </cell>
          <cell r="D2103" t="str">
            <v>Pintura Y Reparación De Placa Del Monumento.</v>
          </cell>
          <cell r="E2103" t="str">
            <v>GL</v>
          </cell>
          <cell r="F2103">
            <v>4391842</v>
          </cell>
          <cell r="G2103">
            <v>41670</v>
          </cell>
        </row>
        <row r="2104">
          <cell r="C2104">
            <v>3845</v>
          </cell>
          <cell r="D2104" t="str">
            <v>Demolición  De Alfagía Existente En Mal Estado  De 1.00 X 0.20 Metros Incluye Retiro De Material</v>
          </cell>
          <cell r="E2104" t="str">
            <v>ML</v>
          </cell>
          <cell r="F2104">
            <v>8110</v>
          </cell>
          <cell r="G2104">
            <v>41912</v>
          </cell>
        </row>
        <row r="2105">
          <cell r="C2105">
            <v>3847</v>
          </cell>
          <cell r="D2105" t="str">
            <v>Desbaste, Pulida Y Cristalizada De Piedra Bogotana En Fachada</v>
          </cell>
          <cell r="E2105" t="str">
            <v>M2</v>
          </cell>
          <cell r="F2105">
            <v>24076.25</v>
          </cell>
          <cell r="G2105">
            <v>41684</v>
          </cell>
        </row>
        <row r="2106">
          <cell r="C2106">
            <v>3848</v>
          </cell>
          <cell r="D2106" t="str">
            <v>Desbaste, Pulida Y Cristalizada De Piedra Bogotana</v>
          </cell>
          <cell r="E2106" t="str">
            <v>ML</v>
          </cell>
          <cell r="F2106">
            <v>16853.38</v>
          </cell>
          <cell r="G2106">
            <v>41684</v>
          </cell>
        </row>
        <row r="2107">
          <cell r="C2107">
            <v>3849</v>
          </cell>
          <cell r="D2107" t="str">
            <v>Pintura Aplicación De Sika Transparente Para Fachadas Y Culatas, Incluye Limpiador De Sika</v>
          </cell>
          <cell r="E2107" t="str">
            <v>M2</v>
          </cell>
          <cell r="F2107">
            <v>13429.63</v>
          </cell>
          <cell r="G2107">
            <v>42578</v>
          </cell>
        </row>
        <row r="2108">
          <cell r="C2108">
            <v>3852</v>
          </cell>
          <cell r="D2108" t="str">
            <v>Capitulo: Obras Exteriores - Paisajismo</v>
          </cell>
          <cell r="E2108" t="str">
            <v>SD</v>
          </cell>
          <cell r="F2108">
            <v>0</v>
          </cell>
          <cell r="G2108">
            <v>41698</v>
          </cell>
        </row>
        <row r="2109">
          <cell r="C2109">
            <v>3855</v>
          </cell>
          <cell r="D2109" t="str">
            <v>Cerramiento De Lote En Lamina Galvanizada Calibre 24 De 1.22 X 2.44 Metros, Con Soporte En Madera, Altura 2.40 Metros, Incluye Valla Informativa Institucional (Ver Diseño).</v>
          </cell>
          <cell r="E2109" t="str">
            <v>ML</v>
          </cell>
          <cell r="F2109">
            <v>260469.31</v>
          </cell>
          <cell r="G2109">
            <v>41709</v>
          </cell>
        </row>
        <row r="2110">
          <cell r="C2110">
            <v>3856</v>
          </cell>
          <cell r="D2110" t="str">
            <v>Levante En Bloque Samo N° 4 Con Mortero De Pega 1:4 Para Antepecho, Incluye: Pañete Impermeabilizado De 0.15 Metros De Espesor, Estuco Y Acabado En Pintura Tipo I De Exteriores (Locales Cabrito Y Baños).</v>
          </cell>
          <cell r="E2110" t="str">
            <v>ML</v>
          </cell>
          <cell r="F2110">
            <v>64111.69</v>
          </cell>
          <cell r="G2110">
            <v>41710</v>
          </cell>
        </row>
        <row r="2111">
          <cell r="C2111">
            <v>3857</v>
          </cell>
          <cell r="D2111" t="str">
            <v>Capitulo - Equipamento</v>
          </cell>
          <cell r="E2111" t="str">
            <v>SD</v>
          </cell>
          <cell r="F2111">
            <v>0</v>
          </cell>
          <cell r="G2111">
            <v>41711</v>
          </cell>
        </row>
        <row r="2112">
          <cell r="C2112">
            <v>3858</v>
          </cell>
          <cell r="D2112" t="str">
            <v>Capitulo- Gym Biosaludable</v>
          </cell>
          <cell r="E2112" t="str">
            <v>SD</v>
          </cell>
          <cell r="F2112">
            <v>0</v>
          </cell>
          <cell r="G2112">
            <v>41711</v>
          </cell>
        </row>
        <row r="2113">
          <cell r="C2113">
            <v>3859</v>
          </cell>
          <cell r="D2113" t="str">
            <v>Capitulo - Varios</v>
          </cell>
          <cell r="E2113" t="str">
            <v>SD</v>
          </cell>
          <cell r="F2113">
            <v>0</v>
          </cell>
          <cell r="G2113">
            <v>41711</v>
          </cell>
        </row>
        <row r="2114">
          <cell r="C2114">
            <v>3862</v>
          </cell>
          <cell r="D2114" t="str">
            <v>Estructura En Tabletas De Madera De 0,05 X 0.03 X 1.00 Metro, Para Fachada En Madera Teka</v>
          </cell>
          <cell r="E2114" t="str">
            <v>M2</v>
          </cell>
          <cell r="F2114">
            <v>167034.01999999999</v>
          </cell>
          <cell r="G2114">
            <v>41717</v>
          </cell>
        </row>
        <row r="2115">
          <cell r="C2115">
            <v>3863</v>
          </cell>
          <cell r="D2115" t="str">
            <v>Paisajismo Autosostenible: Sistema De Jardin Autoirrigado (Tec-Garden), Para Parques Segunda Fase (Ver Diseño).</v>
          </cell>
          <cell r="E2115" t="str">
            <v>M2</v>
          </cell>
          <cell r="F2115">
            <v>145076</v>
          </cell>
          <cell r="G2115">
            <v>41717</v>
          </cell>
        </row>
        <row r="2116">
          <cell r="C2116">
            <v>3865</v>
          </cell>
          <cell r="D2116" t="str">
            <v>Levante En Bloque Samo N° 4 Con Mortero De Pega 1:4, Incluye Pañete De 0.15 Metros De Espesor, Estuco Y Acabado En Pintura Tipo I De Exteriores, Locales Islita Parte Inferior De Barra.</v>
          </cell>
          <cell r="E2116" t="str">
            <v>ML</v>
          </cell>
          <cell r="F2116">
            <v>42930.080000000002</v>
          </cell>
          <cell r="G2116">
            <v>41715</v>
          </cell>
        </row>
        <row r="2117">
          <cell r="C2117">
            <v>3867</v>
          </cell>
          <cell r="D2117" t="str">
            <v>Chimenea En Ladrillo Tolete N° 3,  De 0.70 Metros De Ancho X 1.00 Metro De Alto, Incluye Cubierta En Concreto De 3000 Psi De 0.05 Metros De Espesor Soportada Sobre Tuberia Galvanizada De 3" De Espesor Locales Cabrito.</v>
          </cell>
          <cell r="E2117" t="str">
            <v>UN</v>
          </cell>
          <cell r="F2117">
            <v>324583.06</v>
          </cell>
          <cell r="G2117">
            <v>41715</v>
          </cell>
        </row>
        <row r="2118">
          <cell r="C2118">
            <v>3868</v>
          </cell>
          <cell r="D2118" t="str">
            <v>Rampa En Concreto De 5.00 X 1.21 Metros, Con Espesor De 0.10 Metros Con Acabado Segun Diseño (Ver Diseño), Incluye Relleno En Material Seleccionado De 0.15 Metros.</v>
          </cell>
          <cell r="E2118" t="str">
            <v>UN</v>
          </cell>
          <cell r="F2118">
            <v>385045.73</v>
          </cell>
          <cell r="G2118">
            <v>41715</v>
          </cell>
        </row>
        <row r="2119">
          <cell r="C2119">
            <v>3869</v>
          </cell>
          <cell r="D2119" t="str">
            <v>Adoquin Vehicular De Concreto De Color E= 0.08 Metros, Con Estructura De Subbase, Gradacion B= 400, E= 0.25 Metros Mas Capa De Arena Mas Adoquin E= 0.08 Metros.</v>
          </cell>
          <cell r="E2119" t="str">
            <v>M2</v>
          </cell>
          <cell r="F2119">
            <v>87117.36</v>
          </cell>
          <cell r="G2119">
            <v>41715</v>
          </cell>
        </row>
        <row r="2120">
          <cell r="C2120">
            <v>3872</v>
          </cell>
          <cell r="D2120" t="str">
            <v>Suministro E Instalacion De Topellantas</v>
          </cell>
          <cell r="E2120" t="str">
            <v>UN</v>
          </cell>
          <cell r="F2120">
            <v>54226.41</v>
          </cell>
          <cell r="G2120">
            <v>42578</v>
          </cell>
        </row>
        <row r="2121">
          <cell r="C2121">
            <v>3875</v>
          </cell>
          <cell r="D2121" t="str">
            <v>Suministro E Instalacion De Piso En Piedra Muñeca De 0.80 X 0.40 Metros</v>
          </cell>
          <cell r="E2121" t="str">
            <v>M2</v>
          </cell>
          <cell r="F2121">
            <v>164162.88</v>
          </cell>
          <cell r="G2121">
            <v>41716</v>
          </cell>
        </row>
        <row r="2122">
          <cell r="C2122">
            <v>3877</v>
          </cell>
          <cell r="D2122" t="str">
            <v>Suministro E Instalacion De Caneca En Granito Pulido (Ver Diseño)</v>
          </cell>
          <cell r="E2122" t="str">
            <v>UN</v>
          </cell>
          <cell r="F2122">
            <v>2146998.33</v>
          </cell>
          <cell r="G2122">
            <v>41716</v>
          </cell>
        </row>
        <row r="2123">
          <cell r="C2123">
            <v>3879</v>
          </cell>
          <cell r="D2123" t="str">
            <v>Suministro Y Aplicacion De Granito Lavado Para Tranque En Acceso, Color Beige Para Piso</v>
          </cell>
          <cell r="E2123" t="str">
            <v>M2</v>
          </cell>
          <cell r="F2123">
            <v>30991.67</v>
          </cell>
          <cell r="G2123">
            <v>41725</v>
          </cell>
        </row>
        <row r="2124">
          <cell r="C2124">
            <v>3880</v>
          </cell>
          <cell r="D2124" t="str">
            <v>Levante De Muro En Bloque De Cemento Vibrado E= 0.15 Metros, Relleno En Concreto De 3000 Psi, Varilla De 1/2" Cada 0.20 Metros, Incluye: Mortero 1:4 Impermeabilizado Cara  Exterior Y Viga Corona De 0.16 X 0.10 Metros Reforzada.</v>
          </cell>
          <cell r="E2124" t="str">
            <v>M2</v>
          </cell>
          <cell r="F2124">
            <v>206063.66</v>
          </cell>
          <cell r="G2124">
            <v>42496</v>
          </cell>
        </row>
        <row r="2125">
          <cell r="C2125">
            <v>3882</v>
          </cell>
          <cell r="D2125" t="str">
            <v>Bancas En Mamposteria, Recubiertas En La Parte Superior Con Tablas De Madera Deck, H= 0.50 Metros (Ver Diseño) Y En La Parte Inferior Con Piedra China Lavada</v>
          </cell>
          <cell r="E2125" t="str">
            <v>ML</v>
          </cell>
          <cell r="F2125">
            <v>532253.98</v>
          </cell>
          <cell r="G2125">
            <v>41725</v>
          </cell>
        </row>
        <row r="2126">
          <cell r="C2126">
            <v>3883</v>
          </cell>
          <cell r="D2126" t="str">
            <v>Suministro E Instalacion De Banca Corrida En Concreto Pulido (Ver Diseño)</v>
          </cell>
          <cell r="E2126" t="str">
            <v>ML</v>
          </cell>
          <cell r="F2126">
            <v>469357.82</v>
          </cell>
          <cell r="G2126">
            <v>42496</v>
          </cell>
        </row>
        <row r="2127">
          <cell r="C2127">
            <v>3886</v>
          </cell>
          <cell r="D2127" t="str">
            <v>Suministro E Instalacion De Cubierta En Teja Thermoacustica Tipo Trapezoidal De 1.8 Mm De Espesor, Color Azul, Incluye Estructura Metalica De Soporte, Sellante Y Tornilleria (Ver Diseño)</v>
          </cell>
          <cell r="E2127" t="str">
            <v>M2</v>
          </cell>
          <cell r="F2127">
            <v>104068.74</v>
          </cell>
          <cell r="G2127">
            <v>41716</v>
          </cell>
        </row>
        <row r="2128">
          <cell r="C2128">
            <v>3887</v>
          </cell>
          <cell r="D2128" t="str">
            <v>Viga Canal En Concreto De 3500 Psi De 0.30 Metros De Ancho X 0.30 Metros De Alto X 0.12 Metros De Espesor En Las Paredes Y 0.08 Metros En La Base, No Incluye Acero De Refuerzo (Ver Diseño)</v>
          </cell>
          <cell r="E2128" t="str">
            <v>ML</v>
          </cell>
          <cell r="F2128">
            <v>129533.11</v>
          </cell>
          <cell r="G2128">
            <v>41936</v>
          </cell>
        </row>
        <row r="2129">
          <cell r="C2129">
            <v>3888</v>
          </cell>
          <cell r="D2129" t="str">
            <v>Poyo En Concreto De 2000 Psi, E= 0.05 Metros, Incluye Enchape En Ceramica De 0.20 X 0.20 Metros (Ver Diseño)</v>
          </cell>
          <cell r="E2129" t="str">
            <v>M2</v>
          </cell>
          <cell r="F2129">
            <v>45891.6</v>
          </cell>
          <cell r="G2129">
            <v>42578</v>
          </cell>
        </row>
        <row r="2130">
          <cell r="C2130">
            <v>3890</v>
          </cell>
          <cell r="D2130" t="str">
            <v>Suministro E Instalacion De Puerta De Estera Metalica Calibre 20 Para Modulos De Cocina Cabrito De 2.00 Metros X 1.00 Metro, Incluye Marco, Pintura Y Todos Los Elementos Necesarios Para Su Instalacion</v>
          </cell>
          <cell r="E2130" t="str">
            <v>UN</v>
          </cell>
          <cell r="F2130">
            <v>491281.94</v>
          </cell>
          <cell r="G2130">
            <v>41716</v>
          </cell>
        </row>
        <row r="2131">
          <cell r="C2131">
            <v>3892</v>
          </cell>
          <cell r="D2131" t="str">
            <v>Suministro E Instalacion De Puerta De Estera Metalica Para Modulos De Cocina Cabrito De 1,88 Metros X 1.00 Metro, Incluye Marco, Pintura Y Todos Los Elementos Necesarios Para Su Instalacion (Ver Diseño)</v>
          </cell>
          <cell r="E2131" t="str">
            <v>UN</v>
          </cell>
          <cell r="F2131">
            <v>441308.05</v>
          </cell>
          <cell r="G2131">
            <v>41716</v>
          </cell>
        </row>
        <row r="2132">
          <cell r="C2132">
            <v>3894</v>
          </cell>
          <cell r="D2132" t="str">
            <v>Suministro E Instalacion De Puerta De Estera Metalica Calibre 20 Para Modulos De Locales Islita De 2.00 Metros X 1.20 Metros, Incluye Marco, Pintura Y Todos Los Elementos Necesarios Para Su Instalacion</v>
          </cell>
          <cell r="E2132" t="str">
            <v>UN</v>
          </cell>
          <cell r="F2132">
            <v>568881.93999999994</v>
          </cell>
          <cell r="G2132">
            <v>41716</v>
          </cell>
        </row>
        <row r="2133">
          <cell r="C2133">
            <v>3896</v>
          </cell>
          <cell r="D2133" t="str">
            <v>Suministro E Instalacion De Puerta De Estera Calibre 20 Para Modulos De Locales Islita De 1.50 Metros X 1,00 Metro, Incluye Marco, Pintura Y Todos Los Elementos Necesarios Para Su Instalacion</v>
          </cell>
          <cell r="E2133" t="str">
            <v>UN</v>
          </cell>
          <cell r="F2133">
            <v>362873.08</v>
          </cell>
          <cell r="G2133">
            <v>41716</v>
          </cell>
        </row>
        <row r="2134">
          <cell r="C2134">
            <v>3898</v>
          </cell>
          <cell r="D2134" t="str">
            <v>Suministro E Instalacion De Puerta Metalica De Baños Calibre 22 De 0.60 Metros X 2.10 Metros, Incluye Marco, Cerradura, Bisagras,  Acabado En Pintura Y Rejilla De 0.60 X 0.60 Metros Parte Inferior</v>
          </cell>
          <cell r="E2134" t="str">
            <v>UN</v>
          </cell>
          <cell r="F2134">
            <v>253140.97</v>
          </cell>
          <cell r="G2134">
            <v>42578</v>
          </cell>
        </row>
        <row r="2135">
          <cell r="C2135">
            <v>3899</v>
          </cell>
          <cell r="D2135" t="str">
            <v>Cabina Disjockey Locales Cabrito Y La Islita (Ver Diseño)</v>
          </cell>
          <cell r="E2135" t="str">
            <v>UN</v>
          </cell>
          <cell r="F2135">
            <v>4500000</v>
          </cell>
          <cell r="G2135">
            <v>41716</v>
          </cell>
        </row>
        <row r="2136">
          <cell r="C2136">
            <v>3901</v>
          </cell>
          <cell r="D2136" t="str">
            <v>Suministro E Instalacion De Acrilicos Con Vinilo De Corte De 0.66 X 0.20 Metros Para Señalizacion Interna</v>
          </cell>
          <cell r="E2136" t="str">
            <v>UN</v>
          </cell>
          <cell r="F2136">
            <v>68152.83</v>
          </cell>
          <cell r="G2136">
            <v>41717</v>
          </cell>
        </row>
        <row r="2137">
          <cell r="C2137">
            <v>3902</v>
          </cell>
          <cell r="D2137" t="str">
            <v>Suministro Y Aplicacion De Pintura Reflectiva Para Parqueadero En Franjas De 0.15 Metros</v>
          </cell>
          <cell r="E2137" t="str">
            <v>ML</v>
          </cell>
          <cell r="F2137">
            <v>14471.9</v>
          </cell>
          <cell r="G2137">
            <v>41717</v>
          </cell>
        </row>
        <row r="2138">
          <cell r="C2138">
            <v>3904</v>
          </cell>
          <cell r="D2138" t="str">
            <v>Barra De Apoyo De Atencion Recubierta En Granato De 0.02 Metros De Espesor En Locales Islita (Ver Diseño)</v>
          </cell>
          <cell r="E2138" t="str">
            <v>M2</v>
          </cell>
          <cell r="F2138">
            <v>211531.25</v>
          </cell>
          <cell r="G2138">
            <v>41719</v>
          </cell>
        </row>
        <row r="2139">
          <cell r="C2139">
            <v>3906</v>
          </cell>
          <cell r="D2139" t="str">
            <v>Suministro E Instalacion De Mesas En Aluminio De 0.80 Metros De Diametro Empotradas Al Piso Locales Cabrito Y La Islita (Ver Diseño)</v>
          </cell>
          <cell r="E2139" t="str">
            <v>UN</v>
          </cell>
          <cell r="F2139">
            <v>138052.97</v>
          </cell>
          <cell r="G2139">
            <v>41719</v>
          </cell>
        </row>
        <row r="2140">
          <cell r="C2140">
            <v>3909</v>
          </cell>
          <cell r="D2140" t="str">
            <v>Suministro E Instalacion De Barra Divisoria Para Atencion Al Publico De Locales Islita En Acrilico De 1.80 X 1.00 X 0.20 Metros (Ver Diseño)</v>
          </cell>
          <cell r="E2140" t="str">
            <v>UN</v>
          </cell>
          <cell r="F2140">
            <v>95677.47</v>
          </cell>
          <cell r="G2140">
            <v>41723</v>
          </cell>
        </row>
        <row r="2141">
          <cell r="C2141">
            <v>3914</v>
          </cell>
          <cell r="D2141" t="str">
            <v>Suministro E Instalacion De Carpa Parasol Fija Estilo Pico De Loro, Con Gola, Estructura En Tuberia Redonda Galvanizada De 1", Calibre 16, Con Cerchas Intermedias De Amarre, Pintada En Anticorrosivo Y Acabado En Esmalte, Cubierta En Lona Plastica 100% Impermeable (Ver Diseño)</v>
          </cell>
          <cell r="E2141" t="str">
            <v>M2</v>
          </cell>
          <cell r="F2141">
            <v>255000</v>
          </cell>
          <cell r="G2141">
            <v>42109</v>
          </cell>
        </row>
        <row r="2142">
          <cell r="C2142">
            <v>3915</v>
          </cell>
          <cell r="D2142" t="str">
            <v>Suministro E Instalacion De Lavamanos En Granito Fundido Locales Cabrito (Ver Diseño)</v>
          </cell>
          <cell r="E2142" t="str">
            <v>UN</v>
          </cell>
          <cell r="F2142">
            <v>452818.31</v>
          </cell>
          <cell r="G2142">
            <v>41725</v>
          </cell>
        </row>
        <row r="2143">
          <cell r="C2143">
            <v>3916</v>
          </cell>
          <cell r="D2143" t="str">
            <v>Construccion De Sumideros De 1.70 X 1.20 Metros, Incluye Rampa De Acceso De A= 0.80 Metros, E= 0.15 Metros Y 1.00 Metro &lt; H &lt; 1.50 Metros, No Incluye Acero De Refuerzo (Ver Diseño)</v>
          </cell>
          <cell r="E2143" t="str">
            <v>UN</v>
          </cell>
          <cell r="F2143">
            <v>3176576.02</v>
          </cell>
          <cell r="G2143">
            <v>41723</v>
          </cell>
        </row>
        <row r="2144">
          <cell r="C2144">
            <v>3920</v>
          </cell>
          <cell r="D2144" t="str">
            <v>Suministro, Transporte E Instalacion De Bolardos En Concreto De 3500 Psi Con Acabado En Piedra China Lavada, Cada 1.50 Metros Con Cables Tipo Guaya De 1/4", Base Integrada Al Bolardo En Hierro Nodular Bajo Norma Astm-A536 De 0.06 Metros De Diametro X 0.30 Metros De Longitud, Para Anclar El Bolardo Al Concreto, Vaciado De Concreto De 21 Mpa Para Fijacion De Bolardo De 0.20 X 0.20 X H= 0.45 Metros, Incluye: Demolicion De Piso De Adoquin, Excavacion, Resane De Superficie Y Todos Los Demas Elementos</v>
          </cell>
          <cell r="E2144" t="str">
            <v>UN</v>
          </cell>
          <cell r="F2144">
            <v>459531.94</v>
          </cell>
          <cell r="G2144">
            <v>41724</v>
          </cell>
        </row>
        <row r="2145">
          <cell r="C2145">
            <v>3924</v>
          </cell>
          <cell r="D2145" t="str">
            <v>Locales Comerciales Cabrito Y La Islita (Ver Diseño)</v>
          </cell>
          <cell r="E2145" t="str">
            <v>UN</v>
          </cell>
          <cell r="F2145">
            <v>8453850.3000000007</v>
          </cell>
          <cell r="G2145">
            <v>41724</v>
          </cell>
        </row>
        <row r="2146">
          <cell r="C2146">
            <v>3925</v>
          </cell>
          <cell r="D2146" t="str">
            <v>Suministro E Instalacion De Banca En Concreto De 3000 Psi Con Apoyo En Tablas De Madera Deck De 1.61 Metros X 0.60 Metros Locales Cabrito Y La Islita (Ver Diseño)</v>
          </cell>
          <cell r="E2146" t="str">
            <v>UN</v>
          </cell>
          <cell r="F2146">
            <v>646309.07999999996</v>
          </cell>
          <cell r="G2146">
            <v>41725</v>
          </cell>
        </row>
        <row r="2147">
          <cell r="C2147">
            <v>3927</v>
          </cell>
          <cell r="D2147" t="str">
            <v>Suministro E Instalacion De Rejilla De Aluminio 3" X 2"</v>
          </cell>
          <cell r="E2147" t="str">
            <v>UN</v>
          </cell>
          <cell r="F2147">
            <v>14639.81</v>
          </cell>
          <cell r="G2147">
            <v>41726</v>
          </cell>
        </row>
        <row r="2148">
          <cell r="C2148">
            <v>3929</v>
          </cell>
          <cell r="D2148" t="str">
            <v>Suministro E Instalacion De Rejillas De 5" X 3" En Aluminio</v>
          </cell>
          <cell r="E2148" t="str">
            <v>UN</v>
          </cell>
          <cell r="F2148">
            <v>28523.88</v>
          </cell>
          <cell r="G2148">
            <v>41726</v>
          </cell>
        </row>
        <row r="2149">
          <cell r="C2149">
            <v>3930</v>
          </cell>
          <cell r="D2149" t="str">
            <v>Viga De Amarre En Concreto De 3500 Psi De 0.80 X 0.60 Metros, Incluye: Acero De Refuerzo 6 Varillas D=1/2", 16 Varillas De 5/8" Y Estribos D=3/8" A Cada 0.15 Metros (Ver Diseño).</v>
          </cell>
          <cell r="E2149" t="str">
            <v>ML</v>
          </cell>
          <cell r="F2149">
            <v>654823.24</v>
          </cell>
          <cell r="G2149">
            <v>41767</v>
          </cell>
        </row>
        <row r="2150">
          <cell r="C2150">
            <v>3931</v>
          </cell>
          <cell r="D2150" t="str">
            <v>Columna En Concreto De 3000 Psi, De 0.15 X 0.30 Metros, Incluye Acero De Refuerzo 2 Varillas D= 1/2", Estribos D= 1/4", A Cada 0.20 Metros Para Confinamiento De Muro (Ver Diseño).</v>
          </cell>
          <cell r="E2150" t="str">
            <v>ML</v>
          </cell>
          <cell r="F2150">
            <v>72132.490000000005</v>
          </cell>
          <cell r="G2150">
            <v>41767</v>
          </cell>
        </row>
        <row r="2151">
          <cell r="C2151">
            <v>3932</v>
          </cell>
          <cell r="D2151" t="str">
            <v>Viga De Amarre En Concreto De 3500 Psi De 0.30 X 0.85 Metros, Incluye Acero De Refuerzo 8 Varillas D= 1/2" Y Estribos D= 3/8" A Cada 0.15 Metros (Ver Diseño).</v>
          </cell>
          <cell r="E2151" t="str">
            <v>ML</v>
          </cell>
          <cell r="F2151">
            <v>300722.21000000002</v>
          </cell>
          <cell r="G2151">
            <v>41767</v>
          </cell>
        </row>
        <row r="2152">
          <cell r="C2152">
            <v>3933</v>
          </cell>
          <cell r="D2152" t="str">
            <v>Vigueta En Concreto De 3500 Psi De 0.39 X 0.15 Metros, Incluye Acero De Refuerzo 4 Varillas De 1/2" Y Estribos De 3/8" A Cada 0.15 Metros (Ver Diseño).</v>
          </cell>
          <cell r="E2152" t="str">
            <v>ML</v>
          </cell>
          <cell r="F2152">
            <v>206687.88</v>
          </cell>
          <cell r="G2152">
            <v>41767</v>
          </cell>
        </row>
        <row r="2153">
          <cell r="C2153">
            <v>3934</v>
          </cell>
          <cell r="D2153" t="str">
            <v>Plantilla En Concreto De 3500 Psi, Espesor E= 0.06 Metros, Incluye Malla Electrosoldada</v>
          </cell>
          <cell r="E2153" t="str">
            <v>M2</v>
          </cell>
          <cell r="F2153">
            <v>59819.15</v>
          </cell>
          <cell r="G2153">
            <v>41767</v>
          </cell>
        </row>
        <row r="2154">
          <cell r="C2154">
            <v>3935</v>
          </cell>
          <cell r="D2154" t="str">
            <v>Pañete Pulido Sobre Muro Con Mortero 1:4</v>
          </cell>
          <cell r="E2154" t="str">
            <v>M2</v>
          </cell>
          <cell r="F2154">
            <v>17263.72</v>
          </cell>
          <cell r="G2154">
            <v>42314</v>
          </cell>
        </row>
        <row r="2155">
          <cell r="C2155">
            <v>3936</v>
          </cell>
          <cell r="D2155" t="str">
            <v>Viga En Concreto De 3500 Psi De 0.30 X 0.40 Metros, Incluye Acero De Refuerzo 8 Varillas De 5/8" Y Estribos De 3/8" A Cada 0.25 Metros (Ver Diseño).</v>
          </cell>
          <cell r="E2155" t="str">
            <v>ML</v>
          </cell>
          <cell r="F2155">
            <v>163345.60000000001</v>
          </cell>
          <cell r="G2155">
            <v>41767</v>
          </cell>
        </row>
        <row r="2156">
          <cell r="C2156">
            <v>3937</v>
          </cell>
          <cell r="D2156" t="str">
            <v>Juntas De Dilatacion Con Cinta Sika Pvc De Junta 0 - 22 Y Sikaflex De 300 Cc O Similar (Ver Diseño)</v>
          </cell>
          <cell r="E2156" t="str">
            <v>ML</v>
          </cell>
          <cell r="F2156">
            <v>59146.73</v>
          </cell>
          <cell r="G2156">
            <v>41767</v>
          </cell>
        </row>
        <row r="2157">
          <cell r="C2157">
            <v>3939</v>
          </cell>
          <cell r="D2157" t="str">
            <v>Suministro E Instalacion De Membrana Geotextil (Ver Diseño).</v>
          </cell>
          <cell r="E2157" t="str">
            <v>M2</v>
          </cell>
          <cell r="F2157">
            <v>18907.11</v>
          </cell>
          <cell r="G2157">
            <v>42417</v>
          </cell>
        </row>
        <row r="2158">
          <cell r="C2158">
            <v>3940</v>
          </cell>
          <cell r="D2158" t="str">
            <v>Punto De Soldadura Para Traslapos De Varillas De 1" (Ver Diseño).</v>
          </cell>
          <cell r="E2158" t="str">
            <v>UN</v>
          </cell>
          <cell r="F2158">
            <v>35191.410000000003</v>
          </cell>
          <cell r="G2158">
            <v>41767</v>
          </cell>
        </row>
        <row r="2159">
          <cell r="C2159">
            <v>3941</v>
          </cell>
          <cell r="D2159" t="str">
            <v>Zapata Corrida En Concreto De 3000 Psi Pre Mezclado De 1.20 X 0.30 X 2.00 Metros, Incluye Acero De Refuerzo De 1/2" A Cada 0.20 Metros (Ver Diseño).</v>
          </cell>
          <cell r="E2159" t="str">
            <v>UN</v>
          </cell>
          <cell r="F2159">
            <v>410921.79</v>
          </cell>
          <cell r="G2159">
            <v>41767</v>
          </cell>
        </row>
        <row r="2160">
          <cell r="C2160">
            <v>3942</v>
          </cell>
          <cell r="D2160" t="str">
            <v>Pedestal En Concreto De 3000 Psi De 0.40 X 0.50 X 2.00 Metros, Incluye Acero De Refuerzo De 3/8" A Cada 0.30 Metros Y Ganchos De 1/2" A Cada 0.20 Metros (Ver Diseño).</v>
          </cell>
          <cell r="E2160" t="str">
            <v>UN</v>
          </cell>
          <cell r="F2160">
            <v>325894.37</v>
          </cell>
          <cell r="G2160">
            <v>41767</v>
          </cell>
        </row>
        <row r="2161">
          <cell r="C2161">
            <v>3943</v>
          </cell>
          <cell r="D2161" t="str">
            <v>Zapata Corrida En Concreto De 3000 Psi Pre Mezclado De 1.20 X 0.30 X 2.70 Metros, Incluye Acero De Refuerzo De 1/2" A Cada 0.20 Metros (Ver Diseño).</v>
          </cell>
          <cell r="E2161" t="str">
            <v>UN</v>
          </cell>
          <cell r="F2161">
            <v>542913.46</v>
          </cell>
          <cell r="G2161">
            <v>41767</v>
          </cell>
        </row>
        <row r="2162">
          <cell r="C2162">
            <v>3944</v>
          </cell>
          <cell r="D2162" t="str">
            <v>Pedestal En Concreto De 3000 Psi Pre Mezclado De 0.40 X 0.50 X 2 70 Metros, Incluye Acero De Refuerzo De 3/8", Estribos De 3/8" A Cada 0.30 Metros Y Ganchos De 1/2" A Cada 0.20 Metros (Ver Diseño).</v>
          </cell>
          <cell r="E2162" t="str">
            <v>UN</v>
          </cell>
          <cell r="F2162">
            <v>416465.71</v>
          </cell>
          <cell r="G2162">
            <v>41767</v>
          </cell>
        </row>
        <row r="2163">
          <cell r="C2163">
            <v>3945</v>
          </cell>
          <cell r="D2163" t="str">
            <v>Suministro E Instalacion De Griferia De Pared Tipo Push Antivandalica, Incluye Sifon Para Baños (Ver Diseño).</v>
          </cell>
          <cell r="E2163" t="str">
            <v>UN</v>
          </cell>
          <cell r="F2163">
            <v>209373.6</v>
          </cell>
          <cell r="G2163">
            <v>41736</v>
          </cell>
        </row>
        <row r="2164">
          <cell r="C2164">
            <v>3946</v>
          </cell>
          <cell r="D2164" t="str">
            <v>Pintura En Vinilo Tipo 1A, Con Adicion De Acronal Para Muros Color Gris Basalto (Ver Diseño).</v>
          </cell>
          <cell r="E2164" t="str">
            <v>M2</v>
          </cell>
          <cell r="F2164">
            <v>12956.98</v>
          </cell>
          <cell r="G2164">
            <v>42496</v>
          </cell>
        </row>
        <row r="2165">
          <cell r="C2165">
            <v>3948</v>
          </cell>
          <cell r="D2165" t="str">
            <v>Bolardo Metalico Cuerpo Estriado En Hierro Fundido, Anclado Al Piso (Ver Diseño).</v>
          </cell>
          <cell r="E2165" t="str">
            <v>UN</v>
          </cell>
          <cell r="F2165">
            <v>183529.85</v>
          </cell>
          <cell r="G2165">
            <v>42514</v>
          </cell>
        </row>
        <row r="2166">
          <cell r="C2166">
            <v>3949</v>
          </cell>
          <cell r="D2166" t="str">
            <v>Formaleteria En Madera, Incluye Gatos, Cerchas, Crucetas, Chazas Y Guarderas (Ver Diseño).</v>
          </cell>
          <cell r="E2166" t="str">
            <v>M2</v>
          </cell>
          <cell r="F2166">
            <v>23549.65</v>
          </cell>
          <cell r="G2166">
            <v>41732</v>
          </cell>
        </row>
        <row r="2167">
          <cell r="C2167">
            <v>3950</v>
          </cell>
          <cell r="D2167" t="str">
            <v>Zapata En Concreto De 3500 Psi De 1.50 X 1.00 X 0.50 Metros, Incluye Acero De Refuerzo 16 Varillas De 1/2" Y Estribos De 1/2" A Cada 0.15 Metros (Ver Diseño).</v>
          </cell>
          <cell r="E2167" t="str">
            <v>UN</v>
          </cell>
          <cell r="F2167">
            <v>1091134.72</v>
          </cell>
          <cell r="G2167">
            <v>41767</v>
          </cell>
        </row>
        <row r="2168">
          <cell r="C2168">
            <v>3951</v>
          </cell>
          <cell r="D2168" t="str">
            <v>Suministro E Instalacion De Valla Informativa Metalica De 8.00 X 4.00  Metros (Ver Diseño).</v>
          </cell>
          <cell r="E2168" t="str">
            <v>UN</v>
          </cell>
          <cell r="F2168">
            <v>5502328.8899999997</v>
          </cell>
          <cell r="G2168">
            <v>42201</v>
          </cell>
        </row>
        <row r="2169">
          <cell r="C2169">
            <v>3952</v>
          </cell>
          <cell r="D2169" t="str">
            <v>Suministro E Instalacion De Lavamanos Corrido En Mamposteria Y Losa, Acabado En Granito Pulido (Ver Diseño).</v>
          </cell>
          <cell r="E2169" t="str">
            <v>ML</v>
          </cell>
          <cell r="F2169">
            <v>321502.59999999998</v>
          </cell>
          <cell r="G2169">
            <v>42538</v>
          </cell>
        </row>
        <row r="2170">
          <cell r="C2170">
            <v>3953</v>
          </cell>
          <cell r="D2170" t="str">
            <v>Cerramiento En Tuberia Galvanizada De 2", Altura H= 1.20 Metros (Ver Diseño).</v>
          </cell>
          <cell r="E2170" t="str">
            <v>M2</v>
          </cell>
          <cell r="F2170">
            <v>196075.96</v>
          </cell>
          <cell r="G2170">
            <v>42578</v>
          </cell>
        </row>
        <row r="2171">
          <cell r="C2171">
            <v>3955</v>
          </cell>
          <cell r="D2171" t="str">
            <v>Suministro E Instalacion De Piso En Piedra Ceiba De 0.23 X 0.90 Metros, Color Madera (Ver Diseño).</v>
          </cell>
          <cell r="E2171" t="str">
            <v>M2</v>
          </cell>
          <cell r="F2171">
            <v>193780.51</v>
          </cell>
          <cell r="G2171">
            <v>41767</v>
          </cell>
        </row>
        <row r="2172">
          <cell r="C2172">
            <v>3958</v>
          </cell>
          <cell r="D2172" t="str">
            <v>Suministro E Instalacion De Orinal Corrido De 0.50 Metros Y Muro Salpicadero De Una Pieza De 2.00 X 1.12 Metros En Acero Inoxidable Calibre 20 (Ver Diseño).</v>
          </cell>
          <cell r="E2172" t="str">
            <v>ML</v>
          </cell>
          <cell r="F2172">
            <v>392682.09</v>
          </cell>
          <cell r="G2172">
            <v>42538</v>
          </cell>
        </row>
        <row r="2173">
          <cell r="C2173">
            <v>3959</v>
          </cell>
          <cell r="D2173" t="str">
            <v>Muelle Formas Diversas Paneles: Tablero Contrachapado Laminado Lacado De 22 Mm: Sucesivas Capas De Tablero Entrecruzadas Y Encoladas Entre Si, Lacadas Con Esmalte Acrilico De Poliuretano Facil De Restaurar, Conformado Por Pigmentos Biologicos Aplicando A Cada Pieza De 2 A 3 Capas En Superficie Y 4 Capas En Los Cantos Para Protegerlos De Manera Especial, Pintura A 3 Manos ( 5 En Los Cantos), De Esmalte Poliuretano Texturado Exento De Plomo Y Con Alta Resistencia A La Meteorizacion, (Ver Diseño)</v>
          </cell>
          <cell r="E2173" t="str">
            <v>UN</v>
          </cell>
          <cell r="F2173">
            <v>1000000</v>
          </cell>
          <cell r="G2173">
            <v>41767</v>
          </cell>
        </row>
        <row r="2174">
          <cell r="C2174">
            <v>3960</v>
          </cell>
          <cell r="D2174" t="str">
            <v>Conjuntos Modulares Dinamix Dx 203 O Similar Con Postes Con Postes De Madera Laminada De Pino Escandinavo Para Evitar Grietas Y Asegurar La Resistencia Estructural De Los Puntales, Paneles: Tablero Contrachapado Laminado Lacado De 22 Mm, Sucesivas Capas De Tablero Entrecruzadas Y Encoladas Entre Si, Lacadas Con  Esmalte Acrilico De Poliuretano Facil De Restaurar, Conformado Por Pigmentos Biologicos Aplicando A Cada Pieza De 2 A 3 Capas En Superficie Y 4 Capas En Los Cantos Para Prot (Ver Diseño)</v>
          </cell>
          <cell r="E2174" t="str">
            <v>UN</v>
          </cell>
          <cell r="F2174">
            <v>17400000</v>
          </cell>
          <cell r="G2174">
            <v>41767</v>
          </cell>
        </row>
        <row r="2175">
          <cell r="C2175">
            <v>3961</v>
          </cell>
          <cell r="D2175" t="str">
            <v>Conjuntos Modulares Dinamix Jr 400, De Diferentes Compuestos Metalicos Muy Resistentes A La Corrosion, Al Desgaste Y Al Vandalismo Como El Acero Inoxidable, Aluminio Anonizado, Hierro Con Zincado Electrolitico Y Lacado En Polvo Y Acero Galvanizado En Caliente, Paneles Idpe En Polietileno De Baja Densidad, Piezas De Plastico En Polietileno, Caucho Y Metacrilato, Piezas Metalicas En Acero S-235 Galvanizado Y Lacado, Acero Inox Aisi-30, Tornilleria En Acero Inox Aisi-304, Pintura A Una (Ver Diseño)</v>
          </cell>
          <cell r="E2175" t="str">
            <v>UN</v>
          </cell>
          <cell r="F2175">
            <v>17400000</v>
          </cell>
          <cell r="G2175">
            <v>41767</v>
          </cell>
        </row>
        <row r="2176">
          <cell r="C2176">
            <v>3963</v>
          </cell>
          <cell r="D2176" t="str">
            <v>Suministro E Instalacion De Cuadrata En Piedra Antizana De 0.40 X 0.40 Metros (Ver Diseño).</v>
          </cell>
          <cell r="E2176" t="str">
            <v>M2</v>
          </cell>
          <cell r="F2176">
            <v>118513.91</v>
          </cell>
          <cell r="G2176">
            <v>41767</v>
          </cell>
        </row>
        <row r="2177">
          <cell r="C2177">
            <v>3965</v>
          </cell>
          <cell r="D2177" t="str">
            <v>Banca En Concreto Tipo 1 De 2.40 X 0.70 X 0.73 Metros Y Mesa De 0.80 X 0.80 X 0.31 Metros, Conformado Por Asiento Con Espaldar Y Prisma Esquinero Cerrado, Consta De Una Placa Alargada En Concreto Armado De 3000 Psi Y Una Losa De Concreto Armado Que Srve Como Espaldar Del Asiento, Una Mesa O Prisma Elaborado En Concreto Armado De 3000 Psi Dilatado Al Piso A 0.05 Metros (Ver Diseño).</v>
          </cell>
          <cell r="E2177" t="str">
            <v>UN</v>
          </cell>
          <cell r="F2177">
            <v>3361716.34</v>
          </cell>
          <cell r="G2177">
            <v>41767</v>
          </cell>
        </row>
        <row r="2178">
          <cell r="C2178">
            <v>3966</v>
          </cell>
          <cell r="D2178" t="str">
            <v>Prisma En Concreto De 0.60 X 0.60 X 0.40 Metros, Zocalo Rebajado En La Cara Inferior Que Lo Levanta Para Salvar Las Irregularidades Del Suelo Y Mantener La Exactitud Geometrica Del Volumen (Ver Diseño).</v>
          </cell>
          <cell r="E2178" t="str">
            <v>UN</v>
          </cell>
          <cell r="F2178">
            <v>552133.30000000005</v>
          </cell>
          <cell r="G2178">
            <v>41733</v>
          </cell>
        </row>
        <row r="2179">
          <cell r="C2179">
            <v>3967</v>
          </cell>
          <cell r="D2179" t="str">
            <v>Banca En Concreto Tipo 2 De 2.00 X 0.50 X 0.43 (H) Metros, En Tres Piezas En Concreto De Facil Transporte Y Montaje Ideal Para Colocarse En Areas Duras Como Plazas, Alamedas, Etc, Formada Por Una Pieza En Concreto Armado De De 3000 Psi Moldeado Soportando Una Pieza Mas En Concreto Armado De 3000 Psi Moldeado Y Pulido Que Forma La Silla (Ver Diseño).</v>
          </cell>
          <cell r="E2179" t="str">
            <v>UN</v>
          </cell>
          <cell r="F2179">
            <v>1565179.95</v>
          </cell>
          <cell r="G2179">
            <v>41767</v>
          </cell>
        </row>
        <row r="2180">
          <cell r="C2180">
            <v>3968</v>
          </cell>
          <cell r="D2180" t="str">
            <v>Banca En Concreto Tipo 3 De 1.60 X 0.50 X 0.43 (H) Metros, En Tres Piezas En Concreto De Facil Transporte Y Montaje Ideal Para Colocarse En Areas Duras Como Plazas, Alamedas, Etc, Formada Por Una Pieza En Concreto Armado De 3000 Psi Moldeado Y Soportando Una Pieza Mas En Concreto Armado De 3000 Psi Moldeado Y Pulido Que Forma La Silla (Ver Diseño).</v>
          </cell>
          <cell r="E2180" t="str">
            <v>UN</v>
          </cell>
          <cell r="F2180">
            <v>1391115.86</v>
          </cell>
          <cell r="G2180">
            <v>41767</v>
          </cell>
        </row>
        <row r="2181">
          <cell r="C2181">
            <v>3969</v>
          </cell>
          <cell r="D2181" t="str">
            <v>Mesa De 12 Puestos Para Picnic Y Reuniones De 3.00 X 1.00 Metro, Altura (H) = 0.90 Metros Y Silla Rectangulo De 3.00 X 0.60 X 0.50 (H) Metros, Fabricadas En Concreto Modelado Y Ensambladas En Sitio, Prisma En Concreto, Zocalo Rebajado En La Cara Inferior Que Lo Levanta Un Poco Para Salvar Las Irregularidades Del Suelo Y Mantener La Exactitud Geometrica Del Volumen (Ver Diseño).</v>
          </cell>
          <cell r="E2181" t="str">
            <v>UN</v>
          </cell>
          <cell r="F2181">
            <v>8506701.0999999996</v>
          </cell>
          <cell r="G2181">
            <v>41767</v>
          </cell>
        </row>
        <row r="2182">
          <cell r="C2182">
            <v>3970</v>
          </cell>
          <cell r="D2182" t="str">
            <v>Suministro E Instalacion De Tierra Batida, Mezcla De Caliche 40%, Gravilla O Triturado De Arroyo De Piedra 20%, Arena De Santo Tomas 20% Y Arena Amarilla 20% (Ver Diseño).</v>
          </cell>
          <cell r="E2182" t="str">
            <v>M3</v>
          </cell>
          <cell r="F2182">
            <v>82175.62</v>
          </cell>
          <cell r="G2182">
            <v>41767</v>
          </cell>
        </row>
        <row r="2183">
          <cell r="C2183">
            <v>3972</v>
          </cell>
          <cell r="D2183" t="str">
            <v>Piso En Concreto Con Aditivo Liquido Sika Colorcreto O Similar (Ver Diseño)</v>
          </cell>
          <cell r="E2183" t="str">
            <v>M2</v>
          </cell>
          <cell r="F2183">
            <v>201757.29</v>
          </cell>
          <cell r="G2183">
            <v>42619</v>
          </cell>
        </row>
        <row r="2184">
          <cell r="C2184">
            <v>3974</v>
          </cell>
          <cell r="D2184" t="str">
            <v>Suministro E Instalacion De Impermeabilizacion De Placa Espejo De Agua (Ver Diseño).</v>
          </cell>
          <cell r="E2184" t="str">
            <v>M2</v>
          </cell>
          <cell r="F2184">
            <v>55919.14</v>
          </cell>
          <cell r="G2184">
            <v>41767</v>
          </cell>
        </row>
        <row r="2185">
          <cell r="C2185">
            <v>3975</v>
          </cell>
          <cell r="D2185" t="str">
            <v>Suministro E Instalacion De Escultura De Cubos En Concreto Y Acabado En Granito Pulido (Ver Diseño).</v>
          </cell>
          <cell r="E2185" t="str">
            <v>UN</v>
          </cell>
          <cell r="F2185">
            <v>14167904.75</v>
          </cell>
          <cell r="G2185">
            <v>41767</v>
          </cell>
        </row>
        <row r="2186">
          <cell r="C2186">
            <v>3976</v>
          </cell>
          <cell r="D2186" t="str">
            <v>Levante De Muro En Bloque Abuzardado De 0.15 X 0.20 X 0.40 Metros, Con Celdas Rellenas En Concreto De 2500 Psi, Refuerzo Central De D= 1/2" A Cada 2.00 Metros, Mortero De Pega 1:4 Con Anclaje A Concreto Existente Con Sikadur Anchor Fix - 4 Para Fijar Varillas Con Acabado En Pintura Viniltex Tipo I (Ver Diseño).</v>
          </cell>
          <cell r="E2186" t="str">
            <v>ML</v>
          </cell>
          <cell r="F2186">
            <v>137184.60999999999</v>
          </cell>
          <cell r="G2186">
            <v>41767</v>
          </cell>
        </row>
        <row r="2187">
          <cell r="C2187">
            <v>3977</v>
          </cell>
          <cell r="D2187" t="str">
            <v>Construccion De Filtros Interiores En Espina De Pescado De Ancho = 0.40 Metros X Altura Variable, Incluye Recubrimiento Perimetral En Geotextil Nt 1800, Tuberia Perforada Para Filtros Diametro De 4" Y Canto Rodado O Piedra Triturada Diametro 1" (Ver Diseño).</v>
          </cell>
          <cell r="E2187" t="str">
            <v>ML</v>
          </cell>
          <cell r="F2187">
            <v>97987.75</v>
          </cell>
          <cell r="G2187">
            <v>41767</v>
          </cell>
        </row>
        <row r="2188">
          <cell r="C2188">
            <v>3978</v>
          </cell>
          <cell r="D2188" t="str">
            <v>Construccion De Filtros Perimetrales De Ancho = 0.40 Metros X Altura Variable, Incluye: Recubrimiento Perimetral En Geotextil Nt 1800, Tuberia Perforada Para Filtros Diametro 8" Y Canto Rodado O Piedra Triturada Limpia De Diametro D= 1" (Ver Diseño).</v>
          </cell>
          <cell r="E2188" t="str">
            <v>ML</v>
          </cell>
          <cell r="F2188">
            <v>118709.75</v>
          </cell>
          <cell r="G2188">
            <v>42201</v>
          </cell>
        </row>
        <row r="2189">
          <cell r="C2189">
            <v>3979</v>
          </cell>
          <cell r="D2189" t="str">
            <v>Paisajismo General Zona Verde, Incluye: Coccoloba Uvifera-Uva De Playa Densidad 5 X M2 Conocardus Rectus-Mangle Verde-Densidad 4 X M2 Conocardus Erectus-Mangle Plateado-Densidad 4 X M2 Leucophylumfrytences-Frailejon Densidad 4 X M2 Bougainvillea Spectabilis-Trinitarias Surtidas Densidad 3 X M2 Carissa Macrocarda-Monedita Densidad 8 X M2 Sheflera Arboricola-Sheflera Densidad 6 X M2 Suinglea Glutinosa-Suingla O Limoncillo Densidad 6 X M2 (Ver Diseño).</v>
          </cell>
          <cell r="E2189" t="str">
            <v>UN</v>
          </cell>
          <cell r="F2189">
            <v>112319.53</v>
          </cell>
          <cell r="G2189">
            <v>41771</v>
          </cell>
        </row>
        <row r="2190">
          <cell r="C2190">
            <v>3980</v>
          </cell>
          <cell r="D2190" t="str">
            <v>Construccion De Cajas De Empalme En Concreto Reforzado Con Malla, Dimension 0.60 X 0.60 Metros Libres, Altura Variable, Incluye: Tapa, Cañuela Y Base (Ver Diseño).</v>
          </cell>
          <cell r="E2190" t="str">
            <v>UN</v>
          </cell>
          <cell r="F2190">
            <v>350732.08</v>
          </cell>
          <cell r="G2190">
            <v>42201</v>
          </cell>
        </row>
        <row r="2191">
          <cell r="C2191">
            <v>3981</v>
          </cell>
          <cell r="D2191" t="str">
            <v>Suministro E Instalacion De Juego Infantil Tipo Atom O Similar En Tubo De Acero Esrtructural, Esferas Repujadas En 1.00 Unidad 19.500.000 19.500.000 Lamina Galvanizada, Tuberia En Acero Galvanizado De 2 Pulgadas Cal 3 Mm, La Red Es En Guaya De Alma Elastomerica Recubierta En Polivinil Resistente A La Interperie (Ver Diseño)</v>
          </cell>
          <cell r="E2191" t="str">
            <v>UN</v>
          </cell>
          <cell r="F2191">
            <v>19500000</v>
          </cell>
          <cell r="G2191">
            <v>41767</v>
          </cell>
        </row>
        <row r="2192">
          <cell r="C2192">
            <v>3982</v>
          </cell>
          <cell r="D2192" t="str">
            <v>Suministro E Instalacion De Estructuras De Pergolas En Madera Teca Elaborado Con Piezas De 0.45 X 0.15 Metros Y Columnas Metalicas Como Soporte De La Estructura, Anclada Con Tornilleria Galvanizada La Cual Se Encuentra Incada En Base De Concreto Como Soporte, Todo Debidamente Pintado Y Acabado, Incluye Mano De Obra (Ver Diseño).</v>
          </cell>
          <cell r="E2192" t="str">
            <v>GL</v>
          </cell>
          <cell r="F2192">
            <v>160000000</v>
          </cell>
          <cell r="G2192">
            <v>41767</v>
          </cell>
        </row>
        <row r="2193">
          <cell r="C2193">
            <v>3983</v>
          </cell>
          <cell r="D2193" t="str">
            <v>Suministro E Instalacion De Sistema De Riego, Incluye: Materiales, Equipos, Transporte Y Mano De Obra (Ver Diseño).</v>
          </cell>
          <cell r="E2193" t="str">
            <v>ML</v>
          </cell>
          <cell r="F2193">
            <v>86923000</v>
          </cell>
          <cell r="G2193">
            <v>42195</v>
          </cell>
        </row>
        <row r="2194">
          <cell r="C2194">
            <v>3984</v>
          </cell>
          <cell r="D2194" t="str">
            <v>Suministro E Instalacion De Tuberia Para Vertimiento Final, Durafort De Hierro 10", Incluye Empalmes Y Emboquillado (Ver Diseño)</v>
          </cell>
          <cell r="E2194" t="str">
            <v>ML</v>
          </cell>
          <cell r="F2194">
            <v>87550.21</v>
          </cell>
          <cell r="G2194">
            <v>41767</v>
          </cell>
        </row>
        <row r="2195">
          <cell r="C2195">
            <v>3986</v>
          </cell>
          <cell r="D2195" t="str">
            <v>Suministro E Instalacion De Enchape En Piedra Mediterranea De 0.30 X 0.50 Metros, Incluye Pegante Para Exteriores Blanco Y Sellante Hidrofugante Mate (Ver Diseño).</v>
          </cell>
          <cell r="E2195" t="str">
            <v>M2</v>
          </cell>
          <cell r="F2195">
            <v>153069.48000000001</v>
          </cell>
          <cell r="G2195">
            <v>41767</v>
          </cell>
        </row>
        <row r="2196">
          <cell r="C2196">
            <v>3991</v>
          </cell>
          <cell r="D2196" t="str">
            <v>Suministro E Instalacion De Cubierta En Lamina De Policarbonato</v>
          </cell>
          <cell r="E2196" t="str">
            <v>M2</v>
          </cell>
          <cell r="F2196">
            <v>160377.04999999999</v>
          </cell>
          <cell r="G2196">
            <v>42669</v>
          </cell>
        </row>
        <row r="2197">
          <cell r="C2197">
            <v>3992</v>
          </cell>
          <cell r="D2197" t="str">
            <v>Suministro E Instalacion De Parales En Madera Teca De 0.10 A 0.12 Metros De Diametro X 2.50 Metros De Altura, Empotrados 0.50 Metros, Incluye Zapata De Concreto De 3000 Psi (Ver Diseño)</v>
          </cell>
          <cell r="E2197" t="str">
            <v>UN</v>
          </cell>
          <cell r="F2197">
            <v>243575.91</v>
          </cell>
          <cell r="G2197">
            <v>41767</v>
          </cell>
        </row>
        <row r="2198">
          <cell r="C2198">
            <v>3994</v>
          </cell>
          <cell r="D2198" t="str">
            <v>Plantilla Para Piso En Concreto De 3000 Psi E= 0.07 Metros, Incluye: Parrilla De Acero De D= 1/4" A Cada 0.50 Metros En Ambos Sentidos (Ver Diseño).</v>
          </cell>
          <cell r="E2198" t="str">
            <v>M2</v>
          </cell>
          <cell r="F2198">
            <v>40496.01</v>
          </cell>
          <cell r="G2198">
            <v>42779</v>
          </cell>
        </row>
        <row r="2199">
          <cell r="C2199">
            <v>3995</v>
          </cell>
          <cell r="D2199" t="str">
            <v>Suministro E Instalación De Pasamanos En Tubo Galvanizado De 2", Altura 0.20 Metros, Anclaje Cada 1.25 Metros, Incluye Platina Mas Tapa ( Ver Diseño)</v>
          </cell>
          <cell r="E2199" t="str">
            <v>ML</v>
          </cell>
          <cell r="F2199">
            <v>127600</v>
          </cell>
          <cell r="G2199">
            <v>41751</v>
          </cell>
        </row>
        <row r="2200">
          <cell r="C2200">
            <v>3996</v>
          </cell>
          <cell r="D2200" t="str">
            <v>Suministro E Instalación De Pasamanos En Acero Inoxidable Calibre 18 Ref. 304 Tubo 2", Altura 0.20 Metros ( Ver Diseño)</v>
          </cell>
          <cell r="E2200" t="str">
            <v>ML</v>
          </cell>
          <cell r="F2200">
            <v>150800</v>
          </cell>
          <cell r="G2200">
            <v>42538</v>
          </cell>
        </row>
        <row r="2201">
          <cell r="C2201">
            <v>3997</v>
          </cell>
          <cell r="D2201" t="str">
            <v>Suministro E Instalación De Baranda Pasamanos En Tubo Galvanizado De 2" Y De 1", Altura 1.20 Metros, Anclaje Cada 1.25 Metros, Incluye Platina Mas Tapa ( Ver Diseño)</v>
          </cell>
          <cell r="E2201" t="str">
            <v>ML</v>
          </cell>
          <cell r="F2201">
            <v>266800</v>
          </cell>
          <cell r="G2201">
            <v>41751</v>
          </cell>
        </row>
        <row r="2202">
          <cell r="C2202">
            <v>3998</v>
          </cell>
          <cell r="D2202" t="str">
            <v>Suministro E Instalación De Baranda Pasamanos En Acero Inoxidable Calibre 18 Ref. 304 Tubo 2" Y 1", Altura 1.20 Metros ( Ver Diseño)</v>
          </cell>
          <cell r="E2202" t="str">
            <v>ML</v>
          </cell>
          <cell r="F2202">
            <v>324800</v>
          </cell>
          <cell r="G2202">
            <v>42538</v>
          </cell>
        </row>
        <row r="2203">
          <cell r="C2203">
            <v>4000</v>
          </cell>
          <cell r="D2203" t="str">
            <v>Suministro E Instalacion De Conector Ampact 600525 (Ver Diseño)</v>
          </cell>
          <cell r="E2203" t="str">
            <v>UN</v>
          </cell>
          <cell r="F2203">
            <v>17037.75</v>
          </cell>
          <cell r="G2203">
            <v>42173</v>
          </cell>
        </row>
        <row r="2204">
          <cell r="C2204">
            <v>4002</v>
          </cell>
          <cell r="D2204" t="str">
            <v>Suministro E Instalacion De Grapa De Aluminio Tipo Pistola (Ver Diseño)</v>
          </cell>
          <cell r="E2204" t="str">
            <v>UN</v>
          </cell>
          <cell r="F2204">
            <v>50354.76</v>
          </cell>
          <cell r="G2204">
            <v>42173</v>
          </cell>
        </row>
        <row r="2205">
          <cell r="C2205">
            <v>4004</v>
          </cell>
          <cell r="D2205" t="str">
            <v>Suministro E Instalacion De Cable De Cobre Forrado N° 10 Awg-Aislamiento Thw (Ver Diseño)</v>
          </cell>
          <cell r="E2205" t="str">
            <v>ML</v>
          </cell>
          <cell r="F2205">
            <v>7242.25</v>
          </cell>
          <cell r="G2205">
            <v>42557</v>
          </cell>
        </row>
        <row r="2206">
          <cell r="C2206">
            <v>4006</v>
          </cell>
          <cell r="D2206" t="str">
            <v>Suministro E Instalacion De Line Post 57-1 Pin Corto (Ver Diseño)</v>
          </cell>
          <cell r="E2206" t="str">
            <v>UN</v>
          </cell>
          <cell r="F2206">
            <v>99474.15</v>
          </cell>
          <cell r="G2206">
            <v>42173</v>
          </cell>
        </row>
        <row r="2207">
          <cell r="C2207">
            <v>4008</v>
          </cell>
          <cell r="D2207" t="str">
            <v>Suministro E Instalacion De Aislador De Suspension Polimerico De 15 Kv (Ver Diseño).</v>
          </cell>
          <cell r="E2207" t="str">
            <v>UN</v>
          </cell>
          <cell r="F2207">
            <v>68989.119999999995</v>
          </cell>
          <cell r="G2207">
            <v>42173</v>
          </cell>
        </row>
        <row r="2208">
          <cell r="C2208">
            <v>4010</v>
          </cell>
          <cell r="D2208" t="str">
            <v>Suministro E Instalacion De Luminaria Tipo Panel Led De 1 X 36 W (Ver Diseño)</v>
          </cell>
          <cell r="E2208" t="str">
            <v>UN</v>
          </cell>
          <cell r="F2208">
            <v>371387.5</v>
          </cell>
          <cell r="G2208">
            <v>42472</v>
          </cell>
        </row>
        <row r="2209">
          <cell r="C2209">
            <v>4012</v>
          </cell>
          <cell r="D2209" t="str">
            <v>Suministro E Instalacion De Luminaria Tipo Aluled De 60 W (Ver Diseño)</v>
          </cell>
          <cell r="E2209" t="str">
            <v>UN</v>
          </cell>
          <cell r="F2209">
            <v>1232872.6399999999</v>
          </cell>
          <cell r="G2209">
            <v>42557</v>
          </cell>
        </row>
        <row r="2210">
          <cell r="C2210">
            <v>4014</v>
          </cell>
          <cell r="D2210" t="str">
            <v>Suministro E Instalacion De Tablero De Control Para Iluminacion, Incluye: Fotocelda,  Contactores, Breakers, Sistema De Sujecion Y Accesorios (Ver Diseño)</v>
          </cell>
          <cell r="E2210" t="str">
            <v>UN</v>
          </cell>
          <cell r="F2210">
            <v>1621249.51</v>
          </cell>
          <cell r="G2210">
            <v>42129</v>
          </cell>
        </row>
        <row r="2211">
          <cell r="C2211">
            <v>4016</v>
          </cell>
          <cell r="D2211" t="str">
            <v>Suministro E Instalacion De Luminaria Tipo Aluled De 90 W, Incluye: Brazo Tipo Cercha Para La Luminaria Galvanizado En Caliente (Ver Diseño)</v>
          </cell>
          <cell r="E2211" t="str">
            <v>UN</v>
          </cell>
          <cell r="F2211">
            <v>1669025.54</v>
          </cell>
          <cell r="G2211">
            <v>42557</v>
          </cell>
        </row>
        <row r="2212">
          <cell r="C2212">
            <v>4019</v>
          </cell>
          <cell r="D2212" t="str">
            <v>Suministro E Instalacion De Poste De Acero Galvanizado En Caliente De 8.00 Metros De Altura, Incluye: Tronco Conico Poligonal En Lamina De Acero Con Aditamento Para La Instalacion De Una Luminaria De 8.00 Metros Y Una De 6.00 Metros, Acabado Final En Pintura De Esmalte Para Exteriores, Anclaje De Concreto Y Pedestal (Ver Diseño)</v>
          </cell>
          <cell r="E2212" t="str">
            <v>UN</v>
          </cell>
          <cell r="F2212">
            <v>1837332.65</v>
          </cell>
          <cell r="G2212">
            <v>42067</v>
          </cell>
        </row>
        <row r="2213">
          <cell r="C2213">
            <v>4021</v>
          </cell>
          <cell r="D2213" t="str">
            <v>Suministro E Instalacion De Poste De Acero Galvanizado En Caliente De 9.00 Metros De Altura, Incluye: Tronco Conico Poligonal En Lamina De Acero Con Aditamento Para La Instalacion De Una Luminaria A 9.00 Metros Y Otra A 6.00 Metros, Acabado Final En Pintura De Esmalte Para Exteriores, Anclaje De Concreto Y Pedestal (Ver Diseño)</v>
          </cell>
          <cell r="E2213" t="str">
            <v>UN</v>
          </cell>
          <cell r="F2213">
            <v>2031672.65</v>
          </cell>
          <cell r="G2213">
            <v>42557</v>
          </cell>
        </row>
        <row r="2214">
          <cell r="C2214">
            <v>4025</v>
          </cell>
          <cell r="D2214" t="str">
            <v>Suministro E Instalacion De Tuberia Pvc Conduit De 4" (Ver Diseño)</v>
          </cell>
          <cell r="E2214" t="str">
            <v>ML</v>
          </cell>
          <cell r="F2214">
            <v>36395.769999999997</v>
          </cell>
          <cell r="G2214">
            <v>42557</v>
          </cell>
        </row>
        <row r="2215">
          <cell r="C2215">
            <v>4026</v>
          </cell>
          <cell r="D2215" t="str">
            <v>Suministro E Instalacion De Bajante En Tuberia Galvanizada De 1 1/2", Incluye: Capacete, Cinta Bandit, Hebillas Y Curva (Ver Diseño)</v>
          </cell>
          <cell r="E2215" t="str">
            <v>ML</v>
          </cell>
          <cell r="F2215">
            <v>435459.26</v>
          </cell>
          <cell r="G2215">
            <v>41771</v>
          </cell>
        </row>
        <row r="2216">
          <cell r="C2216">
            <v>4028</v>
          </cell>
          <cell r="D2216" t="str">
            <v>Suministro E Instalacion De Bajante En Tuberia Galvanizada De 1", Incluye: Capacete, Cinta Bandit, Hebillas Y Curva (Ver Diseño)</v>
          </cell>
          <cell r="E2216" t="str">
            <v>ML</v>
          </cell>
          <cell r="F2216">
            <v>312010.26</v>
          </cell>
          <cell r="G2216">
            <v>41771</v>
          </cell>
        </row>
        <row r="2217">
          <cell r="C2217">
            <v>4031</v>
          </cell>
          <cell r="D2217" t="str">
            <v>Puente Peatonal</v>
          </cell>
          <cell r="E2217" t="str">
            <v>SD</v>
          </cell>
          <cell r="F2217">
            <v>0</v>
          </cell>
          <cell r="G2217">
            <v>41743</v>
          </cell>
        </row>
        <row r="2218">
          <cell r="C2218">
            <v>4032</v>
          </cell>
          <cell r="D2218" t="str">
            <v>Placa Plazoleta 2</v>
          </cell>
          <cell r="E2218" t="str">
            <v>SD</v>
          </cell>
          <cell r="F2218">
            <v>0</v>
          </cell>
          <cell r="G2218">
            <v>41743</v>
          </cell>
        </row>
        <row r="2219">
          <cell r="C2219">
            <v>4033</v>
          </cell>
          <cell r="D2219" t="str">
            <v>Cancha Sintetica</v>
          </cell>
          <cell r="E2219" t="str">
            <v>SD</v>
          </cell>
          <cell r="F2219">
            <v>0</v>
          </cell>
          <cell r="G2219">
            <v>41743</v>
          </cell>
        </row>
        <row r="2220">
          <cell r="C2220">
            <v>4034</v>
          </cell>
          <cell r="D2220" t="str">
            <v>Canalizacion De Canal Paralelo A La Via Circunvalar</v>
          </cell>
          <cell r="E2220" t="str">
            <v>SD</v>
          </cell>
          <cell r="F2220">
            <v>0</v>
          </cell>
          <cell r="G2220">
            <v>41743</v>
          </cell>
        </row>
        <row r="2221">
          <cell r="C2221">
            <v>4035</v>
          </cell>
          <cell r="D2221" t="str">
            <v>Desmonte Y Montaje De Gabinete Cocina Existente (Ver Diseño).</v>
          </cell>
          <cell r="E2221" t="str">
            <v>UN</v>
          </cell>
          <cell r="F2221">
            <v>56000</v>
          </cell>
          <cell r="G2221">
            <v>42416</v>
          </cell>
        </row>
        <row r="2222">
          <cell r="C2222">
            <v>4036</v>
          </cell>
          <cell r="D2222" t="str">
            <v>Edificio De Mantenimiento</v>
          </cell>
          <cell r="E2222" t="str">
            <v>SD</v>
          </cell>
          <cell r="F2222">
            <v>0</v>
          </cell>
          <cell r="G2222">
            <v>41743</v>
          </cell>
        </row>
        <row r="2223">
          <cell r="C2223">
            <v>4037</v>
          </cell>
          <cell r="D2223" t="str">
            <v>Muro Para Soportes O Estribos De Puente En Concreto De 5000 Psi Premezclado, No Incluye Acero De Refuerzo</v>
          </cell>
          <cell r="E2223" t="str">
            <v>M3</v>
          </cell>
          <cell r="F2223">
            <v>717445.6</v>
          </cell>
          <cell r="G2223">
            <v>41821</v>
          </cell>
        </row>
        <row r="2224">
          <cell r="C2224">
            <v>4038</v>
          </cell>
          <cell r="D2224" t="str">
            <v>Placa De Fondo En Concreto De 5000 Psi Premezclado, No Incluye Acero De Refuerzo</v>
          </cell>
          <cell r="E2224" t="str">
            <v>M3</v>
          </cell>
          <cell r="F2224">
            <v>629284.30000000005</v>
          </cell>
          <cell r="G2224">
            <v>41821</v>
          </cell>
        </row>
        <row r="2225">
          <cell r="C2225">
            <v>4039</v>
          </cell>
          <cell r="D2225" t="str">
            <v>Vigas En Concreto De 5000 Psi Premezclado, No Incluye Acero De Refuerzo</v>
          </cell>
          <cell r="E2225" t="str">
            <v>M3</v>
          </cell>
          <cell r="F2225">
            <v>530428.67000000004</v>
          </cell>
          <cell r="G2225">
            <v>41821</v>
          </cell>
        </row>
        <row r="2226">
          <cell r="C2226">
            <v>4040</v>
          </cell>
          <cell r="D2226" t="str">
            <v>Equipamento</v>
          </cell>
          <cell r="E2226" t="str">
            <v>SD</v>
          </cell>
          <cell r="F2226">
            <v>0</v>
          </cell>
          <cell r="G2226">
            <v>41744</v>
          </cell>
        </row>
        <row r="2227">
          <cell r="C2227">
            <v>4041</v>
          </cell>
          <cell r="D2227" t="str">
            <v>Equipamento Gradas</v>
          </cell>
          <cell r="E2227" t="str">
            <v>SD</v>
          </cell>
          <cell r="F2227">
            <v>0</v>
          </cell>
          <cell r="G2227">
            <v>41744</v>
          </cell>
        </row>
        <row r="2228">
          <cell r="C2228">
            <v>4042</v>
          </cell>
          <cell r="D2228" t="str">
            <v>Otros</v>
          </cell>
          <cell r="E2228" t="str">
            <v>SD</v>
          </cell>
          <cell r="F2228">
            <v>0</v>
          </cell>
          <cell r="G2228">
            <v>41744</v>
          </cell>
        </row>
        <row r="2229">
          <cell r="C2229">
            <v>4043</v>
          </cell>
          <cell r="D2229" t="str">
            <v>Pañete En Concreto De 2000 Psi</v>
          </cell>
          <cell r="E2229" t="str">
            <v>M3</v>
          </cell>
          <cell r="F2229">
            <v>555423.5</v>
          </cell>
          <cell r="G2229">
            <v>41821</v>
          </cell>
        </row>
        <row r="2230">
          <cell r="C2230">
            <v>4044</v>
          </cell>
          <cell r="D2230" t="str">
            <v>Placa Superior En Concreto De 5000 Psi Premezclado, No Incluye Acero De Refuerzo</v>
          </cell>
          <cell r="E2230" t="str">
            <v>M3</v>
          </cell>
          <cell r="F2230">
            <v>743335.9</v>
          </cell>
          <cell r="G2230">
            <v>41821</v>
          </cell>
        </row>
        <row r="2231">
          <cell r="C2231">
            <v>4045</v>
          </cell>
          <cell r="D2231" t="str">
            <v>Estructura Locales</v>
          </cell>
          <cell r="E2231" t="str">
            <v>SD</v>
          </cell>
          <cell r="F2231">
            <v>0</v>
          </cell>
          <cell r="G2231">
            <v>41745</v>
          </cell>
        </row>
        <row r="2232">
          <cell r="C2232">
            <v>4046</v>
          </cell>
          <cell r="D2232" t="str">
            <v>Paisajismo Muro Vivo En Cascada Altura = 4.00 Metros (Ver Diseño)</v>
          </cell>
          <cell r="E2232" t="str">
            <v>M2</v>
          </cell>
          <cell r="F2232">
            <v>800000</v>
          </cell>
          <cell r="G2232">
            <v>41785</v>
          </cell>
        </row>
        <row r="2233">
          <cell r="C2233">
            <v>4047</v>
          </cell>
          <cell r="D2233" t="str">
            <v>Muro Cascada</v>
          </cell>
          <cell r="E2233" t="str">
            <v>SD</v>
          </cell>
          <cell r="F2233">
            <v>0</v>
          </cell>
          <cell r="G2233">
            <v>41758</v>
          </cell>
        </row>
        <row r="2234">
          <cell r="C2234">
            <v>4048</v>
          </cell>
          <cell r="D2234" t="str">
            <v>Muro De Contencion Lago 2</v>
          </cell>
          <cell r="E2234" t="str">
            <v>SD</v>
          </cell>
          <cell r="F2234">
            <v>0</v>
          </cell>
          <cell r="G2234">
            <v>41758</v>
          </cell>
        </row>
        <row r="2235">
          <cell r="C2235">
            <v>4049</v>
          </cell>
          <cell r="D2235" t="str">
            <v>Muro De Contencion Ojo De Agua</v>
          </cell>
          <cell r="E2235" t="str">
            <v>SD</v>
          </cell>
          <cell r="F2235">
            <v>0</v>
          </cell>
          <cell r="G2235">
            <v>41758</v>
          </cell>
        </row>
        <row r="2236">
          <cell r="C2236">
            <v>4050</v>
          </cell>
          <cell r="D2236" t="str">
            <v>Alberca Para Almacenamiento De Agua Para Riego</v>
          </cell>
          <cell r="E2236" t="str">
            <v>SD</v>
          </cell>
          <cell r="F2236">
            <v>0</v>
          </cell>
          <cell r="G2236">
            <v>41758</v>
          </cell>
        </row>
        <row r="2237">
          <cell r="C2237">
            <v>4051</v>
          </cell>
          <cell r="D2237" t="str">
            <v>Puentes Peatonales N° 1-2-3-4-5-6</v>
          </cell>
          <cell r="E2237" t="str">
            <v>SD</v>
          </cell>
          <cell r="F2237">
            <v>0</v>
          </cell>
          <cell r="G2237">
            <v>41758</v>
          </cell>
        </row>
        <row r="2238">
          <cell r="C2238">
            <v>4052</v>
          </cell>
          <cell r="D2238" t="str">
            <v>Cafeterias</v>
          </cell>
          <cell r="E2238" t="str">
            <v>SD</v>
          </cell>
          <cell r="F2238">
            <v>0</v>
          </cell>
          <cell r="G2238">
            <v>41758</v>
          </cell>
        </row>
        <row r="2239">
          <cell r="C2239">
            <v>4054</v>
          </cell>
          <cell r="D2239" t="str">
            <v>Plantilla Para Piso En Concreto De 3000 Psi E= 0.07 Metros, Incluye Parrilla De Acero De D= 1/4" A Cada 0.10 Metros En Ambos Sentidos (Ver Diseño).</v>
          </cell>
          <cell r="E2239" t="str">
            <v>M2</v>
          </cell>
          <cell r="F2239">
            <v>44916.39</v>
          </cell>
          <cell r="G2239">
            <v>42578</v>
          </cell>
        </row>
        <row r="2240">
          <cell r="C2240">
            <v>4055</v>
          </cell>
          <cell r="D2240" t="str">
            <v>Suministro E Instalacion De Banca Jardinera Para Parque En Levante De Bloque Abuzardado Reforzado, Placa En Concreto De 3000 Psi E= 0.07 Metros Y Pañete Impermeabilizado (Ver Diseño).</v>
          </cell>
          <cell r="E2240" t="str">
            <v>UN</v>
          </cell>
          <cell r="F2240">
            <v>932883</v>
          </cell>
          <cell r="G2240">
            <v>42195</v>
          </cell>
        </row>
        <row r="2241">
          <cell r="C2241">
            <v>4057</v>
          </cell>
          <cell r="D2241" t="str">
            <v>Suministro E Instalacion De Kioscos, Incluye Estructura En Perfiles Metalicos Y Contorno En Madera, Kioscos Ubicados En Los Senderos Del Parque (Ver Diseño)</v>
          </cell>
          <cell r="E2241" t="str">
            <v>GL</v>
          </cell>
          <cell r="F2241">
            <v>5350000</v>
          </cell>
          <cell r="G2241">
            <v>41785</v>
          </cell>
        </row>
        <row r="2242">
          <cell r="C2242">
            <v>4058</v>
          </cell>
          <cell r="D2242" t="str">
            <v>Suministro E Instalacion De Escalera En Estructura Metalica Con Peldaños En Lamina Galvanizada Antideslizante En Calibre 26 (Ver Diseño)</v>
          </cell>
          <cell r="E2242" t="str">
            <v>GL</v>
          </cell>
          <cell r="F2242">
            <v>3000000</v>
          </cell>
          <cell r="G2242">
            <v>42195</v>
          </cell>
        </row>
        <row r="2243">
          <cell r="C2243">
            <v>4059</v>
          </cell>
          <cell r="D2243" t="str">
            <v>Suministro E Instalacion De Cubierta En Estructura Metalica Con Lamina Traslucida En Policarbonato, Incluye Seis (6) Soportes Para Apoyo (Ver Diseño)</v>
          </cell>
          <cell r="E2243" t="str">
            <v>M2</v>
          </cell>
          <cell r="F2243">
            <v>112500</v>
          </cell>
          <cell r="G2243">
            <v>41785</v>
          </cell>
        </row>
        <row r="2244">
          <cell r="C2244">
            <v>4060</v>
          </cell>
          <cell r="D2244" t="str">
            <v>Sunministro E Instalacion De Partidor Electrico Para Salida En Pista De Bicicroos (Ver Diseño).</v>
          </cell>
          <cell r="E2244" t="str">
            <v>GL</v>
          </cell>
          <cell r="F2244">
            <v>4000000</v>
          </cell>
          <cell r="G2244">
            <v>42195</v>
          </cell>
        </row>
        <row r="2245">
          <cell r="C2245">
            <v>4061</v>
          </cell>
          <cell r="D2245" t="str">
            <v>Suministro E Instalacion De Placa Identificacion Parque Jardin Botanico (Ver Diseño)</v>
          </cell>
          <cell r="E2245" t="str">
            <v>UN</v>
          </cell>
          <cell r="F2245">
            <v>8000000</v>
          </cell>
          <cell r="G2245">
            <v>42195</v>
          </cell>
        </row>
        <row r="2246">
          <cell r="C2246">
            <v>4062</v>
          </cell>
          <cell r="D2246" t="str">
            <v>Suministro E Instalacion De Pozo Y Riego, Incluye: Adecuacion Del Area, Perforacion Exploratoria, Grava Y Gravilla (Ver Diseño)</v>
          </cell>
          <cell r="E2246" t="str">
            <v>UN</v>
          </cell>
          <cell r="F2246">
            <v>50000000</v>
          </cell>
          <cell r="G2246">
            <v>42195</v>
          </cell>
        </row>
        <row r="2247">
          <cell r="C2247">
            <v>4063</v>
          </cell>
          <cell r="D2247" t="str">
            <v>Provision Plan De Manejo De Tráfico.</v>
          </cell>
          <cell r="E2247" t="str">
            <v>GL</v>
          </cell>
          <cell r="F2247">
            <v>45000000</v>
          </cell>
          <cell r="G2247">
            <v>42578</v>
          </cell>
        </row>
        <row r="2248">
          <cell r="C2248">
            <v>4064</v>
          </cell>
          <cell r="D2248" t="str">
            <v>Suministro Transporte Y Siembra De Árboles Adultos.</v>
          </cell>
          <cell r="E2248" t="str">
            <v>UN</v>
          </cell>
          <cell r="F2248">
            <v>200000</v>
          </cell>
          <cell r="G2248">
            <v>42578</v>
          </cell>
        </row>
        <row r="2249">
          <cell r="C2249">
            <v>4065</v>
          </cell>
          <cell r="D2249" t="str">
            <v>Suministro E Instalacion De Sistema Electrico Para Muro Cascada, Incluye: Motobomba, Tuberias, Cables Y Cicuito En General (Ver Diseño)</v>
          </cell>
          <cell r="E2249" t="str">
            <v>GL</v>
          </cell>
          <cell r="F2249">
            <v>23000000</v>
          </cell>
          <cell r="G2249">
            <v>41785</v>
          </cell>
        </row>
        <row r="2250">
          <cell r="C2250">
            <v>4066</v>
          </cell>
          <cell r="D2250" t="str">
            <v>Suministro De Bolardo En Concreto Tipo M60. Incluye Transporte.</v>
          </cell>
          <cell r="E2250" t="str">
            <v>UN</v>
          </cell>
          <cell r="F2250">
            <v>81500</v>
          </cell>
          <cell r="G2250">
            <v>41764</v>
          </cell>
        </row>
        <row r="2251">
          <cell r="C2251">
            <v>4067</v>
          </cell>
          <cell r="D2251" t="str">
            <v>Bolardo En Concreto Tipo M60 F'C=3000 Psi.</v>
          </cell>
          <cell r="E2251" t="str">
            <v>UN</v>
          </cell>
          <cell r="F2251">
            <v>116515.21</v>
          </cell>
          <cell r="G2251">
            <v>41781</v>
          </cell>
        </row>
        <row r="2252">
          <cell r="C2252">
            <v>4068</v>
          </cell>
          <cell r="D2252" t="str">
            <v>Señales De Tránsito Grupo 1 (75X75).</v>
          </cell>
          <cell r="E2252" t="str">
            <v>UN</v>
          </cell>
          <cell r="F2252">
            <v>180000</v>
          </cell>
          <cell r="G2252">
            <v>41764</v>
          </cell>
        </row>
        <row r="2253">
          <cell r="C2253">
            <v>4069</v>
          </cell>
          <cell r="D2253" t="str">
            <v>Limpieza De Pozo De Inspección. Incluye Retiro De Material.</v>
          </cell>
          <cell r="E2253" t="str">
            <v>UN</v>
          </cell>
          <cell r="F2253">
            <v>138310.04999999999</v>
          </cell>
          <cell r="G2253">
            <v>41785</v>
          </cell>
        </row>
        <row r="2254">
          <cell r="C2254">
            <v>4070</v>
          </cell>
          <cell r="D2254" t="str">
            <v>Suministro E Instalacion De Cerramiento En Lamina De Zinc, Altura 2.00 Metros (Ver Diseño)</v>
          </cell>
          <cell r="E2254" t="str">
            <v>ML</v>
          </cell>
          <cell r="F2254">
            <v>45758.02</v>
          </cell>
          <cell r="G2254">
            <v>42578</v>
          </cell>
        </row>
        <row r="2255">
          <cell r="C2255">
            <v>4071</v>
          </cell>
          <cell r="D2255" t="str">
            <v>Construcción De Manhole De H=1.45 A 1.80 M. Incluye Tapa En Hierro Fundido.</v>
          </cell>
          <cell r="E2255" t="str">
            <v>UN</v>
          </cell>
          <cell r="F2255">
            <v>1122734.71</v>
          </cell>
          <cell r="G2255">
            <v>41785</v>
          </cell>
        </row>
        <row r="2256">
          <cell r="C2256">
            <v>4072</v>
          </cell>
          <cell r="D2256" t="str">
            <v>Excavacion A Mano Para Vigas De Amarre 0.60 X 0.80 Metros,  Senderos, Altura H= 0.10 Metros (Ver Diseño)</v>
          </cell>
          <cell r="E2256" t="str">
            <v>ML</v>
          </cell>
          <cell r="F2256">
            <v>10517.35</v>
          </cell>
          <cell r="G2256">
            <v>41835</v>
          </cell>
        </row>
        <row r="2257">
          <cell r="C2257">
            <v>4073</v>
          </cell>
          <cell r="D2257" t="str">
            <v>Excavacion A Mano Para Senderos Altura H= 0.10 Metros (Ver Diseño)</v>
          </cell>
          <cell r="E2257" t="str">
            <v>M3</v>
          </cell>
          <cell r="F2257">
            <v>45855.11</v>
          </cell>
          <cell r="G2257">
            <v>41771</v>
          </cell>
        </row>
        <row r="2258">
          <cell r="C2258">
            <v>4074</v>
          </cell>
          <cell r="D2258" t="str">
            <v>Suministro E Instalación  De Tubería Domiciliaria Pf + Uad De Polietileno D = 1/2" L=7.00 Metros</v>
          </cell>
          <cell r="E2258" t="str">
            <v>UN</v>
          </cell>
          <cell r="F2258">
            <v>40861.47</v>
          </cell>
          <cell r="G2258">
            <v>42461</v>
          </cell>
        </row>
        <row r="2259">
          <cell r="C2259">
            <v>4075</v>
          </cell>
          <cell r="D2259" t="str">
            <v>Reparación De Fugas De Agua Potable.</v>
          </cell>
          <cell r="E2259" t="str">
            <v>UN</v>
          </cell>
          <cell r="F2259">
            <v>317414.56</v>
          </cell>
          <cell r="G2259">
            <v>41785</v>
          </cell>
        </row>
        <row r="2260">
          <cell r="C2260">
            <v>4076</v>
          </cell>
          <cell r="D2260" t="str">
            <v>Conexión Domiciliaria De 6" De Alcantarillado L= 3 A 5 M.</v>
          </cell>
          <cell r="E2260" t="str">
            <v>UN</v>
          </cell>
          <cell r="F2260">
            <v>325200.89</v>
          </cell>
          <cell r="G2260">
            <v>41785</v>
          </cell>
        </row>
        <row r="2261">
          <cell r="C2261">
            <v>4077</v>
          </cell>
          <cell r="D2261" t="str">
            <v>Reposición De Tubería De Alcantarillado.</v>
          </cell>
          <cell r="E2261" t="str">
            <v>UN</v>
          </cell>
          <cell r="F2261">
            <v>263614.99</v>
          </cell>
          <cell r="G2261">
            <v>41785</v>
          </cell>
        </row>
        <row r="2262">
          <cell r="C2262">
            <v>4078</v>
          </cell>
          <cell r="D2262" t="str">
            <v>Pista De Bicicross</v>
          </cell>
          <cell r="E2262" t="str">
            <v>SD</v>
          </cell>
          <cell r="F2262">
            <v>0</v>
          </cell>
          <cell r="G2262">
            <v>41765</v>
          </cell>
        </row>
        <row r="2263">
          <cell r="C2263">
            <v>4083</v>
          </cell>
          <cell r="D2263" t="str">
            <v>Suministro E Instalación De Muro En Lámina Superboard De 8 Mm Por Ambas Caras</v>
          </cell>
          <cell r="E2263" t="str">
            <v>M2</v>
          </cell>
          <cell r="F2263">
            <v>84600.59</v>
          </cell>
          <cell r="G2263">
            <v>42538</v>
          </cell>
        </row>
        <row r="2264">
          <cell r="C2264">
            <v>4084</v>
          </cell>
          <cell r="D2264" t="str">
            <v>Suministro E Instalación De Muro En Lámina Superboard De 14 Mm Por Ambas Caras</v>
          </cell>
          <cell r="E2264" t="str">
            <v>M2</v>
          </cell>
          <cell r="F2264">
            <v>114000.59</v>
          </cell>
          <cell r="G2264">
            <v>41765</v>
          </cell>
        </row>
        <row r="2265">
          <cell r="C2265">
            <v>4085</v>
          </cell>
          <cell r="D2265" t="str">
            <v>Suministro E Instalación De Cielo Raso En Lámina Superboard De 14 Mm Por Ambas Caras, Con Estructura Metálica Y Perfil Omega A Cada 0.41 Metros</v>
          </cell>
          <cell r="E2265" t="str">
            <v>M2</v>
          </cell>
          <cell r="F2265">
            <v>107399.9</v>
          </cell>
          <cell r="G2265">
            <v>41765</v>
          </cell>
        </row>
        <row r="2266">
          <cell r="C2266">
            <v>4086</v>
          </cell>
          <cell r="D2266" t="str">
            <v>Suministro E Instalación De Superboard De 8 Mm Para Recubrimiento De Estera Metálica Y Vista De Cubierta</v>
          </cell>
          <cell r="E2266" t="str">
            <v>ML</v>
          </cell>
          <cell r="F2266">
            <v>44364.97</v>
          </cell>
          <cell r="G2266">
            <v>42314</v>
          </cell>
        </row>
        <row r="2267">
          <cell r="C2267">
            <v>4087</v>
          </cell>
          <cell r="D2267" t="str">
            <v>Canalización 0.30 X 0.90 En Zona De Arena. Incluye Excavación, Compactado Con Material Del Sitio Y Cinta De Seguridad.</v>
          </cell>
          <cell r="E2267" t="str">
            <v>ML</v>
          </cell>
          <cell r="F2267">
            <v>63267.99</v>
          </cell>
          <cell r="G2267">
            <v>42557</v>
          </cell>
        </row>
        <row r="2268">
          <cell r="C2268">
            <v>4088</v>
          </cell>
          <cell r="D2268" t="str">
            <v>Suministro E Instalación De Ducto Tdp D=4" Bajo Andén O Calzada De Redes De Telecomunicaciones. Incluye Transporte, Tendido Y Sondeo De Ductos.</v>
          </cell>
          <cell r="E2268" t="str">
            <v>ML</v>
          </cell>
          <cell r="F2268">
            <v>457720.15</v>
          </cell>
          <cell r="G2268">
            <v>41785</v>
          </cell>
        </row>
        <row r="2269">
          <cell r="C2269">
            <v>4092</v>
          </cell>
          <cell r="D2269" t="str">
            <v>Suministro E Instalacion De Enchape En Piedra Tipo Espacato O Similar Para Muro (Ver Diseño).</v>
          </cell>
          <cell r="E2269" t="str">
            <v>M2</v>
          </cell>
          <cell r="F2269">
            <v>128702.25</v>
          </cell>
          <cell r="G2269">
            <v>41771</v>
          </cell>
        </row>
        <row r="2270">
          <cell r="C2270">
            <v>4093</v>
          </cell>
          <cell r="D2270" t="str">
            <v>Marca Vial Para Demarcación De Pasos Peatonales (Cebra).</v>
          </cell>
          <cell r="E2270" t="str">
            <v>M2</v>
          </cell>
          <cell r="F2270">
            <v>16603.28</v>
          </cell>
          <cell r="G2270">
            <v>41911</v>
          </cell>
        </row>
        <row r="2271">
          <cell r="C2271">
            <v>4094</v>
          </cell>
          <cell r="D2271" t="str">
            <v>Cicloruta En Mezcla Asfáltica E=0.06M.</v>
          </cell>
          <cell r="E2271" t="str">
            <v>M2</v>
          </cell>
          <cell r="F2271">
            <v>78236.509999999995</v>
          </cell>
          <cell r="G2271">
            <v>41781</v>
          </cell>
        </row>
        <row r="2272">
          <cell r="C2272">
            <v>4095</v>
          </cell>
          <cell r="D2272" t="str">
            <v>Registro En Concreto De 1.10 X 1.10 X 1.10 M. Incluye Tapa En Ángulo De Hierro De 1 1/2" X 3/16" En Marco Galvanizado.</v>
          </cell>
          <cell r="E2272" t="str">
            <v>UN</v>
          </cell>
          <cell r="F2272">
            <v>987049.91</v>
          </cell>
          <cell r="G2272">
            <v>41785</v>
          </cell>
        </row>
        <row r="2273">
          <cell r="C2273">
            <v>4097</v>
          </cell>
          <cell r="D2273" t="str">
            <v>Suministro E Instalación De Tubería Galvanizada Cuadrada De 2"</v>
          </cell>
          <cell r="E2273" t="str">
            <v>ML</v>
          </cell>
          <cell r="F2273">
            <v>29965.7</v>
          </cell>
          <cell r="G2273">
            <v>41766</v>
          </cell>
        </row>
        <row r="2274">
          <cell r="C2274">
            <v>4098</v>
          </cell>
          <cell r="D2274" t="str">
            <v>Suministro E Instalación De Tubería Galvanizada Cuadrada De 3"</v>
          </cell>
          <cell r="E2274" t="str">
            <v>ML</v>
          </cell>
          <cell r="F2274">
            <v>35180</v>
          </cell>
          <cell r="G2274">
            <v>41766</v>
          </cell>
        </row>
        <row r="2275">
          <cell r="C2275">
            <v>4100</v>
          </cell>
          <cell r="D2275" t="str">
            <v>Suministro E Instalación De Sumideros Con Rejilla Metálica De 1 Metro De Ancho.</v>
          </cell>
          <cell r="E2275" t="str">
            <v>ML</v>
          </cell>
          <cell r="F2275">
            <v>580600</v>
          </cell>
          <cell r="G2275">
            <v>42417</v>
          </cell>
        </row>
        <row r="2276">
          <cell r="C2276">
            <v>4101</v>
          </cell>
          <cell r="D2276" t="str">
            <v>Canal De Conducción Tipo I En Concreto (1 X 1 X 1) F'C=4000 Psi.</v>
          </cell>
          <cell r="E2276" t="str">
            <v>ML</v>
          </cell>
          <cell r="F2276">
            <v>880358.59</v>
          </cell>
          <cell r="G2276">
            <v>41785</v>
          </cell>
        </row>
        <row r="2277">
          <cell r="C2277">
            <v>4102</v>
          </cell>
          <cell r="D2277" t="str">
            <v>Construccion De Registro  En Concreto Dim (1.00X 1.00 X 1.40 M) - Tapa En Angulo De Hierro De 1 1/2" X 3/16". Marco Galvanizado.</v>
          </cell>
          <cell r="E2277" t="str">
            <v>UN</v>
          </cell>
          <cell r="F2277">
            <v>893535.99</v>
          </cell>
          <cell r="G2277">
            <v>41785</v>
          </cell>
        </row>
        <row r="2278">
          <cell r="C2278">
            <v>4103</v>
          </cell>
          <cell r="D2278" t="str">
            <v>Suminstro E Instalación De Luminaria De Led 60 W. (Incluye Brazo Ornamental 2,5 Mts., Pernos Y Fotocelda).</v>
          </cell>
          <cell r="E2278" t="str">
            <v>UN</v>
          </cell>
          <cell r="F2278">
            <v>1714537.62</v>
          </cell>
          <cell r="G2278">
            <v>41766</v>
          </cell>
        </row>
        <row r="2279">
          <cell r="C2279">
            <v>4105</v>
          </cell>
          <cell r="D2279" t="str">
            <v>Escalera - Rampas</v>
          </cell>
          <cell r="E2279" t="str">
            <v>SD</v>
          </cell>
          <cell r="F2279">
            <v>0</v>
          </cell>
          <cell r="G2279">
            <v>41771</v>
          </cell>
        </row>
        <row r="2280">
          <cell r="C2280">
            <v>4106</v>
          </cell>
          <cell r="D2280" t="str">
            <v>Estructura Metalica</v>
          </cell>
          <cell r="E2280" t="str">
            <v>SD</v>
          </cell>
          <cell r="F2280">
            <v>0</v>
          </cell>
          <cell r="G2280">
            <v>41771</v>
          </cell>
        </row>
        <row r="2281">
          <cell r="C2281">
            <v>4107</v>
          </cell>
          <cell r="D2281" t="str">
            <v>Suministro E Instalación De Sardinel En Concreto Prefabricado De 0.35 X 0.20 X 0.80 Tipo Titan Ref. A80 O Similar. Incluye Solado En Concreto De 2000 Psi.</v>
          </cell>
          <cell r="E2281" t="str">
            <v>ML</v>
          </cell>
          <cell r="F2281">
            <v>80307.44</v>
          </cell>
          <cell r="G2281">
            <v>42552</v>
          </cell>
        </row>
        <row r="2282">
          <cell r="C2282">
            <v>4110</v>
          </cell>
          <cell r="D2282" t="str">
            <v>Control Topografico Y Planos Record Durante El Proceso Constructivo, Proyecto Alcaldias Locales En El Distrito De Barranquilla, Con Un Area De 1308 M2 (Ver Diseño)</v>
          </cell>
          <cell r="E2282" t="str">
            <v>GL</v>
          </cell>
          <cell r="F2282">
            <v>3495833.33</v>
          </cell>
          <cell r="G2282">
            <v>41927</v>
          </cell>
        </row>
        <row r="2283">
          <cell r="C2283">
            <v>4112</v>
          </cell>
          <cell r="D2283" t="str">
            <v>Suministro E Instalacion De Wind De Aluminio Natural Acolillada Sobre Muro ( Ver Diseño)</v>
          </cell>
          <cell r="E2283" t="str">
            <v>ML</v>
          </cell>
          <cell r="F2283">
            <v>1565.63</v>
          </cell>
          <cell r="G2283">
            <v>41927</v>
          </cell>
        </row>
        <row r="2284">
          <cell r="C2284">
            <v>4113</v>
          </cell>
          <cell r="D2284" t="str">
            <v>Suministro E Instalacion De Punto Salida Interruptor Doble</v>
          </cell>
          <cell r="E2284" t="str">
            <v>UN</v>
          </cell>
          <cell r="F2284">
            <v>91436.14</v>
          </cell>
          <cell r="G2284">
            <v>42578</v>
          </cell>
        </row>
        <row r="2285">
          <cell r="C2285">
            <v>4115</v>
          </cell>
          <cell r="D2285" t="str">
            <v>Suministro E Instalacion De Luminaria T-5, 4 X 17 Watios De 0.60 X 0.60 Metros</v>
          </cell>
          <cell r="E2285" t="str">
            <v>UN</v>
          </cell>
          <cell r="F2285">
            <v>179396.13</v>
          </cell>
          <cell r="G2285">
            <v>41912</v>
          </cell>
        </row>
        <row r="2286">
          <cell r="C2286">
            <v>4117</v>
          </cell>
          <cell r="D2286" t="str">
            <v>Suministro E Instalacion De Luminaria Tipo Aplique De Pared De 1 X 20 Watios, Incluye Bombillo</v>
          </cell>
          <cell r="E2286" t="str">
            <v>UN</v>
          </cell>
          <cell r="F2286">
            <v>72399.13</v>
          </cell>
          <cell r="G2286">
            <v>41927</v>
          </cell>
        </row>
        <row r="2287">
          <cell r="C2287">
            <v>4120</v>
          </cell>
          <cell r="D2287" t="str">
            <v>Suministro E Instalacion De Interruptor Termomagnetico Tipo Industrial 3 X 80 Amperios</v>
          </cell>
          <cell r="E2287" t="str">
            <v>UN</v>
          </cell>
          <cell r="F2287">
            <v>248233.26</v>
          </cell>
          <cell r="G2287">
            <v>41927</v>
          </cell>
        </row>
        <row r="2288">
          <cell r="C2288">
            <v>4121</v>
          </cell>
          <cell r="D2288" t="str">
            <v>Suministro E Instalacion De Interruptor Termomagnetico Tipo Industrial 3 X 125 Amperios</v>
          </cell>
          <cell r="E2288" t="str">
            <v>UN</v>
          </cell>
          <cell r="F2288">
            <v>301325.96999999997</v>
          </cell>
          <cell r="G2288">
            <v>41927</v>
          </cell>
        </row>
        <row r="2289">
          <cell r="C2289">
            <v>4122</v>
          </cell>
          <cell r="D2289" t="str">
            <v>Capítulo - Obras De Urbanismo</v>
          </cell>
          <cell r="E2289" t="str">
            <v>SD</v>
          </cell>
          <cell r="F2289">
            <v>0</v>
          </cell>
          <cell r="G2289">
            <v>41773</v>
          </cell>
        </row>
        <row r="2290">
          <cell r="C2290">
            <v>4123</v>
          </cell>
          <cell r="D2290" t="str">
            <v>Suministro E Instalacion De Acometida Para Tablero Td/Tl, 3X#1/0 X Fases + 1#1/0 Neutro + 1#2 Tierra Thhn Marca Certificada, Incluye Ducto Emt 2"</v>
          </cell>
          <cell r="E2290" t="str">
            <v>ML</v>
          </cell>
          <cell r="F2290">
            <v>95347.53</v>
          </cell>
          <cell r="G2290">
            <v>41927</v>
          </cell>
        </row>
        <row r="2291">
          <cell r="C2291">
            <v>4124</v>
          </cell>
          <cell r="D2291" t="str">
            <v>Suministro E Instalacion De Acometida Para Tablero A.A. 3X#2 Fases + 1#2 Neutro + 1#2 Tierra Thhn Marca Certificada Para El Tablero, Incluye Ducto Pvc 1 1/2" Tipo Pesado</v>
          </cell>
          <cell r="E2291" t="str">
            <v>ML</v>
          </cell>
          <cell r="F2291">
            <v>63274.57</v>
          </cell>
          <cell r="G2291">
            <v>41927</v>
          </cell>
        </row>
        <row r="2292">
          <cell r="C2292">
            <v>4126</v>
          </cell>
          <cell r="D2292" t="str">
            <v>Suministro E Instalacion De Cofre Metalico Calibre 16 Con Lamina Cold Roll Tipo Intemperie Color Almendra Con Medidas De 1.00 Metro De Alto X 1.05 Metros De Ancho X 0.50 Metros De Fondo Con Certificacion Retie</v>
          </cell>
          <cell r="E2292" t="str">
            <v>UN</v>
          </cell>
          <cell r="F2292">
            <v>911821</v>
          </cell>
          <cell r="G2292">
            <v>41927</v>
          </cell>
        </row>
        <row r="2293">
          <cell r="C2293">
            <v>4127</v>
          </cell>
          <cell r="D2293" t="str">
            <v>Suministro E Instalacion De Barraje En Cobre Electrolitico 3" X 1/2" Para Capacidad 250 Amperios, Incluye Aisladores, Tornilleria Y El Protector En Acrilico</v>
          </cell>
          <cell r="E2293" t="str">
            <v>UN</v>
          </cell>
          <cell r="F2293">
            <v>649564.23</v>
          </cell>
          <cell r="G2293">
            <v>41927</v>
          </cell>
        </row>
        <row r="2294">
          <cell r="C2294">
            <v>4129</v>
          </cell>
          <cell r="D2294" t="str">
            <v>Suministro E Instalacion De Terminales De Ponchar Para Cable 4/0</v>
          </cell>
          <cell r="E2294" t="str">
            <v>UN</v>
          </cell>
          <cell r="F2294">
            <v>21778.91</v>
          </cell>
          <cell r="G2294">
            <v>41927</v>
          </cell>
        </row>
        <row r="2295">
          <cell r="C2295">
            <v>4131</v>
          </cell>
          <cell r="D2295" t="str">
            <v>Suministro E Instalacion De Terminales De Ponchar Para Cable # 1/0 Thhn</v>
          </cell>
          <cell r="E2295" t="str">
            <v>UN</v>
          </cell>
          <cell r="F2295">
            <v>13353.88</v>
          </cell>
          <cell r="G2295">
            <v>41927</v>
          </cell>
        </row>
        <row r="2296">
          <cell r="C2296">
            <v>4133</v>
          </cell>
          <cell r="D2296" t="str">
            <v>Suministro E Instalacion De Terminales De Ponchar Para Cable # 2 Thhn</v>
          </cell>
          <cell r="E2296" t="str">
            <v>UN</v>
          </cell>
          <cell r="F2296">
            <v>11349.17</v>
          </cell>
          <cell r="G2296">
            <v>41927</v>
          </cell>
        </row>
        <row r="2297">
          <cell r="C2297">
            <v>4135</v>
          </cell>
          <cell r="D2297" t="str">
            <v>Suministro E Instalacion De Transformador De 75 Kva Trifasico 13,2 Kv - 208-120 Voltios, Convencional En Aceite Marca Homologada Por Electricaribe (Ver Diseño)</v>
          </cell>
          <cell r="E2297" t="str">
            <v>UN</v>
          </cell>
          <cell r="F2297">
            <v>6454995.9800000004</v>
          </cell>
          <cell r="G2297">
            <v>42457</v>
          </cell>
        </row>
        <row r="2298">
          <cell r="C2298">
            <v>4138</v>
          </cell>
          <cell r="D2298" t="str">
            <v>Vestida De Poste Nuevo Estructura Corrida En Caliente (Ver Diseño)</v>
          </cell>
          <cell r="E2298" t="str">
            <v>UN</v>
          </cell>
          <cell r="F2298">
            <v>1742074</v>
          </cell>
          <cell r="G2298">
            <v>41927</v>
          </cell>
        </row>
        <row r="2299">
          <cell r="C2299">
            <v>4140</v>
          </cell>
          <cell r="D2299" t="str">
            <v>Retiro De Poste Y Estructura Existente Con Los Demas Equipos (Ver Diseño)</v>
          </cell>
          <cell r="E2299" t="str">
            <v>UN</v>
          </cell>
          <cell r="F2299">
            <v>1589632</v>
          </cell>
          <cell r="G2299">
            <v>41927</v>
          </cell>
        </row>
        <row r="2300">
          <cell r="C2300">
            <v>4142</v>
          </cell>
          <cell r="D2300" t="str">
            <v>Suministro E Instalacion De Acometida Principal 3#4/0 X Fases + 1X4/0 Neutro + 1#2/0 Tierra Marca Certificada</v>
          </cell>
          <cell r="E2300" t="str">
            <v>ML</v>
          </cell>
          <cell r="F2300">
            <v>162557</v>
          </cell>
          <cell r="G2300">
            <v>41927</v>
          </cell>
        </row>
        <row r="2301">
          <cell r="C2301">
            <v>4144</v>
          </cell>
          <cell r="D2301" t="str">
            <v>Suministro E Instalacion De Puesta A Tierra En El Poste</v>
          </cell>
          <cell r="E2301" t="str">
            <v>UN</v>
          </cell>
          <cell r="F2301">
            <v>198600.27</v>
          </cell>
          <cell r="G2301">
            <v>42557</v>
          </cell>
        </row>
        <row r="2302">
          <cell r="C2302">
            <v>4146</v>
          </cell>
          <cell r="D2302" t="str">
            <v>Suministro E Instalacion De Tuberia Imc De 3" X 3.00 Metros, Incluye Capacete Mas Accesorios De Instalacion</v>
          </cell>
          <cell r="E2302" t="str">
            <v>UN</v>
          </cell>
          <cell r="F2302">
            <v>333626.13</v>
          </cell>
          <cell r="G2302">
            <v>41927</v>
          </cell>
        </row>
        <row r="2303">
          <cell r="C2303">
            <v>4149</v>
          </cell>
          <cell r="D2303" t="str">
            <v>Suministro E Instalacion De Tuberia De Agua Potable En Pvc De D= 1 1/2"</v>
          </cell>
          <cell r="E2303" t="str">
            <v>ML</v>
          </cell>
          <cell r="F2303">
            <v>27051</v>
          </cell>
          <cell r="G2303">
            <v>42572</v>
          </cell>
        </row>
        <row r="2304">
          <cell r="C2304">
            <v>4150</v>
          </cell>
          <cell r="D2304" t="str">
            <v>Aplicación De Endurecedor Y Sellador Sika Floor Curehard 24 O Similar Para Piso De Concreto</v>
          </cell>
          <cell r="E2304" t="str">
            <v>M2</v>
          </cell>
          <cell r="F2304">
            <v>11751.5</v>
          </cell>
          <cell r="G2304">
            <v>41821</v>
          </cell>
        </row>
        <row r="2305">
          <cell r="C2305">
            <v>4153</v>
          </cell>
          <cell r="D2305" t="str">
            <v>Suministro, Transporte E Instalacion De Panel De Fachada Machimbrado En Aluzinc Tipo 300 Fs De Hunter-Douglas, Calibre 26 Con Perforaciones N. 110 M 104 Mm, Instalado De Forma Vertical, Acabado En Pintura De Poliester Horneado Por Ambas Caras, Color Verde Manzana, Incluye: Remate Superior E Inferior, Andamios Y Todos Los Elementos Necesarios Para Su Correcta Instalacion Y Funcionamiento (Ver Diseño)</v>
          </cell>
          <cell r="E2305" t="str">
            <v>M2</v>
          </cell>
          <cell r="F2305">
            <v>107417</v>
          </cell>
          <cell r="G2305">
            <v>41800</v>
          </cell>
        </row>
        <row r="2306">
          <cell r="C2306">
            <v>4155</v>
          </cell>
          <cell r="D2306" t="str">
            <v>Rampa En Concreto F'C=3000 Psi. Incluye Relleno En Material Seleccionado.</v>
          </cell>
          <cell r="E2306" t="str">
            <v>UN</v>
          </cell>
          <cell r="F2306">
            <v>881244.31</v>
          </cell>
          <cell r="G2306">
            <v>41774</v>
          </cell>
        </row>
        <row r="2307">
          <cell r="C2307">
            <v>4156</v>
          </cell>
          <cell r="D2307" t="str">
            <v>Relleno En Rajón O Piedra Partida</v>
          </cell>
          <cell r="E2307" t="str">
            <v>M3</v>
          </cell>
          <cell r="F2307">
            <v>40510</v>
          </cell>
          <cell r="G2307">
            <v>41821</v>
          </cell>
        </row>
        <row r="2308">
          <cell r="C2308">
            <v>4158</v>
          </cell>
          <cell r="D2308" t="str">
            <v>Suministro E Instalación De Rejilla En Concreto De 1.5X1.5 E=0.05M Para Contenedores De Raíz Con Orificios De 0.10X0.10M.</v>
          </cell>
          <cell r="E2308" t="str">
            <v>UN</v>
          </cell>
          <cell r="F2308">
            <v>99686.5</v>
          </cell>
          <cell r="G2308">
            <v>41774</v>
          </cell>
        </row>
        <row r="2309">
          <cell r="C2309">
            <v>4159</v>
          </cell>
          <cell r="D2309" t="str">
            <v>Suministro E Instalacion De Punto Salida En Tuberia 3/4" Pvc, Alambre Aislado 3#10 Awg Thhn Para Lamparas Alumbrado Publico 220 Voltios 250 Watios (Ver Diseño)</v>
          </cell>
          <cell r="E2309" t="str">
            <v>UN</v>
          </cell>
          <cell r="F2309">
            <v>20868.39</v>
          </cell>
          <cell r="G2309">
            <v>41927</v>
          </cell>
        </row>
        <row r="2310">
          <cell r="C2310">
            <v>4160</v>
          </cell>
          <cell r="D2310" t="str">
            <v>Suministro E Instalacion De Equipo De Bombeo Agua Potable Y Contra Incendio, Incluye: Equipo De Bombeo Para El Abastecimiento De Agua Con Los Elementos De Succion Y Descarga Necesarios; Equipo De Bombeo Contra Incendio Con Sus Motobombas, Controles, Tablero Y Accesorios Para Su Correcto Funcionamiento; Equipos De Manejo De Aguas Negras Y Aguas Lluvias (Ver Diseño)</v>
          </cell>
          <cell r="E2310" t="str">
            <v>UN</v>
          </cell>
          <cell r="F2310">
            <v>39197841</v>
          </cell>
          <cell r="G2310">
            <v>41800</v>
          </cell>
        </row>
        <row r="2311">
          <cell r="C2311">
            <v>4162</v>
          </cell>
          <cell r="D2311" t="str">
            <v>Suministro E Instalacion De Tuberia Pvc C-900</v>
          </cell>
          <cell r="E2311" t="str">
            <v>ML</v>
          </cell>
          <cell r="F2311">
            <v>62683.42</v>
          </cell>
          <cell r="G2311">
            <v>41799</v>
          </cell>
        </row>
        <row r="2312">
          <cell r="C2312">
            <v>4164</v>
          </cell>
          <cell r="D2312" t="str">
            <v>Suministro E Instalacion De Tuberia En Hierro Galvanizado De 4" H.G.</v>
          </cell>
          <cell r="E2312" t="str">
            <v>ML</v>
          </cell>
          <cell r="F2312">
            <v>212387.43</v>
          </cell>
          <cell r="G2312">
            <v>41799</v>
          </cell>
        </row>
        <row r="2313">
          <cell r="C2313">
            <v>4166</v>
          </cell>
          <cell r="D2313" t="str">
            <v>Suministro E Instalacion De Siamesas</v>
          </cell>
          <cell r="E2313" t="str">
            <v>UN</v>
          </cell>
          <cell r="F2313">
            <v>1984438</v>
          </cell>
          <cell r="G2313">
            <v>41936</v>
          </cell>
        </row>
        <row r="2314">
          <cell r="C2314">
            <v>4168</v>
          </cell>
          <cell r="D2314" t="str">
            <v>Suministro E Instalacion De Valvula De 1 1/2" Para Red Contra Incendio</v>
          </cell>
          <cell r="E2314" t="str">
            <v>UN</v>
          </cell>
          <cell r="F2314">
            <v>222763.41</v>
          </cell>
          <cell r="G2314">
            <v>41799</v>
          </cell>
        </row>
        <row r="2315">
          <cell r="C2315">
            <v>4169</v>
          </cell>
          <cell r="D2315" t="str">
            <v>Punto De Red Contra Incendio De 1 1/2"</v>
          </cell>
          <cell r="E2315" t="str">
            <v>UN</v>
          </cell>
          <cell r="F2315">
            <v>124045.81</v>
          </cell>
          <cell r="G2315">
            <v>41799</v>
          </cell>
        </row>
        <row r="2316">
          <cell r="C2316">
            <v>4170</v>
          </cell>
          <cell r="D2316" t="str">
            <v>Punto De Red Contra Incendio De 4" Siamesa</v>
          </cell>
          <cell r="E2316" t="str">
            <v>UN</v>
          </cell>
          <cell r="F2316">
            <v>387845</v>
          </cell>
          <cell r="G2316">
            <v>41799</v>
          </cell>
        </row>
        <row r="2317">
          <cell r="C2317">
            <v>4171</v>
          </cell>
          <cell r="D2317" t="str">
            <v>Suministro E Instalacion De Gabinete Contra Incendio Completo, Incluye: Gabinete Contra Incendio De Lamina Negra Calibre 20 Para Empotrar De 0.88 X 0.21 X 0.70 Metros, Puerta De Vidrio Con Chapa Y Pintura Anticorrosiva, Equipo Completo Con Extinguidor, Manguera, Accesorios Y Demas Elementos Para Su Correcto Funcionamiento (Ver Diseño)</v>
          </cell>
          <cell r="E2317" t="str">
            <v>UN</v>
          </cell>
          <cell r="F2317">
            <v>6182404</v>
          </cell>
          <cell r="G2317">
            <v>41800</v>
          </cell>
        </row>
        <row r="2318">
          <cell r="C2318">
            <v>4173</v>
          </cell>
          <cell r="D2318" t="str">
            <v>Suministro E Instalación De Barrera Bidireccional New Yersey Altura = 0.80 Metros, Base = 0.60 Metros, Longitud = 1.50 Metros, Peso 830 Kg, Tipo Titan O Similar, Incluye Cargue, Descargue Y Fijación Con Acero</v>
          </cell>
          <cell r="E2318" t="str">
            <v>UN</v>
          </cell>
          <cell r="F2318">
            <v>430278.40000000002</v>
          </cell>
          <cell r="G2318">
            <v>41775</v>
          </cell>
        </row>
        <row r="2319">
          <cell r="C2319">
            <v>4181</v>
          </cell>
          <cell r="D2319" t="str">
            <v>Concreto Clase C (28 Mpa) 4000 Psi</v>
          </cell>
          <cell r="E2319" t="str">
            <v>M3</v>
          </cell>
          <cell r="F2319">
            <v>738330.17</v>
          </cell>
          <cell r="G2319">
            <v>42067</v>
          </cell>
        </row>
        <row r="2320">
          <cell r="C2320">
            <v>4182</v>
          </cell>
          <cell r="D2320" t="str">
            <v>Suministro E Instalacion De Punto Salida En Tuberia Pvc Conduit De 3/4" Para Datos Y Telefono Sin Cableado</v>
          </cell>
          <cell r="E2320" t="str">
            <v>UN</v>
          </cell>
          <cell r="F2320">
            <v>55852.74</v>
          </cell>
          <cell r="G2320">
            <v>41799</v>
          </cell>
        </row>
        <row r="2321">
          <cell r="C2321">
            <v>4183</v>
          </cell>
          <cell r="D2321" t="str">
            <v>Colector Enterrado Tubo De Concreto, Clase 2, De 304 Mm De Diámetro, Incluye Lecho De Arena Nivelado Y Compactado, Relleno, Accesorios, Piezas Especiales, Junta De Goma Y Lubricantes.</v>
          </cell>
          <cell r="E2321" t="str">
            <v>ML</v>
          </cell>
          <cell r="F2321">
            <v>132900.9</v>
          </cell>
          <cell r="G2321">
            <v>42067</v>
          </cell>
        </row>
        <row r="2322">
          <cell r="C2322">
            <v>4184</v>
          </cell>
          <cell r="D2322" t="str">
            <v>Nivelación, Replanteo Y Señalización Alcantarillado</v>
          </cell>
          <cell r="E2322" t="str">
            <v>ML</v>
          </cell>
          <cell r="F2322">
            <v>1954.44</v>
          </cell>
          <cell r="G2322">
            <v>42067</v>
          </cell>
        </row>
        <row r="2323">
          <cell r="C2323">
            <v>4188</v>
          </cell>
          <cell r="D2323" t="str">
            <v>Suministro E Instalación De Tubería Pvc De Alcantarillado De 315 Mm, D = 12"</v>
          </cell>
          <cell r="E2323" t="str">
            <v>ML</v>
          </cell>
          <cell r="F2323">
            <v>155112.54999999999</v>
          </cell>
          <cell r="G2323">
            <v>42067</v>
          </cell>
        </row>
        <row r="2324">
          <cell r="C2324">
            <v>4190</v>
          </cell>
          <cell r="D2324" t="str">
            <v>Punto De Agua Potable En Tuberia Pvc De 1"</v>
          </cell>
          <cell r="E2324" t="str">
            <v>UN</v>
          </cell>
          <cell r="F2324">
            <v>53235.35</v>
          </cell>
          <cell r="G2324">
            <v>42578</v>
          </cell>
        </row>
        <row r="2325">
          <cell r="C2325">
            <v>4191</v>
          </cell>
          <cell r="D2325" t="str">
            <v>Colector Enterrado Tubo De Concreto, Clase 2, De 500 Mm De Diámetro, Incluye Lecho De Arena Nivelado Y Compactado, Relleno, Accesorios, Piezas Especiales, Junta De Goma Y Lubricantes.</v>
          </cell>
          <cell r="E2325" t="str">
            <v>ML</v>
          </cell>
          <cell r="F2325">
            <v>282673.32</v>
          </cell>
          <cell r="G2325">
            <v>42067</v>
          </cell>
        </row>
        <row r="2326">
          <cell r="C2326">
            <v>4195</v>
          </cell>
          <cell r="D2326" t="str">
            <v>Cilindro Para Pozo De Inspección, Sección De Pozo D = 1.20 Metros, E = 0.25 Metros, L = 1.00 Metro, Elemento Prefabricado De Concreto Tipo Titan O Similar</v>
          </cell>
          <cell r="E2326" t="str">
            <v>ML</v>
          </cell>
          <cell r="F2326">
            <v>746482.42</v>
          </cell>
          <cell r="G2326">
            <v>42067</v>
          </cell>
        </row>
        <row r="2327">
          <cell r="C2327">
            <v>4196</v>
          </cell>
          <cell r="D2327" t="str">
            <v>Base  Para Pozo De Inspección, Sección De Pozo D = 1.20 Metros, E = 0.20 Metros, Elemento Prefabricado De Concreto Tipo Titan O Similar.</v>
          </cell>
          <cell r="E2327" t="str">
            <v>UN</v>
          </cell>
          <cell r="F2327">
            <v>878082.6</v>
          </cell>
          <cell r="G2327">
            <v>42067</v>
          </cell>
        </row>
        <row r="2328">
          <cell r="C2328">
            <v>4197</v>
          </cell>
          <cell r="D2328" t="str">
            <v>Placa De Cubierta Para Pozo De Inspección, Sección De Pozo D = 1.20 Metros, E = 0.20 Metros, Elemento Prefabricado De Concreto Tipo Titan O Similar</v>
          </cell>
          <cell r="E2328" t="str">
            <v>UN</v>
          </cell>
          <cell r="F2328">
            <v>680583.9</v>
          </cell>
          <cell r="G2328">
            <v>42067</v>
          </cell>
        </row>
        <row r="2329">
          <cell r="C2329">
            <v>4198</v>
          </cell>
          <cell r="D2329" t="str">
            <v>Barrera De Seguridad Tipo A180 Monodireccional, En Concreto De 3000 Psi Reforzado, Fundida En Sitio</v>
          </cell>
          <cell r="E2329" t="str">
            <v>ML</v>
          </cell>
          <cell r="F2329">
            <v>208623.87</v>
          </cell>
          <cell r="G2329">
            <v>41821</v>
          </cell>
        </row>
        <row r="2330">
          <cell r="C2330">
            <v>4201</v>
          </cell>
          <cell r="D2330" t="str">
            <v>Pilotes En Concreto Preexcavados    F'C=4000 Psi    D=0.80M. Incluye Acero De Refuerzo</v>
          </cell>
          <cell r="E2330" t="str">
            <v>ML</v>
          </cell>
          <cell r="F2330">
            <v>769597.38</v>
          </cell>
          <cell r="G2330">
            <v>42667</v>
          </cell>
        </row>
        <row r="2331">
          <cell r="C2331">
            <v>4202</v>
          </cell>
          <cell r="D2331" t="str">
            <v>Concreto Para Estribo De Puente    F'C=4000Psi.</v>
          </cell>
          <cell r="E2331" t="str">
            <v>M3</v>
          </cell>
          <cell r="F2331">
            <v>835184.1</v>
          </cell>
          <cell r="G2331">
            <v>42066</v>
          </cell>
        </row>
        <row r="2332">
          <cell r="C2332">
            <v>4203</v>
          </cell>
          <cell r="D2332" t="str">
            <v>Concreto Para Viga Aéreas De Puente   F'C=4000 Psi.</v>
          </cell>
          <cell r="E2332" t="str">
            <v>M3</v>
          </cell>
          <cell r="F2332">
            <v>964749.11</v>
          </cell>
          <cell r="G2332">
            <v>41806</v>
          </cell>
        </row>
        <row r="2333">
          <cell r="C2333">
            <v>4204</v>
          </cell>
          <cell r="D2333" t="str">
            <v>Concreto Para Baranda De Puentes    F'C=3000 Psi.</v>
          </cell>
          <cell r="E2333" t="str">
            <v>M3</v>
          </cell>
          <cell r="F2333">
            <v>827803.1</v>
          </cell>
          <cell r="G2333">
            <v>41806</v>
          </cell>
        </row>
        <row r="2334">
          <cell r="C2334">
            <v>4206</v>
          </cell>
          <cell r="D2334" t="str">
            <v>Concreto Para Losa De Protección De Fondo  E=0.20M.</v>
          </cell>
          <cell r="E2334" t="str">
            <v>M2</v>
          </cell>
          <cell r="F2334">
            <v>116700.04</v>
          </cell>
          <cell r="G2334">
            <v>41808</v>
          </cell>
        </row>
        <row r="2335">
          <cell r="C2335">
            <v>4207</v>
          </cell>
          <cell r="D2335" t="str">
            <v>Escarificación Y Compactación De Terreno Natural.</v>
          </cell>
          <cell r="E2335" t="str">
            <v>M3</v>
          </cell>
          <cell r="F2335">
            <v>17716.650000000001</v>
          </cell>
          <cell r="G2335">
            <v>41808</v>
          </cell>
        </row>
        <row r="2336">
          <cell r="C2336">
            <v>4208</v>
          </cell>
          <cell r="D2336" t="str">
            <v>Relleno En Base Invias No Incluye Transporte De Material</v>
          </cell>
          <cell r="E2336" t="str">
            <v>M3</v>
          </cell>
          <cell r="F2336">
            <v>71864.37</v>
          </cell>
          <cell r="G2336">
            <v>42537</v>
          </cell>
        </row>
        <row r="2337">
          <cell r="C2337">
            <v>4211</v>
          </cell>
          <cell r="D2337" t="str">
            <v>Suministro E Instalación De Geotextil No Tejido 2100.</v>
          </cell>
          <cell r="E2337" t="str">
            <v>M2</v>
          </cell>
          <cell r="F2337">
            <v>14984.74</v>
          </cell>
          <cell r="G2337">
            <v>41808</v>
          </cell>
        </row>
        <row r="2338">
          <cell r="C2338">
            <v>4212</v>
          </cell>
          <cell r="D2338" t="str">
            <v>Losa De Aproximación De Puente   E=0.25M  F'C=4000 Psi.</v>
          </cell>
          <cell r="E2338" t="str">
            <v>M2</v>
          </cell>
          <cell r="F2338">
            <v>167744.85</v>
          </cell>
          <cell r="G2338">
            <v>41808</v>
          </cell>
        </row>
        <row r="2339">
          <cell r="C2339">
            <v>4213</v>
          </cell>
          <cell r="D2339" t="str">
            <v>Concreto Para Tablero De Puente E=0.20M    F'C=4000 Psi.</v>
          </cell>
          <cell r="E2339" t="str">
            <v>M3</v>
          </cell>
          <cell r="F2339">
            <v>870836.92</v>
          </cell>
          <cell r="G2339">
            <v>41808</v>
          </cell>
        </row>
        <row r="2340">
          <cell r="C2340">
            <v>4214</v>
          </cell>
          <cell r="D2340" t="str">
            <v>Víga Aérea En Concreto   F'C=3000 Psi. No Incluye Acero De Refuerzo.</v>
          </cell>
          <cell r="E2340" t="str">
            <v>M3</v>
          </cell>
          <cell r="F2340">
            <v>586209.49</v>
          </cell>
          <cell r="G2340">
            <v>42102</v>
          </cell>
        </row>
        <row r="2341">
          <cell r="C2341">
            <v>4215</v>
          </cell>
          <cell r="D2341" t="str">
            <v>Suministro E Instalación De Puerta Doble De Acceso De 2.50X2.00 En Vidrio Templado E=10Mm. Incluye Manijas En Acero Inoxidable Y Cerraduras.</v>
          </cell>
          <cell r="E2341" t="str">
            <v>UN</v>
          </cell>
          <cell r="F2341">
            <v>2500000</v>
          </cell>
          <cell r="G2341">
            <v>42102</v>
          </cell>
        </row>
        <row r="2342">
          <cell r="C2342">
            <v>4217</v>
          </cell>
          <cell r="D2342" t="str">
            <v>Suministro E Instalación De Puerta De Seguridad Con Espesor En 70 Mm. De 0.96 X 2.05 Metros, En Acero Lámina Calibre 0.7 Mm Coll Rolled, Incluye Marco, Ojo Mágico, Cerradura De Seguridad Con Doble Grado De Cierre, 13 Pasadores Y Pestillo Interior, 3 Bisagras En Cámara Que Impiden El Desmonte De La Puerta.</v>
          </cell>
          <cell r="E2342" t="str">
            <v>UN</v>
          </cell>
          <cell r="F2342">
            <v>626862.32999999996</v>
          </cell>
          <cell r="G2342">
            <v>41816</v>
          </cell>
        </row>
        <row r="2343">
          <cell r="C2343">
            <v>4219</v>
          </cell>
          <cell r="D2343" t="str">
            <v>Conexion Al Sistema Sanitario Existente (Ver Diseño)</v>
          </cell>
          <cell r="E2343" t="str">
            <v>GL</v>
          </cell>
          <cell r="F2343">
            <v>3000000</v>
          </cell>
          <cell r="G2343">
            <v>41835</v>
          </cell>
        </row>
        <row r="2344">
          <cell r="C2344">
            <v>4220</v>
          </cell>
          <cell r="D2344" t="str">
            <v>Conexion Al Sistema De Presion Existente (Ver Diseño)</v>
          </cell>
          <cell r="E2344" t="str">
            <v>GL</v>
          </cell>
          <cell r="F2344">
            <v>2500000</v>
          </cell>
          <cell r="G2344">
            <v>41835</v>
          </cell>
        </row>
        <row r="2345">
          <cell r="C2345">
            <v>4221</v>
          </cell>
          <cell r="D2345" t="str">
            <v>Red De Media Tension Aerea (Ver Diseño)</v>
          </cell>
          <cell r="E2345" t="str">
            <v>GL</v>
          </cell>
          <cell r="F2345">
            <v>25000000</v>
          </cell>
          <cell r="G2345">
            <v>41835</v>
          </cell>
        </row>
        <row r="2346">
          <cell r="C2346">
            <v>4222</v>
          </cell>
          <cell r="D2346" t="str">
            <v>Red De Media Tension Subterranea (Ver Diseño)</v>
          </cell>
          <cell r="E2346" t="str">
            <v>GL</v>
          </cell>
          <cell r="F2346">
            <v>105000000</v>
          </cell>
          <cell r="G2346">
            <v>41835</v>
          </cell>
        </row>
        <row r="2347">
          <cell r="C2347">
            <v>4223</v>
          </cell>
          <cell r="D2347" t="str">
            <v>Celda De Medida (Ver Diseño)</v>
          </cell>
          <cell r="E2347" t="str">
            <v>GL</v>
          </cell>
          <cell r="F2347">
            <v>5405400</v>
          </cell>
          <cell r="G2347">
            <v>41835</v>
          </cell>
        </row>
        <row r="2348">
          <cell r="C2348">
            <v>4224</v>
          </cell>
          <cell r="D2348" t="str">
            <v>Conexión Equipo De Medida General Por Alta (Electricaribe)</v>
          </cell>
          <cell r="E2348" t="str">
            <v>GL</v>
          </cell>
          <cell r="F2348">
            <v>12000000</v>
          </cell>
          <cell r="G2348">
            <v>42558</v>
          </cell>
        </row>
        <row r="2349">
          <cell r="C2349">
            <v>4225</v>
          </cell>
          <cell r="D2349" t="str">
            <v>Transferencia Automatica En Mt (Ver Diseño)</v>
          </cell>
          <cell r="E2349" t="str">
            <v>GL</v>
          </cell>
          <cell r="F2349">
            <v>60000000</v>
          </cell>
          <cell r="G2349">
            <v>41835</v>
          </cell>
        </row>
        <row r="2350">
          <cell r="C2350">
            <v>4226</v>
          </cell>
          <cell r="D2350" t="str">
            <v>Transformador De 300 Kva, 440/13.200 V, Servicio De Emergencia (Ver Diseño)</v>
          </cell>
          <cell r="E2350" t="str">
            <v>GL</v>
          </cell>
          <cell r="F2350">
            <v>37073600</v>
          </cell>
          <cell r="G2350">
            <v>41835</v>
          </cell>
        </row>
        <row r="2351">
          <cell r="C2351">
            <v>4227</v>
          </cell>
          <cell r="D2351" t="str">
            <v>Transformador De 75 Kva, 13.200/440 V, Pad-Mounted, Iluminacion De Campo De Juego (Ver Diseño)</v>
          </cell>
          <cell r="E2351" t="str">
            <v>GL</v>
          </cell>
          <cell r="F2351">
            <v>22156000</v>
          </cell>
          <cell r="G2351">
            <v>41835</v>
          </cell>
        </row>
        <row r="2352">
          <cell r="C2352">
            <v>4228</v>
          </cell>
          <cell r="D2352" t="str">
            <v>Transformador De 150 Kva, 13.200/220 V, Servicios Normales (Ver Diseño)</v>
          </cell>
          <cell r="E2352" t="str">
            <v>GL</v>
          </cell>
          <cell r="F2352">
            <v>26127840</v>
          </cell>
          <cell r="G2352">
            <v>41835</v>
          </cell>
        </row>
        <row r="2353">
          <cell r="C2353">
            <v>4229</v>
          </cell>
          <cell r="D2353" t="str">
            <v>Transformador De 75 Kva, 13.200/220 V, Servicio De Emergencia (Ver Diseño)</v>
          </cell>
          <cell r="E2353" t="str">
            <v>GL</v>
          </cell>
          <cell r="F2353">
            <v>16331640</v>
          </cell>
          <cell r="G2353">
            <v>41835</v>
          </cell>
        </row>
        <row r="2354">
          <cell r="C2354">
            <v>4230</v>
          </cell>
          <cell r="D2354" t="str">
            <v>Celda De Seccionamiento General En Mt (Ver Diseño)</v>
          </cell>
          <cell r="E2354" t="str">
            <v>GL</v>
          </cell>
          <cell r="F2354">
            <v>5405400</v>
          </cell>
          <cell r="G2354">
            <v>41835</v>
          </cell>
        </row>
        <row r="2355">
          <cell r="C2355">
            <v>4231</v>
          </cell>
          <cell r="D2355" t="str">
            <v>Malla De Puesta A Tierra De La Subestacion (Ver Diseño)</v>
          </cell>
          <cell r="E2355" t="str">
            <v>GL</v>
          </cell>
          <cell r="F2355">
            <v>15000000</v>
          </cell>
          <cell r="G2355">
            <v>41835</v>
          </cell>
        </row>
        <row r="2356">
          <cell r="C2356">
            <v>4232</v>
          </cell>
          <cell r="D2356" t="str">
            <v>Tableros De Bt (Ver Diseño)</v>
          </cell>
          <cell r="E2356" t="str">
            <v>GL</v>
          </cell>
          <cell r="F2356">
            <v>10000000</v>
          </cell>
          <cell r="G2356">
            <v>41835</v>
          </cell>
        </row>
        <row r="2357">
          <cell r="C2357">
            <v>4233</v>
          </cell>
          <cell r="D2357" t="str">
            <v>Planta De Emergencia De 300 Kva, 440 V (Ver Diseño)</v>
          </cell>
          <cell r="E2357" t="str">
            <v>GL</v>
          </cell>
          <cell r="F2357">
            <v>82000000</v>
          </cell>
          <cell r="G2357">
            <v>41835</v>
          </cell>
        </row>
        <row r="2358">
          <cell r="C2358">
            <v>4234</v>
          </cell>
          <cell r="D2358" t="str">
            <v>Protecciones De La Planta De Emergencia (Ver Diseño)</v>
          </cell>
          <cell r="E2358" t="str">
            <v>GL</v>
          </cell>
          <cell r="F2358">
            <v>10000000</v>
          </cell>
          <cell r="G2358">
            <v>41835</v>
          </cell>
        </row>
        <row r="2359">
          <cell r="C2359">
            <v>4235</v>
          </cell>
          <cell r="D2359" t="str">
            <v>Torres Metalicas De 24.00 Metros (Ver Diseño)</v>
          </cell>
          <cell r="E2359" t="str">
            <v>UN</v>
          </cell>
          <cell r="F2359">
            <v>12000000</v>
          </cell>
          <cell r="G2359">
            <v>41835</v>
          </cell>
        </row>
        <row r="2360">
          <cell r="C2360">
            <v>4236</v>
          </cell>
          <cell r="D2360" t="str">
            <v>Lamparas De 1000 W (Ver Diseño)</v>
          </cell>
          <cell r="E2360" t="str">
            <v>UN</v>
          </cell>
          <cell r="F2360">
            <v>400000</v>
          </cell>
          <cell r="G2360">
            <v>41835</v>
          </cell>
        </row>
        <row r="2361">
          <cell r="C2361">
            <v>4237</v>
          </cell>
          <cell r="D2361" t="str">
            <v>Alimentadores En Bt, 440 V (Ver Diseño)</v>
          </cell>
          <cell r="E2361" t="str">
            <v>ML</v>
          </cell>
          <cell r="F2361">
            <v>50000</v>
          </cell>
          <cell r="G2361">
            <v>41835</v>
          </cell>
        </row>
        <row r="2362">
          <cell r="C2362">
            <v>4238</v>
          </cell>
          <cell r="D2362" t="str">
            <v>Zapata En Concreto Premezclado De 5000 Psi, No Incluye Acero De Refuerzo</v>
          </cell>
          <cell r="E2362" t="str">
            <v>M3</v>
          </cell>
          <cell r="F2362">
            <v>505800.23</v>
          </cell>
          <cell r="G2362">
            <v>41835</v>
          </cell>
        </row>
        <row r="2363">
          <cell r="C2363">
            <v>4239</v>
          </cell>
          <cell r="D2363" t="str">
            <v>Tableros En Bt, 440 V (Ver Diseño)</v>
          </cell>
          <cell r="E2363" t="str">
            <v>UN</v>
          </cell>
          <cell r="F2363">
            <v>450000</v>
          </cell>
          <cell r="G2363">
            <v>41835</v>
          </cell>
        </row>
        <row r="2364">
          <cell r="C2364">
            <v>4240</v>
          </cell>
          <cell r="D2364" t="str">
            <v>Registros (Ver Diseño)</v>
          </cell>
          <cell r="E2364" t="str">
            <v>UN</v>
          </cell>
          <cell r="F2364">
            <v>250000</v>
          </cell>
          <cell r="G2364">
            <v>41835</v>
          </cell>
        </row>
        <row r="2365">
          <cell r="C2365">
            <v>4241</v>
          </cell>
          <cell r="D2365" t="str">
            <v>Cajas De Paso (Ver Diseño)</v>
          </cell>
          <cell r="E2365" t="str">
            <v>UN</v>
          </cell>
          <cell r="F2365">
            <v>120000</v>
          </cell>
          <cell r="G2365">
            <v>41817</v>
          </cell>
        </row>
        <row r="2366">
          <cell r="C2366">
            <v>4242</v>
          </cell>
          <cell r="D2366" t="str">
            <v>Viga Inferior De Amarre En Concreto De 4000 Psi De 0.80 X 0.80 Metros, No Incluye Acero De Refuerzo</v>
          </cell>
          <cell r="E2366" t="str">
            <v>ML</v>
          </cell>
          <cell r="F2366">
            <v>541929.55000000005</v>
          </cell>
          <cell r="G2366">
            <v>41835</v>
          </cell>
        </row>
        <row r="2367">
          <cell r="C2367">
            <v>4243</v>
          </cell>
          <cell r="D2367" t="str">
            <v>Luminarias (Ver Diseño)</v>
          </cell>
          <cell r="E2367" t="str">
            <v>UN</v>
          </cell>
          <cell r="F2367">
            <v>180000</v>
          </cell>
          <cell r="G2367">
            <v>41835</v>
          </cell>
        </row>
        <row r="2368">
          <cell r="C2368">
            <v>4244</v>
          </cell>
          <cell r="D2368" t="str">
            <v>Suministro E Instalacion De Accesorios (Ver Diseño)</v>
          </cell>
          <cell r="E2368" t="str">
            <v>JG</v>
          </cell>
          <cell r="F2368">
            <v>180000</v>
          </cell>
          <cell r="G2368">
            <v>41817</v>
          </cell>
        </row>
        <row r="2369">
          <cell r="C2369">
            <v>4245</v>
          </cell>
          <cell r="D2369" t="str">
            <v>Columnas En Concreto De 5000 Psi, No Incluye Acero De Refuerzo</v>
          </cell>
          <cell r="E2369" t="str">
            <v>M3</v>
          </cell>
          <cell r="F2369">
            <v>822492.45</v>
          </cell>
          <cell r="G2369">
            <v>41835</v>
          </cell>
        </row>
        <row r="2370">
          <cell r="C2370">
            <v>4246</v>
          </cell>
          <cell r="D2370" t="str">
            <v>Suministro E Instalacion De Sistema Contra Incendio (Ver Diseño)</v>
          </cell>
          <cell r="E2370" t="str">
            <v>GL</v>
          </cell>
          <cell r="F2370">
            <v>210000000</v>
          </cell>
          <cell r="G2370">
            <v>41835</v>
          </cell>
        </row>
        <row r="2371">
          <cell r="C2371">
            <v>4247</v>
          </cell>
          <cell r="D2371" t="str">
            <v>Suministro E Instalacion De Deteccion De Humos Y Sprinkler (Ver Diseño)</v>
          </cell>
          <cell r="E2371" t="str">
            <v>GL</v>
          </cell>
          <cell r="F2371">
            <v>125000000</v>
          </cell>
          <cell r="G2371">
            <v>41835</v>
          </cell>
        </row>
        <row r="2372">
          <cell r="C2372">
            <v>4248</v>
          </cell>
          <cell r="D2372" t="str">
            <v>Suministro E Instalacion De Sistema De Sonido Y Alarma (Ver Diseño)</v>
          </cell>
          <cell r="E2372" t="str">
            <v>GL</v>
          </cell>
          <cell r="F2372">
            <v>160000000</v>
          </cell>
          <cell r="G2372">
            <v>41835</v>
          </cell>
        </row>
        <row r="2373">
          <cell r="C2373">
            <v>4249</v>
          </cell>
          <cell r="D2373" t="str">
            <v>Viga Principal De Carga Portico, En Concreto De 5000 Psi, No Incluye Acero De Refuerzo</v>
          </cell>
          <cell r="E2373" t="str">
            <v>M3</v>
          </cell>
          <cell r="F2373">
            <v>629646.63</v>
          </cell>
          <cell r="G2373">
            <v>41835</v>
          </cell>
        </row>
        <row r="2374">
          <cell r="C2374">
            <v>4250</v>
          </cell>
          <cell r="D2374" t="str">
            <v>Acabado Cancha En Polvo De Ladrillo (Ver Diseño)</v>
          </cell>
          <cell r="E2374" t="str">
            <v>M2</v>
          </cell>
          <cell r="F2374">
            <v>45000</v>
          </cell>
          <cell r="G2374">
            <v>41835</v>
          </cell>
        </row>
        <row r="2375">
          <cell r="C2375">
            <v>4251</v>
          </cell>
          <cell r="D2375" t="str">
            <v>Grama Natural Para Cancha ( Ver Diseño)</v>
          </cell>
          <cell r="E2375" t="str">
            <v>M2</v>
          </cell>
          <cell r="F2375">
            <v>18000</v>
          </cell>
          <cell r="G2375">
            <v>41821</v>
          </cell>
        </row>
        <row r="2376">
          <cell r="C2376">
            <v>4252</v>
          </cell>
          <cell r="D2376" t="str">
            <v>Sistema De Drenaje Cancha (Ver Diseño)</v>
          </cell>
          <cell r="E2376" t="str">
            <v>GL</v>
          </cell>
          <cell r="F2376">
            <v>90000000</v>
          </cell>
          <cell r="G2376">
            <v>41835</v>
          </cell>
        </row>
        <row r="2377">
          <cell r="C2377">
            <v>4253</v>
          </cell>
          <cell r="D2377" t="str">
            <v>Sistema De Riego Cancha (Ver Diseño)</v>
          </cell>
          <cell r="E2377" t="str">
            <v>GL</v>
          </cell>
          <cell r="F2377">
            <v>145000000</v>
          </cell>
          <cell r="G2377">
            <v>41835</v>
          </cell>
        </row>
        <row r="2378">
          <cell r="C2378">
            <v>4254</v>
          </cell>
          <cell r="D2378" t="str">
            <v>Señalizacion General (Ver Diseño)</v>
          </cell>
          <cell r="E2378" t="str">
            <v>GL</v>
          </cell>
          <cell r="F2378">
            <v>75000000</v>
          </cell>
          <cell r="G2378">
            <v>41835</v>
          </cell>
        </row>
        <row r="2379">
          <cell r="C2379">
            <v>4255</v>
          </cell>
          <cell r="D2379" t="str">
            <v>Losa Maciza En Concreto De 3500 Psi, No Incluye Acero De Refuerzo, E = 0.40 Metros</v>
          </cell>
          <cell r="E2379" t="str">
            <v>M2</v>
          </cell>
          <cell r="F2379">
            <v>236620.9</v>
          </cell>
          <cell r="G2379">
            <v>41835</v>
          </cell>
        </row>
        <row r="2380">
          <cell r="C2380">
            <v>4256</v>
          </cell>
          <cell r="D2380" t="str">
            <v>Suministro E Instalacion De Silleteria De Respaldo (Ver Diseño)</v>
          </cell>
          <cell r="E2380" t="str">
            <v>UN</v>
          </cell>
          <cell r="F2380">
            <v>69600</v>
          </cell>
          <cell r="G2380">
            <v>41835</v>
          </cell>
        </row>
        <row r="2381">
          <cell r="C2381">
            <v>4257</v>
          </cell>
          <cell r="D2381" t="str">
            <v>Suministro E Instalacion De Tablero (Ver Diseño)</v>
          </cell>
          <cell r="E2381" t="str">
            <v>UN</v>
          </cell>
          <cell r="F2381">
            <v>35550000</v>
          </cell>
          <cell r="G2381">
            <v>41835</v>
          </cell>
        </row>
        <row r="2382">
          <cell r="C2382">
            <v>4258</v>
          </cell>
          <cell r="D2382" t="str">
            <v>Suministro E Instalacion De Pantalla Leed (Ver Diseño)</v>
          </cell>
          <cell r="E2382" t="str">
            <v>UN</v>
          </cell>
          <cell r="F2382">
            <v>266597137</v>
          </cell>
          <cell r="G2382">
            <v>41835</v>
          </cell>
        </row>
        <row r="2383">
          <cell r="C2383">
            <v>4259</v>
          </cell>
          <cell r="D2383" t="str">
            <v>Torniquetes Electronicos De Banderas (Ver Diseño)</v>
          </cell>
          <cell r="E2383" t="str">
            <v>UN</v>
          </cell>
          <cell r="F2383">
            <v>350000</v>
          </cell>
          <cell r="G2383">
            <v>41835</v>
          </cell>
        </row>
        <row r="2384">
          <cell r="C2384">
            <v>4260</v>
          </cell>
          <cell r="D2384" t="str">
            <v>Viga Intermedia En Concreto De 3500 Psi, Para Tribunas Laterales, No Incluye Acero De Refuerzo</v>
          </cell>
          <cell r="E2384" t="str">
            <v>M3</v>
          </cell>
          <cell r="F2384">
            <v>587163.63</v>
          </cell>
          <cell r="G2384">
            <v>41835</v>
          </cell>
        </row>
        <row r="2385">
          <cell r="C2385">
            <v>4261</v>
          </cell>
          <cell r="D2385" t="str">
            <v>Circuito De Voz Y Datos De Oficinas Administrativas (Ver Diseño)</v>
          </cell>
          <cell r="E2385" t="str">
            <v>GL</v>
          </cell>
          <cell r="F2385">
            <v>92235000</v>
          </cell>
          <cell r="G2385">
            <v>41835</v>
          </cell>
        </row>
        <row r="2386">
          <cell r="C2386">
            <v>4262</v>
          </cell>
          <cell r="D2386" t="str">
            <v>Ascensores (Ver Diseño)</v>
          </cell>
          <cell r="E2386" t="str">
            <v>GL</v>
          </cell>
          <cell r="F2386">
            <v>123330000</v>
          </cell>
          <cell r="G2386">
            <v>41835</v>
          </cell>
        </row>
        <row r="2387">
          <cell r="C2387">
            <v>4263</v>
          </cell>
          <cell r="D2387" t="str">
            <v>Pantalla De Anotaciones (Ver Diseño)</v>
          </cell>
          <cell r="E2387" t="str">
            <v>GL</v>
          </cell>
          <cell r="F2387">
            <v>239670000</v>
          </cell>
          <cell r="G2387">
            <v>41835</v>
          </cell>
        </row>
        <row r="2388">
          <cell r="C2388">
            <v>4264</v>
          </cell>
          <cell r="D2388" t="str">
            <v>Pantalla De Video (Ver Diseño)</v>
          </cell>
          <cell r="E2388" t="str">
            <v>GL</v>
          </cell>
          <cell r="F2388">
            <v>270870000</v>
          </cell>
          <cell r="G2388">
            <v>41835</v>
          </cell>
        </row>
        <row r="2389">
          <cell r="C2389">
            <v>4265</v>
          </cell>
          <cell r="D2389" t="str">
            <v>Sistemas Ininterrumpidos De Potencia - Ups`S (Ver Diseño)</v>
          </cell>
          <cell r="E2389" t="str">
            <v>GL</v>
          </cell>
          <cell r="F2389">
            <v>121595000</v>
          </cell>
          <cell r="G2389">
            <v>41835</v>
          </cell>
        </row>
        <row r="2390">
          <cell r="C2390">
            <v>4266</v>
          </cell>
          <cell r="D2390" t="str">
            <v>Telefonia Basica Conmutada (Ver Diseño)</v>
          </cell>
          <cell r="E2390" t="str">
            <v>GL</v>
          </cell>
          <cell r="F2390">
            <v>24135000</v>
          </cell>
          <cell r="G2390">
            <v>41835</v>
          </cell>
        </row>
        <row r="2391">
          <cell r="C2391">
            <v>4267</v>
          </cell>
          <cell r="D2391" t="str">
            <v>Sistema De Administracion De Energia (Ver Diseño)</v>
          </cell>
          <cell r="E2391" t="str">
            <v>GL</v>
          </cell>
          <cell r="F2391">
            <v>30000000</v>
          </cell>
          <cell r="G2391">
            <v>41835</v>
          </cell>
        </row>
        <row r="2392">
          <cell r="C2392">
            <v>4268</v>
          </cell>
          <cell r="D2392" t="str">
            <v>Portico Tipo Cajon En Acero Estructural De Seccion Variable Para Backstop Y Graderias (Ver Diseño)</v>
          </cell>
          <cell r="E2392" t="str">
            <v>KG</v>
          </cell>
          <cell r="F2392">
            <v>7200</v>
          </cell>
          <cell r="G2392">
            <v>41817</v>
          </cell>
        </row>
        <row r="2393">
          <cell r="C2393">
            <v>4269</v>
          </cell>
          <cell r="D2393" t="str">
            <v>Portico Tipo Cajon En Phr-C220X80X3 Mm(Ver Diseño)</v>
          </cell>
          <cell r="E2393" t="str">
            <v>KG</v>
          </cell>
          <cell r="F2393">
            <v>7200</v>
          </cell>
          <cell r="G2393">
            <v>41835</v>
          </cell>
        </row>
        <row r="2394">
          <cell r="C2394">
            <v>4270</v>
          </cell>
          <cell r="D2394" t="str">
            <v>Cerramiento Muro En Super Board Rampas De Evacuacion (Ver Diseño)</v>
          </cell>
          <cell r="E2394" t="str">
            <v>M2</v>
          </cell>
          <cell r="F2394">
            <v>45000</v>
          </cell>
          <cell r="G2394">
            <v>41835</v>
          </cell>
        </row>
        <row r="2395">
          <cell r="C2395">
            <v>4271</v>
          </cell>
          <cell r="D2395" t="str">
            <v>Cerramiento En Malla Anudada Cancha, Incluye Colchon Protector Segun Detalle (Ver Diseño)</v>
          </cell>
          <cell r="E2395" t="str">
            <v>M2</v>
          </cell>
          <cell r="F2395">
            <v>145000</v>
          </cell>
          <cell r="G2395">
            <v>41835</v>
          </cell>
        </row>
        <row r="2396">
          <cell r="C2396">
            <v>4272</v>
          </cell>
          <cell r="D2396" t="str">
            <v>Cerramiento En Malla Anudada Segun Detalle (Ver Diseño)</v>
          </cell>
          <cell r="E2396" t="str">
            <v>M2</v>
          </cell>
          <cell r="F2396">
            <v>125000</v>
          </cell>
          <cell r="G2396">
            <v>41835</v>
          </cell>
        </row>
        <row r="2397">
          <cell r="C2397">
            <v>4273</v>
          </cell>
          <cell r="D2397" t="str">
            <v>Suministro E Instalacion De Corta Sol En Celoscreen Panel (Ver Diseño)</v>
          </cell>
          <cell r="E2397" t="str">
            <v>M2</v>
          </cell>
          <cell r="F2397">
            <v>200000</v>
          </cell>
          <cell r="G2397">
            <v>41835</v>
          </cell>
        </row>
        <row r="2398">
          <cell r="C2398">
            <v>4274</v>
          </cell>
          <cell r="D2398" t="str">
            <v>Recubrimiento Muros Garitas En Alucobon Color Rojo, Incluye Panel De Fibra De Vidrio (Ver Diseño)</v>
          </cell>
          <cell r="E2398" t="str">
            <v>M2</v>
          </cell>
          <cell r="F2398">
            <v>96200</v>
          </cell>
          <cell r="G2398">
            <v>41835</v>
          </cell>
        </row>
        <row r="2399">
          <cell r="C2399">
            <v>4275</v>
          </cell>
          <cell r="D2399" t="str">
            <v>Suministro E Instalacion De Torniquetes (Ver Diseño)</v>
          </cell>
          <cell r="E2399" t="str">
            <v>UN</v>
          </cell>
          <cell r="F2399">
            <v>125000</v>
          </cell>
          <cell r="G2399">
            <v>41835</v>
          </cell>
        </row>
        <row r="2400">
          <cell r="C2400">
            <v>4276</v>
          </cell>
          <cell r="D2400" t="str">
            <v>Demolicion De Estacion De Policia (Cai), Incluye Muros Y Desmontes En General, Mas Retiro De Material Sobrante</v>
          </cell>
          <cell r="E2400" t="str">
            <v>GL</v>
          </cell>
          <cell r="F2400">
            <v>5000000</v>
          </cell>
          <cell r="G2400">
            <v>41835</v>
          </cell>
        </row>
        <row r="2401">
          <cell r="C2401">
            <v>4277</v>
          </cell>
          <cell r="D2401" t="str">
            <v>Demolicion De Escuela Primaria, Incluye Muros Y Desmontes En General Mas Retiro De Material Sobrante (Ver Diseño).</v>
          </cell>
          <cell r="E2401" t="str">
            <v>GL</v>
          </cell>
          <cell r="F2401">
            <v>8000000</v>
          </cell>
          <cell r="G2401">
            <v>41835</v>
          </cell>
        </row>
        <row r="2402">
          <cell r="C2402">
            <v>4278</v>
          </cell>
          <cell r="D2402" t="str">
            <v>Desmonte De Malla De Backstop Tomas Arrieta (Ver Diseño)</v>
          </cell>
          <cell r="E2402" t="str">
            <v>GL</v>
          </cell>
          <cell r="F2402">
            <v>1500000</v>
          </cell>
          <cell r="G2402">
            <v>41835</v>
          </cell>
        </row>
        <row r="2403">
          <cell r="C2403">
            <v>4279</v>
          </cell>
          <cell r="D2403" t="str">
            <v>Tala De Arboles Existentes Mas Retiro De Material Sobrante (Ver Diseño)</v>
          </cell>
          <cell r="E2403" t="str">
            <v>UN</v>
          </cell>
          <cell r="F2403">
            <v>50000</v>
          </cell>
          <cell r="G2403">
            <v>42241</v>
          </cell>
        </row>
        <row r="2404">
          <cell r="C2404">
            <v>4280</v>
          </cell>
          <cell r="D2404" t="str">
            <v>Desmonte De Postes Existentes Exteriores (Ver Diseño)</v>
          </cell>
          <cell r="E2404" t="str">
            <v>UN</v>
          </cell>
          <cell r="F2404">
            <v>80000</v>
          </cell>
          <cell r="G2404">
            <v>41835</v>
          </cell>
        </row>
        <row r="2405">
          <cell r="C2405">
            <v>4281</v>
          </cell>
          <cell r="D2405" t="str">
            <v>Desmonte De Torres Externas Estadio (Ver Diseño)</v>
          </cell>
          <cell r="E2405" t="str">
            <v>UN</v>
          </cell>
          <cell r="F2405">
            <v>150000</v>
          </cell>
          <cell r="G2405">
            <v>41835</v>
          </cell>
        </row>
        <row r="2406">
          <cell r="C2406">
            <v>4282</v>
          </cell>
          <cell r="D2406" t="str">
            <v>Descapote Y Retiro De Grama Existente Estadio Mas Retiro De Material Sobrante (Ver Diseño)</v>
          </cell>
          <cell r="E2406" t="str">
            <v>M2</v>
          </cell>
          <cell r="F2406">
            <v>4500</v>
          </cell>
          <cell r="G2406">
            <v>41835</v>
          </cell>
        </row>
        <row r="2407">
          <cell r="C2407">
            <v>4283</v>
          </cell>
          <cell r="D2407" t="str">
            <v>Trazado Y Replanteo Sobre Terreno (Ver Diseño)</v>
          </cell>
          <cell r="E2407" t="str">
            <v>M2</v>
          </cell>
          <cell r="F2407">
            <v>800</v>
          </cell>
          <cell r="G2407">
            <v>41835</v>
          </cell>
        </row>
        <row r="2408">
          <cell r="C2408">
            <v>4284</v>
          </cell>
          <cell r="D2408" t="str">
            <v>Levantamiento Topografico Inicial (Ver Diseño)</v>
          </cell>
          <cell r="E2408" t="str">
            <v>HA</v>
          </cell>
          <cell r="F2408">
            <v>1500000</v>
          </cell>
          <cell r="G2408">
            <v>41835</v>
          </cell>
        </row>
        <row r="2409">
          <cell r="C2409">
            <v>4285</v>
          </cell>
          <cell r="D2409" t="str">
            <v>Columna Tipo 2 De 1.50 X 0.60 Metros En Concreto 5000 Psi, No Incluye Hierro De Refuerzo (Ver Diseño)</v>
          </cell>
          <cell r="E2409" t="str">
            <v>M3</v>
          </cell>
          <cell r="F2409">
            <v>721931.88</v>
          </cell>
          <cell r="G2409">
            <v>41821</v>
          </cell>
        </row>
        <row r="2410">
          <cell r="C2410">
            <v>4286</v>
          </cell>
          <cell r="D2410" t="str">
            <v>Gradas En Concreto De 3500 Psi De 0.20 Metros (Ver Diseño)</v>
          </cell>
          <cell r="E2410" t="str">
            <v>M3</v>
          </cell>
          <cell r="F2410">
            <v>650000</v>
          </cell>
          <cell r="G2410">
            <v>41835</v>
          </cell>
        </row>
        <row r="2411">
          <cell r="C2411">
            <v>4287</v>
          </cell>
          <cell r="D2411" t="str">
            <v>Escalera En Concreto De 3500 Psi Para Vomitorios, Segun Diseño</v>
          </cell>
          <cell r="E2411" t="str">
            <v>UN</v>
          </cell>
          <cell r="F2411">
            <v>4500000</v>
          </cell>
          <cell r="G2411">
            <v>41835</v>
          </cell>
        </row>
        <row r="2412">
          <cell r="C2412">
            <v>4288</v>
          </cell>
          <cell r="D2412" t="str">
            <v>Imprimación Slurry - Seal</v>
          </cell>
          <cell r="E2412" t="str">
            <v>M2</v>
          </cell>
          <cell r="F2412">
            <v>5000</v>
          </cell>
          <cell r="G2412">
            <v>41835</v>
          </cell>
        </row>
        <row r="2413">
          <cell r="C2413">
            <v>4289</v>
          </cell>
          <cell r="D2413" t="str">
            <v>Muro En Block Vibrado A La Vista Nº 4, Mortero De Pega 1:4 (Ver Diseño)</v>
          </cell>
          <cell r="E2413" t="str">
            <v>ML</v>
          </cell>
          <cell r="F2413">
            <v>16450</v>
          </cell>
          <cell r="G2413">
            <v>41835</v>
          </cell>
        </row>
        <row r="2414">
          <cell r="C2414">
            <v>4290</v>
          </cell>
          <cell r="D2414" t="str">
            <v>Muro De Cerramiento Perimetral En Tapias Rusticas, H= 2.20 Metros (Ver Diseño)</v>
          </cell>
          <cell r="E2414" t="str">
            <v>M2</v>
          </cell>
          <cell r="F2414">
            <v>55000</v>
          </cell>
          <cell r="G2414">
            <v>41835</v>
          </cell>
        </row>
        <row r="2415">
          <cell r="C2415">
            <v>4291</v>
          </cell>
          <cell r="D2415" t="str">
            <v>Locetas Rectangular Boton Para Sendero Discapacitados</v>
          </cell>
          <cell r="E2415" t="str">
            <v>ML</v>
          </cell>
          <cell r="F2415">
            <v>10500</v>
          </cell>
          <cell r="G2415">
            <v>41835</v>
          </cell>
        </row>
        <row r="2416">
          <cell r="C2416">
            <v>4292</v>
          </cell>
          <cell r="D2416" t="str">
            <v>Banca En Hierro Y Madera Según Modelo</v>
          </cell>
          <cell r="E2416" t="str">
            <v>UN</v>
          </cell>
          <cell r="F2416">
            <v>455000</v>
          </cell>
          <cell r="G2416">
            <v>41835</v>
          </cell>
        </row>
        <row r="2417">
          <cell r="C2417">
            <v>4293</v>
          </cell>
          <cell r="D2417" t="str">
            <v>Cubierta En Policarbonato Referencia Alucobon Dp-16 Mm Color Opal Graderias Y Backstop (Ver Diseño)</v>
          </cell>
          <cell r="E2417" t="str">
            <v>M2</v>
          </cell>
          <cell r="F2417">
            <v>191400</v>
          </cell>
          <cell r="G2417">
            <v>41835</v>
          </cell>
        </row>
        <row r="2418">
          <cell r="C2418">
            <v>4294</v>
          </cell>
          <cell r="D2418" t="str">
            <v>Pergolas En Madera (Ver Diseño)</v>
          </cell>
          <cell r="E2418" t="str">
            <v>M2</v>
          </cell>
          <cell r="F2418">
            <v>110000</v>
          </cell>
          <cell r="G2418">
            <v>41835</v>
          </cell>
        </row>
        <row r="2419">
          <cell r="C2419">
            <v>4295</v>
          </cell>
          <cell r="D2419" t="str">
            <v>Viga Canal En Lamina Galvanizada Calibere 14, De 0.40 X 0.70 Metros (Ver Diseño)</v>
          </cell>
          <cell r="E2419" t="str">
            <v>ML</v>
          </cell>
          <cell r="F2419">
            <v>25500</v>
          </cell>
          <cell r="G2419">
            <v>41835</v>
          </cell>
        </row>
        <row r="2420">
          <cell r="C2420">
            <v>4296</v>
          </cell>
          <cell r="D2420" t="str">
            <v>Señalización</v>
          </cell>
          <cell r="E2420" t="str">
            <v>GL</v>
          </cell>
          <cell r="F2420">
            <v>13000000</v>
          </cell>
          <cell r="G2420">
            <v>41835</v>
          </cell>
        </row>
        <row r="2421">
          <cell r="C2421">
            <v>4297</v>
          </cell>
          <cell r="D2421" t="str">
            <v>Acometida General En Pvc Rde 21 De 2 1/2"</v>
          </cell>
          <cell r="E2421" t="str">
            <v>GL</v>
          </cell>
          <cell r="F2421">
            <v>5000000</v>
          </cell>
          <cell r="G2421">
            <v>41835</v>
          </cell>
        </row>
        <row r="2422">
          <cell r="C2422">
            <v>4298</v>
          </cell>
          <cell r="D2422" t="str">
            <v>Punto Hidráulico De 1 1/2" Para Fluxometro</v>
          </cell>
          <cell r="E2422" t="str">
            <v>UN</v>
          </cell>
          <cell r="F2422">
            <v>48500</v>
          </cell>
          <cell r="G2422">
            <v>41835</v>
          </cell>
        </row>
        <row r="2423">
          <cell r="C2423">
            <v>4299</v>
          </cell>
          <cell r="D2423" t="str">
            <v>Pedestal En Concreto De 3500 Psi De 1.30 X 1.30 X 0.70 Metros</v>
          </cell>
          <cell r="E2423" t="str">
            <v>M3</v>
          </cell>
          <cell r="F2423">
            <v>110656.87</v>
          </cell>
          <cell r="G2423">
            <v>41835</v>
          </cell>
        </row>
        <row r="2424">
          <cell r="C2424">
            <v>4300</v>
          </cell>
          <cell r="D2424" t="str">
            <v>Concreto Asfáltico De 0.07 Metros Para Ciclo Ruta</v>
          </cell>
          <cell r="E2424" t="str">
            <v>M2</v>
          </cell>
          <cell r="F2424">
            <v>42710.239999999998</v>
          </cell>
          <cell r="G2424">
            <v>41831</v>
          </cell>
        </row>
        <row r="2425">
          <cell r="C2425">
            <v>4301</v>
          </cell>
          <cell r="D2425" t="str">
            <v>Carpeta . Pavimento En Concreto Asfáltico De 0.05 Metros Para Vías Perimetrales</v>
          </cell>
          <cell r="E2425" t="str">
            <v>M2</v>
          </cell>
          <cell r="F2425">
            <v>30507.32</v>
          </cell>
          <cell r="G2425">
            <v>41831</v>
          </cell>
        </row>
        <row r="2426">
          <cell r="C2426">
            <v>4302</v>
          </cell>
          <cell r="D2426" t="str">
            <v>Impermeabilizacion De Muros Con Pintura De Esmalte Siliconite (Ver Diseño).</v>
          </cell>
          <cell r="E2426" t="str">
            <v>M2</v>
          </cell>
          <cell r="F2426">
            <v>7702.99</v>
          </cell>
          <cell r="G2426">
            <v>41927</v>
          </cell>
        </row>
        <row r="2427">
          <cell r="C2427">
            <v>4304</v>
          </cell>
          <cell r="D2427" t="str">
            <v>Suministro E Instalación De Luminaria Led De 60 Watios, Incluye Brazo Ornamental De 2.50 Metros, Perno Y Fotocelda (Ver Diseño)</v>
          </cell>
          <cell r="E2427" t="str">
            <v>UN</v>
          </cell>
          <cell r="F2427">
            <v>2135318.9500000002</v>
          </cell>
          <cell r="G2427">
            <v>42457</v>
          </cell>
        </row>
        <row r="2428">
          <cell r="C2428">
            <v>4305</v>
          </cell>
          <cell r="D2428" t="str">
            <v>Suministro E Instalacion De Terminales De Captacion Franklin No Radiactivas, Incluye: Punta Franklin Para Pararrayo, Grapa Doble Ala Galvanizada De 3/4, Tornillos 5/8 X 10, Tuberia Metalica Galvanizada De 3/4, Union Conduit De 3/4, Herramientas, Transporte, Equipos Varios Y Mano De Obra (Ver Diseño)</v>
          </cell>
          <cell r="E2428" t="str">
            <v>UN</v>
          </cell>
          <cell r="F2428">
            <v>102651</v>
          </cell>
          <cell r="G2428">
            <v>41936</v>
          </cell>
        </row>
        <row r="2429">
          <cell r="C2429">
            <v>4308</v>
          </cell>
          <cell r="D2429" t="str">
            <v>Acero Estructural.</v>
          </cell>
          <cell r="E2429" t="str">
            <v>KG</v>
          </cell>
          <cell r="F2429">
            <v>5552.74</v>
          </cell>
          <cell r="G2429">
            <v>42538</v>
          </cell>
        </row>
        <row r="2430">
          <cell r="C2430">
            <v>4309</v>
          </cell>
          <cell r="D2430" t="str">
            <v>Bordillo De 0.15 X 0.20 Metros En Concreto De 3000 Psi, Incluye Anclaje Con Sikadur (Ver Diseño)</v>
          </cell>
          <cell r="E2430" t="str">
            <v>ML</v>
          </cell>
          <cell r="F2430">
            <v>77659.53</v>
          </cell>
          <cell r="G2430">
            <v>41906</v>
          </cell>
        </row>
        <row r="2431">
          <cell r="C2431">
            <v>4311</v>
          </cell>
          <cell r="D2431" t="str">
            <v>Suministro E Instalación  De Tubería Novafort O Similar De 18" - 450 Mm</v>
          </cell>
          <cell r="E2431" t="str">
            <v>ML</v>
          </cell>
          <cell r="F2431">
            <v>366850.36</v>
          </cell>
          <cell r="G2431">
            <v>42548</v>
          </cell>
        </row>
        <row r="2432">
          <cell r="C2432">
            <v>4313</v>
          </cell>
          <cell r="D2432" t="str">
            <v>Estuco Y Pintura Tres Manos</v>
          </cell>
          <cell r="E2432" t="str">
            <v>M2</v>
          </cell>
          <cell r="F2432">
            <v>20366.48</v>
          </cell>
          <cell r="G2432">
            <v>42416</v>
          </cell>
        </row>
        <row r="2433">
          <cell r="C2433">
            <v>4314</v>
          </cell>
          <cell r="D2433" t="str">
            <v>Acabado Para Parqueaderos En Piedra Suelta O Granzon E=0.10M</v>
          </cell>
          <cell r="E2433" t="str">
            <v>M2</v>
          </cell>
          <cell r="F2433">
            <v>26851.34</v>
          </cell>
          <cell r="G2433">
            <v>42102</v>
          </cell>
        </row>
        <row r="2434">
          <cell r="C2434">
            <v>4317</v>
          </cell>
          <cell r="D2434" t="str">
            <v>Salida Para Aire Acondicionado Bifasico (Ver Diseño)</v>
          </cell>
          <cell r="E2434" t="str">
            <v>UN</v>
          </cell>
          <cell r="F2434">
            <v>681920.3</v>
          </cell>
          <cell r="G2434">
            <v>42135</v>
          </cell>
        </row>
        <row r="2435">
          <cell r="C2435">
            <v>4320</v>
          </cell>
          <cell r="D2435" t="str">
            <v>Suministro E Instalacion De Acometida Parcial 3#6 + #6 + #8T Cu Thhw</v>
          </cell>
          <cell r="E2435" t="str">
            <v>ML</v>
          </cell>
          <cell r="F2435">
            <v>27380.9</v>
          </cell>
          <cell r="G2435">
            <v>42524</v>
          </cell>
        </row>
        <row r="2436">
          <cell r="C2436">
            <v>4322</v>
          </cell>
          <cell r="D2436" t="str">
            <v>Suministro E Instalacion De Acometida Parcial 3#10 + #12T Cu Thhw</v>
          </cell>
          <cell r="E2436" t="str">
            <v>ML</v>
          </cell>
          <cell r="F2436">
            <v>10754.34</v>
          </cell>
          <cell r="G2436">
            <v>42135</v>
          </cell>
        </row>
        <row r="2437">
          <cell r="C2437">
            <v>4323</v>
          </cell>
          <cell r="D2437" t="str">
            <v>Suministro E Instalacion De Acometida Parcial 2#6 + #8T Cu Thhw (Ver Diseño).</v>
          </cell>
          <cell r="E2437" t="str">
            <v>ML</v>
          </cell>
          <cell r="F2437">
            <v>26352.6</v>
          </cell>
          <cell r="G2437">
            <v>42135</v>
          </cell>
        </row>
        <row r="2438">
          <cell r="C2438">
            <v>4325</v>
          </cell>
          <cell r="D2438" t="str">
            <v>Suministro E Instalacion De Breaker Enchufable De 2 X 50 Amperios (Ver Diseño)</v>
          </cell>
          <cell r="E2438" t="str">
            <v>UN</v>
          </cell>
          <cell r="F2438">
            <v>44525.83</v>
          </cell>
          <cell r="G2438">
            <v>42135</v>
          </cell>
        </row>
        <row r="2439">
          <cell r="C2439">
            <v>4326</v>
          </cell>
          <cell r="D2439" t="str">
            <v>Suministro E Instalacion De Tuberia Pvc Conduit De 1/2" (Ver Diseño)</v>
          </cell>
          <cell r="E2439" t="str">
            <v>ML</v>
          </cell>
          <cell r="F2439">
            <v>8515.43</v>
          </cell>
          <cell r="G2439">
            <v>42135</v>
          </cell>
        </row>
        <row r="2440">
          <cell r="C2440">
            <v>4329</v>
          </cell>
          <cell r="D2440" t="str">
            <v>Suministro E Instalación De Sanitario Tipo A En Lámina De Acero Inoxidable Aisi 304</v>
          </cell>
          <cell r="E2440" t="str">
            <v>UN</v>
          </cell>
          <cell r="F2440">
            <v>1505551.31</v>
          </cell>
          <cell r="G2440">
            <v>41862</v>
          </cell>
        </row>
        <row r="2441">
          <cell r="C2441">
            <v>4330</v>
          </cell>
          <cell r="D2441" t="str">
            <v>Suministro E Instalacion De Malla Pat 4 Varillas Cuadradas + Caja De Inspeccion (Ver Diseño)</v>
          </cell>
          <cell r="E2441" t="str">
            <v>GL</v>
          </cell>
          <cell r="F2441">
            <v>1737258.28</v>
          </cell>
          <cell r="G2441">
            <v>42538</v>
          </cell>
        </row>
        <row r="2442">
          <cell r="C2442">
            <v>4331</v>
          </cell>
          <cell r="D2442" t="str">
            <v>Suministro E Instalacion De Acometida 2 X ( 3#4/0 + #4/0 + #2/0T Cu Thhw) (Ver Diseño)</v>
          </cell>
          <cell r="E2442" t="str">
            <v>ML</v>
          </cell>
          <cell r="F2442">
            <v>342323.32</v>
          </cell>
          <cell r="G2442">
            <v>42135</v>
          </cell>
        </row>
        <row r="2443">
          <cell r="C2443">
            <v>4333</v>
          </cell>
          <cell r="D2443" t="str">
            <v>Suministro E Instalacion De Transferencia Trifasica Automatica De 112.5 Kva (Ver Diseño)</v>
          </cell>
          <cell r="E2443" t="str">
            <v>UN</v>
          </cell>
          <cell r="F2443">
            <v>7005875</v>
          </cell>
          <cell r="G2443">
            <v>42135</v>
          </cell>
        </row>
        <row r="2444">
          <cell r="C2444">
            <v>4335</v>
          </cell>
          <cell r="D2444" t="str">
            <v>Construccion Canalizacion C/ Un Tubo De 1" Diametro En Lecho De Arena (Ver Diseño).</v>
          </cell>
          <cell r="E2444" t="str">
            <v>ML</v>
          </cell>
          <cell r="F2444">
            <v>34475.56</v>
          </cell>
          <cell r="G2444">
            <v>42538</v>
          </cell>
        </row>
        <row r="2445">
          <cell r="C2445">
            <v>4336</v>
          </cell>
          <cell r="D2445" t="str">
            <v>Construccion Canalizacion Cada Cuatro Tubos De 3" De Diametro En Lecho De Arena (Ver Diseño)</v>
          </cell>
          <cell r="E2445" t="str">
            <v>ML</v>
          </cell>
          <cell r="F2445">
            <v>98736.67</v>
          </cell>
          <cell r="G2445">
            <v>42135</v>
          </cell>
        </row>
        <row r="2446">
          <cell r="C2446">
            <v>4337</v>
          </cell>
          <cell r="D2446" t="str">
            <v>Suministro E Instalación De Reja En Varilla Cuadrada De 5/8" A Cada 0.12 Metros Entre Ejes, Refuerzo Horizontal En Platina De 2 1/2" X 1/4" A Cada 0.40 Metros, Pintada Con Anticorrosivo Y Esmalte Empotrada A La Viga De Cimiento Y Losa</v>
          </cell>
          <cell r="E2446" t="str">
            <v>M2</v>
          </cell>
          <cell r="F2446">
            <v>180939.73</v>
          </cell>
          <cell r="G2446">
            <v>41862</v>
          </cell>
        </row>
        <row r="2447">
          <cell r="C2447">
            <v>4338</v>
          </cell>
          <cell r="D2447" t="str">
            <v>Suministro E Instalación De Puerta En Reja De Varillas De 5/8" A Cada 0.12 Metros Entre Ejes, Refuerzo Horizontal En Platina De 2 1/2" X 1/4" A Cada 0.40 Metros, Con Marco Y Contra Marco Angular De 3" X 3" X 1/4", Con Bisagra Tipo Capsula, Cerradura De Pasador Con Base Para Candado, Pintada Con Anticorrosivo Y Esmalte</v>
          </cell>
          <cell r="E2447" t="str">
            <v>M2</v>
          </cell>
          <cell r="F2447">
            <v>345135.7</v>
          </cell>
          <cell r="G2447">
            <v>41862</v>
          </cell>
        </row>
        <row r="2448">
          <cell r="C2448">
            <v>4339</v>
          </cell>
          <cell r="D2448" t="str">
            <v>Construccion De Tanque Enterrado De 10 M3 (Ver Diseño)</v>
          </cell>
          <cell r="E2448" t="str">
            <v>GL</v>
          </cell>
          <cell r="F2448">
            <v>12000000</v>
          </cell>
          <cell r="G2448">
            <v>42132</v>
          </cell>
        </row>
        <row r="2449">
          <cell r="C2449">
            <v>4340</v>
          </cell>
          <cell r="D2449" t="str">
            <v>Suministro E Instalacion De Puerta De Triplex De 2.00 X 0.90, 0.80, 0,70 Metros, Incluye Marco De Madera, Bisagras Y Cerradura Para El Centro Regional De Victimas (Ver Diseño)</v>
          </cell>
          <cell r="E2449" t="str">
            <v>UN</v>
          </cell>
          <cell r="F2449">
            <v>200000</v>
          </cell>
          <cell r="G2449">
            <v>42132</v>
          </cell>
        </row>
        <row r="2450">
          <cell r="C2450">
            <v>4341</v>
          </cell>
          <cell r="D2450" t="str">
            <v>Pintura En Vinilo Sobre Pañete, Dos Manos.</v>
          </cell>
          <cell r="E2450" t="str">
            <v>M2</v>
          </cell>
          <cell r="F2450">
            <v>8397.9699999999993</v>
          </cell>
          <cell r="G2450">
            <v>42102</v>
          </cell>
        </row>
        <row r="2451">
          <cell r="C2451">
            <v>4347</v>
          </cell>
          <cell r="D2451" t="str">
            <v>Suministro E Instalacion De Punto Salida En Tuberia De 3/4" Imc, Para Lamparas Tipo Campana De 220 Voltios 250 Watios En Cable # 10 Awg (Ver Diseño).</v>
          </cell>
          <cell r="E2451" t="str">
            <v>UN</v>
          </cell>
          <cell r="F2451">
            <v>312248.76</v>
          </cell>
          <cell r="G2451">
            <v>41871</v>
          </cell>
        </row>
        <row r="2452">
          <cell r="C2452">
            <v>4348</v>
          </cell>
          <cell r="D2452" t="str">
            <v>Suministro E Instalacion De Luminaria Tipo Bala 6", Incluye Bombillo De 20 Watios (Ver Diseño).</v>
          </cell>
          <cell r="E2452" t="str">
            <v>UN</v>
          </cell>
          <cell r="F2452">
            <v>74665.61</v>
          </cell>
          <cell r="G2452">
            <v>41871</v>
          </cell>
        </row>
        <row r="2453">
          <cell r="C2453">
            <v>4350</v>
          </cell>
          <cell r="D2453" t="str">
            <v>Suministro E Instalacion De Luminaria Tipo Campana De 250 Watios Metal Haline En Acrilico De 220 Voltios (Ver Diseño).</v>
          </cell>
          <cell r="E2453" t="str">
            <v>UN</v>
          </cell>
          <cell r="F2453">
            <v>648858.44999999995</v>
          </cell>
          <cell r="G2453">
            <v>41871</v>
          </cell>
        </row>
        <row r="2454">
          <cell r="C2454">
            <v>4352</v>
          </cell>
          <cell r="D2454" t="str">
            <v>Suministro E Instalacion De Luminaria Tipo Reflector De 400 Watios Marca Phillips Tempo O Similar (Ver Diseño).</v>
          </cell>
          <cell r="E2454" t="str">
            <v>UN</v>
          </cell>
          <cell r="F2454">
            <v>748858.45</v>
          </cell>
          <cell r="G2454">
            <v>41871</v>
          </cell>
        </row>
        <row r="2455">
          <cell r="C2455">
            <v>4353</v>
          </cell>
          <cell r="D2455" t="str">
            <v>Suministro E Instalacion De Punto Salida Para Aires Acondicionados En Tuberia De 3/4" Pvc, Cable 7 Hilos 3X#10 Awg, Incluye Cableado De Fuerza Y Control Distancia Aproximada 20 Metros (Ver Diseño)</v>
          </cell>
          <cell r="E2455" t="str">
            <v>UN</v>
          </cell>
          <cell r="F2455">
            <v>203402.09</v>
          </cell>
          <cell r="G2455">
            <v>42524</v>
          </cell>
        </row>
        <row r="2456">
          <cell r="C2456">
            <v>4354</v>
          </cell>
          <cell r="D2456" t="str">
            <v>Suministro E Instalacion De Acometida 3X#4 Fases + 1#4 Neutro + 1#4 Tierra Thhn Marca Certificada Para El Tablero De Tomas Y Luces, Incluye Ducto Pvc De 11/2" Tipo Pesado (Ver Diseño).</v>
          </cell>
          <cell r="E2456" t="str">
            <v>ML</v>
          </cell>
          <cell r="F2456">
            <v>54928.76</v>
          </cell>
          <cell r="G2456">
            <v>41872</v>
          </cell>
        </row>
        <row r="2457">
          <cell r="C2457">
            <v>4356</v>
          </cell>
          <cell r="D2457" t="str">
            <v>Suministro E Instalacion De Acometida 3X#6 Fases + 1#6 Neutro + 1#8 Tierra Thhn Marca Certificada Para El Tablero De Tomas Y Luces, Incluye Ducto Pvc De 1 1/2" Tipo Pesado (Ver Diseño)</v>
          </cell>
          <cell r="E2457" t="str">
            <v>ML</v>
          </cell>
          <cell r="F2457">
            <v>42497.760000000002</v>
          </cell>
          <cell r="G2457">
            <v>41872</v>
          </cell>
        </row>
        <row r="2458">
          <cell r="C2458">
            <v>4357</v>
          </cell>
          <cell r="D2458" t="str">
            <v>Suministro E Instalacion De Acometida 3X#4 Fases + 1#6 Neutro + 1#6 Tierra Thhn Marca Certificada Para El Tablero De Tomas Y Luces, Incluye Ducto Pvc 1 1/2" Tipo Pesado (Ver Diseño)</v>
          </cell>
          <cell r="E2458" t="str">
            <v>ML</v>
          </cell>
          <cell r="F2458">
            <v>50718.76</v>
          </cell>
          <cell r="G2458">
            <v>41872</v>
          </cell>
        </row>
        <row r="2459">
          <cell r="C2459">
            <v>4359</v>
          </cell>
          <cell r="D2459" t="str">
            <v>Suministro E Instalacion De Acometida 3X#2 Fases + 1#4 Neutro + 1#4 Tierra Thhn Marca Certificada Para El Tablero De Aire Acondicionado, Incluye Ducto Pvc De 2" Tipo Pesado (Ver Diseño).</v>
          </cell>
          <cell r="E2459" t="str">
            <v>ML</v>
          </cell>
          <cell r="F2459">
            <v>68722.009999999995</v>
          </cell>
          <cell r="G2459">
            <v>41927</v>
          </cell>
        </row>
        <row r="2460">
          <cell r="C2460">
            <v>4361</v>
          </cell>
          <cell r="D2460" t="str">
            <v>Suministro E Instalacion De Acometida 3X#1/0 Fases + 1#4 Neutro + 1#4 Tierra Thhn Marca Certificada Para El Tablero De Aire Acondicionado, Incluye Ducto Pvc De 2" Tipo Pesado (Ver Diseño).</v>
          </cell>
          <cell r="E2460" t="str">
            <v>ML</v>
          </cell>
          <cell r="F2460">
            <v>94800.33</v>
          </cell>
          <cell r="G2460">
            <v>41873</v>
          </cell>
        </row>
        <row r="2461">
          <cell r="C2461">
            <v>4363</v>
          </cell>
          <cell r="D2461" t="str">
            <v>Suministro E Instalacion De Cofre Metalico Calibre 16 Con Lamina Cold Roll Tipo Intemperie, Color Almendra, Con Medidas De 2.10 Metros De Alto X 1.05 Metros De Ancho X 0.50 Metros De Fondo, Con Certificacion Retie (Ver Diseño)</v>
          </cell>
          <cell r="E2461" t="str">
            <v>UN</v>
          </cell>
          <cell r="F2461">
            <v>2670875</v>
          </cell>
          <cell r="G2461">
            <v>41873</v>
          </cell>
        </row>
        <row r="2462">
          <cell r="C2462">
            <v>4365</v>
          </cell>
          <cell r="D2462" t="str">
            <v>Suministro E Instalacion De Interruptor Totalizador Termomagnetico Tipo Industrial Fijo 3 X 800 Amperios (Ver Diseño)</v>
          </cell>
          <cell r="E2462" t="str">
            <v>UN</v>
          </cell>
          <cell r="F2462">
            <v>2154890</v>
          </cell>
          <cell r="G2462">
            <v>41873</v>
          </cell>
        </row>
        <row r="2463">
          <cell r="C2463">
            <v>4367</v>
          </cell>
          <cell r="D2463" t="str">
            <v>Suministro E Instalacion De Terminales De Ponchar Para Cable Nº 4 Y Nº 6 Thhn (Ver Diseño)</v>
          </cell>
          <cell r="E2463" t="str">
            <v>UN</v>
          </cell>
          <cell r="F2463">
            <v>12425.88</v>
          </cell>
          <cell r="G2463">
            <v>41876</v>
          </cell>
        </row>
        <row r="2464">
          <cell r="C2464">
            <v>4369</v>
          </cell>
          <cell r="D2464" t="str">
            <v>Suministro E Instalacion De Transformador De 225 Kva Trifasico, 13200/208-120 Voltios Convencional En Aceite Marca Mologada Por Electricaribe (Ver Diseño)</v>
          </cell>
          <cell r="E2464" t="str">
            <v>UN</v>
          </cell>
          <cell r="F2464">
            <v>15370555.560000001</v>
          </cell>
          <cell r="G2464">
            <v>41876</v>
          </cell>
        </row>
        <row r="2465">
          <cell r="C2465">
            <v>4370</v>
          </cell>
          <cell r="D2465" t="str">
            <v>Suministro E Instalacion De Acometida Principal 3X3#4/0 X Fases + 3X4/0 Neutro + 1#2/0 Tierra Marca Certificada (Ver Diseño)</v>
          </cell>
          <cell r="E2465" t="str">
            <v>ML</v>
          </cell>
          <cell r="F2465">
            <v>421381.25</v>
          </cell>
          <cell r="G2465">
            <v>41876</v>
          </cell>
        </row>
        <row r="2466">
          <cell r="C2466">
            <v>4372</v>
          </cell>
          <cell r="D2466" t="str">
            <v>Suministro E Instalacion De Cable Mono Polar Xlpe Nº 2 Al 100% (Ver Diseño)</v>
          </cell>
          <cell r="E2466" t="str">
            <v>ML</v>
          </cell>
          <cell r="F2466">
            <v>101756</v>
          </cell>
          <cell r="G2466">
            <v>41876</v>
          </cell>
        </row>
        <row r="2467">
          <cell r="C2467">
            <v>4376</v>
          </cell>
          <cell r="D2467" t="str">
            <v>Suministro E Instalacion De Celda Con Seccionador Tripolar Hh Baja Carga Con Cuchilla A Tierra De 17,5 Kv - 400 Amperios Color Almendra Marca Socol O Similar (Ver Diseño)</v>
          </cell>
          <cell r="E2467" t="str">
            <v>UN</v>
          </cell>
          <cell r="F2467">
            <v>8574009.6699999999</v>
          </cell>
          <cell r="G2467">
            <v>42067</v>
          </cell>
        </row>
        <row r="2468">
          <cell r="C2468">
            <v>4381</v>
          </cell>
          <cell r="D2468" t="str">
            <v>Suministro E Instalacion De Celda Con Su Equipo De Medida 3-Tp-13200/120V-3-Tc-20/5 Medidor Electronico Perfil De Carga (Ver Diseño)</v>
          </cell>
          <cell r="E2468" t="str">
            <v>UN</v>
          </cell>
          <cell r="F2468">
            <v>17902898.670000002</v>
          </cell>
          <cell r="G2468">
            <v>41876</v>
          </cell>
        </row>
        <row r="2469">
          <cell r="C2469">
            <v>4383</v>
          </cell>
          <cell r="D2469" t="str">
            <v>Suministro E Instalacion De Juego De Premoldeados Tipo Interior (Ver Diseño)</v>
          </cell>
          <cell r="E2469" t="str">
            <v>UN</v>
          </cell>
          <cell r="F2469">
            <v>675506.75</v>
          </cell>
          <cell r="G2469">
            <v>41876</v>
          </cell>
        </row>
        <row r="2470">
          <cell r="C2470">
            <v>4386</v>
          </cell>
          <cell r="D2470" t="str">
            <v>Acero Estructural,Vigas, Correas Y Piezas Simples, Mediante Uniones Soldadas, Preparación De Bordes, Soldaduras, Cortes, Manipulación Y Montaje.</v>
          </cell>
          <cell r="E2470" t="str">
            <v>KG</v>
          </cell>
          <cell r="F2470">
            <v>5550.76</v>
          </cell>
          <cell r="G2470">
            <v>42572</v>
          </cell>
        </row>
        <row r="2471">
          <cell r="C2471">
            <v>4387</v>
          </cell>
          <cell r="D2471" t="str">
            <v>Suministro E Instalación De Marquesina Fijo De 2.20 Metros De Largo Y 2.50 Metros De Salida, Con Estructura En Tubería Cuadrada De 25 X 25 Calibre 18 Galvanizada, Pintada Con Anticorrosivo Y Acabado En Esmalte En Color Negro, Con Carpa Lona Huracán O Similar Impermeabilizada En Color Azul (Ver Diseño)</v>
          </cell>
          <cell r="E2471" t="str">
            <v>UN</v>
          </cell>
          <cell r="F2471">
            <v>479880</v>
          </cell>
          <cell r="G2471">
            <v>41884</v>
          </cell>
        </row>
        <row r="2472">
          <cell r="C2472">
            <v>4388</v>
          </cell>
          <cell r="D2472" t="str">
            <v>Suministro E Instalación De Módulo En Superboard De 6Mm Y Perfilería Galvanizada Calibre 24, Pintada Con Anticorrosivo Y Acabado En Color Blanco, Con Entrepaños En Vidrio De 4 Mm Crudo De 0.15 X 1.00 Metros, Puerta Doble En Vidrio Con Cerrojo, De 1.10 X 1.20 X 0.20 Metros</v>
          </cell>
          <cell r="E2472" t="str">
            <v>UN</v>
          </cell>
          <cell r="F2472">
            <v>601000</v>
          </cell>
          <cell r="G2472">
            <v>41884</v>
          </cell>
        </row>
        <row r="2473">
          <cell r="C2473">
            <v>4389</v>
          </cell>
          <cell r="D2473" t="str">
            <v>Suministro E Instalación De Mueble Auxiliar En Lámina Galvanizada No. 14 Pintada Con Pintura Electrostática De Color Blanco Incluye Bisagras Y Manija De Doble Cerrojo, De 0.40 X 1.10 X 0.20 Metros</v>
          </cell>
          <cell r="E2473" t="str">
            <v>UN</v>
          </cell>
          <cell r="F2473">
            <v>350000</v>
          </cell>
          <cell r="G2473">
            <v>41884</v>
          </cell>
        </row>
        <row r="2474">
          <cell r="C2474">
            <v>4390</v>
          </cell>
          <cell r="D2474" t="str">
            <v>Provisión De Instalaciones Y Redes Eléctricas - Proyecto Mejoramiento Integral De Barrios (Ver Diseño).</v>
          </cell>
          <cell r="E2474" t="str">
            <v>GL</v>
          </cell>
          <cell r="F2474">
            <v>254999756.96000001</v>
          </cell>
          <cell r="G2474">
            <v>41907</v>
          </cell>
        </row>
        <row r="2475">
          <cell r="C2475">
            <v>4391</v>
          </cell>
          <cell r="D2475" t="str">
            <v>Provision De Acometidas Y Redes De Servicios Publicos Para Las Alcaldias Locales (Ver Diseño).</v>
          </cell>
          <cell r="E2475" t="str">
            <v>GL</v>
          </cell>
          <cell r="F2475">
            <v>200000000</v>
          </cell>
          <cell r="G2475">
            <v>41911</v>
          </cell>
        </row>
        <row r="2476">
          <cell r="C2476">
            <v>4392</v>
          </cell>
          <cell r="D2476" t="str">
            <v>Demolición De Vigas De Concreto De Fachada. Incluye Retiro De Material.</v>
          </cell>
          <cell r="E2476" t="str">
            <v>ML</v>
          </cell>
          <cell r="F2476">
            <v>11025.12</v>
          </cell>
          <cell r="G2476">
            <v>42538</v>
          </cell>
        </row>
        <row r="2477">
          <cell r="C2477">
            <v>4393</v>
          </cell>
          <cell r="D2477" t="str">
            <v>Capítulo - Instalaciones De Redes Contra Incendios.</v>
          </cell>
          <cell r="E2477" t="str">
            <v>SD</v>
          </cell>
          <cell r="F2477">
            <v>0</v>
          </cell>
          <cell r="G2477">
            <v>41919</v>
          </cell>
        </row>
        <row r="2478">
          <cell r="C2478">
            <v>4394</v>
          </cell>
          <cell r="D2478" t="str">
            <v>Viga Aérea En Concreto F'C=4000 Psi. No Incluye Acero De Refuerzo.</v>
          </cell>
          <cell r="E2478" t="str">
            <v>M3</v>
          </cell>
          <cell r="F2478">
            <v>950028.95</v>
          </cell>
          <cell r="G2478">
            <v>42538</v>
          </cell>
        </row>
        <row r="2479">
          <cell r="C2479">
            <v>4395</v>
          </cell>
          <cell r="D2479" t="str">
            <v>Pantalla En Concreto F'C=4000 Psi. No Incluye Acero De Refuerzo.</v>
          </cell>
          <cell r="E2479" t="str">
            <v>M3</v>
          </cell>
          <cell r="F2479">
            <v>619358.57999999996</v>
          </cell>
          <cell r="G2479">
            <v>41936</v>
          </cell>
        </row>
        <row r="2480">
          <cell r="C2480">
            <v>4396</v>
          </cell>
          <cell r="D2480" t="str">
            <v>Concreto Para Placa De Fondo Y Muro De Ascensor F'C= 3000 Psi. No Incluye Acero De Refuerzo.</v>
          </cell>
          <cell r="E2480" t="str">
            <v>M3</v>
          </cell>
          <cell r="F2480">
            <v>679569.53</v>
          </cell>
          <cell r="G2480">
            <v>41936</v>
          </cell>
        </row>
        <row r="2481">
          <cell r="C2481">
            <v>4400</v>
          </cell>
          <cell r="D2481" t="str">
            <v>Suministro E Instalación De Tubería Cpvc Rde 11 D= 1 1/2".</v>
          </cell>
          <cell r="E2481" t="str">
            <v>ML</v>
          </cell>
          <cell r="F2481">
            <v>99970.1</v>
          </cell>
          <cell r="G2481">
            <v>41936</v>
          </cell>
        </row>
        <row r="2482">
          <cell r="C2482">
            <v>4402</v>
          </cell>
          <cell r="D2482" t="str">
            <v>Rociadores Para Red Contra Incendios D=1/2".</v>
          </cell>
          <cell r="E2482" t="str">
            <v>UN</v>
          </cell>
          <cell r="F2482">
            <v>101532.8</v>
          </cell>
          <cell r="G2482">
            <v>41936</v>
          </cell>
        </row>
        <row r="2483">
          <cell r="C2483">
            <v>4403</v>
          </cell>
          <cell r="D2483" t="str">
            <v>Suministro E Instalación De Puerta Corrediza En Aluminio Anodizado Natural Con Sensor, Incluye Vidrio Templado De Seguridad De 10Mm Color Azul Océano Y Cerradura.</v>
          </cell>
          <cell r="E2483" t="str">
            <v>M2</v>
          </cell>
          <cell r="F2483">
            <v>873237.33</v>
          </cell>
          <cell r="G2483">
            <v>42403</v>
          </cell>
        </row>
        <row r="2484">
          <cell r="C2484">
            <v>4405</v>
          </cell>
          <cell r="D2484" t="str">
            <v>Suministro Y Aplicación De Impermeabilizante Sika Fill O Similar.</v>
          </cell>
          <cell r="E2484" t="str">
            <v>M2</v>
          </cell>
          <cell r="F2484">
            <v>15483.97</v>
          </cell>
          <cell r="G2484">
            <v>42538</v>
          </cell>
        </row>
        <row r="2485">
          <cell r="C2485">
            <v>4409</v>
          </cell>
          <cell r="D2485" t="str">
            <v>Suministro E Instalación De Breaker Enchufable De 3 X 40A.</v>
          </cell>
          <cell r="E2485" t="str">
            <v>UN</v>
          </cell>
          <cell r="F2485">
            <v>77866.47</v>
          </cell>
          <cell r="G2485">
            <v>42067</v>
          </cell>
        </row>
        <row r="2486">
          <cell r="C2486">
            <v>4410</v>
          </cell>
          <cell r="D2486" t="str">
            <v>Suministro E Instalación De Breaker Tipo Industrial De 3 X 30A.</v>
          </cell>
          <cell r="E2486" t="str">
            <v>UN</v>
          </cell>
          <cell r="F2486">
            <v>160091.26</v>
          </cell>
          <cell r="G2486">
            <v>42067</v>
          </cell>
        </row>
        <row r="2487">
          <cell r="C2487">
            <v>4411</v>
          </cell>
          <cell r="D2487" t="str">
            <v>Suministro E Instalación De Breaker Tipo Industrial De 3 X 60A.</v>
          </cell>
          <cell r="E2487" t="str">
            <v>UN</v>
          </cell>
          <cell r="F2487">
            <v>313352.11</v>
          </cell>
          <cell r="G2487">
            <v>42067</v>
          </cell>
        </row>
        <row r="2488">
          <cell r="C2488">
            <v>4415</v>
          </cell>
          <cell r="D2488" t="str">
            <v>Suministro E Instalación De Transformador Tipo Seco De 75 Kva Con Celda.</v>
          </cell>
          <cell r="E2488" t="str">
            <v>UN</v>
          </cell>
          <cell r="F2488">
            <v>30532445.390000001</v>
          </cell>
          <cell r="G2488">
            <v>42067</v>
          </cell>
        </row>
        <row r="2489">
          <cell r="C2489">
            <v>4417</v>
          </cell>
          <cell r="D2489" t="str">
            <v>Suministro E Instalación De Celda De Remonte 17.5 Kv 630 A 20 Ka Ref: Cgmcosmos - Rc</v>
          </cell>
          <cell r="E2489" t="str">
            <v>UN</v>
          </cell>
          <cell r="F2489">
            <v>14951640.73</v>
          </cell>
          <cell r="G2489">
            <v>42067</v>
          </cell>
        </row>
        <row r="2490">
          <cell r="C2490">
            <v>4419</v>
          </cell>
          <cell r="D2490" t="str">
            <v>Suministro E Instalación De Pararrayos Para Tipo Codo 15 Kv - Ref: 400Pb10Sa-15L O Similar.</v>
          </cell>
          <cell r="E2490" t="str">
            <v>JG</v>
          </cell>
          <cell r="F2490">
            <v>3581669.02</v>
          </cell>
          <cell r="G2490">
            <v>42067</v>
          </cell>
        </row>
        <row r="2491">
          <cell r="C2491">
            <v>4422</v>
          </cell>
          <cell r="D2491" t="str">
            <v>Suministro E Instalación De Terminal Tipo Codo De Frente Muerto Cable 2 Awg - 3F.</v>
          </cell>
          <cell r="E2491" t="str">
            <v>JG</v>
          </cell>
          <cell r="F2491">
            <v>2496377.6</v>
          </cell>
          <cell r="G2491">
            <v>42067</v>
          </cell>
        </row>
        <row r="2492">
          <cell r="C2492">
            <v>4423</v>
          </cell>
          <cell r="D2492" t="str">
            <v>Suministro E Instalación De Barraje Equipotencial De Cobre 1/4" X 3" X 30Cm</v>
          </cell>
          <cell r="E2492" t="str">
            <v>UN</v>
          </cell>
          <cell r="F2492">
            <v>236051.47</v>
          </cell>
          <cell r="G2492">
            <v>42538</v>
          </cell>
        </row>
        <row r="2493">
          <cell r="C2493">
            <v>4425</v>
          </cell>
          <cell r="D2493" t="str">
            <v>Suministro E Instalación De Medidor 3F 4H 220V 100A Tipo 2 En Tablero De Medida.</v>
          </cell>
          <cell r="E2493" t="str">
            <v>UN</v>
          </cell>
          <cell r="F2493">
            <v>689693.38</v>
          </cell>
          <cell r="G2493">
            <v>42067</v>
          </cell>
        </row>
        <row r="2494">
          <cell r="C2494">
            <v>4426</v>
          </cell>
          <cell r="D2494" t="str">
            <v>Construcción De Cárcamo De Media Tensión.</v>
          </cell>
          <cell r="E2494" t="str">
            <v>ML</v>
          </cell>
          <cell r="F2494">
            <v>204058.23</v>
          </cell>
          <cell r="G2494">
            <v>42538</v>
          </cell>
        </row>
        <row r="2495">
          <cell r="C2495">
            <v>4428</v>
          </cell>
          <cell r="D2495" t="str">
            <v>Suministro E Instalación De Tablero De Distribución De Sobreponer 40 X 60 X 25 Cm Con Barraje Trifásico De 125A.</v>
          </cell>
          <cell r="E2495" t="str">
            <v>UN</v>
          </cell>
          <cell r="F2495">
            <v>2614701.4300000002</v>
          </cell>
          <cell r="G2495">
            <v>42067</v>
          </cell>
        </row>
        <row r="2496">
          <cell r="C2496">
            <v>4429</v>
          </cell>
          <cell r="D2496" t="str">
            <v>Ascensor Eléctrico De Adherencia De 1 M/S De Velocidad, 3 Paradas, 450 Kg De Carga Nominal, Con Capacidad Para 6 Personas, Nivel Básico De Acabado En Cabina De 1000X1250X2200 Mm, Maniobra Colectiva De Bajada, Puertas Interiores Automáticas De Acero Inoxidable Y Puertas Exteriores Automáticas En Acero Para Pintar De 800X2000 Mm. Ver Diseño</v>
          </cell>
          <cell r="E2496" t="str">
            <v>GL</v>
          </cell>
          <cell r="F2496">
            <v>52850296</v>
          </cell>
          <cell r="G2496">
            <v>42438</v>
          </cell>
        </row>
        <row r="2497">
          <cell r="C2497">
            <v>4431</v>
          </cell>
          <cell r="D2497" t="str">
            <v>Corte De Concreto Para Instalacion De Ducteria Incluye Reposición</v>
          </cell>
          <cell r="E2497" t="str">
            <v>UN</v>
          </cell>
          <cell r="F2497">
            <v>87581.77</v>
          </cell>
          <cell r="G2497">
            <v>42067</v>
          </cell>
        </row>
        <row r="2498">
          <cell r="C2498">
            <v>4432</v>
          </cell>
          <cell r="D2498" t="str">
            <v>Base O Plataforma De Concreto De 3000 Psi Armado De 3.00 Metros X 5.00 Metros X 1.5 Metros De Altura, Para Base De Monumento (Ver Diseño).</v>
          </cell>
          <cell r="E2498" t="str">
            <v>M3</v>
          </cell>
          <cell r="F2498">
            <v>674168.47</v>
          </cell>
          <cell r="G2498">
            <v>42066</v>
          </cell>
        </row>
        <row r="2499">
          <cell r="C2499">
            <v>4433</v>
          </cell>
          <cell r="D2499" t="str">
            <v>Base En Concreto De 3000 Psi Premezclado De 0.30 Metros X 0.30 Metros X 0.20 Metros De Altura, Para Fijar Reflectores Monumento (Ver Diseño).</v>
          </cell>
          <cell r="E2499" t="str">
            <v>UN</v>
          </cell>
          <cell r="F2499">
            <v>69252.12</v>
          </cell>
          <cell r="G2499">
            <v>42496</v>
          </cell>
        </row>
        <row r="2500">
          <cell r="C2500">
            <v>4434</v>
          </cell>
          <cell r="D2500" t="str">
            <v>Suministro E Instalacion De Monumento Mariposas (Ver Diseño).</v>
          </cell>
          <cell r="E2500" t="str">
            <v>UN</v>
          </cell>
          <cell r="F2500">
            <v>160000000</v>
          </cell>
          <cell r="G2500">
            <v>42067</v>
          </cell>
        </row>
        <row r="2501">
          <cell r="C2501">
            <v>4435</v>
          </cell>
          <cell r="D2501" t="str">
            <v>Suministro E Instalacion De Sistema De Riego Parque San Andresito (Ver Diseño).</v>
          </cell>
          <cell r="E2501" t="str">
            <v>ML</v>
          </cell>
          <cell r="F2501">
            <v>19665</v>
          </cell>
          <cell r="G2501">
            <v>41949</v>
          </cell>
        </row>
        <row r="2502">
          <cell r="C2502">
            <v>4436</v>
          </cell>
          <cell r="D2502" t="str">
            <v>Cruce De Vias Con Equipo De Perforacion Horizontal 6" Parque San Andresito, Incluye: Pasantes Sobre Las Vias Vehiculares (Ver Diseño)</v>
          </cell>
          <cell r="E2502" t="str">
            <v>ML</v>
          </cell>
          <cell r="F2502">
            <v>275000</v>
          </cell>
          <cell r="G2502">
            <v>42067</v>
          </cell>
        </row>
        <row r="2503">
          <cell r="C2503">
            <v>4437</v>
          </cell>
          <cell r="D2503" t="str">
            <v>Viga Aerea De 0.25 X 0.50 Metros En Concreto De 4000 Psi, No Incluye Acero De Refuerzo</v>
          </cell>
          <cell r="E2503" t="str">
            <v>ML</v>
          </cell>
          <cell r="F2503">
            <v>88310.399999999994</v>
          </cell>
          <cell r="G2503">
            <v>41940</v>
          </cell>
        </row>
        <row r="2504">
          <cell r="C2504">
            <v>4438</v>
          </cell>
          <cell r="D2504" t="str">
            <v>Viga Aerea De 0.40 X 0.50 Metros En Concreto De 4000 Psi, No Incluye Acero De Refuerzo</v>
          </cell>
          <cell r="E2504" t="str">
            <v>ML</v>
          </cell>
          <cell r="F2504">
            <v>118660.75</v>
          </cell>
          <cell r="G2504">
            <v>41940</v>
          </cell>
        </row>
        <row r="2505">
          <cell r="C2505">
            <v>4439</v>
          </cell>
          <cell r="D2505" t="str">
            <v>Relleno En Material De Subbase Granular De Cbr &gt;= 30% Para Edificaciones</v>
          </cell>
          <cell r="E2505" t="str">
            <v>M3</v>
          </cell>
          <cell r="F2505">
            <v>81712.850000000006</v>
          </cell>
          <cell r="G2505">
            <v>42578</v>
          </cell>
        </row>
        <row r="2506">
          <cell r="C2506">
            <v>4441</v>
          </cell>
          <cell r="D2506" t="str">
            <v>Suministro E Instalacion De Campamento Con Instalaciones, Incluye: Alquiler De Contenedor De 20' Para Campamento Tipo Oficina Y/O Bodega (Ver Diseño).</v>
          </cell>
          <cell r="E2506" t="str">
            <v>ME</v>
          </cell>
          <cell r="F2506">
            <v>1142857.1399999999</v>
          </cell>
          <cell r="G2506">
            <v>41968</v>
          </cell>
        </row>
        <row r="2507">
          <cell r="C2507">
            <v>4442</v>
          </cell>
          <cell r="D2507" t="str">
            <v>Demolicion De Bancas En Concreto, Incluye: Retiro De Materiales (Ver Diseño).</v>
          </cell>
          <cell r="E2507" t="str">
            <v>UN</v>
          </cell>
          <cell r="F2507">
            <v>18158.560000000001</v>
          </cell>
          <cell r="G2507">
            <v>42496</v>
          </cell>
        </row>
        <row r="2508">
          <cell r="C2508">
            <v>4444</v>
          </cell>
          <cell r="D2508" t="str">
            <v>Relleno De Piedra En Colores Varios Para Diseño De Paisajismo, Tamaño 0.025 Metros, Para Parque Coliseo Humberto Perea (Ver Diseño).</v>
          </cell>
          <cell r="E2508" t="str">
            <v>M3</v>
          </cell>
          <cell r="F2508">
            <v>124063.81</v>
          </cell>
          <cell r="G2508">
            <v>42066</v>
          </cell>
        </row>
        <row r="2509">
          <cell r="C2509">
            <v>4445</v>
          </cell>
          <cell r="D2509" t="str">
            <v>Demolicion De Muros De Mamposteria En Los Camerinos Del Cliseo Humberto Perea, Incluye: Cargue, Retiro, Limpieza Y Demoliciones De Elementos Estructurales (Ver Diseño).</v>
          </cell>
          <cell r="E2509" t="str">
            <v>GL</v>
          </cell>
          <cell r="F2509">
            <v>150000000</v>
          </cell>
          <cell r="G2509">
            <v>41968</v>
          </cell>
        </row>
        <row r="2510">
          <cell r="C2510">
            <v>4446</v>
          </cell>
          <cell r="D2510" t="str">
            <v>Concreto De Zapata Y Pedestal En Concreto De 3000 Psi Premezclado, Incluye Acero De Refuerzo (Ver Diseño).</v>
          </cell>
          <cell r="E2510" t="str">
            <v>M3</v>
          </cell>
          <cell r="F2510">
            <v>580183.54</v>
          </cell>
          <cell r="G2510">
            <v>42066</v>
          </cell>
        </row>
        <row r="2511">
          <cell r="C2511">
            <v>4447</v>
          </cell>
          <cell r="D2511" t="str">
            <v>Suministro E Instalacion De Iluminacion Led Con Postes De Acero Galvanizado En Caliente De 6.00 Metros De Altura, Tronco Conico Poligonal En Lamina De Acero, Acabado Final En Pintura De Esmalte Para Exteriores, Incluye Base De Concreto (Ver Diseño).</v>
          </cell>
          <cell r="E2511" t="str">
            <v>GL</v>
          </cell>
          <cell r="F2511">
            <v>450000000</v>
          </cell>
          <cell r="G2511">
            <v>41968</v>
          </cell>
        </row>
        <row r="2512">
          <cell r="C2512">
            <v>4448</v>
          </cell>
          <cell r="D2512" t="str">
            <v>Suministro E Instalacion De Alcorques Para Arboles (Ver Diseño).</v>
          </cell>
          <cell r="E2512" t="str">
            <v>UN</v>
          </cell>
          <cell r="F2512">
            <v>200000</v>
          </cell>
          <cell r="G2512">
            <v>42067</v>
          </cell>
        </row>
        <row r="2513">
          <cell r="C2513">
            <v>4450</v>
          </cell>
          <cell r="D2513" t="str">
            <v>Suministro E Instalacion De Manto Para Control De La Erosion (Ver Diseño).</v>
          </cell>
          <cell r="E2513" t="str">
            <v>M2</v>
          </cell>
          <cell r="F2513">
            <v>37291.25</v>
          </cell>
          <cell r="G2513">
            <v>42066</v>
          </cell>
        </row>
        <row r="2514">
          <cell r="C2514">
            <v>4453</v>
          </cell>
          <cell r="D2514" t="str">
            <v>Suministro E Instalacion De Cortasoles En Estructura En Tuberia Galvanizada, Bases Con Platinas Y Pernos De Anclajes, Pergolas En Madera Plastica Con Pintura Aeroflex De Pintuco O Similar ( Ver Diseño).</v>
          </cell>
          <cell r="E2514" t="str">
            <v>M2</v>
          </cell>
          <cell r="F2514">
            <v>647594.75</v>
          </cell>
          <cell r="G2514">
            <v>41968</v>
          </cell>
        </row>
        <row r="2515">
          <cell r="C2515">
            <v>4455</v>
          </cell>
          <cell r="D2515" t="str">
            <v>Suministro E Instalacion De Adoquin Peatonal En Losetas Prefabricadas Lisas De 0.20X0.20X0.06 Metros Y Demarcacion Tactil Para Discapacidad Segun Normativa Del Espacio Publico En Losetas Toperoles Guias Y Alertas De 0.40X0.40X0.06 Metros, Incluye Base En Material Seleccionado.</v>
          </cell>
          <cell r="E2515" t="str">
            <v>M2</v>
          </cell>
          <cell r="F2515">
            <v>111344.01</v>
          </cell>
          <cell r="G2515">
            <v>42800</v>
          </cell>
        </row>
        <row r="2516">
          <cell r="C2516">
            <v>4456</v>
          </cell>
          <cell r="D2516" t="str">
            <v>Suministro E Instalacion De Campamento, Incluye: Piso En Concreto, Cerramiento, Cubierta En Lamina De Zinc, Instalacion Y Desmonte (Ver Diseño).</v>
          </cell>
          <cell r="E2516" t="str">
            <v>M2</v>
          </cell>
          <cell r="F2516">
            <v>89277.23</v>
          </cell>
          <cell r="G2516">
            <v>42066</v>
          </cell>
        </row>
        <row r="2517">
          <cell r="C2517">
            <v>4459</v>
          </cell>
          <cell r="D2517" t="str">
            <v>Provision De Ornamentacion Para Paisajismo General (Ver Diseño).</v>
          </cell>
          <cell r="E2517" t="str">
            <v>GL</v>
          </cell>
          <cell r="F2517">
            <v>200000000</v>
          </cell>
          <cell r="G2517">
            <v>42067</v>
          </cell>
        </row>
        <row r="2518">
          <cell r="C2518">
            <v>4460</v>
          </cell>
          <cell r="D2518" t="str">
            <v>Provision Para Iluminacion Tipo Led (Ver Diseño)</v>
          </cell>
          <cell r="E2518" t="str">
            <v>GL</v>
          </cell>
          <cell r="F2518">
            <v>100000000</v>
          </cell>
          <cell r="G2518">
            <v>42067</v>
          </cell>
        </row>
        <row r="2519">
          <cell r="C2519">
            <v>4461</v>
          </cell>
          <cell r="D2519" t="str">
            <v>Pozo Profundo Con Su Sistema De Riego (Ver Diseño).</v>
          </cell>
          <cell r="E2519" t="str">
            <v>GL</v>
          </cell>
          <cell r="F2519">
            <v>65061360</v>
          </cell>
          <cell r="G2519">
            <v>42237</v>
          </cell>
        </row>
        <row r="2520">
          <cell r="C2520">
            <v>4462</v>
          </cell>
          <cell r="D2520" t="str">
            <v>Provision Para Elsuministro E Instalacion De Cortasoles (Ver Diseño)</v>
          </cell>
          <cell r="E2520" t="str">
            <v>GL</v>
          </cell>
          <cell r="F2520">
            <v>150000000</v>
          </cell>
          <cell r="G2520">
            <v>42067</v>
          </cell>
        </row>
        <row r="2521">
          <cell r="C2521">
            <v>4463</v>
          </cell>
          <cell r="D2521" t="str">
            <v>Provision Para El Paisajismo General Parque Coliseo Humberto Perea (Ver Diseño).</v>
          </cell>
          <cell r="E2521" t="str">
            <v>GL</v>
          </cell>
          <cell r="F2521">
            <v>103656310</v>
          </cell>
          <cell r="G2521">
            <v>42067</v>
          </cell>
        </row>
        <row r="2522">
          <cell r="C2522">
            <v>4464</v>
          </cell>
          <cell r="D2522" t="str">
            <v>Provision Para La Iluminacion Tipo Led Parque Coliseo Humberto Perea (Ver Diseño).</v>
          </cell>
          <cell r="E2522" t="str">
            <v>GL</v>
          </cell>
          <cell r="F2522">
            <v>400000000</v>
          </cell>
          <cell r="G2522">
            <v>42067</v>
          </cell>
        </row>
        <row r="2523">
          <cell r="C2523">
            <v>4465</v>
          </cell>
          <cell r="D2523" t="str">
            <v>Provision Para Elsistema De Riego Parque Coliseo Humberto Perea (Ver Diseño).</v>
          </cell>
          <cell r="E2523" t="str">
            <v>GL</v>
          </cell>
          <cell r="F2523">
            <v>80000000</v>
          </cell>
          <cell r="G2523">
            <v>42067</v>
          </cell>
        </row>
        <row r="2524">
          <cell r="C2524">
            <v>4466</v>
          </cell>
          <cell r="D2524" t="str">
            <v>Demolicion De Placa De Piso, Muro, Placa O Losa De Entrepiso, En Concreto Reforzado, Incluye: Retiro De Materiales, Para Los Parques Coliseo Humberto Perea Y Parque San Andresito (Ver Diseño).</v>
          </cell>
          <cell r="E2524" t="str">
            <v>M2</v>
          </cell>
          <cell r="F2524">
            <v>51140.59</v>
          </cell>
          <cell r="G2524">
            <v>42314</v>
          </cell>
        </row>
        <row r="2525">
          <cell r="C2525">
            <v>4472</v>
          </cell>
          <cell r="D2525" t="str">
            <v>Estampado Para Acceso A Rampas, Incluye Endurecedor De Piso Y Sellante - Parque Coliseo Humberto Perea (Ver Diseño).</v>
          </cell>
          <cell r="E2525" t="str">
            <v>M2</v>
          </cell>
          <cell r="F2525">
            <v>46973.49</v>
          </cell>
          <cell r="G2525">
            <v>42066</v>
          </cell>
        </row>
        <row r="2526">
          <cell r="C2526">
            <v>4474</v>
          </cell>
          <cell r="D2526" t="str">
            <v>Desmonte De Bajante Sanitario De Asbesto Cemento De 6" A Una Altura &gt; De 10 Metros, Incluye Retiro De Material</v>
          </cell>
          <cell r="E2526" t="str">
            <v>ML</v>
          </cell>
          <cell r="F2526">
            <v>38540</v>
          </cell>
          <cell r="G2526">
            <v>42045</v>
          </cell>
        </row>
        <row r="2527">
          <cell r="C2527">
            <v>4475</v>
          </cell>
          <cell r="D2527" t="str">
            <v>Suministro E Instalación De Bajante Sanitario Pvc De 6" A Altura &gt; De 10 Metros</v>
          </cell>
          <cell r="E2527" t="str">
            <v>ML</v>
          </cell>
          <cell r="F2527">
            <v>62720.62</v>
          </cell>
          <cell r="G2527">
            <v>42538</v>
          </cell>
        </row>
        <row r="2528">
          <cell r="C2528">
            <v>4476</v>
          </cell>
          <cell r="D2528" t="str">
            <v>Punto Sanitario En Pvc De 4" A 6"</v>
          </cell>
          <cell r="E2528" t="str">
            <v>UN</v>
          </cell>
          <cell r="F2528">
            <v>167467.21</v>
          </cell>
          <cell r="G2528">
            <v>42572</v>
          </cell>
        </row>
        <row r="2529">
          <cell r="C2529">
            <v>4477</v>
          </cell>
          <cell r="D2529" t="str">
            <v>Suministro E Instalacion De Cortasoles En Fibra De Vidrio Para Fachada Principal (Ver Diseño)</v>
          </cell>
          <cell r="E2529" t="str">
            <v>M2</v>
          </cell>
          <cell r="F2529">
            <v>250000</v>
          </cell>
          <cell r="G2529">
            <v>42102</v>
          </cell>
        </row>
        <row r="2530">
          <cell r="C2530">
            <v>4479</v>
          </cell>
          <cell r="D2530" t="str">
            <v>Juegos Infantiles: Suministro Mas Instalacion De Columpio Referencia Nº 1Xp8544-2X1483 Con Sillas Para Columpio Para Niños Con Edades De 2 A 5 Años Referencia Nº Ss8696 Y De 5 A 12 Años Referencia Nº  Ss8910 Y Una Bahia Adicional De Referencia Nº - (Ver Diseño)</v>
          </cell>
          <cell r="E2530" t="str">
            <v>UN</v>
          </cell>
          <cell r="F2530">
            <v>7523853.96</v>
          </cell>
          <cell r="G2530">
            <v>42201</v>
          </cell>
        </row>
        <row r="2531">
          <cell r="C2531">
            <v>4481</v>
          </cell>
          <cell r="D2531" t="str">
            <v>Juegos Infantiles: Suministro Mas Instalacion De Sistema De Juegos En Polietileno Para Niños De Edades Entre 5 A 12 Años Referencia Nº 19203 Bosque Negro (Ver Diseño)</v>
          </cell>
          <cell r="E2531" t="str">
            <v>UN</v>
          </cell>
          <cell r="F2531">
            <v>96271416.670000002</v>
          </cell>
          <cell r="G2531">
            <v>42201</v>
          </cell>
        </row>
        <row r="2532">
          <cell r="C2532">
            <v>4483</v>
          </cell>
          <cell r="D2532" t="str">
            <v>Juegos Infantiles: Suministro Mas Instalacion De Sube Y Baja De 4 Puestos Referencia Nº 200 Mas Un Sube Y Baja Sencillo Referencia Nº 6129 (Ver Diseño)</v>
          </cell>
          <cell r="E2532" t="str">
            <v>UN</v>
          </cell>
          <cell r="F2532">
            <v>11650811.4</v>
          </cell>
          <cell r="G2532">
            <v>42201</v>
          </cell>
        </row>
        <row r="2533">
          <cell r="C2533">
            <v>4485</v>
          </cell>
          <cell r="D2533" t="str">
            <v>Suministro Mas Instalacion De Cerradura De Seguridad Tipo Yale O Similar Llave Llave (Ver Diseño)</v>
          </cell>
          <cell r="E2533" t="str">
            <v>UN</v>
          </cell>
          <cell r="F2533">
            <v>86241.67</v>
          </cell>
          <cell r="G2533">
            <v>42496</v>
          </cell>
        </row>
        <row r="2534">
          <cell r="C2534">
            <v>4487</v>
          </cell>
          <cell r="D2534" t="str">
            <v>Suministro Mas Instalacion De Malla Tipo Ciclon Galvanizada Color Azul Y Amarillo, Calibre Nº 9, Con Estructura En Tuberia Galvanizada De 1 1/2" Y 1 1/4" A Cada 1.80 Metros, Con Acabado En Pintura Anticorrosiva Y Esmalte (Ver Diseño)</v>
          </cell>
          <cell r="E2534" t="str">
            <v>ML</v>
          </cell>
          <cell r="F2534">
            <v>81825.240000000005</v>
          </cell>
          <cell r="G2534">
            <v>42314</v>
          </cell>
        </row>
        <row r="2535">
          <cell r="C2535">
            <v>4488</v>
          </cell>
          <cell r="D2535" t="str">
            <v>Demolición De Estructura De Concreto En Mal Estado De 0.10 X 0.15, Incluye Retiro De Material</v>
          </cell>
          <cell r="E2535" t="str">
            <v>ML</v>
          </cell>
          <cell r="F2535">
            <v>7810</v>
          </cell>
          <cell r="G2535">
            <v>42090</v>
          </cell>
        </row>
        <row r="2536">
          <cell r="C2536">
            <v>4491</v>
          </cell>
          <cell r="D2536" t="str">
            <v>Losa Maciza En Concreto De 3000 Psi, Con Bombeo, E = 0.10 Metros, No Incluye Acero De Refuerzo</v>
          </cell>
          <cell r="E2536" t="str">
            <v>M2</v>
          </cell>
          <cell r="F2536">
            <v>117862.27</v>
          </cell>
          <cell r="G2536">
            <v>42132</v>
          </cell>
        </row>
        <row r="2537">
          <cell r="C2537">
            <v>4492</v>
          </cell>
          <cell r="D2537" t="str">
            <v>Suministro E Instalacion De Puente Peatonal En Estructura Metalica De 2" Tubular, Incluye: Materiales, Equipo, Transporte Y Mano De Obra (Ver Diseño).</v>
          </cell>
          <cell r="E2537" t="str">
            <v>GL</v>
          </cell>
          <cell r="F2537">
            <v>25000000</v>
          </cell>
          <cell r="G2537">
            <v>42195</v>
          </cell>
        </row>
        <row r="2538">
          <cell r="C2538">
            <v>4494</v>
          </cell>
          <cell r="D2538" t="str">
            <v>Suministro E Instalacion De Barrera Impermeable En Polietileno De 6.00 Milimetros-(Ver Diseño)</v>
          </cell>
          <cell r="E2538" t="str">
            <v>M2</v>
          </cell>
          <cell r="F2538">
            <v>3964.56</v>
          </cell>
          <cell r="G2538">
            <v>42201</v>
          </cell>
        </row>
        <row r="2539">
          <cell r="C2539">
            <v>4496</v>
          </cell>
          <cell r="D2539" t="str">
            <v>Suministro E Instalacion De Listones De 8" X 1 1/2" X 2.40 Metros En Madera De Sapan (Ver Diseño).</v>
          </cell>
          <cell r="E2539" t="str">
            <v>GL</v>
          </cell>
          <cell r="F2539">
            <v>6698297.2999999998</v>
          </cell>
          <cell r="G2539">
            <v>42201</v>
          </cell>
        </row>
        <row r="2540">
          <cell r="C2540">
            <v>4501</v>
          </cell>
          <cell r="D2540" t="str">
            <v>E- Suministro Y Tendido De Ducteria Conduit Pvc 3/4</v>
          </cell>
          <cell r="E2540" t="str">
            <v>ML</v>
          </cell>
          <cell r="F2540">
            <v>3682.6</v>
          </cell>
          <cell r="G2540">
            <v>42173</v>
          </cell>
        </row>
        <row r="2541">
          <cell r="C2541">
            <v>4502</v>
          </cell>
          <cell r="D2541" t="str">
            <v>E- Suministro Y Tendido De Ducteria Conduit Pvc 1"</v>
          </cell>
          <cell r="E2541" t="str">
            <v>ML</v>
          </cell>
          <cell r="F2541">
            <v>3321.96</v>
          </cell>
          <cell r="G2541">
            <v>42314</v>
          </cell>
        </row>
        <row r="2542">
          <cell r="C2542">
            <v>4503</v>
          </cell>
          <cell r="D2542" t="str">
            <v>E- Suministro Y Tendido De Ducteria Conduit Pvc 1 1/2"</v>
          </cell>
          <cell r="E2542" t="str">
            <v>ML</v>
          </cell>
          <cell r="F2542">
            <v>4588.62</v>
          </cell>
          <cell r="G2542">
            <v>42240</v>
          </cell>
        </row>
        <row r="2543">
          <cell r="C2543">
            <v>4504</v>
          </cell>
          <cell r="D2543" t="str">
            <v>E- Canalizacion 0.30 0.50 En Zona Verde Y Arena, Incluye: Excavacion, Compactado Con Material Del Sitio Y Cinta De Seguridad</v>
          </cell>
          <cell r="E2543" t="str">
            <v>ML</v>
          </cell>
          <cell r="F2543">
            <v>13359.74</v>
          </cell>
          <cell r="G2543">
            <v>42314</v>
          </cell>
        </row>
        <row r="2544">
          <cell r="C2544">
            <v>4506</v>
          </cell>
          <cell r="D2544" t="str">
            <v>E- Suministro E Instalacion De Cable De Cobre Forrado Nº 8 Awg Aislamiento Thw, Incluye Cinta Aislante 23 Y 33</v>
          </cell>
          <cell r="E2544" t="str">
            <v>ML</v>
          </cell>
          <cell r="F2544">
            <v>8539.01</v>
          </cell>
          <cell r="G2544">
            <v>42173</v>
          </cell>
        </row>
        <row r="2545">
          <cell r="C2545">
            <v>4507</v>
          </cell>
          <cell r="D2545" t="str">
            <v>E- Suministro E Instalacion De Cable De Cobre Forrado Nº 6 Awg Aislamiento Thw, Incluye Cinta Aislante 23 Y 33</v>
          </cell>
          <cell r="E2545" t="str">
            <v>ML</v>
          </cell>
          <cell r="F2545">
            <v>8933.81</v>
          </cell>
          <cell r="G2545">
            <v>42173</v>
          </cell>
        </row>
        <row r="2546">
          <cell r="C2546">
            <v>4509</v>
          </cell>
          <cell r="D2546" t="str">
            <v>E- Suministro E Instalacion De Cable De Cobre Forrado Nº 14 Awg Aislamiento Thw, Incluye: Cinta Aislante 23 Y 33</v>
          </cell>
          <cell r="E2546" t="str">
            <v>ML</v>
          </cell>
          <cell r="F2546">
            <v>5289.51</v>
          </cell>
          <cell r="G2546">
            <v>42557</v>
          </cell>
        </row>
        <row r="2547">
          <cell r="C2547">
            <v>4511</v>
          </cell>
          <cell r="D2547" t="str">
            <v>E- Suministro E Instalacion De Cable Encauchetado 3 X 14 Awg</v>
          </cell>
          <cell r="E2547" t="str">
            <v>ML</v>
          </cell>
          <cell r="F2547">
            <v>8230.9699999999993</v>
          </cell>
          <cell r="G2547">
            <v>42557</v>
          </cell>
        </row>
        <row r="2548">
          <cell r="C2548">
            <v>4513</v>
          </cell>
          <cell r="D2548" t="str">
            <v>E- Suministro E Instalacion De Varilla Polo A Tierra, Incluye Varilla, Conector</v>
          </cell>
          <cell r="E2548" t="str">
            <v>UN</v>
          </cell>
          <cell r="F2548">
            <v>175985.3</v>
          </cell>
          <cell r="G2548">
            <v>42557</v>
          </cell>
        </row>
        <row r="2549">
          <cell r="C2549">
            <v>4515</v>
          </cell>
          <cell r="D2549" t="str">
            <v>E- Suministro E Instalacion De Luminaria Tipo Led De 30/40 W - Optica 8686 Y 444</v>
          </cell>
          <cell r="E2549" t="str">
            <v>UN</v>
          </cell>
          <cell r="F2549">
            <v>825247.72</v>
          </cell>
          <cell r="G2549">
            <v>42240</v>
          </cell>
        </row>
        <row r="2550">
          <cell r="C2550">
            <v>4517</v>
          </cell>
          <cell r="D2550" t="str">
            <v>E- Suministro E Instalcion De Luminaria Tipo  Aluled De 60/70 W Optica 444</v>
          </cell>
          <cell r="E2550" t="str">
            <v>UN</v>
          </cell>
          <cell r="F2550">
            <v>1416063.72</v>
          </cell>
          <cell r="G2550">
            <v>42314</v>
          </cell>
        </row>
        <row r="2551">
          <cell r="C2551">
            <v>4520</v>
          </cell>
          <cell r="D2551" t="str">
            <v>E- Suministro E Instalacion De Proyector Tipo Proyeled De 90 W</v>
          </cell>
          <cell r="E2551" t="str">
            <v>UN</v>
          </cell>
          <cell r="F2551">
            <v>1495508.22</v>
          </cell>
          <cell r="G2551">
            <v>42173</v>
          </cell>
        </row>
        <row r="2552">
          <cell r="C2552">
            <v>4522</v>
          </cell>
          <cell r="D2552" t="str">
            <v>E- Suministro E Instalacion De Proyector Tipo Proyeled De 120 W</v>
          </cell>
          <cell r="E2552" t="str">
            <v>UN</v>
          </cell>
          <cell r="F2552">
            <v>1497692.72</v>
          </cell>
          <cell r="G2552">
            <v>42314</v>
          </cell>
        </row>
        <row r="2553">
          <cell r="C2553">
            <v>4524</v>
          </cell>
          <cell r="D2553" t="str">
            <v>E- Suministro E Instalacion De Proyector Tipo Proyeled De 240 W</v>
          </cell>
          <cell r="E2553" t="str">
            <v>UN</v>
          </cell>
          <cell r="F2553">
            <v>2100535.7200000002</v>
          </cell>
          <cell r="G2553">
            <v>42173</v>
          </cell>
        </row>
        <row r="2554">
          <cell r="C2554">
            <v>4525</v>
          </cell>
          <cell r="D2554" t="str">
            <v>E- Suministro E Instalacion De Poste De Acero Galvanizado En Caliente De 6.00 Metros De Altura, Tronco Conico Poligonal, En Lamina De Acero, Con Aditamento Para La Instalacion De Una Luminaria Con Brazo Tipo Alameda De 1.5 Metros, Acabado Final En Pintura De Esmalte Para Exteriores, Incluye Anclaje De Concreto Y Pedestal.</v>
          </cell>
          <cell r="E2554" t="str">
            <v>UN</v>
          </cell>
          <cell r="F2554">
            <v>1293654.1200000001</v>
          </cell>
          <cell r="G2554">
            <v>42557</v>
          </cell>
        </row>
        <row r="2555">
          <cell r="C2555">
            <v>4527</v>
          </cell>
          <cell r="D2555" t="str">
            <v>E- Suministro E Instalacion De Poste De Acero Galvanizado En Caliente De 6.00 Metros De Altura, Tronco Conico Poligonal, En Lamina De Acero, Con Aditamento Para La Instalacion De Dos Luminarias Con Brazo Tipo Alameda De 1.50 Metros, Acabado Final En Pintura De Esmalte Para Exteriores, Incluye Anclaje De Concreto Y Pedestal.</v>
          </cell>
          <cell r="E2555" t="str">
            <v>UN</v>
          </cell>
          <cell r="F2555">
            <v>1363654.12</v>
          </cell>
          <cell r="G2555">
            <v>42173</v>
          </cell>
        </row>
        <row r="2556">
          <cell r="C2556">
            <v>4528</v>
          </cell>
          <cell r="D2556" t="str">
            <v>E- Suministro E Instalacion De Poste De Acero Galvanizado En Caliente De 8.00 Metros De Altura, Tronco Conico Poligonal En Lamina De Acero Con Crucete De 2.40 Metros Para La Instalacion De Tres Reflectores Proyeled De 90 W, Acabado Final En Pintura De Esmalte Para Exteriores, Incluye Anclaje De Concreto Y Pedestal.</v>
          </cell>
          <cell r="E2556" t="str">
            <v>UN</v>
          </cell>
          <cell r="F2556">
            <v>1739982.12</v>
          </cell>
          <cell r="G2556">
            <v>42173</v>
          </cell>
        </row>
        <row r="2557">
          <cell r="C2557">
            <v>4530</v>
          </cell>
          <cell r="D2557" t="str">
            <v>E- Suministro E Instalacion De Poste Acero Galvanizado En Caliente De 12.00 Metros De Altura, Tronco Conico Poligonal En Lamina De Acero Con Crucete De 2.80 Metros Para La Instalacion De Cinco Reflectores Proyeled De 120 W, Acabado Final En Pintura De Esmalte Para Exteriores, Incluye Anclaje De Concreto Y Pedestal.</v>
          </cell>
          <cell r="E2557" t="str">
            <v>UN</v>
          </cell>
          <cell r="F2557">
            <v>2326042.12</v>
          </cell>
          <cell r="G2557">
            <v>42173</v>
          </cell>
        </row>
        <row r="2558">
          <cell r="C2558">
            <v>4531</v>
          </cell>
          <cell r="D2558" t="str">
            <v>Formaleta Metalica Para Losa Y Muros (Ver Diseño)</v>
          </cell>
          <cell r="E2558" t="str">
            <v>M2</v>
          </cell>
          <cell r="F2558">
            <v>13925.25</v>
          </cell>
          <cell r="G2558">
            <v>42201</v>
          </cell>
        </row>
        <row r="2559">
          <cell r="C2559">
            <v>4532</v>
          </cell>
          <cell r="D2559" t="str">
            <v>Formaleta Metalica Para Columnas (Ver Diseño)</v>
          </cell>
          <cell r="E2559" t="str">
            <v>M2</v>
          </cell>
          <cell r="F2559">
            <v>28880.17</v>
          </cell>
          <cell r="G2559">
            <v>42201</v>
          </cell>
        </row>
        <row r="2560">
          <cell r="C2560">
            <v>4533</v>
          </cell>
          <cell r="D2560" t="str">
            <v>Concreto De 3000 Psi Premezclado, No Incluye Acero De Refuerzo (Ver Diseño)</v>
          </cell>
          <cell r="E2560" t="str">
            <v>M3</v>
          </cell>
          <cell r="F2560">
            <v>417604.9</v>
          </cell>
          <cell r="G2560">
            <v>42417</v>
          </cell>
        </row>
        <row r="2561">
          <cell r="C2561">
            <v>4537</v>
          </cell>
          <cell r="D2561" t="str">
            <v>E- Suministro E Instalacion De Cruceta Metalica Galvanizada Tipo Bandera De 2.40 Con Sus Accesorios</v>
          </cell>
          <cell r="E2561" t="str">
            <v>UN</v>
          </cell>
          <cell r="F2561">
            <v>197795.88</v>
          </cell>
          <cell r="G2561">
            <v>42173</v>
          </cell>
        </row>
        <row r="2562">
          <cell r="C2562">
            <v>4539</v>
          </cell>
          <cell r="D2562" t="str">
            <v>E- Suministro Y Tendido De Cable De Aluminio Ascr Desnudo Nº 1/0</v>
          </cell>
          <cell r="E2562" t="str">
            <v>ML</v>
          </cell>
          <cell r="F2562">
            <v>3887.52</v>
          </cell>
          <cell r="G2562">
            <v>42173</v>
          </cell>
        </row>
        <row r="2563">
          <cell r="C2563">
            <v>4541</v>
          </cell>
          <cell r="D2563" t="str">
            <v>E- Suministro E Instalacion De Brazo Para Luminaria Tipo Alameda De 1.50 Metros, Galvanizado En Caliente</v>
          </cell>
          <cell r="E2563" t="str">
            <v>UN</v>
          </cell>
          <cell r="F2563">
            <v>161024.42000000001</v>
          </cell>
          <cell r="G2563">
            <v>42173</v>
          </cell>
        </row>
        <row r="2564">
          <cell r="C2564">
            <v>4544</v>
          </cell>
          <cell r="D2564" t="str">
            <v>E- Tablero De Control Para Iluminacion, Incluye Fotocelda, Base Para Fotocelda, Contactores, Breakers, Sistema De Sujecion Y Accesorios</v>
          </cell>
          <cell r="E2564" t="str">
            <v>UN</v>
          </cell>
          <cell r="F2564">
            <v>1850118.26</v>
          </cell>
          <cell r="G2564">
            <v>42314</v>
          </cell>
        </row>
        <row r="2565">
          <cell r="C2565">
            <v>4545</v>
          </cell>
          <cell r="D2565" t="str">
            <v>E- Suministro E Instalacion De Poste De Acero Galvanizado En Caliente De 10.00 Metros De Altura, Tronco Conico Poligonal, En Lamina De Acero, Con Crucete De 1.80 Metros Para La Instalacion De Dos Reflectores Proyeled De 120W, Acabado Final En Pintura De Esmalte Para Exteriores, Incluye Anclaje De Concreto Y Pedestal.</v>
          </cell>
          <cell r="E2565" t="str">
            <v>UN</v>
          </cell>
          <cell r="F2565">
            <v>2054714.12</v>
          </cell>
          <cell r="G2565">
            <v>42314</v>
          </cell>
        </row>
        <row r="2566">
          <cell r="C2566">
            <v>4546</v>
          </cell>
          <cell r="D2566" t="str">
            <v>E- Suministro E Instalacion De Caseton Ecologico En Icopor (Ver Diseño)</v>
          </cell>
          <cell r="E2566" t="str">
            <v>M3</v>
          </cell>
          <cell r="F2566">
            <v>121355.32</v>
          </cell>
          <cell r="G2566">
            <v>42201</v>
          </cell>
        </row>
        <row r="2567">
          <cell r="C2567">
            <v>4547</v>
          </cell>
          <cell r="D2567" t="str">
            <v>Ornamentacion Y Jardineria - Suministro E Instalacion De Arbol Caracoli (Nombre Cientifico: Anacardium Excelsum) Altura De 2.00 A 3.00 Metros, Incluye: Transporte Y Siembra.</v>
          </cell>
          <cell r="E2567" t="str">
            <v>UN</v>
          </cell>
          <cell r="F2567">
            <v>230000</v>
          </cell>
          <cell r="G2567">
            <v>42152</v>
          </cell>
        </row>
        <row r="2568">
          <cell r="C2568">
            <v>4548</v>
          </cell>
          <cell r="D2568" t="str">
            <v>Ornamentacion Y Jardineria - Suministro E Instalacion De Arbol Roble Morado, Altura De 2.00 Metros Aproximado, Incluye: Transporte Y Siembra.</v>
          </cell>
          <cell r="E2568" t="str">
            <v>UN</v>
          </cell>
          <cell r="F2568">
            <v>92000</v>
          </cell>
          <cell r="G2568">
            <v>42242</v>
          </cell>
        </row>
        <row r="2569">
          <cell r="C2569">
            <v>4549</v>
          </cell>
          <cell r="D2569" t="str">
            <v>Ornamentacion Y Jardineria - Suministro E Instalacion De Arbol Alistonia, Altura De 2.00 Metros Aproximado, Incluye: Transporte Y Siembra.</v>
          </cell>
          <cell r="E2569" t="str">
            <v>UN</v>
          </cell>
          <cell r="F2569">
            <v>112000</v>
          </cell>
          <cell r="G2569">
            <v>42178</v>
          </cell>
        </row>
        <row r="2570">
          <cell r="C2570">
            <v>4550</v>
          </cell>
          <cell r="D2570" t="str">
            <v>Ornamentacion Y Jardineria - Suministro E Instalacion De Arbol Ebano (Nombre Cientifico: Caesalpinia Ebano) Altura De 2.00 A 3.00 Metros, Incluye: Transporte Y Siembra.</v>
          </cell>
          <cell r="E2570" t="str">
            <v>UN</v>
          </cell>
          <cell r="F2570">
            <v>230000</v>
          </cell>
          <cell r="G2570">
            <v>42152</v>
          </cell>
        </row>
        <row r="2571">
          <cell r="C2571">
            <v>4551</v>
          </cell>
          <cell r="D2571" t="str">
            <v>Ornamentacion Y Jardineria - Suministro E Instalacion De Arbol Pepo O Chumbimbo (Nombre Cientifico: Sapindus Saponaria) Altura De 2.00 A 3.00 Metros, Incluye: Transporte Y Siembra.</v>
          </cell>
          <cell r="E2571" t="str">
            <v>UN</v>
          </cell>
          <cell r="F2571">
            <v>230000</v>
          </cell>
          <cell r="G2571">
            <v>42152</v>
          </cell>
        </row>
        <row r="2572">
          <cell r="C2572">
            <v>4552</v>
          </cell>
          <cell r="D2572" t="str">
            <v>Ornamentacion Y Jardineria - Suministro E Instalacion De Palma De Vino (Nombre Cientifico: Attalea Butyracea) Altura De 2.00 A 3.00 Metros, Incluye: Transporte Y Siembra</v>
          </cell>
          <cell r="E2572" t="str">
            <v>UN</v>
          </cell>
          <cell r="F2572">
            <v>230000</v>
          </cell>
          <cell r="G2572">
            <v>42152</v>
          </cell>
        </row>
        <row r="2573">
          <cell r="C2573">
            <v>4553</v>
          </cell>
          <cell r="D2573" t="str">
            <v>Ornamentacion Y Jardineria - Suministro E Instalacion De Palma Dactil De Azucar (Nombre Cientifico: Phoenix Sylvestris) Altura De 2.00 A 3.00 Metros, Incluye: Transporte Y Siembra.</v>
          </cell>
          <cell r="E2573" t="str">
            <v>UN</v>
          </cell>
          <cell r="F2573">
            <v>230000</v>
          </cell>
          <cell r="G2573">
            <v>42152</v>
          </cell>
        </row>
        <row r="2574">
          <cell r="C2574">
            <v>4554</v>
          </cell>
          <cell r="D2574" t="str">
            <v>Ornamentacion Y Jardineria - Suministro E Instalacion De Planta Carey (Nombre Cientifico: Cordyline Terminalis) Incluye Transporte Y Siembra.</v>
          </cell>
          <cell r="E2574" t="str">
            <v>UN</v>
          </cell>
          <cell r="F2574">
            <v>3500</v>
          </cell>
          <cell r="G2574">
            <v>42242</v>
          </cell>
        </row>
        <row r="2575">
          <cell r="C2575">
            <v>4555</v>
          </cell>
          <cell r="D2575" t="str">
            <v>Suministro E Instalacion De Adoquin Peatonal En Losetas Prefabricadas A50, Tactil Alerta A55 Y Tactil Guia A56 De 0.20 X 0.20 X 0.06 Metros, Con Borde De Confinamiento A Ambos Lados De 0.15 X 0.30 Metros En Concreto De 3000 Psi Reforzado Con 2 Varillas De 3/8" Y Estribos De 1/42 A Cada 0.32 Metros (Ver Diseño).</v>
          </cell>
          <cell r="E2575" t="str">
            <v>M2</v>
          </cell>
          <cell r="F2575">
            <v>113408.92</v>
          </cell>
          <cell r="G2575">
            <v>42800</v>
          </cell>
        </row>
        <row r="2576">
          <cell r="C2576">
            <v>4560</v>
          </cell>
          <cell r="D2576" t="str">
            <v>Suministro E Instalacion De Adoquin Peatonal Drenante A50 De 0.10 X 0.20 X 0.06 Metros Color Gris (Ver Diseño).</v>
          </cell>
          <cell r="E2576" t="str">
            <v>M2</v>
          </cell>
          <cell r="F2576">
            <v>91362.96</v>
          </cell>
          <cell r="G2576">
            <v>42240</v>
          </cell>
        </row>
        <row r="2577">
          <cell r="C2577">
            <v>4561</v>
          </cell>
          <cell r="D2577" t="str">
            <v>Ornamentacion Y Jardineria - Suministro E Instalacion De Arbol Ceiba Blanca, Altura De 2.00 Metros Aproximado, Incluye Transporte Y Siembra</v>
          </cell>
          <cell r="E2577" t="str">
            <v>UN</v>
          </cell>
          <cell r="F2577">
            <v>92000</v>
          </cell>
          <cell r="G2577">
            <v>42242</v>
          </cell>
        </row>
        <row r="2578">
          <cell r="C2578">
            <v>4562</v>
          </cell>
          <cell r="D2578" t="str">
            <v>Remocion De Obstaculos (Ver Diseño)</v>
          </cell>
          <cell r="E2578" t="str">
            <v>UN</v>
          </cell>
          <cell r="F2578">
            <v>106350.86</v>
          </cell>
          <cell r="G2578">
            <v>42242</v>
          </cell>
        </row>
        <row r="2579">
          <cell r="C2579">
            <v>4563</v>
          </cell>
          <cell r="D2579" t="str">
            <v>Concreto Clase G (Ver Diseño)</v>
          </cell>
          <cell r="E2579" t="str">
            <v>M3</v>
          </cell>
          <cell r="F2579">
            <v>204922.4</v>
          </cell>
          <cell r="G2579">
            <v>42241</v>
          </cell>
        </row>
        <row r="2580">
          <cell r="C2580">
            <v>4564</v>
          </cell>
          <cell r="D2580" t="str">
            <v>Provision Redes Electricas Existentes: Reubicacion Postes En El Parque, Reubicacion De Centro De Transformacion, Proyecto Plaza Hospital (Ver Diseño).</v>
          </cell>
          <cell r="E2580" t="str">
            <v>GL</v>
          </cell>
          <cell r="F2580">
            <v>50000000</v>
          </cell>
          <cell r="G2580">
            <v>42237</v>
          </cell>
        </row>
        <row r="2581">
          <cell r="C2581">
            <v>4565</v>
          </cell>
          <cell r="D2581" t="str">
            <v>Provision De Paisajismo Y Amoblamiento Urbano De La Plaza Hospital (Ver Diseño)</v>
          </cell>
          <cell r="E2581" t="str">
            <v>GL</v>
          </cell>
          <cell r="F2581">
            <v>50000000</v>
          </cell>
          <cell r="G2581">
            <v>42227</v>
          </cell>
        </row>
        <row r="2582">
          <cell r="C2582">
            <v>4572</v>
          </cell>
          <cell r="D2582" t="str">
            <v>Demolición De Viga O Estructura En Concreto, Ancho &lt; A 0.60 Metros,  Inlcuye Retiro De Material</v>
          </cell>
          <cell r="E2582" t="str">
            <v>ML</v>
          </cell>
          <cell r="F2582">
            <v>8816.25</v>
          </cell>
          <cell r="G2582">
            <v>42209</v>
          </cell>
        </row>
        <row r="2583">
          <cell r="C2583">
            <v>4573</v>
          </cell>
          <cell r="D2583" t="str">
            <v>Plantilla En Concreto De 2500 Psi Ancho &lt; De 0.60 Metros E= 0.08 Metros</v>
          </cell>
          <cell r="E2583" t="str">
            <v>ML</v>
          </cell>
          <cell r="F2583">
            <v>30858.16</v>
          </cell>
          <cell r="G2583">
            <v>42209</v>
          </cell>
        </row>
        <row r="2584">
          <cell r="C2584">
            <v>4574</v>
          </cell>
          <cell r="D2584" t="str">
            <v>Ornamentacion Y Jardineria - Suministro E Instalacion De Sillas O Bancas Prefabricadas En Granito Gris Pulido Para Exteriores, Sin Espaldar Tipo Canoas De 1.80 Metros, Incluye Transporte (Ver Diseño).</v>
          </cell>
          <cell r="E2584" t="str">
            <v>UN</v>
          </cell>
          <cell r="F2584">
            <v>1277814.53</v>
          </cell>
          <cell r="G2584">
            <v>42242</v>
          </cell>
        </row>
        <row r="2585">
          <cell r="C2585">
            <v>4575</v>
          </cell>
          <cell r="D2585" t="str">
            <v>Suministro E Instalacion De Bolardos Metalicos Bajos Segun Diseños</v>
          </cell>
          <cell r="E2585" t="str">
            <v>UN</v>
          </cell>
          <cell r="F2585">
            <v>240125.17</v>
          </cell>
          <cell r="G2585">
            <v>42241</v>
          </cell>
        </row>
        <row r="2586">
          <cell r="C2586">
            <v>4576</v>
          </cell>
          <cell r="D2586" t="str">
            <v>Suministro E Instalacion De Canecas De Basuras En Acero Inoxidable De 35 Cms De Diametro Por 60 Cms De Alto (Ver Diseño).</v>
          </cell>
          <cell r="E2586" t="str">
            <v>UN</v>
          </cell>
          <cell r="F2586">
            <v>1008648.89</v>
          </cell>
          <cell r="G2586">
            <v>42241</v>
          </cell>
        </row>
        <row r="2587">
          <cell r="C2587">
            <v>4577</v>
          </cell>
          <cell r="D2587" t="str">
            <v>Suministro E Instalacion De Perfil En Aluminio Para Cubierta Metalica Umbrales (Ver Diseño).</v>
          </cell>
          <cell r="E2587" t="str">
            <v>ML</v>
          </cell>
          <cell r="F2587">
            <v>62228.84</v>
          </cell>
          <cell r="G2587">
            <v>42241</v>
          </cell>
        </row>
        <row r="2588">
          <cell r="C2588">
            <v>4583</v>
          </cell>
          <cell r="D2588" t="str">
            <v>Recubrimiento De Piso De Planchon En Arkodeck O Similar H 3.00 Cms (Ver Diseño).</v>
          </cell>
          <cell r="E2588" t="str">
            <v>M2</v>
          </cell>
          <cell r="F2588">
            <v>293883.83</v>
          </cell>
          <cell r="G2588">
            <v>42241</v>
          </cell>
        </row>
        <row r="2589">
          <cell r="C2589">
            <v>4584</v>
          </cell>
          <cell r="D2589" t="str">
            <v>Fachada De Modulo De Baños Y Venta Estacionaria En Arkodeck O Similar H 2.5 Cms (Ver Diseño).</v>
          </cell>
          <cell r="E2589" t="str">
            <v>M2</v>
          </cell>
          <cell r="F2589">
            <v>287597.83</v>
          </cell>
          <cell r="G2589">
            <v>42242</v>
          </cell>
        </row>
        <row r="2590">
          <cell r="C2590">
            <v>4586</v>
          </cell>
          <cell r="D2590" t="str">
            <v>Provisiones De Subterranizacion De Redes Para Los Proyectos De Las Plazas En El Distrito De Barranquilla.</v>
          </cell>
          <cell r="E2590" t="str">
            <v>GL</v>
          </cell>
          <cell r="F2590">
            <v>400000000</v>
          </cell>
          <cell r="G2590">
            <v>42241</v>
          </cell>
        </row>
        <row r="2591">
          <cell r="C2591">
            <v>4587</v>
          </cell>
          <cell r="D2591" t="str">
            <v>Losa Maciza En Concreto De 3000 Psi Reforzada Con Varillas De 3/8" En Ambos Sentidos A Cada 0.15 Metros, Espesor 0.10 Metros</v>
          </cell>
          <cell r="E2591" t="str">
            <v>M2</v>
          </cell>
          <cell r="F2591">
            <v>89276.38</v>
          </cell>
          <cell r="G2591">
            <v>42496</v>
          </cell>
        </row>
        <row r="2592">
          <cell r="C2592">
            <v>4588</v>
          </cell>
          <cell r="D2592" t="str">
            <v>Suministro E Instalacion De Modulo O Panel Central En Malla Ciclon, Forrada En Pvc Calibre 10, Con Marco En Tuberia Galvanizada De 1" Calibre 18 Para Cerramiento De Canchas, No Incluye La Estructura O Parales De Fijacion (Ver Diseño).</v>
          </cell>
          <cell r="E2592" t="str">
            <v>M2</v>
          </cell>
          <cell r="F2592">
            <v>60120.1</v>
          </cell>
          <cell r="G2592">
            <v>42496</v>
          </cell>
        </row>
        <row r="2593">
          <cell r="C2593">
            <v>4589</v>
          </cell>
          <cell r="D2593" t="str">
            <v>Provisiones Para El Diseño, Suministro E Instalacion De Iluminacion, Para El Mejoramiento Y Construccion De Parques Publicos, Canchas, Zonas Verdes Y Boulevares Fase Iii (Ver Diseño).</v>
          </cell>
          <cell r="E2593" t="str">
            <v>GL</v>
          </cell>
          <cell r="F2593">
            <v>1283595144</v>
          </cell>
          <cell r="G2593">
            <v>42249</v>
          </cell>
        </row>
        <row r="2594">
          <cell r="C2594">
            <v>4592</v>
          </cell>
          <cell r="D2594" t="str">
            <v>Suministro E Instalacion De Sistema De Riego - Hidrantes (Ver Diseño).</v>
          </cell>
          <cell r="E2594" t="str">
            <v>ML</v>
          </cell>
          <cell r="F2594">
            <v>35310.89</v>
          </cell>
          <cell r="G2594">
            <v>42496</v>
          </cell>
        </row>
        <row r="2595">
          <cell r="C2595">
            <v>4593</v>
          </cell>
          <cell r="D2595" t="str">
            <v>E - Juegos Infantiles - Suministro E Instalacion De Domo Escalador Grande (Ver Diseño).</v>
          </cell>
          <cell r="E2595" t="str">
            <v>UN</v>
          </cell>
          <cell r="F2595">
            <v>13496451</v>
          </cell>
          <cell r="G2595">
            <v>42314</v>
          </cell>
        </row>
        <row r="2596">
          <cell r="C2596">
            <v>4594</v>
          </cell>
          <cell r="D2596" t="str">
            <v>E - Juegos Infantiles - Suministro E Instalacion De Columpio Doble Con Dos Sillas Para Niños De 2 A 5 Años Y Dos Sillas Para Niños De 5 A 12 Años (Ver Diseño).</v>
          </cell>
          <cell r="E2596" t="str">
            <v>UN</v>
          </cell>
          <cell r="F2596">
            <v>7466814</v>
          </cell>
          <cell r="G2596">
            <v>42314</v>
          </cell>
        </row>
        <row r="2597">
          <cell r="C2597">
            <v>4595</v>
          </cell>
          <cell r="D2597" t="str">
            <v>E - Juegos Infantiles - Suministro E Instalacion De Sube Y Baja De 4 Puestos, Mas Un Sube Y Baja Sencillo (Ver Diseño).</v>
          </cell>
          <cell r="E2597" t="str">
            <v>UN</v>
          </cell>
          <cell r="F2597">
            <v>12095015</v>
          </cell>
          <cell r="G2597">
            <v>42279</v>
          </cell>
        </row>
        <row r="2598">
          <cell r="C2598">
            <v>4596</v>
          </cell>
          <cell r="D2598" t="str">
            <v>E - Juegos Infantiles - Suministro E Instalacion De Sistema De Juego Para Niños De 5 A 12 Años De Sistema Multiple O Similar (Ver Diseño).</v>
          </cell>
          <cell r="E2598" t="str">
            <v>UN</v>
          </cell>
          <cell r="F2598">
            <v>47874126</v>
          </cell>
          <cell r="G2598">
            <v>42314</v>
          </cell>
        </row>
        <row r="2599">
          <cell r="C2599">
            <v>4597</v>
          </cell>
          <cell r="D2599" t="str">
            <v>E - Juegos Infantiles - Suministro E Instalacion De Columpio Para Niños Con Discapacidad Con Edades De 2 A 5 Años ( Ver Diseño).</v>
          </cell>
          <cell r="E2599" t="str">
            <v>UN</v>
          </cell>
          <cell r="F2599">
            <v>12800000</v>
          </cell>
          <cell r="G2599">
            <v>42314</v>
          </cell>
        </row>
        <row r="2600">
          <cell r="C2600">
            <v>4598</v>
          </cell>
          <cell r="D2600" t="str">
            <v>E - Juegos Infantiles - Suministro E Instalacion De Columpio Triple Con Dos Sillas Para Niños De 2  A 5 Años Y Cuatro Sillas Para Niños De 5 A 12 Años ( Ver Diseño).</v>
          </cell>
          <cell r="E2600" t="str">
            <v>UN</v>
          </cell>
          <cell r="F2600">
            <v>15534220</v>
          </cell>
          <cell r="G2600">
            <v>42314</v>
          </cell>
        </row>
        <row r="2601">
          <cell r="C2601">
            <v>4599</v>
          </cell>
          <cell r="D2601" t="str">
            <v>E - Juegos Infantiles - Suministro E Instalacion De Sistema De Juegos Para Niños De 5 A 12 Años (Ver Diseño).</v>
          </cell>
          <cell r="E2601" t="str">
            <v>UN</v>
          </cell>
          <cell r="F2601">
            <v>94237449</v>
          </cell>
          <cell r="G2601">
            <v>42314</v>
          </cell>
        </row>
        <row r="2602">
          <cell r="C2602">
            <v>4600</v>
          </cell>
          <cell r="D2602" t="str">
            <v>E - Juegos Infantiles - Suministro E Instalacion De Resbaladero Triple (Ver Diseño).</v>
          </cell>
          <cell r="E2602" t="str">
            <v>UN</v>
          </cell>
          <cell r="F2602">
            <v>51570884</v>
          </cell>
          <cell r="G2602">
            <v>42314</v>
          </cell>
        </row>
        <row r="2603">
          <cell r="C2603">
            <v>4601</v>
          </cell>
          <cell r="D2603" t="str">
            <v>Conformación Separadores Y Zonas Verdes Con Material Seleccionado Del Sitio</v>
          </cell>
          <cell r="E2603" t="str">
            <v>M3</v>
          </cell>
          <cell r="F2603">
            <v>12962.23</v>
          </cell>
          <cell r="G2603">
            <v>42242</v>
          </cell>
        </row>
        <row r="2604">
          <cell r="C2604">
            <v>4604</v>
          </cell>
          <cell r="D2604" t="str">
            <v>Suministro Y Aplicación De Goedren (Lloraderos)</v>
          </cell>
          <cell r="E2604" t="str">
            <v>M2</v>
          </cell>
          <cell r="F2604">
            <v>1726.5</v>
          </cell>
          <cell r="G2604">
            <v>42242</v>
          </cell>
        </row>
        <row r="2605">
          <cell r="C2605">
            <v>4605</v>
          </cell>
          <cell r="D2605" t="str">
            <v>Aplicación De Geotextil Tejido Tipo 1</v>
          </cell>
          <cell r="E2605" t="str">
            <v>M2</v>
          </cell>
          <cell r="F2605">
            <v>7893.17</v>
          </cell>
          <cell r="G2605">
            <v>42242</v>
          </cell>
        </row>
        <row r="2606">
          <cell r="C2606">
            <v>4606</v>
          </cell>
          <cell r="D2606" t="str">
            <v>Base Suelo Cemento 1:20, Compactado E= 0.50 Mts</v>
          </cell>
          <cell r="E2606" t="str">
            <v>M2</v>
          </cell>
          <cell r="F2606">
            <v>75918.399999999994</v>
          </cell>
          <cell r="G2606">
            <v>42242</v>
          </cell>
        </row>
        <row r="2607">
          <cell r="C2607">
            <v>4607</v>
          </cell>
          <cell r="D2607" t="str">
            <v>Excavación Para Pilotes Con Equipo De Perforación</v>
          </cell>
          <cell r="E2607" t="str">
            <v>ML</v>
          </cell>
          <cell r="F2607">
            <v>293915</v>
          </cell>
          <cell r="G2607">
            <v>42243</v>
          </cell>
        </row>
        <row r="2608">
          <cell r="C2608">
            <v>4608</v>
          </cell>
          <cell r="D2608" t="str">
            <v>Concreto De F¨C = 28 Mpa, Para Dados</v>
          </cell>
          <cell r="E2608" t="str">
            <v>M3</v>
          </cell>
          <cell r="F2608">
            <v>751189</v>
          </cell>
          <cell r="G2608">
            <v>42243</v>
          </cell>
        </row>
        <row r="2609">
          <cell r="C2609">
            <v>4609</v>
          </cell>
          <cell r="D2609" t="str">
            <v>Concreto De F´C = 35 Mpa Para Pilotes</v>
          </cell>
          <cell r="E2609" t="str">
            <v>M3</v>
          </cell>
          <cell r="F2609">
            <v>1006969.5</v>
          </cell>
          <cell r="G2609">
            <v>42243</v>
          </cell>
        </row>
        <row r="2610">
          <cell r="C2610">
            <v>4610</v>
          </cell>
          <cell r="D2610" t="str">
            <v>Concreto De F¨C = 35 Mpa Para Tablero</v>
          </cell>
          <cell r="E2610" t="str">
            <v>M3</v>
          </cell>
          <cell r="F2610">
            <v>982677.83</v>
          </cell>
          <cell r="G2610">
            <v>42243</v>
          </cell>
        </row>
        <row r="2611">
          <cell r="C2611">
            <v>4612</v>
          </cell>
          <cell r="D2611" t="str">
            <v>Concreto F¨C = 28 Mpa Para Losa Maciza</v>
          </cell>
          <cell r="E2611" t="str">
            <v>M2</v>
          </cell>
          <cell r="F2611">
            <v>143813</v>
          </cell>
          <cell r="G2611">
            <v>42552</v>
          </cell>
        </row>
        <row r="2612">
          <cell r="C2612">
            <v>4613</v>
          </cell>
          <cell r="D2612" t="str">
            <v>Drenajes Del Tablero Con Tubería Pvc Sanitaria D = 4", Longitud 0.50 Metros</v>
          </cell>
          <cell r="E2612" t="str">
            <v>UN</v>
          </cell>
          <cell r="F2612">
            <v>31482.33</v>
          </cell>
          <cell r="G2612">
            <v>42243</v>
          </cell>
        </row>
        <row r="2613">
          <cell r="C2613">
            <v>4614</v>
          </cell>
          <cell r="D2613" t="str">
            <v>Provisiones Para Las  Instalaciones Electricas (Ver Diseño).</v>
          </cell>
          <cell r="E2613" t="str">
            <v>GL</v>
          </cell>
          <cell r="F2613">
            <v>550000000</v>
          </cell>
          <cell r="G2613">
            <v>42401</v>
          </cell>
        </row>
        <row r="2614">
          <cell r="C2614">
            <v>4615</v>
          </cell>
          <cell r="D2614" t="str">
            <v>Provisiones Para Dotacion (Ver Diseño).</v>
          </cell>
          <cell r="E2614" t="str">
            <v>GL</v>
          </cell>
          <cell r="F2614">
            <v>500000000</v>
          </cell>
          <cell r="G2614">
            <v>42401</v>
          </cell>
        </row>
        <row r="2615">
          <cell r="C2615">
            <v>4616</v>
          </cell>
          <cell r="D2615" t="str">
            <v>Demolición Y Fresado De Pavimento Asfaltico</v>
          </cell>
          <cell r="E2615" t="str">
            <v>M3</v>
          </cell>
          <cell r="F2615">
            <v>36357.269999999997</v>
          </cell>
          <cell r="G2615">
            <v>42249</v>
          </cell>
        </row>
        <row r="2616">
          <cell r="C2616">
            <v>4618</v>
          </cell>
          <cell r="D2616" t="str">
            <v>Acero De Preesforzado Para El Tablero (Ton - Ml)</v>
          </cell>
          <cell r="E2616" t="str">
            <v>SD</v>
          </cell>
          <cell r="F2616">
            <v>1395.33</v>
          </cell>
          <cell r="G2616">
            <v>42249</v>
          </cell>
        </row>
        <row r="2617">
          <cell r="C2617">
            <v>4621</v>
          </cell>
          <cell r="D2617" t="str">
            <v>Junta De Dilación Para Losa De Acceso</v>
          </cell>
          <cell r="E2617" t="str">
            <v>ML</v>
          </cell>
          <cell r="F2617">
            <v>279927.3</v>
          </cell>
          <cell r="G2617">
            <v>42250</v>
          </cell>
        </row>
        <row r="2618">
          <cell r="C2618">
            <v>4622</v>
          </cell>
          <cell r="D2618" t="str">
            <v>E - Juegos Infantiles - Suministro E Instalacion De Sube Y Baja Sencillo (Ver Diseño).</v>
          </cell>
          <cell r="E2618" t="str">
            <v>UN</v>
          </cell>
          <cell r="F2618">
            <v>7903467</v>
          </cell>
          <cell r="G2618">
            <v>42314</v>
          </cell>
        </row>
        <row r="2619">
          <cell r="C2619">
            <v>4623</v>
          </cell>
          <cell r="D2619" t="str">
            <v>E - Juegos Infantiles - Suministro E Instalacion De Police Car Cruisin´ Mate (Ver Diseño).</v>
          </cell>
          <cell r="E2619" t="str">
            <v>UN</v>
          </cell>
          <cell r="F2619">
            <v>6182210</v>
          </cell>
          <cell r="G2619">
            <v>42314</v>
          </cell>
        </row>
        <row r="2620">
          <cell r="C2620">
            <v>4627</v>
          </cell>
          <cell r="D2620" t="str">
            <v>Piso En Baldosa De Porcelanato De 0.80 X 0.80 Metros, Referencia Detroint Beige (Ver Diseño).</v>
          </cell>
          <cell r="E2620" t="str">
            <v>M2</v>
          </cell>
          <cell r="F2620">
            <v>144747.49</v>
          </cell>
          <cell r="G2620">
            <v>42429</v>
          </cell>
        </row>
        <row r="2621">
          <cell r="C2621">
            <v>4628</v>
          </cell>
          <cell r="D2621" t="str">
            <v>Escalera De Un Tramo 17 Huellas, Piso En Granito (Ver Diseño).</v>
          </cell>
          <cell r="E2621" t="str">
            <v>UN</v>
          </cell>
          <cell r="F2621">
            <v>5900000</v>
          </cell>
          <cell r="G2621">
            <v>42401</v>
          </cell>
        </row>
        <row r="2622">
          <cell r="C2622">
            <v>4629</v>
          </cell>
          <cell r="D2622" t="str">
            <v>Provision Para Los Proyectos Productivos De La Poblacion Carcelaria (Ver Diseño).</v>
          </cell>
          <cell r="E2622" t="str">
            <v>GL</v>
          </cell>
          <cell r="F2622">
            <v>300000000</v>
          </cell>
          <cell r="G2622">
            <v>42401</v>
          </cell>
        </row>
        <row r="2623">
          <cell r="C2623">
            <v>4630</v>
          </cell>
          <cell r="D2623" t="str">
            <v>Provision Para El Sistema De Seguridad (Ver Diseño).</v>
          </cell>
          <cell r="E2623" t="str">
            <v>GL</v>
          </cell>
          <cell r="F2623">
            <v>200000000</v>
          </cell>
          <cell r="G2623">
            <v>42401</v>
          </cell>
        </row>
        <row r="2624">
          <cell r="C2624">
            <v>4631</v>
          </cell>
          <cell r="D2624" t="str">
            <v>Revision De Estudios Y Diseños (Ver Diseño)</v>
          </cell>
          <cell r="E2624" t="str">
            <v>GL</v>
          </cell>
          <cell r="F2624">
            <v>23000000</v>
          </cell>
          <cell r="G2624">
            <v>42417</v>
          </cell>
        </row>
        <row r="2625">
          <cell r="C2625">
            <v>4632</v>
          </cell>
          <cell r="D2625" t="str">
            <v>Demolicion De 0.25 Metros, Parte Superior Del Muro Del Canal Obras De Drenaje Complementarias Parque Bicentenario (Ver Diseño).</v>
          </cell>
          <cell r="E2625" t="str">
            <v>ML</v>
          </cell>
          <cell r="F2625">
            <v>50000</v>
          </cell>
          <cell r="G2625">
            <v>42417</v>
          </cell>
        </row>
        <row r="2626">
          <cell r="C2626">
            <v>4633</v>
          </cell>
          <cell r="D2626" t="str">
            <v>Cordon De Soldadura En Union De Refuerzo Muro Aleta, Obras De Drenaje Complementarias Parque Bicentenario (Ver Diseño).</v>
          </cell>
          <cell r="E2626" t="str">
            <v>UN</v>
          </cell>
          <cell r="F2626">
            <v>20000</v>
          </cell>
          <cell r="G2626">
            <v>42417</v>
          </cell>
        </row>
        <row r="2627">
          <cell r="C2627">
            <v>4634</v>
          </cell>
          <cell r="D2627" t="str">
            <v>Suministro De Sikadur 32 Para Empalme De Aleta Con Muro Existente, Obras De Drenaje Complementarias Parque Bicentenario (Ver Diseño).</v>
          </cell>
          <cell r="E2627" t="str">
            <v>UN</v>
          </cell>
          <cell r="F2627">
            <v>158700</v>
          </cell>
          <cell r="G2627">
            <v>42417</v>
          </cell>
        </row>
        <row r="2628">
          <cell r="C2628">
            <v>4637</v>
          </cell>
          <cell r="D2628" t="str">
            <v>Suministro E Instalacion De Tuberia Novaloc De 27" (Ver Diseño) Incluye Union</v>
          </cell>
          <cell r="E2628" t="str">
            <v>ML</v>
          </cell>
          <cell r="F2628">
            <v>535808.68999999994</v>
          </cell>
          <cell r="G2628">
            <v>42789</v>
          </cell>
        </row>
        <row r="2629">
          <cell r="C2629">
            <v>4640</v>
          </cell>
          <cell r="D2629" t="str">
            <v>Suministro E Instalacion De Tuberia Novaloc De 30" (Ver Diseño). Incluye Union</v>
          </cell>
          <cell r="E2629" t="str">
            <v>ML</v>
          </cell>
          <cell r="F2629">
            <v>692318.54</v>
          </cell>
          <cell r="G2629">
            <v>42789</v>
          </cell>
        </row>
        <row r="2630">
          <cell r="C2630">
            <v>4643</v>
          </cell>
          <cell r="D2630" t="str">
            <v>Suministro E Instalacion De Tuberia Novaloc De 33" (Ver Diseño). Incluye Union</v>
          </cell>
          <cell r="E2630" t="str">
            <v>ML</v>
          </cell>
          <cell r="F2630">
            <v>865103.95</v>
          </cell>
          <cell r="G2630">
            <v>42789</v>
          </cell>
        </row>
        <row r="2631">
          <cell r="C2631">
            <v>4646</v>
          </cell>
          <cell r="D2631" t="str">
            <v>Suministro E Instalacion De Tuberia Novaloc De 36" (Ver Diseño). Incluye Union</v>
          </cell>
          <cell r="E2631" t="str">
            <v>ML</v>
          </cell>
          <cell r="F2631">
            <v>1258016.8999999999</v>
          </cell>
          <cell r="G2631">
            <v>42789</v>
          </cell>
        </row>
        <row r="2632">
          <cell r="C2632">
            <v>4647</v>
          </cell>
          <cell r="D2632" t="str">
            <v>Concreto De 3000 Psi Para Muros Y Placas, No Incluye Acero, Incluye Formaleteria (Ver Diseño).</v>
          </cell>
          <cell r="E2632" t="str">
            <v>M3</v>
          </cell>
          <cell r="F2632">
            <v>820111.38</v>
          </cell>
          <cell r="G2632">
            <v>42417</v>
          </cell>
        </row>
        <row r="2633">
          <cell r="C2633">
            <v>4648</v>
          </cell>
          <cell r="D2633" t="str">
            <v>Zócalo En Baldosa De Porcelanato Detroit Beige De 0.10 Metros</v>
          </cell>
          <cell r="E2633" t="str">
            <v>ML</v>
          </cell>
          <cell r="F2633">
            <v>14474.75</v>
          </cell>
          <cell r="G2633">
            <v>42429</v>
          </cell>
        </row>
        <row r="2634">
          <cell r="C2634">
            <v>4649</v>
          </cell>
          <cell r="D2634" t="str">
            <v>Suministro, Transporte Y Colocacion De Tableta Rectangular Tactil De 0.40X0.40, A Rayas Uc-300, Incluye Cama De Arena, Y Todos Los Elementos Necesarios Para Su Correcta Ejecucion Y Funcionamiento (Ver Diseño).</v>
          </cell>
          <cell r="E2634" t="str">
            <v>ML</v>
          </cell>
          <cell r="F2634">
            <v>27007.54</v>
          </cell>
          <cell r="G2634">
            <v>42552</v>
          </cell>
        </row>
        <row r="2635">
          <cell r="C2635">
            <v>4650</v>
          </cell>
          <cell r="D2635" t="str">
            <v>Capitulo - Rejillas Y Canales</v>
          </cell>
          <cell r="E2635" t="str">
            <v>SD</v>
          </cell>
          <cell r="F2635">
            <v>0</v>
          </cell>
          <cell r="G2635">
            <v>42417</v>
          </cell>
        </row>
        <row r="2636">
          <cell r="C2636">
            <v>4656</v>
          </cell>
          <cell r="D2636" t="str">
            <v>Suministro E Instalacion De Concreto Hidraulico Mr 45 Kg/Cm2 Para Pavimentos, Estampado Con Molde Tipo Laja Cantera, Color Por Definir ( Coloracion Aplicada Con Endurecedor De Particulas De Cuarzo). Especificacion General Art 500-07 Inv.,Incluye Curado, Acabado Y Demas Elementos Descritos En El Diseño Y En Las Especificaciones, Acero De Refuerzo, Formaletas, Desperdicios, Y Todo Lo Necesario Para Su Correcta Ejecucion, Incluye Corte Y Sello De Juntas (Ver Diseño).</v>
          </cell>
          <cell r="E2636" t="str">
            <v>M2</v>
          </cell>
          <cell r="F2636">
            <v>128308.91</v>
          </cell>
          <cell r="G2636">
            <v>42443</v>
          </cell>
        </row>
        <row r="2637">
          <cell r="C2637">
            <v>4657</v>
          </cell>
          <cell r="D2637" t="str">
            <v>Suplemento De Trabajo En Tension Instalacion De Aislador Tipo Poste (Ver Diseño)</v>
          </cell>
          <cell r="E2637" t="str">
            <v>UN</v>
          </cell>
          <cell r="F2637">
            <v>38652.67</v>
          </cell>
          <cell r="G2637">
            <v>42457</v>
          </cell>
        </row>
        <row r="2638">
          <cell r="C2638">
            <v>4658</v>
          </cell>
          <cell r="D2638" t="str">
            <v>Suplemento De Trabajo En Tension Instalacion De Estribo Para Conector Amovible (Ver Diseño)</v>
          </cell>
          <cell r="E2638" t="str">
            <v>UN</v>
          </cell>
          <cell r="F2638">
            <v>19354.240000000002</v>
          </cell>
          <cell r="G2638">
            <v>42457</v>
          </cell>
        </row>
        <row r="2639">
          <cell r="C2639">
            <v>4659</v>
          </cell>
          <cell r="D2639" t="str">
            <v>Supl Tet Desm. Aisl Multipar O Tipo Poste (Ver Diseño).</v>
          </cell>
          <cell r="E2639" t="str">
            <v>UN</v>
          </cell>
          <cell r="F2639">
            <v>29010.42</v>
          </cell>
          <cell r="G2639">
            <v>42457</v>
          </cell>
        </row>
        <row r="2640">
          <cell r="C2640">
            <v>4660</v>
          </cell>
          <cell r="D2640" t="str">
            <v>Instalacion De Conexion Amovible Completa P/ Acsr 1/0 Awg (Ver Diseño)</v>
          </cell>
          <cell r="E2640" t="str">
            <v>UN</v>
          </cell>
          <cell r="F2640">
            <v>134480.12</v>
          </cell>
          <cell r="G2640">
            <v>42524</v>
          </cell>
        </row>
        <row r="2641">
          <cell r="C2641">
            <v>4661</v>
          </cell>
          <cell r="D2641" t="str">
            <v>Desm. Aisl Porc Tipo Poste 13,2 Kv</v>
          </cell>
          <cell r="E2641" t="str">
            <v>UN</v>
          </cell>
          <cell r="F2641">
            <v>21845.67</v>
          </cell>
          <cell r="G2641">
            <v>42457</v>
          </cell>
        </row>
        <row r="2642">
          <cell r="C2642">
            <v>4663</v>
          </cell>
          <cell r="D2642" t="str">
            <v>Instalacion De Retencion Pref. "Z" Ais. 57/1-3 Acsr. 1/0 (Ver Diseño).</v>
          </cell>
          <cell r="E2642" t="str">
            <v>UN</v>
          </cell>
          <cell r="F2642">
            <v>45462.65</v>
          </cell>
          <cell r="G2642">
            <v>42557</v>
          </cell>
        </row>
        <row r="2643">
          <cell r="C2643">
            <v>4666</v>
          </cell>
          <cell r="D2643" t="str">
            <v>Instalacion De Armado Trif Alineacion Disp Bandera 13,2 Kv (Ver Diseño).</v>
          </cell>
          <cell r="E2643" t="str">
            <v>UN</v>
          </cell>
          <cell r="F2643">
            <v>696263.92</v>
          </cell>
          <cell r="G2643">
            <v>42457</v>
          </cell>
        </row>
        <row r="2644">
          <cell r="C2644">
            <v>4668</v>
          </cell>
          <cell r="D2644" t="str">
            <v>Construccion Canalizacion Con Tres Tubos De 2" Diam En Lecho De Arena</v>
          </cell>
          <cell r="E2644" t="str">
            <v>ML</v>
          </cell>
          <cell r="F2644">
            <v>53442.080000000002</v>
          </cell>
          <cell r="G2644">
            <v>42534</v>
          </cell>
        </row>
        <row r="2645">
          <cell r="C2645">
            <v>4669</v>
          </cell>
          <cell r="D2645" t="str">
            <v>Construccion Canalizacion Con Cuatro Tubos De 2" Diam En Lecho De Arena (Ver Diseño).</v>
          </cell>
          <cell r="E2645" t="str">
            <v>ML</v>
          </cell>
          <cell r="F2645">
            <v>63332.84</v>
          </cell>
          <cell r="G2645">
            <v>42534</v>
          </cell>
        </row>
        <row r="2646">
          <cell r="C2646">
            <v>4670</v>
          </cell>
          <cell r="D2646" t="str">
            <v>Construccion Canalizacion Con Cinco Tubos De 2" Diam En Lecho De Arena(Ver Diseño).</v>
          </cell>
          <cell r="E2646" t="str">
            <v>ML</v>
          </cell>
          <cell r="F2646">
            <v>73321.94</v>
          </cell>
          <cell r="G2646">
            <v>42534</v>
          </cell>
        </row>
        <row r="2647">
          <cell r="C2647">
            <v>4671</v>
          </cell>
          <cell r="D2647" t="str">
            <v>Construccion Canalizacion Con Seis Tubos De 2" Diam En Lecho De Arena (Ver Diseño).</v>
          </cell>
          <cell r="E2647" t="str">
            <v>ML</v>
          </cell>
          <cell r="F2647">
            <v>83465.63</v>
          </cell>
          <cell r="G2647">
            <v>42534</v>
          </cell>
        </row>
        <row r="2648">
          <cell r="C2648">
            <v>4672</v>
          </cell>
          <cell r="D2648" t="str">
            <v>Construccion Canalizacion Con Siete Tubos De 2" Diam En Lecho De Arena</v>
          </cell>
          <cell r="E2648" t="str">
            <v>ML</v>
          </cell>
          <cell r="F2648">
            <v>92982.15</v>
          </cell>
          <cell r="G2648">
            <v>42457</v>
          </cell>
        </row>
        <row r="2649">
          <cell r="C2649">
            <v>4673</v>
          </cell>
          <cell r="D2649" t="str">
            <v>Construccion Canalizacion Con Ocho Tubos De 2" Diam En Lecho De Arena (Ver Diseño).</v>
          </cell>
          <cell r="E2649" t="str">
            <v>ML</v>
          </cell>
          <cell r="F2649">
            <v>103335.44</v>
          </cell>
          <cell r="G2649">
            <v>42457</v>
          </cell>
        </row>
        <row r="2650">
          <cell r="C2650">
            <v>4675</v>
          </cell>
          <cell r="D2650" t="str">
            <v>Tablero De Medida Bifasico Autosoportado 24 Medidores Monofasicos 3H (Ver Diseño)</v>
          </cell>
          <cell r="E2650" t="str">
            <v>UN</v>
          </cell>
          <cell r="F2650">
            <v>9857743.3300000001</v>
          </cell>
          <cell r="G2650">
            <v>42457</v>
          </cell>
        </row>
        <row r="2651">
          <cell r="C2651">
            <v>4677</v>
          </cell>
          <cell r="D2651" t="str">
            <v>Tablero De Medida Bifasico Autosoportado 16 Medidores Monofasicos 3H (Ver Diseño)</v>
          </cell>
          <cell r="E2651" t="str">
            <v>UN</v>
          </cell>
          <cell r="F2651">
            <v>7636473.4000000004</v>
          </cell>
          <cell r="G2651">
            <v>42457</v>
          </cell>
        </row>
        <row r="2652">
          <cell r="C2652">
            <v>4679</v>
          </cell>
          <cell r="D2652" t="str">
            <v>Tablero De Medida Bifasico Autosoportado 12 Medidores Monofasicos 3H (Ver Diseño)</v>
          </cell>
          <cell r="E2652" t="str">
            <v>UN</v>
          </cell>
          <cell r="F2652">
            <v>6462329.2599999998</v>
          </cell>
          <cell r="G2652">
            <v>42457</v>
          </cell>
        </row>
        <row r="2653">
          <cell r="C2653">
            <v>4681</v>
          </cell>
          <cell r="D2653" t="str">
            <v>Tablero De Medida Bifasico Autosoportado 9 Medidores Monofasicos 3H (Ver Diseño).</v>
          </cell>
          <cell r="E2653" t="str">
            <v>UN</v>
          </cell>
          <cell r="F2653">
            <v>5954829.2599999998</v>
          </cell>
          <cell r="G2653">
            <v>42457</v>
          </cell>
        </row>
        <row r="2654">
          <cell r="C2654">
            <v>4683</v>
          </cell>
          <cell r="D2654" t="str">
            <v>Instalacion De Cable De Acometida Al 1X8+10 Awg Polietileno Xlpe 90 En Canalizacion (Ver Diseño)</v>
          </cell>
          <cell r="E2654" t="str">
            <v>ML</v>
          </cell>
          <cell r="F2654">
            <v>11088.19</v>
          </cell>
          <cell r="G2654">
            <v>42457</v>
          </cell>
        </row>
        <row r="2655">
          <cell r="C2655">
            <v>4685</v>
          </cell>
          <cell r="D2655" t="str">
            <v>Tablero Monofasico De Dos Circuitos De Empotrar (Ver Diseño).</v>
          </cell>
          <cell r="E2655" t="str">
            <v>UN</v>
          </cell>
          <cell r="F2655">
            <v>92963.35</v>
          </cell>
          <cell r="G2655">
            <v>42457</v>
          </cell>
        </row>
        <row r="2656">
          <cell r="C2656">
            <v>4689</v>
          </cell>
          <cell r="D2656" t="str">
            <v>Instalacion Paso Aereo Subterraneo Bt En Poste Tuberia De 2" (Ver Diseño)</v>
          </cell>
          <cell r="E2656" t="str">
            <v>UN</v>
          </cell>
          <cell r="F2656">
            <v>265256.44</v>
          </cell>
          <cell r="G2656">
            <v>42482</v>
          </cell>
        </row>
        <row r="2657">
          <cell r="C2657">
            <v>4690</v>
          </cell>
          <cell r="D2657" t="str">
            <v>Concreto De 3000 Psi Reforzado Con Acero Variable De 3/8", 1/2" Y 5/8" De 60.000 Psi Legitimo,Para Box - Coulvert, Canales, Muros De Contención, Pasos Peatonales Y Cabezales, Incluye Formaleta</v>
          </cell>
          <cell r="E2657" t="str">
            <v>M3</v>
          </cell>
          <cell r="F2657">
            <v>887919.92</v>
          </cell>
          <cell r="G2657">
            <v>42433</v>
          </cell>
        </row>
        <row r="2658">
          <cell r="C2658">
            <v>4691</v>
          </cell>
          <cell r="D2658" t="str">
            <v>Bordillo En Concreto Mr = 500 Psi Premezclado Y Transportado Al Sitio, De 0.15 X 0.30 Metros, Incluye Acero De 3/8" Longitudinal Y Grapas De 3/8" A 0.50 Metros</v>
          </cell>
          <cell r="E2658" t="str">
            <v>ML</v>
          </cell>
          <cell r="F2658">
            <v>58772.28</v>
          </cell>
          <cell r="G2658">
            <v>42434</v>
          </cell>
        </row>
        <row r="2659">
          <cell r="C2659">
            <v>4692</v>
          </cell>
          <cell r="D2659" t="str">
            <v>Bordillo En Concreto Mr = 500 Psi Premezclado Y Transportado Al Sitio De 0.20 X 0.50 Metros, Incluye Acero De 3/8" Longitudinal Y Grapas De 3/8" A 0.50 Metros</v>
          </cell>
          <cell r="E2659" t="str">
            <v>ML</v>
          </cell>
          <cell r="F2659">
            <v>87060.9</v>
          </cell>
          <cell r="G2659">
            <v>42434</v>
          </cell>
        </row>
        <row r="2660">
          <cell r="C2660">
            <v>4693</v>
          </cell>
          <cell r="D2660" t="str">
            <v>Reconstrucción De Registros De Alcantarillado De 0.60 X 0.60 Metros</v>
          </cell>
          <cell r="E2660" t="str">
            <v>UN</v>
          </cell>
          <cell r="F2660">
            <v>109075.79</v>
          </cell>
          <cell r="G2660">
            <v>42434</v>
          </cell>
        </row>
        <row r="2661">
          <cell r="C2661">
            <v>4694</v>
          </cell>
          <cell r="D2661" t="str">
            <v>Reconstruccion De Manhol De Alcantarillado, Incluye Tapa De Hierro Ductil, D = 0.70 Metros, Altura 1.00 Metros</v>
          </cell>
          <cell r="E2661" t="str">
            <v>UN</v>
          </cell>
          <cell r="F2661">
            <v>430301.98</v>
          </cell>
          <cell r="G2661">
            <v>42436</v>
          </cell>
        </row>
        <row r="2662">
          <cell r="C2662">
            <v>4695</v>
          </cell>
          <cell r="D2662" t="str">
            <v>Conexión Domiciliaria De Alcantarillado En Tubería De 6", Longitud Hasta 6.00 Metros, Incluye Excavación Y Relleno</v>
          </cell>
          <cell r="E2662" t="str">
            <v>UN</v>
          </cell>
          <cell r="F2662">
            <v>231731.03</v>
          </cell>
          <cell r="G2662">
            <v>42436</v>
          </cell>
        </row>
        <row r="2663">
          <cell r="C2663">
            <v>4697</v>
          </cell>
          <cell r="D2663" t="str">
            <v>Suministro E Instalación Y/O Reparación De Domiciliarias De Acueducto D = 1/2"</v>
          </cell>
          <cell r="E2663" t="str">
            <v>UN</v>
          </cell>
          <cell r="F2663">
            <v>49987.5</v>
          </cell>
          <cell r="G2663">
            <v>42436</v>
          </cell>
        </row>
        <row r="2664">
          <cell r="C2664">
            <v>4699</v>
          </cell>
          <cell r="D2664" t="str">
            <v>Refuerzo En Acero D = 3/8" Y 5/8" De 60.000 Psi Legitimo, Formaleta, Suministro Y Colocación De Tapa Para Cajas De Valvulas En La Vía</v>
          </cell>
          <cell r="E2664" t="str">
            <v>UN</v>
          </cell>
          <cell r="F2664">
            <v>322563.86</v>
          </cell>
          <cell r="G2664">
            <v>42436</v>
          </cell>
        </row>
        <row r="2665">
          <cell r="C2665">
            <v>4700</v>
          </cell>
          <cell r="D2665" t="str">
            <v>Concreto Para Box Coulvert De 4000 Psi, No Incluye Acero De Refuerzo (Ver Diseño)</v>
          </cell>
          <cell r="E2665" t="str">
            <v>M3</v>
          </cell>
          <cell r="F2665">
            <v>728895.07</v>
          </cell>
          <cell r="G2665">
            <v>42552</v>
          </cell>
        </row>
        <row r="2666">
          <cell r="C2666">
            <v>4702</v>
          </cell>
          <cell r="D2666" t="str">
            <v>Rejilla De Captacion En Hd De 1.00 X 1.00 Metros Sobre Acceso Vehicular, Espesor De 4.4 Centimetros (Ver Diseño)</v>
          </cell>
          <cell r="E2666" t="str">
            <v>M2</v>
          </cell>
          <cell r="F2666">
            <v>2621872.14</v>
          </cell>
          <cell r="G2666">
            <v>42473</v>
          </cell>
        </row>
        <row r="2667">
          <cell r="C2667">
            <v>4703</v>
          </cell>
          <cell r="D2667" t="str">
            <v>Provision Para Instalaciones Electricas E Iluminacion Led Para Modulos</v>
          </cell>
          <cell r="E2667" t="str">
            <v>GL</v>
          </cell>
          <cell r="F2667">
            <v>300000000</v>
          </cell>
          <cell r="G2667">
            <v>42486</v>
          </cell>
        </row>
        <row r="2668">
          <cell r="C2668">
            <v>4719</v>
          </cell>
          <cell r="D2668" t="str">
            <v>Suministro E Instalacion De Modulo Urbano Sencillo De 6.00 X 1.00 (Ver Diseño)</v>
          </cell>
          <cell r="E2668" t="str">
            <v>UN</v>
          </cell>
          <cell r="F2668">
            <v>48849806.030000001</v>
          </cell>
          <cell r="G2668">
            <v>42447</v>
          </cell>
        </row>
        <row r="2669">
          <cell r="C2669">
            <v>4720</v>
          </cell>
          <cell r="D2669" t="str">
            <v>Suministro E Instalacion De Modulo Urbano Doble De 5.00 X 2.00 (Ver Diseño)</v>
          </cell>
          <cell r="E2669" t="str">
            <v>UN</v>
          </cell>
          <cell r="F2669">
            <v>68107954.700000003</v>
          </cell>
          <cell r="G2669">
            <v>42447</v>
          </cell>
        </row>
        <row r="2670">
          <cell r="C2670">
            <v>4721</v>
          </cell>
          <cell r="D2670" t="str">
            <v>Desmonte De Juegos Infantiles (Juegos Varios) - Ver Diseño.</v>
          </cell>
          <cell r="E2670" t="str">
            <v>UN</v>
          </cell>
          <cell r="F2670">
            <v>23472.32</v>
          </cell>
          <cell r="G2670">
            <v>42496</v>
          </cell>
        </row>
        <row r="2671">
          <cell r="C2671">
            <v>4722</v>
          </cell>
          <cell r="D2671" t="str">
            <v>Demolicion De Muro De Piedra A:0.20 H:0.45 Metros, Incluye: Retiro De Material (Ver Diseño).</v>
          </cell>
          <cell r="E2671" t="str">
            <v>ML</v>
          </cell>
          <cell r="F2671">
            <v>10273.93</v>
          </cell>
          <cell r="G2671">
            <v>42496</v>
          </cell>
        </row>
        <row r="2672">
          <cell r="C2672">
            <v>4723</v>
          </cell>
          <cell r="D2672" t="str">
            <v>Excavacion A Maquina Y Retiro De Materiales A Una Distancia Superior A Los 20 Km.</v>
          </cell>
          <cell r="E2672" t="str">
            <v>M3</v>
          </cell>
          <cell r="F2672">
            <v>26460</v>
          </cell>
          <cell r="G2672">
            <v>42667</v>
          </cell>
        </row>
        <row r="2673">
          <cell r="C2673">
            <v>4725</v>
          </cell>
          <cell r="D2673" t="str">
            <v>Suministro E Instalacion De Membrana Impermeable 30 Mils (Ver Diseño).</v>
          </cell>
          <cell r="E2673" t="str">
            <v>M2</v>
          </cell>
          <cell r="F2673">
            <v>12093.48</v>
          </cell>
          <cell r="G2673">
            <v>42496</v>
          </cell>
        </row>
        <row r="2674">
          <cell r="C2674">
            <v>4726</v>
          </cell>
          <cell r="D2674" t="str">
            <v>Suministro E Instalacion De Tuberia De Pvc 8" Perforada Para Conduccion E Infiltracion De Aguas Superficiales (Ver Diseño).</v>
          </cell>
          <cell r="E2674" t="str">
            <v>ML</v>
          </cell>
          <cell r="F2674">
            <v>73432.52</v>
          </cell>
          <cell r="G2674">
            <v>42496</v>
          </cell>
        </row>
        <row r="2675">
          <cell r="C2675">
            <v>4731</v>
          </cell>
          <cell r="D2675" t="str">
            <v>Relleno En Arena Lavada Blanca (Tipo Silice) En Area De Juegos Infantiles (Ver Diseño).</v>
          </cell>
          <cell r="E2675" t="str">
            <v>M3</v>
          </cell>
          <cell r="F2675">
            <v>64133.24</v>
          </cell>
          <cell r="G2675">
            <v>42534</v>
          </cell>
        </row>
        <row r="2676">
          <cell r="C2676">
            <v>4732</v>
          </cell>
          <cell r="D2676" t="str">
            <v>Anclaje De 3/8" Para Bordillo, Incluye Epoxico Sikadur Anchorfix 4 Para Elementos Endurecidos (Ver Diseño)</v>
          </cell>
          <cell r="E2676" t="str">
            <v>UN</v>
          </cell>
          <cell r="F2676">
            <v>9458.9599999999991</v>
          </cell>
          <cell r="G2676">
            <v>42496</v>
          </cell>
        </row>
        <row r="2677">
          <cell r="C2677">
            <v>4733</v>
          </cell>
          <cell r="D2677" t="str">
            <v>Viga De Cimiento En Concreto De 3000 Psi, Dimension Variable Entre 0.15 X (0.30 - 0.50) Metros, Incluye 5 Varillas De 3/8", Estribos De 1/4" A Cada 0.20 Metros (Ver Diseño).</v>
          </cell>
          <cell r="E2677" t="str">
            <v>ML</v>
          </cell>
          <cell r="F2677">
            <v>52303.4</v>
          </cell>
          <cell r="G2677">
            <v>42496</v>
          </cell>
        </row>
        <row r="2678">
          <cell r="C2678">
            <v>4734</v>
          </cell>
          <cell r="D2678" t="str">
            <v>Viga De Confinamiento En Concreto De 3000 Psi De 0.15 X 0.10 Metros, Incluye Acero De Refuerzo 2 Varillas D=3/8", Estribos D=1/4" A Cada 0.20 Metros (Ver Diseño).</v>
          </cell>
          <cell r="E2678" t="str">
            <v>ML</v>
          </cell>
          <cell r="F2678">
            <v>28613.81</v>
          </cell>
          <cell r="G2678">
            <v>42496</v>
          </cell>
        </row>
        <row r="2679">
          <cell r="C2679">
            <v>4735</v>
          </cell>
          <cell r="D2679" t="str">
            <v>Levante De Muro En Bloque Split E=0.20 Metros Estructural, Mortero De Pega 1:4, Incluye Acero De Refuerzo Con Celdas Rellenas En Concreto 3000 Psi (Ver Diseño).</v>
          </cell>
          <cell r="E2679" t="str">
            <v>M2</v>
          </cell>
          <cell r="F2679">
            <v>85357.06</v>
          </cell>
          <cell r="G2679">
            <v>42496</v>
          </cell>
        </row>
        <row r="2680">
          <cell r="C2680">
            <v>4736</v>
          </cell>
          <cell r="D2680" t="str">
            <v>Levante De Muro En Bloque Liso De 0.20X0.20X0.40 Metros Con Mortero De Pega 1:4, Incluye Acero De Refuerzo Con Celdas Rellenas En Concreto De 2500 Psi (Ver Diseño).</v>
          </cell>
          <cell r="E2680" t="str">
            <v>M2</v>
          </cell>
          <cell r="F2680">
            <v>77459.929999999993</v>
          </cell>
          <cell r="G2680">
            <v>42496</v>
          </cell>
        </row>
        <row r="2681">
          <cell r="C2681">
            <v>4737</v>
          </cell>
          <cell r="D2681" t="str">
            <v>Levante De Muro En Bloque Liso De 0.20X0.20X0.40 Metros Con Mortero De Pega 1:4, Incluye Acero De Refuerzo Con Celdas Rellenas En Concreto De 2500 Psi, Altura Maxima 0.40 Metros (Ver Diseño).</v>
          </cell>
          <cell r="E2681" t="str">
            <v>ML</v>
          </cell>
          <cell r="F2681">
            <v>42857.75</v>
          </cell>
          <cell r="G2681">
            <v>42496</v>
          </cell>
        </row>
        <row r="2682">
          <cell r="C2682">
            <v>4741</v>
          </cell>
          <cell r="D2682" t="str">
            <v>Recuperacion Con Mortero Acrilico De Superficie De Canchas Multiples Existentes, Incluye Reparacion De Juntas (Ver Diseño)</v>
          </cell>
          <cell r="E2682" t="str">
            <v>M2</v>
          </cell>
          <cell r="F2682">
            <v>46163.67</v>
          </cell>
          <cell r="G2682">
            <v>42496</v>
          </cell>
        </row>
        <row r="2683">
          <cell r="C2683">
            <v>4742</v>
          </cell>
          <cell r="D2683" t="str">
            <v>Suministro E Instalacion De Anden En Losetas Prepulida Lisa, Tactil Y Guia De 0.40X0.40X0.06 Metros, Incluye Cenefa En Concreto De 3000 Psi (Ver Diseño).</v>
          </cell>
          <cell r="E2683" t="str">
            <v>M2</v>
          </cell>
          <cell r="F2683">
            <v>85076.27</v>
          </cell>
          <cell r="G2683">
            <v>42514</v>
          </cell>
        </row>
        <row r="2684">
          <cell r="C2684">
            <v>4744</v>
          </cell>
          <cell r="D2684" t="str">
            <v>Suministro E Instalacion De Baranda En Acero Inoxidable Con Dos Pasamanos, Uno De 2" Y El Otro De 1 1/2", Incluye Dos Horizontales En 5/8" Sujetados En Un Punto (Ver Diseño).</v>
          </cell>
          <cell r="E2684" t="str">
            <v>ML</v>
          </cell>
          <cell r="F2684">
            <v>350000</v>
          </cell>
          <cell r="G2684">
            <v>42487</v>
          </cell>
        </row>
        <row r="2685">
          <cell r="C2685">
            <v>4745</v>
          </cell>
          <cell r="D2685" t="str">
            <v>Columnas En Concreto  De 4000 Psi, No Incluye Acero De Refuerzo</v>
          </cell>
          <cell r="E2685" t="str">
            <v>M3</v>
          </cell>
          <cell r="F2685">
            <v>804999.45</v>
          </cell>
          <cell r="G2685">
            <v>42578</v>
          </cell>
        </row>
        <row r="2686">
          <cell r="C2686">
            <v>4746</v>
          </cell>
          <cell r="D2686" t="str">
            <v>Concreto Para Muro De Contencion De 3000 Psi, Incluye Encofrado En Formaleta Tipo Metalex, No Incluye Acero De Refuerzo (Ver Diseño).</v>
          </cell>
          <cell r="E2686" t="str">
            <v>M3</v>
          </cell>
          <cell r="F2686">
            <v>971151.39</v>
          </cell>
          <cell r="G2686">
            <v>42496</v>
          </cell>
        </row>
        <row r="2687">
          <cell r="C2687">
            <v>4754</v>
          </cell>
          <cell r="D2687" t="str">
            <v>Malla Calibre 7 Forrada En Pvc Tuberia Galvanizada De 2" Y Tuberia Galvanizada De 1 1/4" Parte Superior E Inferior, Incluye Pintura Del Cerramiento En Anticorrosivo Y Esmalte Color (Ver Diseño).</v>
          </cell>
          <cell r="E2687" t="str">
            <v>M2</v>
          </cell>
          <cell r="F2687">
            <v>78431.88</v>
          </cell>
          <cell r="G2687">
            <v>42578</v>
          </cell>
        </row>
        <row r="2688">
          <cell r="C2688">
            <v>4759</v>
          </cell>
          <cell r="D2688" t="str">
            <v>Prvc. Desmonte Campamento De Obra</v>
          </cell>
          <cell r="E2688" t="str">
            <v>UN</v>
          </cell>
          <cell r="F2688">
            <v>9900178.6500000004</v>
          </cell>
          <cell r="G2688">
            <v>42572</v>
          </cell>
        </row>
        <row r="2689">
          <cell r="C2689">
            <v>4792</v>
          </cell>
          <cell r="D2689" t="str">
            <v>Prvc. Campamento De Obra, Contenedores Metalicos Para Oficinas Del Contratista E Interventor Y Almacen.</v>
          </cell>
          <cell r="E2689" t="str">
            <v>ME</v>
          </cell>
          <cell r="F2689">
            <v>13400178.65</v>
          </cell>
          <cell r="G2689">
            <v>42572</v>
          </cell>
        </row>
        <row r="2690">
          <cell r="C2690">
            <v>4823</v>
          </cell>
          <cell r="D2690" t="str">
            <v>Prvc. Demolicion De Pavimento Espesor Existente Entre 0.15, 0.20, 0.25 Metros  Y Retiro De Material Demolido</v>
          </cell>
          <cell r="E2690" t="str">
            <v>M2</v>
          </cell>
          <cell r="F2690">
            <v>14537.15</v>
          </cell>
          <cell r="G2690">
            <v>42572</v>
          </cell>
        </row>
        <row r="2691">
          <cell r="C2691">
            <v>4825</v>
          </cell>
          <cell r="D2691" t="str">
            <v>Prvc. Demolicion De Bordillo Existente Y Retiro De Material Demolido</v>
          </cell>
          <cell r="E2691" t="str">
            <v>ML</v>
          </cell>
          <cell r="F2691">
            <v>6517.58</v>
          </cell>
          <cell r="G2691">
            <v>42572</v>
          </cell>
        </row>
        <row r="2692">
          <cell r="C2692">
            <v>4829</v>
          </cell>
          <cell r="D2692" t="str">
            <v>Prvc. Demolicion De Andenes Existentes Y Retiro De Material Demolido</v>
          </cell>
          <cell r="E2692" t="str">
            <v>ML</v>
          </cell>
          <cell r="F2692">
            <v>8524.5400000000009</v>
          </cell>
          <cell r="G2692">
            <v>42472</v>
          </cell>
        </row>
        <row r="2693">
          <cell r="C2693">
            <v>4831</v>
          </cell>
          <cell r="D2693" t="str">
            <v>Prvc. Instalacion De Tuberias En Grp Y/O Pvc De Diametro 1400 Mm, Pn=1.00 Sn 2500</v>
          </cell>
          <cell r="E2693" t="str">
            <v>ML</v>
          </cell>
          <cell r="F2693">
            <v>79544.100000000006</v>
          </cell>
          <cell r="G2693">
            <v>42556</v>
          </cell>
        </row>
        <row r="2694">
          <cell r="C2694">
            <v>4833</v>
          </cell>
          <cell r="D2694" t="str">
            <v>Prvc. Instalacion De Tuberias En Grp  Y/O Pvc De Diametro 1,600 Mm, Pn= 1.00 Sn 2500</v>
          </cell>
          <cell r="E2694" t="str">
            <v>ML</v>
          </cell>
          <cell r="F2694">
            <v>93465.58</v>
          </cell>
          <cell r="G2694">
            <v>42556</v>
          </cell>
        </row>
        <row r="2695">
          <cell r="C2695">
            <v>4835</v>
          </cell>
          <cell r="D2695" t="str">
            <v>Prvc. Instalacion De Tuberias En Grp  Y/O Pvc De Diametro 1,700 Mm, Pn=1.00 Sn 2500</v>
          </cell>
          <cell r="E2695" t="str">
            <v>ML</v>
          </cell>
          <cell r="F2695">
            <v>105215.58</v>
          </cell>
          <cell r="G2695">
            <v>42556</v>
          </cell>
        </row>
        <row r="2696">
          <cell r="C2696">
            <v>4839</v>
          </cell>
          <cell r="D2696" t="str">
            <v>Prvc. Instalacion De Tuberias En Grp  Y/O Pvc De Diametro 2,200 Mm, Pn=1.00 Sn 2500</v>
          </cell>
          <cell r="E2696" t="str">
            <v>ML</v>
          </cell>
          <cell r="F2696">
            <v>115638.2</v>
          </cell>
          <cell r="G2696">
            <v>42552</v>
          </cell>
        </row>
        <row r="2697">
          <cell r="C2697">
            <v>4843</v>
          </cell>
          <cell r="D2697" t="str">
            <v>Prvc. Instalacion De Codos Grp Y/O Pvc Dn 1400 Pn=1 Sn 2500 (0º-30º)</v>
          </cell>
          <cell r="E2697" t="str">
            <v>UN</v>
          </cell>
          <cell r="F2697">
            <v>771282.19</v>
          </cell>
          <cell r="G2697">
            <v>42552</v>
          </cell>
        </row>
        <row r="2698">
          <cell r="C2698">
            <v>4849</v>
          </cell>
          <cell r="D2698" t="str">
            <v>Prvc. Instalacion De Codos Grp Y/O Pvc Dn 1600 Pn=1 Sn 2500 (0º-30º)</v>
          </cell>
          <cell r="E2698" t="str">
            <v>UN</v>
          </cell>
          <cell r="F2698">
            <v>787282.19</v>
          </cell>
          <cell r="G2698">
            <v>42556</v>
          </cell>
        </row>
        <row r="2699">
          <cell r="C2699">
            <v>4854</v>
          </cell>
          <cell r="D2699" t="str">
            <v>Prvc. Instalacion De Codos Grp Y/O Pvc Dn 1700 Pn=1 Sn 2500 (0º-30º)</v>
          </cell>
          <cell r="E2699" t="str">
            <v>UN</v>
          </cell>
          <cell r="F2699">
            <v>815282.19</v>
          </cell>
          <cell r="G2699">
            <v>42552</v>
          </cell>
        </row>
        <row r="2700">
          <cell r="C2700">
            <v>4859</v>
          </cell>
          <cell r="D2700" t="str">
            <v>Prvc. Instalacion De Codos Grp  Y/O Pvc Dn 2200 Pn=1 Sn 2500 (0º-30º)</v>
          </cell>
          <cell r="E2700" t="str">
            <v>UN</v>
          </cell>
          <cell r="F2700">
            <v>877801.84</v>
          </cell>
          <cell r="G2700">
            <v>42552</v>
          </cell>
        </row>
        <row r="2701">
          <cell r="C2701">
            <v>4866</v>
          </cell>
          <cell r="D2701" t="str">
            <v>Prvc. Instalacion De Reduccion De 1,400 X 1,600 Mm Pn=1 Sn 2500</v>
          </cell>
          <cell r="E2701" t="str">
            <v>UN</v>
          </cell>
          <cell r="F2701">
            <v>791282.19</v>
          </cell>
          <cell r="G2701">
            <v>42552</v>
          </cell>
        </row>
        <row r="2702">
          <cell r="C2702">
            <v>4871</v>
          </cell>
          <cell r="D2702" t="str">
            <v>Prvc. Instalacion De Tees Grp  Y/O Pvc Dn 1400 X 1400 Pn=1 Sn 2500</v>
          </cell>
          <cell r="E2702" t="str">
            <v>UN</v>
          </cell>
          <cell r="F2702">
            <v>771282.19</v>
          </cell>
          <cell r="G2702">
            <v>42556</v>
          </cell>
        </row>
        <row r="2703">
          <cell r="C2703">
            <v>4873</v>
          </cell>
          <cell r="D2703" t="str">
            <v>Prvc. Instalacion De Tees Grp Y/O Pvc Dn 1600 X 1600 Pn=1 Sn 2500</v>
          </cell>
          <cell r="E2703" t="str">
            <v>UN</v>
          </cell>
          <cell r="F2703">
            <v>787282.19</v>
          </cell>
          <cell r="G2703">
            <v>42556</v>
          </cell>
        </row>
        <row r="2704">
          <cell r="C2704">
            <v>4876</v>
          </cell>
          <cell r="D2704" t="str">
            <v>Prvc. Instalacion De Tees Grp Y/O Pvc Dn 1700 X 1700 Pn=1 Sn 2500</v>
          </cell>
          <cell r="E2704" t="str">
            <v>UN</v>
          </cell>
          <cell r="F2704">
            <v>815282.19</v>
          </cell>
          <cell r="G2704">
            <v>42552</v>
          </cell>
        </row>
        <row r="2705">
          <cell r="C2705">
            <v>4883</v>
          </cell>
          <cell r="D2705" t="str">
            <v>Prvc. Instalacion De Tees Grp Y/O Pvc Dn 2200 X 2200 Pn=1 Sn 2500</v>
          </cell>
          <cell r="E2705" t="str">
            <v>UN</v>
          </cell>
          <cell r="F2705">
            <v>877801.84</v>
          </cell>
          <cell r="G2705">
            <v>42552</v>
          </cell>
        </row>
        <row r="2706">
          <cell r="C2706">
            <v>4884</v>
          </cell>
          <cell r="D2706" t="str">
            <v>Prvc. Suministro De Tee De 1,700 X 1,700 Mm, Sn 2500, Incluye Uniones, Accesorio Y Transporte</v>
          </cell>
          <cell r="E2706" t="str">
            <v>UN</v>
          </cell>
          <cell r="F2706">
            <v>25834000</v>
          </cell>
          <cell r="G2706">
            <v>42552</v>
          </cell>
        </row>
        <row r="2707">
          <cell r="C2707">
            <v>4885</v>
          </cell>
          <cell r="D2707" t="str">
            <v>Prvc. Suministro De Tee De 2,200 X 2,200 Mm, Sn 2500, Incluye Uniones, Accesorio Y Transporte</v>
          </cell>
          <cell r="E2707" t="str">
            <v>UN</v>
          </cell>
          <cell r="F2707">
            <v>43920000</v>
          </cell>
          <cell r="G2707">
            <v>42552</v>
          </cell>
        </row>
        <row r="2708">
          <cell r="C2708">
            <v>4886</v>
          </cell>
          <cell r="D2708" t="str">
            <v>Prvc. Suministro De Tee De 1,600 X 1,600 Mm, Sn 2500, Incluye Uniones, Accesorio Y Transporte</v>
          </cell>
          <cell r="E2708" t="str">
            <v>UN</v>
          </cell>
          <cell r="F2708">
            <v>22215000</v>
          </cell>
          <cell r="G2708">
            <v>42556</v>
          </cell>
        </row>
        <row r="2709">
          <cell r="C2709">
            <v>4888</v>
          </cell>
          <cell r="D2709" t="str">
            <v>Prvc. Manejo De Aguas</v>
          </cell>
          <cell r="E2709" t="str">
            <v>ML</v>
          </cell>
          <cell r="F2709">
            <v>205964.81</v>
          </cell>
          <cell r="G2709">
            <v>42556</v>
          </cell>
        </row>
        <row r="2710">
          <cell r="C2710">
            <v>4889</v>
          </cell>
          <cell r="D2710" t="str">
            <v>Prvc. Suministro De Tee De 1,400 X 1,400 Mm, Sn 2500, Incluye Uniones, Accesorio Y Transporte</v>
          </cell>
          <cell r="E2710" t="str">
            <v>UN</v>
          </cell>
          <cell r="F2710">
            <v>17946300</v>
          </cell>
          <cell r="G2710">
            <v>42556</v>
          </cell>
        </row>
        <row r="2711">
          <cell r="C2711">
            <v>4890</v>
          </cell>
          <cell r="D2711" t="str">
            <v>Prvc. Suministro De Reducción De 1,400 X 1,600 Mm, Sn 2500, Incluye Unión Y Transporte</v>
          </cell>
          <cell r="E2711" t="str">
            <v>UN</v>
          </cell>
          <cell r="F2711">
            <v>6430000</v>
          </cell>
          <cell r="G2711">
            <v>42552</v>
          </cell>
        </row>
        <row r="2712">
          <cell r="C2712">
            <v>4892</v>
          </cell>
          <cell r="D2712" t="str">
            <v>Prvc. Suministro Codo Grp Y/O Pvc D2200 Pn1, Sn2500 (0° - 30°), Incluye Unión Y Transporte</v>
          </cell>
          <cell r="E2712" t="str">
            <v>UN</v>
          </cell>
          <cell r="F2712">
            <v>10352000</v>
          </cell>
          <cell r="G2712">
            <v>42552</v>
          </cell>
        </row>
        <row r="2713">
          <cell r="C2713">
            <v>4893</v>
          </cell>
          <cell r="D2713" t="str">
            <v>Prvc. Suministro Codo Grp Y/O Pvc D1700 Pn1, Sn2500 (0° - 30°), Incluye Unión Y Transporte</v>
          </cell>
          <cell r="E2713" t="str">
            <v>UN</v>
          </cell>
          <cell r="F2713">
            <v>7553000</v>
          </cell>
          <cell r="G2713">
            <v>42552</v>
          </cell>
        </row>
        <row r="2714">
          <cell r="C2714">
            <v>4894</v>
          </cell>
          <cell r="D2714" t="str">
            <v>Prvc. Suministro Codo Grp Y/O Pvc D1600 Pn1, Sn2500 (0° - 30°), Incluye Unión Y Transporte</v>
          </cell>
          <cell r="E2714" t="str">
            <v>UN</v>
          </cell>
          <cell r="F2714">
            <v>5810000</v>
          </cell>
          <cell r="G2714">
            <v>42556</v>
          </cell>
        </row>
        <row r="2715">
          <cell r="C2715">
            <v>4895</v>
          </cell>
          <cell r="D2715" t="str">
            <v>Prvc. Suministro Codo Grp Y/O Pvc D1400 Pn1, Sn2500 (0° - 30°), Incluye Unión Y Transporte</v>
          </cell>
          <cell r="E2715" t="str">
            <v>UN</v>
          </cell>
          <cell r="F2715">
            <v>4554000</v>
          </cell>
          <cell r="G2715">
            <v>42552</v>
          </cell>
        </row>
        <row r="2716">
          <cell r="C2716">
            <v>4896</v>
          </cell>
          <cell r="D2716" t="str">
            <v>Prvc. Suministro De Tubería En Grp Y/O Pvc D = 2,200 Mm Pn = 1, Sn2500, Incluye Unión Y Transporte</v>
          </cell>
          <cell r="E2716" t="str">
            <v>ML</v>
          </cell>
          <cell r="F2716">
            <v>3329280</v>
          </cell>
          <cell r="G2716">
            <v>42552</v>
          </cell>
        </row>
        <row r="2717">
          <cell r="C2717">
            <v>4897</v>
          </cell>
          <cell r="D2717" t="str">
            <v>Prvc. Suministro De Tubería En Grp Y/O Pvc D = 1,700 Mm Pn = 1, Sn2500, Incluye Unión Y Transporte</v>
          </cell>
          <cell r="E2717" t="str">
            <v>ML</v>
          </cell>
          <cell r="F2717">
            <v>2052240</v>
          </cell>
          <cell r="G2717">
            <v>42556</v>
          </cell>
        </row>
        <row r="2718">
          <cell r="C2718">
            <v>4898</v>
          </cell>
          <cell r="D2718" t="str">
            <v>Prvc. Suministro De Tubería En Grp Y/O Pvc D = 1,600 Mm Pn = 1, Sn2500, Incluye Unión Y Transporte</v>
          </cell>
          <cell r="E2718" t="str">
            <v>ML</v>
          </cell>
          <cell r="F2718">
            <v>1831920</v>
          </cell>
          <cell r="G2718">
            <v>42556</v>
          </cell>
        </row>
        <row r="2719">
          <cell r="C2719">
            <v>4899</v>
          </cell>
          <cell r="D2719" t="str">
            <v>Prvc. Suministro De Tubería En Grp Y/O Pvc D = 1,400 Mm Pn = 1, Sn2500, Incluye Unión Y Transporte</v>
          </cell>
          <cell r="E2719" t="str">
            <v>ML</v>
          </cell>
          <cell r="F2719">
            <v>1527960</v>
          </cell>
          <cell r="G2719">
            <v>42556</v>
          </cell>
        </row>
        <row r="2720">
          <cell r="C2720">
            <v>4901</v>
          </cell>
          <cell r="D2720" t="str">
            <v>Prvc. Solado En Concreto De 2000 Psi Para Pozos De Inspeccion Y Celdas De Encauzamiento, E=0.07 Metros</v>
          </cell>
          <cell r="E2720" t="str">
            <v>M2</v>
          </cell>
          <cell r="F2720">
            <v>36916.21</v>
          </cell>
          <cell r="G2720">
            <v>42548</v>
          </cell>
        </row>
        <row r="2721">
          <cell r="C2721">
            <v>4904</v>
          </cell>
          <cell r="D2721" t="str">
            <v>Prvc. Muro De Protección En Mampostería Estructural De 15 Cms De Espesor, Incluye: Excavación, Relleno, Cimentación En Concreto Reforzado De 3000 Psi, Dovelas Rellenas En Concreto De 3000 Psi, Acero De Refuerzo En 1/2" Para Dovelas Y Acero De 3/8", Pega Y Pañete Ambas Caras En Mortero 1:4</v>
          </cell>
          <cell r="E2721" t="str">
            <v>M2</v>
          </cell>
          <cell r="F2721">
            <v>138187.42000000001</v>
          </cell>
          <cell r="G2721">
            <v>42572</v>
          </cell>
        </row>
        <row r="2722">
          <cell r="C2722">
            <v>4905</v>
          </cell>
          <cell r="D2722" t="str">
            <v>Prvc. Concreto Estructural Fc=4000 Psi, Losa De Fondo Pozos De Inspeccion Y Chimeneas, Canal Abierto Y Fondo Encauzamiento De Tres Celdas, Fabricado En Planta, Y Vertido Con Bomba, Incluye: Formaletas, Aditivos, Acabado, Vibrado Del Concreto Y Formacion De Juntas De Hormigonado</v>
          </cell>
          <cell r="E2722" t="str">
            <v>M3</v>
          </cell>
          <cell r="F2722">
            <v>832273.87</v>
          </cell>
          <cell r="G2722">
            <v>42548</v>
          </cell>
        </row>
        <row r="2723">
          <cell r="C2723">
            <v>4907</v>
          </cell>
          <cell r="D2723" t="str">
            <v>Prvc. Cama De Asiento Para La Tubería H = 0.15 Metros, En Granzón</v>
          </cell>
          <cell r="E2723" t="str">
            <v>M3</v>
          </cell>
          <cell r="F2723">
            <v>88909</v>
          </cell>
          <cell r="G2723">
            <v>42548</v>
          </cell>
        </row>
        <row r="2724">
          <cell r="C2724">
            <v>4909</v>
          </cell>
          <cell r="D2724" t="str">
            <v>Prvc. Relleno Con Material De Terraplen Seleccionado Norma Invias Para El Encauzamiento ( Incluye Corte, Traslado, Extendida, Humectación Y Compactado Al 95% Del Proctor Modificado), Desde La Cota De Batea Hasta Parte Inferior Del Suelo Cemento De La Reconstrucción Vial</v>
          </cell>
          <cell r="E2724" t="str">
            <v>M3</v>
          </cell>
          <cell r="F2724">
            <v>92445.13</v>
          </cell>
          <cell r="G2724">
            <v>42591</v>
          </cell>
        </row>
        <row r="2725">
          <cell r="C2725">
            <v>4910</v>
          </cell>
          <cell r="D2725" t="str">
            <v>Prvc. Concreto Estructural Fc=4000 Psi Para Muros De Pozos De Inspeccion, Chimenea, Canal Abierto Y Encauzamiento De Tres Celdas, Espesor 0.35 Metros, Fabricado En Planta, Y Vertido Con Bomba, Incluye: Juntas, Separadores, Distanciadores Para Encofrados Y Accesorios, Y Tapado De Orificios Resultantes Tras La Retirada Del Encofrado, Vibrado Y Desencofre Y Aditivos. Para Muros De Canal En Concreto</v>
          </cell>
          <cell r="E2725" t="str">
            <v>M3</v>
          </cell>
          <cell r="F2725">
            <v>1035451.37</v>
          </cell>
          <cell r="G2725">
            <v>42548</v>
          </cell>
        </row>
        <row r="2726">
          <cell r="C2726">
            <v>4914</v>
          </cell>
          <cell r="D2726" t="str">
            <v>Prvc. Excavación Mecánica En Todo Tipo De Material Para El Encauzamiento En Tubería Grp Y/O Pvc, Incluye Retiro De Material</v>
          </cell>
          <cell r="E2726" t="str">
            <v>M3</v>
          </cell>
          <cell r="F2726">
            <v>27477.77</v>
          </cell>
          <cell r="G2726">
            <v>42545</v>
          </cell>
        </row>
        <row r="2727">
          <cell r="C2727">
            <v>4917</v>
          </cell>
          <cell r="D2727" t="str">
            <v>Prvc. Tapas En Hd De 24" Para Pozos De Inspeccion</v>
          </cell>
          <cell r="E2727" t="str">
            <v>UN</v>
          </cell>
          <cell r="F2727">
            <v>687545.75</v>
          </cell>
          <cell r="G2727">
            <v>42548</v>
          </cell>
        </row>
        <row r="2728">
          <cell r="C2728">
            <v>4919</v>
          </cell>
          <cell r="D2728" t="str">
            <v>Prvc. Columnas Circulares De D=40 Centimetros, Incluye: Formaletas Y Desencofre, Concreto 5000 Psi</v>
          </cell>
          <cell r="E2728" t="str">
            <v>M3</v>
          </cell>
          <cell r="F2728">
            <v>1386906.88</v>
          </cell>
          <cell r="G2728">
            <v>42661</v>
          </cell>
        </row>
        <row r="2729">
          <cell r="C2729">
            <v>4920</v>
          </cell>
          <cell r="D2729" t="str">
            <v>Prvc. Instalación Y Desinstalación De Vigas En U - 20 Dobles De Longitud 12.00 Metros, Para Riostras De Tablaestacas Metálicas Au 14, Incluye Conectores, Transporte Interno</v>
          </cell>
          <cell r="E2729" t="str">
            <v>ML</v>
          </cell>
          <cell r="F2729">
            <v>212272.33</v>
          </cell>
          <cell r="G2729">
            <v>42572</v>
          </cell>
        </row>
        <row r="2730">
          <cell r="C2730">
            <v>4923</v>
          </cell>
          <cell r="D2730" t="str">
            <v>Prvc. Aporte De Tierra Vegetal, Con Espesor Minimo 50 Centimetros</v>
          </cell>
          <cell r="E2730" t="str">
            <v>M3</v>
          </cell>
          <cell r="F2730">
            <v>48181.71</v>
          </cell>
          <cell r="G2730">
            <v>42572</v>
          </cell>
        </row>
        <row r="2731">
          <cell r="C2731">
            <v>4925</v>
          </cell>
          <cell r="D2731" t="str">
            <v>Prvc. Concreto Estructural Fc= 5000 Psi, Para Tapa Del Encauzamiento De Tres Celdas, Pozos De Inspeccion Y Chimenea Con Funcion Vial, Espesor 0.30 Metros, Fabricado En Planta, Y Vertido Con Bomba, Incluye: Juntas, Separadores, Distanciadores Para Encofrados Y Accesorios, Y Tapado De Orificios Resultantes Tras La Retirada Del Encofrado, Vibrado, Desencofre Y Aditivos.</v>
          </cell>
          <cell r="E2731" t="str">
            <v>M3</v>
          </cell>
          <cell r="F2731">
            <v>1386906.88</v>
          </cell>
          <cell r="G2731">
            <v>42548</v>
          </cell>
        </row>
        <row r="2732">
          <cell r="C2732">
            <v>4926</v>
          </cell>
          <cell r="D2732" t="str">
            <v>Prvc. Instalación Y Saque De Tablestacas Au 14, Incluye: Transporte Interno, Hincado Y Colocación De Conectores</v>
          </cell>
          <cell r="E2732" t="str">
            <v>UN</v>
          </cell>
          <cell r="F2732">
            <v>544444.64</v>
          </cell>
          <cell r="G2732">
            <v>42591</v>
          </cell>
        </row>
        <row r="2733">
          <cell r="C2733">
            <v>4929</v>
          </cell>
          <cell r="D2733" t="str">
            <v>Prvc. Acero De Refuerzo Figurado 420 Mpa. Acero De Refuerzo 420 Mpa, Cortado, Doblado, Armado Y Colocado En Obra, Incluso P.P. De Despuntes, Segun Nsr-10 - Por Tonelada.</v>
          </cell>
          <cell r="E2733" t="str">
            <v>UN</v>
          </cell>
          <cell r="F2733">
            <v>4931106.0999999996</v>
          </cell>
          <cell r="G2733">
            <v>42548</v>
          </cell>
        </row>
        <row r="2734">
          <cell r="C2734">
            <v>4930</v>
          </cell>
          <cell r="D2734" t="str">
            <v>Prvc. Suministro De Vigas En U - 20 Dobles De Longitud 12.00 Metros, Para Riostras De Tablaestacas Metálicas Au 14, Incluye: Conectores, Transporte Desde El Puerto De Origen Al Puerto De Llegada + Transporte A La Obra Mas Legalización</v>
          </cell>
          <cell r="E2734" t="str">
            <v>ML</v>
          </cell>
          <cell r="F2734">
            <v>430000</v>
          </cell>
          <cell r="G2734">
            <v>42572</v>
          </cell>
        </row>
        <row r="2735">
          <cell r="C2735">
            <v>4931</v>
          </cell>
          <cell r="D2735" t="str">
            <v>Prvc. Suministro De Pernos Para Vigas U</v>
          </cell>
          <cell r="E2735" t="str">
            <v>UN</v>
          </cell>
          <cell r="F2735">
            <v>12500</v>
          </cell>
          <cell r="G2735">
            <v>42572</v>
          </cell>
        </row>
        <row r="2736">
          <cell r="C2736">
            <v>4933</v>
          </cell>
          <cell r="D2736" t="str">
            <v>Prvc. Suministro De Conectores  Para Tablaestacas</v>
          </cell>
          <cell r="E2736" t="str">
            <v>UN</v>
          </cell>
          <cell r="F2736">
            <v>145000</v>
          </cell>
          <cell r="G2736">
            <v>42572</v>
          </cell>
        </row>
        <row r="2737">
          <cell r="C2737">
            <v>4934</v>
          </cell>
          <cell r="D2737" t="str">
            <v>Prvc. Suministro De Tablestaca Metalica Au 14 O Similar, De Una Longitud De 7.00 Metros Ancho De 0,75 Metros, Incluye: Transporte Desde El Puerto De Origen Al Puerto De Llegada + Transporte A La Obra + Legalizaciòn</v>
          </cell>
          <cell r="E2737" t="str">
            <v>UN</v>
          </cell>
          <cell r="F2737">
            <v>5150000</v>
          </cell>
          <cell r="G2737">
            <v>42620</v>
          </cell>
        </row>
        <row r="2738">
          <cell r="C2738">
            <v>4935</v>
          </cell>
          <cell r="D2738" t="str">
            <v>Prvc. Localización Y Replanteo</v>
          </cell>
          <cell r="E2738" t="str">
            <v>M2</v>
          </cell>
          <cell r="F2738">
            <v>2686.25</v>
          </cell>
          <cell r="G2738">
            <v>42572</v>
          </cell>
        </row>
        <row r="2739">
          <cell r="C2739">
            <v>4936</v>
          </cell>
          <cell r="D2739" t="str">
            <v>Prvc. Base Suelo Cemento 2.1 Mpa Compactado, E=0,20 Metros</v>
          </cell>
          <cell r="E2739" t="str">
            <v>M3</v>
          </cell>
          <cell r="F2739">
            <v>170504.9</v>
          </cell>
          <cell r="G2739">
            <v>42572</v>
          </cell>
        </row>
        <row r="2740">
          <cell r="C2740">
            <v>4938</v>
          </cell>
          <cell r="D2740" t="str">
            <v>Prvc. Instalación De Jalonamiento Perimetral Temporal De Protección Formado Por Soportes Angulares Metálicos De 30 Mm Y 1.00 Metros De Longitud, Unidos Entre Si Mediante Una Cinta De Señalización De Obra Y Colocados Cada 8.00 Metros</v>
          </cell>
          <cell r="E2740" t="str">
            <v>ML</v>
          </cell>
          <cell r="F2740">
            <v>24802.15</v>
          </cell>
          <cell r="G2740">
            <v>42572</v>
          </cell>
        </row>
        <row r="2741">
          <cell r="C2741">
            <v>4941</v>
          </cell>
          <cell r="D2741" t="str">
            <v>Prvc. Provisión - Manejo Ambiental Y Social</v>
          </cell>
          <cell r="E2741" t="str">
            <v>UN</v>
          </cell>
          <cell r="F2741">
            <v>250000000</v>
          </cell>
          <cell r="G2741">
            <v>42515</v>
          </cell>
        </row>
        <row r="2742">
          <cell r="C2742">
            <v>4947</v>
          </cell>
          <cell r="D2742" t="str">
            <v>Prvc. Plan De Manejo De Trafico</v>
          </cell>
          <cell r="E2742" t="str">
            <v>UN</v>
          </cell>
          <cell r="F2742">
            <v>450000000</v>
          </cell>
          <cell r="G2742">
            <v>42515</v>
          </cell>
        </row>
        <row r="2743">
          <cell r="C2743">
            <v>4948</v>
          </cell>
          <cell r="D2743" t="str">
            <v>Prvc. Publicidad Institucional</v>
          </cell>
          <cell r="E2743" t="str">
            <v>UN</v>
          </cell>
          <cell r="F2743">
            <v>180000000</v>
          </cell>
          <cell r="G2743">
            <v>42517</v>
          </cell>
        </row>
        <row r="2744">
          <cell r="C2744">
            <v>4950</v>
          </cell>
          <cell r="D2744" t="str">
            <v>Prvc. Plan Seguridad Industrial Y Salud Ocupacional Y Planes De Contingencia Por Lluvias</v>
          </cell>
          <cell r="E2744" t="str">
            <v>UN</v>
          </cell>
          <cell r="F2744">
            <v>1000000000</v>
          </cell>
          <cell r="G2744">
            <v>42515</v>
          </cell>
        </row>
        <row r="2745">
          <cell r="C2745">
            <v>4951</v>
          </cell>
          <cell r="D2745" t="str">
            <v>Prvc. Revisión Y Ajustes A Los Diseños</v>
          </cell>
          <cell r="E2745" t="str">
            <v>UN</v>
          </cell>
          <cell r="F2745">
            <v>500000000</v>
          </cell>
          <cell r="G2745">
            <v>42515</v>
          </cell>
        </row>
        <row r="2746">
          <cell r="C2746">
            <v>4952</v>
          </cell>
          <cell r="D2746" t="str">
            <v>Capitulo - Protección Edificaciones Con Tablestacas Metálicas</v>
          </cell>
          <cell r="E2746" t="str">
            <v>SD</v>
          </cell>
          <cell r="F2746">
            <v>0</v>
          </cell>
          <cell r="G2746">
            <v>42466</v>
          </cell>
        </row>
        <row r="2747">
          <cell r="C2747">
            <v>4953</v>
          </cell>
          <cell r="D2747" t="str">
            <v>Capitulo - Movimiento De Tierras Y Suministro E Instalación Del Encauzamiento Con Tubería Grp</v>
          </cell>
          <cell r="E2747" t="str">
            <v>SD</v>
          </cell>
          <cell r="F2747">
            <v>0</v>
          </cell>
          <cell r="G2747">
            <v>42466</v>
          </cell>
        </row>
        <row r="2748">
          <cell r="C2748">
            <v>4954</v>
          </cell>
          <cell r="D2748" t="str">
            <v>Prvc. Pavimento En Concreto Rigido Mr= 45 Mpa, Espesor= 0.20 Metros A La Flexion, Acelerado A Tres Dias, Incluye Pasadores De 1" Liso A 0.30 Metros Y Barra De Amarre De 5/8" Corrugado A 1.20 Metros De Separacion, Cortadora De Pavimento Juntas, Endurecedor De Piso Y Aditivo Para Curado</v>
          </cell>
          <cell r="E2748" t="str">
            <v>M2</v>
          </cell>
          <cell r="F2748">
            <v>199044.83</v>
          </cell>
          <cell r="G2748">
            <v>42572</v>
          </cell>
        </row>
        <row r="2749">
          <cell r="C2749">
            <v>4955</v>
          </cell>
          <cell r="D2749" t="str">
            <v>Capitulo - Suministro E Instalación De Tuberías En Grp Y Accesorios</v>
          </cell>
          <cell r="E2749" t="str">
            <v>SD</v>
          </cell>
          <cell r="F2749">
            <v>0</v>
          </cell>
          <cell r="G2749">
            <v>42466</v>
          </cell>
        </row>
        <row r="2750">
          <cell r="C2750">
            <v>4956</v>
          </cell>
          <cell r="D2750" t="str">
            <v>Capitulo - Pozos De Inspección Según Diseño, Incluye Chimenea</v>
          </cell>
          <cell r="E2750" t="str">
            <v>SD</v>
          </cell>
          <cell r="F2750">
            <v>0</v>
          </cell>
          <cell r="G2750">
            <v>42466</v>
          </cell>
        </row>
        <row r="2751">
          <cell r="C2751">
            <v>4958</v>
          </cell>
          <cell r="D2751" t="str">
            <v>Prvc. Sumidero 1.00 X 0.73 Metros En Mamposteria Estructural, C. Rotura 250 Kn. Formacion De Sumidero Con Paredes De Mamposteria En Ladrillo De Arcilla Macizo, Sentado Con Mortero De Cemento 1:6, Enfoscada Y Bruñida Interiormente Con Mortero De Cemento 1:3, Con Rejillas Y Marco De Fundicion Ductil De 1000 X 630 Mm Norma Tecnica Une-En 124 D-400. Totalmente Montado, Conexionado A La Red General De Desague Y Probado</v>
          </cell>
          <cell r="E2751" t="str">
            <v>M2</v>
          </cell>
          <cell r="F2751">
            <v>3862648.53</v>
          </cell>
          <cell r="G2751">
            <v>42548</v>
          </cell>
        </row>
        <row r="2752">
          <cell r="C2752">
            <v>4959</v>
          </cell>
          <cell r="D2752" t="str">
            <v>Prvc. Iluminación Led</v>
          </cell>
          <cell r="E2752" t="str">
            <v>GL</v>
          </cell>
          <cell r="F2752">
            <v>1572981493</v>
          </cell>
          <cell r="G2752">
            <v>42472</v>
          </cell>
        </row>
        <row r="2753">
          <cell r="C2753">
            <v>4960</v>
          </cell>
          <cell r="D2753" t="str">
            <v>Prvc. Subterranización Banco De Ductos Telecomunicaciones</v>
          </cell>
          <cell r="E2753" t="str">
            <v>GL</v>
          </cell>
          <cell r="F2753">
            <v>2591253426</v>
          </cell>
          <cell r="G2753">
            <v>42472</v>
          </cell>
        </row>
        <row r="2754">
          <cell r="C2754">
            <v>4961</v>
          </cell>
          <cell r="D2754" t="str">
            <v>Prvc. Subterranización Redes Baja Tensión Y Reubicación Mt Aérea</v>
          </cell>
          <cell r="E2754" t="str">
            <v>GL</v>
          </cell>
          <cell r="F2754">
            <v>5541512493</v>
          </cell>
          <cell r="G2754">
            <v>42472</v>
          </cell>
        </row>
        <row r="2755">
          <cell r="C2755">
            <v>4963</v>
          </cell>
          <cell r="D2755" t="str">
            <v>Prvc. Sardineles O Cordones Tipo Bordillo Ref. A10, Tipo Titan Y/O Similar De Seccion H= 0.50 Metros Base= 0.20 Metros Y Longitud= 0.80 Metros En Concreto De Fc= 4000 Psi, Incluye: Mortero De Pega 1:6, Suministro E Instalacion Y Transporte</v>
          </cell>
          <cell r="E2755" t="str">
            <v>ML</v>
          </cell>
          <cell r="F2755">
            <v>76638.8</v>
          </cell>
          <cell r="G2755">
            <v>42572</v>
          </cell>
        </row>
        <row r="2756">
          <cell r="C2756">
            <v>4965</v>
          </cell>
          <cell r="D2756" t="str">
            <v>Prvc. Recolocacion De Mogador Existente, Incluyendo Desmontaje, Demolicion De Cimientos, Nueva Cimentacion Y Montaje</v>
          </cell>
          <cell r="E2756" t="str">
            <v>UN</v>
          </cell>
          <cell r="F2756">
            <v>754814.81</v>
          </cell>
          <cell r="G2756">
            <v>42572</v>
          </cell>
        </row>
        <row r="2757">
          <cell r="C2757">
            <v>4967</v>
          </cell>
          <cell r="D2757" t="str">
            <v>Prvc. Paradero De Transmetro, Integrado Por Estructura Metalica De Acero Inoxidable Aisi 304, Con Dos Apoyos Verticales, Estructura De Sujeccion De Cubierta, Banca, Cubierta Y Mogador, Segun Diseño Adjunto En Planos, Incluyendo Cimentacion De Concreto En Cada Uno De Los Apoyos Mediante Zapatas De Concreto</v>
          </cell>
          <cell r="E2757" t="str">
            <v>UN</v>
          </cell>
          <cell r="F2757">
            <v>45001414.899999999</v>
          </cell>
          <cell r="G2757">
            <v>42572</v>
          </cell>
        </row>
        <row r="2758">
          <cell r="C2758">
            <v>4969</v>
          </cell>
          <cell r="D2758" t="str">
            <v>Prvc. Loseta Plana Uc-260 Tipo K Serie 80 200X200X80 Mm De Espesor Color Gris, Usada En Pavimento De La Franja De Circulacion Peatonal Y Esquinas Con Carreras Transversales,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 De 20</v>
          </cell>
          <cell r="E2758" t="str">
            <v>M2</v>
          </cell>
          <cell r="F2758">
            <v>153437.26</v>
          </cell>
          <cell r="G2758">
            <v>42572</v>
          </cell>
        </row>
        <row r="2759">
          <cell r="C2759">
            <v>4972</v>
          </cell>
          <cell r="D2759" t="str">
            <v>Prvc. Demolición De Andenes Existentes Y Retiro De Material Demolido</v>
          </cell>
          <cell r="E2759" t="str">
            <v>M2</v>
          </cell>
          <cell r="F2759">
            <v>8521.44</v>
          </cell>
          <cell r="G2759">
            <v>42572</v>
          </cell>
        </row>
        <row r="2760">
          <cell r="C2760">
            <v>4974</v>
          </cell>
          <cell r="D2760" t="str">
            <v>Prvc. Loseta Plana Uc-260 Tipo K Serie 80 200X200X80 Mm De Espesor Color Rojo, Usada En Pavimento De La Franja De Circulacion Peatonal Y Esquinas Con Carreras Transversales,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v>
          </cell>
          <cell r="E2760" t="str">
            <v>M2</v>
          </cell>
          <cell r="F2760">
            <v>172273.94</v>
          </cell>
          <cell r="G2760">
            <v>42572</v>
          </cell>
        </row>
        <row r="2761">
          <cell r="C2761">
            <v>4976</v>
          </cell>
          <cell r="D2761" t="str">
            <v>Prvc. Loseta Tactil Estriada Uc-270 Serie 80 400X400X80 Mm De Espesor Color Blanco, Usada En La Franja De Alineacion Para Invidentes,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 De E=20 Cms, Vertido Desde Camion Con Extendi</v>
          </cell>
          <cell r="E2761" t="str">
            <v>M2</v>
          </cell>
          <cell r="F2761">
            <v>185716.78</v>
          </cell>
          <cell r="G2761">
            <v>42572</v>
          </cell>
        </row>
        <row r="2762">
          <cell r="C2762">
            <v>4978</v>
          </cell>
          <cell r="D2762" t="str">
            <v>Prvc. Banca Tipo Benito Urban O Similar 1660X805X620Mm, Suministro E Instalacion Codigo Um379M, Con Espaldar, Fabricado En Hierro Con Tratamiento Anti-Corrosion, Acabado Con Imprimacion Epoxi Y Pintura Poliester En Polvo, Color Negro Forja, D= Ancho=1660Mm, Alto=805Mm, Profundidad=620Mm, Altura Asiento 445Mm, Incluyendo Cimentacion</v>
          </cell>
          <cell r="E2762" t="str">
            <v>UN</v>
          </cell>
          <cell r="F2762">
            <v>1453814.81</v>
          </cell>
          <cell r="G2762">
            <v>42572</v>
          </cell>
        </row>
        <row r="2763">
          <cell r="C2763">
            <v>4980</v>
          </cell>
          <cell r="D2763" t="str">
            <v>Prvc. Caneca Tipo Medrano O Similar Seccion Circular 50 I, Suministro E Instalacion, Codigo 13290350, Con Poste De Sujeccion Y Tejadillo Para Proteccion Ante La Lluvia Y Ante La Introduccion De Objetos Voluminosos, De 50 Litros De Capacidad, Fabricada En Acero Galvanizado Y Esmaltada Con Epoxi En Polvo Al Horno Para Garantizar Maxima Resistencia A Al Interperie, Color Gris Antracita, Descarga Extraible, Atornillada Al Pavimento, Dimensiones: Diametro 360Mm, Altura 500Mm, Alto Total 1030 Mm Inclu</v>
          </cell>
          <cell r="E2763" t="str">
            <v>UN</v>
          </cell>
          <cell r="F2763">
            <v>924814.81</v>
          </cell>
          <cell r="G2763">
            <v>42572</v>
          </cell>
        </row>
        <row r="2764">
          <cell r="C2764">
            <v>4981</v>
          </cell>
          <cell r="D2764" t="str">
            <v>Limpieza General Y Retiro De Material</v>
          </cell>
          <cell r="E2764" t="str">
            <v>GL</v>
          </cell>
          <cell r="F2764">
            <v>3450000</v>
          </cell>
          <cell r="G2764">
            <v>42467</v>
          </cell>
        </row>
        <row r="2765">
          <cell r="C2765">
            <v>4983</v>
          </cell>
          <cell r="D2765" t="str">
            <v>Prvc. Suministro De Tuberias En Grp Y/O Pvc De Diametro 900 Mm, Pn= 1,00 Sn 2500, Incluye Unión Y Transporte</v>
          </cell>
          <cell r="E2765" t="str">
            <v>ML</v>
          </cell>
          <cell r="F2765">
            <v>800904</v>
          </cell>
          <cell r="G2765">
            <v>42548</v>
          </cell>
        </row>
        <row r="2766">
          <cell r="C2766">
            <v>4985</v>
          </cell>
          <cell r="D2766" t="str">
            <v>Prvc. Suministro De Tuberias En Grp Y/O Pvc De Diametro 1200 Mm, Pn=1,00 Sn 2500, Incluye Unión Y Transporte</v>
          </cell>
          <cell r="E2766" t="str">
            <v>ML</v>
          </cell>
          <cell r="F2766">
            <v>1350378</v>
          </cell>
          <cell r="G2766">
            <v>42548</v>
          </cell>
        </row>
        <row r="2767">
          <cell r="C2767">
            <v>4987</v>
          </cell>
          <cell r="D2767" t="str">
            <v>Prvc. Suministro De Tuberias En Grp Y/O Pvc De Diametro 2000 Mm, Pn= 1,00, Sn 2500, Incluye Unión Y Transporte</v>
          </cell>
          <cell r="E2767" t="str">
            <v>ML</v>
          </cell>
          <cell r="F2767">
            <v>2792709</v>
          </cell>
          <cell r="G2767">
            <v>42556</v>
          </cell>
        </row>
        <row r="2768">
          <cell r="C2768">
            <v>4989</v>
          </cell>
          <cell r="D2768" t="str">
            <v>Prvc. Suministro Codos Grp Y/O Pvc Dn 900 Pn=1 Sn 2500 (0º-30º), Incluye Unión Y Transporte</v>
          </cell>
          <cell r="E2768" t="str">
            <v>UN</v>
          </cell>
          <cell r="F2768">
            <v>2347000</v>
          </cell>
          <cell r="G2768">
            <v>42548</v>
          </cell>
        </row>
        <row r="2769">
          <cell r="C2769">
            <v>4991</v>
          </cell>
          <cell r="D2769" t="str">
            <v>Prvc. Suministro Codos Grp Y/O Pvc Dn 1200 Pn=1 Sn 2500 (0-30º), Incluye Unión Y Transporte</v>
          </cell>
          <cell r="E2769" t="str">
            <v>UN</v>
          </cell>
          <cell r="F2769">
            <v>3425000</v>
          </cell>
          <cell r="G2769">
            <v>42548</v>
          </cell>
        </row>
        <row r="2770">
          <cell r="C2770">
            <v>4993</v>
          </cell>
          <cell r="D2770" t="str">
            <v>Prvc. Suministro Codos Grp Y/O Pvc Dn 2000 Pn=1 Sn 2500 (0º.30º), Incluye Unión Y Transporte</v>
          </cell>
          <cell r="E2770" t="str">
            <v>UN</v>
          </cell>
          <cell r="F2770">
            <v>8843000</v>
          </cell>
          <cell r="G2770">
            <v>42556</v>
          </cell>
        </row>
        <row r="2771">
          <cell r="C2771">
            <v>4995</v>
          </cell>
          <cell r="D2771" t="str">
            <v>Prvc. Suministro De Reduccion De 900 X 1200 Mm Sn 2500, Incluye Unión Y Transporte</v>
          </cell>
          <cell r="E2771" t="str">
            <v>UN</v>
          </cell>
          <cell r="F2771">
            <v>2350000</v>
          </cell>
          <cell r="G2771">
            <v>42548</v>
          </cell>
        </row>
        <row r="2772">
          <cell r="C2772">
            <v>4997</v>
          </cell>
          <cell r="D2772" t="str">
            <v>Prvc. Suministro De Reduccion De 1200 X 1400 Mm Sn 2500, Incluye Unión Y Transporte</v>
          </cell>
          <cell r="E2772" t="str">
            <v>UN</v>
          </cell>
          <cell r="F2772">
            <v>4380000</v>
          </cell>
          <cell r="G2772">
            <v>42548</v>
          </cell>
        </row>
        <row r="2773">
          <cell r="C2773">
            <v>4999</v>
          </cell>
          <cell r="D2773" t="str">
            <v>Prvc. Suministro De Reduccion De 1400 X 1600 Mm Sn 2500</v>
          </cell>
          <cell r="E2773" t="str">
            <v>UN</v>
          </cell>
          <cell r="F2773">
            <v>6430000</v>
          </cell>
          <cell r="G2773">
            <v>42486</v>
          </cell>
        </row>
        <row r="2774">
          <cell r="C2774">
            <v>5001</v>
          </cell>
          <cell r="D2774" t="str">
            <v>Prvc. Suministro De Reduccion De 2000 X 2200 Mm Sn 2500, Incluye Unión Y Transporte</v>
          </cell>
          <cell r="E2774" t="str">
            <v>UN</v>
          </cell>
          <cell r="F2774">
            <v>11008100</v>
          </cell>
          <cell r="G2774">
            <v>42548</v>
          </cell>
        </row>
        <row r="2775">
          <cell r="C2775">
            <v>5003</v>
          </cell>
          <cell r="D2775" t="str">
            <v>Prvc. Suministro De Tee De 900 X 900 Mm Sn 2500, Incluye Uniones, Accesorio Y Transporte</v>
          </cell>
          <cell r="E2775" t="str">
            <v>UN</v>
          </cell>
          <cell r="F2775">
            <v>5872000</v>
          </cell>
          <cell r="G2775">
            <v>42548</v>
          </cell>
        </row>
        <row r="2776">
          <cell r="C2776">
            <v>5005</v>
          </cell>
          <cell r="D2776" t="str">
            <v>Prvc. Suministro De Tee De 1200 X 1200 Mm Sn 2500, Incluye Uniones, Accesorio Y Transporte</v>
          </cell>
          <cell r="E2776" t="str">
            <v>UN</v>
          </cell>
          <cell r="F2776">
            <v>11193000</v>
          </cell>
          <cell r="G2776">
            <v>42548</v>
          </cell>
        </row>
        <row r="2777">
          <cell r="C2777">
            <v>5006</v>
          </cell>
          <cell r="D2777" t="str">
            <v>Prvc. Instalacion De Tuberias En Grp Y/O Pvc De Diametro 900 Mm, Pn=1,00 Sn 2500</v>
          </cell>
          <cell r="E2777" t="str">
            <v>ML</v>
          </cell>
          <cell r="F2777">
            <v>79544.100000000006</v>
          </cell>
          <cell r="G2777">
            <v>42548</v>
          </cell>
        </row>
        <row r="2778">
          <cell r="C2778">
            <v>5007</v>
          </cell>
          <cell r="D2778" t="str">
            <v>Prvc. Instalacion De Tuberias En Grp Y/O Pvc De Diametro 1200 Mm Pn=1,00 Sn 2500</v>
          </cell>
          <cell r="E2778" t="str">
            <v>ML</v>
          </cell>
          <cell r="F2778">
            <v>79544.100000000006</v>
          </cell>
          <cell r="G2778">
            <v>42548</v>
          </cell>
        </row>
        <row r="2779">
          <cell r="C2779">
            <v>5008</v>
          </cell>
          <cell r="D2779" t="str">
            <v>Prvc. Instalacion De Tuberias En Grp  Y/O Pvc De Diametro 2000 Mm, Pn=1.00 Sn 2500</v>
          </cell>
          <cell r="E2779" t="str">
            <v>ML</v>
          </cell>
          <cell r="F2779">
            <v>115638.2</v>
          </cell>
          <cell r="G2779">
            <v>42556</v>
          </cell>
        </row>
        <row r="2780">
          <cell r="C2780">
            <v>5009</v>
          </cell>
          <cell r="D2780" t="str">
            <v>Prvc. Instalacion Codos Grp  Y/O Pvc Dn 900 Pn=1 Sn 2500 (0º-30º)</v>
          </cell>
          <cell r="E2780" t="str">
            <v>UN</v>
          </cell>
          <cell r="F2780">
            <v>771282.19</v>
          </cell>
          <cell r="G2780">
            <v>42548</v>
          </cell>
        </row>
        <row r="2781">
          <cell r="C2781">
            <v>5010</v>
          </cell>
          <cell r="D2781" t="str">
            <v>Prvc. Instalacion Codos Grp  Y/O Pvc Dn 1200 Pn=1 Sn 2500 (0º-30º)</v>
          </cell>
          <cell r="E2781" t="str">
            <v>UN</v>
          </cell>
          <cell r="F2781">
            <v>771282.19</v>
          </cell>
          <cell r="G2781">
            <v>42548</v>
          </cell>
        </row>
        <row r="2782">
          <cell r="C2782">
            <v>5011</v>
          </cell>
          <cell r="D2782" t="str">
            <v>Prvc. Instalacion De Codos Grp  Y/O Pvc Dn 2000 Pn=1 Sn 2500 (0º-30º)</v>
          </cell>
          <cell r="E2782" t="str">
            <v>UN</v>
          </cell>
          <cell r="F2782">
            <v>877801.84</v>
          </cell>
          <cell r="G2782">
            <v>42556</v>
          </cell>
        </row>
        <row r="2783">
          <cell r="C2783">
            <v>5012</v>
          </cell>
          <cell r="D2783" t="str">
            <v>Prvc. Instalacion De Codos Grp  Y/O Pvc Dn 1600 Pn=1 Sn 2500 (0º-30º)</v>
          </cell>
          <cell r="E2783" t="str">
            <v>UN</v>
          </cell>
          <cell r="F2783">
            <v>787282.19</v>
          </cell>
          <cell r="G2783">
            <v>42548</v>
          </cell>
        </row>
        <row r="2784">
          <cell r="C2784">
            <v>5013</v>
          </cell>
          <cell r="D2784" t="str">
            <v>Prvc. Instalacion De Reduccion De 900 X 1200 Mm Pn=1 Sn 2500</v>
          </cell>
          <cell r="E2784" t="str">
            <v>UN</v>
          </cell>
          <cell r="F2784">
            <v>791282.19</v>
          </cell>
          <cell r="G2784">
            <v>42548</v>
          </cell>
        </row>
        <row r="2785">
          <cell r="C2785">
            <v>5014</v>
          </cell>
          <cell r="D2785" t="str">
            <v>Prvc. Instalacion De Reduccion De 1200 X 1400 Mm Pn=1 Sn 2500</v>
          </cell>
          <cell r="E2785" t="str">
            <v>UN</v>
          </cell>
          <cell r="F2785">
            <v>791282.19</v>
          </cell>
          <cell r="G2785">
            <v>42548</v>
          </cell>
        </row>
        <row r="2786">
          <cell r="C2786">
            <v>5015</v>
          </cell>
          <cell r="D2786" t="str">
            <v>Prvc. Instalacion De Reduccion De 2000 X 2200 Mm Pn=1 Sn 2500</v>
          </cell>
          <cell r="E2786" t="str">
            <v>UN</v>
          </cell>
          <cell r="F2786">
            <v>877801.84</v>
          </cell>
          <cell r="G2786">
            <v>42548</v>
          </cell>
        </row>
        <row r="2787">
          <cell r="C2787">
            <v>5016</v>
          </cell>
          <cell r="D2787" t="str">
            <v>Prvc. Instalacion De Tee De 900 X 900 Mm Pn=1 Sn 2500</v>
          </cell>
          <cell r="E2787" t="str">
            <v>UN</v>
          </cell>
          <cell r="F2787">
            <v>771282.19</v>
          </cell>
          <cell r="G2787">
            <v>42548</v>
          </cell>
        </row>
        <row r="2788">
          <cell r="C2788">
            <v>5017</v>
          </cell>
          <cell r="D2788" t="str">
            <v>Prvc. Instalacion De Tee De 1200 X 1200 Mm Pn=1 Sn 2500</v>
          </cell>
          <cell r="E2788" t="str">
            <v>UN</v>
          </cell>
          <cell r="F2788">
            <v>771282.19</v>
          </cell>
          <cell r="G2788">
            <v>42548</v>
          </cell>
        </row>
        <row r="2789">
          <cell r="C2789">
            <v>5018</v>
          </cell>
          <cell r="D2789" t="str">
            <v>Prvc. Iluminación Led</v>
          </cell>
          <cell r="E2789" t="str">
            <v>GL</v>
          </cell>
          <cell r="F2789">
            <v>1726176424</v>
          </cell>
          <cell r="G2789">
            <v>42472</v>
          </cell>
        </row>
        <row r="2790">
          <cell r="C2790">
            <v>5019</v>
          </cell>
          <cell r="D2790" t="str">
            <v>Prvc. Subterranización Banco De Ductos Telecomunicaciones</v>
          </cell>
          <cell r="E2790" t="str">
            <v>GL</v>
          </cell>
          <cell r="F2790">
            <v>2647739894.0999999</v>
          </cell>
          <cell r="G2790">
            <v>42472</v>
          </cell>
        </row>
        <row r="2791">
          <cell r="C2791">
            <v>5020</v>
          </cell>
          <cell r="D2791" t="str">
            <v>Prvc. Subterranización Redes Baja Tensión Y Reubicación Mt Aérea</v>
          </cell>
          <cell r="E2791" t="str">
            <v>GL</v>
          </cell>
          <cell r="F2791">
            <v>4162309481.2399998</v>
          </cell>
          <cell r="G2791">
            <v>42472</v>
          </cell>
        </row>
        <row r="2792">
          <cell r="C2792">
            <v>5021</v>
          </cell>
          <cell r="D2792" t="str">
            <v>Suministro E Instalacion De Modulo Cubiculo Vendedores Ambulantes Centro Historico, Fabricado En Perfil De Acero Tubular Cuadrado De 2 1/2" Calibre 16 Pintados En Wash Primer Y Acabado Color A Definir Por El Cliente, Puertas En Estera Tipo Prodicer O Similar, Cubierta Con Estructura Metalica (Ver Diseño).</v>
          </cell>
          <cell r="E2792" t="str">
            <v>UN</v>
          </cell>
          <cell r="F2792">
            <v>1500000</v>
          </cell>
          <cell r="G2792">
            <v>42486</v>
          </cell>
        </row>
        <row r="2793">
          <cell r="C2793">
            <v>5022</v>
          </cell>
          <cell r="D2793" t="str">
            <v>Suministro E Instalacion De Mueble Inferior En Lamina Galvanizada Calibre 16, Estructura En Tubo Cuadrado De 1 1/2", Dos Puertas En Lamina Galvanizada, Bisagras Tipo Omega Pasados Tipo Pica Porte (Ver Diseño)</v>
          </cell>
          <cell r="E2793" t="str">
            <v>UN</v>
          </cell>
          <cell r="F2793">
            <v>480000</v>
          </cell>
          <cell r="G2793">
            <v>42486</v>
          </cell>
        </row>
        <row r="2794">
          <cell r="C2794">
            <v>5023</v>
          </cell>
          <cell r="D2794" t="str">
            <v>Suministro E Instalacion De Mueble Movil, Estructura En Perfil Cuadrado De Acero Galvanizado Calibre 16 Y Vidrio Crudo 5.00 Mm, Puertas Corredizas Y Cierra Dura (Ver Diseño)</v>
          </cell>
          <cell r="E2794" t="str">
            <v>UN</v>
          </cell>
          <cell r="F2794">
            <v>310000</v>
          </cell>
          <cell r="G2794">
            <v>42486</v>
          </cell>
        </row>
        <row r="2795">
          <cell r="C2795">
            <v>5024</v>
          </cell>
          <cell r="D2795" t="str">
            <v>Suministro E Instalacion De Modulo Para Baños Vendedores Ambulantes Centro Historico, Fabricado En Perfil De Acero Tubular Cuadrado De 2 1/2" Calibre 16 Para Estructura De Soporte De Muros En Lamina De Acero Galvanizada Calibre 16, Pintados En Wash Primer Y Acabados Por Definir Por El Cliente, Puerta En Lamina Galvanizada Calibre 16 Entamborada, Incluye Marco En Tubo De Acero Calibre 16 1"X1", Tres Bisagras Tipo Omega, Cerradura Incrustable Tipo Gato O Similar, Manija Exterior En Acero Inoxidabl</v>
          </cell>
          <cell r="E2795" t="str">
            <v>UN</v>
          </cell>
          <cell r="F2795">
            <v>10500000</v>
          </cell>
          <cell r="G2795">
            <v>42486</v>
          </cell>
        </row>
        <row r="2796">
          <cell r="C2796">
            <v>5042</v>
          </cell>
          <cell r="D2796" t="str">
            <v>Prvc. Excavacion Manual</v>
          </cell>
          <cell r="E2796" t="str">
            <v>M3</v>
          </cell>
          <cell r="F2796">
            <v>21567.34</v>
          </cell>
          <cell r="G2796">
            <v>42573</v>
          </cell>
        </row>
        <row r="2797">
          <cell r="C2797">
            <v>5048</v>
          </cell>
          <cell r="D2797" t="str">
            <v>Prvc. Relleno En Material Compactado En Arena</v>
          </cell>
          <cell r="E2797" t="str">
            <v>M3</v>
          </cell>
          <cell r="F2797">
            <v>54915.63</v>
          </cell>
          <cell r="G2797">
            <v>42573</v>
          </cell>
        </row>
        <row r="2798">
          <cell r="C2798">
            <v>5051</v>
          </cell>
          <cell r="D2798" t="str">
            <v>Prvc. Instalacion Tuberia Tdp 4"</v>
          </cell>
          <cell r="E2798" t="str">
            <v>ML</v>
          </cell>
          <cell r="F2798">
            <v>2207.85</v>
          </cell>
          <cell r="G2798">
            <v>42573</v>
          </cell>
        </row>
        <row r="2799">
          <cell r="C2799">
            <v>5053</v>
          </cell>
          <cell r="D2799" t="str">
            <v>Prvc. Suministro E Instalacion Tuberia Tdp 4"</v>
          </cell>
          <cell r="E2799" t="str">
            <v>ML</v>
          </cell>
          <cell r="F2799">
            <v>18876.849999999999</v>
          </cell>
          <cell r="G2799">
            <v>42573</v>
          </cell>
        </row>
        <row r="2800">
          <cell r="C2800">
            <v>5055</v>
          </cell>
          <cell r="D2800" t="str">
            <v>Prvc. Instalacion Monotubo 1 1/2"</v>
          </cell>
          <cell r="E2800" t="str">
            <v>ML</v>
          </cell>
          <cell r="F2800">
            <v>2061.42</v>
          </cell>
          <cell r="G2800">
            <v>42573</v>
          </cell>
        </row>
        <row r="2801">
          <cell r="C2801">
            <v>5057</v>
          </cell>
          <cell r="D2801" t="str">
            <v>Prvc. Construccion Registro Area Interna 0.98 M2 (2F1) Concreto De 3000 Psi</v>
          </cell>
          <cell r="E2801" t="str">
            <v>UN</v>
          </cell>
          <cell r="F2801">
            <v>2683901.0099999998</v>
          </cell>
          <cell r="G2801">
            <v>42573</v>
          </cell>
        </row>
        <row r="2802">
          <cell r="C2802">
            <v>5059</v>
          </cell>
          <cell r="D2802" t="str">
            <v>Prvc. Construccion Registro Area Interna 0.49 M2 (F1) Concreto De 3000 Psi</v>
          </cell>
          <cell r="E2802" t="str">
            <v>UN</v>
          </cell>
          <cell r="F2802">
            <v>1490094.01</v>
          </cell>
          <cell r="G2802">
            <v>42573</v>
          </cell>
        </row>
        <row r="2803">
          <cell r="C2803">
            <v>5061</v>
          </cell>
          <cell r="D2803" t="str">
            <v>Prvc. Construccion De Registro Comunitario Area Interna 2.88 M2, En Concreto De 3000 Psi</v>
          </cell>
          <cell r="E2803" t="str">
            <v>UN</v>
          </cell>
          <cell r="F2803">
            <v>5853553.0499999998</v>
          </cell>
          <cell r="G2803">
            <v>42573</v>
          </cell>
        </row>
        <row r="2804">
          <cell r="C2804">
            <v>5063</v>
          </cell>
          <cell r="D2804" t="str">
            <v>Prvc. Suministro Y Tendido De Ducteria Conduit Pvc 1"</v>
          </cell>
          <cell r="E2804" t="str">
            <v>ML</v>
          </cell>
          <cell r="F2804">
            <v>3769.51</v>
          </cell>
          <cell r="G2804">
            <v>42573</v>
          </cell>
        </row>
        <row r="2805">
          <cell r="C2805">
            <v>5065</v>
          </cell>
          <cell r="D2805" t="str">
            <v>Prvc. Suministro Y Tendido De Ducteria Conduit Pvc 2"</v>
          </cell>
          <cell r="E2805" t="str">
            <v>ML</v>
          </cell>
          <cell r="F2805">
            <v>19933.509999999998</v>
          </cell>
          <cell r="G2805">
            <v>42573</v>
          </cell>
        </row>
        <row r="2806">
          <cell r="C2806">
            <v>5067</v>
          </cell>
          <cell r="D2806" t="str">
            <v>Prvc. Suministro Y Tendido De Ducteria Conduit Pvc 3"</v>
          </cell>
          <cell r="E2806" t="str">
            <v>ML</v>
          </cell>
          <cell r="F2806">
            <v>33660.620000000003</v>
          </cell>
          <cell r="G2806">
            <v>42573</v>
          </cell>
        </row>
        <row r="2807">
          <cell r="C2807">
            <v>5069</v>
          </cell>
          <cell r="D2807" t="str">
            <v>Prvc. Canalizacion 0.30 X 0.50 En Zona Arena Recubierta En Concreto, Incluye: Excavacion, Compactado Con Material Del Sitio, Concreto Rojo Y Cinta De Seguridad</v>
          </cell>
          <cell r="E2807" t="str">
            <v>ML</v>
          </cell>
          <cell r="F2807">
            <v>37088.9</v>
          </cell>
          <cell r="G2807">
            <v>42573</v>
          </cell>
        </row>
        <row r="2808">
          <cell r="C2808">
            <v>5071</v>
          </cell>
          <cell r="D2808" t="str">
            <v>Prvc. Suministro Y Tendido De Ducteria Conduit Pvc 1 1/2"</v>
          </cell>
          <cell r="E2808" t="str">
            <v>ML</v>
          </cell>
          <cell r="F2808">
            <v>5463.51</v>
          </cell>
          <cell r="G2808">
            <v>42573</v>
          </cell>
        </row>
        <row r="2809">
          <cell r="C2809">
            <v>5078</v>
          </cell>
          <cell r="D2809" t="str">
            <v>Prvc. Canalizacion 0.30 X 0.50 En Zona Arena, Incluye: Excavacion, Compactado Con Material Del Sitio Y Cinta De Seguridad</v>
          </cell>
          <cell r="E2809" t="str">
            <v>ML</v>
          </cell>
          <cell r="F2809">
            <v>15164.44</v>
          </cell>
          <cell r="G2809">
            <v>42573</v>
          </cell>
        </row>
        <row r="2810">
          <cell r="C2810">
            <v>5084</v>
          </cell>
          <cell r="D2810" t="str">
            <v>Prvc. Suministro E Instalacion De Cable Thw Aluminio Aislado 90ºc-Awg 1/0</v>
          </cell>
          <cell r="E2810" t="str">
            <v>ML</v>
          </cell>
          <cell r="F2810">
            <v>8352.81</v>
          </cell>
          <cell r="G2810">
            <v>42573</v>
          </cell>
        </row>
        <row r="2811">
          <cell r="C2811">
            <v>5091</v>
          </cell>
          <cell r="D2811" t="str">
            <v>Prvc. Suministro E Instalacion De Cable Thw Aluminio Aislado 90ºc-Awg 2</v>
          </cell>
          <cell r="E2811" t="str">
            <v>ML</v>
          </cell>
          <cell r="F2811">
            <v>5298.49</v>
          </cell>
          <cell r="G2811">
            <v>42573</v>
          </cell>
        </row>
        <row r="2812">
          <cell r="C2812">
            <v>5135</v>
          </cell>
          <cell r="D2812" t="str">
            <v>Prvc. Suministro E Instalacion De Cable Thw Aluminio Aislado 90º C-Awg 6</v>
          </cell>
          <cell r="E2812" t="str">
            <v>ML</v>
          </cell>
          <cell r="F2812">
            <v>4261.25</v>
          </cell>
          <cell r="G2812">
            <v>42573</v>
          </cell>
        </row>
        <row r="2813">
          <cell r="C2813">
            <v>5137</v>
          </cell>
          <cell r="D2813" t="str">
            <v>Prvc. Sumiistro E Instalacion De Cable Thw Cobre Forrado 90ºc-Awg 10</v>
          </cell>
          <cell r="E2813" t="str">
            <v>ML</v>
          </cell>
          <cell r="F2813">
            <v>3622.42</v>
          </cell>
          <cell r="G2813">
            <v>42573</v>
          </cell>
        </row>
        <row r="2814">
          <cell r="C2814">
            <v>5139</v>
          </cell>
          <cell r="D2814" t="str">
            <v>Prvc. Suministro E Instalacion De Cable Thw Cobre Forrado 90ºc-Awg 1/0</v>
          </cell>
          <cell r="E2814" t="str">
            <v>ML</v>
          </cell>
          <cell r="F2814">
            <v>29590.86</v>
          </cell>
          <cell r="G2814">
            <v>42573</v>
          </cell>
        </row>
        <row r="2815">
          <cell r="C2815">
            <v>5141</v>
          </cell>
          <cell r="D2815" t="str">
            <v>Prvc. Suministro E Instalacion De Cable Encauchetado 3 X 14 Awg</v>
          </cell>
          <cell r="E2815" t="str">
            <v>ML</v>
          </cell>
          <cell r="F2815">
            <v>8734.7000000000007</v>
          </cell>
          <cell r="G2815">
            <v>42573</v>
          </cell>
        </row>
        <row r="2816">
          <cell r="C2816">
            <v>5145</v>
          </cell>
          <cell r="D2816" t="str">
            <v>Prvc. Retiro Posteria Y Cableado Existente En Todo El Proyecto</v>
          </cell>
          <cell r="E2816" t="str">
            <v>GL</v>
          </cell>
          <cell r="F2816">
            <v>45019814</v>
          </cell>
          <cell r="G2816">
            <v>42573</v>
          </cell>
        </row>
        <row r="2817">
          <cell r="C2817">
            <v>5146</v>
          </cell>
          <cell r="D2817" t="str">
            <v>Prvc. Construccion De Registro Tipo Alumbrado Publico En Concreto Dimension 0.60X0.60X0.60 Metros, Tapa En Angulo De Hierro De 1 1/2" X 3/16" Marco Galvanizado</v>
          </cell>
          <cell r="E2817" t="str">
            <v>UN</v>
          </cell>
          <cell r="F2817">
            <v>409478.85</v>
          </cell>
          <cell r="G2817">
            <v>42573</v>
          </cell>
        </row>
        <row r="2818">
          <cell r="C2818">
            <v>5155</v>
          </cell>
          <cell r="D2818" t="str">
            <v>Prvc. Construccion De Registro Tipo Baja Tension En Concreto Dimension 0.80X0.80X0.80 Metros</v>
          </cell>
          <cell r="E2818" t="str">
            <v>UN</v>
          </cell>
          <cell r="F2818">
            <v>601709.13</v>
          </cell>
          <cell r="G2818">
            <v>42573</v>
          </cell>
        </row>
        <row r="2819">
          <cell r="C2819">
            <v>5160</v>
          </cell>
          <cell r="D2819" t="str">
            <v>Prvc. Suministro E Instalacion De Varilla Polo A Tierra, Incluye Varilla, Conector</v>
          </cell>
          <cell r="E2819" t="str">
            <v>UN</v>
          </cell>
          <cell r="F2819">
            <v>236616.9</v>
          </cell>
          <cell r="G2819">
            <v>42573</v>
          </cell>
        </row>
        <row r="2820">
          <cell r="C2820">
            <v>5165</v>
          </cell>
          <cell r="D2820" t="str">
            <v>Prvc. Empalme Subterraneo De Baja Tension Acometida 2-1/0</v>
          </cell>
          <cell r="E2820" t="str">
            <v>UN</v>
          </cell>
          <cell r="F2820">
            <v>489396.19</v>
          </cell>
          <cell r="G2820">
            <v>42573</v>
          </cell>
        </row>
        <row r="2821">
          <cell r="C2821">
            <v>5174</v>
          </cell>
          <cell r="D2821" t="str">
            <v>Prvc. Empalme Subterraneo De Baja Tension Acometida 14-4</v>
          </cell>
          <cell r="E2821" t="str">
            <v>UN</v>
          </cell>
          <cell r="F2821">
            <v>215767.5</v>
          </cell>
          <cell r="G2821">
            <v>42573</v>
          </cell>
        </row>
        <row r="2822">
          <cell r="C2822">
            <v>5181</v>
          </cell>
          <cell r="D2822" t="str">
            <v>Prvc. Bajante De 2" Galvanizado Para Acometida Principal, Incluye Accesorios</v>
          </cell>
          <cell r="E2822" t="str">
            <v>UN</v>
          </cell>
          <cell r="F2822">
            <v>471095.47</v>
          </cell>
          <cell r="G2822">
            <v>42573</v>
          </cell>
        </row>
        <row r="2823">
          <cell r="C2823">
            <v>5184</v>
          </cell>
          <cell r="D2823" t="str">
            <v>Prvc. Suministro E Instalacion De Luminaria De Led 30 W, Incluye Pernos Y Fotocelda</v>
          </cell>
          <cell r="E2823" t="str">
            <v>UN</v>
          </cell>
          <cell r="F2823">
            <v>972399.64</v>
          </cell>
          <cell r="G2823">
            <v>42573</v>
          </cell>
        </row>
        <row r="2824">
          <cell r="C2824">
            <v>5186</v>
          </cell>
          <cell r="D2824" t="str">
            <v>Prvc. Suministro E Instalacion De Luminaria De Led 90 W, Incluye Brazo Ornamental De 2,50 Metros, Pernos Y Fotocelda</v>
          </cell>
          <cell r="E2824" t="str">
            <v>UN</v>
          </cell>
          <cell r="F2824">
            <v>2186597.4</v>
          </cell>
          <cell r="G2824">
            <v>42573</v>
          </cell>
        </row>
        <row r="2825">
          <cell r="C2825">
            <v>5188</v>
          </cell>
          <cell r="D2825" t="str">
            <v>Prvc. Suministro E Instalacion De Poste De Acero Galvanizado En Caliente De 7.00 Metros De Altura, Tronco Conico Poligonal, En Lamina De Acero, Acabado Final En Pintura De Esmalte Para Exteriores, Incluye Base De Concreto</v>
          </cell>
          <cell r="E2825" t="str">
            <v>UN</v>
          </cell>
          <cell r="F2825">
            <v>2277752.34</v>
          </cell>
          <cell r="G2825">
            <v>42573</v>
          </cell>
        </row>
        <row r="2826">
          <cell r="C2826">
            <v>5190</v>
          </cell>
          <cell r="D2826" t="str">
            <v>Pintura Bituminosa De Aluminio Para Cubierta  A Dos Manos</v>
          </cell>
          <cell r="E2826" t="str">
            <v>M2</v>
          </cell>
          <cell r="F2826">
            <v>10309.75</v>
          </cell>
          <cell r="G2826">
            <v>42473</v>
          </cell>
        </row>
        <row r="2827">
          <cell r="C2827">
            <v>5201</v>
          </cell>
          <cell r="D2827" t="str">
            <v>Prvc. Suministro E Instalacion De Transformador Monofasico De 25 Kva, Incluye Elementos De Proteccion, Accesorios Para Poste, Retie, Retilap Y Tramite Ante El Operador De Red</v>
          </cell>
          <cell r="E2827" t="str">
            <v>UN</v>
          </cell>
          <cell r="F2827">
            <v>9748487</v>
          </cell>
          <cell r="G2827">
            <v>42573</v>
          </cell>
        </row>
        <row r="2828">
          <cell r="C2828">
            <v>5202</v>
          </cell>
          <cell r="D2828" t="str">
            <v>Prvc. Suministro E Instalacion De Medidor Semidirecto, Incluye Tc, Protocolo, Bloque De Prueba, Cajas De Policarbonato</v>
          </cell>
          <cell r="E2828" t="str">
            <v>UN</v>
          </cell>
          <cell r="F2828">
            <v>4601948.82</v>
          </cell>
          <cell r="G2828">
            <v>42573</v>
          </cell>
        </row>
        <row r="2829">
          <cell r="C2829">
            <v>5215</v>
          </cell>
          <cell r="D2829" t="str">
            <v>Prvc. Certificación Pararrayo De Distribución</v>
          </cell>
          <cell r="E2829" t="str">
            <v>UN</v>
          </cell>
          <cell r="F2829">
            <v>31000</v>
          </cell>
          <cell r="G2829">
            <v>42474</v>
          </cell>
        </row>
        <row r="2830">
          <cell r="C2830">
            <v>5224</v>
          </cell>
          <cell r="D2830" t="str">
            <v>Prvc. Instalacion De Poste Hpv 1050 Kg 9M</v>
          </cell>
          <cell r="E2830" t="str">
            <v>UN</v>
          </cell>
          <cell r="F2830">
            <v>1284206.76</v>
          </cell>
          <cell r="G2830">
            <v>42573</v>
          </cell>
        </row>
        <row r="2831">
          <cell r="C2831">
            <v>5229</v>
          </cell>
          <cell r="D2831" t="str">
            <v>Prvc. Instalacion De Poste Hpc 800 Dan 12M</v>
          </cell>
          <cell r="E2831" t="str">
            <v>UN</v>
          </cell>
          <cell r="F2831">
            <v>2726791.92</v>
          </cell>
          <cell r="G2831">
            <v>42514</v>
          </cell>
        </row>
        <row r="2832">
          <cell r="C2832">
            <v>5231</v>
          </cell>
          <cell r="D2832" t="str">
            <v>Prvc. Instalacion De Poste Hpc 1250 Dan 12M</v>
          </cell>
          <cell r="E2832" t="str">
            <v>UN</v>
          </cell>
          <cell r="F2832">
            <v>5447630.7999999998</v>
          </cell>
          <cell r="G2832">
            <v>42573</v>
          </cell>
        </row>
        <row r="2833">
          <cell r="C2833">
            <v>5233</v>
          </cell>
          <cell r="D2833" t="str">
            <v>Prvc. Instalacion De Poste Hpc 800 Dan De 14M</v>
          </cell>
          <cell r="E2833" t="str">
            <v>UN</v>
          </cell>
          <cell r="F2833">
            <v>4772319.9800000004</v>
          </cell>
          <cell r="G2833">
            <v>42514</v>
          </cell>
        </row>
        <row r="2834">
          <cell r="C2834">
            <v>5235</v>
          </cell>
          <cell r="D2834" t="str">
            <v>Prvc. Cimentacion Monobloque Cilindrica P/ Apoyo 9 X 1050 Kgf</v>
          </cell>
          <cell r="E2834" t="str">
            <v>UN</v>
          </cell>
          <cell r="F2834">
            <v>329128.24</v>
          </cell>
          <cell r="G2834">
            <v>42573</v>
          </cell>
        </row>
        <row r="2835">
          <cell r="C2835">
            <v>5236</v>
          </cell>
          <cell r="D2835" t="str">
            <v>Prvc. Instalacion De Poste Hpv 750 Kg 12M</v>
          </cell>
          <cell r="E2835" t="str">
            <v>UN</v>
          </cell>
          <cell r="F2835">
            <v>1688801.24</v>
          </cell>
          <cell r="G2835">
            <v>42573</v>
          </cell>
        </row>
        <row r="2836">
          <cell r="C2836">
            <v>5238</v>
          </cell>
          <cell r="D2836" t="str">
            <v>Prvc. Cimentacion Monobloque Cilindrica P/ Apoyo 12 X 750 Kgf</v>
          </cell>
          <cell r="E2836" t="str">
            <v>UN</v>
          </cell>
          <cell r="F2836">
            <v>538251.63</v>
          </cell>
          <cell r="G2836">
            <v>42573</v>
          </cell>
        </row>
        <row r="2837">
          <cell r="C2837">
            <v>5247</v>
          </cell>
          <cell r="D2837" t="str">
            <v>Prvc. Cimentacion Monobloque Cilindrica P/ Apoyo 12 X 800 Dan</v>
          </cell>
          <cell r="E2837" t="str">
            <v>UN</v>
          </cell>
          <cell r="F2837">
            <v>900886.51</v>
          </cell>
          <cell r="G2837">
            <v>42514</v>
          </cell>
        </row>
        <row r="2838">
          <cell r="C2838">
            <v>5254</v>
          </cell>
          <cell r="D2838" t="str">
            <v>Prvc. Cimentacion Monobloque Cilindrica P/ Apoyo 12 X 1250 Dan</v>
          </cell>
          <cell r="E2838" t="str">
            <v>UN</v>
          </cell>
          <cell r="F2838">
            <v>1201182.01</v>
          </cell>
          <cell r="G2838">
            <v>42573</v>
          </cell>
        </row>
        <row r="2839">
          <cell r="C2839">
            <v>5260</v>
          </cell>
          <cell r="D2839" t="str">
            <v>Prvc. Cimentacion Monobloque Cilindrica P/ Apoyo 14 X 800 Dan</v>
          </cell>
          <cell r="E2839" t="str">
            <v>UN</v>
          </cell>
          <cell r="F2839">
            <v>547400.1</v>
          </cell>
          <cell r="G2839">
            <v>42514</v>
          </cell>
        </row>
        <row r="2840">
          <cell r="C2840">
            <v>5267</v>
          </cell>
          <cell r="D2840" t="str">
            <v>Prvc. Tendido De Linea Trif Conductor Aaac 123,3 Mcm - Azusa</v>
          </cell>
          <cell r="E2840" t="str">
            <v>ML</v>
          </cell>
          <cell r="F2840">
            <v>25200.04</v>
          </cell>
          <cell r="G2840">
            <v>42573</v>
          </cell>
        </row>
        <row r="2841">
          <cell r="C2841">
            <v>5270</v>
          </cell>
          <cell r="D2841" t="str">
            <v>Prvc. Tendido En Linea Bif Conductor Aaac 123,3 Mcm - Azusa</v>
          </cell>
          <cell r="E2841" t="str">
            <v>ML</v>
          </cell>
          <cell r="F2841">
            <v>12995.73</v>
          </cell>
          <cell r="G2841">
            <v>42573</v>
          </cell>
        </row>
        <row r="2842">
          <cell r="C2842">
            <v>5273</v>
          </cell>
          <cell r="D2842" t="str">
            <v>Prvc. Reubicación Paso Aéreo Subterraneo Bt</v>
          </cell>
          <cell r="E2842" t="str">
            <v>UN</v>
          </cell>
          <cell r="F2842">
            <v>88027.08</v>
          </cell>
          <cell r="G2842">
            <v>42573</v>
          </cell>
        </row>
        <row r="2843">
          <cell r="C2843">
            <v>5274</v>
          </cell>
          <cell r="D2843" t="str">
            <v>Prvc. Instalacion De Derivacion Trif Rigida Acsr 1/0-1/0 Awg Acsr S/N</v>
          </cell>
          <cell r="E2843" t="str">
            <v>UN</v>
          </cell>
          <cell r="F2843">
            <v>310531.15999999997</v>
          </cell>
          <cell r="G2843">
            <v>42573</v>
          </cell>
        </row>
        <row r="2844">
          <cell r="C2844">
            <v>5278</v>
          </cell>
          <cell r="D2844" t="str">
            <v>Prvc. Instalacion De Derivacion Bif Rigida Acsr 1/0-1/0 Awg Acsr S/N</v>
          </cell>
          <cell r="E2844" t="str">
            <v>UN</v>
          </cell>
          <cell r="F2844">
            <v>213075.93</v>
          </cell>
          <cell r="G2844">
            <v>42573</v>
          </cell>
        </row>
        <row r="2845">
          <cell r="C2845">
            <v>5281</v>
          </cell>
          <cell r="D2845" t="str">
            <v>Prvc. Tablero De Medida Bifásico Autosoportado 6 Medidores Monofásicos 3H</v>
          </cell>
          <cell r="E2845" t="str">
            <v>UN</v>
          </cell>
          <cell r="F2845">
            <v>6551026.6699999999</v>
          </cell>
          <cell r="G2845">
            <v>42573</v>
          </cell>
        </row>
        <row r="2846">
          <cell r="C2846">
            <v>5284</v>
          </cell>
          <cell r="D2846" t="str">
            <v>Prvc. Instalacion De Derivacion Trif Rigida Medio De Vano Acsr 1/0-Acsr 1/0</v>
          </cell>
          <cell r="E2846" t="str">
            <v>UN</v>
          </cell>
          <cell r="F2846">
            <v>328965.61</v>
          </cell>
          <cell r="G2846">
            <v>42573</v>
          </cell>
        </row>
        <row r="2847">
          <cell r="C2847">
            <v>5285</v>
          </cell>
          <cell r="D2847" t="str">
            <v>Prvc. Tablero De Medida Bifásico Autosoportado 12 Medidores Monofásicos 3H</v>
          </cell>
          <cell r="E2847" t="str">
            <v>UN</v>
          </cell>
          <cell r="F2847">
            <v>18957226.670000002</v>
          </cell>
          <cell r="G2847">
            <v>42573</v>
          </cell>
        </row>
        <row r="2848">
          <cell r="C2848">
            <v>5287</v>
          </cell>
          <cell r="D2848" t="str">
            <v>Prvc. Instalacion Derivacion Bif Rigida Medio De Vano Acsr 1/0-Acsr 1/0</v>
          </cell>
          <cell r="E2848" t="str">
            <v>UN</v>
          </cell>
          <cell r="F2848">
            <v>249826.79</v>
          </cell>
          <cell r="G2848">
            <v>42573</v>
          </cell>
        </row>
        <row r="2849">
          <cell r="C2849">
            <v>5288</v>
          </cell>
          <cell r="D2849" t="str">
            <v>Prvc. Tablero De Medida Trifásico Autosoportado 9 Medidores Monofásicos 3H</v>
          </cell>
          <cell r="E2849" t="str">
            <v>UN</v>
          </cell>
          <cell r="F2849">
            <v>12754126.67</v>
          </cell>
          <cell r="G2849">
            <v>42573</v>
          </cell>
        </row>
        <row r="2850">
          <cell r="C2850">
            <v>5289</v>
          </cell>
          <cell r="D2850" t="str">
            <v>Prvc. Desmonte De Poste De Hormigón De 6.00 A 10.00 Metros</v>
          </cell>
          <cell r="E2850" t="str">
            <v>UN</v>
          </cell>
          <cell r="F2850">
            <v>252082.2</v>
          </cell>
          <cell r="G2850">
            <v>42573</v>
          </cell>
        </row>
        <row r="2851">
          <cell r="C2851">
            <v>5292</v>
          </cell>
          <cell r="D2851" t="str">
            <v>Prvc. Instalacion De Conexion Amovible Completa P/ Acsr 1/0 Awg</v>
          </cell>
          <cell r="E2851" t="str">
            <v>UN</v>
          </cell>
          <cell r="F2851">
            <v>101598.53</v>
          </cell>
          <cell r="G2851">
            <v>42573</v>
          </cell>
        </row>
        <row r="2852">
          <cell r="C2852">
            <v>5294</v>
          </cell>
          <cell r="D2852" t="str">
            <v>Prvc. Desmonte De Poste De Hormigón De 11.00 A 12.00 Metros</v>
          </cell>
          <cell r="E2852" t="str">
            <v>UN</v>
          </cell>
          <cell r="F2852">
            <v>319351.71999999997</v>
          </cell>
          <cell r="G2852">
            <v>42573</v>
          </cell>
        </row>
        <row r="2853">
          <cell r="C2853">
            <v>5295</v>
          </cell>
          <cell r="D2853" t="str">
            <v>Prvc. Terminal Ext Contractil En Frio 15 Kv Cable 2</v>
          </cell>
          <cell r="E2853" t="str">
            <v>UN</v>
          </cell>
          <cell r="F2853">
            <v>333234.28000000003</v>
          </cell>
          <cell r="G2853">
            <v>42573</v>
          </cell>
        </row>
        <row r="2854">
          <cell r="C2854">
            <v>5298</v>
          </cell>
          <cell r="D2854" t="str">
            <v>Prvc. Puesta A Tierra C/ Anillo Cerrado En Poste Hormigon De 12 M Copper-Clad Steel</v>
          </cell>
          <cell r="E2854" t="str">
            <v>UN</v>
          </cell>
          <cell r="F2854">
            <v>412479.57</v>
          </cell>
          <cell r="G2854">
            <v>42573</v>
          </cell>
        </row>
        <row r="2855">
          <cell r="C2855">
            <v>5300</v>
          </cell>
          <cell r="D2855" t="str">
            <v>Prvc. Puesta A Tierra C/ Anillo Cerrado En Poste Hormigon De 14 M Copper-Clad Steel</v>
          </cell>
          <cell r="E2855" t="str">
            <v>UN</v>
          </cell>
          <cell r="F2855">
            <v>449269.73</v>
          </cell>
          <cell r="G2855">
            <v>42573</v>
          </cell>
        </row>
        <row r="2856">
          <cell r="C2856">
            <v>5302</v>
          </cell>
          <cell r="D2856" t="str">
            <v>Prvc. Instalacion De Aislador Tipo Poste 13.2 Kv Contaminacion Alta</v>
          </cell>
          <cell r="E2856" t="str">
            <v>UN</v>
          </cell>
          <cell r="F2856">
            <v>243065.41</v>
          </cell>
          <cell r="G2856">
            <v>42573</v>
          </cell>
        </row>
        <row r="2857">
          <cell r="C2857">
            <v>5304</v>
          </cell>
          <cell r="D2857" t="str">
            <v>Prvc. Instalacion De Cadena De Amarre 13.2 Kv Conductor T1 Cont Normal</v>
          </cell>
          <cell r="E2857" t="str">
            <v>UN</v>
          </cell>
          <cell r="F2857">
            <v>142367.29999999999</v>
          </cell>
          <cell r="G2857">
            <v>42573</v>
          </cell>
        </row>
        <row r="2858">
          <cell r="C2858">
            <v>5306</v>
          </cell>
          <cell r="D2858" t="str">
            <v>Prvc.Desmonte De Poste De Hormigón De 14.00 Metros</v>
          </cell>
          <cell r="E2858" t="str">
            <v>UN</v>
          </cell>
          <cell r="F2858">
            <v>360330.29</v>
          </cell>
          <cell r="G2858">
            <v>42573</v>
          </cell>
        </row>
        <row r="2859">
          <cell r="C2859">
            <v>5307</v>
          </cell>
          <cell r="D2859" t="str">
            <v>Prvc. Instalacion De Retencion Pref. "Z" Ais. 57/1-3 Acsr. 1/0</v>
          </cell>
          <cell r="E2859" t="str">
            <v>UN</v>
          </cell>
          <cell r="F2859">
            <v>33061.94</v>
          </cell>
          <cell r="G2859">
            <v>42573</v>
          </cell>
        </row>
        <row r="2860">
          <cell r="C2860">
            <v>5310</v>
          </cell>
          <cell r="D2860" t="str">
            <v>Prvc. Desmonte De Armado De M.T. De Disposición En Dos Crucetas</v>
          </cell>
          <cell r="E2860" t="str">
            <v>UN</v>
          </cell>
          <cell r="F2860">
            <v>66606.16</v>
          </cell>
          <cell r="G2860">
            <v>42573</v>
          </cell>
        </row>
        <row r="2861">
          <cell r="C2861">
            <v>5312</v>
          </cell>
          <cell r="D2861" t="str">
            <v>Prvc. Instalacion De Retencion Pref. "Omega Dob" Ais. 57/1-3 Acsr. 1/0</v>
          </cell>
          <cell r="E2861" t="str">
            <v>UN</v>
          </cell>
          <cell r="F2861">
            <v>36319.53</v>
          </cell>
          <cell r="G2861">
            <v>42573</v>
          </cell>
        </row>
        <row r="2862">
          <cell r="C2862">
            <v>5313</v>
          </cell>
          <cell r="D2862" t="str">
            <v>Prvc. Desmonte De Armado De M.T. De Disposición  En Una Cruceta</v>
          </cell>
          <cell r="E2862" t="str">
            <v>UN</v>
          </cell>
          <cell r="F2862">
            <v>30679.84</v>
          </cell>
          <cell r="G2862">
            <v>42573</v>
          </cell>
        </row>
        <row r="2863">
          <cell r="C2863">
            <v>5316</v>
          </cell>
          <cell r="D2863" t="str">
            <v>Prvc. Instalacion De Armado Trif Alineacion Disp Bandera 13.2 Kv</v>
          </cell>
          <cell r="E2863" t="str">
            <v>UN</v>
          </cell>
          <cell r="F2863">
            <v>490000.74</v>
          </cell>
          <cell r="G2863">
            <v>42573</v>
          </cell>
        </row>
        <row r="2864">
          <cell r="C2864">
            <v>5318</v>
          </cell>
          <cell r="D2864" t="str">
            <v>Prvc. Instalacion De Armado Trif Ang 5º A 20º/30º Disp Bandera 13.2 Kv</v>
          </cell>
          <cell r="E2864" t="str">
            <v>UN</v>
          </cell>
          <cell r="F2864">
            <v>948891.15</v>
          </cell>
          <cell r="G2864">
            <v>42573</v>
          </cell>
        </row>
        <row r="2865">
          <cell r="C2865">
            <v>5320</v>
          </cell>
          <cell r="D2865" t="str">
            <v>Piso En Cerámica Para Exterior Acabado Rústico</v>
          </cell>
          <cell r="E2865" t="str">
            <v>M2</v>
          </cell>
          <cell r="F2865">
            <v>66503.41</v>
          </cell>
          <cell r="G2865">
            <v>42478</v>
          </cell>
        </row>
        <row r="2866">
          <cell r="C2866">
            <v>5322</v>
          </cell>
          <cell r="D2866" t="str">
            <v>Prvc. Instalacion De Armado Trif Anclaje 30 A 60º Disp Bandera 13.2 Kv</v>
          </cell>
          <cell r="E2866" t="str">
            <v>UN</v>
          </cell>
          <cell r="F2866">
            <v>890918.97</v>
          </cell>
          <cell r="G2866">
            <v>42573</v>
          </cell>
        </row>
        <row r="2867">
          <cell r="C2867">
            <v>5323</v>
          </cell>
          <cell r="D2867" t="str">
            <v>Prvc. Instalacion De Armado Trif Fin De Linea Disp Bandera 13.2 Kv</v>
          </cell>
          <cell r="E2867" t="str">
            <v>UN</v>
          </cell>
          <cell r="F2867">
            <v>890918.97</v>
          </cell>
          <cell r="G2867">
            <v>42573</v>
          </cell>
        </row>
        <row r="2868">
          <cell r="C2868">
            <v>5324</v>
          </cell>
          <cell r="D2868" t="str">
            <v>Prvc. Instalacion De Armado Bif Alineacion Disp Bandera 13.2 Kv</v>
          </cell>
          <cell r="E2868" t="str">
            <v>UN</v>
          </cell>
          <cell r="F2868">
            <v>480338.71</v>
          </cell>
          <cell r="G2868">
            <v>42573</v>
          </cell>
        </row>
        <row r="2869">
          <cell r="C2869">
            <v>5325</v>
          </cell>
          <cell r="D2869" t="str">
            <v>Prvc. Desmonte De Línea Aérea M.T.Trifásica Calibre 4 A 4/0 Awg Y Equivalentes Mcm</v>
          </cell>
          <cell r="E2869" t="str">
            <v>ML</v>
          </cell>
          <cell r="F2869">
            <v>2785.15</v>
          </cell>
          <cell r="G2869">
            <v>42573</v>
          </cell>
        </row>
        <row r="2870">
          <cell r="C2870">
            <v>5327</v>
          </cell>
          <cell r="D2870" t="str">
            <v>Prvc. Desmonte De Línea Aérea M.T. Bifásica Calibre 4 A 4/0 Awg Y Equivalentes Mcm</v>
          </cell>
          <cell r="E2870" t="str">
            <v>ML</v>
          </cell>
          <cell r="F2870">
            <v>1895.64</v>
          </cell>
          <cell r="G2870">
            <v>42573</v>
          </cell>
        </row>
        <row r="2871">
          <cell r="C2871">
            <v>5329</v>
          </cell>
          <cell r="D2871" t="str">
            <v>Prvc. Instalacion De Armado Bif Ang 5º A 20º/30º Disp Bandera 13.2 Kv</v>
          </cell>
          <cell r="E2871" t="str">
            <v>UN</v>
          </cell>
          <cell r="F2871">
            <v>929567.09</v>
          </cell>
          <cell r="G2871">
            <v>42573</v>
          </cell>
        </row>
        <row r="2872">
          <cell r="C2872">
            <v>5330</v>
          </cell>
          <cell r="D2872" t="str">
            <v>Prvc. Retiro Puente De Línea Trifásico En Circuito M.T</v>
          </cell>
          <cell r="E2872" t="str">
            <v>UN</v>
          </cell>
          <cell r="F2872">
            <v>51104.32</v>
          </cell>
          <cell r="G2872">
            <v>42573</v>
          </cell>
        </row>
        <row r="2873">
          <cell r="C2873">
            <v>5332</v>
          </cell>
          <cell r="D2873" t="str">
            <v>Prvc. Retiro Puente De Línea En Medio De Vano Circuito Mt Trifásico</v>
          </cell>
          <cell r="E2873" t="str">
            <v>UN</v>
          </cell>
          <cell r="F2873">
            <v>165959.71</v>
          </cell>
          <cell r="G2873">
            <v>42573</v>
          </cell>
        </row>
        <row r="2874">
          <cell r="C2874">
            <v>5334</v>
          </cell>
          <cell r="D2874" t="str">
            <v>Prvc. Instalacion De Armado Bif Anclaje 30 A 60º Disp Bandera 13.2 Kv</v>
          </cell>
          <cell r="E2874" t="str">
            <v>UN</v>
          </cell>
          <cell r="F2874">
            <v>890918.97</v>
          </cell>
          <cell r="G2874">
            <v>42573</v>
          </cell>
        </row>
        <row r="2875">
          <cell r="C2875">
            <v>5335</v>
          </cell>
          <cell r="D2875" t="str">
            <v>Prvc. Retiro Puente De Línea Bifásico En Poste Circuito Mt</v>
          </cell>
          <cell r="E2875" t="str">
            <v>UN</v>
          </cell>
          <cell r="F2875">
            <v>35926.32</v>
          </cell>
          <cell r="G2875">
            <v>42573</v>
          </cell>
        </row>
        <row r="2876">
          <cell r="C2876">
            <v>5337</v>
          </cell>
          <cell r="D2876" t="str">
            <v>Prvc. Retiro De Puente De Línea En Medio De Vano Circuito Mt Bifásico</v>
          </cell>
          <cell r="E2876" t="str">
            <v>UN</v>
          </cell>
          <cell r="F2876">
            <v>150781.70000000001</v>
          </cell>
          <cell r="G2876">
            <v>42573</v>
          </cell>
        </row>
        <row r="2877">
          <cell r="C2877">
            <v>5338</v>
          </cell>
          <cell r="D2877" t="str">
            <v>Prvc. Instalacion De Armado Bif Fin De Linea Disp Bandera 13.2 Kv</v>
          </cell>
          <cell r="E2877" t="str">
            <v>UN</v>
          </cell>
          <cell r="F2877">
            <v>890918.97</v>
          </cell>
          <cell r="G2877">
            <v>42573</v>
          </cell>
        </row>
        <row r="2878">
          <cell r="C2878">
            <v>5340</v>
          </cell>
          <cell r="D2878" t="str">
            <v>Prvc. Desmontaje De Retenida Sencilla Primaria</v>
          </cell>
          <cell r="E2878" t="str">
            <v>UN</v>
          </cell>
          <cell r="F2878">
            <v>40935.19</v>
          </cell>
          <cell r="G2878">
            <v>42573</v>
          </cell>
        </row>
        <row r="2879">
          <cell r="C2879">
            <v>5342</v>
          </cell>
          <cell r="D2879" t="str">
            <v>Prvc. Instalacion De Trafo Mono En Poste Nn 13.2 Kv /120-240 V - 37.5 Kva Con Prot.</v>
          </cell>
          <cell r="E2879" t="str">
            <v>UN</v>
          </cell>
          <cell r="F2879">
            <v>8826464.3800000008</v>
          </cell>
          <cell r="G2879">
            <v>42573</v>
          </cell>
        </row>
        <row r="2880">
          <cell r="C2880">
            <v>5343</v>
          </cell>
          <cell r="D2880" t="str">
            <v>Prvc. Desmontaje De Retenida Secundaria</v>
          </cell>
          <cell r="E2880" t="str">
            <v>UN</v>
          </cell>
          <cell r="F2880">
            <v>36487.730000000003</v>
          </cell>
          <cell r="G2880">
            <v>42573</v>
          </cell>
        </row>
        <row r="2881">
          <cell r="C2881">
            <v>5345</v>
          </cell>
          <cell r="D2881" t="str">
            <v>Prvc. Desmontaje De Retenida Aérea Poste A Poste</v>
          </cell>
          <cell r="E2881" t="str">
            <v>UN</v>
          </cell>
          <cell r="F2881">
            <v>40935.19</v>
          </cell>
          <cell r="G2881">
            <v>42573</v>
          </cell>
        </row>
        <row r="2882">
          <cell r="C2882">
            <v>5346</v>
          </cell>
          <cell r="D2882" t="str">
            <v>Prvc. Desmonte Aislador Porc. Tipo Poste 13.2 Kv</v>
          </cell>
          <cell r="E2882" t="str">
            <v>UN</v>
          </cell>
          <cell r="F2882">
            <v>20424.48</v>
          </cell>
          <cell r="G2882">
            <v>42573</v>
          </cell>
        </row>
        <row r="2883">
          <cell r="C2883">
            <v>5348</v>
          </cell>
          <cell r="D2883" t="str">
            <v>Prcv. Desmonte De Cadena De Amarre Porc. Tres Discos 13.2 Kv</v>
          </cell>
          <cell r="E2883" t="str">
            <v>UN</v>
          </cell>
          <cell r="F2883">
            <v>20424.48</v>
          </cell>
          <cell r="G2883">
            <v>42573</v>
          </cell>
        </row>
        <row r="2884">
          <cell r="C2884">
            <v>5351</v>
          </cell>
          <cell r="D2884" t="str">
            <v>Prvc. Instalacion De Tres Cortacircuitos Nn Completo 13.2 Kv 100 A</v>
          </cell>
          <cell r="E2884" t="str">
            <v>UN</v>
          </cell>
          <cell r="F2884">
            <v>1037230.86</v>
          </cell>
          <cell r="G2884">
            <v>42573</v>
          </cell>
        </row>
        <row r="2885">
          <cell r="C2885">
            <v>5354</v>
          </cell>
          <cell r="D2885" t="str">
            <v>Prvc. Suplemento De Trabajo En Tensión Instalación De Poste De 12 A 14 Metros</v>
          </cell>
          <cell r="E2885" t="str">
            <v>UN</v>
          </cell>
          <cell r="F2885">
            <v>64418.52</v>
          </cell>
          <cell r="G2885">
            <v>42573</v>
          </cell>
        </row>
        <row r="2886">
          <cell r="C2886">
            <v>5356</v>
          </cell>
          <cell r="D2886" t="str">
            <v>Prvc. Instalacion De Dos Cortacircuitos Nn Completo 13.2 Kv 100 A</v>
          </cell>
          <cell r="E2886" t="str">
            <v>UN</v>
          </cell>
          <cell r="F2886">
            <v>691470.56</v>
          </cell>
          <cell r="G2886">
            <v>42573</v>
          </cell>
        </row>
        <row r="2887">
          <cell r="C2887">
            <v>5359</v>
          </cell>
          <cell r="D2887" t="str">
            <v>Prvc. Montaje De Tres Pararrayos 13.2 Kv Fijacion En Cruc. Met.</v>
          </cell>
          <cell r="E2887" t="str">
            <v>UN</v>
          </cell>
          <cell r="F2887">
            <v>653455.61</v>
          </cell>
          <cell r="G2887">
            <v>42573</v>
          </cell>
        </row>
        <row r="2888">
          <cell r="C2888">
            <v>5361</v>
          </cell>
          <cell r="D2888" t="str">
            <v>Prvc. Montaje De Dos Pararrayos 13.2 Kv Fijacion En Cruc. Met.</v>
          </cell>
          <cell r="E2888" t="str">
            <v>UN</v>
          </cell>
          <cell r="F2888">
            <v>460447.32</v>
          </cell>
          <cell r="G2888">
            <v>42573</v>
          </cell>
        </row>
        <row r="2889">
          <cell r="C2889">
            <v>5363</v>
          </cell>
          <cell r="D2889" t="str">
            <v>Prvc. Montaje Retenida Mt 3/8" En Poste Nn C/Poste Aux (Band Fin Linea)</v>
          </cell>
          <cell r="E2889" t="str">
            <v>UN</v>
          </cell>
          <cell r="F2889">
            <v>658171.78</v>
          </cell>
          <cell r="G2889">
            <v>42573</v>
          </cell>
        </row>
        <row r="2890">
          <cell r="C2890">
            <v>5365</v>
          </cell>
          <cell r="D2890" t="str">
            <v>Prvc. Construccion De Registro Sb 300 M.T. Tipo 1 - 1.3 M X 1.3 M X 1.6 M</v>
          </cell>
          <cell r="E2890" t="str">
            <v>UN</v>
          </cell>
          <cell r="F2890">
            <v>2806295.47</v>
          </cell>
          <cell r="G2890">
            <v>42573</v>
          </cell>
        </row>
        <row r="2891">
          <cell r="C2891">
            <v>5367</v>
          </cell>
          <cell r="D2891" t="str">
            <v>Prvc. Apertura O Cierre De Equip De Maniobra Mono O Trif</v>
          </cell>
          <cell r="E2891" t="str">
            <v>UN</v>
          </cell>
          <cell r="F2891">
            <v>7755</v>
          </cell>
          <cell r="G2891">
            <v>42573</v>
          </cell>
        </row>
        <row r="2892">
          <cell r="C2892">
            <v>5369</v>
          </cell>
          <cell r="D2892" t="str">
            <v>Prvc. Vano Retensado Lin (1F) 1/O A 4/0 Cu 4/0 A 477 Mcm Al Acsr</v>
          </cell>
          <cell r="E2892" t="str">
            <v>UN</v>
          </cell>
          <cell r="F2892">
            <v>37820.620000000003</v>
          </cell>
          <cell r="G2892">
            <v>42573</v>
          </cell>
        </row>
        <row r="2893">
          <cell r="C2893">
            <v>5372</v>
          </cell>
          <cell r="D2893" t="str">
            <v>Prvc. Suplemento De Trabajo En Tensión Cruceta Auxiliar De Protecciones</v>
          </cell>
          <cell r="E2893" t="str">
            <v>UN</v>
          </cell>
          <cell r="F2893">
            <v>36810.58</v>
          </cell>
          <cell r="G2893">
            <v>42573</v>
          </cell>
        </row>
        <row r="2894">
          <cell r="C2894">
            <v>5373</v>
          </cell>
          <cell r="D2894" t="str">
            <v>Prvc. Suplemento De Trabajo En Tensión Arm Simp Trif/Bif Alineación Disp Hor</v>
          </cell>
          <cell r="E2894" t="str">
            <v>UN</v>
          </cell>
          <cell r="F2894">
            <v>64418.52</v>
          </cell>
          <cell r="G2894">
            <v>42573</v>
          </cell>
        </row>
        <row r="2895">
          <cell r="C2895">
            <v>5374</v>
          </cell>
          <cell r="D2895" t="str">
            <v>Prvc. Puente Simp Conexion Bt Trafo Mono 2 Bornas Tipo Poste 25.50 Y 75 Kva</v>
          </cell>
          <cell r="E2895" t="str">
            <v>UN</v>
          </cell>
          <cell r="F2895">
            <v>155632.07999999999</v>
          </cell>
          <cell r="G2895">
            <v>42573</v>
          </cell>
        </row>
        <row r="2896">
          <cell r="C2896">
            <v>5375</v>
          </cell>
          <cell r="D2896" t="str">
            <v>Prvc. Suplemento De Trabajo En Tensión Arm Simp Trif/Bif Angulo Disp Hor</v>
          </cell>
          <cell r="E2896" t="str">
            <v>UN</v>
          </cell>
          <cell r="F2896">
            <v>64418.52</v>
          </cell>
          <cell r="G2896">
            <v>42573</v>
          </cell>
        </row>
        <row r="2897">
          <cell r="C2897">
            <v>5376</v>
          </cell>
          <cell r="D2897" t="str">
            <v>Prvc. Suplemento De Trabajo En Tensión Arm Simp Trif/Bif Anclaje Y Fin De Línea Disp Hor</v>
          </cell>
          <cell r="E2897" t="str">
            <v>UN</v>
          </cell>
          <cell r="F2897">
            <v>64418.52</v>
          </cell>
          <cell r="G2897">
            <v>42573</v>
          </cell>
        </row>
        <row r="2898">
          <cell r="C2898">
            <v>5377</v>
          </cell>
          <cell r="D2898" t="str">
            <v>Prvc. Suplemento De Trabajo En Tensión Vano Retensado Lin (1 F) 1/0 A 4/0 Cu 4/0 A 477Mcm Al, Acsr</v>
          </cell>
          <cell r="E2898" t="str">
            <v>UN</v>
          </cell>
          <cell r="F2898">
            <v>18405.29</v>
          </cell>
          <cell r="G2898">
            <v>42573</v>
          </cell>
        </row>
        <row r="2899">
          <cell r="C2899">
            <v>5378</v>
          </cell>
          <cell r="D2899" t="str">
            <v>Prvc. Suplemento De Trabajo En Tensión Cortacircuito Nn Completo 13.2 Kv 100 A</v>
          </cell>
          <cell r="E2899" t="str">
            <v>UN</v>
          </cell>
          <cell r="F2899">
            <v>46013.23</v>
          </cell>
          <cell r="G2899">
            <v>42573</v>
          </cell>
        </row>
        <row r="2900">
          <cell r="C2900">
            <v>5379</v>
          </cell>
          <cell r="D2900" t="str">
            <v>Prvc. Suplemento De Trabajo En Tensión Instalación De Aislador Tipo Poste</v>
          </cell>
          <cell r="E2900" t="str">
            <v>UN</v>
          </cell>
          <cell r="F2900">
            <v>36810.58</v>
          </cell>
          <cell r="G2900">
            <v>42573</v>
          </cell>
        </row>
        <row r="2901">
          <cell r="C2901">
            <v>5380</v>
          </cell>
          <cell r="D2901" t="str">
            <v>Prvc. Suplemento De Trabajo En Tensión Cadena De Amarre</v>
          </cell>
          <cell r="E2901" t="str">
            <v>UN</v>
          </cell>
          <cell r="F2901">
            <v>36810.58</v>
          </cell>
          <cell r="G2901">
            <v>42573</v>
          </cell>
        </row>
        <row r="2902">
          <cell r="C2902">
            <v>5382</v>
          </cell>
          <cell r="D2902" t="str">
            <v>Prvc. Suplemento De Trabajo En Tensión Instalación Puente De Línea Trifásico M.T.</v>
          </cell>
          <cell r="E2902" t="str">
            <v>UN</v>
          </cell>
          <cell r="F2902">
            <v>27607.94</v>
          </cell>
          <cell r="G2902">
            <v>42573</v>
          </cell>
        </row>
        <row r="2903">
          <cell r="C2903">
            <v>5383</v>
          </cell>
          <cell r="D2903" t="str">
            <v>Prvc. Tendido De Linea Trenzada Triplex 4/0</v>
          </cell>
          <cell r="E2903" t="str">
            <v>ML</v>
          </cell>
          <cell r="F2903">
            <v>45826.400000000001</v>
          </cell>
          <cell r="G2903">
            <v>42573</v>
          </cell>
        </row>
        <row r="2904">
          <cell r="C2904">
            <v>5384</v>
          </cell>
          <cell r="D2904" t="str">
            <v>Prvc. Suplemento De Trabajo En Tensión Instalación Puente De Línea Bifásico M.T.</v>
          </cell>
          <cell r="E2904" t="str">
            <v>UN</v>
          </cell>
          <cell r="F2904">
            <v>22086.35</v>
          </cell>
          <cell r="G2904">
            <v>42573</v>
          </cell>
        </row>
        <row r="2905">
          <cell r="C2905">
            <v>5385</v>
          </cell>
          <cell r="D2905" t="str">
            <v>Prvc. Suplemento De Trabajo En Tensión Instalación De Estribo Para Conector Amovible</v>
          </cell>
          <cell r="E2905" t="str">
            <v>UN</v>
          </cell>
          <cell r="F2905">
            <v>18405.29</v>
          </cell>
          <cell r="G2905">
            <v>42573</v>
          </cell>
        </row>
        <row r="2906">
          <cell r="C2906">
            <v>5387</v>
          </cell>
          <cell r="D2906" t="str">
            <v>Prvc. Suplemento De Trabajo En Tensión Desmontaje De Postes Mt</v>
          </cell>
          <cell r="E2906" t="str">
            <v>UN</v>
          </cell>
          <cell r="F2906">
            <v>64418.52</v>
          </cell>
          <cell r="G2906">
            <v>42573</v>
          </cell>
        </row>
        <row r="2907">
          <cell r="C2907">
            <v>5388</v>
          </cell>
          <cell r="D2907" t="str">
            <v>Prvc. Suplemento De Trabajo En Tensión Desm Arm En Cruceta Sencilla</v>
          </cell>
          <cell r="E2907" t="str">
            <v>UN</v>
          </cell>
          <cell r="F2907">
            <v>27607.94</v>
          </cell>
          <cell r="G2907">
            <v>42573</v>
          </cell>
        </row>
        <row r="2908">
          <cell r="C2908">
            <v>5389</v>
          </cell>
          <cell r="D2908" t="str">
            <v>Prvc. Suplemento De Trabajo En Tensión Desm Arm En Cruceta Doble</v>
          </cell>
          <cell r="E2908" t="str">
            <v>UN</v>
          </cell>
          <cell r="F2908">
            <v>27607.94</v>
          </cell>
          <cell r="G2908">
            <v>42573</v>
          </cell>
        </row>
        <row r="2909">
          <cell r="C2909">
            <v>5390</v>
          </cell>
          <cell r="D2909" t="str">
            <v>Prvc. Construccion Canalizacion C/ Un Tubo De 1" Diam En Lecho De Arena</v>
          </cell>
          <cell r="E2909" t="str">
            <v>ML</v>
          </cell>
          <cell r="F2909">
            <v>6464.19</v>
          </cell>
          <cell r="G2909">
            <v>42573</v>
          </cell>
        </row>
        <row r="2910">
          <cell r="C2910">
            <v>5391</v>
          </cell>
          <cell r="D2910" t="str">
            <v>Prvc. Supl Tet Desm. Seccionador Fusible O Pararrayo</v>
          </cell>
          <cell r="E2910" t="str">
            <v>UN</v>
          </cell>
          <cell r="F2910">
            <v>18405.29</v>
          </cell>
          <cell r="G2910">
            <v>42573</v>
          </cell>
        </row>
        <row r="2911">
          <cell r="C2911">
            <v>5393</v>
          </cell>
          <cell r="D2911" t="str">
            <v>Prvc. Suplemento De Trabajo En Tensión Reub Interruptor - Seccionador Trifásico</v>
          </cell>
          <cell r="E2911" t="str">
            <v>UN</v>
          </cell>
          <cell r="F2911">
            <v>102701.52</v>
          </cell>
          <cell r="G2911">
            <v>42573</v>
          </cell>
        </row>
        <row r="2912">
          <cell r="C2912">
            <v>5395</v>
          </cell>
          <cell r="D2912" t="str">
            <v>Prvc. Supl Tet Desm. Aisl Multipar O Tipo Poste</v>
          </cell>
          <cell r="E2912" t="str">
            <v>UN</v>
          </cell>
          <cell r="F2912">
            <v>27607.94</v>
          </cell>
          <cell r="G2912">
            <v>42573</v>
          </cell>
        </row>
        <row r="2913">
          <cell r="C2913">
            <v>5396</v>
          </cell>
          <cell r="D2913" t="str">
            <v>Prvc. Supl Tet Desm. Cadena De Amarre</v>
          </cell>
          <cell r="E2913" t="str">
            <v>UN</v>
          </cell>
          <cell r="F2913">
            <v>27607.94</v>
          </cell>
          <cell r="G2913">
            <v>42573</v>
          </cell>
        </row>
        <row r="2914">
          <cell r="C2914">
            <v>5397</v>
          </cell>
          <cell r="D2914" t="str">
            <v>Prvc. Certificación Retie</v>
          </cell>
          <cell r="E2914" t="str">
            <v>GL</v>
          </cell>
          <cell r="F2914">
            <v>96034771.790000007</v>
          </cell>
          <cell r="G2914">
            <v>42487</v>
          </cell>
        </row>
        <row r="2915">
          <cell r="C2915">
            <v>5398</v>
          </cell>
          <cell r="D2915" t="str">
            <v>Prvc. Certificación Retilap</v>
          </cell>
          <cell r="E2915" t="str">
            <v>GL</v>
          </cell>
          <cell r="F2915">
            <v>44015040</v>
          </cell>
          <cell r="G2915">
            <v>42487</v>
          </cell>
        </row>
        <row r="2916">
          <cell r="C2916">
            <v>5399</v>
          </cell>
          <cell r="D2916" t="str">
            <v>Gestiones Ante Electricaribe</v>
          </cell>
          <cell r="E2916" t="str">
            <v>GL</v>
          </cell>
          <cell r="F2916">
            <v>2900000</v>
          </cell>
          <cell r="G2916">
            <v>42578</v>
          </cell>
        </row>
        <row r="2917">
          <cell r="C2917">
            <v>5400</v>
          </cell>
          <cell r="D2917" t="str">
            <v>Prvc. Desmonte De Perchas De 1 Puesto</v>
          </cell>
          <cell r="E2917" t="str">
            <v>UN</v>
          </cell>
          <cell r="F2917">
            <v>15501.83</v>
          </cell>
          <cell r="G2917">
            <v>42573</v>
          </cell>
        </row>
        <row r="2918">
          <cell r="C2918">
            <v>5402</v>
          </cell>
          <cell r="D2918" t="str">
            <v>Prvc. Construccion Canalizacion C/ Dos Tubos De 1" Diam En Lecho De Arena</v>
          </cell>
          <cell r="E2918" t="str">
            <v>ML</v>
          </cell>
          <cell r="F2918">
            <v>11803.56</v>
          </cell>
          <cell r="G2918">
            <v>42573</v>
          </cell>
        </row>
        <row r="2919">
          <cell r="C2919">
            <v>5404</v>
          </cell>
          <cell r="D2919" t="str">
            <v>Prvc. Desmonte Percha De 3 Puestos</v>
          </cell>
          <cell r="E2919" t="str">
            <v>UN</v>
          </cell>
          <cell r="F2919">
            <v>35926.32</v>
          </cell>
          <cell r="G2919">
            <v>42573</v>
          </cell>
        </row>
        <row r="2920">
          <cell r="C2920">
            <v>5406</v>
          </cell>
          <cell r="D2920" t="str">
            <v>Prvc. Construccion Canalizacion C/ Tres Tubos De 1" Diam En Lecho De Arena</v>
          </cell>
          <cell r="E2920" t="str">
            <v>ML</v>
          </cell>
          <cell r="F2920">
            <v>17199.38</v>
          </cell>
          <cell r="G2920">
            <v>42573</v>
          </cell>
        </row>
        <row r="2921">
          <cell r="C2921">
            <v>5407</v>
          </cell>
          <cell r="D2921" t="str">
            <v>Prvc. Desmonte De Línea Bt (Rt) Triplex 2 A 4/0</v>
          </cell>
          <cell r="E2921" t="str">
            <v>UN</v>
          </cell>
          <cell r="F2921">
            <v>4119.38</v>
          </cell>
          <cell r="G2921">
            <v>42573</v>
          </cell>
        </row>
        <row r="2922">
          <cell r="C2922">
            <v>5410</v>
          </cell>
          <cell r="D2922" t="str">
            <v>Prvc. Desmonte De Línea Bt (Ra) 1 Hilo No. 4 A 1/0</v>
          </cell>
          <cell r="E2922" t="str">
            <v>UN</v>
          </cell>
          <cell r="F2922">
            <v>1006.78</v>
          </cell>
          <cell r="G2922">
            <v>42573</v>
          </cell>
        </row>
        <row r="2923">
          <cell r="C2923">
            <v>5411</v>
          </cell>
          <cell r="D2923" t="str">
            <v>Prvc. Construccion Canalizacion C/ Cuatro Tubos De 1" Diam En Lecho De Arena</v>
          </cell>
          <cell r="E2923" t="str">
            <v>ML</v>
          </cell>
          <cell r="F2923">
            <v>22704.03</v>
          </cell>
          <cell r="G2923">
            <v>42702</v>
          </cell>
        </row>
        <row r="2924">
          <cell r="C2924">
            <v>5413</v>
          </cell>
          <cell r="D2924" t="str">
            <v>Prvc. Desm. Caja Deriv Acomet Trif</v>
          </cell>
          <cell r="E2924" t="str">
            <v>UN</v>
          </cell>
          <cell r="F2924">
            <v>67619.88</v>
          </cell>
          <cell r="G2924">
            <v>42573</v>
          </cell>
        </row>
        <row r="2925">
          <cell r="C2925">
            <v>5416</v>
          </cell>
          <cell r="D2925" t="str">
            <v>Prvc. Retiro De Luminaria Ap</v>
          </cell>
          <cell r="E2925" t="str">
            <v>UN</v>
          </cell>
          <cell r="F2925">
            <v>26232.39</v>
          </cell>
          <cell r="G2925">
            <v>42573</v>
          </cell>
        </row>
        <row r="2926">
          <cell r="C2926">
            <v>5418</v>
          </cell>
          <cell r="D2926" t="str">
            <v>Prvc. Construccion Canalizacion C/ Cinco Tubos De 1" Diam En Lecho De Arena</v>
          </cell>
          <cell r="E2926" t="str">
            <v>ML</v>
          </cell>
          <cell r="F2926">
            <v>30648.61</v>
          </cell>
          <cell r="G2926">
            <v>42573</v>
          </cell>
        </row>
        <row r="2927">
          <cell r="C2927">
            <v>5420</v>
          </cell>
          <cell r="D2927" t="str">
            <v>Prvc. Construccion Canalizacion C/ Seis Tubos De 1" Diam En Lecho De Arena</v>
          </cell>
          <cell r="E2927" t="str">
            <v>ML</v>
          </cell>
          <cell r="F2927">
            <v>36252.32</v>
          </cell>
          <cell r="G2927">
            <v>42573</v>
          </cell>
        </row>
        <row r="2928">
          <cell r="C2928">
            <v>5422</v>
          </cell>
          <cell r="D2928" t="str">
            <v>Prvc. Construccion Canalizacion C/ Siete Tubos De 1" Diam En Lecho De Arena</v>
          </cell>
          <cell r="E2928" t="str">
            <v>ML</v>
          </cell>
          <cell r="F2928">
            <v>42064.97</v>
          </cell>
          <cell r="G2928">
            <v>42573</v>
          </cell>
        </row>
        <row r="2929">
          <cell r="C2929">
            <v>5424</v>
          </cell>
          <cell r="D2929" t="str">
            <v>Prvc. Construccion Canalizacion C/ Ocho Tubos De 1" Diam En Lecho De Arena</v>
          </cell>
          <cell r="E2929" t="str">
            <v>ML</v>
          </cell>
          <cell r="F2929">
            <v>48163.6</v>
          </cell>
          <cell r="G2929">
            <v>42573</v>
          </cell>
        </row>
        <row r="2930">
          <cell r="C2930">
            <v>5426</v>
          </cell>
          <cell r="D2930" t="str">
            <v>Prvc. Contruccion Canalizacion C/ Nueve Tubos De 1" Diam En Lecho De Arena</v>
          </cell>
          <cell r="E2930" t="str">
            <v>ML</v>
          </cell>
          <cell r="F2930">
            <v>54647.15</v>
          </cell>
          <cell r="G2930">
            <v>42514</v>
          </cell>
        </row>
        <row r="2931">
          <cell r="C2931">
            <v>5428</v>
          </cell>
          <cell r="D2931" t="str">
            <v>Prvc. Construccion Canalizacion C/ Diez Tubos De 1" Diam En Lecho De Arena</v>
          </cell>
          <cell r="E2931" t="str">
            <v>ML</v>
          </cell>
          <cell r="F2931">
            <v>61930.61</v>
          </cell>
          <cell r="G2931">
            <v>42514</v>
          </cell>
        </row>
        <row r="2932">
          <cell r="C2932">
            <v>5430</v>
          </cell>
          <cell r="D2932" t="str">
            <v>Prvc. Construccion Canalizacion C/ Once Tubos De 1" Diam En Lecho De Arena</v>
          </cell>
          <cell r="E2932" t="str">
            <v>ML</v>
          </cell>
          <cell r="F2932">
            <v>69578.55</v>
          </cell>
          <cell r="G2932">
            <v>42514</v>
          </cell>
        </row>
        <row r="2933">
          <cell r="C2933">
            <v>5432</v>
          </cell>
          <cell r="D2933" t="str">
            <v>Prvc. Construccion Canalizacion C/ Doce Tubos De 1" Diam En Lecho De Arena</v>
          </cell>
          <cell r="E2933" t="str">
            <v>ML</v>
          </cell>
          <cell r="F2933">
            <v>77531.77</v>
          </cell>
          <cell r="G2933">
            <v>42514</v>
          </cell>
        </row>
        <row r="2934">
          <cell r="C2934">
            <v>5434</v>
          </cell>
          <cell r="D2934" t="str">
            <v>Prvc. Instalacion Paso Aereo Subterraneo Bt En Poste Tuberia De 4"</v>
          </cell>
          <cell r="E2934" t="str">
            <v>UN</v>
          </cell>
          <cell r="F2934">
            <v>626222.62</v>
          </cell>
          <cell r="G2934">
            <v>42573</v>
          </cell>
        </row>
        <row r="2935">
          <cell r="C2935">
            <v>5436</v>
          </cell>
          <cell r="D2935" t="str">
            <v>Prvc. Construccion Registro Con Tapa De 0.6 X 0.6 X 0.6 Metros En Mamposteria</v>
          </cell>
          <cell r="E2935" t="str">
            <v>UN</v>
          </cell>
          <cell r="F2935">
            <v>631103.42000000004</v>
          </cell>
          <cell r="G2935">
            <v>42573</v>
          </cell>
        </row>
        <row r="2936">
          <cell r="C2936">
            <v>5438</v>
          </cell>
          <cell r="D2936" t="str">
            <v>Prvc. Construccion Registro Con Tapa De 0.8 X 0.8 X 0.8 Metros En Mamposteria</v>
          </cell>
          <cell r="E2936" t="str">
            <v>UN</v>
          </cell>
          <cell r="F2936">
            <v>834106.15</v>
          </cell>
          <cell r="G2936">
            <v>42573</v>
          </cell>
        </row>
        <row r="2937">
          <cell r="C2937">
            <v>5440</v>
          </cell>
          <cell r="D2937" t="str">
            <v>Prvc. Instalacion De Acometida 2X8+8 Awg Polietileno Xlpe 90</v>
          </cell>
          <cell r="E2937" t="str">
            <v>UN</v>
          </cell>
          <cell r="F2937">
            <v>333337.48</v>
          </cell>
          <cell r="G2937">
            <v>42573</v>
          </cell>
        </row>
        <row r="2938">
          <cell r="C2938">
            <v>5442</v>
          </cell>
          <cell r="D2938" t="str">
            <v>Prvc. Construccion De Carcamo De Baja Tension</v>
          </cell>
          <cell r="E2938" t="str">
            <v>ML</v>
          </cell>
          <cell r="F2938">
            <v>191858.35</v>
          </cell>
          <cell r="G2938">
            <v>42573</v>
          </cell>
        </row>
        <row r="2939">
          <cell r="C2939">
            <v>5443</v>
          </cell>
          <cell r="D2939" t="str">
            <v>Prvc. Elaboración De Topo 3" Para Cruce De Pavimento. Incluye Compresor</v>
          </cell>
          <cell r="E2939" t="str">
            <v>UN</v>
          </cell>
          <cell r="F2939">
            <v>156975</v>
          </cell>
          <cell r="G2939">
            <v>42572</v>
          </cell>
        </row>
        <row r="2940">
          <cell r="C2940">
            <v>5446</v>
          </cell>
          <cell r="D2940" t="str">
            <v>Prvc. Instalacion De Tuberia Emt Coduit De 3/4"</v>
          </cell>
          <cell r="E2940" t="str">
            <v>ML</v>
          </cell>
          <cell r="F2940">
            <v>12572.22</v>
          </cell>
          <cell r="G2940">
            <v>42573</v>
          </cell>
        </row>
        <row r="2941">
          <cell r="C2941">
            <v>5448</v>
          </cell>
          <cell r="D2941" t="str">
            <v>Prvc. Corte, Demolición, Resane Con Concreto De 3000 Psi De Andén, Para Instalación De Tubería</v>
          </cell>
          <cell r="E2941" t="str">
            <v>ML</v>
          </cell>
          <cell r="F2941">
            <v>78725.06</v>
          </cell>
          <cell r="G2941">
            <v>42480</v>
          </cell>
        </row>
        <row r="2942">
          <cell r="C2942">
            <v>5449</v>
          </cell>
          <cell r="D2942" t="str">
            <v>Prvc. Tramite Retilap Para Transformador Monofásico De 25 Kva</v>
          </cell>
          <cell r="E2942" t="str">
            <v>UN</v>
          </cell>
          <cell r="F2942">
            <v>6993480</v>
          </cell>
          <cell r="G2942">
            <v>42572</v>
          </cell>
        </row>
        <row r="2943">
          <cell r="C2943">
            <v>5450</v>
          </cell>
          <cell r="D2943" t="str">
            <v>Prvc. Tramite Retie Para Transformador Monofásico De 25 Kva</v>
          </cell>
          <cell r="E2943" t="str">
            <v>UN</v>
          </cell>
          <cell r="F2943">
            <v>1857500</v>
          </cell>
          <cell r="G2943">
            <v>42572</v>
          </cell>
        </row>
        <row r="2944">
          <cell r="C2944">
            <v>5451</v>
          </cell>
          <cell r="D2944" t="str">
            <v>Prvc. Tramite Ante Electricaribe  Para Transformador Monofásico De 25 Kva</v>
          </cell>
          <cell r="E2944" t="str">
            <v>UN</v>
          </cell>
          <cell r="F2944">
            <v>2980000</v>
          </cell>
          <cell r="G2944">
            <v>42572</v>
          </cell>
        </row>
        <row r="2945">
          <cell r="C2945">
            <v>5452</v>
          </cell>
          <cell r="D2945" t="str">
            <v>Prvc. Reubicacion De Trafo Trifasico 13.2 Kv En Poste Nn</v>
          </cell>
          <cell r="E2945" t="str">
            <v>UN</v>
          </cell>
          <cell r="F2945">
            <v>1009433.94</v>
          </cell>
          <cell r="G2945">
            <v>42573</v>
          </cell>
        </row>
        <row r="2946">
          <cell r="C2946">
            <v>5454</v>
          </cell>
          <cell r="D2946" t="str">
            <v>Prvc. Reub. Interruptor/Reconectador/Autoseccionador Trif 13.2 Kv</v>
          </cell>
          <cell r="E2946" t="str">
            <v>UN</v>
          </cell>
          <cell r="F2946">
            <v>771866.33</v>
          </cell>
          <cell r="G2946">
            <v>42573</v>
          </cell>
        </row>
        <row r="2947">
          <cell r="C2947">
            <v>5456</v>
          </cell>
          <cell r="D2947" t="str">
            <v>Prvc. Reubicacion De Trafo Mono 13.2 Kv En Poste Nn</v>
          </cell>
          <cell r="E2947" t="str">
            <v>UN</v>
          </cell>
          <cell r="F2947">
            <v>812274.91</v>
          </cell>
          <cell r="G2947">
            <v>42573</v>
          </cell>
        </row>
        <row r="2948">
          <cell r="C2948">
            <v>5458</v>
          </cell>
          <cell r="D2948" t="str">
            <v>Prvc. Reubicacion Paso Aereo Subterraneo Mt</v>
          </cell>
          <cell r="E2948" t="str">
            <v>UN</v>
          </cell>
          <cell r="F2948">
            <v>594148.61</v>
          </cell>
          <cell r="G2948">
            <v>42573</v>
          </cell>
        </row>
        <row r="2949">
          <cell r="C2949">
            <v>5460</v>
          </cell>
          <cell r="D2949" t="str">
            <v>Prvc. Reub. De Equipo De Medida Indirecta</v>
          </cell>
          <cell r="E2949" t="str">
            <v>UN</v>
          </cell>
          <cell r="F2949">
            <v>1010920.1</v>
          </cell>
          <cell r="G2949">
            <v>42573</v>
          </cell>
        </row>
        <row r="2950">
          <cell r="C2950">
            <v>5462</v>
          </cell>
          <cell r="D2950" t="str">
            <v>Suministro E Instalacion De Bolardo Metalico (Ver Diseño)</v>
          </cell>
          <cell r="E2950" t="str">
            <v>UN</v>
          </cell>
          <cell r="F2950">
            <v>211833.16</v>
          </cell>
          <cell r="G2950">
            <v>42514</v>
          </cell>
        </row>
        <row r="2951">
          <cell r="C2951">
            <v>5463</v>
          </cell>
          <cell r="D2951" t="str">
            <v>Prvc. Suministro De Reducción De 1600 X 1700 Mm, Sn 2500, Incluye Unión Y Transporte</v>
          </cell>
          <cell r="E2951" t="str">
            <v>UN</v>
          </cell>
          <cell r="F2951">
            <v>6430000</v>
          </cell>
          <cell r="G2951">
            <v>42556</v>
          </cell>
        </row>
        <row r="2952">
          <cell r="C2952">
            <v>5464</v>
          </cell>
          <cell r="D2952" t="str">
            <v>Prvc. Instalación De Reducción De 1600 X 1700 Mm Pn 1 Sn 2500</v>
          </cell>
          <cell r="E2952" t="str">
            <v>UN</v>
          </cell>
          <cell r="F2952">
            <v>783367</v>
          </cell>
          <cell r="G2952">
            <v>42556</v>
          </cell>
        </row>
        <row r="2953">
          <cell r="C2953">
            <v>5465</v>
          </cell>
          <cell r="D2953" t="str">
            <v>Provisiones Para El Suministro E Instalacion De Juegos Infantiles Para Niños Entre Edades De 5 A 12 Años, Para El Mejoramiento Y Construccion De Parques Publicos, Canchas, Zonas Verdes Y Boulevares Fase Iv (Ver Diseño)</v>
          </cell>
          <cell r="E2953" t="str">
            <v>GL</v>
          </cell>
          <cell r="F2953">
            <v>700000000</v>
          </cell>
          <cell r="G2953">
            <v>42487</v>
          </cell>
        </row>
        <row r="2954">
          <cell r="C2954">
            <v>5466</v>
          </cell>
          <cell r="D2954" t="str">
            <v>Provisiones Para El Suministro E Instalacion De Juegos Infantiles Para Niños Entre Edades De 0 A 5 Años, Para El Mejoramiento Y Construccion De Parques Publicos, Canchas, Zonas Verdes Y Boulevares Fase Iv (Ver Diseño)</v>
          </cell>
          <cell r="E2954" t="str">
            <v>GL</v>
          </cell>
          <cell r="F2954">
            <v>250000000</v>
          </cell>
          <cell r="G2954">
            <v>42487</v>
          </cell>
        </row>
        <row r="2955">
          <cell r="C2955">
            <v>5467</v>
          </cell>
          <cell r="D2955" t="str">
            <v>Provisiones Para El Diseño, Suministro E Instalacion De Iluminacion, Para El Mejoramiento Y Construccion De Parques Publicos, Canchas, Zonas Verdes Y Boulevares Fase Iv (Ver Diseño)</v>
          </cell>
          <cell r="E2955" t="str">
            <v>GL</v>
          </cell>
          <cell r="F2955">
            <v>2857974400</v>
          </cell>
          <cell r="G2955">
            <v>42487</v>
          </cell>
        </row>
        <row r="2956">
          <cell r="C2956">
            <v>5468</v>
          </cell>
          <cell r="D2956" t="str">
            <v>Provision De Iluminacion Especial Con Colores Y Sonido (Ver Diseño)</v>
          </cell>
          <cell r="E2956" t="str">
            <v>GL</v>
          </cell>
          <cell r="F2956">
            <v>80000000</v>
          </cell>
          <cell r="G2956">
            <v>42487</v>
          </cell>
        </row>
        <row r="2957">
          <cell r="C2957">
            <v>5469</v>
          </cell>
          <cell r="D2957" t="str">
            <v>Malla Cal. 10 Forrada En Pvc En Tuberia Galvanizada De 2" Y Tuberia Galvanizada De 1" Parte Superior E Inferior, Incluye Pintura Del Cerramiento En Anticorrosivo Y Esmalte Color.</v>
          </cell>
          <cell r="E2957" t="str">
            <v>M2</v>
          </cell>
          <cell r="F2957">
            <v>60837.47</v>
          </cell>
          <cell r="G2957">
            <v>42514</v>
          </cell>
        </row>
        <row r="2958">
          <cell r="C2958">
            <v>5470</v>
          </cell>
          <cell r="D2958" t="str">
            <v>Prvc. Tendido De Línea Trif Conductor Aaac 559,5 Mcm (Darien)</v>
          </cell>
          <cell r="E2958" t="str">
            <v>ML</v>
          </cell>
          <cell r="F2958">
            <v>78878.86</v>
          </cell>
          <cell r="G2958">
            <v>42573</v>
          </cell>
        </row>
        <row r="2959">
          <cell r="C2959">
            <v>5471</v>
          </cell>
          <cell r="D2959" t="str">
            <v>Prvc. Instalación De Derivación Trif Rígida Acsr 477- Acsr 1/0</v>
          </cell>
          <cell r="E2959" t="str">
            <v>UN</v>
          </cell>
          <cell r="F2959">
            <v>580598.06999999995</v>
          </cell>
          <cell r="G2959">
            <v>42573</v>
          </cell>
        </row>
        <row r="2960">
          <cell r="C2960">
            <v>5472</v>
          </cell>
          <cell r="D2960" t="str">
            <v>Prvc. Instalación Cadena De Amarre 13.2 Kv Conductor T5 Cont Alta</v>
          </cell>
          <cell r="E2960" t="str">
            <v>UN</v>
          </cell>
          <cell r="F2960">
            <v>254882.05</v>
          </cell>
          <cell r="G2960">
            <v>42573</v>
          </cell>
        </row>
        <row r="2961">
          <cell r="C2961">
            <v>5473</v>
          </cell>
          <cell r="D2961" t="str">
            <v>Prvc. Instalación De Retención Pref. "Z" Ais 57/1 - 3 Acsr 447</v>
          </cell>
          <cell r="E2961" t="str">
            <v>UN</v>
          </cell>
          <cell r="F2961">
            <v>50130</v>
          </cell>
          <cell r="G2961">
            <v>42573</v>
          </cell>
        </row>
        <row r="2962">
          <cell r="C2962">
            <v>5474</v>
          </cell>
          <cell r="D2962" t="str">
            <v>Prvc. Instalación De Retención Pref. "Omega Dob" Ais 57/1 - 3 Acsr 477</v>
          </cell>
          <cell r="E2962" t="str">
            <v>UN</v>
          </cell>
          <cell r="F2962">
            <v>52229.02</v>
          </cell>
          <cell r="G2962">
            <v>42573</v>
          </cell>
        </row>
        <row r="2963">
          <cell r="C2963">
            <v>5475</v>
          </cell>
          <cell r="D2963" t="str">
            <v>Prvc. Reubicación De Medidor Monofásico De Medida Directa</v>
          </cell>
          <cell r="E2963" t="str">
            <v>UN</v>
          </cell>
          <cell r="F2963">
            <v>59485.32</v>
          </cell>
          <cell r="G2963">
            <v>42573</v>
          </cell>
        </row>
        <row r="2964">
          <cell r="C2964">
            <v>5476</v>
          </cell>
          <cell r="D2964" t="str">
            <v>Prvc. Reubicación De Equipo De Medida Semidirecta</v>
          </cell>
          <cell r="E2964" t="str">
            <v>UN</v>
          </cell>
          <cell r="F2964">
            <v>419306.13</v>
          </cell>
          <cell r="G2964">
            <v>42573</v>
          </cell>
        </row>
        <row r="2965">
          <cell r="C2965">
            <v>5477</v>
          </cell>
          <cell r="D2965" t="str">
            <v>Prvc. Certificación Retie</v>
          </cell>
          <cell r="E2965" t="str">
            <v>GL</v>
          </cell>
          <cell r="F2965">
            <v>34128433.5</v>
          </cell>
          <cell r="G2965">
            <v>42592</v>
          </cell>
        </row>
        <row r="2966">
          <cell r="C2966">
            <v>5478</v>
          </cell>
          <cell r="D2966" t="str">
            <v>Prvc. Certificación Retilap</v>
          </cell>
          <cell r="E2966" t="str">
            <v>GL</v>
          </cell>
          <cell r="F2966">
            <v>20712960</v>
          </cell>
          <cell r="G2966">
            <v>42592</v>
          </cell>
        </row>
        <row r="2967">
          <cell r="C2967">
            <v>5479</v>
          </cell>
          <cell r="D2967" t="str">
            <v>Prvc. Gestiones Ante Electricaribe</v>
          </cell>
          <cell r="E2967" t="str">
            <v>GL</v>
          </cell>
          <cell r="F2967">
            <v>8525000</v>
          </cell>
          <cell r="G2967">
            <v>42572</v>
          </cell>
        </row>
        <row r="2968">
          <cell r="C2968">
            <v>5486</v>
          </cell>
          <cell r="D2968" t="str">
            <v>Suministro E Instalacion De Cerramiento En Paneles De Malla Electrosoldada Galvanizada Con Aleacion De Aluminio 90/10 Recubierto Con Pintura Electrostatica En Resina De Poliester, Altura 2.40 Metros.</v>
          </cell>
          <cell r="E2968" t="str">
            <v>M2</v>
          </cell>
          <cell r="F2968">
            <v>110518.19</v>
          </cell>
          <cell r="G2968">
            <v>42496</v>
          </cell>
        </row>
        <row r="2969">
          <cell r="C2969">
            <v>5489</v>
          </cell>
          <cell r="D2969" t="str">
            <v>Suministro E Instalacion De Cerramiento En Paneles De Malla Electrosoldada Galvanizada Con Aleacion De Aluminio 90/10 Recubierto Con Pintura Electrostatica En Resina De Poliester, Altura 2.10 Metros</v>
          </cell>
          <cell r="E2969" t="str">
            <v>M2</v>
          </cell>
          <cell r="F2969">
            <v>123248.16</v>
          </cell>
          <cell r="G2969">
            <v>42496</v>
          </cell>
        </row>
        <row r="2970">
          <cell r="C2970">
            <v>5492</v>
          </cell>
          <cell r="D2970" t="str">
            <v>Suministro E Instalacion De Cerramiento En Paneles De Malla Electrosoldada Galvanizada Con Aleacion De Aluminio 90/10 Recubierto Con Pintura Electrostatica En Resina De Poliester, Altura 1.00 Metro, Para Cerramiento De Zona De Juegos Infantiles</v>
          </cell>
          <cell r="E2970" t="str">
            <v>ML</v>
          </cell>
          <cell r="F2970">
            <v>123011.93</v>
          </cell>
          <cell r="G2970">
            <v>42496</v>
          </cell>
        </row>
        <row r="2971">
          <cell r="C2971">
            <v>5493</v>
          </cell>
          <cell r="D2971" t="str">
            <v>Prvc. Certificación Retie</v>
          </cell>
          <cell r="E2971" t="str">
            <v>GL</v>
          </cell>
          <cell r="F2971">
            <v>64127647.799999997</v>
          </cell>
          <cell r="G2971">
            <v>42487</v>
          </cell>
        </row>
        <row r="2972">
          <cell r="C2972">
            <v>5494</v>
          </cell>
          <cell r="D2972" t="str">
            <v>Prvc. Certificación Retilap</v>
          </cell>
          <cell r="E2972" t="str">
            <v>GL</v>
          </cell>
          <cell r="F2972">
            <v>34737360</v>
          </cell>
          <cell r="G2972">
            <v>42487</v>
          </cell>
        </row>
        <row r="2973">
          <cell r="C2973">
            <v>5495</v>
          </cell>
          <cell r="D2973" t="str">
            <v>Prvc. Gestiones Ante Electricaribe</v>
          </cell>
          <cell r="E2973" t="str">
            <v>GL</v>
          </cell>
          <cell r="F2973">
            <v>9803721.2400000002</v>
          </cell>
          <cell r="G2973">
            <v>42487</v>
          </cell>
        </row>
        <row r="2974">
          <cell r="C2974">
            <v>5498</v>
          </cell>
          <cell r="D2974" t="str">
            <v>Revisión, Cambio, Anclaje De Tubería Eléctrica Conduit Existente, Incluye Curvas, Uniones</v>
          </cell>
          <cell r="E2974" t="str">
            <v>GL</v>
          </cell>
          <cell r="F2974">
            <v>900000</v>
          </cell>
          <cell r="G2974">
            <v>42488</v>
          </cell>
        </row>
        <row r="2975">
          <cell r="C2975">
            <v>5501</v>
          </cell>
          <cell r="D2975" t="str">
            <v>Suministro E Instalación De Cubierta En Lámina Trapezoidal De Aluminio (6.00 X 0.050), Incluye Ganchos De Fijación De Aluminio Completo De 6" Tor Esp 1/4"</v>
          </cell>
          <cell r="E2975" t="str">
            <v>M2</v>
          </cell>
          <cell r="F2975">
            <v>43957.69</v>
          </cell>
          <cell r="G2975">
            <v>42489</v>
          </cell>
        </row>
        <row r="2976">
          <cell r="C2976">
            <v>5502</v>
          </cell>
          <cell r="D2976" t="str">
            <v>Suministro E Instalación De Lampara De Empotrar At - Down - 30W Cw White 100 - 277V</v>
          </cell>
          <cell r="E2976" t="str">
            <v>UN</v>
          </cell>
          <cell r="F2976">
            <v>305823.07</v>
          </cell>
          <cell r="G2976">
            <v>42489</v>
          </cell>
        </row>
        <row r="2977">
          <cell r="C2977">
            <v>5503</v>
          </cell>
          <cell r="D2977" t="str">
            <v>Suministro E Instalación De Lámpara De Empotrar Downligth  Led At - Down - 22W Cw</v>
          </cell>
          <cell r="E2977" t="str">
            <v>UN</v>
          </cell>
          <cell r="F2977">
            <v>264065.39</v>
          </cell>
          <cell r="G2977">
            <v>42557</v>
          </cell>
        </row>
        <row r="2978">
          <cell r="C2978">
            <v>5504</v>
          </cell>
          <cell r="D2978" t="str">
            <v>Desmonte De Unidad Interior De Acondicionador De Aire Tipo Split Y Reubicación</v>
          </cell>
          <cell r="E2978" t="str">
            <v>UN</v>
          </cell>
          <cell r="F2978">
            <v>250000</v>
          </cell>
          <cell r="G2978">
            <v>42492</v>
          </cell>
        </row>
        <row r="2979">
          <cell r="C2979">
            <v>5505</v>
          </cell>
          <cell r="D2979" t="str">
            <v>Desmonte De Unidad Exterior De Acondicionador De Aire Tipo Split Y Reubicación</v>
          </cell>
          <cell r="E2979" t="str">
            <v>UN</v>
          </cell>
          <cell r="F2979">
            <v>250000</v>
          </cell>
          <cell r="G2979">
            <v>42492</v>
          </cell>
        </row>
        <row r="2980">
          <cell r="C2980">
            <v>5506</v>
          </cell>
          <cell r="D2980" t="str">
            <v>Desmonte Y Reubicación De Luminaria (Incluye Arreglo De Cielo Raso En Drywall)</v>
          </cell>
          <cell r="E2980" t="str">
            <v>UN</v>
          </cell>
          <cell r="F2980">
            <v>100000</v>
          </cell>
          <cell r="G2980">
            <v>42492</v>
          </cell>
        </row>
        <row r="2981">
          <cell r="C2981">
            <v>5507</v>
          </cell>
          <cell r="D2981" t="str">
            <v>Placa Aligerada En Metaldeck, De Espesor 0.20 Metros, Incluye Estudio De Suelos Y Diseño Estructural</v>
          </cell>
          <cell r="E2981" t="str">
            <v>M2</v>
          </cell>
          <cell r="F2981">
            <v>199638</v>
          </cell>
          <cell r="G2981">
            <v>42492</v>
          </cell>
        </row>
        <row r="2982">
          <cell r="C2982">
            <v>5508</v>
          </cell>
          <cell r="D2982" t="str">
            <v>Capitulo - Muros En Sistema Drywall Y Zócalos</v>
          </cell>
          <cell r="E2982" t="str">
            <v>SD</v>
          </cell>
          <cell r="F2982">
            <v>0</v>
          </cell>
          <cell r="G2982">
            <v>42492</v>
          </cell>
        </row>
        <row r="2983">
          <cell r="C2983">
            <v>5510</v>
          </cell>
          <cell r="D2983" t="str">
            <v>Aplicacion De Geotextil Tejido De Poliester De 41.0 Kn/M, Tipo T 2400 Fortex Bx-40</v>
          </cell>
          <cell r="E2983" t="str">
            <v>M2</v>
          </cell>
          <cell r="F2983">
            <v>6263.33</v>
          </cell>
          <cell r="G2983">
            <v>42500</v>
          </cell>
        </row>
        <row r="2984">
          <cell r="C2984">
            <v>5512</v>
          </cell>
          <cell r="D2984" t="str">
            <v>Pago De Servicios Publicos</v>
          </cell>
          <cell r="E2984" t="str">
            <v>ME</v>
          </cell>
          <cell r="F2984">
            <v>350000</v>
          </cell>
          <cell r="G2984">
            <v>42509</v>
          </cell>
        </row>
        <row r="2985">
          <cell r="C2985">
            <v>5513</v>
          </cell>
          <cell r="D2985" t="str">
            <v>Edu. Campamento E Instalaciones Provisionales (Ver Diseño)</v>
          </cell>
          <cell r="E2985" t="str">
            <v>ME</v>
          </cell>
          <cell r="F2985">
            <v>4532238.3099999996</v>
          </cell>
          <cell r="G2985">
            <v>42524</v>
          </cell>
        </row>
        <row r="2986">
          <cell r="C2986">
            <v>5516</v>
          </cell>
          <cell r="D2986" t="str">
            <v>Edu. Concreto Para Losa Maciza De 4000 Psi, E= 0.20 Metros, Con Vigas Descolgadas De Altura 0.70, No Incluye Acero De Refuerzo (Ver Diseño)</v>
          </cell>
          <cell r="E2986" t="str">
            <v>M2</v>
          </cell>
          <cell r="F2986">
            <v>185493.09</v>
          </cell>
          <cell r="G2986">
            <v>42524</v>
          </cell>
        </row>
        <row r="2987">
          <cell r="C2987">
            <v>5519</v>
          </cell>
          <cell r="D2987" t="str">
            <v>Edu. Levante En Ladrillo Prensado Portante Tipo Santafe De 0.29 X 0.14 X 0.09 Metros, Incluye Mortero De Pega 1:4 Mas Repelente De Fachada</v>
          </cell>
          <cell r="E2987" t="str">
            <v>M2</v>
          </cell>
          <cell r="F2987">
            <v>56604.7</v>
          </cell>
          <cell r="G2987">
            <v>42524</v>
          </cell>
        </row>
        <row r="2988">
          <cell r="C2988">
            <v>5520</v>
          </cell>
          <cell r="D2988" t="str">
            <v>Edu. Refuerzo Horizontal Para Mampostería</v>
          </cell>
          <cell r="E2988" t="str">
            <v>ML</v>
          </cell>
          <cell r="F2988">
            <v>3092.83</v>
          </cell>
          <cell r="G2988">
            <v>42534</v>
          </cell>
        </row>
        <row r="2989">
          <cell r="C2989">
            <v>5521</v>
          </cell>
          <cell r="D2989" t="str">
            <v>Alfagía De 0.08 Metros De Espesor  X 0.20 Metros De Ancho, En Concreto De 3000 Psi, Incluye Acero De Refuerzo</v>
          </cell>
          <cell r="E2989" t="str">
            <v>ML</v>
          </cell>
          <cell r="F2989">
            <v>24819.98</v>
          </cell>
          <cell r="G2989">
            <v>42524</v>
          </cell>
        </row>
        <row r="2990">
          <cell r="C2990">
            <v>5523</v>
          </cell>
          <cell r="D2990" t="str">
            <v>Edu. Concreto Para Losa Maciza De 4000 Psi Premezclado, E= 0.15 Metros, Con Vigas Descolgadas De Altura 0.70, No Incluye Acero De Refuerzo (Ver Diseño)</v>
          </cell>
          <cell r="E2990" t="str">
            <v>M2</v>
          </cell>
          <cell r="F2990">
            <v>162422.92000000001</v>
          </cell>
          <cell r="G2990">
            <v>42524</v>
          </cell>
        </row>
        <row r="2991">
          <cell r="C2991">
            <v>5524</v>
          </cell>
          <cell r="D2991" t="str">
            <v>Edu. Piso Tipo Duropiso De 33.8 Cm X 33.8 Cm, Antideslizante O Similar</v>
          </cell>
          <cell r="E2991" t="str">
            <v>M2</v>
          </cell>
          <cell r="F2991">
            <v>62365.67</v>
          </cell>
          <cell r="G2991">
            <v>42534</v>
          </cell>
        </row>
        <row r="2992">
          <cell r="C2992">
            <v>5525</v>
          </cell>
          <cell r="D2992" t="str">
            <v>Piso De Arena Caja De Bateo E = 0.20 Metros</v>
          </cell>
          <cell r="E2992" t="str">
            <v>M2</v>
          </cell>
          <cell r="F2992">
            <v>17255.330000000002</v>
          </cell>
          <cell r="G2992">
            <v>42524</v>
          </cell>
        </row>
        <row r="2993">
          <cell r="C2993">
            <v>5528</v>
          </cell>
          <cell r="D2993" t="str">
            <v>Edu. Punto De Ventilacion Sanitaria De 3"(Ver Diseño)</v>
          </cell>
          <cell r="E2993" t="str">
            <v>UN</v>
          </cell>
          <cell r="F2993">
            <v>29564.35</v>
          </cell>
          <cell r="G2993">
            <v>42524</v>
          </cell>
        </row>
        <row r="2994">
          <cell r="C2994">
            <v>5529</v>
          </cell>
          <cell r="D2994" t="str">
            <v>Edu. Cerramiento Perimetral En Aluminio Y Muro Pintado Con Recubrimiento Exterior, Incluye Cimiento, Viga De Amarre. Columnas En Bloque Tipo Split, Elementos Verticales (Según Diseño)</v>
          </cell>
          <cell r="E2994" t="str">
            <v>ML</v>
          </cell>
          <cell r="F2994">
            <v>825000</v>
          </cell>
          <cell r="G2994">
            <v>42524</v>
          </cell>
        </row>
        <row r="2995">
          <cell r="C2995">
            <v>5530</v>
          </cell>
          <cell r="D2995" t="str">
            <v>Edu. Pradización Incluye Arena Negra</v>
          </cell>
          <cell r="E2995" t="str">
            <v>M2</v>
          </cell>
          <cell r="F2995">
            <v>20000</v>
          </cell>
          <cell r="G2995">
            <v>42578</v>
          </cell>
        </row>
        <row r="2996">
          <cell r="C2996">
            <v>5531</v>
          </cell>
          <cell r="D2996" t="str">
            <v>Edu. Suministro E Instalación De Silletería Para Gradas</v>
          </cell>
          <cell r="E2996" t="str">
            <v>UN</v>
          </cell>
          <cell r="F2996">
            <v>500750</v>
          </cell>
          <cell r="G2996">
            <v>42524</v>
          </cell>
        </row>
        <row r="2997">
          <cell r="C2997">
            <v>5532</v>
          </cell>
          <cell r="D2997" t="str">
            <v>Edu. Suministro E Instalación De Minisplit Inverter Power Bue Ii De 24000 Btu, Incluye Tubería De Cobre, Refrigerante Ecológico - Nitrógeno</v>
          </cell>
          <cell r="E2997" t="str">
            <v>UN</v>
          </cell>
          <cell r="F2997">
            <v>6283129.21</v>
          </cell>
          <cell r="G2997">
            <v>42524</v>
          </cell>
        </row>
        <row r="2998">
          <cell r="C2998">
            <v>5533</v>
          </cell>
          <cell r="D2998" t="str">
            <v>Edu. Suministro E Instalación De Aire Acondicionado Central De 5 Toneladas Serie 13, Incluye Tubería De Cobre - Refrigerante Ecológico - Nitrógeno</v>
          </cell>
          <cell r="E2998" t="str">
            <v>UN</v>
          </cell>
          <cell r="F2998">
            <v>21095282.719999999</v>
          </cell>
          <cell r="G2998">
            <v>42538</v>
          </cell>
        </row>
        <row r="2999">
          <cell r="C2999">
            <v>5534</v>
          </cell>
          <cell r="D2999" t="str">
            <v>Edu. Suministro E Instalación De Aire Acondicionado Central Tipo Paquete De 15 Toneladas, Incluye Tubería De Cobre - Refrigerante Ecológico - Nitrógeno</v>
          </cell>
          <cell r="E2999" t="str">
            <v>UN</v>
          </cell>
          <cell r="F2999">
            <v>76525412.379999995</v>
          </cell>
          <cell r="G2999">
            <v>42524</v>
          </cell>
        </row>
        <row r="3000">
          <cell r="C3000">
            <v>5535</v>
          </cell>
          <cell r="D3000" t="str">
            <v>Edu. Suministro E Instalación De Aire Acondicionado Central Tipo Paquete De 20 Toneladas, Incluye Tubería De Cobre - Refrigerante Ecológico - Nitrógeno</v>
          </cell>
          <cell r="E3000" t="str">
            <v>UN</v>
          </cell>
          <cell r="F3000">
            <v>96291888.560000002</v>
          </cell>
          <cell r="G3000">
            <v>42524</v>
          </cell>
        </row>
        <row r="3001">
          <cell r="C3001">
            <v>5536</v>
          </cell>
          <cell r="D3001" t="str">
            <v>Edu. Suministro E Instalación De Aire Acondicionado Central Tipo Paquete De 30 Toneladas, Incluye Tubería De Cobre - Refrigerante Ecológico - Nitrógeno</v>
          </cell>
          <cell r="E3001" t="str">
            <v>UN</v>
          </cell>
          <cell r="F3001">
            <v>122346452.05</v>
          </cell>
          <cell r="G3001">
            <v>42534</v>
          </cell>
        </row>
        <row r="3002">
          <cell r="C3002">
            <v>5543</v>
          </cell>
          <cell r="D3002" t="str">
            <v>Edu. Suministro E Instalacion De Bombas Sumergibles, Incluye: Tablero De Control, Protectores, Tuberia Y Accesorios Para La Succion Y Descarga De Las Bombas (Ver Diseño)</v>
          </cell>
          <cell r="E3002" t="str">
            <v>UN</v>
          </cell>
          <cell r="F3002">
            <v>2609589.9</v>
          </cell>
          <cell r="G3002">
            <v>42534</v>
          </cell>
        </row>
        <row r="3003">
          <cell r="C3003">
            <v>5554</v>
          </cell>
          <cell r="D3003" t="str">
            <v>Edu. Suministro E Instalacion De Bombas Sumergibles, Incluye Tablero De Control, Protectores, Tuberia Y Accesorios Para La Succion Y Descarga De Las Bombasumergibles</v>
          </cell>
          <cell r="E3003" t="str">
            <v>UN</v>
          </cell>
          <cell r="F3003">
            <v>2881097.23</v>
          </cell>
          <cell r="G3003">
            <v>42538</v>
          </cell>
        </row>
        <row r="3004">
          <cell r="C3004">
            <v>5556</v>
          </cell>
          <cell r="D3004" t="str">
            <v>Edu. Suministro E Instalación De Pantalla Led De 12 X 4 Metros 7000 Nits Full Hd, Incluye Software Y Estructura Para Pantalla</v>
          </cell>
          <cell r="E3004" t="str">
            <v>UN</v>
          </cell>
          <cell r="F3004">
            <v>1003500000</v>
          </cell>
          <cell r="G3004">
            <v>42524</v>
          </cell>
        </row>
        <row r="3005">
          <cell r="C3005">
            <v>5557</v>
          </cell>
          <cell r="D3005" t="str">
            <v>Edu. Suministro E Instalación De Iluminación Led Tecnología Tipo Musco Para Cancha Principal</v>
          </cell>
          <cell r="E3005" t="str">
            <v>UN</v>
          </cell>
          <cell r="F3005">
            <v>2008500000</v>
          </cell>
          <cell r="G3005">
            <v>42524</v>
          </cell>
        </row>
        <row r="3006">
          <cell r="C3006">
            <v>5558</v>
          </cell>
          <cell r="D3006" t="str">
            <v>Edu. Ascensor Eléctrico De Adherencia De 1 M/S De Velocidad, 3 Paradas, 750 Kg De Carga Nominal, Con Capacidad Para 10 Personas, Nivel Básico De Acabado En Cabina De 2000 X 1650 X 2200 Mm, Maniobra Colectiva De Bajada, Puertas Interiores Automáticas De Acero Inoxidable Y Puertas Exteriores Automáticas En Acero De 800 X 2000 Mm</v>
          </cell>
          <cell r="E3006" t="str">
            <v>UN</v>
          </cell>
          <cell r="F3006">
            <v>150000000</v>
          </cell>
          <cell r="G3006">
            <v>42524</v>
          </cell>
        </row>
        <row r="3007">
          <cell r="C3007">
            <v>5560</v>
          </cell>
          <cell r="D3007" t="str">
            <v>Edu. Construccion De Carcamo De 0.3 X 0.3 En Concreto Reforzado Para Captacion Y Bombeo De Aguas Lluvias (Ver Diseño)</v>
          </cell>
          <cell r="E3007" t="str">
            <v>UN</v>
          </cell>
          <cell r="F3007">
            <v>99360.38</v>
          </cell>
          <cell r="G3007">
            <v>42524</v>
          </cell>
        </row>
        <row r="3008">
          <cell r="C3008">
            <v>5562</v>
          </cell>
          <cell r="D3008" t="str">
            <v>Edu. Canal Perimetral En Concreto De 3000 Psi Cubiertas Axh: 0.30X0.30 Metros (Ver Diseño)</v>
          </cell>
          <cell r="E3008" t="str">
            <v>ML</v>
          </cell>
          <cell r="F3008">
            <v>88425.81</v>
          </cell>
          <cell r="G3008">
            <v>42538</v>
          </cell>
        </row>
        <row r="3009">
          <cell r="C3009">
            <v>5564</v>
          </cell>
          <cell r="D3009" t="str">
            <v>Edu. Canal Perimetral En Concreto De 3000 Psi Cubiertas Axh: 0.20X0.20 Metros (Ver Diseño)</v>
          </cell>
          <cell r="E3009" t="str">
            <v>ML</v>
          </cell>
          <cell r="F3009">
            <v>59175.81</v>
          </cell>
          <cell r="G3009">
            <v>42538</v>
          </cell>
        </row>
        <row r="3010">
          <cell r="C3010">
            <v>5567</v>
          </cell>
          <cell r="D3010" t="str">
            <v>Edu. Suministro E Instalacion De Tuberia De 3" Pvc (Ver Diseño)</v>
          </cell>
          <cell r="E3010" t="str">
            <v>ML</v>
          </cell>
          <cell r="F3010">
            <v>36187.730000000003</v>
          </cell>
          <cell r="G3010">
            <v>42578</v>
          </cell>
        </row>
        <row r="3011">
          <cell r="C3011">
            <v>5574</v>
          </cell>
          <cell r="D3011" t="str">
            <v>Edu. Suministro E Instalacion De Valvula Reguladora De Presion (40-60 Psi) Ver Diseño</v>
          </cell>
          <cell r="E3011" t="str">
            <v>UN</v>
          </cell>
          <cell r="F3011">
            <v>55108.33</v>
          </cell>
          <cell r="G3011">
            <v>42578</v>
          </cell>
        </row>
        <row r="3012">
          <cell r="C3012">
            <v>5578</v>
          </cell>
          <cell r="D3012" t="str">
            <v>Edu. Suministro E Instalacion De Bombas Sumergible, Incluye Sistema Hidroneumatico, Tablero De Control, Manometro,Protectores, Etc. (Ver Diseño)</v>
          </cell>
          <cell r="E3012" t="str">
            <v>UN</v>
          </cell>
          <cell r="F3012">
            <v>6860389.0700000003</v>
          </cell>
          <cell r="G3012">
            <v>42524</v>
          </cell>
        </row>
        <row r="3013">
          <cell r="C3013">
            <v>5579</v>
          </cell>
          <cell r="D3013" t="str">
            <v>Edu. Terreno De Juego, Incluye Obras De Filtro, Relleno Y Grama</v>
          </cell>
          <cell r="E3013" t="str">
            <v>M2</v>
          </cell>
          <cell r="F3013">
            <v>160955.37</v>
          </cell>
          <cell r="G3013">
            <v>42524</v>
          </cell>
        </row>
        <row r="3014">
          <cell r="C3014">
            <v>5580</v>
          </cell>
          <cell r="D3014" t="str">
            <v>Edu. Mantenimiento Cancha De Ligas Menores, Incluye Filtro, Relleno Y Grama</v>
          </cell>
          <cell r="E3014" t="str">
            <v>M2</v>
          </cell>
          <cell r="F3014">
            <v>160955.37</v>
          </cell>
          <cell r="G3014">
            <v>42524</v>
          </cell>
        </row>
        <row r="3015">
          <cell r="C3015">
            <v>5582</v>
          </cell>
          <cell r="D3015" t="str">
            <v>Edu. Suministro E Instalacion De Tuberia Y Accesorios De Descarga Al Interior Del Cuarto De Bombas (Ver Diseño)</v>
          </cell>
          <cell r="E3015" t="str">
            <v>UN</v>
          </cell>
          <cell r="F3015">
            <v>5650347.0300000003</v>
          </cell>
          <cell r="G3015">
            <v>42538</v>
          </cell>
        </row>
        <row r="3016">
          <cell r="C3016">
            <v>5584</v>
          </cell>
          <cell r="D3016" t="str">
            <v>Edu. Suministro E Instalacion De Tuberia Hierro Ductil Ranurado De 6" Sch 40 (Ver Diseño)</v>
          </cell>
          <cell r="E3016" t="str">
            <v>ML</v>
          </cell>
          <cell r="F3016">
            <v>75644.38</v>
          </cell>
          <cell r="G3016">
            <v>42524</v>
          </cell>
        </row>
        <row r="3017">
          <cell r="C3017">
            <v>5586</v>
          </cell>
          <cell r="D3017" t="str">
            <v>Edu. Suministro E Instalacion De Tuberia Hierro Ductil Ranurado De 4" Sch 40 (Ver Diseño)</v>
          </cell>
          <cell r="E3017" t="str">
            <v>ML</v>
          </cell>
          <cell r="F3017">
            <v>62425.01</v>
          </cell>
          <cell r="G3017">
            <v>42578</v>
          </cell>
        </row>
        <row r="3018">
          <cell r="C3018">
            <v>5589</v>
          </cell>
          <cell r="D3018" t="str">
            <v>Edu. Suministro E Instalacion De Tuberia De Hierro Ductil Ranurado De 1" Sch 40</v>
          </cell>
          <cell r="E3018" t="str">
            <v>ML</v>
          </cell>
          <cell r="F3018">
            <v>32835.42</v>
          </cell>
          <cell r="G3018">
            <v>42538</v>
          </cell>
        </row>
        <row r="3019">
          <cell r="C3019">
            <v>5592</v>
          </cell>
          <cell r="D3019" t="str">
            <v>Edu. Suministro E Instalacion De Tuberia Hierro Ductil Ranurado De 1 1/2" Sch 40 (Ver Diseño)</v>
          </cell>
          <cell r="E3019" t="str">
            <v>ML</v>
          </cell>
          <cell r="F3019">
            <v>41898.65</v>
          </cell>
          <cell r="G3019">
            <v>42578</v>
          </cell>
        </row>
        <row r="3020">
          <cell r="C3020">
            <v>5593</v>
          </cell>
          <cell r="D3020" t="str">
            <v>Edu. Suministro E Instalacion De Tuberia Hierro Ductil Ranurado De 1 1/4" Sch 40 (Ver Diseño)</v>
          </cell>
          <cell r="E3020" t="str">
            <v>ML</v>
          </cell>
          <cell r="F3020">
            <v>37898.65</v>
          </cell>
          <cell r="G3020">
            <v>42524</v>
          </cell>
        </row>
        <row r="3021">
          <cell r="C3021">
            <v>5594</v>
          </cell>
          <cell r="D3021" t="str">
            <v>Suministro E Instalación De Tubería De Agua Potable Pvc D = 2" Para Riego</v>
          </cell>
          <cell r="E3021" t="str">
            <v>ML</v>
          </cell>
          <cell r="F3021">
            <v>49510.22</v>
          </cell>
          <cell r="G3021">
            <v>42524</v>
          </cell>
        </row>
        <row r="3022">
          <cell r="C3022">
            <v>5595</v>
          </cell>
          <cell r="D3022" t="str">
            <v>Edu. Suministro E Instalación De Reflector Aero - Led</v>
          </cell>
          <cell r="E3022" t="str">
            <v>UN</v>
          </cell>
          <cell r="F3022">
            <v>4670000</v>
          </cell>
          <cell r="G3022">
            <v>42524</v>
          </cell>
        </row>
        <row r="3023">
          <cell r="C3023">
            <v>5598</v>
          </cell>
          <cell r="D3023" t="str">
            <v>Suministro E Instalación De Breaker Industrial De 3 X 300 A.</v>
          </cell>
          <cell r="E3023" t="str">
            <v>UN</v>
          </cell>
          <cell r="F3023">
            <v>845711.75</v>
          </cell>
          <cell r="G3023">
            <v>42524</v>
          </cell>
        </row>
        <row r="3024">
          <cell r="C3024">
            <v>5599</v>
          </cell>
          <cell r="D3024" t="str">
            <v>Edu. Suministro E Instalacion De Tuberia Hierro Ductil Ranurado De 2" Sch 40 (Ver Diseño)</v>
          </cell>
          <cell r="E3024" t="str">
            <v>ML</v>
          </cell>
          <cell r="F3024">
            <v>48898.65</v>
          </cell>
          <cell r="G3024">
            <v>42578</v>
          </cell>
        </row>
        <row r="3025">
          <cell r="C3025">
            <v>5601</v>
          </cell>
          <cell r="D3025" t="str">
            <v>Edu. Suministro E Instalacion De Tuberia Hierro Ductil Ranurado De 2 1/2" Sch 40 (Ver Diseño)</v>
          </cell>
          <cell r="E3025" t="str">
            <v>ML</v>
          </cell>
          <cell r="F3025">
            <v>52898.65</v>
          </cell>
          <cell r="G3025">
            <v>42578</v>
          </cell>
        </row>
        <row r="3026">
          <cell r="C3026">
            <v>5603</v>
          </cell>
          <cell r="D3026" t="str">
            <v>Edu. Suministro E Instalacion De Punto De 1/2" Rci (Ver Diseño)</v>
          </cell>
          <cell r="E3026" t="str">
            <v>UN</v>
          </cell>
          <cell r="F3026">
            <v>78879.63</v>
          </cell>
          <cell r="G3026">
            <v>42538</v>
          </cell>
        </row>
        <row r="3027">
          <cell r="C3027">
            <v>5606</v>
          </cell>
          <cell r="D3027" t="str">
            <v>Edu. Suministro E Instalacion De Gabinetes Contraincendio Tipo Ii (Ver Diseño)</v>
          </cell>
          <cell r="E3027" t="str">
            <v>UN</v>
          </cell>
          <cell r="F3027">
            <v>4844820.57</v>
          </cell>
          <cell r="G3027">
            <v>42578</v>
          </cell>
        </row>
        <row r="3028">
          <cell r="C3028">
            <v>5608</v>
          </cell>
          <cell r="D3028" t="str">
            <v>Edu. Suministro E Instalacion De Siamesa En Bronce En Yee De 4" Segun Especificaciones Del Material (Ver Diseño)</v>
          </cell>
          <cell r="E3028" t="str">
            <v>UN</v>
          </cell>
          <cell r="F3028">
            <v>3111200</v>
          </cell>
          <cell r="G3028">
            <v>42578</v>
          </cell>
        </row>
        <row r="3029">
          <cell r="C3029">
            <v>5610</v>
          </cell>
          <cell r="D3029" t="str">
            <v>Edu. Suministro E Instalacion De Equipo De Bombeo Sistema Contraincendio-Bomba Centrifuga De Alta Eficiencia Carcaza En Hierro Y Rodete En Acero Inoxidable, Tres (3) Fases 220/440 Hdt 83 M Y 270 Gpm (Ver Diseño)</v>
          </cell>
          <cell r="E3029" t="str">
            <v>UN</v>
          </cell>
          <cell r="F3029">
            <v>5907526.8899999997</v>
          </cell>
          <cell r="G3029">
            <v>42592</v>
          </cell>
        </row>
        <row r="3030">
          <cell r="C3030">
            <v>5612</v>
          </cell>
          <cell r="D3030" t="str">
            <v>Edu. Suministro E Instalacion De Equipo De Bombeo Sistema Contraincendio, Bomba Jockey De 3 Hp, Incluye Tablero De Control, Proteccion Contra Corto Circuito, Sobre Carga, Caida De Fase Y Alarma Sonora (Ver Diseño)</v>
          </cell>
          <cell r="E3030" t="str">
            <v>UN</v>
          </cell>
          <cell r="F3030">
            <v>3807526.89</v>
          </cell>
          <cell r="G3030">
            <v>42618</v>
          </cell>
        </row>
        <row r="3031">
          <cell r="C3031">
            <v>5613</v>
          </cell>
          <cell r="D3031" t="str">
            <v>Edu. Tuberia Y Accesorios De Descarga Al Interior Del Cuarto De Bombas Contraincendio (Ver Diseño)</v>
          </cell>
          <cell r="E3031" t="str">
            <v>UN</v>
          </cell>
          <cell r="F3031">
            <v>6839868.4199999999</v>
          </cell>
          <cell r="G3031">
            <v>42538</v>
          </cell>
        </row>
        <row r="3032">
          <cell r="C3032">
            <v>5615</v>
          </cell>
          <cell r="D3032" t="str">
            <v>Edu. Suministro E Instalacion De Valvula Cheque Bronce Comp 125 Lbs China 1 1/4" (Ver Diseño)</v>
          </cell>
          <cell r="E3032" t="str">
            <v>UN</v>
          </cell>
          <cell r="F3032">
            <v>186196.04</v>
          </cell>
          <cell r="G3032">
            <v>42538</v>
          </cell>
        </row>
        <row r="3033">
          <cell r="C3033">
            <v>5616</v>
          </cell>
          <cell r="D3033" t="str">
            <v>Edu. Terminal Interior Contractil En Frio 15 Kv Cable 1/0 (Ver Diseño)</v>
          </cell>
          <cell r="E3033" t="str">
            <v>UN</v>
          </cell>
          <cell r="F3033">
            <v>303623.65000000002</v>
          </cell>
          <cell r="G3033">
            <v>42538</v>
          </cell>
        </row>
        <row r="3034">
          <cell r="C3034">
            <v>5620</v>
          </cell>
          <cell r="D3034" t="str">
            <v>Edu. Suministro E Instalacion De Transformador Tipo Seco 800 Kva Con Celda (Ver Diseño)</v>
          </cell>
          <cell r="E3034" t="str">
            <v>UN</v>
          </cell>
          <cell r="F3034">
            <v>105798782.04000001</v>
          </cell>
          <cell r="G3034">
            <v>42538</v>
          </cell>
        </row>
        <row r="3035">
          <cell r="C3035">
            <v>5622</v>
          </cell>
          <cell r="D3035" t="str">
            <v>Edu. Celda De Proteccion Mt 15 Kv Aislada En Aire (Ver Diseño)</v>
          </cell>
          <cell r="E3035" t="str">
            <v>UN</v>
          </cell>
          <cell r="F3035">
            <v>11729319.18</v>
          </cell>
          <cell r="G3035">
            <v>42538</v>
          </cell>
        </row>
        <row r="3036">
          <cell r="C3036">
            <v>5629</v>
          </cell>
          <cell r="D3036" t="str">
            <v>Edu. Instalacion De Equipo De Medida Indirecta Tipo Exterior De Tres Elementos (Ver Diseño)</v>
          </cell>
          <cell r="E3036" t="str">
            <v>UN</v>
          </cell>
          <cell r="F3036">
            <v>11433010.800000001</v>
          </cell>
          <cell r="G3036">
            <v>42538</v>
          </cell>
        </row>
        <row r="3037">
          <cell r="C3037">
            <v>5631</v>
          </cell>
          <cell r="D3037" t="str">
            <v>Edu. Tablero Trifasico Autosoportado De 66 Circuitos (Ver Diseño)</v>
          </cell>
          <cell r="E3037" t="str">
            <v>UN</v>
          </cell>
          <cell r="F3037">
            <v>6114857.5499999998</v>
          </cell>
          <cell r="G3037">
            <v>42534</v>
          </cell>
        </row>
        <row r="3038">
          <cell r="C3038">
            <v>5633</v>
          </cell>
          <cell r="D3038" t="str">
            <v>Edu. Breaker Tipo Industrial De 3X20 A (Ver Diseño)</v>
          </cell>
          <cell r="E3038" t="str">
            <v>UN</v>
          </cell>
          <cell r="F3038">
            <v>91614.06</v>
          </cell>
          <cell r="G3038">
            <v>42524</v>
          </cell>
        </row>
        <row r="3039">
          <cell r="C3039">
            <v>5635</v>
          </cell>
          <cell r="D3039" t="str">
            <v>Edu. Transferencia Trifasica Automatica De 75 Kva (Ver Diseño)</v>
          </cell>
          <cell r="E3039" t="str">
            <v>UN</v>
          </cell>
          <cell r="F3039">
            <v>8820889.4199999999</v>
          </cell>
          <cell r="G3039">
            <v>42524</v>
          </cell>
        </row>
        <row r="3040">
          <cell r="C3040">
            <v>5637</v>
          </cell>
          <cell r="D3040" t="str">
            <v>Edu. Transferencia Trifasica Automatica De 45 Kva (Ver Diseño)</v>
          </cell>
          <cell r="E3040" t="str">
            <v>UN</v>
          </cell>
          <cell r="F3040">
            <v>6720599.4199999999</v>
          </cell>
          <cell r="G3040">
            <v>42524</v>
          </cell>
        </row>
        <row r="3041">
          <cell r="C3041">
            <v>5643</v>
          </cell>
          <cell r="D3041" t="str">
            <v>Edu. Banco Automatico De Condensadores De 200 A (Ver Diseño)</v>
          </cell>
          <cell r="E3041" t="str">
            <v>UN</v>
          </cell>
          <cell r="F3041">
            <v>7735730.9400000004</v>
          </cell>
          <cell r="G3041">
            <v>42538</v>
          </cell>
        </row>
        <row r="3042">
          <cell r="C3042">
            <v>5649</v>
          </cell>
          <cell r="D3042" t="str">
            <v>Edu. Cimentacion Para Apoyo Metalico Poligonal De 6.00 Metros (Ver Diseño)</v>
          </cell>
          <cell r="E3042" t="str">
            <v>UN</v>
          </cell>
          <cell r="F3042">
            <v>130396.98</v>
          </cell>
          <cell r="G3042">
            <v>42534</v>
          </cell>
        </row>
        <row r="3043">
          <cell r="C3043">
            <v>5650</v>
          </cell>
          <cell r="D3043" t="str">
            <v>Edu. Suministro E Instalación De Cable Utp Categoría 6A</v>
          </cell>
          <cell r="E3043" t="str">
            <v>ML</v>
          </cell>
          <cell r="F3043">
            <v>3676.25</v>
          </cell>
          <cell r="G3043">
            <v>42538</v>
          </cell>
        </row>
        <row r="3044">
          <cell r="C3044">
            <v>5651</v>
          </cell>
          <cell r="D3044" t="str">
            <v>Edu. Suministro E Instalación De Acces Point</v>
          </cell>
          <cell r="E3044" t="str">
            <v>UN</v>
          </cell>
          <cell r="F3044">
            <v>935555.81</v>
          </cell>
          <cell r="G3044">
            <v>42578</v>
          </cell>
        </row>
        <row r="3045">
          <cell r="C3045">
            <v>5652</v>
          </cell>
          <cell r="D3045" t="str">
            <v>Edu. Suministro E Instalación De Rack Comunicación De 210 X 60 X 80 (Gabinete De Piso Netlink 42U Doble Puerta)</v>
          </cell>
          <cell r="E3045" t="str">
            <v>UN</v>
          </cell>
          <cell r="F3045">
            <v>4166224.5</v>
          </cell>
          <cell r="G3045">
            <v>42538</v>
          </cell>
        </row>
        <row r="3046">
          <cell r="C3046">
            <v>5654</v>
          </cell>
          <cell r="D3046" t="str">
            <v>Edu. Construccion Canalizacion Con Un Tubo De 1 1/2" Diametro En Lecho De Arena (Ver Diseño)</v>
          </cell>
          <cell r="E3046" t="str">
            <v>ML</v>
          </cell>
          <cell r="F3046">
            <v>9938.81</v>
          </cell>
          <cell r="G3046">
            <v>42578</v>
          </cell>
        </row>
        <row r="3047">
          <cell r="C3047">
            <v>5655</v>
          </cell>
          <cell r="D3047" t="str">
            <v>Edu. Suministro E Instalación De Fibra Optica Multimodo De 12 Hilos</v>
          </cell>
          <cell r="E3047" t="str">
            <v>ML</v>
          </cell>
          <cell r="F3047">
            <v>24525.200000000001</v>
          </cell>
          <cell r="G3047">
            <v>42538</v>
          </cell>
        </row>
        <row r="3048">
          <cell r="C3048">
            <v>5656</v>
          </cell>
          <cell r="D3048" t="str">
            <v>Edu. Suministro E Instalación De Caja De Paso De 40 X 40</v>
          </cell>
          <cell r="E3048" t="str">
            <v>UN</v>
          </cell>
          <cell r="F3048">
            <v>74909.75</v>
          </cell>
          <cell r="G3048">
            <v>42538</v>
          </cell>
        </row>
        <row r="3049">
          <cell r="C3049">
            <v>5657</v>
          </cell>
          <cell r="D3049" t="str">
            <v>Edu. Suministro E Instalación De Canaletas Metálicas De 100 X 45</v>
          </cell>
          <cell r="E3049" t="str">
            <v>UN</v>
          </cell>
          <cell r="F3049">
            <v>82038.559999999998</v>
          </cell>
          <cell r="G3049">
            <v>42538</v>
          </cell>
        </row>
        <row r="3050">
          <cell r="C3050">
            <v>5658</v>
          </cell>
          <cell r="D3050" t="str">
            <v>Edu. Construccion Canalizacion Con Un Tubo De 2" Diametro En Lecho De Arena (Ver Diseño)</v>
          </cell>
          <cell r="E3050" t="str">
            <v>ML</v>
          </cell>
          <cell r="F3050">
            <v>83609.62</v>
          </cell>
          <cell r="G3050">
            <v>42534</v>
          </cell>
        </row>
        <row r="3051">
          <cell r="C3051">
            <v>5659</v>
          </cell>
          <cell r="D3051" t="str">
            <v>Edu. Suministro E Instalación De Jack Categoría 6A</v>
          </cell>
          <cell r="E3051" t="str">
            <v>UN</v>
          </cell>
          <cell r="F3051">
            <v>52302</v>
          </cell>
          <cell r="G3051">
            <v>42538</v>
          </cell>
        </row>
        <row r="3052">
          <cell r="C3052">
            <v>5660</v>
          </cell>
          <cell r="D3052" t="str">
            <v>Edu. Suministro E Instalación De Flace Plate</v>
          </cell>
          <cell r="E3052" t="str">
            <v>UN</v>
          </cell>
          <cell r="F3052">
            <v>11892</v>
          </cell>
          <cell r="G3052">
            <v>42538</v>
          </cell>
        </row>
        <row r="3053">
          <cell r="C3053">
            <v>5669</v>
          </cell>
          <cell r="D3053" t="str">
            <v>Edu. Suplemento Para Canalizacion Con Topo (Ver Diseño)</v>
          </cell>
          <cell r="E3053" t="str">
            <v>ML</v>
          </cell>
          <cell r="F3053">
            <v>170240.92</v>
          </cell>
          <cell r="G3053">
            <v>42534</v>
          </cell>
        </row>
        <row r="3054">
          <cell r="C3054">
            <v>5673</v>
          </cell>
          <cell r="D3054" t="str">
            <v>Edu. Instalacion De Bandeja Portacables Cablofil De 40 X 6 Cms</v>
          </cell>
          <cell r="E3054" t="str">
            <v>ML</v>
          </cell>
          <cell r="F3054">
            <v>83334.91</v>
          </cell>
          <cell r="G3054">
            <v>42538</v>
          </cell>
        </row>
        <row r="3055">
          <cell r="C3055">
            <v>5674</v>
          </cell>
          <cell r="D3055" t="str">
            <v>Edu. Suministro E Instalación De Adaptador Para Bandeja De 12 Libras Lc 50 Um</v>
          </cell>
          <cell r="E3055" t="str">
            <v>UN</v>
          </cell>
          <cell r="F3055">
            <v>265739</v>
          </cell>
          <cell r="G3055">
            <v>42538</v>
          </cell>
        </row>
        <row r="3056">
          <cell r="C3056">
            <v>5675</v>
          </cell>
          <cell r="D3056" t="str">
            <v>Edu. Suministro E Instalación De Módulo Para Fibra Lc</v>
          </cell>
          <cell r="E3056" t="str">
            <v>UN</v>
          </cell>
          <cell r="F3056">
            <v>1695694</v>
          </cell>
          <cell r="G3056">
            <v>42538</v>
          </cell>
        </row>
        <row r="3057">
          <cell r="C3057">
            <v>5676</v>
          </cell>
          <cell r="D3057" t="str">
            <v>Edu. Suministro E Instalación De Patch Cord Multimodo Lc Om3</v>
          </cell>
          <cell r="E3057" t="str">
            <v>UN</v>
          </cell>
          <cell r="F3057">
            <v>111871.33</v>
          </cell>
          <cell r="G3057">
            <v>42538</v>
          </cell>
        </row>
        <row r="3058">
          <cell r="C3058">
            <v>5678</v>
          </cell>
          <cell r="D3058" t="str">
            <v>Edu. Suministro E Instalación  De Unión Reforzada Ez</v>
          </cell>
          <cell r="E3058" t="str">
            <v>UN</v>
          </cell>
          <cell r="F3058">
            <v>2980</v>
          </cell>
          <cell r="G3058">
            <v>42538</v>
          </cell>
        </row>
        <row r="3059">
          <cell r="C3059">
            <v>5680</v>
          </cell>
          <cell r="D3059" t="str">
            <v>Edu. Instalacion At-Hermetica 1200 40 W Cw (Ver Diseño)</v>
          </cell>
          <cell r="E3059" t="str">
            <v>UN</v>
          </cell>
          <cell r="F3059">
            <v>612142.23</v>
          </cell>
          <cell r="G3059">
            <v>42578</v>
          </cell>
        </row>
        <row r="3060">
          <cell r="C3060">
            <v>5681</v>
          </cell>
          <cell r="D3060" t="str">
            <v>Edu. Suministro E Instalación De Bandeja Portacable 60 X 300 Ez X 3 M</v>
          </cell>
          <cell r="E3060" t="str">
            <v>UN</v>
          </cell>
          <cell r="F3060">
            <v>149244.10999999999</v>
          </cell>
          <cell r="G3060">
            <v>42538</v>
          </cell>
        </row>
        <row r="3061">
          <cell r="C3061">
            <v>5682</v>
          </cell>
          <cell r="D3061" t="str">
            <v>Edu. Suministro E Instalación De Bandeja Porta Fibra Lc 12 Hilos</v>
          </cell>
          <cell r="E3061" t="str">
            <v>UN</v>
          </cell>
          <cell r="F3061">
            <v>696089.56</v>
          </cell>
          <cell r="G3061">
            <v>42538</v>
          </cell>
        </row>
        <row r="3062">
          <cell r="C3062">
            <v>5685</v>
          </cell>
          <cell r="D3062" t="str">
            <v>Edu. Suministro E Instalación De Switch 48 Puertos</v>
          </cell>
          <cell r="E3062" t="str">
            <v>UN</v>
          </cell>
          <cell r="F3062">
            <v>6874305.3300000001</v>
          </cell>
          <cell r="G3062">
            <v>42538</v>
          </cell>
        </row>
        <row r="3063">
          <cell r="C3063">
            <v>5686</v>
          </cell>
          <cell r="D3063" t="str">
            <v>Edu. Instalacion At-Paneled Lf 40W 60X60 Cw (Ver Diseño)</v>
          </cell>
          <cell r="E3063" t="str">
            <v>UN</v>
          </cell>
          <cell r="F3063">
            <v>782446.24</v>
          </cell>
          <cell r="G3063">
            <v>42578</v>
          </cell>
        </row>
        <row r="3064">
          <cell r="C3064">
            <v>5688</v>
          </cell>
          <cell r="D3064" t="str">
            <v>Edu. Suministro E Instalación De Switch 24 Puertos</v>
          </cell>
          <cell r="E3064" t="str">
            <v>UN</v>
          </cell>
          <cell r="F3064">
            <v>4100194.22</v>
          </cell>
          <cell r="G3064">
            <v>42538</v>
          </cell>
        </row>
        <row r="3065">
          <cell r="C3065">
            <v>5692</v>
          </cell>
          <cell r="D3065" t="str">
            <v>Edu. Instalacion Bombilla E27 8W Cw (Ver Diseño)</v>
          </cell>
          <cell r="E3065" t="str">
            <v>UN</v>
          </cell>
          <cell r="F3065">
            <v>184080.19</v>
          </cell>
          <cell r="G3065">
            <v>42524</v>
          </cell>
        </row>
        <row r="3066">
          <cell r="C3066">
            <v>5693</v>
          </cell>
          <cell r="D3066" t="str">
            <v>Edu. Suministro E Instalación De Switch 48 Puertos Modulo De Fibra</v>
          </cell>
          <cell r="E3066" t="str">
            <v>UN</v>
          </cell>
          <cell r="F3066">
            <v>21692252.670000002</v>
          </cell>
          <cell r="G3066">
            <v>42538</v>
          </cell>
        </row>
        <row r="3067">
          <cell r="C3067">
            <v>5695</v>
          </cell>
          <cell r="D3067" t="str">
            <v>Edu. Suministro E Instalación De Herraje Para Patch Panel Plano De 24 Puertos Categoría 6A</v>
          </cell>
          <cell r="E3067" t="str">
            <v>UN</v>
          </cell>
          <cell r="F3067">
            <v>367565.33</v>
          </cell>
          <cell r="G3067">
            <v>42538</v>
          </cell>
        </row>
        <row r="3068">
          <cell r="C3068">
            <v>5696</v>
          </cell>
          <cell r="D3068" t="str">
            <v>Edu. Instalacion Zamak Escualizable Gu10 6W (Ver Diseño)</v>
          </cell>
          <cell r="E3068" t="str">
            <v>UN</v>
          </cell>
          <cell r="F3068">
            <v>205039.94</v>
          </cell>
          <cell r="G3068">
            <v>42524</v>
          </cell>
        </row>
        <row r="3069">
          <cell r="C3069">
            <v>5700</v>
          </cell>
          <cell r="D3069" t="str">
            <v>Edu. Suministro E Instalación De Organizadores Amp Horizontal 2U (80 X 80) Planos</v>
          </cell>
          <cell r="E3069" t="str">
            <v>UN</v>
          </cell>
          <cell r="F3069">
            <v>163559.32999999999</v>
          </cell>
          <cell r="G3069">
            <v>42538</v>
          </cell>
        </row>
        <row r="3070">
          <cell r="C3070">
            <v>5702</v>
          </cell>
          <cell r="D3070" t="str">
            <v>Edu. Suministro E Instalación De Patch Panel 48 Puertos - Incluye Jacks</v>
          </cell>
          <cell r="E3070" t="str">
            <v>UN</v>
          </cell>
          <cell r="F3070">
            <v>2708807</v>
          </cell>
          <cell r="G3070">
            <v>42538</v>
          </cell>
        </row>
        <row r="3071">
          <cell r="C3071">
            <v>5703</v>
          </cell>
          <cell r="D3071" t="str">
            <v>Edu. Instalacion Cilinder Bajo 30W Cw (Ver Diseño)</v>
          </cell>
          <cell r="E3071" t="str">
            <v>UN</v>
          </cell>
          <cell r="F3071">
            <v>397471.76</v>
          </cell>
          <cell r="G3071">
            <v>42524</v>
          </cell>
        </row>
        <row r="3072">
          <cell r="C3072">
            <v>5704</v>
          </cell>
          <cell r="D3072" t="str">
            <v>Edu. Suministro E Instalación De Patch Cord Categoría 6A</v>
          </cell>
          <cell r="E3072" t="str">
            <v>UN</v>
          </cell>
          <cell r="F3072">
            <v>60473</v>
          </cell>
          <cell r="G3072">
            <v>42538</v>
          </cell>
        </row>
        <row r="3073">
          <cell r="C3073">
            <v>5705</v>
          </cell>
          <cell r="D3073" t="str">
            <v>Edu. Certificación Punto Voz Y Datos</v>
          </cell>
          <cell r="E3073" t="str">
            <v>UN</v>
          </cell>
          <cell r="F3073">
            <v>22000</v>
          </cell>
          <cell r="G3073">
            <v>42524</v>
          </cell>
        </row>
        <row r="3074">
          <cell r="C3074">
            <v>5708</v>
          </cell>
          <cell r="D3074" t="str">
            <v>Edu. Suministro E Instalación De Bandeja De Fibra De 12 Hilos Deslizable 1U Vacía (Soporte 3 Adaptadores)</v>
          </cell>
          <cell r="E3074" t="str">
            <v>UN</v>
          </cell>
          <cell r="F3074">
            <v>747719.56</v>
          </cell>
          <cell r="G3074">
            <v>42524</v>
          </cell>
        </row>
        <row r="3075">
          <cell r="C3075">
            <v>5709</v>
          </cell>
          <cell r="D3075" t="str">
            <v>Edu. Instalacion At-Luminaria De Emergencia 3W Cw (Ver Diseño)</v>
          </cell>
          <cell r="E3075" t="str">
            <v>UN</v>
          </cell>
          <cell r="F3075">
            <v>302873.94</v>
          </cell>
          <cell r="G3075">
            <v>42538</v>
          </cell>
        </row>
        <row r="3076">
          <cell r="C3076">
            <v>5711</v>
          </cell>
          <cell r="D3076" t="str">
            <v>Edu. Instalacion Down Eco 12W Cw (Ver Diseño)</v>
          </cell>
          <cell r="E3076" t="str">
            <v>UN</v>
          </cell>
          <cell r="F3076">
            <v>298143.86</v>
          </cell>
          <cell r="G3076">
            <v>42578</v>
          </cell>
        </row>
        <row r="3077">
          <cell r="C3077">
            <v>5713</v>
          </cell>
          <cell r="D3077" t="str">
            <v>Edu. Instalacion At-Proyeled 60 @ 68W Cw (Ver Diseño)</v>
          </cell>
          <cell r="E3077" t="str">
            <v>UN</v>
          </cell>
          <cell r="F3077">
            <v>1390871.94</v>
          </cell>
          <cell r="G3077">
            <v>42578</v>
          </cell>
        </row>
        <row r="3078">
          <cell r="C3078">
            <v>5715</v>
          </cell>
          <cell r="D3078" t="str">
            <v>Edu. Instalacion At-Proyeled 30 @ 45W Cw (Ver Diseño)</v>
          </cell>
          <cell r="E3078" t="str">
            <v>UN</v>
          </cell>
          <cell r="F3078">
            <v>1070222.94</v>
          </cell>
          <cell r="G3078">
            <v>42534</v>
          </cell>
        </row>
        <row r="3079">
          <cell r="C3079">
            <v>5717</v>
          </cell>
          <cell r="D3079" t="str">
            <v>Edu. Instalacion At-Proyector 3W De Piso Ww (Ver Diseño)</v>
          </cell>
          <cell r="E3079" t="str">
            <v>UN</v>
          </cell>
          <cell r="F3079">
            <v>1205615.22</v>
          </cell>
          <cell r="G3079">
            <v>42529</v>
          </cell>
        </row>
        <row r="3080">
          <cell r="C3080">
            <v>5719</v>
          </cell>
          <cell r="D3080" t="str">
            <v>Edu. Instalacion De Down Light 30 W Cw (Ver Diseño)</v>
          </cell>
          <cell r="E3080" t="str">
            <v>UN</v>
          </cell>
          <cell r="F3080">
            <v>385264.94</v>
          </cell>
          <cell r="G3080">
            <v>42534</v>
          </cell>
        </row>
        <row r="3081">
          <cell r="C3081">
            <v>5721</v>
          </cell>
          <cell r="D3081" t="str">
            <v>Edu. Instalacion At-Colonial De 40W Y 30W Asimetricas Opt 13299, Opt 13301 4000K (Ver Diseño)</v>
          </cell>
          <cell r="E3081" t="str">
            <v>UN</v>
          </cell>
          <cell r="F3081">
            <v>1708865.94</v>
          </cell>
          <cell r="G3081">
            <v>42529</v>
          </cell>
        </row>
        <row r="3082">
          <cell r="C3082">
            <v>5722</v>
          </cell>
          <cell r="D3082" t="str">
            <v>Edu. Salida Para Alumbrado Sin Lampara En Tuberia Emt (Ver Diseño)</v>
          </cell>
          <cell r="E3082" t="str">
            <v>UN</v>
          </cell>
          <cell r="F3082">
            <v>78417.22</v>
          </cell>
          <cell r="G3082">
            <v>42578</v>
          </cell>
        </row>
        <row r="3083">
          <cell r="C3083">
            <v>5723</v>
          </cell>
          <cell r="D3083" t="str">
            <v>Edu. Interruptor Triple (Ver Diseño)</v>
          </cell>
          <cell r="E3083" t="str">
            <v>UN</v>
          </cell>
          <cell r="F3083">
            <v>97325.78</v>
          </cell>
          <cell r="G3083">
            <v>42529</v>
          </cell>
        </row>
        <row r="3084">
          <cell r="C3084">
            <v>5724</v>
          </cell>
          <cell r="D3084" t="str">
            <v>Edu. Relleno En Material Seleccionado, Compactado</v>
          </cell>
          <cell r="E3084" t="str">
            <v>M3</v>
          </cell>
          <cell r="F3084">
            <v>68381.42</v>
          </cell>
          <cell r="G3084">
            <v>42515</v>
          </cell>
        </row>
        <row r="3085">
          <cell r="C3085">
            <v>5725</v>
          </cell>
          <cell r="D3085" t="str">
            <v>Edu. Instalacion De Polo A Tierra Mas Caja De Inspeccion (Ver Diseño)</v>
          </cell>
          <cell r="E3085" t="str">
            <v>UN</v>
          </cell>
          <cell r="F3085">
            <v>743683</v>
          </cell>
          <cell r="G3085">
            <v>42578</v>
          </cell>
        </row>
        <row r="3086">
          <cell r="C3086">
            <v>5726</v>
          </cell>
          <cell r="D3086" t="str">
            <v>Edu. Acometida 6 X (3Nº750 + Nº750 + Nº 2/0T) Cu Thhw (Ver Diseño)</v>
          </cell>
          <cell r="E3086" t="str">
            <v>ML</v>
          </cell>
          <cell r="F3086">
            <v>3601696.58</v>
          </cell>
          <cell r="G3086">
            <v>42524</v>
          </cell>
        </row>
        <row r="3087">
          <cell r="C3087">
            <v>5727</v>
          </cell>
          <cell r="D3087" t="str">
            <v>Edu. Acometida 2 X (3Nº350 + Nº350 + Nº4/0T) Cu Thhw (Ver Diseño)</v>
          </cell>
          <cell r="E3087" t="str">
            <v>ML</v>
          </cell>
          <cell r="F3087">
            <v>660255.46</v>
          </cell>
          <cell r="G3087">
            <v>42524</v>
          </cell>
        </row>
        <row r="3088">
          <cell r="C3088">
            <v>5728</v>
          </cell>
          <cell r="D3088" t="str">
            <v>Edu. Acometida 3 X ( 3Nº300 + Nº300 + Nº2/0T) Cu Thhw (Ver Diseño)</v>
          </cell>
          <cell r="E3088" t="str">
            <v>ML</v>
          </cell>
          <cell r="F3088">
            <v>740255.46</v>
          </cell>
          <cell r="G3088">
            <v>42524</v>
          </cell>
        </row>
        <row r="3089">
          <cell r="C3089">
            <v>5729</v>
          </cell>
          <cell r="D3089" t="str">
            <v>Edu. Acometida 3Nº2/0 + Nº2/0 + Nº1/0T Cu Thhw (Ver Diseño)</v>
          </cell>
          <cell r="E3089" t="str">
            <v>ML</v>
          </cell>
          <cell r="F3089">
            <v>125272.41</v>
          </cell>
          <cell r="G3089">
            <v>42524</v>
          </cell>
        </row>
        <row r="3090">
          <cell r="C3090">
            <v>5730</v>
          </cell>
          <cell r="D3090" t="str">
            <v>Edu. Acometida 3Nº8 + Nº10T Cu Thhw (Ver Diseño)</v>
          </cell>
          <cell r="E3090" t="str">
            <v>ML</v>
          </cell>
          <cell r="F3090">
            <v>15726.17</v>
          </cell>
          <cell r="G3090">
            <v>42524</v>
          </cell>
        </row>
        <row r="3091">
          <cell r="C3091">
            <v>5731</v>
          </cell>
          <cell r="D3091" t="str">
            <v>Edu. Acometida 3Nº10 + Nº10 + Nº12T Cu Thhw (Ver Diseño)</v>
          </cell>
          <cell r="E3091" t="str">
            <v>ML</v>
          </cell>
          <cell r="F3091">
            <v>10238.85</v>
          </cell>
          <cell r="G3091">
            <v>42524</v>
          </cell>
        </row>
        <row r="3092">
          <cell r="C3092">
            <v>5732</v>
          </cell>
          <cell r="D3092" t="str">
            <v>Edu. Breaker Enchufable De 1 X 20 A (Ver Diseño)</v>
          </cell>
          <cell r="E3092" t="str">
            <v>UN</v>
          </cell>
          <cell r="F3092">
            <v>25720.48</v>
          </cell>
          <cell r="G3092">
            <v>42578</v>
          </cell>
        </row>
        <row r="3093">
          <cell r="C3093">
            <v>5733</v>
          </cell>
          <cell r="D3093" t="str">
            <v>Edu. Breaker Enchufable De 2 X 40 A (Ver Diseño)</v>
          </cell>
          <cell r="E3093" t="str">
            <v>UN</v>
          </cell>
          <cell r="F3093">
            <v>56059.43</v>
          </cell>
          <cell r="G3093">
            <v>42524</v>
          </cell>
        </row>
        <row r="3094">
          <cell r="C3094">
            <v>5734</v>
          </cell>
          <cell r="D3094" t="str">
            <v>Edu. Breaker Tipo Industrial De 3 X 20 A (Ver Diseño)</v>
          </cell>
          <cell r="E3094" t="str">
            <v>UN</v>
          </cell>
          <cell r="F3094">
            <v>91551.03</v>
          </cell>
          <cell r="G3094">
            <v>42538</v>
          </cell>
        </row>
        <row r="3095">
          <cell r="C3095">
            <v>5735</v>
          </cell>
          <cell r="D3095" t="str">
            <v>Edu. Planta Electrica De Emergencia 225 Kva Con Tanque De Combustible (Ver Diseño)</v>
          </cell>
          <cell r="E3095" t="str">
            <v>UN</v>
          </cell>
          <cell r="F3095">
            <v>150012189.41</v>
          </cell>
          <cell r="G3095">
            <v>42538</v>
          </cell>
        </row>
        <row r="3096">
          <cell r="C3096">
            <v>5736</v>
          </cell>
          <cell r="D3096" t="str">
            <v>Edu. Tablero Trifasico Autosoportado De 54 Circuitos (Ver Diseño)</v>
          </cell>
          <cell r="E3096" t="str">
            <v>UN</v>
          </cell>
          <cell r="F3096">
            <v>4110426.91</v>
          </cell>
          <cell r="G3096">
            <v>42524</v>
          </cell>
        </row>
        <row r="3097">
          <cell r="C3097">
            <v>5746</v>
          </cell>
          <cell r="D3097" t="str">
            <v>Edu. Salida Para Aire Acondicionado Bifasica</v>
          </cell>
          <cell r="E3097" t="str">
            <v>UN</v>
          </cell>
          <cell r="F3097">
            <v>109361.77</v>
          </cell>
          <cell r="G3097">
            <v>42578</v>
          </cell>
        </row>
        <row r="3098">
          <cell r="C3098">
            <v>5747</v>
          </cell>
          <cell r="D3098" t="str">
            <v>Suministro E Instalación De Cubierta En Lámina Ondulada De Asbesto Cemento, A Una Altura &gt; 8 Metros &lt; 10 Metros, Incluye Amarres Y Ganchos De Fijación.</v>
          </cell>
          <cell r="E3098" t="str">
            <v>M2</v>
          </cell>
          <cell r="F3098">
            <v>47742.35</v>
          </cell>
          <cell r="G3098">
            <v>42516</v>
          </cell>
        </row>
        <row r="3099">
          <cell r="C3099">
            <v>5750</v>
          </cell>
          <cell r="D3099" t="str">
            <v>Edu. Instalacion De Luminaria Spectra (Ver Diseño)</v>
          </cell>
          <cell r="E3099" t="str">
            <v>UN</v>
          </cell>
          <cell r="F3099">
            <v>1114409.6200000001</v>
          </cell>
          <cell r="G3099">
            <v>42534</v>
          </cell>
        </row>
        <row r="3100">
          <cell r="C3100">
            <v>5752</v>
          </cell>
          <cell r="D3100" t="str">
            <v>Edu. Tuberia Perforada De 4" (Ver Diseño)</v>
          </cell>
          <cell r="E3100" t="str">
            <v>ML</v>
          </cell>
          <cell r="F3100">
            <v>51520.85</v>
          </cell>
          <cell r="G3100">
            <v>42534</v>
          </cell>
        </row>
        <row r="3101">
          <cell r="C3101">
            <v>5754</v>
          </cell>
          <cell r="D3101" t="str">
            <v>Edu. Tuberia Perforada De 6" (Ver Diseño).</v>
          </cell>
          <cell r="E3101" t="str">
            <v>ML</v>
          </cell>
          <cell r="F3101">
            <v>99457.72</v>
          </cell>
          <cell r="G3101">
            <v>42534</v>
          </cell>
        </row>
        <row r="3102">
          <cell r="C3102">
            <v>5756</v>
          </cell>
          <cell r="D3102" t="str">
            <v>Edu. Canales En Concreto (Ver Diseño)</v>
          </cell>
          <cell r="E3102" t="str">
            <v>M3</v>
          </cell>
          <cell r="F3102">
            <v>614544.81000000006</v>
          </cell>
          <cell r="G3102">
            <v>42534</v>
          </cell>
        </row>
        <row r="3103">
          <cell r="C3103">
            <v>5758</v>
          </cell>
          <cell r="D3103" t="str">
            <v>Edu. Gravilla Fina Y/O Gravilla Gruesa (Ver Diseño)</v>
          </cell>
          <cell r="E3103" t="str">
            <v>M3</v>
          </cell>
          <cell r="F3103">
            <v>99854.49</v>
          </cell>
          <cell r="G3103">
            <v>42534</v>
          </cell>
        </row>
        <row r="3104">
          <cell r="C3104">
            <v>5759</v>
          </cell>
          <cell r="D3104" t="str">
            <v>Edu. Triturado (Ver Diseño)</v>
          </cell>
          <cell r="E3104" t="str">
            <v>M3</v>
          </cell>
          <cell r="F3104">
            <v>95076.99</v>
          </cell>
          <cell r="G3104">
            <v>42534</v>
          </cell>
        </row>
        <row r="3105">
          <cell r="C3105">
            <v>5761</v>
          </cell>
          <cell r="D3105" t="str">
            <v>Edu. Cuneta Tipo Circular Titan O Similar (Ver Diseño)</v>
          </cell>
          <cell r="E3105" t="str">
            <v>ML</v>
          </cell>
          <cell r="F3105">
            <v>275816.08</v>
          </cell>
          <cell r="G3105">
            <v>42619</v>
          </cell>
        </row>
        <row r="3106">
          <cell r="C3106">
            <v>5764</v>
          </cell>
          <cell r="D3106" t="str">
            <v>Edu. Tuberia Pvc Presion De 2" (Ver Diseño)</v>
          </cell>
          <cell r="E3106" t="str">
            <v>ML</v>
          </cell>
          <cell r="F3106">
            <v>31634.7</v>
          </cell>
          <cell r="G3106">
            <v>42578</v>
          </cell>
        </row>
        <row r="3107">
          <cell r="C3107">
            <v>5768</v>
          </cell>
          <cell r="D3107" t="str">
            <v>Edu. Tuberia Pvc Presion De 4" (Ver Diseño)</v>
          </cell>
          <cell r="E3107" t="str">
            <v>ML</v>
          </cell>
          <cell r="F3107">
            <v>47859.65</v>
          </cell>
          <cell r="G3107">
            <v>42534</v>
          </cell>
        </row>
        <row r="3108">
          <cell r="C3108">
            <v>5770</v>
          </cell>
          <cell r="D3108" t="str">
            <v>Edu. Tuberia De Hierro Ductil Ranurado De 3" Sch 40 (Ver Diseño)</v>
          </cell>
          <cell r="E3108" t="str">
            <v>UN</v>
          </cell>
          <cell r="F3108">
            <v>85164.98</v>
          </cell>
          <cell r="G3108">
            <v>42578</v>
          </cell>
        </row>
        <row r="3109">
          <cell r="C3109">
            <v>5771</v>
          </cell>
          <cell r="D3109" t="str">
            <v>Edu. Filtro (Triturado) Muro De Contencion</v>
          </cell>
          <cell r="E3109" t="str">
            <v>M3</v>
          </cell>
          <cell r="F3109">
            <v>82436.350000000006</v>
          </cell>
          <cell r="G3109">
            <v>42534</v>
          </cell>
        </row>
        <row r="3110">
          <cell r="C3110">
            <v>5775</v>
          </cell>
          <cell r="D3110" t="str">
            <v>Edu. Rociadores De 1 1/2" (Ver Diseño)</v>
          </cell>
          <cell r="E3110" t="str">
            <v>UN</v>
          </cell>
          <cell r="F3110">
            <v>61912.62</v>
          </cell>
          <cell r="G3110">
            <v>42578</v>
          </cell>
        </row>
        <row r="3111">
          <cell r="C3111">
            <v>5776</v>
          </cell>
          <cell r="D3111" t="str">
            <v>Edu. Suministro E Instalacion De Bombas, Incluye Sistema Hidroneumatico, Tablero De Control, Manometro, Protectores, Etc. Caracteristicas: Caudal (Q) = 36 Lts/Seg= 581 Gal/Min, Hidroacumulador De 500 Lts, Potencia= 10 Hp, Motor Trifasico (Ver Diseño).</v>
          </cell>
          <cell r="E3111" t="str">
            <v>UN</v>
          </cell>
          <cell r="F3111">
            <v>3607549.02</v>
          </cell>
          <cell r="G3111">
            <v>42578</v>
          </cell>
        </row>
        <row r="3112">
          <cell r="C3112">
            <v>5777</v>
          </cell>
          <cell r="D3112" t="str">
            <v>Edu. Suministro E Instalacion De Tuberia Y Accesorios Para La Succion Y Descarga De Las Bombas (Ver Diseño)</v>
          </cell>
          <cell r="E3112" t="str">
            <v>GL</v>
          </cell>
          <cell r="F3112">
            <v>6344217</v>
          </cell>
          <cell r="G3112">
            <v>42538</v>
          </cell>
        </row>
        <row r="3113">
          <cell r="C3113">
            <v>5779</v>
          </cell>
          <cell r="D3113" t="str">
            <v>Edu. Griferia Push De Pared Para Lavamanos (Ver Diseño)</v>
          </cell>
          <cell r="E3113" t="str">
            <v>UN</v>
          </cell>
          <cell r="F3113">
            <v>205763.45</v>
          </cell>
          <cell r="G3113">
            <v>42538</v>
          </cell>
        </row>
        <row r="3114">
          <cell r="C3114">
            <v>5781</v>
          </cell>
          <cell r="D3114" t="str">
            <v>Edu. Ducha Antivandalica Con Regadera Tubular (Ver Diseño)</v>
          </cell>
          <cell r="E3114" t="str">
            <v>UN</v>
          </cell>
          <cell r="F3114">
            <v>284354.27</v>
          </cell>
          <cell r="G3114">
            <v>42538</v>
          </cell>
        </row>
        <row r="3115">
          <cell r="C3115">
            <v>5784</v>
          </cell>
          <cell r="D3115" t="str">
            <v>Edu.  Breaker Tipo Industrial De 3 X 600 A Regulable (Ver Diseño)</v>
          </cell>
          <cell r="E3115" t="str">
            <v>UN</v>
          </cell>
          <cell r="F3115">
            <v>2520031.96</v>
          </cell>
          <cell r="G3115">
            <v>42538</v>
          </cell>
        </row>
        <row r="3116">
          <cell r="C3116">
            <v>5786</v>
          </cell>
          <cell r="D3116" t="str">
            <v>Edu. Breaker Tipo Industrial De 3 X 800 A Regulable (Ver Diseño)</v>
          </cell>
          <cell r="E3116" t="str">
            <v>UN</v>
          </cell>
          <cell r="F3116">
            <v>1994716.07</v>
          </cell>
          <cell r="G3116">
            <v>42534</v>
          </cell>
        </row>
        <row r="3117">
          <cell r="C3117">
            <v>5788</v>
          </cell>
          <cell r="D3117" t="str">
            <v>Edu. Breaker Tipo Industrial De 3 X 300 A (Ver Diseño)</v>
          </cell>
          <cell r="E3117" t="str">
            <v>UN</v>
          </cell>
          <cell r="F3117">
            <v>941515.23</v>
          </cell>
          <cell r="G3117">
            <v>42534</v>
          </cell>
        </row>
        <row r="3118">
          <cell r="C3118">
            <v>5790</v>
          </cell>
          <cell r="D3118" t="str">
            <v>Edu. Breaker Tipo Industrial De 3 X 1000 A (Ver Diseño)</v>
          </cell>
          <cell r="E3118" t="str">
            <v>UN</v>
          </cell>
          <cell r="F3118">
            <v>7429308.6200000001</v>
          </cell>
          <cell r="G3118">
            <v>42534</v>
          </cell>
        </row>
        <row r="3119">
          <cell r="C3119">
            <v>5792</v>
          </cell>
          <cell r="D3119" t="str">
            <v>Edu. Breaker Tipo Industrial De 3 X 3000 A (Ver Diseño)</v>
          </cell>
          <cell r="E3119" t="str">
            <v>UN</v>
          </cell>
          <cell r="F3119">
            <v>26228014</v>
          </cell>
          <cell r="G3119">
            <v>42534</v>
          </cell>
        </row>
        <row r="3120">
          <cell r="C3120">
            <v>5794</v>
          </cell>
          <cell r="D3120" t="str">
            <v>Edu. Transferencia Trifasica Automatica De 660 Kva (Ver Diseño)</v>
          </cell>
          <cell r="E3120" t="str">
            <v>UN</v>
          </cell>
          <cell r="F3120">
            <v>87558234.030000001</v>
          </cell>
          <cell r="G3120">
            <v>42534</v>
          </cell>
        </row>
        <row r="3121">
          <cell r="C3121">
            <v>5798</v>
          </cell>
          <cell r="D3121" t="str">
            <v>Edu. Planta Electrica De Emergencia De 660 Kva Con Tanque De Combustible (Ver Diseño)</v>
          </cell>
          <cell r="E3121" t="str">
            <v>UN</v>
          </cell>
          <cell r="F3121">
            <v>633313245.63</v>
          </cell>
          <cell r="G3121">
            <v>42531</v>
          </cell>
        </row>
        <row r="3122">
          <cell r="C3122">
            <v>5800</v>
          </cell>
          <cell r="D3122" t="str">
            <v>Edu. Instalacion Down Light 22W Cw (Ver Diseño)</v>
          </cell>
          <cell r="E3122" t="str">
            <v>UN</v>
          </cell>
          <cell r="F3122">
            <v>599135.92000000004</v>
          </cell>
          <cell r="G3122">
            <v>42578</v>
          </cell>
        </row>
        <row r="3123">
          <cell r="C3123">
            <v>5802</v>
          </cell>
          <cell r="D3123" t="str">
            <v>Edu. Instalacion Down Light 12W Cw (Ver Diseño)</v>
          </cell>
          <cell r="E3123" t="str">
            <v>UN</v>
          </cell>
          <cell r="F3123">
            <v>799135.92</v>
          </cell>
          <cell r="G3123">
            <v>42578</v>
          </cell>
        </row>
        <row r="3124">
          <cell r="C3124">
            <v>5804</v>
          </cell>
          <cell r="D3124" t="str">
            <v>Edu. Instalacion Luminaria Capsule Gu10 6W (Ver Diseño)</v>
          </cell>
          <cell r="E3124" t="str">
            <v>UN</v>
          </cell>
          <cell r="F3124">
            <v>422591.22</v>
          </cell>
          <cell r="G3124">
            <v>42578</v>
          </cell>
        </row>
        <row r="3125">
          <cell r="C3125">
            <v>5806</v>
          </cell>
          <cell r="D3125" t="str">
            <v>Edu. Instalacion Luminaria Curvoled 40W (Ver Diseño)</v>
          </cell>
          <cell r="E3125" t="str">
            <v>UN</v>
          </cell>
          <cell r="F3125">
            <v>938065.06</v>
          </cell>
          <cell r="G3125">
            <v>42538</v>
          </cell>
        </row>
        <row r="3126">
          <cell r="C3126">
            <v>5807</v>
          </cell>
          <cell r="D3126" t="str">
            <v>Acometida De Agua Potable Provisional (Ver Diseño)</v>
          </cell>
          <cell r="E3126" t="str">
            <v>GL</v>
          </cell>
          <cell r="F3126">
            <v>3500000</v>
          </cell>
          <cell r="G3126">
            <v>42558</v>
          </cell>
        </row>
        <row r="3127">
          <cell r="C3127">
            <v>5808</v>
          </cell>
          <cell r="D3127" t="str">
            <v>Acometida Sanitaria Provisional</v>
          </cell>
          <cell r="E3127" t="str">
            <v>GL</v>
          </cell>
          <cell r="F3127">
            <v>3500000</v>
          </cell>
          <cell r="G3127">
            <v>42558</v>
          </cell>
        </row>
        <row r="3128">
          <cell r="C3128">
            <v>5809</v>
          </cell>
          <cell r="D3128" t="str">
            <v>Acometida Electrica Provisional</v>
          </cell>
          <cell r="E3128" t="str">
            <v>GL</v>
          </cell>
          <cell r="F3128">
            <v>12500000</v>
          </cell>
          <cell r="G3128">
            <v>42558</v>
          </cell>
        </row>
        <row r="3129">
          <cell r="C3129">
            <v>5811</v>
          </cell>
          <cell r="D3129" t="str">
            <v>Edu. Instalacion Luminaria At Emergencialed (Ver Diseño)</v>
          </cell>
          <cell r="E3129" t="str">
            <v>UN</v>
          </cell>
          <cell r="F3129">
            <v>422591.22</v>
          </cell>
          <cell r="G3129">
            <v>42534</v>
          </cell>
        </row>
        <row r="3130">
          <cell r="C3130">
            <v>5812</v>
          </cell>
          <cell r="D3130" t="str">
            <v>Valla Reglamentaria 2.00 X 1.00</v>
          </cell>
          <cell r="E3130" t="str">
            <v>UN</v>
          </cell>
          <cell r="F3130">
            <v>370000</v>
          </cell>
          <cell r="G3130">
            <v>42558</v>
          </cell>
        </row>
        <row r="3131">
          <cell r="C3131">
            <v>5814</v>
          </cell>
          <cell r="D3131" t="str">
            <v>Edu. Instalacion Luminaria Led Rgbw 32W Sumergible (Ver Diseño)</v>
          </cell>
          <cell r="E3131" t="str">
            <v>UN</v>
          </cell>
          <cell r="F3131">
            <v>1196697.1100000001</v>
          </cell>
          <cell r="G3131">
            <v>42534</v>
          </cell>
        </row>
        <row r="3132">
          <cell r="C3132">
            <v>5815</v>
          </cell>
          <cell r="D3132" t="str">
            <v>Valla Informativa (Ver Diseño)</v>
          </cell>
          <cell r="E3132" t="str">
            <v>UN</v>
          </cell>
          <cell r="F3132">
            <v>6000000</v>
          </cell>
          <cell r="G3132">
            <v>42558</v>
          </cell>
        </row>
        <row r="3133">
          <cell r="C3133">
            <v>5816</v>
          </cell>
          <cell r="D3133" t="str">
            <v>Edu. Suministro E Instalación De Puerta Metálica Abatible Lisa Con Rejilla Sencilla (Ver Diseño)</v>
          </cell>
          <cell r="E3133" t="str">
            <v>UN</v>
          </cell>
          <cell r="F3133">
            <v>766212</v>
          </cell>
          <cell r="G3133">
            <v>42534</v>
          </cell>
        </row>
        <row r="3134">
          <cell r="C3134">
            <v>5817</v>
          </cell>
          <cell r="D3134" t="str">
            <v>Edu. Suministro E Instalación De Puerta Metálica Abatible Tipo Persiana Sencilla (Ver Diseño)</v>
          </cell>
          <cell r="E3134" t="str">
            <v>UN</v>
          </cell>
          <cell r="F3134">
            <v>803242</v>
          </cell>
          <cell r="G3134">
            <v>42534</v>
          </cell>
        </row>
        <row r="3135">
          <cell r="C3135">
            <v>5818</v>
          </cell>
          <cell r="D3135" t="str">
            <v>Edu. Suministro E Instalación De Puerta Metálica Abatible Acustica Doble (Ver Diseño)</v>
          </cell>
          <cell r="E3135" t="str">
            <v>UN</v>
          </cell>
          <cell r="F3135">
            <v>1809240</v>
          </cell>
          <cell r="G3135">
            <v>42534</v>
          </cell>
        </row>
        <row r="3136">
          <cell r="C3136">
            <v>5819</v>
          </cell>
          <cell r="D3136" t="str">
            <v>Edu. Suministro E Instalación De Puerta Metálica Abatible Multi Perforada Sencilla (Ver Diseño)</v>
          </cell>
          <cell r="E3136" t="str">
            <v>UN</v>
          </cell>
          <cell r="F3136">
            <v>1342440</v>
          </cell>
          <cell r="G3136">
            <v>42534</v>
          </cell>
        </row>
        <row r="3137">
          <cell r="C3137">
            <v>5820</v>
          </cell>
          <cell r="D3137" t="str">
            <v>Edu. Suministro E Instalación De Puerta Metálica Abatible Multi Perforada Doble (Ver Diseño)</v>
          </cell>
          <cell r="E3137" t="str">
            <v>UN</v>
          </cell>
          <cell r="F3137">
            <v>2644880</v>
          </cell>
          <cell r="G3137">
            <v>42534</v>
          </cell>
        </row>
        <row r="3138">
          <cell r="C3138">
            <v>5821</v>
          </cell>
          <cell r="D3138" t="str">
            <v>Edu. Suministro E Instalación De Puerta Metálica Tipo Persiana Doble (Ver Diseño)</v>
          </cell>
          <cell r="E3138" t="str">
            <v>UN</v>
          </cell>
          <cell r="F3138">
            <v>1895450</v>
          </cell>
          <cell r="G3138">
            <v>42534</v>
          </cell>
        </row>
        <row r="3139">
          <cell r="C3139">
            <v>5822</v>
          </cell>
          <cell r="D3139" t="str">
            <v>Edu. Suministro E Instalación De Puerta En Vidrio Esmerilado Abatible Sencilla (Ver Diseño)</v>
          </cell>
          <cell r="E3139" t="str">
            <v>UN</v>
          </cell>
          <cell r="F3139">
            <v>1150000</v>
          </cell>
          <cell r="G3139">
            <v>42534</v>
          </cell>
        </row>
        <row r="3140">
          <cell r="C3140">
            <v>5823</v>
          </cell>
          <cell r="D3140" t="str">
            <v>Edu. Suministro E Instalación De Puerta Metálica Abatible Lisa Sencilla (Ver Diseño)</v>
          </cell>
          <cell r="E3140" t="str">
            <v>UN</v>
          </cell>
          <cell r="F3140">
            <v>708634</v>
          </cell>
          <cell r="G3140">
            <v>42534</v>
          </cell>
        </row>
        <row r="3141">
          <cell r="C3141">
            <v>5824</v>
          </cell>
          <cell r="D3141" t="str">
            <v>Edu. Suministro E Instalación De Puerta En Vidrio Templado Transparente (Ver Diseño)</v>
          </cell>
          <cell r="E3141" t="str">
            <v>UN</v>
          </cell>
          <cell r="F3141">
            <v>1050000</v>
          </cell>
          <cell r="G3141">
            <v>42534</v>
          </cell>
        </row>
        <row r="3142">
          <cell r="C3142">
            <v>5825</v>
          </cell>
          <cell r="D3142" t="str">
            <v>Edu. Suministro E Instalación De Puerta Metálica De Emergencia Abatible Cf Doble (Ver Diseño)</v>
          </cell>
          <cell r="E3142" t="str">
            <v>UN</v>
          </cell>
          <cell r="F3142">
            <v>3141328</v>
          </cell>
          <cell r="G3142">
            <v>42534</v>
          </cell>
        </row>
        <row r="3143">
          <cell r="C3143">
            <v>5826</v>
          </cell>
          <cell r="D3143" t="str">
            <v>Edu. Suministro E Instalación De Silletería Plástica Para Estadio</v>
          </cell>
          <cell r="E3143" t="str">
            <v>UN</v>
          </cell>
          <cell r="F3143">
            <v>60746.75</v>
          </cell>
          <cell r="G3143">
            <v>42613</v>
          </cell>
        </row>
        <row r="3144">
          <cell r="C3144">
            <v>5828</v>
          </cell>
          <cell r="D3144" t="str">
            <v>Edu. Acometida 7 X (3#500 + #500 + #2/0T) Cu Thhw (Ver Diseño)</v>
          </cell>
          <cell r="E3144" t="str">
            <v>ML</v>
          </cell>
          <cell r="F3144">
            <v>3820191.9</v>
          </cell>
          <cell r="G3144">
            <v>42534</v>
          </cell>
        </row>
        <row r="3145">
          <cell r="C3145">
            <v>5829</v>
          </cell>
          <cell r="D3145" t="str">
            <v>Edu. Terreno De Juego ( Grama Natural Bermuda 419 + Relleno En Material Seleccionado  E = 0.40 Metros )</v>
          </cell>
          <cell r="E3145" t="str">
            <v>M2</v>
          </cell>
          <cell r="F3145">
            <v>88811.58</v>
          </cell>
          <cell r="G3145">
            <v>42534</v>
          </cell>
        </row>
        <row r="3146">
          <cell r="C3146">
            <v>5831</v>
          </cell>
          <cell r="D3146" t="str">
            <v>Edu. Piso En Pavimento Ecológico</v>
          </cell>
          <cell r="E3146" t="str">
            <v>UN</v>
          </cell>
          <cell r="F3146">
            <v>559768</v>
          </cell>
          <cell r="G3146">
            <v>42534</v>
          </cell>
        </row>
        <row r="3147">
          <cell r="C3147">
            <v>5832</v>
          </cell>
          <cell r="D3147" t="str">
            <v>Edu. Acometida 3 X (3#350 + #350 + #4/0T) Cu Thhw (Ver Diseño)</v>
          </cell>
          <cell r="E3147" t="str">
            <v>ML</v>
          </cell>
          <cell r="F3147">
            <v>977769.03</v>
          </cell>
          <cell r="G3147">
            <v>42538</v>
          </cell>
        </row>
        <row r="3148">
          <cell r="C3148">
            <v>5833</v>
          </cell>
          <cell r="D3148" t="str">
            <v>Suministro E Instalación De Ventiladores Axiales De 36" Marca Sankey O Similar Con Rociador De Agua, Para Zona De Carceletas, Incluye Instalación Y Punto Eléctrico</v>
          </cell>
          <cell r="E3148" t="str">
            <v>UN</v>
          </cell>
          <cell r="F3148">
            <v>700000</v>
          </cell>
          <cell r="G3148">
            <v>42522</v>
          </cell>
        </row>
        <row r="3149">
          <cell r="C3149">
            <v>5834</v>
          </cell>
          <cell r="D3149" t="str">
            <v>Edu. Acometida 4 X (3#750 + #750 +#4/0T) Cu Thhw (Ver Diseño)</v>
          </cell>
          <cell r="E3149" t="str">
            <v>ML</v>
          </cell>
          <cell r="F3149">
            <v>2470319.69</v>
          </cell>
          <cell r="G3149">
            <v>42534</v>
          </cell>
        </row>
        <row r="3150">
          <cell r="C3150">
            <v>5835</v>
          </cell>
          <cell r="D3150" t="str">
            <v>Suministro E Instalación De Cableado Estructurado De Voz Y Datos Para 30 Puestos De Trabajo ( Ver Diseño)</v>
          </cell>
          <cell r="E3150" t="str">
            <v>GL</v>
          </cell>
          <cell r="F3150">
            <v>51428571.43</v>
          </cell>
          <cell r="G3150">
            <v>42604</v>
          </cell>
        </row>
        <row r="3151">
          <cell r="C3151">
            <v>5836</v>
          </cell>
          <cell r="D3151" t="str">
            <v>Suministro E Instalación De Aviso Luminoso En Lona Traslúcida Panaflex De Dimensiones Aproximadas 5.00 X 0.90 Metros, Incluye Todos Los Accesorios Como Acometidas Eléctricas, Cubiertas Con Canales Plásticas, Balastros, Tubos, Velas, Soportes. (T8 Sistema De Iluminación Electrónico</v>
          </cell>
          <cell r="E3151" t="str">
            <v>UN</v>
          </cell>
          <cell r="F3151">
            <v>2400000</v>
          </cell>
          <cell r="G3151">
            <v>42522</v>
          </cell>
        </row>
        <row r="3152">
          <cell r="C3152">
            <v>5837</v>
          </cell>
          <cell r="D3152" t="str">
            <v>Edu. Acometida 6 X (3#350 + #350 + #2/0T) Cu Thhw (Ver Diseño)</v>
          </cell>
          <cell r="E3152" t="str">
            <v>ML</v>
          </cell>
          <cell r="F3152">
            <v>1798293.79</v>
          </cell>
          <cell r="G3152">
            <v>42534</v>
          </cell>
        </row>
        <row r="3153">
          <cell r="C3153">
            <v>5838</v>
          </cell>
          <cell r="D3153" t="str">
            <v>Suministro E Instalación De Malla Metálica Galvanizada Y Soportada Sobre Una Estructura Metálica  ( Varillas De 1/2" Cuadrada En Retícula, En Doble Parrilla) Con El Fin De No Ser Alcanzada Por Alguna Persona Y Para No Tener Alcance  A Las Lamparas De Iluminación, Distancia Entre El Piso Y La Parrilla 3.00 Metros</v>
          </cell>
          <cell r="E3153" t="str">
            <v>M2</v>
          </cell>
          <cell r="F3153">
            <v>235234.68</v>
          </cell>
          <cell r="G3153">
            <v>42522</v>
          </cell>
        </row>
        <row r="3154">
          <cell r="C3154">
            <v>5839</v>
          </cell>
          <cell r="D3154" t="str">
            <v>Instalación De Ventana En Aluminio Altura &lt; 3.00 Metros</v>
          </cell>
          <cell r="E3154" t="str">
            <v>M2</v>
          </cell>
          <cell r="F3154">
            <v>31955</v>
          </cell>
          <cell r="G3154">
            <v>42523</v>
          </cell>
        </row>
        <row r="3155">
          <cell r="C3155">
            <v>5843</v>
          </cell>
          <cell r="D3155" t="str">
            <v>Suministro E Instalación De Orinal Tipo A En Acero Inoxidable  Aisi 304, Tipo Sokoda</v>
          </cell>
          <cell r="E3155" t="str">
            <v>UN</v>
          </cell>
          <cell r="F3155">
            <v>982706</v>
          </cell>
          <cell r="G3155">
            <v>42523</v>
          </cell>
        </row>
        <row r="3156">
          <cell r="C3156">
            <v>5844</v>
          </cell>
          <cell r="D3156" t="str">
            <v>Terraplen Inv. 220-7 Para Nivelacion, Humedecimiento Y Compactacion Variable</v>
          </cell>
          <cell r="E3156" t="str">
            <v>M3</v>
          </cell>
          <cell r="F3156">
            <v>49404.66</v>
          </cell>
          <cell r="G3156">
            <v>42523</v>
          </cell>
        </row>
        <row r="3157">
          <cell r="C3157">
            <v>5847</v>
          </cell>
          <cell r="D3157" t="str">
            <v>Edu. Suministro E Instalación De Aire Acondicionado Mini Split De 12000 Btu - Ser 16 Area 6Aa ( Ver Diseño)</v>
          </cell>
          <cell r="E3157" t="str">
            <v>UN</v>
          </cell>
          <cell r="F3157">
            <v>4577836.68</v>
          </cell>
          <cell r="G3157">
            <v>42534</v>
          </cell>
        </row>
        <row r="3158">
          <cell r="C3158">
            <v>5849</v>
          </cell>
          <cell r="D3158" t="str">
            <v>Edu. Suministro E Instalación De Aire Acondicionado Mini Split De 36000 Btu - Area 5Aa, 7Aa, 9Aa Y 10Aa ( Ver Diseño)</v>
          </cell>
          <cell r="E3158" t="str">
            <v>UN</v>
          </cell>
          <cell r="F3158">
            <v>17110615.210000001</v>
          </cell>
          <cell r="G3158">
            <v>42538</v>
          </cell>
        </row>
        <row r="3159">
          <cell r="C3159">
            <v>5850</v>
          </cell>
          <cell r="D3159" t="str">
            <v>Edu. Suministro E Instalación De Aire Central Tipo Paquete De 55 Toneladas - Area 11Aa (Ver Diseño)</v>
          </cell>
          <cell r="E3159" t="str">
            <v>UN</v>
          </cell>
          <cell r="F3159">
            <v>401578653.13</v>
          </cell>
          <cell r="G3159">
            <v>42534</v>
          </cell>
        </row>
        <row r="3160">
          <cell r="C3160">
            <v>5851</v>
          </cell>
          <cell r="D3160" t="str">
            <v>Edu. Suministro E Instalación De Torre Para Iluminación De La Cancha Principal (Ver Diseño)</v>
          </cell>
          <cell r="E3160" t="str">
            <v>UN</v>
          </cell>
          <cell r="F3160">
            <v>97119089.299999997</v>
          </cell>
          <cell r="G3160">
            <v>42534</v>
          </cell>
        </row>
        <row r="3161">
          <cell r="C3161">
            <v>5852</v>
          </cell>
          <cell r="D3161" t="str">
            <v>Edu. Suministro E Instalación De Reflectores Para Iluminación De La Cancha Principal (Ver Diseño)</v>
          </cell>
          <cell r="E3161" t="str">
            <v>UN</v>
          </cell>
          <cell r="F3161">
            <v>10526885.800000001</v>
          </cell>
          <cell r="G3161">
            <v>42534</v>
          </cell>
        </row>
        <row r="3162">
          <cell r="C3162">
            <v>5853</v>
          </cell>
          <cell r="D3162" t="str">
            <v>Edu. Cimentación Especial Para Torres De Iluminación</v>
          </cell>
          <cell r="E3162" t="str">
            <v>UN</v>
          </cell>
          <cell r="F3162">
            <v>3065697.15</v>
          </cell>
          <cell r="G3162">
            <v>42534</v>
          </cell>
        </row>
        <row r="3163">
          <cell r="C3163">
            <v>5854</v>
          </cell>
          <cell r="D3163" t="str">
            <v>Base En Mateial Granular Inv. 330-7 Para Nivelacion Terreno, Incluye: Suministro, Extendida, Nivelacion, Humedecimientoy Compactacion</v>
          </cell>
          <cell r="E3163" t="str">
            <v>M3</v>
          </cell>
          <cell r="F3163">
            <v>96869</v>
          </cell>
          <cell r="G3163">
            <v>42523</v>
          </cell>
        </row>
        <row r="3164">
          <cell r="C3164">
            <v>5855</v>
          </cell>
          <cell r="D3164" t="str">
            <v>Base Material Granular Inv. 330-7 Para Nivelacion Terreno, Incluye: Suministro, Extendida, Nivelacion, Humedecimiento Y Compactacion</v>
          </cell>
          <cell r="E3164" t="str">
            <v>M3</v>
          </cell>
          <cell r="F3164">
            <v>87266.54</v>
          </cell>
          <cell r="G3164">
            <v>42523</v>
          </cell>
        </row>
        <row r="3165">
          <cell r="C3165">
            <v>5856</v>
          </cell>
          <cell r="D3165" t="str">
            <v>Subbase Granular Inv B-320-07 Suministro, Extendida, Nivelacion, Humedecimiento Y Compactacion E=25 Cms</v>
          </cell>
          <cell r="E3165" t="str">
            <v>M3</v>
          </cell>
          <cell r="F3165">
            <v>111862.3</v>
          </cell>
          <cell r="G3165">
            <v>42523</v>
          </cell>
        </row>
        <row r="3166">
          <cell r="C3166">
            <v>5857</v>
          </cell>
          <cell r="D3166" t="str">
            <v>Edu. Cimentación Para Apoyo Metálico Poligonal De 9.00 Metros</v>
          </cell>
          <cell r="E3166" t="str">
            <v>UN</v>
          </cell>
          <cell r="F3166">
            <v>462247.4</v>
          </cell>
          <cell r="G3166">
            <v>42534</v>
          </cell>
        </row>
        <row r="3167">
          <cell r="C3167">
            <v>5865</v>
          </cell>
          <cell r="D3167" t="str">
            <v>Edu. Suministro E Instalación De Luminaria Led De Jardin 2-Nw-13301-40 Vatios</v>
          </cell>
          <cell r="E3167" t="str">
            <v>UN</v>
          </cell>
          <cell r="F3167">
            <v>2136652.4300000002</v>
          </cell>
          <cell r="G3167">
            <v>42534</v>
          </cell>
        </row>
        <row r="3168">
          <cell r="C3168">
            <v>5866</v>
          </cell>
          <cell r="D3168" t="str">
            <v>Edu. Suministro E Instalación De Luminaria Led De Jardin 2-Nw-13299-40 Vatios</v>
          </cell>
          <cell r="E3168" t="str">
            <v>UN</v>
          </cell>
          <cell r="F3168">
            <v>2132914.2000000002</v>
          </cell>
          <cell r="G3168">
            <v>42534</v>
          </cell>
        </row>
        <row r="3169">
          <cell r="C3169">
            <v>5867</v>
          </cell>
          <cell r="D3169" t="str">
            <v>Subbase Granular Normas Invias</v>
          </cell>
          <cell r="E3169" t="str">
            <v>M3</v>
          </cell>
          <cell r="F3169">
            <v>26280</v>
          </cell>
          <cell r="G3169">
            <v>42523</v>
          </cell>
        </row>
        <row r="3170">
          <cell r="C3170">
            <v>5868</v>
          </cell>
          <cell r="D3170" t="str">
            <v>Edu. Suministro E Instalación De Proyector Led De Suelo 12 Ww- 12 Vatios</v>
          </cell>
          <cell r="E3170" t="str">
            <v>UN</v>
          </cell>
          <cell r="F3170">
            <v>901305.61</v>
          </cell>
          <cell r="G3170">
            <v>42534</v>
          </cell>
        </row>
        <row r="3171">
          <cell r="C3171">
            <v>5869</v>
          </cell>
          <cell r="D3171" t="str">
            <v>Edu. Suministro E Instalación De Proyector Led De Suelo 3 Ww- 3 Vatios</v>
          </cell>
          <cell r="E3171" t="str">
            <v>UN</v>
          </cell>
          <cell r="F3171">
            <v>330880.81</v>
          </cell>
          <cell r="G3171">
            <v>42534</v>
          </cell>
        </row>
        <row r="3172">
          <cell r="C3172">
            <v>5870</v>
          </cell>
          <cell r="D3172" t="str">
            <v>Base  Material Granular Inv. 330-7 Para Nivelacion, Terreno, Incluye: Suministro, Extendida, Nivelacion, Humedecimiento U Compactacion E=20 Cms</v>
          </cell>
          <cell r="E3172" t="str">
            <v>M3</v>
          </cell>
          <cell r="F3172">
            <v>69697.179999999993</v>
          </cell>
          <cell r="G3172">
            <v>42524</v>
          </cell>
        </row>
        <row r="3173">
          <cell r="C3173">
            <v>5871</v>
          </cell>
          <cell r="D3173" t="str">
            <v>Edu. Suministro E Instalación De Luminaria Para Alumbrado Publico Tipo Led De 30 Vatios</v>
          </cell>
          <cell r="E3173" t="str">
            <v>UN</v>
          </cell>
          <cell r="F3173">
            <v>1587812.78</v>
          </cell>
          <cell r="G3173">
            <v>42534</v>
          </cell>
        </row>
        <row r="3174">
          <cell r="C3174">
            <v>5872</v>
          </cell>
          <cell r="D3174" t="str">
            <v>Edu.  Suministro E Instalación De Luminaria Led Dlxlum</v>
          </cell>
          <cell r="E3174" t="str">
            <v>UN</v>
          </cell>
          <cell r="F3174">
            <v>2298896.11</v>
          </cell>
          <cell r="G3174">
            <v>42534</v>
          </cell>
        </row>
        <row r="3175">
          <cell r="C3175">
            <v>5873</v>
          </cell>
          <cell r="D3175" t="str">
            <v>Edu. Suministro E Instalación De Sipra Externo</v>
          </cell>
          <cell r="E3175" t="str">
            <v>UN</v>
          </cell>
          <cell r="F3175">
            <v>10480721</v>
          </cell>
          <cell r="G3175">
            <v>42534</v>
          </cell>
        </row>
        <row r="3176">
          <cell r="C3176">
            <v>5874</v>
          </cell>
          <cell r="D3176" t="str">
            <v>Edu. Suministro E Instalación De Sipra Interno</v>
          </cell>
          <cell r="E3176" t="str">
            <v>UN</v>
          </cell>
          <cell r="F3176">
            <v>25164804</v>
          </cell>
          <cell r="G3176">
            <v>42534</v>
          </cell>
        </row>
        <row r="3177">
          <cell r="C3177">
            <v>5877</v>
          </cell>
          <cell r="D3177" t="str">
            <v>Edu. Levante En Boque De Concreto De 0.15 X 0.10 X 0.30 Metros</v>
          </cell>
          <cell r="E3177" t="str">
            <v>M2</v>
          </cell>
          <cell r="F3177">
            <v>74262.39</v>
          </cell>
          <cell r="G3177">
            <v>42534</v>
          </cell>
        </row>
        <row r="3178">
          <cell r="C3178">
            <v>5878</v>
          </cell>
          <cell r="D3178" t="str">
            <v>Edu. Suministro E Instalación De Panel De Muro Prefabricado En Concreto Con Abertura</v>
          </cell>
          <cell r="E3178" t="str">
            <v>M2</v>
          </cell>
          <cell r="F3178">
            <v>224402.5</v>
          </cell>
          <cell r="G3178">
            <v>42534</v>
          </cell>
        </row>
        <row r="3179">
          <cell r="C3179">
            <v>5883</v>
          </cell>
          <cell r="D3179" t="str">
            <v>Edu. Mesón En Concreto Fundido In Situ Con Acabado En Cristanac</v>
          </cell>
          <cell r="E3179" t="str">
            <v>M2</v>
          </cell>
          <cell r="F3179">
            <v>839427.13</v>
          </cell>
          <cell r="G3179">
            <v>42534</v>
          </cell>
        </row>
        <row r="3180">
          <cell r="C3180">
            <v>5885</v>
          </cell>
          <cell r="D3180" t="str">
            <v>Edu. Sistema Epoxico Para Piso Antideslizante (Ver Diseño)</v>
          </cell>
          <cell r="E3180" t="str">
            <v>M2</v>
          </cell>
          <cell r="F3180">
            <v>129126.42</v>
          </cell>
          <cell r="G3180">
            <v>42534</v>
          </cell>
        </row>
        <row r="3181">
          <cell r="C3181">
            <v>5886</v>
          </cell>
          <cell r="D3181" t="str">
            <v>Edu. Salpicadero En Mosaico De Vidrio (Cristanac)</v>
          </cell>
          <cell r="E3181" t="str">
            <v>M2</v>
          </cell>
          <cell r="F3181">
            <v>160474.44</v>
          </cell>
          <cell r="G3181">
            <v>42534</v>
          </cell>
        </row>
        <row r="3182">
          <cell r="C3182">
            <v>5887</v>
          </cell>
          <cell r="D3182" t="str">
            <v>Sub Base Granular Inv. B-320-07, Incluye Suministro, Extendida, Nivelacion, Humedecimiento Y Compactacion E=25 Cms</v>
          </cell>
          <cell r="E3182" t="str">
            <v>M3</v>
          </cell>
          <cell r="F3182">
            <v>56555.199999999997</v>
          </cell>
          <cell r="G3182">
            <v>42524</v>
          </cell>
        </row>
        <row r="3183">
          <cell r="C3183">
            <v>5888</v>
          </cell>
          <cell r="D3183" t="str">
            <v>Edu. Media Caña Piso En Concreto De 3500 Psi (Ver Diseño)</v>
          </cell>
          <cell r="E3183" t="str">
            <v>ML</v>
          </cell>
          <cell r="F3183">
            <v>27665.42</v>
          </cell>
          <cell r="G3183">
            <v>42534</v>
          </cell>
        </row>
        <row r="3184">
          <cell r="C3184">
            <v>5889</v>
          </cell>
          <cell r="D3184" t="str">
            <v>Edu. Pintura Interior Plástica Mate</v>
          </cell>
          <cell r="E3184" t="str">
            <v>M2</v>
          </cell>
          <cell r="F3184">
            <v>19772.12</v>
          </cell>
          <cell r="G3184">
            <v>42534</v>
          </cell>
        </row>
        <row r="3185">
          <cell r="C3185">
            <v>5891</v>
          </cell>
          <cell r="D3185" t="str">
            <v>Edu. Piso En Cristanac (Ver Diseño)</v>
          </cell>
          <cell r="E3185" t="str">
            <v>M2</v>
          </cell>
          <cell r="F3185">
            <v>96986.08</v>
          </cell>
          <cell r="G3185">
            <v>42534</v>
          </cell>
        </row>
        <row r="3186">
          <cell r="C3186">
            <v>5892</v>
          </cell>
          <cell r="D3186" t="str">
            <v>Edu. Protección Taludes Pañete</v>
          </cell>
          <cell r="E3186" t="str">
            <v>M2</v>
          </cell>
          <cell r="F3186">
            <v>32845</v>
          </cell>
          <cell r="G3186">
            <v>42534</v>
          </cell>
        </row>
        <row r="3187">
          <cell r="C3187">
            <v>5893</v>
          </cell>
          <cell r="D3187" t="str">
            <v>Edu. Suministro E Instalacion De Cristanac Sobre Muro (Ver Diseño)</v>
          </cell>
          <cell r="E3187" t="str">
            <v>M2</v>
          </cell>
          <cell r="F3187">
            <v>97054.99</v>
          </cell>
          <cell r="G3187">
            <v>42534</v>
          </cell>
        </row>
        <row r="3188">
          <cell r="C3188">
            <v>5895</v>
          </cell>
          <cell r="D3188" t="str">
            <v>Edu. Divisiones En Acero Inoxidable Para Orinales (Ver Diseño)</v>
          </cell>
          <cell r="E3188" t="str">
            <v>ML</v>
          </cell>
          <cell r="F3188">
            <v>49880.95</v>
          </cell>
          <cell r="G3188">
            <v>42534</v>
          </cell>
        </row>
        <row r="3189">
          <cell r="C3189">
            <v>5896</v>
          </cell>
          <cell r="D3189" t="str">
            <v>Edu.  Suministro E Instalacion De Perfil Tubular En Acero Inoxidable Diametro De 1" (Ver Diseño)</v>
          </cell>
          <cell r="E3189" t="str">
            <v>ML</v>
          </cell>
          <cell r="F3189">
            <v>55000</v>
          </cell>
          <cell r="G3189">
            <v>42538</v>
          </cell>
        </row>
        <row r="3190">
          <cell r="C3190">
            <v>5897</v>
          </cell>
          <cell r="D3190" t="str">
            <v>Edu. Sistema Epoxico Para Piso Semiliso (Ver Diseño)</v>
          </cell>
          <cell r="E3190" t="str">
            <v>M2</v>
          </cell>
          <cell r="F3190">
            <v>126880</v>
          </cell>
          <cell r="G3190">
            <v>42534</v>
          </cell>
        </row>
        <row r="3191">
          <cell r="C3191">
            <v>5898</v>
          </cell>
          <cell r="D3191" t="str">
            <v>Edu. Concreto De 4000 Psi Para Porticos (Ver Diseño)</v>
          </cell>
          <cell r="E3191" t="str">
            <v>M3</v>
          </cell>
          <cell r="F3191">
            <v>648145.06000000006</v>
          </cell>
          <cell r="G3191">
            <v>42534</v>
          </cell>
        </row>
        <row r="3192">
          <cell r="C3192">
            <v>5899</v>
          </cell>
          <cell r="D3192" t="str">
            <v>Edu. Concreto De 4000 Psi Losa Maciza E= 0.14 (Ver Diseño)</v>
          </cell>
          <cell r="E3192" t="str">
            <v>M2</v>
          </cell>
          <cell r="F3192">
            <v>140967.15</v>
          </cell>
          <cell r="G3192">
            <v>42534</v>
          </cell>
        </row>
        <row r="3193">
          <cell r="C3193">
            <v>5900</v>
          </cell>
          <cell r="D3193" t="str">
            <v>Edu. Concreto De 4000 Psi Para Vigas (Ver Diseño)</v>
          </cell>
          <cell r="E3193" t="str">
            <v>M3</v>
          </cell>
          <cell r="F3193">
            <v>646729.14</v>
          </cell>
          <cell r="G3193">
            <v>42534</v>
          </cell>
        </row>
        <row r="3194">
          <cell r="C3194">
            <v>5901</v>
          </cell>
          <cell r="D3194" t="str">
            <v>Edu. Concreto De 4000 Psi Para Escalera (Ver Diseño)</v>
          </cell>
          <cell r="E3194" t="str">
            <v>M3</v>
          </cell>
          <cell r="F3194">
            <v>1220293.3899999999</v>
          </cell>
          <cell r="G3194">
            <v>42534</v>
          </cell>
        </row>
        <row r="3195">
          <cell r="C3195">
            <v>5902</v>
          </cell>
          <cell r="D3195" t="str">
            <v>Capitulo Calle 78 A</v>
          </cell>
          <cell r="E3195" t="str">
            <v>M3</v>
          </cell>
          <cell r="F3195">
            <v>10835961139</v>
          </cell>
          <cell r="G3195">
            <v>42524</v>
          </cell>
        </row>
        <row r="3196">
          <cell r="C3196">
            <v>5903</v>
          </cell>
          <cell r="D3196" t="str">
            <v>Calle 87A</v>
          </cell>
          <cell r="E3196" t="str">
            <v>UN</v>
          </cell>
          <cell r="F3196">
            <v>112597543.27</v>
          </cell>
          <cell r="G3196">
            <v>42524</v>
          </cell>
        </row>
        <row r="3197">
          <cell r="C3197">
            <v>5904</v>
          </cell>
          <cell r="D3197" t="str">
            <v>Pavimento Asfaltico Mdc - 19</v>
          </cell>
          <cell r="E3197" t="str">
            <v>M3</v>
          </cell>
          <cell r="F3197">
            <v>681720.9</v>
          </cell>
          <cell r="G3197">
            <v>42753</v>
          </cell>
        </row>
        <row r="3198">
          <cell r="C3198">
            <v>5913</v>
          </cell>
          <cell r="D3198" t="str">
            <v>Excavacion A Maquina Y Retiro De Materiales</v>
          </cell>
          <cell r="E3198" t="str">
            <v>M3</v>
          </cell>
          <cell r="F3198">
            <v>22808.19</v>
          </cell>
          <cell r="G3198">
            <v>42524</v>
          </cell>
        </row>
        <row r="3199">
          <cell r="C3199">
            <v>5914</v>
          </cell>
          <cell r="D3199" t="str">
            <v>Edu. Pañete Dilatado (Ver Diseño)</v>
          </cell>
          <cell r="E3199" t="str">
            <v>M2</v>
          </cell>
          <cell r="F3199">
            <v>18794.09</v>
          </cell>
          <cell r="G3199">
            <v>42538</v>
          </cell>
        </row>
        <row r="3200">
          <cell r="C3200">
            <v>5916</v>
          </cell>
          <cell r="D3200" t="str">
            <v>Edu. Piso De Porcelanato Tipo Monaco Corona O Similar De 0.60 X 0.60 Metros (Ver Diseño)</v>
          </cell>
          <cell r="E3200" t="str">
            <v>M2</v>
          </cell>
          <cell r="F3200">
            <v>67474.38</v>
          </cell>
          <cell r="G3200">
            <v>42538</v>
          </cell>
        </row>
        <row r="3201">
          <cell r="C3201">
            <v>5917</v>
          </cell>
          <cell r="D3201" t="str">
            <v>Edu. Piso De Porcelanato Flux Rec Lava Corona O Similar De 0.272 X 0.554 (Ver Diseño)</v>
          </cell>
          <cell r="E3201" t="str">
            <v>M2</v>
          </cell>
          <cell r="F3201">
            <v>62231.23</v>
          </cell>
          <cell r="G3201">
            <v>42538</v>
          </cell>
        </row>
        <row r="3202">
          <cell r="C3202">
            <v>5918</v>
          </cell>
          <cell r="D3202" t="str">
            <v>Edu. Piso De Porcelanato Soho Gris Corona O Similar De 0.60 X 0.60 Metros (Ver Diseño)</v>
          </cell>
          <cell r="E3202" t="str">
            <v>M2</v>
          </cell>
          <cell r="F3202">
            <v>54881.23</v>
          </cell>
          <cell r="G3202">
            <v>42538</v>
          </cell>
        </row>
        <row r="3203">
          <cell r="C3203">
            <v>5919</v>
          </cell>
          <cell r="D3203" t="str">
            <v>Edu. Zocalo En Guardaescobas De Porcelanato Tipo Monaco Corona O Similar De 0.60 X 0.60 Metros (Ver Diseño)</v>
          </cell>
          <cell r="E3203" t="str">
            <v>ML</v>
          </cell>
          <cell r="F3203">
            <v>11962</v>
          </cell>
          <cell r="G3203">
            <v>42538</v>
          </cell>
        </row>
        <row r="3204">
          <cell r="C3204">
            <v>5920</v>
          </cell>
          <cell r="D3204" t="str">
            <v>Edu. Zocalo En Guardaescobas De Porcelanato Flux Rec Lava Corona O Similar 0.272 X 0.554 (Ver Diseño)</v>
          </cell>
          <cell r="E3204" t="str">
            <v>ML</v>
          </cell>
          <cell r="F3204">
            <v>11438.05</v>
          </cell>
          <cell r="G3204">
            <v>42538</v>
          </cell>
        </row>
        <row r="3205">
          <cell r="C3205">
            <v>5921</v>
          </cell>
          <cell r="D3205" t="str">
            <v>Calle 78 A</v>
          </cell>
          <cell r="E3205" t="str">
            <v>UN</v>
          </cell>
          <cell r="F3205">
            <v>0</v>
          </cell>
          <cell r="G3205">
            <v>42528</v>
          </cell>
        </row>
        <row r="3206">
          <cell r="C3206">
            <v>5922</v>
          </cell>
          <cell r="D3206" t="str">
            <v>Edu. Zocalo En Guardaescobas De Porcelanato Soho Gris Corona O Similar De 0.60 X 0.60 Metros (Ver Diseño)</v>
          </cell>
          <cell r="E3206" t="str">
            <v>ML</v>
          </cell>
          <cell r="F3206">
            <v>10703.05</v>
          </cell>
          <cell r="G3206">
            <v>42538</v>
          </cell>
        </row>
        <row r="3207">
          <cell r="C3207">
            <v>5923</v>
          </cell>
          <cell r="D3207" t="str">
            <v>Edu. Piso Concreto Texturizado (Ver Diseño)</v>
          </cell>
          <cell r="E3207" t="str">
            <v>M2</v>
          </cell>
          <cell r="F3207">
            <v>73966.42</v>
          </cell>
          <cell r="G3207">
            <v>42538</v>
          </cell>
        </row>
        <row r="3208">
          <cell r="C3208">
            <v>5924</v>
          </cell>
          <cell r="D3208" t="str">
            <v>Edu. Piso Madera Quis K Lock Connox Sport (Ver Diseño)</v>
          </cell>
          <cell r="E3208" t="str">
            <v>M2</v>
          </cell>
          <cell r="F3208">
            <v>1199484.51</v>
          </cell>
          <cell r="G3208">
            <v>42538</v>
          </cell>
        </row>
        <row r="3209">
          <cell r="C3209">
            <v>5925</v>
          </cell>
          <cell r="D3209" t="str">
            <v>Edu. Suministro E Instalacion De Celosia C23E Hunter Douglas O Similar (Ver Diseño)</v>
          </cell>
          <cell r="E3209" t="str">
            <v>M2</v>
          </cell>
          <cell r="F3209">
            <v>138760</v>
          </cell>
          <cell r="G3209">
            <v>42619</v>
          </cell>
        </row>
        <row r="3210">
          <cell r="C3210">
            <v>5926</v>
          </cell>
          <cell r="D3210" t="str">
            <v>Edu. Suministro E Instalacion De Cortasol Aeroscreen Hunter Douglas O Similiar (Ver Diseño)</v>
          </cell>
          <cell r="E3210" t="str">
            <v>M2</v>
          </cell>
          <cell r="F3210">
            <v>188760</v>
          </cell>
          <cell r="G3210">
            <v>42619</v>
          </cell>
        </row>
        <row r="3211">
          <cell r="C3211">
            <v>5927</v>
          </cell>
          <cell r="D3211" t="str">
            <v>Edu. Suministro E Instalacion De Puerta De Vidrio En Semisotano Y Segundo Piso P6, P11, P12, P13, P14, P15, P16, P17, P18, P19. (Ver Diseño)</v>
          </cell>
          <cell r="E3211" t="str">
            <v>M2</v>
          </cell>
          <cell r="F3211">
            <v>550000</v>
          </cell>
          <cell r="G3211">
            <v>42538</v>
          </cell>
        </row>
        <row r="3212">
          <cell r="C3212">
            <v>5928</v>
          </cell>
          <cell r="D3212" t="str">
            <v>Subbase Granular Inv B-320, Incluye Suministro, Extendida, Nivelacion, Humedecimiento Y Compactacion</v>
          </cell>
          <cell r="E3212" t="str">
            <v>M3</v>
          </cell>
          <cell r="F3212">
            <v>56350</v>
          </cell>
          <cell r="G3212">
            <v>42528</v>
          </cell>
        </row>
        <row r="3213">
          <cell r="C3213">
            <v>5929</v>
          </cell>
          <cell r="D3213" t="str">
            <v>Edu. Suministro, Fabricacion Y Montaje De Cubierta No Estructural Segun Detalles Con Laminas En Cubierta Translucida Thermoacustica (Ver Diseño)</v>
          </cell>
          <cell r="E3213" t="str">
            <v>M2</v>
          </cell>
          <cell r="F3213">
            <v>57585</v>
          </cell>
          <cell r="G3213">
            <v>42538</v>
          </cell>
        </row>
        <row r="3214">
          <cell r="C3214">
            <v>5930</v>
          </cell>
          <cell r="D3214" t="str">
            <v>Edu. Sillas Fijas (Ver Diseño)</v>
          </cell>
          <cell r="E3214" t="str">
            <v>UN</v>
          </cell>
          <cell r="F3214">
            <v>95446.2</v>
          </cell>
          <cell r="G3214">
            <v>42538</v>
          </cell>
        </row>
        <row r="3215">
          <cell r="C3215">
            <v>5931</v>
          </cell>
          <cell r="D3215" t="str">
            <v>Edu. Sillas Discapacitados (Ver Diseño)</v>
          </cell>
          <cell r="E3215" t="str">
            <v>UN</v>
          </cell>
          <cell r="F3215">
            <v>160000</v>
          </cell>
          <cell r="G3215">
            <v>42528</v>
          </cell>
        </row>
        <row r="3216">
          <cell r="C3216">
            <v>5932</v>
          </cell>
          <cell r="D3216" t="str">
            <v>Edu. Sillas V.I.P. (Ver Diseño)</v>
          </cell>
          <cell r="E3216" t="str">
            <v>UN</v>
          </cell>
          <cell r="F3216">
            <v>484275</v>
          </cell>
          <cell r="G3216">
            <v>42538</v>
          </cell>
        </row>
        <row r="3217">
          <cell r="C3217">
            <v>5933</v>
          </cell>
          <cell r="D3217" t="str">
            <v>Edu. Punto De Ventilacion De 3" (Ver Diseño)</v>
          </cell>
          <cell r="E3217" t="str">
            <v>UN</v>
          </cell>
          <cell r="F3217">
            <v>29352.67</v>
          </cell>
          <cell r="G3217">
            <v>42538</v>
          </cell>
        </row>
        <row r="3218">
          <cell r="C3218">
            <v>5934</v>
          </cell>
          <cell r="D3218" t="str">
            <v>Edu. Suministro E Instalacion Revestimiento Con Placas Trespa O Similar</v>
          </cell>
          <cell r="E3218" t="str">
            <v>M2</v>
          </cell>
          <cell r="F3218">
            <v>708599.3</v>
          </cell>
          <cell r="G3218">
            <v>42619</v>
          </cell>
        </row>
        <row r="3219">
          <cell r="C3219">
            <v>5935</v>
          </cell>
          <cell r="D3219" t="str">
            <v>Edu. Tuberia De 8" Aguas Lluvias Enter. (Ver Diseño)</v>
          </cell>
          <cell r="E3219" t="str">
            <v>ML</v>
          </cell>
          <cell r="F3219">
            <v>39375.089999999997</v>
          </cell>
          <cell r="G3219">
            <v>42538</v>
          </cell>
        </row>
        <row r="3220">
          <cell r="C3220">
            <v>5936</v>
          </cell>
          <cell r="D3220" t="str">
            <v>Edu. Montante De 3" De Ventilacion (Ver Diseño)</v>
          </cell>
          <cell r="E3220" t="str">
            <v>ML</v>
          </cell>
          <cell r="F3220">
            <v>33436.879999999997</v>
          </cell>
          <cell r="G3220">
            <v>42538</v>
          </cell>
        </row>
        <row r="3221">
          <cell r="C3221">
            <v>5937</v>
          </cell>
          <cell r="D3221" t="str">
            <v>Edu. Montante De 2" De Ventilacion (Ver Diseño)</v>
          </cell>
          <cell r="E3221" t="str">
            <v>ML</v>
          </cell>
          <cell r="F3221">
            <v>29098.35</v>
          </cell>
          <cell r="G3221">
            <v>42538</v>
          </cell>
        </row>
        <row r="3222">
          <cell r="C3222">
            <v>5938</v>
          </cell>
          <cell r="D3222" t="str">
            <v>Edu. Tuberia Montante De 2 1/2" Pvc (Ver Diseño)</v>
          </cell>
          <cell r="E3222" t="str">
            <v>ML</v>
          </cell>
          <cell r="F3222">
            <v>31376.560000000001</v>
          </cell>
          <cell r="G3222">
            <v>42538</v>
          </cell>
        </row>
        <row r="3223">
          <cell r="C3223">
            <v>5939</v>
          </cell>
          <cell r="D3223" t="str">
            <v>Edu. Valvula Red White De 2 1/2" (Ver Diseño)</v>
          </cell>
          <cell r="E3223" t="str">
            <v>UN</v>
          </cell>
          <cell r="F3223">
            <v>227105</v>
          </cell>
          <cell r="G3223">
            <v>42572</v>
          </cell>
        </row>
        <row r="3224">
          <cell r="C3224">
            <v>5940</v>
          </cell>
          <cell r="D3224" t="str">
            <v>Edu. Sanitario De Fluxometro Con Griferia Antivandalica Y Sensor De Descarga (Ver Diseño)</v>
          </cell>
          <cell r="E3224" t="str">
            <v>UN</v>
          </cell>
          <cell r="F3224">
            <v>452779.36</v>
          </cell>
          <cell r="G3224">
            <v>42538</v>
          </cell>
        </row>
        <row r="3225">
          <cell r="C3225">
            <v>5941</v>
          </cell>
          <cell r="D3225" t="str">
            <v>Edu. Meson En Acero Inoxidable Lavaplatos, Incluye Griferia (Ver Diseño)</v>
          </cell>
          <cell r="E3225" t="str">
            <v>UN</v>
          </cell>
          <cell r="F3225">
            <v>405401.65</v>
          </cell>
          <cell r="G3225">
            <v>42538</v>
          </cell>
        </row>
        <row r="3226">
          <cell r="C3226">
            <v>5942</v>
          </cell>
          <cell r="D3226" t="str">
            <v>Via Ceec</v>
          </cell>
          <cell r="E3226" t="str">
            <v>UN</v>
          </cell>
          <cell r="F3226">
            <v>0</v>
          </cell>
          <cell r="G3226">
            <v>42531</v>
          </cell>
        </row>
        <row r="3227">
          <cell r="C3227">
            <v>5943</v>
          </cell>
          <cell r="D3227" t="str">
            <v>Edu. Tablero De Distribucion Autosoportado 160 X 80 X 40 Cms (Ver Diseño)</v>
          </cell>
          <cell r="E3227" t="str">
            <v>UN</v>
          </cell>
          <cell r="F3227">
            <v>8122068.1900000004</v>
          </cell>
          <cell r="G3227">
            <v>42538</v>
          </cell>
        </row>
        <row r="3228">
          <cell r="C3228">
            <v>5944</v>
          </cell>
          <cell r="D3228" t="str">
            <v>Edu. Transferencia Trifasica Automatica De 225 Kva (Ver Diseño)</v>
          </cell>
          <cell r="E3228" t="str">
            <v>UN</v>
          </cell>
          <cell r="F3228">
            <v>65451020.969999999</v>
          </cell>
          <cell r="G3228">
            <v>42538</v>
          </cell>
        </row>
        <row r="3229">
          <cell r="C3229">
            <v>5945</v>
          </cell>
          <cell r="D3229" t="str">
            <v>Edu. Descargador De Sobretension Para Tableros De B.T. Tres Fases (Ver Diseño)</v>
          </cell>
          <cell r="E3229" t="str">
            <v>UN</v>
          </cell>
          <cell r="F3229">
            <v>520099.62</v>
          </cell>
          <cell r="G3229">
            <v>42614</v>
          </cell>
        </row>
        <row r="3230">
          <cell r="C3230">
            <v>5946</v>
          </cell>
          <cell r="D3230" t="str">
            <v>Edu. Instalacion Reflector Aero-Led (Ver Diseño)</v>
          </cell>
          <cell r="E3230" t="str">
            <v>UN</v>
          </cell>
          <cell r="F3230">
            <v>1121106.92</v>
          </cell>
          <cell r="G3230">
            <v>42538</v>
          </cell>
        </row>
        <row r="3231">
          <cell r="C3231">
            <v>5947</v>
          </cell>
          <cell r="D3231" t="str">
            <v>Edu. Interruptor Triple (Ver Diseño)</v>
          </cell>
          <cell r="E3231" t="str">
            <v>UN</v>
          </cell>
          <cell r="F3231">
            <v>95849.63</v>
          </cell>
          <cell r="G3231">
            <v>42538</v>
          </cell>
        </row>
        <row r="3232">
          <cell r="C3232">
            <v>5948</v>
          </cell>
          <cell r="D3232" t="str">
            <v>Edu. Tablero De Medida Trifasico Autosoportado 16 Medidores Monofasicos 3H (Ver Diseño)</v>
          </cell>
          <cell r="E3232" t="str">
            <v>UN</v>
          </cell>
          <cell r="F3232">
            <v>16927584.23</v>
          </cell>
          <cell r="G3232">
            <v>42538</v>
          </cell>
        </row>
        <row r="3233">
          <cell r="C3233">
            <v>5949</v>
          </cell>
          <cell r="D3233" t="str">
            <v>Edu. Suministro E Instalacion De Aire Acondicionado De 7.5 Toneladas Serie 13 Camerinos (Ver Diseño9</v>
          </cell>
          <cell r="E3233" t="str">
            <v>UN</v>
          </cell>
          <cell r="F3233">
            <v>36455136.32</v>
          </cell>
          <cell r="G3233">
            <v>42538</v>
          </cell>
        </row>
        <row r="3234">
          <cell r="C3234">
            <v>5950</v>
          </cell>
          <cell r="D3234" t="str">
            <v>Edu. Sumisintro E Instalacion De Face Plate Doble Amp. (Ver Diseño)</v>
          </cell>
          <cell r="E3234" t="str">
            <v>UN</v>
          </cell>
          <cell r="F3234">
            <v>14597.7</v>
          </cell>
          <cell r="G3234">
            <v>42538</v>
          </cell>
        </row>
        <row r="3235">
          <cell r="C3235">
            <v>5951</v>
          </cell>
          <cell r="D3235" t="str">
            <v>Edu. Suminstro E Instalacion De Rack De Pared De 9Ru (Ver Diseño)</v>
          </cell>
          <cell r="E3235" t="str">
            <v>UN</v>
          </cell>
          <cell r="F3235">
            <v>2164499.33</v>
          </cell>
          <cell r="G3235">
            <v>42538</v>
          </cell>
        </row>
        <row r="3236">
          <cell r="C3236">
            <v>5952</v>
          </cell>
          <cell r="D3236" t="str">
            <v>Edu. Suministro E Instalacion De Switch 24 Puertos Modulo De Fibra (Ver Diseño)</v>
          </cell>
          <cell r="E3236" t="str">
            <v>UN</v>
          </cell>
          <cell r="F3236">
            <v>12782492.380000001</v>
          </cell>
          <cell r="G3236">
            <v>42538</v>
          </cell>
        </row>
        <row r="3237">
          <cell r="C3237">
            <v>5953</v>
          </cell>
          <cell r="D3237" t="str">
            <v>Edu. Suministro E Instalacion De Face Plate Fibra Optica (Ver Diseño)</v>
          </cell>
          <cell r="E3237" t="str">
            <v>UN</v>
          </cell>
          <cell r="F3237">
            <v>63385.4</v>
          </cell>
          <cell r="G3237">
            <v>42538</v>
          </cell>
        </row>
        <row r="3238">
          <cell r="C3238">
            <v>5954</v>
          </cell>
          <cell r="D3238" t="str">
            <v>Edu. Suministro E Instalacion De Bandeja De Fibra De 12 Hilos Deslizable 1U Vacia Soporta 3 Adaptadores (Ver Diseño)</v>
          </cell>
          <cell r="E3238" t="str">
            <v>UN</v>
          </cell>
          <cell r="F3238">
            <v>913452.55</v>
          </cell>
          <cell r="G3238">
            <v>42538</v>
          </cell>
        </row>
        <row r="3239">
          <cell r="C3239">
            <v>5955</v>
          </cell>
          <cell r="D3239" t="str">
            <v>Edu. Suministro E Instalacion De Adaptador Para Bandeja De 12 Fibras Lc 50 Um (Ver Diseño)</v>
          </cell>
          <cell r="E3239" t="str">
            <v>UN</v>
          </cell>
          <cell r="F3239">
            <v>329022.37</v>
          </cell>
          <cell r="G3239">
            <v>42538</v>
          </cell>
        </row>
        <row r="3240">
          <cell r="C3240">
            <v>5956</v>
          </cell>
          <cell r="D3240" t="str">
            <v>Edu. Sipra Externo Coliseo Elias Chewing, Incluye Suministro E Instalacion (Ver Diseño)</v>
          </cell>
          <cell r="E3240" t="str">
            <v>UN</v>
          </cell>
          <cell r="F3240">
            <v>19997838.850000001</v>
          </cell>
          <cell r="G3240">
            <v>42538</v>
          </cell>
        </row>
        <row r="3241">
          <cell r="C3241">
            <v>5957</v>
          </cell>
          <cell r="D3241" t="str">
            <v>Edu. Sipra Interno Coliseo Elias Chewing, Incluye Suministro E Instalacion (Ver Diseño)</v>
          </cell>
          <cell r="E3241" t="str">
            <v>UN</v>
          </cell>
          <cell r="F3241">
            <v>8997714.0299999993</v>
          </cell>
          <cell r="G3241">
            <v>42618</v>
          </cell>
        </row>
        <row r="3242">
          <cell r="C3242">
            <v>5958</v>
          </cell>
          <cell r="D3242" t="str">
            <v>Construccion De Pilote En Suelo Cemento D = 50 Cms, Incluye Excavacion, Relleno, Mano De Obra, H=6 O 9 M</v>
          </cell>
          <cell r="E3242" t="str">
            <v>ML</v>
          </cell>
          <cell r="F3242">
            <v>127494</v>
          </cell>
          <cell r="G3242">
            <v>42528</v>
          </cell>
        </row>
        <row r="3243">
          <cell r="C3243">
            <v>5963</v>
          </cell>
          <cell r="D3243" t="str">
            <v>Tablestaca Tipo 1 (5,8 M) - Suministro E Hincado</v>
          </cell>
          <cell r="E3243" t="str">
            <v>ML</v>
          </cell>
          <cell r="F3243">
            <v>270000</v>
          </cell>
          <cell r="G3243">
            <v>42528</v>
          </cell>
        </row>
        <row r="3244">
          <cell r="C3244">
            <v>5964</v>
          </cell>
          <cell r="D3244" t="str">
            <v>Grua Autopropulsada De Brazo Telescopico, Capacidad De Elevacion De 30 Ton Y 27 M De Altura Max</v>
          </cell>
          <cell r="E3244" t="str">
            <v>ML</v>
          </cell>
          <cell r="F3244">
            <v>450000</v>
          </cell>
          <cell r="G3244">
            <v>42528</v>
          </cell>
        </row>
        <row r="3245">
          <cell r="C3245">
            <v>5966</v>
          </cell>
          <cell r="D3245" t="str">
            <v>Tablestaca</v>
          </cell>
          <cell r="E3245" t="str">
            <v>ML</v>
          </cell>
          <cell r="F3245">
            <v>16213.75</v>
          </cell>
          <cell r="G3245">
            <v>42528</v>
          </cell>
        </row>
        <row r="3246">
          <cell r="C3246">
            <v>5967</v>
          </cell>
          <cell r="D3246" t="str">
            <v>Edu. Tablestaca Tipo 1 (H =5,8 Metros) -Suministro E Hincado (Ver Diseño)</v>
          </cell>
          <cell r="E3246" t="str">
            <v>ML</v>
          </cell>
          <cell r="F3246">
            <v>2321925</v>
          </cell>
          <cell r="G3246">
            <v>42552</v>
          </cell>
        </row>
        <row r="3247">
          <cell r="C3247">
            <v>5968</v>
          </cell>
          <cell r="D3247" t="str">
            <v>Edu. Tablestaca Tipo 2 (H=7,2 Metros) - Suministro E Hincado (Ver Diseño)</v>
          </cell>
          <cell r="E3247" t="str">
            <v>ML</v>
          </cell>
          <cell r="F3247">
            <v>3665759.13</v>
          </cell>
          <cell r="G3247">
            <v>42552</v>
          </cell>
        </row>
        <row r="3248">
          <cell r="C3248">
            <v>5971</v>
          </cell>
          <cell r="D3248" t="str">
            <v>Edu. Tablestaca Tipo 3  (H=9,0 Metros)-Suministro E Hincado (Ver Diseño)</v>
          </cell>
          <cell r="E3248" t="str">
            <v>ML</v>
          </cell>
          <cell r="F3248">
            <v>4557350</v>
          </cell>
          <cell r="G3248">
            <v>42552</v>
          </cell>
        </row>
        <row r="3249">
          <cell r="C3249">
            <v>5972</v>
          </cell>
          <cell r="D3249" t="str">
            <v>Edu. Capa De Conformacion Pilotes E=0,1 M, Material Seleionado Para Terraple Tipo Inc 220 - 7</v>
          </cell>
          <cell r="E3249" t="str">
            <v>M2</v>
          </cell>
          <cell r="F3249">
            <v>4291.25</v>
          </cell>
          <cell r="G3249">
            <v>42552</v>
          </cell>
        </row>
        <row r="3250">
          <cell r="C3250">
            <v>5974</v>
          </cell>
          <cell r="D3250" t="str">
            <v>Pedraplen Lecho Drenante E = 50 Cm</v>
          </cell>
          <cell r="E3250" t="str">
            <v>M3</v>
          </cell>
          <cell r="F3250">
            <v>47240.5</v>
          </cell>
          <cell r="G3250">
            <v>42529</v>
          </cell>
        </row>
        <row r="3251">
          <cell r="C3251">
            <v>5975</v>
          </cell>
          <cell r="D3251" t="str">
            <v>Estabilizacion De Terreno Y Contencion De Orilla</v>
          </cell>
          <cell r="E3251" t="str">
            <v>UN</v>
          </cell>
          <cell r="F3251">
            <v>0</v>
          </cell>
          <cell r="G3251">
            <v>42529</v>
          </cell>
        </row>
        <row r="3252">
          <cell r="C3252">
            <v>5976</v>
          </cell>
          <cell r="D3252" t="str">
            <v>Cimentaciones - Zona Comercial</v>
          </cell>
          <cell r="E3252" t="str">
            <v>UN</v>
          </cell>
          <cell r="F3252">
            <v>0</v>
          </cell>
          <cell r="G3252">
            <v>42529</v>
          </cell>
        </row>
        <row r="3253">
          <cell r="C3253">
            <v>5985</v>
          </cell>
          <cell r="D3253" t="str">
            <v>Edu. Geomalla Uniaxial 27,1 X 30,6 - (Ux - 50 )</v>
          </cell>
          <cell r="E3253" t="str">
            <v>M2</v>
          </cell>
          <cell r="F3253">
            <v>9100.7099999999991</v>
          </cell>
          <cell r="G3253">
            <v>42552</v>
          </cell>
        </row>
        <row r="3254">
          <cell r="C3254">
            <v>5986</v>
          </cell>
          <cell r="D3254" t="str">
            <v>Edu. Geomalla Uniaxial 26,1 X 31,7 (Ux - 75 )</v>
          </cell>
          <cell r="E3254" t="str">
            <v>M2</v>
          </cell>
          <cell r="F3254">
            <v>11719.73</v>
          </cell>
          <cell r="G3254">
            <v>42552</v>
          </cell>
        </row>
        <row r="3255">
          <cell r="C3255">
            <v>5987</v>
          </cell>
          <cell r="D3255" t="str">
            <v>Edu. Geomalla Uniaxial 19,5 X 29,  (Ux 100)</v>
          </cell>
          <cell r="E3255" t="str">
            <v>M2</v>
          </cell>
          <cell r="F3255">
            <v>13886.23</v>
          </cell>
          <cell r="G3255">
            <v>42552</v>
          </cell>
        </row>
        <row r="3256">
          <cell r="C3256">
            <v>5988</v>
          </cell>
          <cell r="D3256" t="str">
            <v>Edu. Geotextil  No Nt F - 30G Para Cierre De Capas</v>
          </cell>
          <cell r="E3256" t="str">
            <v>M2</v>
          </cell>
          <cell r="F3256">
            <v>6471.04</v>
          </cell>
          <cell r="G3256">
            <v>42552</v>
          </cell>
        </row>
        <row r="3257">
          <cell r="C3257">
            <v>5989</v>
          </cell>
          <cell r="D3257" t="str">
            <v>Edu. Geodren Ancho 0.5 - Drenaje Horizontal</v>
          </cell>
          <cell r="E3257" t="str">
            <v>ML</v>
          </cell>
          <cell r="F3257">
            <v>19218.02</v>
          </cell>
          <cell r="G3257">
            <v>42552</v>
          </cell>
        </row>
        <row r="3258">
          <cell r="C3258">
            <v>5990</v>
          </cell>
          <cell r="D3258" t="str">
            <v>Edu. Geodren Planar Ancho 1.0 - Drenaje Trasdos De Muro</v>
          </cell>
          <cell r="E3258" t="str">
            <v>ML</v>
          </cell>
          <cell r="F3258">
            <v>47878.86</v>
          </cell>
          <cell r="G3258">
            <v>42552</v>
          </cell>
        </row>
        <row r="3259">
          <cell r="C3259">
            <v>5993</v>
          </cell>
          <cell r="D3259" t="str">
            <v>Geodren Planar Ancho 1,0 - Drenaje Trasdos De Muro</v>
          </cell>
          <cell r="E3259" t="str">
            <v>ML</v>
          </cell>
          <cell r="F3259">
            <v>43814.99</v>
          </cell>
          <cell r="G3259">
            <v>42531</v>
          </cell>
        </row>
        <row r="3260">
          <cell r="C3260">
            <v>5995</v>
          </cell>
          <cell r="D3260" t="str">
            <v>Edu. Geodren Tubular 2M Para Dren Longitudinal</v>
          </cell>
          <cell r="E3260" t="str">
            <v>ML</v>
          </cell>
          <cell r="F3260">
            <v>79491.42</v>
          </cell>
          <cell r="G3260">
            <v>42552</v>
          </cell>
        </row>
        <row r="3261">
          <cell r="C3261">
            <v>5996</v>
          </cell>
          <cell r="D3261" t="str">
            <v>Edu. Tuberia De Drenaje Perforada 4" Longitudinal</v>
          </cell>
          <cell r="E3261" t="str">
            <v>ML</v>
          </cell>
          <cell r="F3261">
            <v>27535.08</v>
          </cell>
          <cell r="G3261">
            <v>42552</v>
          </cell>
        </row>
        <row r="3262">
          <cell r="C3262">
            <v>5997</v>
          </cell>
          <cell r="D3262" t="str">
            <v>Tuberia De Drenaje Perforada 42" Longitudinal</v>
          </cell>
          <cell r="E3262" t="str">
            <v>ML</v>
          </cell>
          <cell r="F3262">
            <v>31088.37</v>
          </cell>
          <cell r="G3262">
            <v>42530</v>
          </cell>
        </row>
        <row r="3263">
          <cell r="C3263">
            <v>6010</v>
          </cell>
          <cell r="D3263" t="str">
            <v>Cunetas Fundidas En Sitio En Concreto F"C = 28 Mpa ( 4000 ) Tipo 1 , 2</v>
          </cell>
          <cell r="E3263" t="str">
            <v>M3</v>
          </cell>
          <cell r="F3263">
            <v>513658.6</v>
          </cell>
          <cell r="G3263">
            <v>42530</v>
          </cell>
        </row>
        <row r="3264">
          <cell r="C3264">
            <v>6012</v>
          </cell>
          <cell r="D3264" t="str">
            <v>Cuneta Fundida En Sitio En Concreto F"C = 28 Mpa (4000Psi) Tipos 1 Y 2 (Ver Diseño)</v>
          </cell>
          <cell r="E3264" t="str">
            <v>M3</v>
          </cell>
          <cell r="F3264">
            <v>595022.31000000006</v>
          </cell>
          <cell r="G3264">
            <v>42552</v>
          </cell>
        </row>
        <row r="3265">
          <cell r="C3265">
            <v>6015</v>
          </cell>
          <cell r="D3265" t="str">
            <v>Edu. Concreto De 4000 Psi Impermeabilizado Premezclado Para Revestimiento Fondo De Placa, Muros, Vigas, Solados, Anden - Ver Diseño</v>
          </cell>
          <cell r="E3265" t="str">
            <v>M3</v>
          </cell>
          <cell r="F3265">
            <v>767086.05</v>
          </cell>
          <cell r="G3265">
            <v>42587</v>
          </cell>
        </row>
        <row r="3266">
          <cell r="C3266">
            <v>6019</v>
          </cell>
          <cell r="D3266" t="str">
            <v>Tanque En Concreto Para Sistema De Riego F"C = 28 Mpa (4000 Psi )</v>
          </cell>
          <cell r="E3266" t="str">
            <v>M3</v>
          </cell>
          <cell r="F3266">
            <v>504294</v>
          </cell>
          <cell r="G3266">
            <v>42530</v>
          </cell>
        </row>
        <row r="3267">
          <cell r="C3267">
            <v>6020</v>
          </cell>
          <cell r="D3267" t="str">
            <v>Tanque En Concreto Para Sistema De Riego F"C = 28 Mpa (4000 Psi)-Ver Diseño</v>
          </cell>
          <cell r="E3267" t="str">
            <v>M3</v>
          </cell>
          <cell r="F3267">
            <v>928880.3</v>
          </cell>
          <cell r="G3267">
            <v>42552</v>
          </cell>
        </row>
        <row r="3268">
          <cell r="C3268">
            <v>6032</v>
          </cell>
          <cell r="D3268" t="str">
            <v>Edu. Tierra Armada - Relleno En Material Suelo Cemento 8% (Ver Diseño)</v>
          </cell>
          <cell r="E3268" t="str">
            <v>M3</v>
          </cell>
          <cell r="F3268">
            <v>157549.07</v>
          </cell>
          <cell r="G3268">
            <v>42552</v>
          </cell>
        </row>
        <row r="3269">
          <cell r="C3269">
            <v>6033</v>
          </cell>
          <cell r="D3269" t="str">
            <v>Capitulo. Excavaciones Y Cimentaciones Zona Comercial</v>
          </cell>
          <cell r="E3269" t="str">
            <v>UN</v>
          </cell>
          <cell r="G3269">
            <v>42531</v>
          </cell>
        </row>
        <row r="3270">
          <cell r="C3270">
            <v>6034</v>
          </cell>
          <cell r="D3270" t="str">
            <v>Placa Contrapiso Y Apoyo Caseta Vendedores Estacionarios Y Establecimiento, F´C = 28 Mpa (4000 Psi)-Ver Diseño</v>
          </cell>
          <cell r="E3270" t="str">
            <v>M3</v>
          </cell>
          <cell r="F3270">
            <v>678743.02</v>
          </cell>
          <cell r="G3270">
            <v>42552</v>
          </cell>
        </row>
        <row r="3271">
          <cell r="C3271">
            <v>6036</v>
          </cell>
          <cell r="D3271" t="str">
            <v>Guarda Escoba En Marmol</v>
          </cell>
          <cell r="E3271" t="str">
            <v>M2</v>
          </cell>
          <cell r="F3271">
            <v>68973.3</v>
          </cell>
          <cell r="G3271">
            <v>42534</v>
          </cell>
        </row>
        <row r="3272">
          <cell r="C3272">
            <v>6037</v>
          </cell>
          <cell r="D3272" t="str">
            <v>Pozos De Inspecion  1,45 M H=1,80 M</v>
          </cell>
          <cell r="E3272" t="str">
            <v>UN</v>
          </cell>
          <cell r="F3272">
            <v>703635.87</v>
          </cell>
          <cell r="G3272">
            <v>42534</v>
          </cell>
        </row>
        <row r="3273">
          <cell r="C3273">
            <v>6038</v>
          </cell>
          <cell r="D3273" t="str">
            <v>Provision Red De Gas Proyecto Avenida Del Rio Unidad Funcional 1</v>
          </cell>
          <cell r="E3273" t="str">
            <v>GL</v>
          </cell>
          <cell r="F3273">
            <v>25683922</v>
          </cell>
          <cell r="G3273">
            <v>42558</v>
          </cell>
        </row>
        <row r="3274">
          <cell r="C3274">
            <v>6039</v>
          </cell>
          <cell r="D3274" t="str">
            <v>Provision Mobiliario Urbano Y Señalización Vial Proyecto Avenida Del Rio - Unidad Funcional 1</v>
          </cell>
          <cell r="E3274" t="str">
            <v>GL</v>
          </cell>
          <cell r="F3274">
            <v>554690938.88</v>
          </cell>
          <cell r="G3274">
            <v>42558</v>
          </cell>
        </row>
        <row r="3275">
          <cell r="C3275">
            <v>6040</v>
          </cell>
          <cell r="D3275" t="str">
            <v>Provision Vegetacion Y Zonas Verdes - Arboles Y Palmas Proyecto Avenidad Del Rio - Funcional 1</v>
          </cell>
          <cell r="E3275" t="str">
            <v>GL</v>
          </cell>
          <cell r="F3275">
            <v>325270244</v>
          </cell>
          <cell r="G3275">
            <v>42558</v>
          </cell>
        </row>
        <row r="3276">
          <cell r="C3276">
            <v>6041</v>
          </cell>
          <cell r="D3276" t="str">
            <v>Provision De Red De Voz Y Dato Uf 1 ( Proyecto Avenida Del Rio - Unidad Funcional 1 )</v>
          </cell>
          <cell r="E3276" t="str">
            <v>GL</v>
          </cell>
          <cell r="F3276">
            <v>240000000</v>
          </cell>
          <cell r="G3276">
            <v>42558</v>
          </cell>
        </row>
        <row r="3277">
          <cell r="C3277">
            <v>6046</v>
          </cell>
          <cell r="D3277" t="str">
            <v>Suministro E Instalación De Bomba Centrífuga 20Hp 3500 Rpm 220V 60Hz - 2 1/2 X 2 Diámetro De Succión Y Descarga. Q:255 Gpm Incluye Arrancador Tripolar En Cofre Metálico Lámina Calibre 16, Kit De Accesorios Para Succión Y Descarga</v>
          </cell>
          <cell r="E3277" t="str">
            <v>UN</v>
          </cell>
          <cell r="F3277">
            <v>15967168</v>
          </cell>
          <cell r="G3277">
            <v>42578</v>
          </cell>
        </row>
        <row r="3278">
          <cell r="C3278">
            <v>6047</v>
          </cell>
          <cell r="D3278" t="str">
            <v>Suministro E Instalación De Equipo De Bombeo Sumergible : Q = 5.1 Lps, Hdt = 9.7 M. Incluido Dos (2) Equipos De Bombeo, Tubería Y Accesorios, Estación Prefabricada, Tablero De Control E Instalación</v>
          </cell>
          <cell r="E3278" t="str">
            <v>GL</v>
          </cell>
          <cell r="F3278">
            <v>102000000</v>
          </cell>
          <cell r="G3278">
            <v>42578</v>
          </cell>
        </row>
        <row r="3279">
          <cell r="C3279">
            <v>6048</v>
          </cell>
          <cell r="D3279" t="str">
            <v>Edu. Concreto Losa Aligerada E= 0.12 Metros, F`C=28 Mpa 4000 Psi (Ver Diseño)</v>
          </cell>
          <cell r="E3279" t="str">
            <v>M2</v>
          </cell>
          <cell r="F3279">
            <v>387642.58</v>
          </cell>
          <cell r="G3279">
            <v>42572</v>
          </cell>
        </row>
        <row r="3280">
          <cell r="C3280">
            <v>6049</v>
          </cell>
          <cell r="D3280" t="str">
            <v>Suministro De Tubería En Polietileno De Alta Densidad Pead 90 Mm Pn 10 Pe 100 Para La Impulsión De La Estación Elevadora Hasta Tubería De Alcantarillado Existente</v>
          </cell>
          <cell r="E3280" t="str">
            <v>ML</v>
          </cell>
          <cell r="F3280">
            <v>23471</v>
          </cell>
          <cell r="G3280">
            <v>42578</v>
          </cell>
        </row>
        <row r="3281">
          <cell r="C3281">
            <v>6050</v>
          </cell>
          <cell r="D3281" t="str">
            <v>Instalación De Tubería A Presión Pead 90 Mm De Estación Elevadora Para Entregar En Alcantarillado Existente Bajo Cualquier Condición De Humedad</v>
          </cell>
          <cell r="E3281" t="str">
            <v>ML</v>
          </cell>
          <cell r="F3281">
            <v>14436.24</v>
          </cell>
          <cell r="G3281">
            <v>42578</v>
          </cell>
        </row>
        <row r="3282">
          <cell r="C3282">
            <v>6051</v>
          </cell>
          <cell r="D3282" t="str">
            <v>Flotador Mecánico, Tipo Pesado, Cuerpo Y Conector En Bronce Fundido, Sellos De Caucho, Presión De Trabajo 125 Psi De 1 1/2" Para Tanques Elevados</v>
          </cell>
          <cell r="E3282" t="str">
            <v>UN</v>
          </cell>
          <cell r="F3282">
            <v>300461.61</v>
          </cell>
          <cell r="G3282">
            <v>42578</v>
          </cell>
        </row>
        <row r="3283">
          <cell r="C3283">
            <v>6052</v>
          </cell>
          <cell r="D3283" t="str">
            <v>Suministro E Instalación De Válvula D = 1 1/2"</v>
          </cell>
          <cell r="E3283" t="str">
            <v>UN</v>
          </cell>
          <cell r="F3283">
            <v>117489.71</v>
          </cell>
          <cell r="G3283">
            <v>42572</v>
          </cell>
        </row>
        <row r="3284">
          <cell r="C3284">
            <v>6053</v>
          </cell>
          <cell r="D3284" t="str">
            <v>Tragante De Aguas Lluvias De 4"</v>
          </cell>
          <cell r="E3284" t="str">
            <v>UN</v>
          </cell>
          <cell r="F3284">
            <v>259322.76</v>
          </cell>
          <cell r="G3284">
            <v>42578</v>
          </cell>
        </row>
        <row r="3285">
          <cell r="C3285">
            <v>6056</v>
          </cell>
          <cell r="D3285" t="str">
            <v>Piso En Marmol: Interior De Locales Comerciales (Ver Diseño)</v>
          </cell>
          <cell r="E3285" t="str">
            <v>M2</v>
          </cell>
          <cell r="F3285">
            <v>83714.960000000006</v>
          </cell>
          <cell r="G3285">
            <v>42572</v>
          </cell>
        </row>
        <row r="3286">
          <cell r="C3286">
            <v>6057</v>
          </cell>
          <cell r="D3286" t="str">
            <v>Guardaescobas En Marmol (Ver Diseño)</v>
          </cell>
          <cell r="E3286" t="str">
            <v>ML</v>
          </cell>
          <cell r="F3286">
            <v>27367.31</v>
          </cell>
          <cell r="G3286">
            <v>42572</v>
          </cell>
        </row>
        <row r="3287">
          <cell r="C3287">
            <v>6058</v>
          </cell>
          <cell r="D3287" t="str">
            <v>Relleno Para Conformación De Gradas Y Escaleras, Con Relleno En Material Granular Para Espaldón De Geosacos, Incluye Equipos, Herramienta Menor Y Mano De Obra</v>
          </cell>
          <cell r="E3287" t="str">
            <v>M3</v>
          </cell>
          <cell r="F3287">
            <v>153587.6</v>
          </cell>
          <cell r="G3287">
            <v>42572</v>
          </cell>
        </row>
        <row r="3288">
          <cell r="C3288">
            <v>6059</v>
          </cell>
          <cell r="D3288" t="str">
            <v>Kit De Empalme Para Baja Tension De 1/0-4 Awg (Conector) Cinta Autofundente 23</v>
          </cell>
          <cell r="E3288" t="str">
            <v>UN</v>
          </cell>
          <cell r="F3288">
            <v>84400</v>
          </cell>
          <cell r="G3288">
            <v>42536</v>
          </cell>
        </row>
        <row r="3289">
          <cell r="C3289">
            <v>6060</v>
          </cell>
          <cell r="D3289" t="str">
            <v>Gradas Y Escaleras En Concreto 4000 Psi - Sobre Terreno Natural Espesor 0.12 Metros, Endurecido Con Acabado Texturizado, Dilatado Con Disco Diamantado - Incluye Suministro, Formaleta, Fundida, Endurecedor, Curado, Sobre Terreno Natiral</v>
          </cell>
          <cell r="E3289" t="str">
            <v>M3</v>
          </cell>
          <cell r="F3289">
            <v>679980.14</v>
          </cell>
          <cell r="G3289">
            <v>42572</v>
          </cell>
        </row>
        <row r="3290">
          <cell r="C3290">
            <v>6061</v>
          </cell>
          <cell r="D3290" t="str">
            <v>Kit De Empalme En Gel Para Baja Tension De 1/0 - 10</v>
          </cell>
          <cell r="E3290" t="str">
            <v>UN</v>
          </cell>
          <cell r="F3290">
            <v>90977.22</v>
          </cell>
          <cell r="G3290">
            <v>42557</v>
          </cell>
        </row>
        <row r="3291">
          <cell r="C3291">
            <v>6062</v>
          </cell>
          <cell r="D3291" t="str">
            <v>Kit De Empalme En Gel Para Baja Tension De 4 - 4</v>
          </cell>
          <cell r="E3291" t="str">
            <v>UN</v>
          </cell>
          <cell r="F3291">
            <v>80477.22</v>
          </cell>
          <cell r="G3291">
            <v>42557</v>
          </cell>
        </row>
        <row r="3292">
          <cell r="C3292">
            <v>6063</v>
          </cell>
          <cell r="D3292" t="str">
            <v>Kit De Empalme En Gel Para Baja Tension De 1/0 - 14</v>
          </cell>
          <cell r="E3292" t="str">
            <v>UN</v>
          </cell>
          <cell r="F3292">
            <v>73477.22</v>
          </cell>
          <cell r="G3292">
            <v>42557</v>
          </cell>
        </row>
        <row r="3293">
          <cell r="C3293">
            <v>6064</v>
          </cell>
          <cell r="D3293" t="str">
            <v>Piso En Adoquin Color Gris (200 X 100 X 60 Mm - 200 X 200 X 60 Mm - 100 X 100 X 60 Mm)</v>
          </cell>
          <cell r="E3293" t="str">
            <v>M2</v>
          </cell>
          <cell r="F3293">
            <v>64495.83</v>
          </cell>
          <cell r="G3293">
            <v>42552</v>
          </cell>
        </row>
        <row r="3294">
          <cell r="C3294">
            <v>6065</v>
          </cell>
          <cell r="D3294" t="str">
            <v>Piso En Loseta Prefabricada De Concreto - Táctil Alerta (400 X 400 X 60 Mm)</v>
          </cell>
          <cell r="E3294" t="str">
            <v>ML</v>
          </cell>
          <cell r="F3294">
            <v>36144.33</v>
          </cell>
          <cell r="G3294">
            <v>42552</v>
          </cell>
        </row>
        <row r="3295">
          <cell r="C3295">
            <v>6066</v>
          </cell>
          <cell r="D3295" t="str">
            <v>Suministro E Instalación De Cable Monopolar  Xlpe - 1/0 - 15 Kv</v>
          </cell>
          <cell r="E3295" t="str">
            <v>ML</v>
          </cell>
          <cell r="F3295">
            <v>37342.81</v>
          </cell>
          <cell r="G3295">
            <v>42557</v>
          </cell>
        </row>
        <row r="3296">
          <cell r="C3296">
            <v>6067</v>
          </cell>
          <cell r="D3296" t="str">
            <v>Suministro Y Tendido De Ductería Conduit Pead  Corrugada  De 4"</v>
          </cell>
          <cell r="E3296" t="str">
            <v>ML</v>
          </cell>
          <cell r="F3296">
            <v>55641.61</v>
          </cell>
          <cell r="G3296">
            <v>42557</v>
          </cell>
        </row>
        <row r="3297">
          <cell r="C3297">
            <v>6068</v>
          </cell>
          <cell r="D3297" t="str">
            <v>Kit De Empalme En Gel Para Baja Tension De 1/0 - 4</v>
          </cell>
          <cell r="E3297" t="str">
            <v>UN</v>
          </cell>
          <cell r="F3297">
            <v>85477.22</v>
          </cell>
          <cell r="G3297">
            <v>42557</v>
          </cell>
        </row>
        <row r="3298">
          <cell r="C3298">
            <v>6069</v>
          </cell>
          <cell r="D3298" t="str">
            <v>Kit De Empalme En Gel Para Baja Tension De 14/2</v>
          </cell>
          <cell r="E3298" t="str">
            <v>UN</v>
          </cell>
          <cell r="F3298">
            <v>72276.289999999994</v>
          </cell>
          <cell r="G3298">
            <v>42557</v>
          </cell>
        </row>
        <row r="3299">
          <cell r="C3299">
            <v>6070</v>
          </cell>
          <cell r="D3299" t="str">
            <v>Suministro E Instalacion De Proyector At - Aeroled De 500 W - 5000K</v>
          </cell>
          <cell r="E3299" t="str">
            <v>UN</v>
          </cell>
          <cell r="F3299">
            <v>3332016.82</v>
          </cell>
          <cell r="G3299">
            <v>42557</v>
          </cell>
        </row>
        <row r="3300">
          <cell r="C3300">
            <v>6071</v>
          </cell>
          <cell r="D3300" t="str">
            <v>Suministro E Instalacion De Luminaria Decorativa Decoled Ii De 32 W 4000 K</v>
          </cell>
          <cell r="E3300" t="str">
            <v>UN</v>
          </cell>
          <cell r="F3300">
            <v>1572840.75</v>
          </cell>
          <cell r="G3300">
            <v>42557</v>
          </cell>
        </row>
        <row r="3301">
          <cell r="C3301">
            <v>6072</v>
          </cell>
          <cell r="D3301" t="str">
            <v>Construcción De Base De Concreto Para Transformador</v>
          </cell>
          <cell r="E3301" t="str">
            <v>UN</v>
          </cell>
          <cell r="F3301">
            <v>507024.64000000001</v>
          </cell>
          <cell r="G3301">
            <v>42557</v>
          </cell>
        </row>
        <row r="3302">
          <cell r="C3302">
            <v>6073</v>
          </cell>
          <cell r="D3302" t="str">
            <v>Suministro E Instalacion De Bala De Piso Tipo Proyeled De 12 W 3000 K Con Accesorios Para Su Instalacion  (Cajas Scuar D, Adaptadores</v>
          </cell>
          <cell r="E3302" t="str">
            <v>UN</v>
          </cell>
          <cell r="F3302">
            <v>550449</v>
          </cell>
          <cell r="G3302">
            <v>42557</v>
          </cell>
        </row>
        <row r="3303">
          <cell r="C3303">
            <v>6074</v>
          </cell>
          <cell r="D3303" t="str">
            <v>Suministro E Instalación De Gabinete Metálico Para Contadores; Incluye Totalizadores, Barrajes, Aisladores Y Protecciones</v>
          </cell>
          <cell r="E3303" t="str">
            <v>UN</v>
          </cell>
          <cell r="F3303">
            <v>12011656.52</v>
          </cell>
          <cell r="G3303">
            <v>42557</v>
          </cell>
        </row>
        <row r="3304">
          <cell r="C3304">
            <v>6075</v>
          </cell>
          <cell r="D3304" t="str">
            <v>Suministro E Instalacion De Bala De Piso Tipo Proyeled De 3 W 3000 K Sumergibles</v>
          </cell>
          <cell r="E3304" t="str">
            <v>UN</v>
          </cell>
          <cell r="F3304">
            <v>308811.15000000002</v>
          </cell>
          <cell r="G3304">
            <v>42557</v>
          </cell>
        </row>
        <row r="3305">
          <cell r="C3305">
            <v>6076</v>
          </cell>
          <cell r="D3305" t="str">
            <v>Suministro E Instalación De Tubería Pvc Conduit De 1 1/4"</v>
          </cell>
          <cell r="E3305" t="str">
            <v>ML</v>
          </cell>
          <cell r="F3305">
            <v>5083.51</v>
          </cell>
          <cell r="G3305">
            <v>42557</v>
          </cell>
        </row>
        <row r="3306">
          <cell r="C3306">
            <v>6077</v>
          </cell>
          <cell r="D3306" t="str">
            <v>Marcacion Y Codificacion De Poste</v>
          </cell>
          <cell r="E3306" t="str">
            <v>UN</v>
          </cell>
          <cell r="F3306">
            <v>14850.11</v>
          </cell>
          <cell r="G3306">
            <v>42557</v>
          </cell>
        </row>
        <row r="3307">
          <cell r="C3307">
            <v>6078</v>
          </cell>
          <cell r="D3307" t="str">
            <v>Suministro E Instalacion De Mastil De Acero, De 20 Mts Tronco - Conico Poligonal Seccionado, Galvanizado En Caliente, Corona Jija, Con Canastilla Para Reflectores, Incluye Pernos De Anclaje Y Sistema De Parrayos</v>
          </cell>
          <cell r="E3307" t="str">
            <v>UN</v>
          </cell>
          <cell r="F3307">
            <v>19381757.18</v>
          </cell>
          <cell r="G3307">
            <v>42557</v>
          </cell>
        </row>
        <row r="3308">
          <cell r="C3308">
            <v>6079</v>
          </cell>
          <cell r="D3308" t="str">
            <v>Tablero De Control Para Iluminacion, Incluye Fotocelda, Base Para Fotocelda, Conectores, Totalizadores, Brakers Sistema De Sujecion, Platina De Cobre, Aisladores Y Accesorios</v>
          </cell>
          <cell r="E3308" t="str">
            <v>UN</v>
          </cell>
          <cell r="F3308">
            <v>6754539.6600000001</v>
          </cell>
          <cell r="G3308">
            <v>42557</v>
          </cell>
        </row>
        <row r="3309">
          <cell r="C3309">
            <v>6080</v>
          </cell>
          <cell r="D3309" t="str">
            <v>Suministro Y Tendido De Ducteria Conduit Pvc 2"</v>
          </cell>
          <cell r="E3309" t="str">
            <v>ML</v>
          </cell>
          <cell r="F3309">
            <v>11535</v>
          </cell>
          <cell r="G3309">
            <v>42557</v>
          </cell>
        </row>
        <row r="3310">
          <cell r="C3310">
            <v>6081</v>
          </cell>
          <cell r="D3310" t="str">
            <v>Suministro E Instalacion De Cable De Aluminio Forrado N° 2/0 Awg - Aislamiento Thw</v>
          </cell>
          <cell r="E3310" t="str">
            <v>ML</v>
          </cell>
          <cell r="F3310">
            <v>10241.11</v>
          </cell>
          <cell r="G3310">
            <v>42557</v>
          </cell>
        </row>
        <row r="3311">
          <cell r="C3311">
            <v>6082</v>
          </cell>
          <cell r="D3311" t="str">
            <v>Suministro E Instalacion De Cable De Aluminio Forrado N° 4/0 Awg Aislamiento Thw - 600 V (Incluye Cinta Aislante 23 Y 33)</v>
          </cell>
          <cell r="E3311" t="str">
            <v>ML</v>
          </cell>
          <cell r="F3311">
            <v>12175.96</v>
          </cell>
          <cell r="G3311">
            <v>42557</v>
          </cell>
        </row>
        <row r="3312">
          <cell r="C3312">
            <v>6083</v>
          </cell>
          <cell r="D3312" t="str">
            <v>Suministro E Instalacion De Cable De Aluminio Forrado N° 2 Awg Aislamiento Thw - 600 V (Incluye Cinta Aislante 23 Y 33)</v>
          </cell>
          <cell r="E3312" t="str">
            <v>ML</v>
          </cell>
          <cell r="F3312">
            <v>20580.599999999999</v>
          </cell>
          <cell r="G3312">
            <v>42557</v>
          </cell>
        </row>
        <row r="3313">
          <cell r="C3313">
            <v>6084</v>
          </cell>
          <cell r="D3313" t="str">
            <v>Suministro E Instalacion De Cable De Aluminio Forrado N° 4 Awg Aislamiento Thw - 600 V (Incluye Cinta Aislante 23 Y 33)</v>
          </cell>
          <cell r="E3313" t="str">
            <v>ML</v>
          </cell>
          <cell r="F3313">
            <v>5925.13</v>
          </cell>
          <cell r="G3313">
            <v>42557</v>
          </cell>
        </row>
        <row r="3314">
          <cell r="C3314">
            <v>6085</v>
          </cell>
          <cell r="D3314" t="str">
            <v>Suministro E Instalacion De Cable Encauchetado 3 X 10 Awg</v>
          </cell>
          <cell r="E3314" t="str">
            <v>ML</v>
          </cell>
          <cell r="F3314">
            <v>9407.4500000000007</v>
          </cell>
          <cell r="G3314">
            <v>42557</v>
          </cell>
        </row>
        <row r="3315">
          <cell r="C3315">
            <v>6086</v>
          </cell>
          <cell r="D3315" t="str">
            <v>Pozo De Inspecion De Diámetro Del Cilindro 1.20 Metros; 1.45 Metros &lt;H &lt;=1.80 Metros Para Tuberías De Diámetros Entre Los 200 Mm (8") Y 400 Mm (16").</v>
          </cell>
          <cell r="E3315" t="str">
            <v>UN</v>
          </cell>
          <cell r="F3315">
            <v>3176835.94</v>
          </cell>
          <cell r="G3315">
            <v>42699</v>
          </cell>
        </row>
        <row r="3316">
          <cell r="C3316">
            <v>6087</v>
          </cell>
          <cell r="D3316" t="str">
            <v>Rejilla Exterior Tipo Persiana En Aluminio</v>
          </cell>
          <cell r="E3316" t="str">
            <v>M2</v>
          </cell>
          <cell r="F3316">
            <v>385226</v>
          </cell>
          <cell r="G3316">
            <v>42552</v>
          </cell>
        </row>
        <row r="3317">
          <cell r="C3317">
            <v>6090</v>
          </cell>
          <cell r="D3317" t="str">
            <v>Suministro De Tubo Pvc D = 100 M 40"</v>
          </cell>
          <cell r="E3317" t="str">
            <v>ML</v>
          </cell>
          <cell r="F3317">
            <v>1475000</v>
          </cell>
          <cell r="G3317">
            <v>42548</v>
          </cell>
        </row>
        <row r="3318">
          <cell r="C3318">
            <v>6091</v>
          </cell>
          <cell r="D3318" t="str">
            <v>Suministro De Tubo Pvc D= 1.20 M 47"</v>
          </cell>
          <cell r="E3318" t="str">
            <v>ML</v>
          </cell>
          <cell r="F3318">
            <v>1575000</v>
          </cell>
          <cell r="G3318">
            <v>42548</v>
          </cell>
        </row>
        <row r="3319">
          <cell r="C3319">
            <v>6093</v>
          </cell>
          <cell r="D3319" t="str">
            <v>Rejilla Hd De = 0.60 M X 1.2 M</v>
          </cell>
          <cell r="E3319" t="str">
            <v>UN</v>
          </cell>
          <cell r="F3319">
            <v>303255.34999999998</v>
          </cell>
          <cell r="G3319">
            <v>42548</v>
          </cell>
        </row>
        <row r="3320">
          <cell r="C3320">
            <v>6094</v>
          </cell>
          <cell r="D3320" t="str">
            <v>Rejilla Para Colector Zona Comercial</v>
          </cell>
          <cell r="E3320" t="str">
            <v>ML</v>
          </cell>
          <cell r="F3320">
            <v>160391.67000000001</v>
          </cell>
          <cell r="G3320">
            <v>42548</v>
          </cell>
        </row>
        <row r="3321">
          <cell r="C3321">
            <v>6095</v>
          </cell>
          <cell r="D3321" t="str">
            <v>Cajas De Inspecion De 1.30 Mts X 2.50 Mts</v>
          </cell>
          <cell r="E3321" t="str">
            <v>UN</v>
          </cell>
          <cell r="F3321">
            <v>856235</v>
          </cell>
          <cell r="G3321">
            <v>42548</v>
          </cell>
        </row>
        <row r="3322">
          <cell r="C3322">
            <v>6098</v>
          </cell>
          <cell r="D3322" t="str">
            <v>Suministro E Instalacion De Cubierta Carpas En Forma Tunel Con Estructura En Tuberia Redonda Galvanizada Pintada En Anticorrosivo Y Acabado En Esmalte, Carpa En Lona Industrial  Con Black Out Recubrimiento En Pvc Sellada Electronicamente En Todas Sus Uniones, Parales En Tuberia Redonda De 6" Pulgadas Con Flanches Al Piso Cuadrados, Instalados Con Las Siguientes Medidas: 23.00 Metros X 6.00 Metros, Para Los Modulos De Simon Bolivar (Ver Diseño)</v>
          </cell>
          <cell r="E3322" t="str">
            <v>UN</v>
          </cell>
          <cell r="F3322">
            <v>32016000</v>
          </cell>
          <cell r="G3322">
            <v>42538</v>
          </cell>
        </row>
        <row r="3323">
          <cell r="C3323">
            <v>6108</v>
          </cell>
          <cell r="D3323" t="str">
            <v>Suministro E Instalacion De Cable Monopolar Xlpe - 10 15Kv</v>
          </cell>
          <cell r="E3323" t="str">
            <v>ML</v>
          </cell>
          <cell r="G3323">
            <v>42538</v>
          </cell>
        </row>
        <row r="3324">
          <cell r="C3324">
            <v>6109</v>
          </cell>
          <cell r="D3324" t="str">
            <v>Suministro E Instalacion De Cable Monopolar Xlpe - 1/0 - 15Kv</v>
          </cell>
          <cell r="E3324" t="str">
            <v>ML</v>
          </cell>
          <cell r="F3324">
            <v>37252.49</v>
          </cell>
          <cell r="G3324">
            <v>42538</v>
          </cell>
        </row>
        <row r="3325">
          <cell r="C3325">
            <v>6111</v>
          </cell>
          <cell r="D3325" t="str">
            <v>Suministro Y Tendido De Ducteria Conduit Pead Corrugada De 4"</v>
          </cell>
          <cell r="E3325" t="str">
            <v>ML</v>
          </cell>
          <cell r="F3325">
            <v>55641.64</v>
          </cell>
          <cell r="G3325">
            <v>42538</v>
          </cell>
        </row>
        <row r="3326">
          <cell r="C3326">
            <v>6113</v>
          </cell>
          <cell r="D3326" t="str">
            <v>Columnas Para Estabilizacion De Terreno En Suelo Cemento D = 0.50 Mts, Incluye Excavacion, Relleno, Mano De Obra, H = 6 0 9 Mts</v>
          </cell>
          <cell r="E3326" t="str">
            <v>ML</v>
          </cell>
          <cell r="F3326">
            <v>122542.96</v>
          </cell>
          <cell r="G3326">
            <v>42614</v>
          </cell>
        </row>
        <row r="3327">
          <cell r="C3327">
            <v>6114</v>
          </cell>
          <cell r="D3327" t="str">
            <v>Columnas Para Estabilizacion De Terreno En Suelo Cemento D = 0.50 Mts, Incluye Excavacion, Relleno, Mano De Obra H = 6 A 9 Mts.</v>
          </cell>
          <cell r="E3327" t="str">
            <v>ML</v>
          </cell>
          <cell r="F3327">
            <v>122480.31</v>
          </cell>
          <cell r="G3327">
            <v>42552</v>
          </cell>
        </row>
        <row r="3328">
          <cell r="C3328">
            <v>6161</v>
          </cell>
          <cell r="D3328" t="str">
            <v>Muro Para Soporte O Estribo De Puente En Concreto De 4000 Psi Premezclado, No Incluye Acero De Refuerzo</v>
          </cell>
          <cell r="E3328" t="str">
            <v>M3</v>
          </cell>
          <cell r="F3328">
            <v>662240.1</v>
          </cell>
          <cell r="G3328">
            <v>42552</v>
          </cell>
        </row>
        <row r="3329">
          <cell r="C3329">
            <v>6163</v>
          </cell>
          <cell r="D3329" t="str">
            <v>Prvc. Suministro De Tuberia En Grp Y/O Pvc D = 1,800 Mm Pn = 1, Sn 2500, Incluye Union Y Transporte</v>
          </cell>
          <cell r="E3329" t="str">
            <v>ML</v>
          </cell>
          <cell r="F3329">
            <v>2277558</v>
          </cell>
          <cell r="G3329">
            <v>42556</v>
          </cell>
        </row>
        <row r="3330">
          <cell r="C3330">
            <v>6164</v>
          </cell>
          <cell r="D3330" t="str">
            <v>Prvc. Suministro De Tee De 1,800 X 1,800 Mm Sn 2500, Incluye Uniones, Accesorios Y Transporte</v>
          </cell>
          <cell r="E3330" t="str">
            <v>UN</v>
          </cell>
          <cell r="F3330">
            <v>29980000</v>
          </cell>
          <cell r="G3330">
            <v>42556</v>
          </cell>
        </row>
        <row r="3331">
          <cell r="C3331">
            <v>6165</v>
          </cell>
          <cell r="D3331" t="str">
            <v>Prvc. Suministro De Tee De 2,000 X 2,000 Mm Sn 2500, Incluye Uniones, Accesorios Y Transporte</v>
          </cell>
          <cell r="E3331" t="str">
            <v>UN</v>
          </cell>
          <cell r="F3331">
            <v>39160000</v>
          </cell>
          <cell r="G3331">
            <v>42556</v>
          </cell>
        </row>
        <row r="3332">
          <cell r="C3332">
            <v>6166</v>
          </cell>
          <cell r="D3332" t="str">
            <v>Prvc. Instalacion De Tuberias En Grp Y/O Pvc De Diametro 1,800 Mm Pn= 1,00</v>
          </cell>
          <cell r="E3332" t="str">
            <v>ML</v>
          </cell>
          <cell r="F3332">
            <v>107589.64</v>
          </cell>
          <cell r="G3332">
            <v>42556</v>
          </cell>
        </row>
        <row r="3333">
          <cell r="C3333">
            <v>6167</v>
          </cell>
          <cell r="D3333" t="str">
            <v>Prvc. Instalacion De Tee De 1,800 X 1,800 Mm Pn=1 Sn 2500</v>
          </cell>
          <cell r="E3333" t="str">
            <v>UN</v>
          </cell>
          <cell r="F3333">
            <v>815673.45</v>
          </cell>
          <cell r="G3333">
            <v>42556</v>
          </cell>
        </row>
        <row r="3334">
          <cell r="C3334">
            <v>6168</v>
          </cell>
          <cell r="D3334" t="str">
            <v>Prvc. Instalacion De Tee De 2,000 X 2,000 Mm Pn=1 Sn 2500, Incluye Uniones, Accesorio Y Transporte</v>
          </cell>
          <cell r="E3334" t="str">
            <v>UN</v>
          </cell>
          <cell r="F3334">
            <v>878467.36</v>
          </cell>
          <cell r="G3334">
            <v>42592</v>
          </cell>
        </row>
        <row r="3335">
          <cell r="C3335">
            <v>6171</v>
          </cell>
          <cell r="D3335" t="str">
            <v>Prvc. Demolicion De Jardineras Existentes Ancho Promedio De 2.00 Metros Y Retiro De Material Demolido</v>
          </cell>
          <cell r="E3335" t="str">
            <v>ML</v>
          </cell>
          <cell r="F3335">
            <v>14711.45</v>
          </cell>
          <cell r="G3335">
            <v>42572</v>
          </cell>
        </row>
        <row r="3336">
          <cell r="C3336">
            <v>6172</v>
          </cell>
          <cell r="D3336" t="str">
            <v>Capitulo - Preliminares</v>
          </cell>
          <cell r="E3336" t="str">
            <v>UN</v>
          </cell>
          <cell r="F3336">
            <v>0</v>
          </cell>
          <cell r="G3336">
            <v>42557</v>
          </cell>
        </row>
        <row r="3337">
          <cell r="C3337">
            <v>6173</v>
          </cell>
          <cell r="D3337" t="str">
            <v>Capitulo - Levante</v>
          </cell>
          <cell r="E3337" t="str">
            <v>UN</v>
          </cell>
          <cell r="F3337">
            <v>0</v>
          </cell>
          <cell r="G3337">
            <v>42557</v>
          </cell>
        </row>
        <row r="3338">
          <cell r="C3338">
            <v>6175</v>
          </cell>
          <cell r="D3338" t="str">
            <v>Capitulo - Pañete</v>
          </cell>
          <cell r="E3338" t="str">
            <v>UN</v>
          </cell>
          <cell r="F3338">
            <v>0</v>
          </cell>
          <cell r="G3338">
            <v>42557</v>
          </cell>
        </row>
        <row r="3339">
          <cell r="C3339">
            <v>6176</v>
          </cell>
          <cell r="D3339" t="str">
            <v>Prvc. Instalacion De Poste Hpv 510 Kg 9M</v>
          </cell>
          <cell r="E3339" t="str">
            <v>UN</v>
          </cell>
          <cell r="F3339">
            <v>1223129.32</v>
          </cell>
          <cell r="G3339">
            <v>42573</v>
          </cell>
        </row>
        <row r="3340">
          <cell r="C3340">
            <v>6177</v>
          </cell>
          <cell r="D3340" t="str">
            <v>Capitulo - Puertas</v>
          </cell>
          <cell r="E3340" t="str">
            <v>UN</v>
          </cell>
          <cell r="F3340">
            <v>0</v>
          </cell>
          <cell r="G3340">
            <v>42557</v>
          </cell>
        </row>
        <row r="3341">
          <cell r="C3341">
            <v>6178</v>
          </cell>
          <cell r="D3341" t="str">
            <v>Capitulo - Ventanas</v>
          </cell>
          <cell r="E3341" t="str">
            <v>UN</v>
          </cell>
          <cell r="F3341">
            <v>0</v>
          </cell>
          <cell r="G3341">
            <v>42557</v>
          </cell>
        </row>
        <row r="3342">
          <cell r="C3342">
            <v>6179</v>
          </cell>
          <cell r="D3342" t="str">
            <v>Capitulo - Acabados</v>
          </cell>
          <cell r="E3342" t="str">
            <v>UN</v>
          </cell>
          <cell r="F3342">
            <v>0</v>
          </cell>
          <cell r="G3342">
            <v>42557</v>
          </cell>
        </row>
        <row r="3343">
          <cell r="C3343">
            <v>6180</v>
          </cell>
          <cell r="D3343" t="str">
            <v>Capitulo - Instalaciones Electricas</v>
          </cell>
          <cell r="E3343" t="str">
            <v>UN</v>
          </cell>
          <cell r="F3343">
            <v>0</v>
          </cell>
          <cell r="G3343">
            <v>42557</v>
          </cell>
        </row>
        <row r="3344">
          <cell r="C3344">
            <v>6182</v>
          </cell>
          <cell r="D3344" t="str">
            <v>Prvc. Instalacion De Poste Hpv 750Kg 14M</v>
          </cell>
          <cell r="E3344" t="str">
            <v>UN</v>
          </cell>
          <cell r="F3344">
            <v>2559115.4700000002</v>
          </cell>
          <cell r="G3344">
            <v>42573</v>
          </cell>
        </row>
        <row r="3345">
          <cell r="C3345">
            <v>6183</v>
          </cell>
          <cell r="D3345" t="str">
            <v>Prvc. Cimentacion Monobloque Cilindrica P/ Apoyo 9 X 510 Kgf</v>
          </cell>
          <cell r="E3345" t="str">
            <v>UN</v>
          </cell>
          <cell r="F3345">
            <v>201498.38</v>
          </cell>
          <cell r="G3345">
            <v>42573</v>
          </cell>
        </row>
        <row r="3346">
          <cell r="C3346">
            <v>6184</v>
          </cell>
          <cell r="D3346" t="str">
            <v>Prvc. Cimentacion Monobloque Cilindrica P/ Apoyo 14 X 750 Kgf</v>
          </cell>
          <cell r="E3346" t="str">
            <v>UN</v>
          </cell>
          <cell r="F3346">
            <v>545587.73</v>
          </cell>
          <cell r="G3346">
            <v>42573</v>
          </cell>
        </row>
        <row r="3347">
          <cell r="C3347">
            <v>6185</v>
          </cell>
          <cell r="D3347" t="str">
            <v>Prvc. Cimentacion Monobloque Cilindrica P/ Apoyo 14 X 1050 Kgf</v>
          </cell>
          <cell r="E3347" t="str">
            <v>UN</v>
          </cell>
          <cell r="F3347">
            <v>545587.73</v>
          </cell>
          <cell r="G3347">
            <v>42573</v>
          </cell>
        </row>
        <row r="3348">
          <cell r="C3348">
            <v>6187</v>
          </cell>
          <cell r="D3348" t="str">
            <v>Prvc. Instalacion De Poste Hpv 1050 Kg 12M</v>
          </cell>
          <cell r="E3348" t="str">
            <v>UN</v>
          </cell>
          <cell r="F3348">
            <v>2877673.41</v>
          </cell>
          <cell r="G3348">
            <v>42573</v>
          </cell>
        </row>
        <row r="3349">
          <cell r="C3349">
            <v>6189</v>
          </cell>
          <cell r="D3349" t="str">
            <v>Pih. Suministro E Instalacion De Poste De 12 X 1750</v>
          </cell>
          <cell r="E3349" t="str">
            <v>UN</v>
          </cell>
          <cell r="F3349">
            <v>2586505.2000000002</v>
          </cell>
          <cell r="G3349">
            <v>42578</v>
          </cell>
        </row>
        <row r="3350">
          <cell r="C3350">
            <v>6190</v>
          </cell>
          <cell r="D3350" t="str">
            <v>Instalacion Y Siembra De Arbol Tipico De La Zona, De 3 A 5 Mts De Altura</v>
          </cell>
          <cell r="E3350" t="str">
            <v>UN</v>
          </cell>
          <cell r="F3350">
            <v>639556.52</v>
          </cell>
          <cell r="G3350">
            <v>42558</v>
          </cell>
        </row>
        <row r="3351">
          <cell r="C3351">
            <v>6592</v>
          </cell>
          <cell r="D3351" t="str">
            <v>Pih. Desmonte De Aparato Sanitario</v>
          </cell>
          <cell r="E3351" t="str">
            <v>UN</v>
          </cell>
          <cell r="F3351">
            <v>24212.22</v>
          </cell>
          <cell r="G3351">
            <v>42647</v>
          </cell>
        </row>
        <row r="3352">
          <cell r="C3352">
            <v>6594</v>
          </cell>
          <cell r="D3352" t="str">
            <v>Pih. Demolición De Muro En Bloque</v>
          </cell>
          <cell r="E3352" t="str">
            <v>M2</v>
          </cell>
          <cell r="F3352">
            <v>19148.11</v>
          </cell>
          <cell r="G3352">
            <v>42578</v>
          </cell>
        </row>
        <row r="3353">
          <cell r="C3353">
            <v>6595</v>
          </cell>
          <cell r="D3353" t="str">
            <v>Pih. Desmonte De Puertas</v>
          </cell>
          <cell r="E3353" t="str">
            <v>UN</v>
          </cell>
          <cell r="F3353">
            <v>32786.080000000002</v>
          </cell>
          <cell r="G3353">
            <v>42578</v>
          </cell>
        </row>
        <row r="3354">
          <cell r="C3354">
            <v>6599</v>
          </cell>
          <cell r="D3354" t="str">
            <v>Pih. Desmonte De Ventana</v>
          </cell>
          <cell r="E3354" t="str">
            <v>UN</v>
          </cell>
          <cell r="F3354">
            <v>32786.080000000002</v>
          </cell>
          <cell r="G3354">
            <v>42578</v>
          </cell>
        </row>
        <row r="3355">
          <cell r="C3355">
            <v>6607</v>
          </cell>
          <cell r="D3355" t="str">
            <v>Pih. Desmonte De Cubierta</v>
          </cell>
          <cell r="E3355" t="str">
            <v>M2</v>
          </cell>
          <cell r="F3355">
            <v>20687.57</v>
          </cell>
          <cell r="G3355">
            <v>42578</v>
          </cell>
        </row>
        <row r="3356">
          <cell r="C3356">
            <v>6608</v>
          </cell>
          <cell r="D3356" t="str">
            <v>Pih. Zocalo 1/2 Caña En Granito Lavado</v>
          </cell>
          <cell r="E3356" t="str">
            <v>ML</v>
          </cell>
          <cell r="F3356">
            <v>33755.14</v>
          </cell>
          <cell r="G3356">
            <v>42578</v>
          </cell>
        </row>
        <row r="3357">
          <cell r="C3357">
            <v>6609</v>
          </cell>
          <cell r="D3357" t="str">
            <v>Pih. Desmonte De Cielo Raso</v>
          </cell>
          <cell r="E3357" t="str">
            <v>M2</v>
          </cell>
          <cell r="F3357">
            <v>19588.84</v>
          </cell>
          <cell r="G3357">
            <v>42578</v>
          </cell>
        </row>
        <row r="3358">
          <cell r="C3358">
            <v>6610</v>
          </cell>
          <cell r="D3358" t="str">
            <v>Pih. Dinteles En Concreto De 0.10 X 0.20 Metros</v>
          </cell>
          <cell r="E3358" t="str">
            <v>ML</v>
          </cell>
          <cell r="F3358">
            <v>38794.04</v>
          </cell>
          <cell r="G3358">
            <v>42579</v>
          </cell>
        </row>
        <row r="3359">
          <cell r="C3359">
            <v>6611</v>
          </cell>
          <cell r="D3359" t="str">
            <v>Pih. Demolición De Pisos Y Andenes</v>
          </cell>
          <cell r="E3359" t="str">
            <v>M2</v>
          </cell>
          <cell r="F3359">
            <v>25690.11</v>
          </cell>
          <cell r="G3359">
            <v>42578</v>
          </cell>
        </row>
        <row r="3360">
          <cell r="C3360">
            <v>6612</v>
          </cell>
          <cell r="D3360" t="str">
            <v>Pih. Demolición De Pisos Y Andenes</v>
          </cell>
          <cell r="E3360" t="str">
            <v>ML</v>
          </cell>
          <cell r="F3360">
            <v>9616.31</v>
          </cell>
          <cell r="G3360">
            <v>42578</v>
          </cell>
        </row>
        <row r="3361">
          <cell r="C3361">
            <v>6615</v>
          </cell>
          <cell r="D3361" t="str">
            <v>Pih. Zocalo En Ceramica</v>
          </cell>
          <cell r="E3361" t="str">
            <v>ML</v>
          </cell>
          <cell r="F3361">
            <v>20591.759999999998</v>
          </cell>
          <cell r="G3361">
            <v>42578</v>
          </cell>
        </row>
        <row r="3362">
          <cell r="C3362">
            <v>6616</v>
          </cell>
          <cell r="D3362" t="str">
            <v>Pih. Demolición De Mesón En Concreto</v>
          </cell>
          <cell r="E3362" t="str">
            <v>UN</v>
          </cell>
          <cell r="F3362">
            <v>19546.38</v>
          </cell>
          <cell r="G3362">
            <v>42590</v>
          </cell>
        </row>
        <row r="3363">
          <cell r="C3363">
            <v>6617</v>
          </cell>
          <cell r="D3363" t="str">
            <v>Pih. Elementos Verticales En Concreto De 3000 Psi</v>
          </cell>
          <cell r="E3363" t="str">
            <v>ML</v>
          </cell>
          <cell r="F3363">
            <v>48511.17</v>
          </cell>
          <cell r="G3363">
            <v>42579</v>
          </cell>
        </row>
        <row r="3364">
          <cell r="C3364">
            <v>6618</v>
          </cell>
          <cell r="D3364" t="str">
            <v>Pih. Demolición De Placas En Concreto E = 0.20 Metros</v>
          </cell>
          <cell r="E3364" t="str">
            <v>M2</v>
          </cell>
          <cell r="F3364">
            <v>74645.919999999998</v>
          </cell>
          <cell r="G3364">
            <v>42578</v>
          </cell>
        </row>
        <row r="3365">
          <cell r="C3365">
            <v>6619</v>
          </cell>
          <cell r="D3365" t="str">
            <v>Pih. Mecanismo De Vaiven</v>
          </cell>
          <cell r="E3365" t="str">
            <v>UN</v>
          </cell>
          <cell r="F3365">
            <v>89673.58</v>
          </cell>
          <cell r="G3365">
            <v>42578</v>
          </cell>
        </row>
        <row r="3366">
          <cell r="C3366">
            <v>6620</v>
          </cell>
          <cell r="D3366" t="str">
            <v>Pih. Enchape Lineal En Ceramica</v>
          </cell>
          <cell r="E3366" t="str">
            <v>ML</v>
          </cell>
          <cell r="F3366">
            <v>37439.199999999997</v>
          </cell>
          <cell r="G3366">
            <v>42578</v>
          </cell>
        </row>
        <row r="3367">
          <cell r="C3367">
            <v>6621</v>
          </cell>
          <cell r="D3367" t="str">
            <v>Pih. Meson En Concreto</v>
          </cell>
          <cell r="E3367" t="str">
            <v>M2</v>
          </cell>
          <cell r="F3367">
            <v>189505.32</v>
          </cell>
          <cell r="G3367">
            <v>42578</v>
          </cell>
        </row>
        <row r="3368">
          <cell r="C3368">
            <v>6622</v>
          </cell>
          <cell r="D3368" t="str">
            <v>Pih. Pintura Epoxica Para Muros</v>
          </cell>
          <cell r="E3368" t="str">
            <v>M2</v>
          </cell>
          <cell r="F3368">
            <v>25782.11</v>
          </cell>
          <cell r="G3368">
            <v>42578</v>
          </cell>
        </row>
        <row r="3369">
          <cell r="C3369">
            <v>6623</v>
          </cell>
          <cell r="D3369" t="str">
            <v>Pih. Piso En Ceramica 0.20 X 0.20 Baños</v>
          </cell>
          <cell r="E3369" t="str">
            <v>M2</v>
          </cell>
          <cell r="F3369">
            <v>56647.41</v>
          </cell>
          <cell r="G3369">
            <v>42578</v>
          </cell>
        </row>
        <row r="3370">
          <cell r="C3370">
            <v>6624</v>
          </cell>
          <cell r="D3370" t="str">
            <v>Pih. Anden En Concreto</v>
          </cell>
          <cell r="E3370" t="str">
            <v>M2</v>
          </cell>
          <cell r="F3370">
            <v>57792.76</v>
          </cell>
          <cell r="G3370">
            <v>42578</v>
          </cell>
        </row>
        <row r="3371">
          <cell r="C3371">
            <v>6625</v>
          </cell>
          <cell r="D3371" t="str">
            <v>Pih. Meson En Granito Pulido</v>
          </cell>
          <cell r="E3371" t="str">
            <v>M2</v>
          </cell>
          <cell r="F3371">
            <v>122151.8</v>
          </cell>
          <cell r="G3371">
            <v>42578</v>
          </cell>
        </row>
        <row r="3372">
          <cell r="C3372">
            <v>6626</v>
          </cell>
          <cell r="D3372" t="str">
            <v>Pih. Cenefa De Piso</v>
          </cell>
          <cell r="E3372" t="str">
            <v>ML</v>
          </cell>
          <cell r="F3372">
            <v>43368.2</v>
          </cell>
          <cell r="G3372">
            <v>42578</v>
          </cell>
        </row>
        <row r="3373">
          <cell r="C3373">
            <v>6627</v>
          </cell>
          <cell r="D3373" t="str">
            <v>Pih. Piso En Tablon Vitrificado</v>
          </cell>
          <cell r="E3373" t="str">
            <v>M2</v>
          </cell>
          <cell r="F3373">
            <v>74873.55</v>
          </cell>
          <cell r="G3373">
            <v>42578</v>
          </cell>
        </row>
        <row r="3374">
          <cell r="C3374">
            <v>6628</v>
          </cell>
          <cell r="D3374" t="str">
            <v>Pih. Alfajias En Concreto De 0.20 X 0.08</v>
          </cell>
          <cell r="E3374" t="str">
            <v>ML</v>
          </cell>
          <cell r="F3374">
            <v>34695.11</v>
          </cell>
          <cell r="G3374">
            <v>42583</v>
          </cell>
        </row>
        <row r="3375">
          <cell r="C3375">
            <v>6629</v>
          </cell>
          <cell r="D3375" t="str">
            <v>Pih. Jardineras En Ladrillo Comun H= 0.40 Metros</v>
          </cell>
          <cell r="E3375" t="str">
            <v>ML</v>
          </cell>
          <cell r="F3375">
            <v>73026.399999999994</v>
          </cell>
          <cell r="G3375">
            <v>42579</v>
          </cell>
        </row>
        <row r="3376">
          <cell r="C3376">
            <v>6630</v>
          </cell>
          <cell r="D3376" t="str">
            <v>Pih. Levante En Ladrillo Chapeton</v>
          </cell>
          <cell r="E3376" t="str">
            <v>M2</v>
          </cell>
          <cell r="F3376">
            <v>69900.72</v>
          </cell>
          <cell r="G3376">
            <v>42579</v>
          </cell>
        </row>
        <row r="3377">
          <cell r="C3377">
            <v>6631</v>
          </cell>
          <cell r="D3377" t="str">
            <v>Pih. Enchapes En Ceramica 30 X 30</v>
          </cell>
          <cell r="E3377" t="str">
            <v>M2</v>
          </cell>
          <cell r="F3377">
            <v>87631.87</v>
          </cell>
          <cell r="G3377">
            <v>42578</v>
          </cell>
        </row>
        <row r="3378">
          <cell r="C3378">
            <v>6632</v>
          </cell>
          <cell r="D3378" t="str">
            <v>Pih. Cenefa De Señalizacion</v>
          </cell>
          <cell r="E3378" t="str">
            <v>ML</v>
          </cell>
          <cell r="F3378">
            <v>27122.76</v>
          </cell>
          <cell r="G3378">
            <v>42578</v>
          </cell>
        </row>
        <row r="3379">
          <cell r="C3379">
            <v>6633</v>
          </cell>
          <cell r="D3379" t="str">
            <v>Pih. Pañete Interior Pulido Con Cal</v>
          </cell>
          <cell r="E3379" t="str">
            <v>M2</v>
          </cell>
          <cell r="F3379">
            <v>21655.69</v>
          </cell>
          <cell r="G3379">
            <v>42579</v>
          </cell>
        </row>
        <row r="3380">
          <cell r="C3380">
            <v>6634</v>
          </cell>
          <cell r="D3380" t="str">
            <v>Pih. Demolición De Placas En Concreto E = 0.10 Metros</v>
          </cell>
          <cell r="E3380" t="str">
            <v>M2</v>
          </cell>
          <cell r="F3380">
            <v>32342.68</v>
          </cell>
          <cell r="G3380">
            <v>42578</v>
          </cell>
        </row>
        <row r="3381">
          <cell r="C3381">
            <v>6635</v>
          </cell>
          <cell r="D3381" t="str">
            <v>Pih. Red De Suministro 3/4</v>
          </cell>
          <cell r="E3381" t="str">
            <v>ML</v>
          </cell>
          <cell r="F3381">
            <v>14761.46</v>
          </cell>
          <cell r="G3381">
            <v>42578</v>
          </cell>
        </row>
        <row r="3382">
          <cell r="C3382">
            <v>6636</v>
          </cell>
          <cell r="D3382" t="str">
            <v>Pih. Demolición De Placas En Concreto E = 0.20 Metros</v>
          </cell>
          <cell r="E3382" t="str">
            <v>ML</v>
          </cell>
          <cell r="F3382">
            <v>42295.92</v>
          </cell>
          <cell r="G3382">
            <v>42578</v>
          </cell>
        </row>
        <row r="3383">
          <cell r="C3383">
            <v>6637</v>
          </cell>
          <cell r="D3383" t="str">
            <v>Pih. Pañete Interior Impermeabilizado</v>
          </cell>
          <cell r="E3383" t="str">
            <v>M2</v>
          </cell>
          <cell r="F3383">
            <v>23431.3</v>
          </cell>
          <cell r="G3383">
            <v>42586</v>
          </cell>
        </row>
        <row r="3384">
          <cell r="C3384">
            <v>6638</v>
          </cell>
          <cell r="D3384" t="str">
            <v>Pih. Red De Suministro 1/2"</v>
          </cell>
          <cell r="E3384" t="str">
            <v>ML</v>
          </cell>
          <cell r="F3384">
            <v>15847.46</v>
          </cell>
          <cell r="G3384">
            <v>42578</v>
          </cell>
        </row>
        <row r="3385">
          <cell r="C3385">
            <v>6639</v>
          </cell>
          <cell r="D3385" t="str">
            <v>Pih. Pañete Exterior Allanado Impermeabilizado</v>
          </cell>
          <cell r="E3385" t="str">
            <v>M2</v>
          </cell>
          <cell r="F3385">
            <v>24177.1</v>
          </cell>
          <cell r="G3385">
            <v>42586</v>
          </cell>
        </row>
        <row r="3386">
          <cell r="C3386">
            <v>6640</v>
          </cell>
          <cell r="D3386" t="str">
            <v>Pih. Pañete Lineal Exterior</v>
          </cell>
          <cell r="E3386" t="str">
            <v>ML</v>
          </cell>
          <cell r="F3386">
            <v>10634.65</v>
          </cell>
          <cell r="G3386">
            <v>42579</v>
          </cell>
        </row>
        <row r="3387">
          <cell r="C3387">
            <v>6641</v>
          </cell>
          <cell r="D3387" t="str">
            <v>Pih. Pintura Exopica Para Cielos</v>
          </cell>
          <cell r="E3387" t="str">
            <v>M2</v>
          </cell>
          <cell r="F3387">
            <v>25782.11</v>
          </cell>
          <cell r="G3387">
            <v>42578</v>
          </cell>
        </row>
        <row r="3388">
          <cell r="C3388">
            <v>6642</v>
          </cell>
          <cell r="D3388" t="str">
            <v>Pih. Punto Potable 1/2" Sanitario</v>
          </cell>
          <cell r="E3388" t="str">
            <v>UN</v>
          </cell>
          <cell r="F3388">
            <v>34016.51</v>
          </cell>
          <cell r="G3388">
            <v>42578</v>
          </cell>
        </row>
        <row r="3389">
          <cell r="C3389">
            <v>6643</v>
          </cell>
          <cell r="D3389" t="str">
            <v>Pih. Demolición De Columnas 0.30 X 0.30 X 2.80 Metros En Concreto</v>
          </cell>
          <cell r="E3389" t="str">
            <v>UN</v>
          </cell>
          <cell r="F3389">
            <v>193258.4</v>
          </cell>
          <cell r="G3389">
            <v>42578</v>
          </cell>
        </row>
        <row r="3390">
          <cell r="C3390">
            <v>6644</v>
          </cell>
          <cell r="D3390" t="str">
            <v>Pih. Punto Potable 1/2" Lavamanos</v>
          </cell>
          <cell r="E3390" t="str">
            <v>UN</v>
          </cell>
          <cell r="F3390">
            <v>37302.51</v>
          </cell>
          <cell r="G3390">
            <v>42578</v>
          </cell>
        </row>
        <row r="3391">
          <cell r="C3391">
            <v>6645</v>
          </cell>
          <cell r="D3391" t="str">
            <v>Pih. Pañete Lineal Exterior Impermeabilizado</v>
          </cell>
          <cell r="E3391" t="str">
            <v>ML</v>
          </cell>
          <cell r="F3391">
            <v>13694.65</v>
          </cell>
          <cell r="G3391">
            <v>42579</v>
          </cell>
        </row>
        <row r="3392">
          <cell r="C3392">
            <v>6646</v>
          </cell>
          <cell r="D3392" t="str">
            <v>Pih. Demolición De Vigas De Cimentación</v>
          </cell>
          <cell r="E3392" t="str">
            <v>ML</v>
          </cell>
          <cell r="F3392">
            <v>46457.599999999999</v>
          </cell>
          <cell r="G3392">
            <v>42578</v>
          </cell>
        </row>
        <row r="3393">
          <cell r="C3393">
            <v>6647</v>
          </cell>
          <cell r="D3393" t="str">
            <v>Pih. Demolición De Jardineras</v>
          </cell>
          <cell r="E3393" t="str">
            <v>ML</v>
          </cell>
          <cell r="F3393">
            <v>15788.11</v>
          </cell>
          <cell r="G3393">
            <v>42578</v>
          </cell>
        </row>
        <row r="3394">
          <cell r="C3394">
            <v>6648</v>
          </cell>
          <cell r="D3394" t="str">
            <v>Pih. Punto Potable 1/2" Ducha</v>
          </cell>
          <cell r="E3394" t="str">
            <v>UN</v>
          </cell>
          <cell r="F3394">
            <v>37302.51</v>
          </cell>
          <cell r="G3394">
            <v>42578</v>
          </cell>
        </row>
        <row r="3395">
          <cell r="C3395">
            <v>6649</v>
          </cell>
          <cell r="D3395" t="str">
            <v>Pih. Pañete Cielo Raso Con Malla Vena</v>
          </cell>
          <cell r="E3395" t="str">
            <v>M2</v>
          </cell>
          <cell r="F3395">
            <v>35336.629999999997</v>
          </cell>
          <cell r="G3395">
            <v>42579</v>
          </cell>
        </row>
        <row r="3396">
          <cell r="C3396">
            <v>6650</v>
          </cell>
          <cell r="D3396" t="str">
            <v>Pih. Desmonte De Sistema Electrico</v>
          </cell>
          <cell r="E3396" t="str">
            <v>GL</v>
          </cell>
          <cell r="F3396">
            <v>9063597</v>
          </cell>
          <cell r="G3396">
            <v>42578</v>
          </cell>
        </row>
        <row r="3397">
          <cell r="C3397">
            <v>6651</v>
          </cell>
          <cell r="D3397" t="str">
            <v>Pih. Estuco En Yeso Sobre Cielo</v>
          </cell>
          <cell r="E3397" t="str">
            <v>M2</v>
          </cell>
          <cell r="F3397">
            <v>7775.74</v>
          </cell>
          <cell r="G3397">
            <v>42578</v>
          </cell>
        </row>
        <row r="3398">
          <cell r="C3398">
            <v>6652</v>
          </cell>
          <cell r="D3398" t="str">
            <v>Pih. Pañete Interior Allanado</v>
          </cell>
          <cell r="E3398" t="str">
            <v>M2</v>
          </cell>
          <cell r="F3398">
            <v>18612.3</v>
          </cell>
          <cell r="G3398">
            <v>42579</v>
          </cell>
        </row>
        <row r="3399">
          <cell r="C3399">
            <v>6653</v>
          </cell>
          <cell r="D3399" t="str">
            <v>Pih. Instalacion Y Suministro De Tanque Elevado 1000 Lts</v>
          </cell>
          <cell r="E3399" t="str">
            <v>UN</v>
          </cell>
          <cell r="F3399">
            <v>632415.1</v>
          </cell>
          <cell r="G3399">
            <v>42579</v>
          </cell>
        </row>
        <row r="3400">
          <cell r="C3400">
            <v>6654</v>
          </cell>
          <cell r="D3400" t="str">
            <v>Pih. Goteros</v>
          </cell>
          <cell r="E3400" t="str">
            <v>ML</v>
          </cell>
          <cell r="F3400">
            <v>22489.68</v>
          </cell>
          <cell r="G3400">
            <v>42579</v>
          </cell>
        </row>
        <row r="3401">
          <cell r="C3401">
            <v>6655</v>
          </cell>
          <cell r="D3401" t="str">
            <v>Pih. Punto Potable 1/2" Llave Terminal</v>
          </cell>
          <cell r="E3401" t="str">
            <v>UN</v>
          </cell>
          <cell r="F3401">
            <v>43599.3</v>
          </cell>
          <cell r="G3401">
            <v>42578</v>
          </cell>
        </row>
        <row r="3402">
          <cell r="C3402">
            <v>6656</v>
          </cell>
          <cell r="D3402" t="str">
            <v>Pih. Juntas Interiores</v>
          </cell>
          <cell r="E3402" t="str">
            <v>ML</v>
          </cell>
          <cell r="F3402">
            <v>7334.65</v>
          </cell>
          <cell r="G3402">
            <v>42579</v>
          </cell>
        </row>
        <row r="3403">
          <cell r="C3403">
            <v>6657</v>
          </cell>
          <cell r="D3403" t="str">
            <v>Pih. Dilataciones Exteriores</v>
          </cell>
          <cell r="E3403" t="str">
            <v>ML</v>
          </cell>
          <cell r="F3403">
            <v>7829.65</v>
          </cell>
          <cell r="G3403">
            <v>42579</v>
          </cell>
        </row>
        <row r="3404">
          <cell r="C3404">
            <v>6658</v>
          </cell>
          <cell r="D3404" t="str">
            <v>Pih. Red De Suministro De 1"</v>
          </cell>
          <cell r="E3404" t="str">
            <v>ML</v>
          </cell>
          <cell r="F3404">
            <v>18680.96</v>
          </cell>
          <cell r="G3404">
            <v>42584</v>
          </cell>
        </row>
        <row r="3405">
          <cell r="C3405">
            <v>6660</v>
          </cell>
          <cell r="D3405" t="str">
            <v>Pih. Acero De Refuerzo</v>
          </cell>
          <cell r="E3405" t="str">
            <v>KG</v>
          </cell>
          <cell r="F3405">
            <v>5010.76</v>
          </cell>
          <cell r="G3405">
            <v>42579</v>
          </cell>
        </row>
        <row r="3406">
          <cell r="C3406">
            <v>6661</v>
          </cell>
          <cell r="D3406" t="str">
            <v>Pih. Tala De Arboles Medianos</v>
          </cell>
          <cell r="E3406" t="str">
            <v>UN</v>
          </cell>
          <cell r="F3406">
            <v>329377.2</v>
          </cell>
          <cell r="G3406">
            <v>42578</v>
          </cell>
        </row>
        <row r="3407">
          <cell r="C3407">
            <v>6662</v>
          </cell>
          <cell r="D3407" t="str">
            <v>Pih. Red De Suministro De 1 1/2"</v>
          </cell>
          <cell r="E3407" t="str">
            <v>UN</v>
          </cell>
          <cell r="F3407">
            <v>33375.360000000001</v>
          </cell>
          <cell r="G3407">
            <v>42578</v>
          </cell>
        </row>
        <row r="3408">
          <cell r="C3408">
            <v>6663</v>
          </cell>
          <cell r="D3408" t="str">
            <v>Pih. Acabado De Fachada En Puliplast</v>
          </cell>
          <cell r="E3408" t="str">
            <v>M2</v>
          </cell>
          <cell r="F3408">
            <v>16503.740000000002</v>
          </cell>
          <cell r="G3408">
            <v>42578</v>
          </cell>
        </row>
        <row r="3409">
          <cell r="C3409">
            <v>6664</v>
          </cell>
          <cell r="D3409" t="str">
            <v>Pih. Red De Suministro De 2"</v>
          </cell>
          <cell r="E3409" t="str">
            <v>ML</v>
          </cell>
          <cell r="F3409">
            <v>42215.67</v>
          </cell>
          <cell r="G3409">
            <v>42584</v>
          </cell>
        </row>
        <row r="3410">
          <cell r="C3410">
            <v>6665</v>
          </cell>
          <cell r="D3410" t="str">
            <v>Pih. Red De Suministro De 3"</v>
          </cell>
          <cell r="E3410" t="str">
            <v>ML</v>
          </cell>
          <cell r="F3410">
            <v>58592.03</v>
          </cell>
          <cell r="G3410">
            <v>42584</v>
          </cell>
        </row>
        <row r="3411">
          <cell r="C3411">
            <v>6666</v>
          </cell>
          <cell r="D3411" t="str">
            <v>Pih. Prueba Hidraulica Por Zonas</v>
          </cell>
          <cell r="E3411" t="str">
            <v>UN</v>
          </cell>
          <cell r="F3411">
            <v>481589.4</v>
          </cell>
          <cell r="G3411">
            <v>42578</v>
          </cell>
        </row>
        <row r="3412">
          <cell r="C3412">
            <v>6667</v>
          </cell>
          <cell r="D3412" t="str">
            <v>Pih. Dilataciones De Fachada En Puliplast</v>
          </cell>
          <cell r="E3412" t="str">
            <v>ML</v>
          </cell>
          <cell r="F3412">
            <v>6768.24</v>
          </cell>
          <cell r="G3412">
            <v>42578</v>
          </cell>
        </row>
        <row r="3413">
          <cell r="C3413">
            <v>6668</v>
          </cell>
          <cell r="D3413" t="str">
            <v>Pih. Colector Aguas Negras 6"</v>
          </cell>
          <cell r="E3413" t="str">
            <v>ML</v>
          </cell>
          <cell r="F3413">
            <v>75968.210000000006</v>
          </cell>
          <cell r="G3413">
            <v>42578</v>
          </cell>
        </row>
        <row r="3414">
          <cell r="C3414">
            <v>6669</v>
          </cell>
          <cell r="D3414" t="str">
            <v>Pih. Abuzardado Para Fachada</v>
          </cell>
          <cell r="E3414" t="str">
            <v>M2</v>
          </cell>
          <cell r="F3414">
            <v>59298.93</v>
          </cell>
          <cell r="G3414">
            <v>42578</v>
          </cell>
        </row>
        <row r="3415">
          <cell r="C3415">
            <v>6670</v>
          </cell>
          <cell r="D3415" t="str">
            <v>Pih. Cerramiento Provisional Tela Verde</v>
          </cell>
          <cell r="E3415" t="str">
            <v>ML</v>
          </cell>
          <cell r="F3415">
            <v>21043.3</v>
          </cell>
          <cell r="G3415">
            <v>42578</v>
          </cell>
        </row>
        <row r="3416">
          <cell r="C3416">
            <v>6671</v>
          </cell>
          <cell r="D3416" t="str">
            <v>Pih. Cerramiento Provisional En Zinc</v>
          </cell>
          <cell r="E3416" t="str">
            <v>M2</v>
          </cell>
          <cell r="F3416">
            <v>51628.76</v>
          </cell>
          <cell r="G3416">
            <v>42578</v>
          </cell>
        </row>
        <row r="3417">
          <cell r="C3417">
            <v>6672</v>
          </cell>
          <cell r="D3417" t="str">
            <v>Pih. Demolición De Plantilla En Concreto E = 0.10 Metros</v>
          </cell>
          <cell r="E3417" t="str">
            <v>M2</v>
          </cell>
          <cell r="F3417">
            <v>27857.22</v>
          </cell>
          <cell r="G3417">
            <v>42578</v>
          </cell>
        </row>
        <row r="3418">
          <cell r="C3418">
            <v>6673</v>
          </cell>
          <cell r="D3418" t="str">
            <v>Pih. Trazado Y Replanteo Sobre Terreno Con Topografía</v>
          </cell>
          <cell r="E3418" t="str">
            <v>M2</v>
          </cell>
          <cell r="F3418">
            <v>4659.2</v>
          </cell>
          <cell r="G3418">
            <v>42578</v>
          </cell>
        </row>
        <row r="3419">
          <cell r="C3419">
            <v>6674</v>
          </cell>
          <cell r="D3419" t="str">
            <v>Pih. Trazado Sobre Placa</v>
          </cell>
          <cell r="E3419" t="str">
            <v>M2</v>
          </cell>
          <cell r="F3419">
            <v>1996.02</v>
          </cell>
          <cell r="G3419">
            <v>42578</v>
          </cell>
        </row>
        <row r="3420">
          <cell r="C3420">
            <v>6675</v>
          </cell>
          <cell r="D3420" t="str">
            <v>Pih. Colector Aguas Negras 4"</v>
          </cell>
          <cell r="E3420" t="str">
            <v>ML</v>
          </cell>
          <cell r="F3420">
            <v>50505.17</v>
          </cell>
          <cell r="G3420">
            <v>42578</v>
          </cell>
        </row>
        <row r="3421">
          <cell r="C3421">
            <v>6676</v>
          </cell>
          <cell r="D3421" t="str">
            <v>Pih. Excavaciones Para Cimiento Y Viga De Amarre</v>
          </cell>
          <cell r="E3421" t="str">
            <v>ML</v>
          </cell>
          <cell r="F3421">
            <v>10563.57</v>
          </cell>
          <cell r="G3421">
            <v>42578</v>
          </cell>
        </row>
        <row r="3422">
          <cell r="C3422">
            <v>6677</v>
          </cell>
          <cell r="D3422" t="str">
            <v>Pih. Losa Aligerada En Concreto De 3000 Psi E= 0.30 Metros</v>
          </cell>
          <cell r="E3422" t="str">
            <v>M2</v>
          </cell>
          <cell r="F3422">
            <v>284272.7</v>
          </cell>
          <cell r="G3422">
            <v>42579</v>
          </cell>
        </row>
        <row r="3423">
          <cell r="C3423">
            <v>6678</v>
          </cell>
          <cell r="D3423" t="str">
            <v>Pih. Colector Aguas Negras 2"</v>
          </cell>
          <cell r="E3423" t="str">
            <v>ML</v>
          </cell>
          <cell r="F3423">
            <v>31460.58</v>
          </cell>
          <cell r="G3423">
            <v>42578</v>
          </cell>
        </row>
        <row r="3424">
          <cell r="C3424">
            <v>6679</v>
          </cell>
          <cell r="D3424" t="str">
            <v>Pih. Excavaciones Redes Sanitarias Y Pluviales</v>
          </cell>
          <cell r="E3424" t="str">
            <v>ML</v>
          </cell>
          <cell r="F3424">
            <v>11737.3</v>
          </cell>
          <cell r="G3424">
            <v>42578</v>
          </cell>
        </row>
        <row r="3425">
          <cell r="C3425">
            <v>6680</v>
          </cell>
          <cell r="D3425" t="str">
            <v>Pih. Abuzardado Lineal</v>
          </cell>
          <cell r="E3425" t="str">
            <v>ML</v>
          </cell>
          <cell r="F3425">
            <v>30502.720000000001</v>
          </cell>
          <cell r="G3425">
            <v>42578</v>
          </cell>
        </row>
        <row r="3426">
          <cell r="C3426">
            <v>6681</v>
          </cell>
          <cell r="D3426" t="str">
            <v>Pih. Placa Aerea Maciza En Concreto De 3000 Psi E= 0.15 Metros</v>
          </cell>
          <cell r="E3426" t="str">
            <v>M2</v>
          </cell>
          <cell r="F3426">
            <v>218906.42</v>
          </cell>
          <cell r="G3426">
            <v>42579</v>
          </cell>
        </row>
        <row r="3427">
          <cell r="C3427">
            <v>6682</v>
          </cell>
          <cell r="D3427" t="str">
            <v>Pih. Corte De Terreno</v>
          </cell>
          <cell r="E3427" t="str">
            <v>M3</v>
          </cell>
          <cell r="F3427">
            <v>38524.400000000001</v>
          </cell>
          <cell r="G3427">
            <v>42578</v>
          </cell>
        </row>
        <row r="3428">
          <cell r="C3428">
            <v>6683</v>
          </cell>
          <cell r="D3428" t="str">
            <v>Pih. Campamento Provisional En Bloque Y Teja De Asbesto Cemento</v>
          </cell>
          <cell r="E3428" t="str">
            <v>M2</v>
          </cell>
          <cell r="F3428">
            <v>224413.64</v>
          </cell>
          <cell r="G3428">
            <v>42578</v>
          </cell>
        </row>
        <row r="3429">
          <cell r="C3429">
            <v>6684</v>
          </cell>
          <cell r="D3429" t="str">
            <v>Pih. Punto Sanitario 4"</v>
          </cell>
          <cell r="E3429" t="str">
            <v>UN</v>
          </cell>
          <cell r="F3429">
            <v>103088.6</v>
          </cell>
          <cell r="G3429">
            <v>42578</v>
          </cell>
        </row>
        <row r="3430">
          <cell r="C3430">
            <v>6685</v>
          </cell>
          <cell r="D3430" t="str">
            <v>Pih. Relleno En Material Seleccionado (Caliche)</v>
          </cell>
          <cell r="E3430" t="str">
            <v>M3</v>
          </cell>
          <cell r="F3430">
            <v>74017.679999999993</v>
          </cell>
          <cell r="G3430">
            <v>42578</v>
          </cell>
        </row>
        <row r="3431">
          <cell r="C3431">
            <v>6686</v>
          </cell>
          <cell r="D3431" t="str">
            <v>Pih. Punto Sanitario 2"</v>
          </cell>
          <cell r="E3431" t="str">
            <v>UN</v>
          </cell>
          <cell r="F3431">
            <v>75006.509999999995</v>
          </cell>
          <cell r="G3431">
            <v>42578</v>
          </cell>
        </row>
        <row r="3432">
          <cell r="C3432">
            <v>6687</v>
          </cell>
          <cell r="D3432" t="str">
            <v>Pih. Relleno En Material Seleccionado ( Triturado )</v>
          </cell>
          <cell r="E3432" t="str">
            <v>M3</v>
          </cell>
          <cell r="F3432">
            <v>167617.68</v>
          </cell>
          <cell r="G3432">
            <v>42578</v>
          </cell>
        </row>
        <row r="3433">
          <cell r="C3433">
            <v>6688</v>
          </cell>
          <cell r="D3433" t="str">
            <v>Pih. Sifon A Piso 180º C X C Completo</v>
          </cell>
          <cell r="E3433" t="str">
            <v>UN</v>
          </cell>
          <cell r="F3433">
            <v>78846.509999999995</v>
          </cell>
          <cell r="G3433">
            <v>42580</v>
          </cell>
        </row>
        <row r="3434">
          <cell r="C3434">
            <v>6689</v>
          </cell>
          <cell r="D3434" t="str">
            <v>Pih. Relleno Arena Negra Abonada</v>
          </cell>
          <cell r="E3434" t="str">
            <v>M3</v>
          </cell>
          <cell r="F3434">
            <v>52893.760000000002</v>
          </cell>
          <cell r="G3434">
            <v>42578</v>
          </cell>
        </row>
        <row r="3435">
          <cell r="C3435">
            <v>6690</v>
          </cell>
          <cell r="D3435" t="str">
            <v>Pih. Relleno Con Arena Hasta 0.30 Metros Sobre Tubería Hidrosanitaria</v>
          </cell>
          <cell r="E3435" t="str">
            <v>M3</v>
          </cell>
          <cell r="F3435">
            <v>54134.76</v>
          </cell>
          <cell r="G3435">
            <v>42578</v>
          </cell>
        </row>
        <row r="3436">
          <cell r="C3436">
            <v>6691</v>
          </cell>
          <cell r="D3436" t="str">
            <v>Pih. Colector Aguas Lluvias 4"</v>
          </cell>
          <cell r="E3436" t="str">
            <v>ML</v>
          </cell>
          <cell r="F3436">
            <v>59512.17</v>
          </cell>
          <cell r="G3436">
            <v>42578</v>
          </cell>
        </row>
        <row r="3437">
          <cell r="C3437">
            <v>6692</v>
          </cell>
          <cell r="D3437" t="str">
            <v>Pih. Acabado De Fachada En Estuco Plastico</v>
          </cell>
          <cell r="E3437" t="str">
            <v>M2</v>
          </cell>
          <cell r="F3437">
            <v>22058.18</v>
          </cell>
          <cell r="G3437">
            <v>42579</v>
          </cell>
        </row>
        <row r="3438">
          <cell r="C3438">
            <v>6693</v>
          </cell>
          <cell r="D3438" t="str">
            <v>Pih. Pintura Acrilico Sobre Muro</v>
          </cell>
          <cell r="E3438" t="str">
            <v>M2</v>
          </cell>
          <cell r="F3438">
            <v>10273.69</v>
          </cell>
          <cell r="G3438">
            <v>42579</v>
          </cell>
        </row>
        <row r="3439">
          <cell r="C3439">
            <v>6694</v>
          </cell>
          <cell r="D3439" t="str">
            <v>Pih. Bajante De Aguas Lluvias 3"</v>
          </cell>
          <cell r="E3439" t="str">
            <v>ML</v>
          </cell>
          <cell r="F3439">
            <v>51276.63</v>
          </cell>
          <cell r="G3439">
            <v>42578</v>
          </cell>
        </row>
        <row r="3440">
          <cell r="C3440">
            <v>6695</v>
          </cell>
          <cell r="D3440" t="str">
            <v>Pih. Pintura Koraza O Similar Sobre Muros</v>
          </cell>
          <cell r="E3440" t="str">
            <v>M2</v>
          </cell>
          <cell r="F3440">
            <v>11607.69</v>
          </cell>
          <cell r="G3440">
            <v>42579</v>
          </cell>
        </row>
        <row r="3441">
          <cell r="C3441">
            <v>6696</v>
          </cell>
          <cell r="D3441" t="str">
            <v>Pih. Pintura Vinilo Sobre Cielo Raso</v>
          </cell>
          <cell r="E3441" t="str">
            <v>M2</v>
          </cell>
          <cell r="F3441">
            <v>8335.69</v>
          </cell>
          <cell r="G3441">
            <v>42579</v>
          </cell>
        </row>
        <row r="3442">
          <cell r="C3442">
            <v>6697</v>
          </cell>
          <cell r="D3442" t="str">
            <v>Pih. Suministro E Instalacion Aire Acondicionado Central Por Tonelada Refrigerada</v>
          </cell>
          <cell r="E3442" t="str">
            <v>UN</v>
          </cell>
          <cell r="F3442">
            <v>9627917</v>
          </cell>
          <cell r="G3442">
            <v>42590</v>
          </cell>
        </row>
        <row r="3443">
          <cell r="C3443">
            <v>6698</v>
          </cell>
          <cell r="D3443" t="str">
            <v>Pih. Bajante De Aguas Negras 3"</v>
          </cell>
          <cell r="E3443" t="str">
            <v>ML</v>
          </cell>
          <cell r="F3443">
            <v>49336.1</v>
          </cell>
          <cell r="G3443">
            <v>42579</v>
          </cell>
        </row>
        <row r="3444">
          <cell r="C3444">
            <v>6699</v>
          </cell>
          <cell r="D3444" t="str">
            <v>Pih. Bajante De Aguas Negras 1 1/2"</v>
          </cell>
          <cell r="E3444" t="str">
            <v>ML</v>
          </cell>
          <cell r="F3444">
            <v>38306.1</v>
          </cell>
          <cell r="G3444">
            <v>42578</v>
          </cell>
        </row>
        <row r="3445">
          <cell r="C3445">
            <v>6700</v>
          </cell>
          <cell r="D3445" t="str">
            <v>Pih. Bajante De Agua A.A 1 1/2"</v>
          </cell>
          <cell r="E3445" t="str">
            <v>ML</v>
          </cell>
          <cell r="F3445">
            <v>24849.3</v>
          </cell>
          <cell r="G3445">
            <v>42579</v>
          </cell>
        </row>
        <row r="3446">
          <cell r="C3446">
            <v>6701</v>
          </cell>
          <cell r="D3446" t="str">
            <v>Pih. Tuberia De Ventilacion 2"</v>
          </cell>
          <cell r="E3446" t="str">
            <v>ML</v>
          </cell>
          <cell r="F3446">
            <v>32669.3</v>
          </cell>
          <cell r="G3446">
            <v>42584</v>
          </cell>
        </row>
        <row r="3447">
          <cell r="C3447">
            <v>6702</v>
          </cell>
          <cell r="D3447" t="str">
            <v>Pih. Suministro E Instalacion De Poste De 12 X 1050 Kgf</v>
          </cell>
          <cell r="E3447" t="str">
            <v>UN</v>
          </cell>
          <cell r="F3447">
            <v>2318755.2000000002</v>
          </cell>
          <cell r="G3447">
            <v>42578</v>
          </cell>
        </row>
        <row r="3448">
          <cell r="C3448">
            <v>6703</v>
          </cell>
          <cell r="D3448" t="str">
            <v>Pih. Sumunistro E Instalacion De Estructura Terminal Primaria 2F</v>
          </cell>
          <cell r="E3448" t="str">
            <v>UN</v>
          </cell>
          <cell r="F3448">
            <v>1780150.2</v>
          </cell>
          <cell r="G3448">
            <v>42579</v>
          </cell>
        </row>
        <row r="3449">
          <cell r="C3449">
            <v>6704</v>
          </cell>
          <cell r="D3449" t="str">
            <v>Pih. Suministro E Instalacion De Estructura Primaria Horizontal 2F</v>
          </cell>
          <cell r="E3449" t="str">
            <v>UN</v>
          </cell>
          <cell r="F3449">
            <v>3092650.2</v>
          </cell>
          <cell r="G3449">
            <v>42578</v>
          </cell>
        </row>
        <row r="3450">
          <cell r="C3450">
            <v>6705</v>
          </cell>
          <cell r="D3450" t="str">
            <v>Pih. Suministro E Instalacion De Retenida Primaria</v>
          </cell>
          <cell r="E3450" t="str">
            <v>UN</v>
          </cell>
          <cell r="F3450">
            <v>487045.4</v>
          </cell>
          <cell r="G3450">
            <v>42578</v>
          </cell>
        </row>
        <row r="3451">
          <cell r="C3451">
            <v>6706</v>
          </cell>
          <cell r="D3451" t="str">
            <v>Jca. Aspersores Pop Up Adj De 4" Incluye Valvulas Y Controladores</v>
          </cell>
          <cell r="E3451" t="str">
            <v>UN</v>
          </cell>
          <cell r="F3451">
            <v>99247.79</v>
          </cell>
          <cell r="G3451">
            <v>42569</v>
          </cell>
        </row>
        <row r="3452">
          <cell r="C3452">
            <v>6707</v>
          </cell>
          <cell r="D3452" t="str">
            <v>Jca. Suministro E Instalacion De Pantalla Led De 12 X 6 Metros 7000 Nits Full  Hd Incluye Software Y Estructura De Pantalla</v>
          </cell>
          <cell r="E3452" t="str">
            <v>UN</v>
          </cell>
          <cell r="F3452">
            <v>1003500000</v>
          </cell>
          <cell r="G3452">
            <v>42569</v>
          </cell>
        </row>
        <row r="3453">
          <cell r="C3453">
            <v>6708</v>
          </cell>
          <cell r="D3453" t="str">
            <v>Jca. Suministro E Instalacion De Aire Acondicionado Mini Split De 36000 Btu - Areas 5 Aa, 7 Aa, 9 Aa Y 10 Aa</v>
          </cell>
          <cell r="E3453" t="str">
            <v>UN</v>
          </cell>
          <cell r="F3453">
            <v>35616078.539999999</v>
          </cell>
          <cell r="G3453">
            <v>42569</v>
          </cell>
        </row>
        <row r="3454">
          <cell r="C3454">
            <v>6709</v>
          </cell>
          <cell r="D3454" t="str">
            <v>Jca. Suministro E Instalacion De Aire  Piso Techo De 5 Toneladas Area 8 Aa</v>
          </cell>
          <cell r="E3454" t="str">
            <v>UN</v>
          </cell>
          <cell r="F3454">
            <v>24221498.140000001</v>
          </cell>
          <cell r="G3454">
            <v>42569</v>
          </cell>
        </row>
        <row r="3455">
          <cell r="C3455">
            <v>6710</v>
          </cell>
          <cell r="D3455" t="str">
            <v>Jca. Suministro E Instalacion De Sifon De Piso Diametro 2"</v>
          </cell>
          <cell r="E3455" t="str">
            <v>UN</v>
          </cell>
          <cell r="F3455">
            <v>10720965.92</v>
          </cell>
          <cell r="G3455">
            <v>42569</v>
          </cell>
        </row>
        <row r="3456">
          <cell r="C3456">
            <v>6711</v>
          </cell>
          <cell r="D3456" t="str">
            <v>Pih. Placa Aerea Maciza En Concreto De 3000 Psi E= 0.12 Metros</v>
          </cell>
          <cell r="E3456" t="str">
            <v>M2</v>
          </cell>
          <cell r="F3456">
            <v>205429.52</v>
          </cell>
          <cell r="G3456">
            <v>42579</v>
          </cell>
        </row>
        <row r="3457">
          <cell r="C3457">
            <v>6712</v>
          </cell>
          <cell r="D3457" t="str">
            <v>Jca. Suministro E Instalacion De Union Universal Lisa 3"</v>
          </cell>
          <cell r="E3457" t="str">
            <v>UN</v>
          </cell>
          <cell r="F3457">
            <v>52764</v>
          </cell>
          <cell r="G3457">
            <v>42569</v>
          </cell>
        </row>
        <row r="3458">
          <cell r="C3458">
            <v>6713</v>
          </cell>
          <cell r="D3458" t="str">
            <v>Jca. Suministro E Instalacion De Codo Pvc 3"</v>
          </cell>
          <cell r="E3458" t="str">
            <v>UN</v>
          </cell>
          <cell r="F3458">
            <v>92337</v>
          </cell>
          <cell r="G3458">
            <v>42569</v>
          </cell>
        </row>
        <row r="3459">
          <cell r="C3459">
            <v>6714</v>
          </cell>
          <cell r="D3459" t="str">
            <v>Jca. Suministro E Instalacion De Adaptador Macho Pvc 3"</v>
          </cell>
          <cell r="E3459" t="str">
            <v>UN</v>
          </cell>
          <cell r="F3459">
            <v>26380</v>
          </cell>
          <cell r="G3459">
            <v>42569</v>
          </cell>
        </row>
        <row r="3460">
          <cell r="C3460">
            <v>6715</v>
          </cell>
          <cell r="D3460" t="str">
            <v>Jca. Suministro E Instalacion De Cheque Vertical 3"</v>
          </cell>
          <cell r="E3460" t="str">
            <v>UN</v>
          </cell>
          <cell r="F3460">
            <v>51300</v>
          </cell>
          <cell r="G3460">
            <v>42569</v>
          </cell>
        </row>
        <row r="3461">
          <cell r="C3461">
            <v>6716</v>
          </cell>
          <cell r="D3461" t="str">
            <v>Pih. Placa Aerea Maciza En Concreto De 3000 Psi E= 0.10 Metros</v>
          </cell>
          <cell r="E3461" t="str">
            <v>M2</v>
          </cell>
          <cell r="F3461">
            <v>196323.34</v>
          </cell>
          <cell r="G3461">
            <v>42579</v>
          </cell>
        </row>
        <row r="3462">
          <cell r="C3462">
            <v>6717</v>
          </cell>
          <cell r="D3462" t="str">
            <v>Jca. Suministro E Instalacion De Soporte 1/2"</v>
          </cell>
          <cell r="E3462" t="str">
            <v>UN</v>
          </cell>
          <cell r="F3462">
            <v>325500</v>
          </cell>
          <cell r="G3462">
            <v>42569</v>
          </cell>
        </row>
        <row r="3463">
          <cell r="C3463">
            <v>6718</v>
          </cell>
          <cell r="D3463" t="str">
            <v>Jca. Suministro E Instalacion De Soporte 1"</v>
          </cell>
          <cell r="E3463" t="str">
            <v>UN</v>
          </cell>
          <cell r="F3463">
            <v>1563300</v>
          </cell>
          <cell r="G3463">
            <v>42569</v>
          </cell>
        </row>
        <row r="3464">
          <cell r="C3464">
            <v>6719</v>
          </cell>
          <cell r="D3464" t="str">
            <v>Jca. Suministro E Instalacion De Soporte 1 1/2"</v>
          </cell>
          <cell r="E3464" t="str">
            <v>UN</v>
          </cell>
          <cell r="F3464">
            <v>6104400</v>
          </cell>
          <cell r="G3464">
            <v>42569</v>
          </cell>
        </row>
        <row r="3465">
          <cell r="C3465">
            <v>6720</v>
          </cell>
          <cell r="D3465" t="str">
            <v>Jca. Suministro E Instalacion De Soporte 2"</v>
          </cell>
          <cell r="E3465" t="str">
            <v>UN</v>
          </cell>
          <cell r="F3465">
            <v>13900900</v>
          </cell>
          <cell r="G3465">
            <v>42569</v>
          </cell>
        </row>
        <row r="3466">
          <cell r="C3466">
            <v>6721</v>
          </cell>
          <cell r="D3466" t="str">
            <v>Jca. Suministro E Instalacion De Soporte 3"</v>
          </cell>
          <cell r="E3466" t="str">
            <v>UN</v>
          </cell>
          <cell r="F3466">
            <v>1665125</v>
          </cell>
          <cell r="G3466">
            <v>42569</v>
          </cell>
        </row>
        <row r="3467">
          <cell r="C3467">
            <v>6722</v>
          </cell>
          <cell r="D3467" t="str">
            <v>Jca. Suministro E Instalacion De Tubería Galvanizada 3"</v>
          </cell>
          <cell r="E3467" t="str">
            <v>ML</v>
          </cell>
          <cell r="F3467">
            <v>3662700</v>
          </cell>
          <cell r="G3467">
            <v>42569</v>
          </cell>
        </row>
        <row r="3468">
          <cell r="C3468">
            <v>6723</v>
          </cell>
          <cell r="D3468" t="str">
            <v>Jca. Suministro E Instalacion De Válvula De Pie Con Coladera 3" Npt En Bronce</v>
          </cell>
          <cell r="E3468" t="str">
            <v>UN</v>
          </cell>
          <cell r="F3468">
            <v>732540</v>
          </cell>
          <cell r="G3468">
            <v>42569</v>
          </cell>
        </row>
        <row r="3469">
          <cell r="C3469">
            <v>6724</v>
          </cell>
          <cell r="D3469" t="str">
            <v>Pih. Viga Aerea De Amarre De 0.25 X 0.30 Metros</v>
          </cell>
          <cell r="E3469" t="str">
            <v>ML</v>
          </cell>
          <cell r="F3469">
            <v>89132.89</v>
          </cell>
          <cell r="G3469">
            <v>42579</v>
          </cell>
        </row>
        <row r="3470">
          <cell r="C3470">
            <v>6725</v>
          </cell>
          <cell r="D3470" t="str">
            <v>Jca. Suministro E Instalacion De Codo 90° Galvanizado 3"</v>
          </cell>
          <cell r="E3470" t="str">
            <v>UN</v>
          </cell>
          <cell r="F3470">
            <v>81000</v>
          </cell>
          <cell r="G3470">
            <v>42569</v>
          </cell>
        </row>
        <row r="3471">
          <cell r="C3471">
            <v>6726</v>
          </cell>
          <cell r="D3471" t="str">
            <v>Jca. Suministro E Instalacion De Niples Galvanizados Pasa Muros Extremos Roscados 3"</v>
          </cell>
          <cell r="E3471" t="str">
            <v>UN</v>
          </cell>
          <cell r="F3471">
            <v>293016</v>
          </cell>
          <cell r="G3471">
            <v>42569</v>
          </cell>
        </row>
        <row r="3472">
          <cell r="C3472">
            <v>6727</v>
          </cell>
          <cell r="D3472" t="str">
            <v>Jca. Suministro E Instalacion De Unión Flexible Npt 3"</v>
          </cell>
          <cell r="E3472" t="str">
            <v>UN</v>
          </cell>
          <cell r="F3472">
            <v>183135</v>
          </cell>
          <cell r="G3472">
            <v>42569</v>
          </cell>
        </row>
        <row r="3473">
          <cell r="C3473">
            <v>6728</v>
          </cell>
          <cell r="D3473" t="str">
            <v>Jca. Suministro E Instalacion De Reducción Excéntrica Npt 3"X 2" Galvanizada</v>
          </cell>
          <cell r="E3473" t="str">
            <v>UN</v>
          </cell>
          <cell r="F3473">
            <v>439524</v>
          </cell>
          <cell r="G3473">
            <v>42569</v>
          </cell>
        </row>
        <row r="3474">
          <cell r="C3474">
            <v>6729</v>
          </cell>
          <cell r="D3474" t="str">
            <v>Jca. Suministro E Instalacion De Válvula P.D En Bronce Npt 3"</v>
          </cell>
          <cell r="E3474" t="str">
            <v>UN</v>
          </cell>
          <cell r="F3474">
            <v>659286</v>
          </cell>
          <cell r="G3474">
            <v>42569</v>
          </cell>
        </row>
        <row r="3475">
          <cell r="C3475">
            <v>6730</v>
          </cell>
          <cell r="D3475" t="str">
            <v>Jca. Suministro E Instalacion De Unión Universal Galvanizada 3"</v>
          </cell>
          <cell r="E3475" t="str">
            <v>UN</v>
          </cell>
          <cell r="F3475">
            <v>293016</v>
          </cell>
          <cell r="G3475">
            <v>42569</v>
          </cell>
        </row>
        <row r="3476">
          <cell r="C3476">
            <v>6731</v>
          </cell>
          <cell r="D3476" t="str">
            <v>Pih. Viga Aerea De Amarre De 0.25 X 0.40 Metros</v>
          </cell>
          <cell r="E3476" t="str">
            <v>ML</v>
          </cell>
          <cell r="F3476">
            <v>110752.17</v>
          </cell>
          <cell r="G3476">
            <v>42579</v>
          </cell>
        </row>
        <row r="3477">
          <cell r="C3477">
            <v>6732</v>
          </cell>
          <cell r="D3477" t="str">
            <v>Pih. Suelo Cemento 1:20</v>
          </cell>
          <cell r="E3477" t="str">
            <v>M3</v>
          </cell>
          <cell r="F3477">
            <v>130389.14</v>
          </cell>
          <cell r="G3477">
            <v>42578</v>
          </cell>
        </row>
        <row r="3478">
          <cell r="C3478">
            <v>6733</v>
          </cell>
          <cell r="D3478" t="str">
            <v>Apa - Jca. Suministro E Instalacion De Reducción Concéntrica Npt 3"X 2" Galvanizada</v>
          </cell>
          <cell r="E3478" t="str">
            <v>UN</v>
          </cell>
          <cell r="F3478">
            <v>164820</v>
          </cell>
          <cell r="G3478">
            <v>42569</v>
          </cell>
        </row>
        <row r="3479">
          <cell r="C3479">
            <v>6734</v>
          </cell>
          <cell r="D3479" t="str">
            <v>Apa - Jca. Suministro E Instalacion De Tee Galvanizada 3"</v>
          </cell>
          <cell r="E3479" t="str">
            <v>UN</v>
          </cell>
          <cell r="F3479">
            <v>586032</v>
          </cell>
          <cell r="G3479">
            <v>42569</v>
          </cell>
        </row>
        <row r="3480">
          <cell r="C3480">
            <v>6735</v>
          </cell>
          <cell r="D3480" t="str">
            <v>Jca. Suministro E Instalacion De Tapón Galvanizado Hembra 3"</v>
          </cell>
          <cell r="E3480" t="str">
            <v>UN</v>
          </cell>
          <cell r="F3480">
            <v>146508</v>
          </cell>
          <cell r="G3480">
            <v>42569</v>
          </cell>
        </row>
        <row r="3481">
          <cell r="C3481">
            <v>6736</v>
          </cell>
          <cell r="D3481" t="str">
            <v>Pih. Excavacion Para Zapatas</v>
          </cell>
          <cell r="E3481" t="str">
            <v>M3</v>
          </cell>
          <cell r="F3481">
            <v>30537.25</v>
          </cell>
          <cell r="G3481">
            <v>42578</v>
          </cell>
        </row>
        <row r="3482">
          <cell r="C3482">
            <v>6737</v>
          </cell>
          <cell r="D3482" t="str">
            <v>Jca. Suministro E Instalacion De Unión Universal Galvanizada 3"</v>
          </cell>
          <cell r="E3482" t="str">
            <v>UN</v>
          </cell>
          <cell r="F3482">
            <v>366270</v>
          </cell>
          <cell r="G3482">
            <v>42569</v>
          </cell>
        </row>
        <row r="3483">
          <cell r="C3483">
            <v>6738</v>
          </cell>
          <cell r="D3483" t="str">
            <v>Jca. Suministro E Instalacion De Válvula P.D En Bronce Npt 3"</v>
          </cell>
          <cell r="E3483" t="str">
            <v>UN</v>
          </cell>
          <cell r="F3483">
            <v>439524</v>
          </cell>
          <cell r="G3483">
            <v>42569</v>
          </cell>
        </row>
        <row r="3484">
          <cell r="C3484">
            <v>6739</v>
          </cell>
          <cell r="D3484" t="str">
            <v>Pih. Retiro De Material Sobrante De Excavación</v>
          </cell>
          <cell r="E3484" t="str">
            <v>M3</v>
          </cell>
          <cell r="F3484">
            <v>31152.46</v>
          </cell>
          <cell r="G3484">
            <v>42578</v>
          </cell>
        </row>
        <row r="3485">
          <cell r="C3485">
            <v>6740</v>
          </cell>
          <cell r="D3485" t="str">
            <v>Pih. Viga Aerea De Amarre De 0.20 X 0.40 Metros</v>
          </cell>
          <cell r="E3485" t="str">
            <v>ML</v>
          </cell>
          <cell r="F3485">
            <v>96022.99</v>
          </cell>
          <cell r="G3485">
            <v>42579</v>
          </cell>
        </row>
        <row r="3486">
          <cell r="C3486">
            <v>6741</v>
          </cell>
          <cell r="D3486" t="str">
            <v>Jca. Suministro E Instalacion De Válvula Cheque  Resortado Bronce Npt 3"</v>
          </cell>
          <cell r="E3486" t="str">
            <v>UN</v>
          </cell>
          <cell r="F3486">
            <v>293016</v>
          </cell>
          <cell r="G3486">
            <v>42569</v>
          </cell>
        </row>
        <row r="3487">
          <cell r="C3487">
            <v>6742</v>
          </cell>
          <cell r="D3487" t="str">
            <v>Pih. Solado En Concreto De 2000 Psi</v>
          </cell>
          <cell r="E3487" t="str">
            <v>M3</v>
          </cell>
          <cell r="F3487">
            <v>589448.26</v>
          </cell>
          <cell r="G3487">
            <v>42578</v>
          </cell>
        </row>
        <row r="3488">
          <cell r="C3488">
            <v>6743</v>
          </cell>
          <cell r="D3488" t="str">
            <v>Jca. Suministro E Instalacion De Unión Universal H.D Extremo  Roscado 3"</v>
          </cell>
          <cell r="E3488" t="str">
            <v>UN</v>
          </cell>
          <cell r="F3488">
            <v>293016</v>
          </cell>
          <cell r="G3488">
            <v>42569</v>
          </cell>
        </row>
        <row r="3489">
          <cell r="C3489">
            <v>6744</v>
          </cell>
          <cell r="D3489" t="str">
            <v>Pih. Viga Aerea De Amarre De 0.12 X 0.40 Metros</v>
          </cell>
          <cell r="E3489" t="str">
            <v>ML</v>
          </cell>
          <cell r="F3489">
            <v>80276.09</v>
          </cell>
          <cell r="G3489">
            <v>42579</v>
          </cell>
        </row>
        <row r="3490">
          <cell r="C3490">
            <v>6745</v>
          </cell>
          <cell r="D3490" t="str">
            <v>Pih. Viga De Amarre En Concreto De 3500 Psi De 0.30 X 0.30 Metros</v>
          </cell>
          <cell r="E3490" t="str">
            <v>ML</v>
          </cell>
          <cell r="F3490">
            <v>93404.37</v>
          </cell>
          <cell r="G3490">
            <v>42578</v>
          </cell>
        </row>
        <row r="3491">
          <cell r="C3491">
            <v>6746</v>
          </cell>
          <cell r="D3491" t="str">
            <v>Jca. Suministro E Instalacion De Niple A.C Sch 40 De 4"X3 Cm</v>
          </cell>
          <cell r="E3491" t="str">
            <v>UN</v>
          </cell>
          <cell r="G3491">
            <v>42569</v>
          </cell>
        </row>
        <row r="3492">
          <cell r="C3492">
            <v>6747</v>
          </cell>
          <cell r="D3492" t="str">
            <v>Instalación De Válvula De Compuerta Brida X Brida Norma Iso Pn 10 D=4", Incluye El Suministro E Instalación De Tornillería Grado 2 Y Empaquetadura Para El Montaje</v>
          </cell>
          <cell r="E3492" t="str">
            <v>UN</v>
          </cell>
          <cell r="F3492">
            <v>169227.5</v>
          </cell>
          <cell r="G3492">
            <v>42685</v>
          </cell>
        </row>
        <row r="3493">
          <cell r="C3493">
            <v>6748</v>
          </cell>
          <cell r="D3493" t="str">
            <v>Jca. Suministro E Instalacion De Valvúla Bronce Compuerta Roscada 125 Lbs Liviana De 2"</v>
          </cell>
          <cell r="E3493" t="str">
            <v>UN</v>
          </cell>
          <cell r="G3493">
            <v>42569</v>
          </cell>
        </row>
        <row r="3494">
          <cell r="C3494">
            <v>6749</v>
          </cell>
          <cell r="D3494" t="str">
            <v>Pih. Viga De Amarre En Concreto De 3500 Psi De 0.25 X 0.25 Metros</v>
          </cell>
          <cell r="E3494" t="str">
            <v>ML</v>
          </cell>
          <cell r="F3494">
            <v>74405.259999999995</v>
          </cell>
          <cell r="G3494">
            <v>42579</v>
          </cell>
        </row>
        <row r="3495">
          <cell r="C3495">
            <v>6750</v>
          </cell>
          <cell r="D3495" t="str">
            <v>Pih. Viga De Amarre Superior De Muro En Concreto 3000 Psi De 0.20 X 0.15 Metros</v>
          </cell>
          <cell r="E3495" t="str">
            <v>ML</v>
          </cell>
          <cell r="F3495">
            <v>53331.72</v>
          </cell>
          <cell r="G3495">
            <v>42578</v>
          </cell>
        </row>
        <row r="3496">
          <cell r="C3496">
            <v>6751</v>
          </cell>
          <cell r="D3496" t="str">
            <v>Pih. Viga Aerea De Amarre De 0.10 X 0.40 Metros</v>
          </cell>
          <cell r="E3496" t="str">
            <v>ML</v>
          </cell>
          <cell r="F3496">
            <v>74857.960000000006</v>
          </cell>
          <cell r="G3496">
            <v>42579</v>
          </cell>
        </row>
        <row r="3497">
          <cell r="C3497">
            <v>6752</v>
          </cell>
          <cell r="D3497" t="str">
            <v>Jca. Suministro E Instalacion De Niple A.C Sch 40 De 4"X10 Cm</v>
          </cell>
          <cell r="E3497" t="str">
            <v>UN</v>
          </cell>
          <cell r="G3497">
            <v>42569</v>
          </cell>
        </row>
        <row r="3498">
          <cell r="C3498">
            <v>6753</v>
          </cell>
          <cell r="D3498" t="str">
            <v>Jca. Suministro E Instalacion De Niple A.C Sch 40 De 4"X7.5 Cm</v>
          </cell>
          <cell r="E3498" t="str">
            <v>UN</v>
          </cell>
          <cell r="G3498">
            <v>42569</v>
          </cell>
        </row>
        <row r="3499">
          <cell r="C3499">
            <v>6754</v>
          </cell>
          <cell r="D3499" t="str">
            <v>Instalación De Válvula De Compuerta Brida X Brida Norma Iso Pn 10 D=8", Incluye El Suministro E Instalación De Tornillería Grado 2 Y Empaquetadura Para El Montaje</v>
          </cell>
          <cell r="E3499" t="str">
            <v>UN</v>
          </cell>
          <cell r="F3499">
            <v>307949.17</v>
          </cell>
          <cell r="G3499">
            <v>42685</v>
          </cell>
        </row>
        <row r="3500">
          <cell r="C3500">
            <v>6755</v>
          </cell>
          <cell r="D3500" t="str">
            <v>Jca. Suministro E Instalacion De Niple A.C Sch 40 De 4"X5 Cm</v>
          </cell>
          <cell r="E3500" t="str">
            <v>UN</v>
          </cell>
          <cell r="G3500">
            <v>42569</v>
          </cell>
        </row>
        <row r="3501">
          <cell r="C3501">
            <v>6756</v>
          </cell>
          <cell r="D3501" t="str">
            <v>Pih. Viga De Amarre En Concreto De 3000 Psi De 0.20 X0.30 Metros</v>
          </cell>
          <cell r="E3501" t="str">
            <v>ML</v>
          </cell>
          <cell r="F3501">
            <v>75372.14</v>
          </cell>
          <cell r="G3501">
            <v>42578</v>
          </cell>
        </row>
        <row r="3502">
          <cell r="C3502">
            <v>6757</v>
          </cell>
          <cell r="D3502" t="str">
            <v>Jca. Suministro E Instalacion De Niple A.C Sch 40 De 4"X25 Cm</v>
          </cell>
          <cell r="E3502" t="str">
            <v>UN</v>
          </cell>
          <cell r="G3502">
            <v>42569</v>
          </cell>
        </row>
        <row r="3503">
          <cell r="C3503">
            <v>6758</v>
          </cell>
          <cell r="D3503" t="str">
            <v>Jca. Suministro E Instalacion De Niple A.C Sch 40 De 2-1/2"X15Cm</v>
          </cell>
          <cell r="E3503" t="str">
            <v>UN</v>
          </cell>
          <cell r="G3503">
            <v>42569</v>
          </cell>
        </row>
        <row r="3504">
          <cell r="C3504">
            <v>6759</v>
          </cell>
          <cell r="D3504" t="str">
            <v>Jca. Suministro E Instalacion De Niple A.C Sch 40 De 2"X2 Pulg</v>
          </cell>
          <cell r="E3504" t="str">
            <v>UN</v>
          </cell>
          <cell r="G3504">
            <v>42569</v>
          </cell>
        </row>
        <row r="3505">
          <cell r="C3505">
            <v>6760</v>
          </cell>
          <cell r="D3505" t="str">
            <v>Jca. Suministro E Instalacion De Niple A.C Sch 40 De 4"X2 Pulg</v>
          </cell>
          <cell r="E3505" t="str">
            <v>UN</v>
          </cell>
          <cell r="G3505">
            <v>42569</v>
          </cell>
        </row>
        <row r="3506">
          <cell r="C3506">
            <v>6761</v>
          </cell>
          <cell r="D3506" t="str">
            <v>Jca. Suministro E Instalacion De Niple A.C Sch 40 De 2-1/2"X3 Pulg</v>
          </cell>
          <cell r="E3506" t="str">
            <v>UN</v>
          </cell>
          <cell r="G3506">
            <v>42569</v>
          </cell>
        </row>
        <row r="3507">
          <cell r="C3507">
            <v>6762</v>
          </cell>
          <cell r="D3507" t="str">
            <v>Jca. Suministro E Instalacion De Niple A.C Sch 40 De 4"X3 Pulg</v>
          </cell>
          <cell r="E3507" t="str">
            <v>UN</v>
          </cell>
          <cell r="G3507">
            <v>42569</v>
          </cell>
        </row>
        <row r="3508">
          <cell r="C3508">
            <v>6763</v>
          </cell>
          <cell r="D3508" t="str">
            <v>Jca. Suministro E Instalacion De Niple A.C Sch 40 De 6"X10 Pulg</v>
          </cell>
          <cell r="E3508" t="str">
            <v>UN</v>
          </cell>
          <cell r="G3508">
            <v>42569</v>
          </cell>
        </row>
        <row r="3509">
          <cell r="C3509">
            <v>6764</v>
          </cell>
          <cell r="D3509" t="str">
            <v>Jca. Suministro E Instalacion De Válvula Bron. Vert. Chino 2 1/2"</v>
          </cell>
          <cell r="E3509" t="str">
            <v>UN</v>
          </cell>
          <cell r="G3509">
            <v>42569</v>
          </cell>
        </row>
        <row r="3510">
          <cell r="C3510">
            <v>6765</v>
          </cell>
          <cell r="D3510" t="str">
            <v>Instalacion De Tuberías Pead  250Mm Pn 10 Pe 100 D=10 Y Accesorios</v>
          </cell>
          <cell r="E3510" t="str">
            <v>ML</v>
          </cell>
          <cell r="F3510">
            <v>12430.66</v>
          </cell>
          <cell r="G3510">
            <v>42685</v>
          </cell>
        </row>
        <row r="3511">
          <cell r="C3511">
            <v>6766</v>
          </cell>
          <cell r="D3511" t="str">
            <v>Pih. Viga De Amarre En Concreto De 3000 Psi De 0.25 X 0.30 Metros</v>
          </cell>
          <cell r="E3511" t="str">
            <v>ML</v>
          </cell>
          <cell r="F3511">
            <v>81249.73</v>
          </cell>
          <cell r="G3511">
            <v>42578</v>
          </cell>
        </row>
        <row r="3512">
          <cell r="C3512">
            <v>6767</v>
          </cell>
          <cell r="D3512" t="str">
            <v>Pih. Viga Aerea De Amarre De 0.40 X 0.35 Metros</v>
          </cell>
          <cell r="E3512" t="str">
            <v>ML</v>
          </cell>
          <cell r="F3512">
            <v>127063.22</v>
          </cell>
          <cell r="G3512">
            <v>42579</v>
          </cell>
        </row>
        <row r="3513">
          <cell r="C3513">
            <v>6768</v>
          </cell>
          <cell r="D3513" t="str">
            <v>Instalación De Válvula De Compuerta Brida X Brida Norma Iso Pn 10 D=6", Incluye El Suministro E Instalación De Tornillería Grado 2 Y Empaquetadura Para El Montaje</v>
          </cell>
          <cell r="E3513" t="str">
            <v>UN</v>
          </cell>
          <cell r="F3513">
            <v>246218.12</v>
          </cell>
          <cell r="G3513">
            <v>42685</v>
          </cell>
        </row>
        <row r="3514">
          <cell r="C3514">
            <v>6769</v>
          </cell>
          <cell r="D3514" t="str">
            <v>Instalacion De Tuberías Pead  160Mm Pn 10 Pe 100 D= 6" Y Accesorios.</v>
          </cell>
          <cell r="E3514" t="str">
            <v>ML</v>
          </cell>
          <cell r="F3514">
            <v>8682.24</v>
          </cell>
          <cell r="G3514">
            <v>42685</v>
          </cell>
        </row>
        <row r="3515">
          <cell r="C3515">
            <v>6770</v>
          </cell>
          <cell r="D3515" t="str">
            <v>Jca. Suministro E Instalacion De Niple A.C Sch 40 De 2 1/2"X3 Pulg</v>
          </cell>
          <cell r="E3515" t="str">
            <v>UN</v>
          </cell>
          <cell r="G3515">
            <v>42569</v>
          </cell>
        </row>
        <row r="3516">
          <cell r="C3516">
            <v>6771</v>
          </cell>
          <cell r="D3516" t="str">
            <v>Pih. Viga De Amarre En Concreto De 3000 Psi De 0.30 X 0.40 Metros</v>
          </cell>
          <cell r="E3516" t="str">
            <v>ML</v>
          </cell>
          <cell r="F3516">
            <v>105817.51</v>
          </cell>
          <cell r="G3516">
            <v>42578</v>
          </cell>
        </row>
        <row r="3517">
          <cell r="C3517">
            <v>6772</v>
          </cell>
          <cell r="D3517" t="str">
            <v>Jca.</v>
          </cell>
          <cell r="E3517" t="str">
            <v>ML</v>
          </cell>
          <cell r="F3517">
            <v>177.45</v>
          </cell>
          <cell r="G3517">
            <v>42685</v>
          </cell>
        </row>
        <row r="3518">
          <cell r="C3518">
            <v>6773</v>
          </cell>
          <cell r="D3518" t="str">
            <v>Pih. Viga Aerea De Amarre De 0.40 X 0.45 Metros</v>
          </cell>
          <cell r="E3518" t="str">
            <v>ML</v>
          </cell>
          <cell r="F3518">
            <v>152674.76999999999</v>
          </cell>
          <cell r="G3518">
            <v>42579</v>
          </cell>
        </row>
        <row r="3519">
          <cell r="C3519">
            <v>6774</v>
          </cell>
          <cell r="D3519" t="str">
            <v>Edu. Salida Para Toma Gfci 120V Con Polo A Tierra</v>
          </cell>
          <cell r="E3519" t="str">
            <v>UN</v>
          </cell>
          <cell r="F3519">
            <v>95823.61</v>
          </cell>
          <cell r="G3519">
            <v>42615</v>
          </cell>
        </row>
        <row r="3520">
          <cell r="C3520">
            <v>6775</v>
          </cell>
          <cell r="D3520" t="str">
            <v>Edu. Instalacion Reflector Aero-Led  De 400 Vatios De 41244 Luminex  (Ver Diseño)</v>
          </cell>
          <cell r="E3520" t="str">
            <v>UN</v>
          </cell>
          <cell r="F3520">
            <v>681678.26</v>
          </cell>
          <cell r="G3520">
            <v>42615</v>
          </cell>
        </row>
        <row r="3521">
          <cell r="C3521">
            <v>6776</v>
          </cell>
          <cell r="D3521" t="str">
            <v>Pih. Viga De Amarre En Concreto De 3000 Psi De 0.40 X 0.60 Metros</v>
          </cell>
          <cell r="E3521" t="str">
            <v>ML</v>
          </cell>
          <cell r="F3521">
            <v>168978.79</v>
          </cell>
          <cell r="G3521">
            <v>42578</v>
          </cell>
        </row>
        <row r="3522">
          <cell r="C3522">
            <v>6777</v>
          </cell>
          <cell r="D3522" t="str">
            <v>Edu. Suministro E Instalacion De Transformador Normalizado Seco Tipo Resina Clase F De 1000 Kva De 13200 V -220 Con Termometro Digital. Incluye Celda De Transformador</v>
          </cell>
          <cell r="E3522" t="str">
            <v>UN</v>
          </cell>
          <cell r="F3522">
            <v>55726107.5</v>
          </cell>
          <cell r="G3522">
            <v>42618</v>
          </cell>
        </row>
        <row r="3523">
          <cell r="C3523">
            <v>6778</v>
          </cell>
          <cell r="D3523" t="str">
            <v>Edu. Suministro E Instalacion De Tuberia Emt De 3"</v>
          </cell>
          <cell r="E3523" t="str">
            <v>ML</v>
          </cell>
          <cell r="F3523">
            <v>31020.03</v>
          </cell>
          <cell r="G3523">
            <v>42615</v>
          </cell>
        </row>
        <row r="3524">
          <cell r="C3524">
            <v>6779</v>
          </cell>
          <cell r="D3524" t="str">
            <v>Edu. E - Salida De Tomacorriente Doble Monofásica Con Puesta A Tierra</v>
          </cell>
          <cell r="E3524" t="str">
            <v>UN</v>
          </cell>
          <cell r="F3524">
            <v>89164.15</v>
          </cell>
          <cell r="G3524">
            <v>42615</v>
          </cell>
        </row>
        <row r="3525">
          <cell r="C3525">
            <v>6780</v>
          </cell>
          <cell r="D3525" t="str">
            <v>Pih. Viga Aerea De Amarre De 0.30 X 0.45 Metros</v>
          </cell>
          <cell r="E3525" t="str">
            <v>ML</v>
          </cell>
          <cell r="F3525">
            <v>130368.68</v>
          </cell>
          <cell r="G3525">
            <v>42579</v>
          </cell>
        </row>
        <row r="3526">
          <cell r="C3526">
            <v>6781</v>
          </cell>
          <cell r="D3526" t="str">
            <v>Pih. Viga De Amarre En Concreto De 3000 Psi De 0.35 X 0.60 Metros</v>
          </cell>
          <cell r="E3526" t="str">
            <v>ML</v>
          </cell>
          <cell r="F3526">
            <v>154467.45000000001</v>
          </cell>
          <cell r="G3526">
            <v>42578</v>
          </cell>
        </row>
        <row r="3527">
          <cell r="C3527">
            <v>6782</v>
          </cell>
          <cell r="D3527" t="str">
            <v>Edu. Acometida 3 X(3 #350 + #350 +#4/Ot) Cu Hfls (Ver Diseño)</v>
          </cell>
          <cell r="E3527" t="str">
            <v>ML</v>
          </cell>
          <cell r="F3527">
            <v>1740178.53</v>
          </cell>
          <cell r="G3527">
            <v>42614</v>
          </cell>
        </row>
        <row r="3528">
          <cell r="C3528">
            <v>6783</v>
          </cell>
          <cell r="D3528" t="str">
            <v>Edu.  Planta Electrica De Emergencia Cabinada Con Motor Cummins Y Generador Stanford De 750 Kva Con Transferencia De 2000 Amperios Trifasica A 220 Voltios  Y Tanque De Combustible Incluye Cofre Marca Abb - Change -Over (Ver Diseño)</v>
          </cell>
          <cell r="E3528" t="str">
            <v>UN</v>
          </cell>
          <cell r="F3528">
            <v>358110887.94999999</v>
          </cell>
          <cell r="G3528">
            <v>42618</v>
          </cell>
        </row>
        <row r="3529">
          <cell r="C3529">
            <v>6784</v>
          </cell>
          <cell r="D3529" t="str">
            <v>Edu. Suministro E Instalacion De Acometida 8 X (3#500 + #500 + #2/0T) Cu Hf Ls (Ver Diseño)</v>
          </cell>
          <cell r="E3529" t="str">
            <v>ML</v>
          </cell>
          <cell r="F3529">
            <v>6319006.3700000001</v>
          </cell>
          <cell r="G3529">
            <v>42618</v>
          </cell>
        </row>
        <row r="3530">
          <cell r="C3530">
            <v>6785</v>
          </cell>
          <cell r="D3530" t="str">
            <v>Edu. Suministro E Instalacion De Acometida 3 X (3#500 + #500 + #2/0T) Cu Hf Ls (Ver Diseño)</v>
          </cell>
          <cell r="E3530" t="str">
            <v>ML</v>
          </cell>
          <cell r="F3530">
            <v>2491657.5</v>
          </cell>
          <cell r="G3530">
            <v>42618</v>
          </cell>
        </row>
        <row r="3531">
          <cell r="C3531">
            <v>6786</v>
          </cell>
          <cell r="D3531" t="str">
            <v>Edu. Suministro E Instalacion De Acometida 4 X (3#750 + #750 + #4/0T) Cu Hf Ls</v>
          </cell>
          <cell r="E3531" t="str">
            <v>ML</v>
          </cell>
          <cell r="F3531">
            <v>4495063.8600000003</v>
          </cell>
          <cell r="G3531">
            <v>42618</v>
          </cell>
        </row>
        <row r="3532">
          <cell r="C3532">
            <v>6787</v>
          </cell>
          <cell r="D3532" t="str">
            <v>Edu. Suministro E Instalacion De Acometida 3#4 + #4 + #6T Cu Hf Ls</v>
          </cell>
          <cell r="E3532" t="str">
            <v>ML</v>
          </cell>
          <cell r="F3532">
            <v>76395.55</v>
          </cell>
          <cell r="G3532">
            <v>42618</v>
          </cell>
        </row>
        <row r="3533">
          <cell r="C3533">
            <v>6788</v>
          </cell>
          <cell r="D3533" t="str">
            <v>Edu. Suministro E Instalación Acometida Parcial 2#8 + #8 + 10T Cu Hf Ls</v>
          </cell>
          <cell r="E3533" t="str">
            <v>ML</v>
          </cell>
          <cell r="F3533">
            <v>27716.48</v>
          </cell>
          <cell r="G3533">
            <v>42618</v>
          </cell>
        </row>
        <row r="3534">
          <cell r="C3534">
            <v>6789</v>
          </cell>
          <cell r="D3534" t="str">
            <v>Pih. Viga Aerea De Amarre De 0.25 X 0.45 Metros</v>
          </cell>
          <cell r="E3534" t="str">
            <v>ML</v>
          </cell>
          <cell r="F3534">
            <v>114238.13</v>
          </cell>
          <cell r="G3534">
            <v>42579</v>
          </cell>
        </row>
        <row r="3535">
          <cell r="C3535">
            <v>6790</v>
          </cell>
          <cell r="D3535" t="str">
            <v>Pih. Viga De Amarre En Concreto De 3000 Psi De 0.30 X 0.60 Metros</v>
          </cell>
          <cell r="E3535" t="str">
            <v>ML</v>
          </cell>
          <cell r="F3535">
            <v>138271.53</v>
          </cell>
          <cell r="G3535">
            <v>42578</v>
          </cell>
        </row>
        <row r="3536">
          <cell r="C3536">
            <v>6791</v>
          </cell>
          <cell r="D3536" t="str">
            <v>Pih. Viga De Amarre En Concreto De 3000 Psi De 0.25 X 0.60 Metros</v>
          </cell>
          <cell r="E3536" t="str">
            <v>ML</v>
          </cell>
          <cell r="F3536">
            <v>118106.77</v>
          </cell>
          <cell r="G3536">
            <v>42578</v>
          </cell>
        </row>
        <row r="3537">
          <cell r="C3537">
            <v>6792</v>
          </cell>
          <cell r="D3537" t="str">
            <v>Edu. Suministro E Instalación De Luminaria Led De Jardin -45 Vatios</v>
          </cell>
          <cell r="E3537" t="str">
            <v>UN</v>
          </cell>
          <cell r="F3537">
            <v>646240.28</v>
          </cell>
          <cell r="G3537">
            <v>42618</v>
          </cell>
        </row>
        <row r="3538">
          <cell r="C3538">
            <v>6793</v>
          </cell>
          <cell r="D3538" t="str">
            <v>Pih. Viga De Amarre En Concreto De 3000 Psi De 0.15 X 0.60 Metros</v>
          </cell>
          <cell r="E3538" t="str">
            <v>ML</v>
          </cell>
          <cell r="F3538">
            <v>86954.17</v>
          </cell>
          <cell r="G3538">
            <v>42578</v>
          </cell>
        </row>
        <row r="3539">
          <cell r="C3539">
            <v>6794</v>
          </cell>
          <cell r="D3539" t="str">
            <v>Edu. Suministro E Instalacion De Equipo De Bombeo Sistema Contraincendio-Bomba Centrifuga De Alta Eficiencia Carcaza En Hierro Y Rodete En Acero Inoxidable Potencia : 50 Hp  , Tres83) Fases 220/440 Hdt 100 M Y 570Gpm (Ver Diseño)</v>
          </cell>
          <cell r="E3539" t="str">
            <v>UN</v>
          </cell>
          <cell r="F3539">
            <v>11646416.66</v>
          </cell>
          <cell r="G3539">
            <v>42618</v>
          </cell>
        </row>
        <row r="3540">
          <cell r="C3540">
            <v>6795</v>
          </cell>
          <cell r="D3540" t="str">
            <v>Edu. Bolardos Tubo Acero Inoxidable 304 Cal 14 Diam 4" Con Tapa, Relleno En Concreto Y Con Anclajes De !/4 Pulgada Soldados, Incluye Corte De Nucleo De 5 Pulgadas De Diametro En Andenes Y Tabletas  Y Concreto Fluido Para Su  Instalacion</v>
          </cell>
          <cell r="E3540" t="str">
            <v>UN</v>
          </cell>
          <cell r="F3540">
            <v>229015.13</v>
          </cell>
          <cell r="G3540">
            <v>42618</v>
          </cell>
        </row>
        <row r="3541">
          <cell r="C3541">
            <v>6796</v>
          </cell>
          <cell r="D3541" t="str">
            <v>Pih. Viga De Amarre En Concreto De 3000 Psi De 0.25 X 0.10 Metros</v>
          </cell>
          <cell r="E3541" t="str">
            <v>ML</v>
          </cell>
          <cell r="F3541">
            <v>40792.480000000003</v>
          </cell>
          <cell r="G3541">
            <v>42578</v>
          </cell>
        </row>
        <row r="3542">
          <cell r="C3542">
            <v>6797</v>
          </cell>
          <cell r="D3542" t="str">
            <v>Edu. Suministro E Instalación Acometida 2 X (3#4/0 + #4/0 + #2/0T Cu Hf Ls)</v>
          </cell>
          <cell r="E3542" t="str">
            <v>ML</v>
          </cell>
          <cell r="F3542">
            <v>701324.17</v>
          </cell>
          <cell r="G3542">
            <v>42614</v>
          </cell>
        </row>
        <row r="3543">
          <cell r="C3543">
            <v>6798</v>
          </cell>
          <cell r="D3543" t="str">
            <v>Jca. Suministro E Instalacion De Switch 48</v>
          </cell>
          <cell r="E3543" t="str">
            <v>UN</v>
          </cell>
          <cell r="F3543">
            <v>6920000</v>
          </cell>
          <cell r="G3543">
            <v>42569</v>
          </cell>
        </row>
        <row r="3544">
          <cell r="C3544">
            <v>6799</v>
          </cell>
          <cell r="D3544" t="str">
            <v>Edu. Suministro E Instalación Acometida Parcial 3#2 + #2 + 4T Cu Hfls</v>
          </cell>
          <cell r="E3544" t="str">
            <v>ML</v>
          </cell>
          <cell r="F3544">
            <v>119318.9</v>
          </cell>
          <cell r="G3544">
            <v>42614</v>
          </cell>
        </row>
        <row r="3545">
          <cell r="C3545">
            <v>6800</v>
          </cell>
          <cell r="D3545" t="str">
            <v>Jca. Suministro E Instalacion De Switch 48 Puertos Modulo De Fibra</v>
          </cell>
          <cell r="E3545" t="str">
            <v>UN</v>
          </cell>
          <cell r="F3545">
            <v>21200000</v>
          </cell>
          <cell r="G3545">
            <v>42569</v>
          </cell>
        </row>
        <row r="3546">
          <cell r="C3546">
            <v>6801</v>
          </cell>
          <cell r="D3546" t="str">
            <v>Jca. Suministro E Instalacion De Modulo Para Fibra Lc</v>
          </cell>
          <cell r="E3546" t="str">
            <v>UN</v>
          </cell>
          <cell r="F3546">
            <v>1557000</v>
          </cell>
          <cell r="G3546">
            <v>42569</v>
          </cell>
        </row>
        <row r="3547">
          <cell r="C3547">
            <v>6802</v>
          </cell>
          <cell r="D3547" t="str">
            <v>Jca. Certificacion De Puntos Voz Y Datos</v>
          </cell>
          <cell r="E3547" t="str">
            <v>UN</v>
          </cell>
          <cell r="G3547">
            <v>42569</v>
          </cell>
        </row>
        <row r="3548">
          <cell r="C3548">
            <v>6803</v>
          </cell>
          <cell r="D3548" t="str">
            <v>Jca. Certificacion De Puntos De Fibra</v>
          </cell>
          <cell r="E3548" t="str">
            <v>UN</v>
          </cell>
          <cell r="G3548">
            <v>42569</v>
          </cell>
        </row>
        <row r="3549">
          <cell r="C3549">
            <v>6804</v>
          </cell>
          <cell r="D3549" t="str">
            <v>Jca. Suministro E Instalacion De Organizadores Amp Horizontal 2U (80X80) Planos</v>
          </cell>
          <cell r="E3549" t="str">
            <v>UN</v>
          </cell>
          <cell r="F3549">
            <v>161200</v>
          </cell>
          <cell r="G3549">
            <v>42569</v>
          </cell>
        </row>
        <row r="3550">
          <cell r="C3550">
            <v>6805</v>
          </cell>
          <cell r="D3550" t="str">
            <v>Jca. Pickteles</v>
          </cell>
          <cell r="E3550" t="str">
            <v>UN</v>
          </cell>
          <cell r="G3550">
            <v>42569</v>
          </cell>
        </row>
        <row r="3551">
          <cell r="C3551">
            <v>6806</v>
          </cell>
          <cell r="D3551" t="str">
            <v>Jca. Suministro E Instalacion De Patch Panel 24 Puertos Incluye Jacks</v>
          </cell>
          <cell r="E3551" t="str">
            <v>UN</v>
          </cell>
          <cell r="F3551">
            <v>2650000</v>
          </cell>
          <cell r="G3551">
            <v>42569</v>
          </cell>
        </row>
        <row r="3552">
          <cell r="C3552">
            <v>6807</v>
          </cell>
          <cell r="D3552" t="str">
            <v>Pih. Viga De Amarre En Concreto De 3000 Psi De 0.50 X 0.24 Metros</v>
          </cell>
          <cell r="E3552" t="str">
            <v>ML</v>
          </cell>
          <cell r="F3552">
            <v>110919.79</v>
          </cell>
          <cell r="G3552">
            <v>42578</v>
          </cell>
        </row>
        <row r="3553">
          <cell r="C3553">
            <v>6808</v>
          </cell>
          <cell r="D3553" t="str">
            <v>Jca. Suministro E Instalacion De Patch Cord Categoria 6A</v>
          </cell>
          <cell r="E3553" t="str">
            <v>UN</v>
          </cell>
          <cell r="F3553">
            <v>47800</v>
          </cell>
          <cell r="G3553">
            <v>42569</v>
          </cell>
        </row>
        <row r="3554">
          <cell r="C3554">
            <v>6809</v>
          </cell>
          <cell r="D3554" t="str">
            <v>Jac. Suministro E Instalacion De Patch Cord Multimodo Lc</v>
          </cell>
          <cell r="E3554" t="str">
            <v>UN</v>
          </cell>
          <cell r="F3554">
            <v>111500</v>
          </cell>
          <cell r="G3554">
            <v>42569</v>
          </cell>
        </row>
        <row r="3555">
          <cell r="C3555">
            <v>6810</v>
          </cell>
          <cell r="D3555" t="str">
            <v>Jac. Suministro E Instalacion Fibra Optica Multimodo De 12 Hilos</v>
          </cell>
          <cell r="E3555" t="str">
            <v>ML</v>
          </cell>
          <cell r="F3555">
            <v>23400</v>
          </cell>
          <cell r="G3555">
            <v>42569</v>
          </cell>
        </row>
        <row r="3556">
          <cell r="C3556">
            <v>6811</v>
          </cell>
          <cell r="D3556" t="str">
            <v>Jac. Suministro E Instalacion De Union Reforzada Ez</v>
          </cell>
          <cell r="E3556" t="str">
            <v>UN</v>
          </cell>
          <cell r="F3556">
            <v>2900</v>
          </cell>
          <cell r="G3556">
            <v>42569</v>
          </cell>
        </row>
        <row r="3557">
          <cell r="C3557">
            <v>6812</v>
          </cell>
          <cell r="D3557" t="str">
            <v>Jac. Suministro E Instalacion De Bandeja Portacable 60 X 300 Ez X 3M</v>
          </cell>
          <cell r="E3557" t="str">
            <v>UN</v>
          </cell>
          <cell r="F3557">
            <v>146500</v>
          </cell>
          <cell r="G3557">
            <v>42569</v>
          </cell>
        </row>
        <row r="3558">
          <cell r="C3558">
            <v>6813</v>
          </cell>
          <cell r="D3558" t="str">
            <v>Jac. Suministro E Instalacion De Canaletas Metalicas 100 X 45</v>
          </cell>
          <cell r="E3558" t="str">
            <v>ML</v>
          </cell>
          <cell r="F3558">
            <v>80600</v>
          </cell>
          <cell r="G3558">
            <v>42569</v>
          </cell>
        </row>
        <row r="3559">
          <cell r="C3559">
            <v>6814</v>
          </cell>
          <cell r="D3559" t="str">
            <v>Jca. Suministro E Instalacion De Union Universal Lisa 2"</v>
          </cell>
          <cell r="E3559" t="str">
            <v>UN</v>
          </cell>
          <cell r="G3559">
            <v>42569</v>
          </cell>
        </row>
        <row r="3560">
          <cell r="C3560">
            <v>6815</v>
          </cell>
          <cell r="D3560" t="str">
            <v>Instalación De Válvula De Compuerta Brida X Brida Norma Iso Pn 10 D= 10", Incluye El Suministro E Instalación De Tornillería Grado 2 Y Empaquetadura Para El Montaje</v>
          </cell>
          <cell r="E3560" t="str">
            <v>UN</v>
          </cell>
          <cell r="F3560">
            <v>395892.61</v>
          </cell>
          <cell r="G3560">
            <v>42685</v>
          </cell>
        </row>
        <row r="3561">
          <cell r="C3561">
            <v>6816</v>
          </cell>
          <cell r="D3561" t="str">
            <v>Concreto Para Anclajes F'C=17,5 Mpa 2500 Psi (Preparado En Obra)</v>
          </cell>
          <cell r="E3561" t="str">
            <v>M3</v>
          </cell>
          <cell r="F3561">
            <v>346312.12</v>
          </cell>
          <cell r="G3561">
            <v>42685</v>
          </cell>
        </row>
        <row r="3562">
          <cell r="C3562">
            <v>6817</v>
          </cell>
          <cell r="D3562" t="str">
            <v>Jac. Suministro E Instalacion De Rack Comunicacion De 210 X 60 X 80 (Gabinete De Piso Netlink 42U Doble Puerta)</v>
          </cell>
          <cell r="E3562" t="str">
            <v>UN</v>
          </cell>
          <cell r="F3562">
            <v>4000000</v>
          </cell>
          <cell r="G3562">
            <v>42569</v>
          </cell>
        </row>
        <row r="3563">
          <cell r="C3563">
            <v>6818</v>
          </cell>
          <cell r="D3563" t="str">
            <v>Instalacion De Tuberías Pead  110Mm Pn 10 Pe 100 D=4", Y Accesorios</v>
          </cell>
          <cell r="E3563" t="str">
            <v>ML</v>
          </cell>
          <cell r="F3563">
            <v>5790.22</v>
          </cell>
          <cell r="G3563">
            <v>42685</v>
          </cell>
        </row>
        <row r="3564">
          <cell r="C3564">
            <v>6819</v>
          </cell>
          <cell r="D3564" t="str">
            <v>Jac. Suministro E Instalacion De Bandeja Porta Fibra Lc 12 Hilos</v>
          </cell>
          <cell r="E3564" t="str">
            <v>UN</v>
          </cell>
          <cell r="F3564">
            <v>685000</v>
          </cell>
          <cell r="G3564">
            <v>42569</v>
          </cell>
        </row>
        <row r="3565">
          <cell r="C3565">
            <v>6820</v>
          </cell>
          <cell r="D3565" t="str">
            <v>Jac. Suministro E Instalacion De Adaptador Para Bandeja Portafibra Lc 12 Hilos</v>
          </cell>
          <cell r="E3565" t="str">
            <v>UN</v>
          </cell>
          <cell r="F3565">
            <v>264000</v>
          </cell>
          <cell r="G3565">
            <v>42569</v>
          </cell>
        </row>
        <row r="3566">
          <cell r="C3566">
            <v>6821</v>
          </cell>
          <cell r="D3566" t="str">
            <v>Jac. Suministro E Instalacion De Face Plate Doble</v>
          </cell>
          <cell r="E3566" t="str">
            <v>UN</v>
          </cell>
          <cell r="F3566">
            <v>11700</v>
          </cell>
          <cell r="G3566">
            <v>42569</v>
          </cell>
        </row>
        <row r="3567">
          <cell r="C3567">
            <v>6822</v>
          </cell>
          <cell r="D3567" t="str">
            <v>Pih. Columneta De 0.20 X 0.20 En Concreto De 3000 Psi</v>
          </cell>
          <cell r="E3567" t="str">
            <v>ML</v>
          </cell>
          <cell r="F3567">
            <v>53165.01</v>
          </cell>
          <cell r="G3567">
            <v>42578</v>
          </cell>
        </row>
        <row r="3568">
          <cell r="C3568">
            <v>6823</v>
          </cell>
          <cell r="D3568" t="str">
            <v>Jac. Suministro E Instalacion De Rack De Pared De 9Ru</v>
          </cell>
          <cell r="E3568" t="str">
            <v>UN</v>
          </cell>
          <cell r="F3568">
            <v>1746900</v>
          </cell>
          <cell r="G3568">
            <v>42569</v>
          </cell>
        </row>
        <row r="3569">
          <cell r="C3569">
            <v>6824</v>
          </cell>
          <cell r="D3569" t="str">
            <v>Jac. Certificacion De Puntos Voz Y Datos</v>
          </cell>
          <cell r="E3569" t="str">
            <v>UN</v>
          </cell>
          <cell r="F3569">
            <v>26714.65</v>
          </cell>
          <cell r="G3569">
            <v>42569</v>
          </cell>
        </row>
        <row r="3570">
          <cell r="C3570">
            <v>6825</v>
          </cell>
          <cell r="D3570" t="str">
            <v>Jac. Suministro E Instalacion De Switch 24 Puertos Con Socker Para Modulo De Fibra Poe</v>
          </cell>
          <cell r="E3570" t="str">
            <v>UN</v>
          </cell>
          <cell r="F3570">
            <v>1800000</v>
          </cell>
          <cell r="G3570">
            <v>42569</v>
          </cell>
        </row>
        <row r="3571">
          <cell r="C3571">
            <v>6826</v>
          </cell>
          <cell r="D3571" t="str">
            <v>Pih. Columneta De 0.15 X 0.25 Metros En Concreto De 3000 Psi</v>
          </cell>
          <cell r="E3571" t="str">
            <v>ML</v>
          </cell>
          <cell r="F3571">
            <v>59070.33</v>
          </cell>
          <cell r="G3571">
            <v>42579</v>
          </cell>
        </row>
        <row r="3572">
          <cell r="C3572">
            <v>6827</v>
          </cell>
          <cell r="D3572" t="str">
            <v>Pih. Zapata En Concreto De 3500 Psi</v>
          </cell>
          <cell r="E3572" t="str">
            <v>M3</v>
          </cell>
          <cell r="F3572">
            <v>745461.49</v>
          </cell>
          <cell r="G3572">
            <v>42579</v>
          </cell>
        </row>
        <row r="3573">
          <cell r="C3573">
            <v>6828</v>
          </cell>
          <cell r="D3573" t="str">
            <v>Pih. Viga Aerea De Amarre De 0.15 X 0.45 Metros</v>
          </cell>
          <cell r="E3573" t="str">
            <v>ML</v>
          </cell>
          <cell r="F3573">
            <v>91932.04</v>
          </cell>
          <cell r="G3573">
            <v>42579</v>
          </cell>
        </row>
        <row r="3574">
          <cell r="C3574">
            <v>6829</v>
          </cell>
          <cell r="D3574" t="str">
            <v>Pih. Viga Aerea De Amarre De 0.40 X 0.30 Metros</v>
          </cell>
          <cell r="E3574" t="str">
            <v>ML</v>
          </cell>
          <cell r="F3574">
            <v>119768.95</v>
          </cell>
          <cell r="G3574">
            <v>42579</v>
          </cell>
        </row>
        <row r="3575">
          <cell r="C3575">
            <v>6830</v>
          </cell>
          <cell r="D3575" t="str">
            <v>Pih. Pedestal En Concreto De 3500 Psi</v>
          </cell>
          <cell r="E3575" t="str">
            <v>M3</v>
          </cell>
          <cell r="F3575">
            <v>1087134.8799999999</v>
          </cell>
          <cell r="G3575">
            <v>42579</v>
          </cell>
        </row>
        <row r="3576">
          <cell r="C3576">
            <v>6831</v>
          </cell>
          <cell r="D3576" t="str">
            <v>Pih. Viga Aerea De Amarre De 0.25 X 0.25 Metros</v>
          </cell>
          <cell r="E3576" t="str">
            <v>ML</v>
          </cell>
          <cell r="F3576">
            <v>87522.44</v>
          </cell>
          <cell r="G3576">
            <v>42579</v>
          </cell>
        </row>
        <row r="3577">
          <cell r="C3577">
            <v>6832</v>
          </cell>
          <cell r="D3577" t="str">
            <v>Pih. Losa De Cimentación En Concreto De 3500 Psi</v>
          </cell>
          <cell r="E3577" t="str">
            <v>M3</v>
          </cell>
          <cell r="F3577">
            <v>848100.19</v>
          </cell>
          <cell r="G3577">
            <v>42579</v>
          </cell>
        </row>
        <row r="3578">
          <cell r="C3578">
            <v>6833</v>
          </cell>
          <cell r="D3578" t="str">
            <v>Pih. Malla Electrosoldada De 4 Mm De 0.15 X 0.15</v>
          </cell>
          <cell r="E3578" t="str">
            <v>M2</v>
          </cell>
          <cell r="F3578">
            <v>14885.58</v>
          </cell>
          <cell r="G3578">
            <v>42579</v>
          </cell>
        </row>
        <row r="3579">
          <cell r="C3579">
            <v>6834</v>
          </cell>
          <cell r="D3579" t="str">
            <v>Pih. Geotextil Nt 1600</v>
          </cell>
          <cell r="E3579" t="str">
            <v>M2</v>
          </cell>
          <cell r="F3579">
            <v>7897.39</v>
          </cell>
          <cell r="G3579">
            <v>42572</v>
          </cell>
        </row>
        <row r="3580">
          <cell r="C3580">
            <v>6835</v>
          </cell>
          <cell r="D3580" t="str">
            <v>Pih. Filtro En Zanja De 030 X 030 Metros</v>
          </cell>
          <cell r="E3580" t="str">
            <v>M2</v>
          </cell>
          <cell r="F3580">
            <v>45732.22</v>
          </cell>
          <cell r="G3580">
            <v>42579</v>
          </cell>
        </row>
        <row r="3581">
          <cell r="C3581">
            <v>6836</v>
          </cell>
          <cell r="D3581" t="str">
            <v>Pih. Concreto Ciclopeo 2500 Psi</v>
          </cell>
          <cell r="E3581" t="str">
            <v>M3</v>
          </cell>
          <cell r="F3581">
            <v>440339.26</v>
          </cell>
          <cell r="G3581">
            <v>42579</v>
          </cell>
        </row>
        <row r="3582">
          <cell r="C3582">
            <v>6837</v>
          </cell>
          <cell r="D3582" t="str">
            <v>Pih. Concreto Ciclopeo De 3000 Psi</v>
          </cell>
          <cell r="E3582" t="str">
            <v>M3</v>
          </cell>
          <cell r="F3582">
            <v>467349.26</v>
          </cell>
          <cell r="G3582">
            <v>42579</v>
          </cell>
        </row>
        <row r="3583">
          <cell r="C3583">
            <v>6838</v>
          </cell>
          <cell r="D3583" t="str">
            <v>Pih. Viga Aerea De Amarre De 0.15 X 0.25 Metros</v>
          </cell>
          <cell r="E3583" t="str">
            <v>ML</v>
          </cell>
          <cell r="F3583">
            <v>77598.62</v>
          </cell>
          <cell r="G3583">
            <v>42579</v>
          </cell>
        </row>
        <row r="3584">
          <cell r="C3584">
            <v>6839</v>
          </cell>
          <cell r="D3584" t="str">
            <v>Pih. Sobrenivel Doble En Ladrillo Común H = 0.40 Metros</v>
          </cell>
          <cell r="E3584" t="str">
            <v>ML</v>
          </cell>
          <cell r="F3584">
            <v>56928.73</v>
          </cell>
          <cell r="G3584">
            <v>42579</v>
          </cell>
        </row>
        <row r="3585">
          <cell r="C3585">
            <v>6840</v>
          </cell>
          <cell r="D3585" t="str">
            <v>Pih. Viga Aerea De Amarre De 0.60 X 0.30 Metros</v>
          </cell>
          <cell r="E3585" t="str">
            <v>ML</v>
          </cell>
          <cell r="F3585">
            <v>146739.76999999999</v>
          </cell>
          <cell r="G3585">
            <v>42579</v>
          </cell>
        </row>
        <row r="3586">
          <cell r="C3586">
            <v>6841</v>
          </cell>
          <cell r="D3586" t="str">
            <v>Pih. Registro Sanitaro De 0.50 X 0.50 X 0.50 Metros</v>
          </cell>
          <cell r="E3586" t="str">
            <v>UN</v>
          </cell>
          <cell r="F3586">
            <v>272923.5</v>
          </cell>
          <cell r="G3586">
            <v>42579</v>
          </cell>
        </row>
        <row r="3587">
          <cell r="C3587">
            <v>6842</v>
          </cell>
          <cell r="D3587" t="str">
            <v>Pih. Registro Sanitario De 0.80 X 0.80 X 1.00 Metros</v>
          </cell>
          <cell r="E3587" t="str">
            <v>UN</v>
          </cell>
          <cell r="F3587">
            <v>473319.22</v>
          </cell>
          <cell r="G3587">
            <v>42579</v>
          </cell>
        </row>
        <row r="3588">
          <cell r="C3588">
            <v>6843</v>
          </cell>
          <cell r="D3588" t="str">
            <v>Pih. Columna En Concreto De 3000 Psi</v>
          </cell>
          <cell r="E3588" t="str">
            <v>M3</v>
          </cell>
          <cell r="F3588">
            <v>1153894.83</v>
          </cell>
          <cell r="G3588">
            <v>42579</v>
          </cell>
        </row>
        <row r="3589">
          <cell r="C3589">
            <v>6844</v>
          </cell>
          <cell r="D3589" t="str">
            <v>Pih. Levante En Bloque De Arcilla E = 0.10 Metros</v>
          </cell>
          <cell r="E3589" t="str">
            <v>M2</v>
          </cell>
          <cell r="F3589">
            <v>50589.21</v>
          </cell>
          <cell r="G3589">
            <v>42579</v>
          </cell>
        </row>
        <row r="3590">
          <cell r="C3590">
            <v>6845</v>
          </cell>
          <cell r="D3590" t="str">
            <v>Pih. Levante En Bloque De Cemento E = 0.10 Metros</v>
          </cell>
          <cell r="E3590" t="str">
            <v>M2</v>
          </cell>
          <cell r="F3590">
            <v>54454.21</v>
          </cell>
          <cell r="G3590">
            <v>42579</v>
          </cell>
        </row>
        <row r="3591">
          <cell r="C3591">
            <v>6846</v>
          </cell>
          <cell r="D3591" t="str">
            <v>Pih. Levante En Bloque De Cemento Vibroprensado De 0.15 X 0.20 X 0.40 Metros Con Celdas Rellenas En Concreto Y Acero Según Diseño</v>
          </cell>
          <cell r="E3591" t="str">
            <v>M2</v>
          </cell>
          <cell r="F3591">
            <v>103917.02</v>
          </cell>
          <cell r="G3591">
            <v>42579</v>
          </cell>
        </row>
        <row r="3592">
          <cell r="C3592">
            <v>6848</v>
          </cell>
          <cell r="D3592" t="str">
            <v>Pih. Rampa En Concreto</v>
          </cell>
          <cell r="E3592" t="str">
            <v>M2</v>
          </cell>
          <cell r="F3592">
            <v>245715.72</v>
          </cell>
          <cell r="G3592">
            <v>42579</v>
          </cell>
        </row>
        <row r="3593">
          <cell r="C3593">
            <v>6851</v>
          </cell>
          <cell r="D3593" t="str">
            <v>Pih. Pergolas En Concreto</v>
          </cell>
          <cell r="E3593" t="str">
            <v>UN</v>
          </cell>
          <cell r="F3593">
            <v>73494.009999999995</v>
          </cell>
          <cell r="G3593">
            <v>42579</v>
          </cell>
        </row>
        <row r="3594">
          <cell r="C3594">
            <v>6854</v>
          </cell>
          <cell r="D3594" t="str">
            <v>Pih. Torta De Nivelacion</v>
          </cell>
          <cell r="E3594" t="str">
            <v>M2</v>
          </cell>
          <cell r="F3594">
            <v>32801.93</v>
          </cell>
          <cell r="G3594">
            <v>42579</v>
          </cell>
        </row>
        <row r="3595">
          <cell r="C3595">
            <v>6857</v>
          </cell>
          <cell r="D3595" t="str">
            <v>Pih. Media Caña En Mortero</v>
          </cell>
          <cell r="E3595" t="str">
            <v>ML</v>
          </cell>
          <cell r="F3595">
            <v>15219.31</v>
          </cell>
          <cell r="G3595">
            <v>42579</v>
          </cell>
        </row>
        <row r="3596">
          <cell r="C3596">
            <v>6860</v>
          </cell>
          <cell r="D3596" t="str">
            <v>Pih. Impermeabilizacion Losa</v>
          </cell>
          <cell r="E3596" t="str">
            <v>M2</v>
          </cell>
          <cell r="F3596">
            <v>39718.120000000003</v>
          </cell>
          <cell r="G3596">
            <v>42579</v>
          </cell>
        </row>
        <row r="3597">
          <cell r="C3597">
            <v>6862</v>
          </cell>
          <cell r="D3597" t="str">
            <v>Pih. Geotextil Nt 1600</v>
          </cell>
          <cell r="E3597" t="str">
            <v>M2</v>
          </cell>
          <cell r="F3597">
            <v>9181.49</v>
          </cell>
          <cell r="G3597">
            <v>42579</v>
          </cell>
        </row>
        <row r="3598">
          <cell r="C3598">
            <v>6863</v>
          </cell>
          <cell r="D3598" t="str">
            <v>Pih. Impermeabilizacion Baños, Jardineras Zonas Humedas, Cubierta Y Otros Con Igasol</v>
          </cell>
          <cell r="E3598" t="str">
            <v>M2</v>
          </cell>
          <cell r="F3598">
            <v>25362.52</v>
          </cell>
          <cell r="G3598">
            <v>42579</v>
          </cell>
        </row>
        <row r="3599">
          <cell r="C3599">
            <v>6864</v>
          </cell>
          <cell r="D3599" t="str">
            <v>Pih. Suministro Y Construccion De Base Autosoportada Para Poste</v>
          </cell>
          <cell r="E3599" t="str">
            <v>UN</v>
          </cell>
          <cell r="F3599">
            <v>622398</v>
          </cell>
          <cell r="G3599">
            <v>42578</v>
          </cell>
        </row>
        <row r="3600">
          <cell r="C3600">
            <v>6865</v>
          </cell>
          <cell r="D3600" t="str">
            <v>Pih. Suministro E Instalacion De Juego De Pararrayos</v>
          </cell>
          <cell r="E3600" t="str">
            <v>JG</v>
          </cell>
          <cell r="F3600">
            <v>706632.6</v>
          </cell>
          <cell r="G3600">
            <v>42578</v>
          </cell>
        </row>
        <row r="3601">
          <cell r="C3601">
            <v>6866</v>
          </cell>
          <cell r="D3601" t="str">
            <v>Pih. Suministro E Instalacion De Cortacircuitos</v>
          </cell>
          <cell r="E3601" t="str">
            <v>JG</v>
          </cell>
          <cell r="F3601">
            <v>887159.6</v>
          </cell>
          <cell r="G3601">
            <v>42578</v>
          </cell>
        </row>
        <row r="3602">
          <cell r="C3602">
            <v>6867</v>
          </cell>
          <cell r="D3602" t="str">
            <v>Pih. Suministro E Instalacion De Transformador Trifasico De 75 Kva</v>
          </cell>
          <cell r="E3602" t="str">
            <v>UN</v>
          </cell>
          <cell r="F3602">
            <v>18744230</v>
          </cell>
          <cell r="G3602">
            <v>42578</v>
          </cell>
        </row>
        <row r="3603">
          <cell r="C3603">
            <v>6868</v>
          </cell>
          <cell r="D3603" t="str">
            <v>Pih. Suministro E Instalacion De Transformador Trifasico De 45 Kva</v>
          </cell>
          <cell r="E3603" t="str">
            <v>UN</v>
          </cell>
          <cell r="F3603">
            <v>16192730</v>
          </cell>
          <cell r="G3603">
            <v>42578</v>
          </cell>
        </row>
        <row r="3604">
          <cell r="C3604">
            <v>6869</v>
          </cell>
          <cell r="D3604" t="str">
            <v>Pih. Suministro E Instalacion De Malla De Puesta A Tierra</v>
          </cell>
          <cell r="E3604" t="str">
            <v>GL</v>
          </cell>
          <cell r="F3604">
            <v>5413538</v>
          </cell>
          <cell r="G3604">
            <v>42578</v>
          </cell>
        </row>
        <row r="3605">
          <cell r="C3605">
            <v>6870</v>
          </cell>
          <cell r="D3605" t="str">
            <v>Pih. Cielo Raso En Lamina De Yeso Carton</v>
          </cell>
          <cell r="E3605" t="str">
            <v>M2</v>
          </cell>
          <cell r="F3605">
            <v>67991.520000000004</v>
          </cell>
          <cell r="G3605">
            <v>42579</v>
          </cell>
        </row>
        <row r="3606">
          <cell r="C3606">
            <v>6871</v>
          </cell>
          <cell r="D3606" t="str">
            <v>Pih. Cielo Raso En Lamina De Super Board</v>
          </cell>
          <cell r="E3606" t="str">
            <v>M2</v>
          </cell>
          <cell r="F3606">
            <v>121911.64</v>
          </cell>
          <cell r="G3606">
            <v>42579</v>
          </cell>
        </row>
        <row r="3607">
          <cell r="C3607">
            <v>6872</v>
          </cell>
          <cell r="D3607" t="str">
            <v>Pih. Cielo Raso En Lamina De Super Board Altura Mayor A 2.40 Metros</v>
          </cell>
          <cell r="E3607" t="str">
            <v>M2</v>
          </cell>
          <cell r="F3607">
            <v>132996.47</v>
          </cell>
          <cell r="G3607">
            <v>42579</v>
          </cell>
        </row>
        <row r="3608">
          <cell r="C3608">
            <v>6874</v>
          </cell>
          <cell r="D3608" t="str">
            <v>Pih. Losa Aligerada Con Metaldeck En Concreto De 3000 Psi E = 0.35 Metros</v>
          </cell>
          <cell r="E3608" t="str">
            <v>M3</v>
          </cell>
          <cell r="F3608">
            <v>172538.27</v>
          </cell>
          <cell r="G3608">
            <v>42579</v>
          </cell>
        </row>
        <row r="3609">
          <cell r="C3609">
            <v>6876</v>
          </cell>
          <cell r="D3609" t="str">
            <v>Pih. Plantilla De Piso 2000 Psi E=0.05 Metros</v>
          </cell>
          <cell r="E3609" t="str">
            <v>M2</v>
          </cell>
          <cell r="F3609">
            <v>39226.639999999999</v>
          </cell>
          <cell r="G3609">
            <v>42579</v>
          </cell>
        </row>
        <row r="3610">
          <cell r="C3610">
            <v>6877</v>
          </cell>
          <cell r="D3610" t="str">
            <v>Pih. Combo Sanitario Acuacer</v>
          </cell>
          <cell r="E3610" t="str">
            <v>UN</v>
          </cell>
          <cell r="F3610">
            <v>561233.5</v>
          </cell>
          <cell r="G3610">
            <v>42579</v>
          </cell>
        </row>
        <row r="3611">
          <cell r="C3611">
            <v>6878</v>
          </cell>
          <cell r="D3611" t="str">
            <v>Pih. Plantilla De Piso 2500 Psi E= 0.05 Metros</v>
          </cell>
          <cell r="E3611" t="str">
            <v>M2</v>
          </cell>
          <cell r="F3611">
            <v>41354.639999999999</v>
          </cell>
          <cell r="G3611">
            <v>42579</v>
          </cell>
        </row>
        <row r="3612">
          <cell r="C3612">
            <v>6879</v>
          </cell>
          <cell r="D3612" t="str">
            <v>Pih. Suministro E Instalación De Acometida En Cable De Cu Thw 3 No. 6 Awg + 6 Awg + No. 8 Tawg En Ducto De 1 1/2"</v>
          </cell>
          <cell r="E3612" t="str">
            <v>ML</v>
          </cell>
          <cell r="F3612">
            <v>84149.48</v>
          </cell>
          <cell r="G3612">
            <v>42579</v>
          </cell>
        </row>
        <row r="3613">
          <cell r="C3613">
            <v>6881</v>
          </cell>
          <cell r="D3613" t="str">
            <v>Pih. Plantilla De Piso 2500 Psi E= 0.07 Metros</v>
          </cell>
          <cell r="E3613" t="str">
            <v>M2</v>
          </cell>
          <cell r="F3613">
            <v>48886.82</v>
          </cell>
          <cell r="G3613">
            <v>42579</v>
          </cell>
        </row>
        <row r="3614">
          <cell r="C3614">
            <v>6882</v>
          </cell>
          <cell r="D3614" t="str">
            <v>Pih. Suministro E Instalación De Acometida En Cable De Cu Thw 3 No. 8 Awg + 8 Awg + No. 10 Tawg En Ducto De 1"</v>
          </cell>
          <cell r="E3614" t="str">
            <v>ML</v>
          </cell>
          <cell r="F3614">
            <v>59736.480000000003</v>
          </cell>
          <cell r="G3614">
            <v>42579</v>
          </cell>
        </row>
        <row r="3615">
          <cell r="C3615">
            <v>6883</v>
          </cell>
          <cell r="D3615" t="str">
            <v>Pih. Suministro E Instalación De Acometida Aerea En Cable De Cu Thw (3#1/0 Awg) En Ducto De 1 1/2"</v>
          </cell>
          <cell r="E3615" t="str">
            <v>ML</v>
          </cell>
          <cell r="F3615">
            <v>162285.29999999999</v>
          </cell>
          <cell r="G3615">
            <v>42579</v>
          </cell>
        </row>
        <row r="3616">
          <cell r="C3616">
            <v>6884</v>
          </cell>
          <cell r="D3616" t="str">
            <v>Pih. Plantilla De Piso 3000 Psi E= 0.07 Metros</v>
          </cell>
          <cell r="E3616" t="str">
            <v>M2</v>
          </cell>
          <cell r="F3616">
            <v>55654.02</v>
          </cell>
          <cell r="G3616">
            <v>42579</v>
          </cell>
        </row>
        <row r="3617">
          <cell r="C3617">
            <v>6885</v>
          </cell>
          <cell r="D3617" t="str">
            <v>Pih. Suministro E Instalación De Acometida Aerea En Cable De Cu 3#4 Awg + #4 Awg + #8 Tawg En Ducto De 1"</v>
          </cell>
          <cell r="E3617" t="str">
            <v>ML</v>
          </cell>
          <cell r="F3617">
            <v>74539.3</v>
          </cell>
          <cell r="G3617">
            <v>42579</v>
          </cell>
        </row>
        <row r="3618">
          <cell r="C3618">
            <v>6886</v>
          </cell>
          <cell r="D3618" t="str">
            <v>Pih. Plantilla De Piso 3000 Psi E= 0.10 Metros</v>
          </cell>
          <cell r="E3618" t="str">
            <v>M2</v>
          </cell>
          <cell r="F3618">
            <v>74758.52</v>
          </cell>
          <cell r="G3618">
            <v>42579</v>
          </cell>
        </row>
        <row r="3619">
          <cell r="C3619">
            <v>6887</v>
          </cell>
          <cell r="D3619" t="str">
            <v>Pih. Suministro E Instalación  De Acometida Aerea En Cable De Cu Thw(2#6 Awg + 1#10 Awg) En Ducto De 1"</v>
          </cell>
          <cell r="E3619" t="str">
            <v>ML</v>
          </cell>
          <cell r="F3619">
            <v>46596.3</v>
          </cell>
          <cell r="G3619">
            <v>42579</v>
          </cell>
        </row>
        <row r="3620">
          <cell r="C3620">
            <v>6888</v>
          </cell>
          <cell r="D3620" t="str">
            <v>Pih. Plantilla De Piso 3000 Psi E = 0.10 Metros Impermeabilizada</v>
          </cell>
          <cell r="E3620" t="str">
            <v>M2</v>
          </cell>
          <cell r="F3620">
            <v>91305.52</v>
          </cell>
          <cell r="G3620">
            <v>42579</v>
          </cell>
        </row>
        <row r="3621">
          <cell r="C3621">
            <v>6889</v>
          </cell>
          <cell r="D3621" t="str">
            <v>Pih. Lavamanos De Sobreponer</v>
          </cell>
          <cell r="E3621" t="str">
            <v>UN</v>
          </cell>
          <cell r="F3621">
            <v>156344.20000000001</v>
          </cell>
          <cell r="G3621">
            <v>42579</v>
          </cell>
        </row>
        <row r="3622">
          <cell r="C3622">
            <v>6890</v>
          </cell>
          <cell r="D3622" t="str">
            <v>Pih. Pavimento En Concreto De 3000 Psi E = 0.10 Metros</v>
          </cell>
          <cell r="E3622" t="str">
            <v>M2</v>
          </cell>
          <cell r="F3622">
            <v>105458.24000000001</v>
          </cell>
          <cell r="G3622">
            <v>42579</v>
          </cell>
        </row>
        <row r="3623">
          <cell r="C3623">
            <v>6891</v>
          </cell>
          <cell r="D3623" t="str">
            <v>Pih. Suministro E Instalación  De Acometida Aerea En Cable De Cu Thw(2#8 Awg + 1#10 Awg) En Ducto De 1"</v>
          </cell>
          <cell r="E3623" t="str">
            <v>ML</v>
          </cell>
          <cell r="F3623">
            <v>38137.300000000003</v>
          </cell>
          <cell r="G3623">
            <v>42579</v>
          </cell>
        </row>
        <row r="3624">
          <cell r="C3624">
            <v>6892</v>
          </cell>
          <cell r="D3624" t="str">
            <v>Pih. Suministro E Instalación  De Acometida Aerea En Cable De Cu Thw(2#10 Awg + 1#12Awg) En Ducto De 3/4"</v>
          </cell>
          <cell r="E3624" t="str">
            <v>ML</v>
          </cell>
          <cell r="F3624">
            <v>35207.300000000003</v>
          </cell>
          <cell r="G3624">
            <v>42579</v>
          </cell>
        </row>
        <row r="3625">
          <cell r="C3625">
            <v>6893</v>
          </cell>
          <cell r="D3625" t="str">
            <v>Pih. Pavimento En Concreto De 3000 Psi E = O.15 Metros</v>
          </cell>
          <cell r="E3625" t="str">
            <v>M2</v>
          </cell>
          <cell r="F3625">
            <v>129324.93</v>
          </cell>
          <cell r="G3625">
            <v>42579</v>
          </cell>
        </row>
        <row r="3626">
          <cell r="C3626">
            <v>6894</v>
          </cell>
          <cell r="D3626" t="str">
            <v>Pih. Suministro E Instalación  De Acometida Aerea En Cable De Cu Thw(2#12 Awg + 1#14Awg) En Ducto De 1/2"</v>
          </cell>
          <cell r="E3626" t="str">
            <v>ML</v>
          </cell>
          <cell r="F3626">
            <v>27373.3</v>
          </cell>
          <cell r="G3626">
            <v>42579</v>
          </cell>
        </row>
        <row r="3627">
          <cell r="C3627">
            <v>6895</v>
          </cell>
          <cell r="D3627" t="str">
            <v>Pih. Pavimento En Concreto De Mr 45 E = 0.15 Metros</v>
          </cell>
          <cell r="E3627" t="str">
            <v>M2</v>
          </cell>
          <cell r="F3627">
            <v>135528.97</v>
          </cell>
          <cell r="G3627">
            <v>42579</v>
          </cell>
        </row>
        <row r="3628">
          <cell r="C3628">
            <v>6896</v>
          </cell>
          <cell r="D3628" t="str">
            <v>Pih. Suministro E Instalación  De Acometida Aerea En Cable De Cu Thw(2#12 Awg + 1#12Awg) En Ducto De 1/2"</v>
          </cell>
          <cell r="E3628" t="str">
            <v>ML</v>
          </cell>
          <cell r="F3628">
            <v>30325.3</v>
          </cell>
          <cell r="G3628">
            <v>42579</v>
          </cell>
        </row>
        <row r="3629">
          <cell r="C3629">
            <v>6897</v>
          </cell>
          <cell r="D3629" t="str">
            <v>Pih. Bordillo En Concreto De 2500 Psi E= 0.40 X 0.15 Metros</v>
          </cell>
          <cell r="E3629" t="str">
            <v>ML</v>
          </cell>
          <cell r="F3629">
            <v>66228.27</v>
          </cell>
          <cell r="G3629">
            <v>42579</v>
          </cell>
        </row>
        <row r="3630">
          <cell r="C3630">
            <v>6898</v>
          </cell>
          <cell r="D3630" t="str">
            <v>Pih. Suministro E Instalación  De Acometida Aerea En Cable De Cu Thw(2#12 Awg + 1#12Awg) En Ducto De 1/2" Emt</v>
          </cell>
          <cell r="E3630" t="str">
            <v>ML</v>
          </cell>
          <cell r="F3630">
            <v>32050.3</v>
          </cell>
          <cell r="G3630">
            <v>42579</v>
          </cell>
        </row>
        <row r="3631">
          <cell r="C3631">
            <v>6899</v>
          </cell>
          <cell r="D3631" t="str">
            <v>Pih. Piso En Baldosa De Granito</v>
          </cell>
          <cell r="E3631" t="str">
            <v>M2</v>
          </cell>
          <cell r="F3631">
            <v>131502.6</v>
          </cell>
          <cell r="G3631">
            <v>42579</v>
          </cell>
        </row>
        <row r="3632">
          <cell r="C3632">
            <v>6900</v>
          </cell>
          <cell r="D3632" t="str">
            <v>Pih. Suministro E Instalación  De Acometida Aerea En Cable De Cu Thw(2#12 Awg + 1#12Awg) En Ducto De 3/4" Emt</v>
          </cell>
          <cell r="E3632" t="str">
            <v>ML</v>
          </cell>
          <cell r="F3632">
            <v>33740.300000000003</v>
          </cell>
          <cell r="G3632">
            <v>42579</v>
          </cell>
        </row>
        <row r="3633">
          <cell r="C3633">
            <v>6901</v>
          </cell>
          <cell r="D3633" t="str">
            <v>Pih. Piso En Granito Lavado</v>
          </cell>
          <cell r="E3633" t="str">
            <v>M2</v>
          </cell>
          <cell r="F3633">
            <v>63340.93</v>
          </cell>
          <cell r="G3633">
            <v>42579</v>
          </cell>
        </row>
        <row r="3634">
          <cell r="C3634">
            <v>6902</v>
          </cell>
          <cell r="D3634" t="str">
            <v>Pih. Suministro E Instalación  De Acometida Aerea En Cable De Cu Thw(2#10 Awg + 1#10Awg) En Ducto De 3/4"</v>
          </cell>
          <cell r="E3634" t="str">
            <v>ML</v>
          </cell>
          <cell r="F3634">
            <v>36785.230000000003</v>
          </cell>
          <cell r="G3634">
            <v>42579</v>
          </cell>
        </row>
        <row r="3635">
          <cell r="C3635">
            <v>6903</v>
          </cell>
          <cell r="D3635" t="str">
            <v>Pih. Zocalo 1/2 Caña En Granito Pulido</v>
          </cell>
          <cell r="E3635" t="str">
            <v>ML</v>
          </cell>
          <cell r="F3635">
            <v>35777.47</v>
          </cell>
          <cell r="G3635">
            <v>42579</v>
          </cell>
        </row>
        <row r="3636">
          <cell r="C3636">
            <v>6904</v>
          </cell>
          <cell r="D3636" t="str">
            <v>Pih. Suministro E Instalación De Toma Doble Levington Con P/T 127 V En Cable De Cu 2#12 Awg + #14 Awg En Ducto De 1/2"</v>
          </cell>
          <cell r="E3636" t="str">
            <v>UN</v>
          </cell>
          <cell r="F3636">
            <v>126920.9</v>
          </cell>
          <cell r="G3636">
            <v>42579</v>
          </cell>
        </row>
        <row r="3637">
          <cell r="C3637">
            <v>6905</v>
          </cell>
          <cell r="D3637" t="str">
            <v>Pih. Suministro E Instalación De Salida Para Iluminación Con L/P 127 V En Cable De Cu 2#12 Awg + #14 Awg En Ducto De 1/2"</v>
          </cell>
          <cell r="E3637" t="str">
            <v>UN</v>
          </cell>
          <cell r="F3637">
            <v>120085.9</v>
          </cell>
          <cell r="G3637">
            <v>42579</v>
          </cell>
        </row>
        <row r="3638">
          <cell r="C3638">
            <v>6906</v>
          </cell>
          <cell r="D3638" t="str">
            <v>Pih. Suministro E Instalación De Interruptor Sencillo</v>
          </cell>
          <cell r="E3638" t="str">
            <v>UN</v>
          </cell>
          <cell r="F3638">
            <v>11865.06</v>
          </cell>
          <cell r="G3638">
            <v>42579</v>
          </cell>
        </row>
        <row r="3639">
          <cell r="C3639">
            <v>6907</v>
          </cell>
          <cell r="D3639" t="str">
            <v>Pih. Suministro E Instalación De Tomacorriente A 220 En Cable De Cu 2#10 Awg + #14 Awg En Ducto De 3/4"</v>
          </cell>
          <cell r="E3639" t="str">
            <v>UN</v>
          </cell>
          <cell r="F3639">
            <v>154534.20000000001</v>
          </cell>
          <cell r="G3639">
            <v>42579</v>
          </cell>
        </row>
        <row r="3640">
          <cell r="C3640">
            <v>6908</v>
          </cell>
          <cell r="D3640" t="str">
            <v>Pih. Suministro E Instalación De Ducto De 1"</v>
          </cell>
          <cell r="E3640" t="str">
            <v>UN</v>
          </cell>
          <cell r="F3640">
            <v>9464.1200000000008</v>
          </cell>
          <cell r="G3640">
            <v>42579</v>
          </cell>
        </row>
        <row r="3641">
          <cell r="C3641">
            <v>6909</v>
          </cell>
          <cell r="D3641" t="str">
            <v>Pih. Suministro E Instalación De Strip Telefónico</v>
          </cell>
          <cell r="E3641" t="str">
            <v>UN</v>
          </cell>
          <cell r="F3641">
            <v>434456.4</v>
          </cell>
          <cell r="G3641">
            <v>42579</v>
          </cell>
        </row>
        <row r="3642">
          <cell r="C3642">
            <v>6910</v>
          </cell>
          <cell r="D3642" t="str">
            <v>Pih Suministro E Instalación De Toma Telefónico En Cable De 2 X 2 X 22 En Ducto De 3/4"</v>
          </cell>
          <cell r="E3642" t="str">
            <v>UN</v>
          </cell>
          <cell r="F3642">
            <v>101607.2</v>
          </cell>
          <cell r="G3642">
            <v>42579</v>
          </cell>
        </row>
        <row r="3643">
          <cell r="C3643">
            <v>6911</v>
          </cell>
          <cell r="D3643" t="str">
            <v>Pih. Suministro E Instalación De Lampara De 2 X 48 W Con Balastro Electrónico Ahorrador De Energía</v>
          </cell>
          <cell r="E3643" t="str">
            <v>UN</v>
          </cell>
          <cell r="F3643">
            <v>185991.2</v>
          </cell>
          <cell r="G3643">
            <v>42579</v>
          </cell>
        </row>
        <row r="3644">
          <cell r="C3644">
            <v>6912</v>
          </cell>
          <cell r="D3644" t="str">
            <v>Pih. Suministro E Instalación De Ojo De Buey De 4"</v>
          </cell>
          <cell r="E3644" t="str">
            <v>UN</v>
          </cell>
          <cell r="F3644">
            <v>74279.600000000006</v>
          </cell>
          <cell r="G3644">
            <v>42579</v>
          </cell>
        </row>
        <row r="3645">
          <cell r="C3645">
            <v>6913</v>
          </cell>
          <cell r="D3645" t="str">
            <v>Pih. Suministro E Instalación De Bombillo Fluorescente De 16W</v>
          </cell>
          <cell r="E3645" t="str">
            <v>UN</v>
          </cell>
          <cell r="F3645">
            <v>19382.060000000001</v>
          </cell>
          <cell r="G3645">
            <v>42579</v>
          </cell>
        </row>
        <row r="3646">
          <cell r="C3646">
            <v>6914</v>
          </cell>
          <cell r="D3646" t="str">
            <v>Pih. Suministro E Instalación De Lampara Tipo Aplique Incluye Bombillo De 16 W</v>
          </cell>
          <cell r="E3646" t="str">
            <v>UN</v>
          </cell>
          <cell r="F3646">
            <v>766117.8</v>
          </cell>
          <cell r="G3646">
            <v>42579</v>
          </cell>
        </row>
        <row r="3647">
          <cell r="C3647">
            <v>6915</v>
          </cell>
          <cell r="D3647" t="str">
            <v>Pih. Sanitario Acuacer</v>
          </cell>
          <cell r="E3647" t="str">
            <v>UN</v>
          </cell>
          <cell r="F3647">
            <v>391249.2</v>
          </cell>
          <cell r="G3647">
            <v>42579</v>
          </cell>
        </row>
        <row r="3648">
          <cell r="C3648">
            <v>6916</v>
          </cell>
          <cell r="D3648" t="str">
            <v>Pih. Instalación Y Suministro De Lavaplatos En Acero Inoxidable</v>
          </cell>
          <cell r="E3648" t="str">
            <v>UN</v>
          </cell>
          <cell r="F3648">
            <v>142957.04999999999</v>
          </cell>
          <cell r="G3648">
            <v>42579</v>
          </cell>
        </row>
        <row r="3649">
          <cell r="C3649">
            <v>6917</v>
          </cell>
          <cell r="D3649" t="str">
            <v>Pih. Lavatrapero En Granito</v>
          </cell>
          <cell r="E3649" t="str">
            <v>UN</v>
          </cell>
          <cell r="F3649">
            <v>173498.64</v>
          </cell>
          <cell r="G3649">
            <v>42579</v>
          </cell>
        </row>
        <row r="3650">
          <cell r="C3650">
            <v>6918</v>
          </cell>
          <cell r="D3650" t="str">
            <v>Pih. Grifería Para Lavaplatos</v>
          </cell>
          <cell r="E3650" t="str">
            <v>UN</v>
          </cell>
          <cell r="F3650">
            <v>249618.55</v>
          </cell>
          <cell r="G3650">
            <v>42579</v>
          </cell>
        </row>
        <row r="3651">
          <cell r="C3651">
            <v>6919</v>
          </cell>
          <cell r="D3651" t="str">
            <v>Pih. Suministro E Instalacion De Distribucion De 32 Ctos</v>
          </cell>
          <cell r="E3651" t="str">
            <v>UN</v>
          </cell>
          <cell r="F3651">
            <v>344293.81</v>
          </cell>
          <cell r="G3651">
            <v>42570</v>
          </cell>
        </row>
        <row r="3652">
          <cell r="C3652">
            <v>6920</v>
          </cell>
          <cell r="D3652" t="str">
            <v>Pih. Aseo General</v>
          </cell>
          <cell r="E3652" t="str">
            <v>M2</v>
          </cell>
          <cell r="F3652">
            <v>4327.8100000000004</v>
          </cell>
          <cell r="G3652">
            <v>42579</v>
          </cell>
        </row>
        <row r="3653">
          <cell r="C3653">
            <v>6921</v>
          </cell>
          <cell r="D3653" t="str">
            <v>Pih. Ducha Tayrona</v>
          </cell>
          <cell r="E3653" t="str">
            <v>UN</v>
          </cell>
          <cell r="F3653">
            <v>135280.54999999999</v>
          </cell>
          <cell r="G3653">
            <v>42579</v>
          </cell>
        </row>
        <row r="3654">
          <cell r="C3654">
            <v>6922</v>
          </cell>
          <cell r="D3654" t="str">
            <v>Pih. Pasamanos Sobre Muro En Madera</v>
          </cell>
          <cell r="E3654" t="str">
            <v>ML</v>
          </cell>
          <cell r="F3654">
            <v>121218.6</v>
          </cell>
          <cell r="G3654">
            <v>42579</v>
          </cell>
        </row>
        <row r="3655">
          <cell r="C3655">
            <v>6923</v>
          </cell>
          <cell r="D3655" t="str">
            <v>Pih. Mueble De Cocina Bajo</v>
          </cell>
          <cell r="E3655" t="str">
            <v>ML</v>
          </cell>
          <cell r="F3655">
            <v>608858.80000000005</v>
          </cell>
          <cell r="G3655">
            <v>42579</v>
          </cell>
        </row>
        <row r="3656">
          <cell r="C3656">
            <v>6926</v>
          </cell>
          <cell r="D3656" t="str">
            <v>Pih. Instalación Y Suministro Puerta 1.00 X 2.40 Metros</v>
          </cell>
          <cell r="E3656" t="str">
            <v>UN</v>
          </cell>
          <cell r="F3656">
            <v>947965.11</v>
          </cell>
          <cell r="G3656">
            <v>42579</v>
          </cell>
        </row>
        <row r="3657">
          <cell r="C3657">
            <v>6927</v>
          </cell>
          <cell r="D3657" t="str">
            <v>Pih. Instalación Y Suministro De Puerta 1.20 X 2.40 Metros</v>
          </cell>
          <cell r="E3657" t="str">
            <v>UN</v>
          </cell>
          <cell r="F3657">
            <v>1592218.67</v>
          </cell>
          <cell r="G3657">
            <v>42579</v>
          </cell>
        </row>
        <row r="3658">
          <cell r="C3658">
            <v>6928</v>
          </cell>
          <cell r="D3658" t="str">
            <v>Pih. Instalación Y Suministro De Puerta 1.40 X 2.40 Metros</v>
          </cell>
          <cell r="E3658" t="str">
            <v>UN</v>
          </cell>
          <cell r="F3658">
            <v>1665089.67</v>
          </cell>
          <cell r="G3658">
            <v>42579</v>
          </cell>
        </row>
        <row r="3659">
          <cell r="C3659">
            <v>6929</v>
          </cell>
          <cell r="D3659" t="str">
            <v>Pih. Demarcacion Y Señalizacion</v>
          </cell>
          <cell r="E3659" t="str">
            <v>GL</v>
          </cell>
          <cell r="F3659">
            <v>3957326.58</v>
          </cell>
          <cell r="G3659">
            <v>42579</v>
          </cell>
        </row>
        <row r="3660">
          <cell r="C3660">
            <v>6931</v>
          </cell>
          <cell r="D3660" t="str">
            <v>Pih. Gabinete De 1.80 Metros Para Equipos De 19" Con Ventilacion</v>
          </cell>
          <cell r="E3660" t="str">
            <v>UN</v>
          </cell>
          <cell r="F3660">
            <v>4904014.9000000004</v>
          </cell>
          <cell r="G3660">
            <v>42579</v>
          </cell>
        </row>
        <row r="3661">
          <cell r="C3661">
            <v>6933</v>
          </cell>
          <cell r="D3661" t="str">
            <v>Pih. Pdu Para Gabinete Tipo Hospital</v>
          </cell>
          <cell r="E3661" t="str">
            <v>UN</v>
          </cell>
          <cell r="F3661">
            <v>363104.99</v>
          </cell>
          <cell r="G3661">
            <v>42579</v>
          </cell>
        </row>
        <row r="3662">
          <cell r="C3662">
            <v>6934</v>
          </cell>
          <cell r="D3662" t="str">
            <v>Pih. Suministro E Instalacion De Distribucion De 32 Circuitos</v>
          </cell>
          <cell r="E3662" t="str">
            <v>UN</v>
          </cell>
          <cell r="F3662">
            <v>534671</v>
          </cell>
          <cell r="G3662">
            <v>42578</v>
          </cell>
        </row>
        <row r="3663">
          <cell r="C3663">
            <v>6935</v>
          </cell>
          <cell r="D3663" t="str">
            <v>Pih. Suministro E Instalacion De Distribucion De 12 Circuitos</v>
          </cell>
          <cell r="E3663" t="str">
            <v>UN</v>
          </cell>
          <cell r="F3663">
            <v>394788.7</v>
          </cell>
          <cell r="G3663">
            <v>42578</v>
          </cell>
        </row>
        <row r="3664">
          <cell r="C3664">
            <v>6937</v>
          </cell>
          <cell r="D3664" t="str">
            <v>Pih. Suministro E Instalacion De Distribucion De 18 Circuitos</v>
          </cell>
          <cell r="E3664" t="str">
            <v>UN</v>
          </cell>
          <cell r="F3664">
            <v>409750.7</v>
          </cell>
          <cell r="G3664">
            <v>42578</v>
          </cell>
        </row>
        <row r="3665">
          <cell r="C3665">
            <v>6938</v>
          </cell>
          <cell r="D3665" t="str">
            <v>Pih. Salida Doble De Datos Cat 6A, Incluye Face Plate Ejecutivo De Dos Insertos, Dos Jack</v>
          </cell>
          <cell r="E3665" t="str">
            <v>UN</v>
          </cell>
          <cell r="F3665">
            <v>197968.99</v>
          </cell>
          <cell r="G3665">
            <v>42579</v>
          </cell>
        </row>
        <row r="3666">
          <cell r="C3666">
            <v>6939</v>
          </cell>
          <cell r="D3666" t="str">
            <v>Pih. Suministro E Instalacion De Breaker Enchufable De 1 X 20 Amperios</v>
          </cell>
          <cell r="E3666" t="str">
            <v>UN</v>
          </cell>
          <cell r="F3666">
            <v>22477.06</v>
          </cell>
          <cell r="G3666">
            <v>42592</v>
          </cell>
        </row>
        <row r="3667">
          <cell r="C3667">
            <v>6940</v>
          </cell>
          <cell r="D3667" t="str">
            <v>Pih. Suministro E Instalacion De Breaker Enchufable De 1 X 30 Amperios</v>
          </cell>
          <cell r="E3667" t="str">
            <v>UN</v>
          </cell>
          <cell r="F3667">
            <v>22477.06</v>
          </cell>
          <cell r="G3667">
            <v>42579</v>
          </cell>
        </row>
        <row r="3668">
          <cell r="C3668">
            <v>6941</v>
          </cell>
          <cell r="D3668" t="str">
            <v>Pih. Ventana De Aluminio  De 2.00 X 0.60 Metros, Color Blanco, Vidrio Azul</v>
          </cell>
          <cell r="E3668" t="str">
            <v>UN</v>
          </cell>
          <cell r="F3668">
            <v>262252.56</v>
          </cell>
          <cell r="G3668">
            <v>42579</v>
          </cell>
        </row>
        <row r="3669">
          <cell r="C3669">
            <v>6942</v>
          </cell>
          <cell r="D3669" t="str">
            <v>Pih. Cable Utp 4 Pares Cat 6</v>
          </cell>
          <cell r="E3669" t="str">
            <v>ML</v>
          </cell>
          <cell r="F3669">
            <v>8406.0400000000009</v>
          </cell>
          <cell r="G3669">
            <v>42579</v>
          </cell>
        </row>
        <row r="3670">
          <cell r="C3670">
            <v>6943</v>
          </cell>
          <cell r="D3670" t="str">
            <v>Pih. Ventana En Aluminio De 2.00 X 1.00 Metros, Color Blanco, Vidrio Azul</v>
          </cell>
          <cell r="E3670" t="str">
            <v>UN</v>
          </cell>
          <cell r="F3670">
            <v>694832.56</v>
          </cell>
          <cell r="G3670">
            <v>42579</v>
          </cell>
        </row>
        <row r="3671">
          <cell r="C3671">
            <v>6944</v>
          </cell>
          <cell r="D3671" t="str">
            <v>Pih. Ventana De Aluminio De 1.50 X 1.00 Metros, Color Blanco, Vidrio Azul</v>
          </cell>
          <cell r="E3671" t="str">
            <v>UN</v>
          </cell>
          <cell r="F3671">
            <v>380702.56</v>
          </cell>
          <cell r="G3671">
            <v>42579</v>
          </cell>
        </row>
        <row r="3672">
          <cell r="C3672">
            <v>6945</v>
          </cell>
          <cell r="D3672" t="str">
            <v>Pih. Ventana De Aluminio De 0.80 X 0.40, Color Blanco, Vidrio Azul</v>
          </cell>
          <cell r="E3672" t="str">
            <v>UN</v>
          </cell>
          <cell r="F3672">
            <v>262252.56</v>
          </cell>
          <cell r="G3672">
            <v>42579</v>
          </cell>
        </row>
        <row r="3673">
          <cell r="C3673">
            <v>6946</v>
          </cell>
          <cell r="D3673" t="str">
            <v>Pih. Ventana De Aluminio De 1.50 X 0.40 Metros, Color Blanco, Vidrio Azul</v>
          </cell>
          <cell r="E3673" t="str">
            <v>UN</v>
          </cell>
          <cell r="F3673">
            <v>297787.56</v>
          </cell>
          <cell r="G3673">
            <v>42579</v>
          </cell>
        </row>
        <row r="3674">
          <cell r="C3674">
            <v>6947</v>
          </cell>
          <cell r="D3674" t="str">
            <v>Pih. Ventana De Aluminio De 0.40 X 1.60 Metros, Color Blanco, Vidrio Azul</v>
          </cell>
          <cell r="E3674" t="str">
            <v>UN</v>
          </cell>
          <cell r="F3674">
            <v>308087.56</v>
          </cell>
          <cell r="G3674">
            <v>42579</v>
          </cell>
        </row>
        <row r="3675">
          <cell r="C3675">
            <v>6948</v>
          </cell>
          <cell r="D3675" t="str">
            <v>Pih. Ventana En Aluminio De 1.50 X 1.50 Metros, Color Blanco, Vidrio Azul</v>
          </cell>
          <cell r="E3675" t="str">
            <v>UN</v>
          </cell>
          <cell r="F3675">
            <v>558377.56000000006</v>
          </cell>
          <cell r="G3675">
            <v>42579</v>
          </cell>
        </row>
        <row r="3676">
          <cell r="C3676">
            <v>6949</v>
          </cell>
          <cell r="D3676" t="str">
            <v>Pih. Suministro E Instalacion De Breaker Enchufable De 2 X 50 Amperios</v>
          </cell>
          <cell r="E3676" t="str">
            <v>UN</v>
          </cell>
          <cell r="F3676">
            <v>40393.06</v>
          </cell>
          <cell r="G3676">
            <v>42578</v>
          </cell>
        </row>
        <row r="3677">
          <cell r="C3677">
            <v>6950</v>
          </cell>
          <cell r="D3677" t="str">
            <v>Pih. Marquillas Acrilica Por Punto (Segun Norma)</v>
          </cell>
          <cell r="E3677" t="str">
            <v>UN</v>
          </cell>
          <cell r="F3677">
            <v>8870.91</v>
          </cell>
          <cell r="G3677">
            <v>42579</v>
          </cell>
        </row>
        <row r="3678">
          <cell r="C3678">
            <v>6951</v>
          </cell>
          <cell r="D3678" t="str">
            <v>Pih. Tuberia Y Accesorio Acero Carbon 3"</v>
          </cell>
          <cell r="E3678" t="str">
            <v>ML</v>
          </cell>
          <cell r="F3678">
            <v>81594.36</v>
          </cell>
          <cell r="G3678">
            <v>42578</v>
          </cell>
        </row>
        <row r="3679">
          <cell r="C3679">
            <v>6955</v>
          </cell>
          <cell r="D3679" t="str">
            <v>Losa Aligerada Con Caseton De Icopor, Altura 0.40 Mts. Incluye Torta Superior De 0.05 Mts En Concreto De 4000 Psi</v>
          </cell>
          <cell r="E3679" t="str">
            <v>M2</v>
          </cell>
          <cell r="F3679">
            <v>151200.49</v>
          </cell>
          <cell r="G3679">
            <v>42578</v>
          </cell>
        </row>
        <row r="3680">
          <cell r="C3680">
            <v>6956</v>
          </cell>
          <cell r="D3680" t="str">
            <v>Suministro E Instalacion De Puerta En Malla Eslabonada Transparente De 11.5 X 4.5 Con Apertura De Sistema Mecanico Incluye Rieles Y Todos Los Elementos Para Su Correcta Instalacion</v>
          </cell>
          <cell r="E3680" t="str">
            <v>UN</v>
          </cell>
          <cell r="F3680">
            <v>14848500</v>
          </cell>
          <cell r="G3680">
            <v>42578</v>
          </cell>
        </row>
        <row r="3681">
          <cell r="C3681">
            <v>6957</v>
          </cell>
          <cell r="D3681" t="str">
            <v>Puerta Cortafuego Batientes De Acero De 1.2 X 2.20 Las Hojas Son Fabricadas De Acero Galvanizado Y Pintado Del Mismo Color Del Marco, En Dos Bandejas, Rellenas Con Lana De Roca De 55 Mm De Espesor Adherida Firmemente A Las Bandejas Juntas Intumescentes Rodean La Hoja Por Los Cuatro Bordes</v>
          </cell>
          <cell r="E3681" t="str">
            <v>UN</v>
          </cell>
          <cell r="F3681">
            <v>3721050</v>
          </cell>
          <cell r="G3681">
            <v>42578</v>
          </cell>
        </row>
        <row r="3682">
          <cell r="C3682">
            <v>6958</v>
          </cell>
          <cell r="D3682" t="str">
            <v>Pih. Suministro E Instalacion De Acometida Aerea En Cable De Cobre Thw 2 No. 4/0 Awg + 4/0 Awg Thhn</v>
          </cell>
          <cell r="E3682" t="str">
            <v>ML</v>
          </cell>
          <cell r="F3682">
            <v>205228.48</v>
          </cell>
          <cell r="G3682">
            <v>42580</v>
          </cell>
        </row>
        <row r="3683">
          <cell r="C3683">
            <v>6959</v>
          </cell>
          <cell r="D3683" t="str">
            <v>Pih. Suministro E Instalacion De Acometida En Cable De Cobre Thw 3 No. 2/0 Awg + 2/0 Awg + No. 4 Tawg En Ducto De 1 1/2"</v>
          </cell>
          <cell r="E3683" t="str">
            <v>ML</v>
          </cell>
          <cell r="F3683">
            <v>207114.48</v>
          </cell>
          <cell r="G3683">
            <v>42579</v>
          </cell>
        </row>
        <row r="3684">
          <cell r="C3684">
            <v>6960</v>
          </cell>
          <cell r="D3684" t="str">
            <v>Pih.Suministro E Instalacion De Acometida En Cable De Cobre Thw 3 No. 2/0 Awg + No. 6 Tawg En Ducto De 1 1/2"</v>
          </cell>
          <cell r="E3684" t="str">
            <v>ML</v>
          </cell>
          <cell r="F3684">
            <v>204317.48</v>
          </cell>
          <cell r="G3684">
            <v>42580</v>
          </cell>
        </row>
        <row r="3685">
          <cell r="C3685">
            <v>6961</v>
          </cell>
          <cell r="D3685" t="str">
            <v>Pih. Suministro E Instalacion De Acometida En Cable De Cobre Thw 4 No. 2 Awg + No. 4 Tawg En Ducto De 2"</v>
          </cell>
          <cell r="E3685" t="str">
            <v>ML</v>
          </cell>
          <cell r="F3685">
            <v>176765.48</v>
          </cell>
          <cell r="G3685">
            <v>42579</v>
          </cell>
        </row>
        <row r="3686">
          <cell r="C3686">
            <v>6964</v>
          </cell>
          <cell r="D3686" t="str">
            <v>Interruptor Conmutable Sencillo</v>
          </cell>
          <cell r="E3686" t="str">
            <v>UN</v>
          </cell>
          <cell r="F3686">
            <v>99418.53</v>
          </cell>
          <cell r="G3686">
            <v>42578</v>
          </cell>
        </row>
        <row r="3687">
          <cell r="C3687">
            <v>6966</v>
          </cell>
          <cell r="D3687" t="str">
            <v>Prvc. Instalacion De Poste Hpv 1050 Kg 14 Mts</v>
          </cell>
          <cell r="E3687" t="str">
            <v>UN</v>
          </cell>
          <cell r="F3687">
            <v>2566925.52</v>
          </cell>
          <cell r="G3687">
            <v>42572</v>
          </cell>
        </row>
        <row r="3688">
          <cell r="C3688">
            <v>6967</v>
          </cell>
          <cell r="D3688" t="str">
            <v>Pih. Tuberia Y Accesorios Acero - Carbon 2"</v>
          </cell>
          <cell r="E3688" t="str">
            <v>ML</v>
          </cell>
          <cell r="F3688">
            <v>49522.36</v>
          </cell>
          <cell r="G3688">
            <v>42578</v>
          </cell>
        </row>
        <row r="3689">
          <cell r="C3689">
            <v>6969</v>
          </cell>
          <cell r="D3689" t="str">
            <v>Acometida 2 No. 2 + No. 2 + No. 4T Cobre Thhw</v>
          </cell>
          <cell r="E3689" t="str">
            <v>ML</v>
          </cell>
          <cell r="F3689">
            <v>62066.43</v>
          </cell>
          <cell r="G3689">
            <v>42578</v>
          </cell>
        </row>
        <row r="3690">
          <cell r="C3690">
            <v>6970</v>
          </cell>
          <cell r="D3690" t="str">
            <v>Pih. Tuberia Y Accesorios Acero Carbon 1 1/2"</v>
          </cell>
          <cell r="E3690" t="str">
            <v>ML</v>
          </cell>
          <cell r="F3690">
            <v>36516.17</v>
          </cell>
          <cell r="G3690">
            <v>42578</v>
          </cell>
        </row>
        <row r="3691">
          <cell r="C3691">
            <v>6971</v>
          </cell>
          <cell r="D3691" t="str">
            <v>Pih. Marquillas Para Gabinete Y Patch Panel</v>
          </cell>
          <cell r="E3691" t="str">
            <v>UN</v>
          </cell>
          <cell r="F3691">
            <v>10970.91</v>
          </cell>
          <cell r="G3691">
            <v>42579</v>
          </cell>
        </row>
        <row r="3692">
          <cell r="C3692">
            <v>6972</v>
          </cell>
          <cell r="D3692" t="str">
            <v>Tablero Bifasico Con Puerta Y Espacio Para Totalizador 30 Circuitos Empotrar</v>
          </cell>
          <cell r="E3692" t="str">
            <v>UN</v>
          </cell>
          <cell r="F3692">
            <v>929526.7</v>
          </cell>
          <cell r="G3692">
            <v>42578</v>
          </cell>
        </row>
        <row r="3693">
          <cell r="C3693">
            <v>6976</v>
          </cell>
          <cell r="D3693" t="str">
            <v>Instalacion De Canaleta De 0.12 X 0.05 Mts Con Tapa</v>
          </cell>
          <cell r="E3693" t="str">
            <v>ML</v>
          </cell>
          <cell r="F3693">
            <v>28888.49</v>
          </cell>
          <cell r="G3693">
            <v>42578</v>
          </cell>
        </row>
        <row r="3694">
          <cell r="C3694">
            <v>6978</v>
          </cell>
          <cell r="D3694" t="str">
            <v>Salida Para Television Sin Cable</v>
          </cell>
          <cell r="E3694" t="str">
            <v>UN</v>
          </cell>
          <cell r="F3694">
            <v>64264.38</v>
          </cell>
          <cell r="G3694">
            <v>42578</v>
          </cell>
        </row>
        <row r="3695">
          <cell r="C3695">
            <v>6979</v>
          </cell>
          <cell r="D3695" t="str">
            <v>Pih. Tuberia Y Accesorio Acero - Carbon 1"</v>
          </cell>
          <cell r="E3695" t="str">
            <v>ML</v>
          </cell>
          <cell r="F3695">
            <v>33043.17</v>
          </cell>
          <cell r="G3695">
            <v>42578</v>
          </cell>
        </row>
        <row r="3696">
          <cell r="C3696">
            <v>6980</v>
          </cell>
          <cell r="D3696" t="str">
            <v>Pih. Suministro E Instalacion De Rociadores</v>
          </cell>
          <cell r="E3696" t="str">
            <v>UN</v>
          </cell>
          <cell r="F3696">
            <v>158219.56</v>
          </cell>
          <cell r="G3696">
            <v>42579</v>
          </cell>
        </row>
        <row r="3697">
          <cell r="C3697">
            <v>6981</v>
          </cell>
          <cell r="D3697" t="str">
            <v>Campamento, Instalacion Y Desmonte. Incluye Piso En Concreto Y Cubierta De Eternit, De 5.00 X 3.00 Mts</v>
          </cell>
          <cell r="E3697" t="str">
            <v>UN</v>
          </cell>
          <cell r="F3697">
            <v>2089708</v>
          </cell>
          <cell r="G3697">
            <v>42578</v>
          </cell>
        </row>
        <row r="3698">
          <cell r="C3698">
            <v>6982</v>
          </cell>
          <cell r="D3698" t="str">
            <v>Demoliciones</v>
          </cell>
          <cell r="E3698" t="str">
            <v>UN</v>
          </cell>
          <cell r="F3698">
            <v>15000000</v>
          </cell>
          <cell r="G3698">
            <v>42578</v>
          </cell>
        </row>
        <row r="3699">
          <cell r="C3699">
            <v>6983</v>
          </cell>
          <cell r="D3699" t="str">
            <v>Provision De Señalizacion Horizontal Y Vertical</v>
          </cell>
          <cell r="E3699" t="str">
            <v>GL</v>
          </cell>
          <cell r="F3699">
            <v>14419118.4</v>
          </cell>
          <cell r="G3699">
            <v>42578</v>
          </cell>
        </row>
        <row r="3700">
          <cell r="C3700">
            <v>6984</v>
          </cell>
          <cell r="D3700" t="str">
            <v>Provision De Semaforizacion</v>
          </cell>
          <cell r="E3700" t="str">
            <v>GL</v>
          </cell>
          <cell r="F3700">
            <v>28000000</v>
          </cell>
          <cell r="G3700">
            <v>42578</v>
          </cell>
        </row>
        <row r="3701">
          <cell r="C3701">
            <v>6985</v>
          </cell>
          <cell r="D3701" t="str">
            <v>Edu. Suministro E Instalacion De Tuberia Hierro Ductil Ranurado De 1/2" Sch 40. (Ver Diseño)</v>
          </cell>
          <cell r="E3701" t="str">
            <v>ML</v>
          </cell>
          <cell r="F3701">
            <v>22500</v>
          </cell>
          <cell r="G3701">
            <v>42578</v>
          </cell>
        </row>
        <row r="3702">
          <cell r="C3702">
            <v>6986</v>
          </cell>
          <cell r="D3702" t="str">
            <v>Edu. Suministro E Instalacion De Tuberia Hierro Ductil Ranurado De 1" Sch 40. (Ver Diseño)</v>
          </cell>
          <cell r="E3702" t="str">
            <v>ML</v>
          </cell>
          <cell r="F3702">
            <v>32000</v>
          </cell>
          <cell r="G3702">
            <v>42578</v>
          </cell>
        </row>
        <row r="3703">
          <cell r="C3703">
            <v>6987</v>
          </cell>
          <cell r="D3703" t="str">
            <v>Pih. Valvula De Compuerta 3" En Bronce</v>
          </cell>
          <cell r="E3703" t="str">
            <v>UN</v>
          </cell>
          <cell r="F3703">
            <v>880213.4</v>
          </cell>
          <cell r="G3703">
            <v>42578</v>
          </cell>
        </row>
        <row r="3704">
          <cell r="C3704">
            <v>6988</v>
          </cell>
          <cell r="D3704" t="str">
            <v>Pih. Prueba Hidraulica Sistema Contraincendios</v>
          </cell>
          <cell r="E3704" t="str">
            <v>UN</v>
          </cell>
          <cell r="F3704">
            <v>439213.4</v>
          </cell>
          <cell r="G3704">
            <v>42590</v>
          </cell>
        </row>
        <row r="3705">
          <cell r="C3705">
            <v>6989</v>
          </cell>
          <cell r="D3705" t="str">
            <v>Pih .Accesorios De Fijacion</v>
          </cell>
          <cell r="E3705" t="str">
            <v>UN</v>
          </cell>
          <cell r="F3705">
            <v>9580.7999999999993</v>
          </cell>
          <cell r="G3705">
            <v>42590</v>
          </cell>
        </row>
        <row r="3706">
          <cell r="C3706">
            <v>6990</v>
          </cell>
          <cell r="D3706" t="str">
            <v>Pih. Anclaje De Acero Inoxidable Para Antena</v>
          </cell>
          <cell r="E3706" t="str">
            <v>UN</v>
          </cell>
          <cell r="F3706">
            <v>39333</v>
          </cell>
          <cell r="G3706">
            <v>42579</v>
          </cell>
        </row>
        <row r="3707">
          <cell r="C3707">
            <v>6991</v>
          </cell>
          <cell r="D3707" t="str">
            <v>Pih. Antena G6 Y/O Direccionales</v>
          </cell>
          <cell r="E3707" t="str">
            <v>UN</v>
          </cell>
          <cell r="F3707">
            <v>428000.49</v>
          </cell>
          <cell r="G3707">
            <v>42584</v>
          </cell>
        </row>
        <row r="3708">
          <cell r="C3708">
            <v>6992</v>
          </cell>
          <cell r="D3708" t="str">
            <v>Pih. Patch Cord De 3 Ft Cat 6</v>
          </cell>
          <cell r="E3708" t="str">
            <v>UN</v>
          </cell>
          <cell r="F3708">
            <v>38061.599999999999</v>
          </cell>
          <cell r="G3708">
            <v>42579</v>
          </cell>
        </row>
        <row r="3709">
          <cell r="C3709">
            <v>6993</v>
          </cell>
          <cell r="D3709" t="str">
            <v>Pih. Bateria Estacionaria 800 Ah</v>
          </cell>
          <cell r="E3709" t="str">
            <v>UN</v>
          </cell>
          <cell r="F3709">
            <v>610632.98</v>
          </cell>
          <cell r="G3709">
            <v>42584</v>
          </cell>
        </row>
        <row r="3710">
          <cell r="C3710">
            <v>6994</v>
          </cell>
          <cell r="D3710" t="str">
            <v>Pih. Patch Cord De 5 Ft Cat 6</v>
          </cell>
          <cell r="E3710" t="str">
            <v>UN</v>
          </cell>
          <cell r="F3710">
            <v>41526.6</v>
          </cell>
          <cell r="G3710">
            <v>42579</v>
          </cell>
        </row>
        <row r="3711">
          <cell r="C3711">
            <v>6995</v>
          </cell>
          <cell r="D3711" t="str">
            <v>Pih. Suministro E Instalacion Gabinete Contraincendios</v>
          </cell>
          <cell r="E3711" t="str">
            <v>UN</v>
          </cell>
          <cell r="F3711">
            <v>2259703</v>
          </cell>
          <cell r="G3711">
            <v>42578</v>
          </cell>
        </row>
        <row r="3712">
          <cell r="C3712">
            <v>6997</v>
          </cell>
          <cell r="D3712" t="str">
            <v>Pih. Patch Panel De 24 Puertos Cat 6</v>
          </cell>
          <cell r="E3712" t="str">
            <v>UN</v>
          </cell>
          <cell r="F3712">
            <v>991991.34</v>
          </cell>
          <cell r="G3712">
            <v>42579</v>
          </cell>
        </row>
        <row r="3713">
          <cell r="C3713">
            <v>6998</v>
          </cell>
          <cell r="D3713" t="str">
            <v>Pih. Cable Rg8 Ref 9913 Belden O Similar</v>
          </cell>
          <cell r="E3713" t="str">
            <v>ML</v>
          </cell>
          <cell r="F3713">
            <v>509100.49</v>
          </cell>
          <cell r="G3713">
            <v>42579</v>
          </cell>
        </row>
        <row r="3714">
          <cell r="C3714">
            <v>6999</v>
          </cell>
          <cell r="D3714" t="str">
            <v>Pih. Suministro E Instalacion Siamesas</v>
          </cell>
          <cell r="E3714" t="str">
            <v>UN</v>
          </cell>
          <cell r="F3714">
            <v>2893911.8</v>
          </cell>
          <cell r="G3714">
            <v>42578</v>
          </cell>
        </row>
        <row r="3715">
          <cell r="C3715">
            <v>7003</v>
          </cell>
          <cell r="D3715" t="str">
            <v>Pih. Patch Panel De 16 Puertos Cat 6</v>
          </cell>
          <cell r="E3715" t="str">
            <v>UN</v>
          </cell>
          <cell r="F3715">
            <v>918701.34</v>
          </cell>
          <cell r="G3715">
            <v>42579</v>
          </cell>
        </row>
        <row r="3716">
          <cell r="C3716">
            <v>7004</v>
          </cell>
          <cell r="D3716" t="str">
            <v>Pih. Ventana En Aluminio De 2.00 X 0.40 Metros De Color Blanco, Vidrio Azul</v>
          </cell>
          <cell r="E3716" t="str">
            <v>UN</v>
          </cell>
          <cell r="F3716">
            <v>321477.56</v>
          </cell>
          <cell r="G3716">
            <v>42579</v>
          </cell>
        </row>
        <row r="3717">
          <cell r="C3717">
            <v>7005</v>
          </cell>
          <cell r="D3717" t="str">
            <v>Pih. Ventana En Vidrio Templado De 6 Mm De 1.50 X 1.40 Metros</v>
          </cell>
          <cell r="E3717" t="str">
            <v>UN</v>
          </cell>
          <cell r="F3717">
            <v>1272069.56</v>
          </cell>
          <cell r="G3717">
            <v>42579</v>
          </cell>
        </row>
        <row r="3718">
          <cell r="C3718">
            <v>7007</v>
          </cell>
          <cell r="D3718" t="str">
            <v>Pih. Patch Panel De 24 Puertos Cat 5</v>
          </cell>
          <cell r="E3718" t="str">
            <v>UN</v>
          </cell>
          <cell r="F3718">
            <v>687491.34</v>
          </cell>
          <cell r="G3718">
            <v>42579</v>
          </cell>
        </row>
        <row r="3719">
          <cell r="C3719">
            <v>7011</v>
          </cell>
          <cell r="D3719" t="str">
            <v>Pih. Puerta En Aluminio De 1.20 X 2.40 Metros Color Blanco</v>
          </cell>
          <cell r="E3719" t="str">
            <v>UN</v>
          </cell>
          <cell r="F3719">
            <v>1826329.11</v>
          </cell>
          <cell r="G3719">
            <v>42579</v>
          </cell>
        </row>
        <row r="3720">
          <cell r="C3720">
            <v>7012</v>
          </cell>
          <cell r="D3720" t="str">
            <v>Pih. Organizador De Cable Horizontal De 2 U</v>
          </cell>
          <cell r="E3720" t="str">
            <v>UN</v>
          </cell>
          <cell r="F3720">
            <v>278835.49</v>
          </cell>
          <cell r="G3720">
            <v>42579</v>
          </cell>
        </row>
        <row r="3721">
          <cell r="C3721">
            <v>7014</v>
          </cell>
          <cell r="D3721" t="str">
            <v>Pih. Puerta En Aluminio De 1.40 X 2.40 Metros Color Blanco</v>
          </cell>
          <cell r="E3721" t="str">
            <v>UN</v>
          </cell>
          <cell r="F3721">
            <v>2064356.11</v>
          </cell>
          <cell r="G3721">
            <v>42579</v>
          </cell>
        </row>
        <row r="3722">
          <cell r="C3722">
            <v>7015</v>
          </cell>
          <cell r="D3722" t="str">
            <v>Pih. Porton En Lamina Galvanizada De 3.00 X 3.00 Metros</v>
          </cell>
          <cell r="E3722" t="str">
            <v>UN</v>
          </cell>
          <cell r="F3722">
            <v>1435848.67</v>
          </cell>
          <cell r="G3722">
            <v>42579</v>
          </cell>
        </row>
        <row r="3723">
          <cell r="C3723">
            <v>7016</v>
          </cell>
          <cell r="D3723" t="str">
            <v>Pih. Cerramiento En Malla Eslabonada</v>
          </cell>
          <cell r="E3723" t="str">
            <v>M2</v>
          </cell>
          <cell r="F3723">
            <v>236156.22</v>
          </cell>
          <cell r="G3723">
            <v>42579</v>
          </cell>
        </row>
        <row r="3724">
          <cell r="C3724">
            <v>7017</v>
          </cell>
          <cell r="D3724" t="str">
            <v>Pih. Reja En Aluminio Tipo Bocadillo Color Blanco</v>
          </cell>
          <cell r="E3724" t="str">
            <v>M2</v>
          </cell>
          <cell r="F3724">
            <v>337974.56</v>
          </cell>
          <cell r="G3724">
            <v>42579</v>
          </cell>
        </row>
        <row r="3725">
          <cell r="C3725">
            <v>7018</v>
          </cell>
          <cell r="D3725" t="str">
            <v>Pih. Baranda En Tubo Galvanizado De 1"</v>
          </cell>
          <cell r="E3725" t="str">
            <v>ML</v>
          </cell>
          <cell r="F3725">
            <v>322505.78000000003</v>
          </cell>
          <cell r="G3725">
            <v>42579</v>
          </cell>
        </row>
        <row r="3726">
          <cell r="C3726">
            <v>7019</v>
          </cell>
          <cell r="D3726" t="str">
            <v>Pih. Baranda En Tubo Galvanizado De 1 1/2"</v>
          </cell>
          <cell r="E3726" t="str">
            <v>ML</v>
          </cell>
          <cell r="F3726">
            <v>445292.78</v>
          </cell>
          <cell r="G3726">
            <v>42579</v>
          </cell>
        </row>
        <row r="3727">
          <cell r="C3727">
            <v>7020</v>
          </cell>
          <cell r="D3727" t="str">
            <v>Pih. Conectores Mini Uhf Para Rg 58</v>
          </cell>
          <cell r="E3727" t="str">
            <v>UN</v>
          </cell>
          <cell r="F3727">
            <v>80967</v>
          </cell>
          <cell r="G3727">
            <v>42590</v>
          </cell>
        </row>
        <row r="3728">
          <cell r="C3728">
            <v>7021</v>
          </cell>
          <cell r="D3728" t="str">
            <v>Pih. Accesorios De Organizacion Y Marcacion X Mt De Cable</v>
          </cell>
          <cell r="E3728" t="str">
            <v>ML</v>
          </cell>
          <cell r="F3728">
            <v>4232.45</v>
          </cell>
          <cell r="G3728">
            <v>42579</v>
          </cell>
        </row>
        <row r="3729">
          <cell r="C3729">
            <v>7022</v>
          </cell>
          <cell r="D3729" t="str">
            <v>Pih. Fuente De Poder Astrom Sp150 Trnsyster</v>
          </cell>
          <cell r="E3729" t="str">
            <v>UN</v>
          </cell>
          <cell r="F3729">
            <v>738099.99</v>
          </cell>
          <cell r="G3729">
            <v>42579</v>
          </cell>
        </row>
        <row r="3730">
          <cell r="C3730">
            <v>7023</v>
          </cell>
          <cell r="D3730" t="str">
            <v>Pih. Suministro E Instalacion De Cubierta Techmetnespuma Pur 17 Mm, Color Rall 9002 Tipo Sandwich</v>
          </cell>
          <cell r="E3730" t="str">
            <v>M2</v>
          </cell>
          <cell r="F3730">
            <v>192060.95</v>
          </cell>
          <cell r="G3730">
            <v>42578</v>
          </cell>
        </row>
        <row r="3731">
          <cell r="C3731">
            <v>7024</v>
          </cell>
          <cell r="D3731" t="str">
            <v>Pih. Guayas De Acero De 1/8 0 3/16 Para Vientos</v>
          </cell>
          <cell r="E3731" t="str">
            <v>UN</v>
          </cell>
          <cell r="F3731">
            <v>51970.6</v>
          </cell>
          <cell r="G3731">
            <v>42579</v>
          </cell>
        </row>
        <row r="3732">
          <cell r="C3732">
            <v>7025</v>
          </cell>
          <cell r="D3732" t="str">
            <v>Pih. Certificacion De Puntos De Datos</v>
          </cell>
          <cell r="E3732" t="str">
            <v>UN</v>
          </cell>
          <cell r="F3732">
            <v>63715.24</v>
          </cell>
          <cell r="G3732">
            <v>42579</v>
          </cell>
        </row>
        <row r="3733">
          <cell r="C3733">
            <v>7026</v>
          </cell>
          <cell r="D3733" t="str">
            <v>Pih. Mastil En Tubo Galvanizado De 1/2 X 1/8 X 6</v>
          </cell>
          <cell r="E3733" t="str">
            <v>ML</v>
          </cell>
          <cell r="F3733">
            <v>169178</v>
          </cell>
          <cell r="G3733">
            <v>42579</v>
          </cell>
        </row>
        <row r="3734">
          <cell r="C3734">
            <v>7027</v>
          </cell>
          <cell r="D3734" t="str">
            <v>Pih. Switch 24 Puertos X 10/100 24 + 2 X 1000 Gbps Administrable Capa 2</v>
          </cell>
          <cell r="E3734" t="str">
            <v>UN</v>
          </cell>
          <cell r="F3734">
            <v>2709303.46</v>
          </cell>
          <cell r="G3734">
            <v>42579</v>
          </cell>
        </row>
        <row r="3735">
          <cell r="C3735">
            <v>7029</v>
          </cell>
          <cell r="D3735" t="str">
            <v>Pih. Planta Telefonica 3 Troncales 8 Extensiones</v>
          </cell>
          <cell r="E3735" t="str">
            <v>UN</v>
          </cell>
          <cell r="F3735">
            <v>4478161.9000000004</v>
          </cell>
          <cell r="G3735">
            <v>42579</v>
          </cell>
        </row>
        <row r="3736">
          <cell r="C3736">
            <v>7030</v>
          </cell>
          <cell r="D3736" t="str">
            <v>Pih. Camara Infraroja, 1/3 Ccd, 540 Lineas, Lente Varifocal De 2,8 A 12 Mm , 0 Lux 34 Leds, Icr Dia/Noche, 4 Mascaras De Privacidad, Ip66</v>
          </cell>
          <cell r="E3736" t="str">
            <v>UN</v>
          </cell>
          <cell r="F3736">
            <v>2534434.0299999998</v>
          </cell>
          <cell r="G3736">
            <v>42586</v>
          </cell>
        </row>
        <row r="3737">
          <cell r="C3737">
            <v>7032</v>
          </cell>
          <cell r="D3737" t="str">
            <v>Pih. Radio Base Pro 5100 25W 64 Ch Incluye Bateria Y Cargador</v>
          </cell>
          <cell r="E3737" t="str">
            <v>UN</v>
          </cell>
          <cell r="F3737">
            <v>2860199.99</v>
          </cell>
          <cell r="G3737">
            <v>42579</v>
          </cell>
        </row>
        <row r="3738">
          <cell r="C3738">
            <v>7033</v>
          </cell>
          <cell r="D3738" t="str">
            <v>Pih. Soporte Para Camara Fija</v>
          </cell>
          <cell r="E3738" t="str">
            <v>UN</v>
          </cell>
          <cell r="F3738">
            <v>178758</v>
          </cell>
          <cell r="G3738">
            <v>42579</v>
          </cell>
        </row>
        <row r="3739">
          <cell r="C3739">
            <v>7034</v>
          </cell>
          <cell r="D3739" t="str">
            <v>Pih. Toma Corrientes A 110 V Completo</v>
          </cell>
          <cell r="E3739" t="str">
            <v>UN</v>
          </cell>
          <cell r="F3739">
            <v>59425.66</v>
          </cell>
          <cell r="G3739">
            <v>42579</v>
          </cell>
        </row>
        <row r="3740">
          <cell r="C3740">
            <v>7035</v>
          </cell>
          <cell r="D3740" t="str">
            <v>Pih. Cyberdomo Camara Mobil 12 X Dia/Noche</v>
          </cell>
          <cell r="E3740" t="str">
            <v>UN</v>
          </cell>
          <cell r="F3740">
            <v>6348672.8099999996</v>
          </cell>
          <cell r="G3740">
            <v>42579</v>
          </cell>
        </row>
        <row r="3741">
          <cell r="C3741">
            <v>7037</v>
          </cell>
          <cell r="D3741" t="str">
            <v>Pih. Radio Portatiles Motorola Ep 450</v>
          </cell>
          <cell r="E3741" t="str">
            <v>UN</v>
          </cell>
          <cell r="F3741">
            <v>2930199.99</v>
          </cell>
          <cell r="G3741">
            <v>42579</v>
          </cell>
        </row>
        <row r="3742">
          <cell r="C3742">
            <v>7038</v>
          </cell>
          <cell r="D3742" t="str">
            <v>Pih. Suministro Y Montaje Estructura Metalica</v>
          </cell>
          <cell r="E3742" t="str">
            <v>KG</v>
          </cell>
          <cell r="F3742">
            <v>13852.76</v>
          </cell>
          <cell r="G3742">
            <v>42584</v>
          </cell>
        </row>
        <row r="3743">
          <cell r="C3743">
            <v>7040</v>
          </cell>
          <cell r="D3743" t="str">
            <v>Pih. Varilla Cooperwell 1.8 Monopolo A Tierra</v>
          </cell>
          <cell r="E3743" t="str">
            <v>UN</v>
          </cell>
          <cell r="F3743">
            <v>371054.94</v>
          </cell>
          <cell r="G3743">
            <v>42579</v>
          </cell>
        </row>
        <row r="3744">
          <cell r="C3744">
            <v>7041</v>
          </cell>
          <cell r="D3744" t="str">
            <v>Pih. Instalaciones Garantias Y Mano De Obra</v>
          </cell>
          <cell r="E3744" t="str">
            <v>GL</v>
          </cell>
          <cell r="F3744">
            <v>3750000</v>
          </cell>
          <cell r="G3744">
            <v>42579</v>
          </cell>
        </row>
        <row r="3745">
          <cell r="C3745">
            <v>7042</v>
          </cell>
          <cell r="D3745" t="str">
            <v>Pih. Legalizaciones</v>
          </cell>
          <cell r="E3745" t="str">
            <v>GL</v>
          </cell>
          <cell r="F3745">
            <v>1125000</v>
          </cell>
          <cell r="G3745">
            <v>42579</v>
          </cell>
        </row>
        <row r="3746">
          <cell r="C3746">
            <v>7043</v>
          </cell>
          <cell r="D3746" t="str">
            <v>Pih. Mantenimiento Y Asesoria Anual</v>
          </cell>
          <cell r="E3746" t="str">
            <v>GL</v>
          </cell>
          <cell r="F3746">
            <v>1875000</v>
          </cell>
          <cell r="G3746">
            <v>42579</v>
          </cell>
        </row>
        <row r="3747">
          <cell r="C3747">
            <v>7044</v>
          </cell>
          <cell r="D3747" t="str">
            <v>Pih. Capacitaciones</v>
          </cell>
          <cell r="E3747" t="str">
            <v>GL</v>
          </cell>
          <cell r="F3747">
            <v>7500000</v>
          </cell>
          <cell r="G3747">
            <v>42579</v>
          </cell>
        </row>
        <row r="3748">
          <cell r="C3748">
            <v>7045</v>
          </cell>
          <cell r="D3748" t="str">
            <v>Pih. Suministro E Instalacion De Minisplit De 18000 Btu</v>
          </cell>
          <cell r="E3748" t="str">
            <v>UN</v>
          </cell>
          <cell r="F3748">
            <v>4018027</v>
          </cell>
          <cell r="G3748">
            <v>42579</v>
          </cell>
        </row>
        <row r="3749">
          <cell r="C3749">
            <v>7046</v>
          </cell>
          <cell r="D3749" t="str">
            <v>Pih. Suministro E Instalacion De Minisplit De 12000 Btu</v>
          </cell>
          <cell r="E3749" t="str">
            <v>UN</v>
          </cell>
          <cell r="F3749">
            <v>3467919.49</v>
          </cell>
          <cell r="G3749">
            <v>42579</v>
          </cell>
        </row>
        <row r="3750">
          <cell r="C3750">
            <v>7047</v>
          </cell>
          <cell r="D3750" t="str">
            <v>Pih. Suministro E Instalacion De Minisplit De 9000 Btu</v>
          </cell>
          <cell r="E3750" t="str">
            <v>UN</v>
          </cell>
          <cell r="F3750">
            <v>3122938.09</v>
          </cell>
          <cell r="G3750">
            <v>42579</v>
          </cell>
        </row>
        <row r="3751">
          <cell r="C3751">
            <v>7048</v>
          </cell>
          <cell r="D3751" t="str">
            <v>Pih. Suministro E Instalacion De Cobre Tipo L 1/2</v>
          </cell>
          <cell r="E3751" t="str">
            <v>ML</v>
          </cell>
          <cell r="F3751">
            <v>71084.479999999996</v>
          </cell>
          <cell r="G3751">
            <v>42580</v>
          </cell>
        </row>
        <row r="3752">
          <cell r="C3752">
            <v>7049</v>
          </cell>
          <cell r="D3752" t="str">
            <v>Pih: Concreto Impermeabilizado De 4000 Psi Muros Tanque De Almacenamiento De Agua Potable, Incluye Monte Y Desmonte Formaleta</v>
          </cell>
          <cell r="E3752" t="str">
            <v>M3</v>
          </cell>
          <cell r="F3752">
            <v>980432.12</v>
          </cell>
          <cell r="G3752">
            <v>42578</v>
          </cell>
        </row>
        <row r="3753">
          <cell r="C3753">
            <v>7050</v>
          </cell>
          <cell r="D3753" t="str">
            <v>Pih. Suministro E Instalacion De Cobre Tipo L 3/4"</v>
          </cell>
          <cell r="E3753" t="str">
            <v>ML</v>
          </cell>
          <cell r="F3753">
            <v>99430.67</v>
          </cell>
          <cell r="G3753">
            <v>42579</v>
          </cell>
        </row>
        <row r="3754">
          <cell r="C3754">
            <v>7051</v>
          </cell>
          <cell r="D3754" t="str">
            <v>Pih. Suministro E Instalacion De Cobre Tipo L 1"</v>
          </cell>
          <cell r="E3754" t="str">
            <v>ML</v>
          </cell>
          <cell r="F3754">
            <v>144993.60000000001</v>
          </cell>
          <cell r="G3754">
            <v>42579</v>
          </cell>
        </row>
        <row r="3755">
          <cell r="C3755">
            <v>7052</v>
          </cell>
          <cell r="D3755" t="str">
            <v>Pih: Concreto Impermeabilizado De 4000 Psi Losa Tanque E=0,20</v>
          </cell>
          <cell r="E3755" t="str">
            <v>M2</v>
          </cell>
          <cell r="F3755">
            <v>282793.33</v>
          </cell>
          <cell r="G3755">
            <v>42579</v>
          </cell>
        </row>
        <row r="3756">
          <cell r="C3756">
            <v>7053</v>
          </cell>
          <cell r="D3756" t="str">
            <v>Pih. Suministro E Instalacion De Bomba De Vacio 2 Hp Con Doble Cabezote</v>
          </cell>
          <cell r="E3756" t="str">
            <v>UN</v>
          </cell>
          <cell r="F3756">
            <v>99486379</v>
          </cell>
          <cell r="G3756">
            <v>42579</v>
          </cell>
        </row>
        <row r="3757">
          <cell r="C3757">
            <v>7054</v>
          </cell>
          <cell r="D3757" t="str">
            <v>Pih. Soporte Para Camara Mobil</v>
          </cell>
          <cell r="E3757" t="str">
            <v>UN</v>
          </cell>
          <cell r="F3757">
            <v>276408</v>
          </cell>
          <cell r="G3757">
            <v>42579</v>
          </cell>
        </row>
        <row r="3758">
          <cell r="C3758">
            <v>7056</v>
          </cell>
          <cell r="D3758" t="str">
            <v>Pih. Videograbador De 16 Canales Con Dd De 1024 Gb</v>
          </cell>
          <cell r="E3758" t="str">
            <v>UN</v>
          </cell>
          <cell r="F3758">
            <v>7055531.3300000001</v>
          </cell>
          <cell r="G3758">
            <v>42579</v>
          </cell>
        </row>
        <row r="3759">
          <cell r="C3759">
            <v>7057</v>
          </cell>
          <cell r="D3759" t="str">
            <v>Pih: Suministro E Instalacion Cinta Pvc Sella Junta (0.22) Para Tanque De Almacenamiento</v>
          </cell>
          <cell r="E3759" t="str">
            <v>ML</v>
          </cell>
          <cell r="F3759">
            <v>55729.87</v>
          </cell>
          <cell r="G3759">
            <v>42578</v>
          </cell>
        </row>
        <row r="3760">
          <cell r="C3760">
            <v>7058</v>
          </cell>
          <cell r="D3760" t="str">
            <v>Pih: Excavacion Tanque De Tratamiento Agua Residuales Inclute Retroexcavadora</v>
          </cell>
          <cell r="E3760" t="str">
            <v>M3</v>
          </cell>
          <cell r="F3760">
            <v>29661.38</v>
          </cell>
          <cell r="G3760">
            <v>42578</v>
          </cell>
        </row>
        <row r="3761">
          <cell r="C3761">
            <v>7059</v>
          </cell>
          <cell r="D3761" t="str">
            <v xml:space="preserve"> Pih. Suministro E Instalacion De Alarma De Area 3 Gases Medicinales</v>
          </cell>
          <cell r="E3761" t="str">
            <v>UN</v>
          </cell>
          <cell r="F3761">
            <v>14099173.4</v>
          </cell>
          <cell r="G3761">
            <v>42579</v>
          </cell>
        </row>
        <row r="3762">
          <cell r="C3762">
            <v>7061</v>
          </cell>
          <cell r="D3762" t="str">
            <v>Pih: Placa En Concreto Para Fondo De Tanque Subterreaneo 4000 Psi</v>
          </cell>
          <cell r="E3762" t="str">
            <v>M3</v>
          </cell>
          <cell r="F3762">
            <v>845914.54</v>
          </cell>
          <cell r="G3762">
            <v>42578</v>
          </cell>
        </row>
        <row r="3763">
          <cell r="C3763">
            <v>7062</v>
          </cell>
          <cell r="D3763" t="str">
            <v>Pih. Lente Varifocal Para Camara Fija</v>
          </cell>
          <cell r="E3763" t="str">
            <v>UN</v>
          </cell>
          <cell r="F3763">
            <v>446207.39</v>
          </cell>
          <cell r="G3763">
            <v>42579</v>
          </cell>
        </row>
        <row r="3764">
          <cell r="C3764">
            <v>7064</v>
          </cell>
          <cell r="D3764" t="str">
            <v>Pih. Cable Coaxial Rg-6U</v>
          </cell>
          <cell r="E3764" t="str">
            <v>ML</v>
          </cell>
          <cell r="F3764">
            <v>7280.61</v>
          </cell>
          <cell r="G3764">
            <v>42579</v>
          </cell>
        </row>
        <row r="3765">
          <cell r="C3765">
            <v>7065</v>
          </cell>
          <cell r="D3765" t="str">
            <v>Pih. Suministro E Instalacion De Caja De Corte Para 3 Gases Medicinales</v>
          </cell>
          <cell r="E3765" t="str">
            <v>UN</v>
          </cell>
          <cell r="F3765">
            <v>1844986.4</v>
          </cell>
          <cell r="G3765">
            <v>42579</v>
          </cell>
        </row>
        <row r="3766">
          <cell r="C3766">
            <v>7067</v>
          </cell>
          <cell r="D3766" t="str">
            <v>Pih. Suministro E Instalacion De Valvula De Corte 1/2"</v>
          </cell>
          <cell r="E3766" t="str">
            <v>UN</v>
          </cell>
          <cell r="F3766">
            <v>295270.01</v>
          </cell>
          <cell r="G3766">
            <v>42579</v>
          </cell>
        </row>
        <row r="3767">
          <cell r="C3767">
            <v>7068</v>
          </cell>
          <cell r="D3767" t="str">
            <v>Pih. Conectores Bnc</v>
          </cell>
          <cell r="E3767" t="str">
            <v>UN</v>
          </cell>
          <cell r="F3767">
            <v>12803.61</v>
          </cell>
          <cell r="G3767">
            <v>42579</v>
          </cell>
        </row>
        <row r="3768">
          <cell r="C3768">
            <v>7069</v>
          </cell>
          <cell r="D3768" t="str">
            <v>Pih: Muro En Concreto Foso Ascensor E= 0,20 4000 Psi</v>
          </cell>
          <cell r="E3768" t="str">
            <v>M3</v>
          </cell>
          <cell r="F3768">
            <v>936585.2</v>
          </cell>
          <cell r="G3768">
            <v>42577</v>
          </cell>
        </row>
        <row r="3769">
          <cell r="C3769">
            <v>7070</v>
          </cell>
          <cell r="D3769" t="str">
            <v>Pih. Cable Vehicular Polarizado 14 Awg</v>
          </cell>
          <cell r="E3769" t="str">
            <v>ML</v>
          </cell>
          <cell r="F3769">
            <v>4779.8900000000003</v>
          </cell>
          <cell r="G3769">
            <v>42579</v>
          </cell>
        </row>
        <row r="3770">
          <cell r="C3770">
            <v>7071</v>
          </cell>
          <cell r="D3770" t="str">
            <v>Pih. Suministro E Instalacion De Valvula De Corte 3/4"</v>
          </cell>
          <cell r="E3770" t="str">
            <v>UN</v>
          </cell>
          <cell r="F3770">
            <v>326362.01</v>
          </cell>
          <cell r="G3770">
            <v>42579</v>
          </cell>
        </row>
        <row r="3771">
          <cell r="C3771">
            <v>7072</v>
          </cell>
          <cell r="D3771" t="str">
            <v>Pih. Adaptador De Corriente Para Camaras</v>
          </cell>
          <cell r="E3771" t="str">
            <v>UN</v>
          </cell>
          <cell r="F3771">
            <v>169377.49</v>
          </cell>
          <cell r="G3771">
            <v>42579</v>
          </cell>
        </row>
        <row r="3772">
          <cell r="C3772">
            <v>7073</v>
          </cell>
          <cell r="D3772" t="str">
            <v>Pih. Suministro E Instalacion De Valvula De Corte 1"</v>
          </cell>
          <cell r="E3772" t="str">
            <v>UN</v>
          </cell>
          <cell r="F3772">
            <v>559870.01</v>
          </cell>
          <cell r="G3772">
            <v>42579</v>
          </cell>
        </row>
        <row r="3773">
          <cell r="C3773">
            <v>7074</v>
          </cell>
          <cell r="D3773" t="str">
            <v>Pih. Suministro E Instalacion De Tomas Gases Medicinales (Oxigeno, Aire, Vacio)</v>
          </cell>
          <cell r="E3773" t="str">
            <v>UN</v>
          </cell>
          <cell r="F3773">
            <v>644193.4</v>
          </cell>
          <cell r="G3773">
            <v>42579</v>
          </cell>
        </row>
        <row r="3774">
          <cell r="C3774">
            <v>7075</v>
          </cell>
          <cell r="D3774" t="str">
            <v>Pih: Accesorio De Organizacion Fijacion</v>
          </cell>
          <cell r="E3774" t="str">
            <v>GL</v>
          </cell>
          <cell r="F3774">
            <v>1138715.99</v>
          </cell>
          <cell r="G3774">
            <v>42578</v>
          </cell>
        </row>
        <row r="3775">
          <cell r="C3775">
            <v>7076</v>
          </cell>
          <cell r="D3775" t="str">
            <v>Pih. Division De Baño En Lamina Con Recubrimiento Electrostatico</v>
          </cell>
          <cell r="E3775" t="str">
            <v>M2</v>
          </cell>
          <cell r="F3775">
            <v>964438.4</v>
          </cell>
          <cell r="G3775">
            <v>42579</v>
          </cell>
        </row>
        <row r="3776">
          <cell r="C3776">
            <v>7077</v>
          </cell>
          <cell r="D3776" t="str">
            <v>Pih: Capacitacion Basica</v>
          </cell>
          <cell r="E3776" t="str">
            <v>UN</v>
          </cell>
          <cell r="F3776">
            <v>0</v>
          </cell>
          <cell r="G3776">
            <v>42578</v>
          </cell>
        </row>
        <row r="3777">
          <cell r="C3777">
            <v>7078</v>
          </cell>
          <cell r="D3777" t="str">
            <v>Pih. Monitor Lcd De 21" Para Cctv Con Puerto Rgb/Vga</v>
          </cell>
          <cell r="E3777" t="str">
            <v>UN</v>
          </cell>
          <cell r="F3777">
            <v>3062040.98</v>
          </cell>
          <cell r="G3777">
            <v>42579</v>
          </cell>
        </row>
        <row r="3778">
          <cell r="C3778">
            <v>7079</v>
          </cell>
          <cell r="D3778" t="str">
            <v>Pih. Vidrio Templado De 6 Mm</v>
          </cell>
          <cell r="E3778" t="str">
            <v>M2</v>
          </cell>
          <cell r="F3778">
            <v>182778.56</v>
          </cell>
          <cell r="G3778">
            <v>42579</v>
          </cell>
        </row>
        <row r="3779">
          <cell r="C3779">
            <v>7082</v>
          </cell>
          <cell r="D3779" t="str">
            <v>Pih. Sofware De Acceso Remoto</v>
          </cell>
          <cell r="E3779" t="str">
            <v>UN</v>
          </cell>
          <cell r="F3779">
            <v>3265936.98</v>
          </cell>
          <cell r="G3779">
            <v>42579</v>
          </cell>
        </row>
        <row r="3780">
          <cell r="C3780">
            <v>7084</v>
          </cell>
          <cell r="D3780" t="str">
            <v>Pih: Ups De 6 Kva</v>
          </cell>
          <cell r="E3780" t="str">
            <v>UN</v>
          </cell>
          <cell r="F3780">
            <v>16902946.539999999</v>
          </cell>
          <cell r="G3780">
            <v>42578</v>
          </cell>
        </row>
        <row r="3781">
          <cell r="C3781">
            <v>7085</v>
          </cell>
          <cell r="D3781" t="str">
            <v>Pih. Capacitacion Basica</v>
          </cell>
          <cell r="E3781" t="str">
            <v>UN</v>
          </cell>
          <cell r="F3781">
            <v>1831050</v>
          </cell>
          <cell r="G3781">
            <v>42579</v>
          </cell>
        </row>
        <row r="3782">
          <cell r="C3782">
            <v>7086</v>
          </cell>
          <cell r="D3782" t="str">
            <v>Pih. Sensor De Alarma</v>
          </cell>
          <cell r="E3782" t="str">
            <v>UN</v>
          </cell>
          <cell r="F3782">
            <v>400565.99</v>
          </cell>
          <cell r="G3782">
            <v>42579</v>
          </cell>
        </row>
        <row r="3783">
          <cell r="C3783">
            <v>7087</v>
          </cell>
          <cell r="D3783" t="str">
            <v>Pih. Sirena</v>
          </cell>
          <cell r="E3783" t="str">
            <v>UN</v>
          </cell>
          <cell r="F3783">
            <v>306065.99</v>
          </cell>
          <cell r="G3783">
            <v>42579</v>
          </cell>
        </row>
        <row r="3784">
          <cell r="C3784">
            <v>7088</v>
          </cell>
          <cell r="D3784" t="str">
            <v>Pih. Panel De Alarma 6 Zonas</v>
          </cell>
          <cell r="E3784" t="str">
            <v>UN</v>
          </cell>
          <cell r="F3784">
            <v>2729569.9</v>
          </cell>
          <cell r="G3784">
            <v>42579</v>
          </cell>
        </row>
        <row r="3785">
          <cell r="C3785">
            <v>7090</v>
          </cell>
          <cell r="D3785" t="str">
            <v>Pih: Toma Polo A Tierra Aislado 15A Color Naranja Tipo Hospitalario</v>
          </cell>
          <cell r="E3785" t="str">
            <v>UN</v>
          </cell>
          <cell r="F3785">
            <v>49679.94</v>
          </cell>
          <cell r="G3785">
            <v>42578</v>
          </cell>
        </row>
        <row r="3786">
          <cell r="C3786">
            <v>7091</v>
          </cell>
          <cell r="D3786" t="str">
            <v>Pih. Cable De Instrumentacion Con Proteccion 2 X 16 Para Alarmas</v>
          </cell>
          <cell r="E3786" t="str">
            <v>ML</v>
          </cell>
          <cell r="F3786">
            <v>10992.8</v>
          </cell>
          <cell r="G3786">
            <v>42579</v>
          </cell>
        </row>
        <row r="3787">
          <cell r="C3787">
            <v>7092</v>
          </cell>
          <cell r="D3787" t="str">
            <v>Pih: Cable 3 N0. 12Thhn Fase Azul</v>
          </cell>
          <cell r="E3787" t="str">
            <v>ML</v>
          </cell>
          <cell r="F3787">
            <v>17980.14</v>
          </cell>
          <cell r="G3787">
            <v>42583</v>
          </cell>
        </row>
        <row r="3788">
          <cell r="C3788">
            <v>7093</v>
          </cell>
          <cell r="D3788" t="str">
            <v>Pih: Terminales De Autodesforre 3M</v>
          </cell>
          <cell r="E3788" t="str">
            <v>UN</v>
          </cell>
          <cell r="F3788">
            <v>5315.89</v>
          </cell>
          <cell r="G3788">
            <v>42578</v>
          </cell>
        </row>
        <row r="3789">
          <cell r="C3789">
            <v>7094</v>
          </cell>
          <cell r="D3789" t="str">
            <v>Pih. Cerradura De Acceso</v>
          </cell>
          <cell r="E3789" t="str">
            <v>UN</v>
          </cell>
          <cell r="F3789">
            <v>128314.46</v>
          </cell>
          <cell r="G3789">
            <v>42579</v>
          </cell>
        </row>
        <row r="3790">
          <cell r="C3790">
            <v>7095</v>
          </cell>
          <cell r="D3790" t="str">
            <v>Pih. Cerradura De Interiores</v>
          </cell>
          <cell r="E3790" t="str">
            <v>UN</v>
          </cell>
          <cell r="F3790">
            <v>99875.95</v>
          </cell>
          <cell r="G3790">
            <v>42579</v>
          </cell>
        </row>
        <row r="3791">
          <cell r="C3791">
            <v>7096</v>
          </cell>
          <cell r="D3791" t="str">
            <v>Pih. Cerradura De Baño</v>
          </cell>
          <cell r="E3791" t="str">
            <v>UN</v>
          </cell>
          <cell r="F3791">
            <v>67082.460000000006</v>
          </cell>
          <cell r="G3791">
            <v>42579</v>
          </cell>
        </row>
        <row r="3792">
          <cell r="C3792">
            <v>7097</v>
          </cell>
          <cell r="D3792" t="str">
            <v>Pih: Tablero De 12 Circuitos Con Espacio Para Totalizador</v>
          </cell>
          <cell r="E3792" t="str">
            <v>UN</v>
          </cell>
          <cell r="F3792">
            <v>388332.84</v>
          </cell>
          <cell r="G3792">
            <v>42578</v>
          </cell>
        </row>
        <row r="3793">
          <cell r="C3793">
            <v>7098</v>
          </cell>
          <cell r="D3793" t="str">
            <v>Pih. Tuberia Emt De 1 1/2" Con Accesorios (Curvas, Conectores, Grapas)</v>
          </cell>
          <cell r="E3793" t="str">
            <v>ML</v>
          </cell>
          <cell r="F3793">
            <v>26524.44</v>
          </cell>
          <cell r="G3793">
            <v>42578</v>
          </cell>
        </row>
        <row r="3794">
          <cell r="C3794">
            <v>7099</v>
          </cell>
          <cell r="D3794" t="str">
            <v>Pih: Totalizador Industrial De 3 X 50A</v>
          </cell>
          <cell r="E3794" t="str">
            <v>UN</v>
          </cell>
          <cell r="F3794">
            <v>484137.48</v>
          </cell>
          <cell r="G3794">
            <v>42578</v>
          </cell>
        </row>
        <row r="3795">
          <cell r="C3795">
            <v>7100</v>
          </cell>
          <cell r="D3795" t="str">
            <v>Pih. Tuberia Emt De 1 1/2" Con Accesorios (Curvas, Conectores, Grapas)</v>
          </cell>
          <cell r="E3795" t="str">
            <v>ML</v>
          </cell>
          <cell r="F3795">
            <v>26524.44</v>
          </cell>
          <cell r="G3795">
            <v>42579</v>
          </cell>
        </row>
        <row r="3796">
          <cell r="C3796">
            <v>7101</v>
          </cell>
          <cell r="D3796" t="str">
            <v>Pih. Tuberia Pvc De 1/2" Con Accesorios (Curvas, Conectores, Grapas)</v>
          </cell>
          <cell r="E3796" t="str">
            <v>ML</v>
          </cell>
          <cell r="F3796">
            <v>8371.7800000000007</v>
          </cell>
          <cell r="G3796">
            <v>42579</v>
          </cell>
        </row>
        <row r="3797">
          <cell r="C3797">
            <v>7102</v>
          </cell>
          <cell r="D3797" t="str">
            <v>Pih. Tuberia Pvc De 3/4" Con Acessorios (Curvas, Conectores, Grapas)</v>
          </cell>
          <cell r="E3797" t="str">
            <v>ML</v>
          </cell>
          <cell r="F3797">
            <v>9276.7800000000007</v>
          </cell>
          <cell r="G3797">
            <v>42579</v>
          </cell>
        </row>
        <row r="3798">
          <cell r="C3798">
            <v>7103</v>
          </cell>
          <cell r="D3798" t="str">
            <v>Pih. Caja 5800 (2 X 4) Plastica</v>
          </cell>
          <cell r="E3798" t="str">
            <v>UN</v>
          </cell>
          <cell r="F3798">
            <v>4685.8900000000003</v>
          </cell>
          <cell r="G3798">
            <v>42579</v>
          </cell>
        </row>
        <row r="3799">
          <cell r="C3799">
            <v>7104</v>
          </cell>
          <cell r="D3799" t="str">
            <v>Pih. Totalizador Industrial De 3 X 30A</v>
          </cell>
          <cell r="E3799" t="str">
            <v>UN</v>
          </cell>
          <cell r="F3799">
            <v>358557.48</v>
          </cell>
          <cell r="G3799">
            <v>42578</v>
          </cell>
        </row>
        <row r="3800">
          <cell r="C3800">
            <v>7105</v>
          </cell>
          <cell r="D3800" t="str">
            <v>Pih. Caja 2400 (4 X 4) Plastica</v>
          </cell>
          <cell r="E3800" t="str">
            <v>UN</v>
          </cell>
          <cell r="F3800">
            <v>5000.8900000000003</v>
          </cell>
          <cell r="G3800">
            <v>42579</v>
          </cell>
        </row>
        <row r="3801">
          <cell r="C3801">
            <v>7106</v>
          </cell>
          <cell r="D3801" t="str">
            <v>Pih. Caja De Paso De 15 X 15</v>
          </cell>
          <cell r="E3801" t="str">
            <v>UN</v>
          </cell>
          <cell r="F3801">
            <v>26590.78</v>
          </cell>
          <cell r="G3801">
            <v>42579</v>
          </cell>
        </row>
        <row r="3802">
          <cell r="C3802">
            <v>7107</v>
          </cell>
          <cell r="D3802" t="str">
            <v>Pih. Caja De Paso De 20 X 20</v>
          </cell>
          <cell r="E3802" t="str">
            <v>UN</v>
          </cell>
          <cell r="F3802">
            <v>32890.78</v>
          </cell>
          <cell r="G3802">
            <v>42579</v>
          </cell>
        </row>
        <row r="3803">
          <cell r="C3803">
            <v>7108</v>
          </cell>
          <cell r="D3803" t="str">
            <v>Pih. Breaker Monopolar De 1 X 20 Amperios</v>
          </cell>
          <cell r="E3803" t="str">
            <v>UN</v>
          </cell>
          <cell r="F3803">
            <v>21695.89</v>
          </cell>
          <cell r="G3803">
            <v>42579</v>
          </cell>
        </row>
        <row r="3804">
          <cell r="C3804">
            <v>7109</v>
          </cell>
          <cell r="D3804" t="str">
            <v>Pih. Acometida Ups 3 - 8 Kva</v>
          </cell>
          <cell r="E3804" t="str">
            <v>ML</v>
          </cell>
          <cell r="F3804">
            <v>69137.88</v>
          </cell>
          <cell r="G3804">
            <v>42579</v>
          </cell>
        </row>
        <row r="3805">
          <cell r="C3805">
            <v>7110</v>
          </cell>
          <cell r="D3805" t="str">
            <v>Pih. Tuberia Emt De 1/2" Con Accesorios (Curvas, Conectores, Grapas)</v>
          </cell>
          <cell r="E3805" t="str">
            <v>ML</v>
          </cell>
          <cell r="F3805">
            <v>13284.72</v>
          </cell>
          <cell r="G3805">
            <v>42579</v>
          </cell>
        </row>
        <row r="3806">
          <cell r="C3806">
            <v>7111</v>
          </cell>
          <cell r="D3806" t="str">
            <v>Pih. Tuberia Emt De 3/4" Con Accesorios (Curvas, Conectores, Grapas)</v>
          </cell>
          <cell r="E3806" t="str">
            <v>ML</v>
          </cell>
          <cell r="F3806">
            <v>17142.62</v>
          </cell>
          <cell r="G3806">
            <v>42579</v>
          </cell>
        </row>
        <row r="3807">
          <cell r="C3807">
            <v>7112</v>
          </cell>
          <cell r="D3807" t="str">
            <v>Pih. Instalacion Ysuministro Puerta 0.70 X 2.40</v>
          </cell>
          <cell r="E3807" t="str">
            <v>UN</v>
          </cell>
          <cell r="F3807">
            <v>811747.11</v>
          </cell>
          <cell r="G3807">
            <v>42579</v>
          </cell>
        </row>
        <row r="3808">
          <cell r="C3808">
            <v>7113</v>
          </cell>
          <cell r="D3808" t="str">
            <v>Pih. Fallebas</v>
          </cell>
          <cell r="E3808" t="str">
            <v>UN</v>
          </cell>
          <cell r="F3808">
            <v>65521.37</v>
          </cell>
          <cell r="G3808">
            <v>42579</v>
          </cell>
        </row>
        <row r="3809">
          <cell r="C3809">
            <v>7114</v>
          </cell>
          <cell r="D3809" t="str">
            <v>Pih. Certificacion De Puntos De Datos</v>
          </cell>
          <cell r="E3809" t="str">
            <v>UN</v>
          </cell>
          <cell r="F3809">
            <v>61035</v>
          </cell>
          <cell r="G3809">
            <v>42579</v>
          </cell>
        </row>
        <row r="3810">
          <cell r="C3810">
            <v>7115</v>
          </cell>
          <cell r="D3810" t="str">
            <v>Pih. Excavacion A Maquina Y Retiro De Material</v>
          </cell>
          <cell r="E3810" t="str">
            <v>M3</v>
          </cell>
          <cell r="F3810">
            <v>28400.28</v>
          </cell>
          <cell r="G3810">
            <v>42579</v>
          </cell>
        </row>
        <row r="3811">
          <cell r="C3811">
            <v>7116</v>
          </cell>
          <cell r="D3811" t="str">
            <v>Pih. Ascensor 5 Paradas</v>
          </cell>
          <cell r="E3811" t="str">
            <v>UN</v>
          </cell>
          <cell r="F3811">
            <v>146805456</v>
          </cell>
          <cell r="G3811">
            <v>42583</v>
          </cell>
        </row>
        <row r="3812">
          <cell r="C3812">
            <v>7117</v>
          </cell>
          <cell r="D3812" t="str">
            <v>Pih. Ascensor Camillero 5 Paradas</v>
          </cell>
          <cell r="E3812" t="str">
            <v>UN</v>
          </cell>
          <cell r="F3812">
            <v>223313800.06</v>
          </cell>
          <cell r="G3812">
            <v>42583</v>
          </cell>
        </row>
        <row r="3813">
          <cell r="C3813">
            <v>7118</v>
          </cell>
          <cell r="D3813" t="str">
            <v>Pih. Gabinete De 1.55 M</v>
          </cell>
          <cell r="E3813" t="str">
            <v>UN</v>
          </cell>
          <cell r="F3813">
            <v>4168628.43</v>
          </cell>
          <cell r="G3813">
            <v>42583</v>
          </cell>
        </row>
        <row r="3814">
          <cell r="C3814">
            <v>7119</v>
          </cell>
          <cell r="D3814" t="str">
            <v>Pih. Modulo De 1 Jack Rj45, Cat 6</v>
          </cell>
          <cell r="E3814" t="str">
            <v>UN</v>
          </cell>
          <cell r="F3814">
            <v>34037.620000000003</v>
          </cell>
          <cell r="G3814">
            <v>42583</v>
          </cell>
        </row>
        <row r="3815">
          <cell r="C3815">
            <v>7120</v>
          </cell>
          <cell r="D3815" t="str">
            <v>Pih. Switch De 16 Puertos X 10/100 Basetx No Administrable</v>
          </cell>
          <cell r="E3815" t="str">
            <v>UN</v>
          </cell>
          <cell r="F3815">
            <v>2393531.33</v>
          </cell>
          <cell r="G3815">
            <v>42584</v>
          </cell>
        </row>
        <row r="3816">
          <cell r="C3816">
            <v>7121</v>
          </cell>
          <cell r="D3816" t="str">
            <v>Pih. Camara Fija Autoiris Color 480 Tvl Dia / Noche</v>
          </cell>
          <cell r="E3816" t="str">
            <v>UN</v>
          </cell>
          <cell r="F3816">
            <v>2478735</v>
          </cell>
          <cell r="G3816">
            <v>42580</v>
          </cell>
        </row>
        <row r="3817">
          <cell r="C3817">
            <v>7122</v>
          </cell>
          <cell r="D3817" t="str">
            <v>Pih. Videograbador De 16 Canales Con Dd De 1024 Gb</v>
          </cell>
          <cell r="E3817" t="str">
            <v>UN</v>
          </cell>
          <cell r="F3817">
            <v>7055531.3300000001</v>
          </cell>
          <cell r="G3817">
            <v>42584</v>
          </cell>
        </row>
        <row r="3818">
          <cell r="C3818">
            <v>7123</v>
          </cell>
          <cell r="D3818" t="str">
            <v>Pih. Construccion , Instalacion Y Puesta De Planta De Tratamiento - Tanques (Eqa-01, D=1,7 M- Mbbr-01, D=1,30;  Cla-01 D=1,7 Mts) Incluye :  Tanque De Tratamiento Biologico - Tablero Electrico - Soplador Regenerativo - Bombas Sumergibles, Dosificadoras, Tuberias Y Valvula</v>
          </cell>
          <cell r="E3818" t="str">
            <v>UN</v>
          </cell>
          <cell r="F3818">
            <v>137500000</v>
          </cell>
          <cell r="G3818">
            <v>42583</v>
          </cell>
        </row>
        <row r="3819">
          <cell r="C3819">
            <v>7124</v>
          </cell>
          <cell r="D3819" t="str">
            <v>Pih. Tanque Industrial Subterraneo, Cilindrico Horizontal Con Fondo Abombados De 42000 Lts, Diametro 2,60 Mt, Longitud De 8 Mt, Espesor 10 Mm Rn Plastico Reforzado En Fibra De Vidrio.</v>
          </cell>
          <cell r="E3819" t="str">
            <v>UN</v>
          </cell>
          <cell r="F3819">
            <v>55482970.899999999</v>
          </cell>
          <cell r="G3819">
            <v>42583</v>
          </cell>
        </row>
        <row r="3820">
          <cell r="C3820">
            <v>7125</v>
          </cell>
          <cell r="D3820" t="str">
            <v>Pih. Multitoma Para Gabinete Tipo Hospitalario Para Rack</v>
          </cell>
          <cell r="E3820" t="str">
            <v>UN</v>
          </cell>
          <cell r="F3820">
            <v>355280.35</v>
          </cell>
          <cell r="G3820">
            <v>42584</v>
          </cell>
        </row>
        <row r="3821">
          <cell r="C3821">
            <v>7126</v>
          </cell>
          <cell r="D3821" t="str">
            <v>Pih. Ups De 6 Kva</v>
          </cell>
          <cell r="E3821" t="str">
            <v>UN</v>
          </cell>
          <cell r="F3821">
            <v>16907407.84</v>
          </cell>
          <cell r="G3821">
            <v>42584</v>
          </cell>
        </row>
        <row r="3822">
          <cell r="C3822">
            <v>7127</v>
          </cell>
          <cell r="D3822" t="str">
            <v>Pih. Provision Para Publicacion Y Gestion Social</v>
          </cell>
          <cell r="E3822" t="str">
            <v>GL</v>
          </cell>
          <cell r="F3822">
            <v>534217877.10000002</v>
          </cell>
          <cell r="G3822">
            <v>42580</v>
          </cell>
        </row>
        <row r="3823">
          <cell r="C3823">
            <v>7137</v>
          </cell>
          <cell r="D3823" t="str">
            <v>Manejo Y Control De Aguas (Ver Diseño)</v>
          </cell>
          <cell r="E3823" t="str">
            <v>GL</v>
          </cell>
          <cell r="F3823">
            <v>47124000</v>
          </cell>
          <cell r="G3823">
            <v>42587</v>
          </cell>
        </row>
        <row r="3824">
          <cell r="C3824">
            <v>7138</v>
          </cell>
          <cell r="D3824" t="str">
            <v>Demolicion De Zonas De Vivienda</v>
          </cell>
          <cell r="E3824" t="str">
            <v>M2</v>
          </cell>
          <cell r="F3824">
            <v>17462.5</v>
          </cell>
          <cell r="G3824">
            <v>42587</v>
          </cell>
        </row>
        <row r="3825">
          <cell r="C3825">
            <v>7139</v>
          </cell>
          <cell r="D3825" t="str">
            <v>Adecuacion Y Restauracion De Zonas Aledañas Que Se Cancelaran Por Actividades Realizadas Hasta Agotar Monto</v>
          </cell>
          <cell r="E3825" t="str">
            <v>GL</v>
          </cell>
          <cell r="F3825">
            <v>269178000</v>
          </cell>
          <cell r="G3825">
            <v>42587</v>
          </cell>
        </row>
        <row r="3826">
          <cell r="C3826">
            <v>7140</v>
          </cell>
          <cell r="D3826" t="str">
            <v>Construccion De Puentes Peatonales, Longitud = 6.00 Metros (Ver Diseño)</v>
          </cell>
          <cell r="E3826" t="str">
            <v>UN</v>
          </cell>
          <cell r="F3826">
            <v>62832000</v>
          </cell>
          <cell r="G3826">
            <v>42587</v>
          </cell>
        </row>
        <row r="3827">
          <cell r="C3827">
            <v>7141</v>
          </cell>
          <cell r="D3827" t="str">
            <v>Limpieza General (Ver Diseño)</v>
          </cell>
          <cell r="E3827" t="str">
            <v>M3</v>
          </cell>
          <cell r="F3827">
            <v>38620</v>
          </cell>
          <cell r="G3827">
            <v>42587</v>
          </cell>
        </row>
        <row r="3828">
          <cell r="C3828">
            <v>7142</v>
          </cell>
          <cell r="D3828" t="str">
            <v>Pasacalles De 1.00 X 6.00 Metros (Ver Diseño)</v>
          </cell>
          <cell r="E3828" t="str">
            <v>UN</v>
          </cell>
          <cell r="F3828">
            <v>235620</v>
          </cell>
          <cell r="G3828">
            <v>42587</v>
          </cell>
        </row>
        <row r="3829">
          <cell r="C3829">
            <v>7143</v>
          </cell>
          <cell r="D3829" t="str">
            <v>Valla Informativa De 3.00 X 6.00 Metros Con Estructura De Fijacion En Cercha Metalica (Ver Diseño)</v>
          </cell>
          <cell r="E3829" t="str">
            <v>UN</v>
          </cell>
          <cell r="F3829">
            <v>10566400</v>
          </cell>
          <cell r="G3829">
            <v>42587</v>
          </cell>
        </row>
        <row r="3830">
          <cell r="C3830">
            <v>7144</v>
          </cell>
          <cell r="D3830" t="str">
            <v>Manejo Socio Ambiental (Ver Diseño)</v>
          </cell>
          <cell r="E3830" t="str">
            <v>GL</v>
          </cell>
          <cell r="F3830">
            <v>23562000</v>
          </cell>
          <cell r="G3830">
            <v>42587</v>
          </cell>
        </row>
        <row r="3831">
          <cell r="C3831">
            <v>7145</v>
          </cell>
          <cell r="D3831" t="str">
            <v>Diseño Del Proyecto De Canalizacion</v>
          </cell>
          <cell r="E3831" t="str">
            <v>GL</v>
          </cell>
          <cell r="F3831">
            <v>55000000</v>
          </cell>
          <cell r="G3831">
            <v>42587</v>
          </cell>
        </row>
        <row r="3832">
          <cell r="C3832">
            <v>7146</v>
          </cell>
          <cell r="D3832" t="str">
            <v>Adquisicion De Viviendas Que Impidan La Canalizacion Del Arroyo Hasta Agotar Monto</v>
          </cell>
          <cell r="E3832" t="str">
            <v>GL</v>
          </cell>
          <cell r="F3832">
            <v>420000000</v>
          </cell>
          <cell r="G3832">
            <v>42587</v>
          </cell>
        </row>
        <row r="3833">
          <cell r="C3833">
            <v>7147</v>
          </cell>
          <cell r="D3833" t="str">
            <v>Suministro E Instalacion De Tuberia De Agua Potable De 2" De Diametro En Pvc, Incluye Excavacion (Ver Diseño)</v>
          </cell>
          <cell r="E3833" t="str">
            <v>ML</v>
          </cell>
          <cell r="F3833">
            <v>149226</v>
          </cell>
          <cell r="G3833">
            <v>42587</v>
          </cell>
        </row>
        <row r="3834">
          <cell r="C3834">
            <v>7148</v>
          </cell>
          <cell r="D3834" t="str">
            <v>Suministro E Instalacion De Tuberia Sanitaria De 8" En Pvc, Incluye Excavacion (Ver Diseño)</v>
          </cell>
          <cell r="E3834" t="str">
            <v>ML</v>
          </cell>
          <cell r="F3834">
            <v>148500</v>
          </cell>
          <cell r="G3834">
            <v>42587</v>
          </cell>
        </row>
        <row r="3835">
          <cell r="C3835">
            <v>7152</v>
          </cell>
          <cell r="D3835" t="str">
            <v>Pilote Pre Excavado D = 0.60 Metros, En Concreto De 4000 Psi</v>
          </cell>
          <cell r="E3835" t="str">
            <v>ML</v>
          </cell>
          <cell r="F3835">
            <v>556845.42000000004</v>
          </cell>
          <cell r="G3835">
            <v>42591</v>
          </cell>
        </row>
        <row r="3836">
          <cell r="C3836">
            <v>7155</v>
          </cell>
          <cell r="D3836" t="str">
            <v>Demolición De Pilote D = 0.60 Metros De Concreto Armado</v>
          </cell>
          <cell r="E3836" t="str">
            <v>ML</v>
          </cell>
          <cell r="F3836">
            <v>141068.20000000001</v>
          </cell>
          <cell r="G3836">
            <v>42587</v>
          </cell>
        </row>
        <row r="3837">
          <cell r="C3837">
            <v>7158</v>
          </cell>
          <cell r="D3837" t="str">
            <v>Viga De Atado / Coronación De Pantalla Pilotes De 0.60 X 0.40 Metros</v>
          </cell>
          <cell r="E3837" t="str">
            <v>ML</v>
          </cell>
          <cell r="F3837">
            <v>360051.26</v>
          </cell>
          <cell r="G3837">
            <v>42587</v>
          </cell>
        </row>
        <row r="3838">
          <cell r="C3838">
            <v>7159</v>
          </cell>
          <cell r="D3838" t="str">
            <v>Cerramiento En Malla Eslabonada H = 1.80 Metros, Incluye Desmontaje (Varios Usos)</v>
          </cell>
          <cell r="E3838" t="str">
            <v>ML</v>
          </cell>
          <cell r="F3838">
            <v>37356.58</v>
          </cell>
          <cell r="G3838">
            <v>42587</v>
          </cell>
        </row>
        <row r="3839">
          <cell r="C3839">
            <v>7160</v>
          </cell>
          <cell r="D3839" t="str">
            <v>Prvc. Instalacion De Codos Grp Y/O Pvc Dn 1500 Pn=1 Sn 2500 (0-30º)</v>
          </cell>
          <cell r="E3839" t="str">
            <v>UN</v>
          </cell>
          <cell r="F3839">
            <v>877801.84</v>
          </cell>
          <cell r="G3839">
            <v>42591</v>
          </cell>
        </row>
        <row r="3840">
          <cell r="C3840">
            <v>7161</v>
          </cell>
          <cell r="D3840" t="str">
            <v>Prvc. Instalacionde Tuberias En Grp Y/O Pvc De Diametro 1500 Mm, Pn=1.00 Sn 2500</v>
          </cell>
          <cell r="E3840" t="str">
            <v>ML</v>
          </cell>
          <cell r="F3840">
            <v>107589.64</v>
          </cell>
          <cell r="G3840">
            <v>42591</v>
          </cell>
        </row>
        <row r="3841">
          <cell r="C3841">
            <v>7163</v>
          </cell>
          <cell r="D3841" t="str">
            <v>Prvc. Suminidtro De Tee De 1,500 X 1,500 Mm, Sn 2500, Incluye Uniones, Accesorio Y Transporte</v>
          </cell>
          <cell r="E3841" t="str">
            <v>UN</v>
          </cell>
          <cell r="F3841">
            <v>19934000</v>
          </cell>
          <cell r="G3841">
            <v>42591</v>
          </cell>
        </row>
        <row r="3842">
          <cell r="C3842">
            <v>7165</v>
          </cell>
          <cell r="D3842" t="str">
            <v>Prvc. Suministro Codos Grp Y/O Pvc Dn 2200 Pn=1 Sn 2500 (0º-30º) Incluye Union Y Transporte</v>
          </cell>
          <cell r="E3842" t="str">
            <v>UN</v>
          </cell>
          <cell r="F3842">
            <v>10352000</v>
          </cell>
          <cell r="G3842">
            <v>42591</v>
          </cell>
        </row>
        <row r="3843">
          <cell r="C3843">
            <v>7167</v>
          </cell>
          <cell r="D3843" t="str">
            <v>Prvc. Suministro Codos Grp Y/O Pvc Dn 1500 Pn=1 Sn 2500 (0º-30º) Incluye Union Y Transporte</v>
          </cell>
          <cell r="E3843" t="str">
            <v>UN</v>
          </cell>
          <cell r="F3843">
            <v>5094000</v>
          </cell>
          <cell r="G3843">
            <v>42591</v>
          </cell>
        </row>
        <row r="3844">
          <cell r="C3844">
            <v>7169</v>
          </cell>
          <cell r="D3844" t="str">
            <v>Prvc. Suministro De Tuberia En Grp Y/O Pvc De Diametro 1500 Mm, Pn=1, Sn 2500, Incluye Union Y Transporte</v>
          </cell>
          <cell r="E3844" t="str">
            <v>ML</v>
          </cell>
          <cell r="F3844">
            <v>1634346</v>
          </cell>
          <cell r="G3844">
            <v>42591</v>
          </cell>
        </row>
        <row r="3845">
          <cell r="C3845">
            <v>7170</v>
          </cell>
          <cell r="D3845" t="str">
            <v>Prvc. Instalacion De Tee De 1,500 X 1,500 Mm, Sn 2500, Incluye Uniones, Accesorios Y Transporte</v>
          </cell>
          <cell r="E3845" t="str">
            <v>UN</v>
          </cell>
          <cell r="F3845">
            <v>815673.45</v>
          </cell>
          <cell r="G3845">
            <v>42591</v>
          </cell>
        </row>
        <row r="3846">
          <cell r="C3846">
            <v>7171</v>
          </cell>
          <cell r="D3846" t="str">
            <v>Prvc. Suplemento De Trabajo En Tensión Retiro Puente De Línea Trifásico M.T.</v>
          </cell>
          <cell r="E3846" t="str">
            <v>UN</v>
          </cell>
          <cell r="F3846">
            <v>27607.94</v>
          </cell>
          <cell r="G3846">
            <v>42591</v>
          </cell>
        </row>
        <row r="3847">
          <cell r="C3847">
            <v>7172</v>
          </cell>
          <cell r="D3847" t="str">
            <v>P. Paisajismo General Zona Verde, Incluye: Coccoloba Uvifera-Uva De Playa Densidad 5 X M2 Conocardus Rectus-Mangle Verde-Densidad 4 X M2 Conocardus Erectus-Mangle Plateado-Densidad 4 X M2 Leucophylumfrytences-Frailejon Densidad 4 X M2 Bougainvillea Spectabilis-Trinitarias Surtidas Densidad 3 X M2 Carissa Macrocarda-Monedita Densidad 8 X M2 Sheflera Arboricola-Sheflera Densidad 6 X M2 Suinglea Glutinosa-Suingla O Limoncillo Densidad 6 X M2 (Ver Diseño).</v>
          </cell>
          <cell r="E3847" t="str">
            <v>M2</v>
          </cell>
          <cell r="F3847">
            <v>110093.58</v>
          </cell>
          <cell r="G3847">
            <v>42599</v>
          </cell>
        </row>
        <row r="3848">
          <cell r="C3848">
            <v>7173</v>
          </cell>
          <cell r="D3848" t="str">
            <v>Desmonte De Cielo Raso A Una Altura &lt; 3.00 Metros, Incluye Retiro De Material</v>
          </cell>
          <cell r="E3848" t="str">
            <v>M2</v>
          </cell>
          <cell r="F3848">
            <v>9506.75</v>
          </cell>
          <cell r="G3848">
            <v>42600</v>
          </cell>
        </row>
        <row r="3849">
          <cell r="C3849">
            <v>7174</v>
          </cell>
          <cell r="D3849" t="str">
            <v>Desmonte De Unidad De Acondicionador De Aire Tipo Split Con Manejadora Y Reubicación (Incluye Regata, Materiales Y Puesta En Funcionamiento)</v>
          </cell>
          <cell r="E3849" t="str">
            <v>UN</v>
          </cell>
          <cell r="F3849">
            <v>400000</v>
          </cell>
          <cell r="G3849">
            <v>42601</v>
          </cell>
        </row>
        <row r="3850">
          <cell r="C3850">
            <v>7175</v>
          </cell>
          <cell r="D3850" t="str">
            <v>Dado De Anclaje De Dovelas En Concreto De 3000 Psi De 0.30 X 0.30 X 0.30 Metros, Incluye Excavación Y Acero De Refuerzo</v>
          </cell>
          <cell r="E3850" t="str">
            <v>UN</v>
          </cell>
          <cell r="F3850">
            <v>16210.76</v>
          </cell>
          <cell r="G3850">
            <v>42600</v>
          </cell>
        </row>
        <row r="3851">
          <cell r="C3851">
            <v>7177</v>
          </cell>
          <cell r="D3851" t="str">
            <v>Banca En Concreto De 3000 Psi Impermabilizado, E = 0.08 Metros Y Ancho 0.45 Metros, Incluye Acero De Refuerzo, Varilla De 3/8" En Cuadricula De 0.15 Metros En Ambos Sentidos, Con Apoyo A Cada 3.00 Metros, Altura 0.45 Metros</v>
          </cell>
          <cell r="E3851" t="str">
            <v>ML</v>
          </cell>
          <cell r="F3851">
            <v>61291.56</v>
          </cell>
          <cell r="G3851">
            <v>42604</v>
          </cell>
        </row>
        <row r="3852">
          <cell r="C3852">
            <v>7178</v>
          </cell>
          <cell r="D3852" t="str">
            <v>Plantilla De Piso En Concreto De 3000 Psi E = 0.10 Metros, Esmaltado Y Con Endurecedor</v>
          </cell>
          <cell r="E3852" t="str">
            <v>M2</v>
          </cell>
          <cell r="F3852">
            <v>69211.09</v>
          </cell>
          <cell r="G3852">
            <v>42600</v>
          </cell>
        </row>
        <row r="3853">
          <cell r="C3853">
            <v>7179</v>
          </cell>
          <cell r="D3853" t="str">
            <v>Zócalo Media Caña Con Mortero 1:4 Impermeabilizado</v>
          </cell>
          <cell r="E3853" t="str">
            <v>ML</v>
          </cell>
          <cell r="F3853">
            <v>12075.61</v>
          </cell>
          <cell r="G3853">
            <v>42600</v>
          </cell>
        </row>
        <row r="3854">
          <cell r="C3854">
            <v>7180</v>
          </cell>
          <cell r="D3854" t="str">
            <v>Suministro E Instalación De Puerta Metálica Con Mirilla De 0.20 X 0.30 Metros, Calibre 20 Por Una Faz Y Marco Calibre18, De 1.00 X 2.00 Metros, Incluye Pintura Anticorrosiva, Esmalte, Cerradura Y Herraje</v>
          </cell>
          <cell r="E3854" t="str">
            <v>UN</v>
          </cell>
          <cell r="F3854">
            <v>285437.5</v>
          </cell>
          <cell r="G3854">
            <v>42600</v>
          </cell>
        </row>
        <row r="3855">
          <cell r="C3855">
            <v>7184</v>
          </cell>
          <cell r="D3855" t="str">
            <v>Suministro E Instalación De Malla Expandida Imt-20 Calibre 2.5 Material Hr, Incluye Accesorios De Instalación (Angulos, Tornillos) Para Evitar Acceso A Estructura Metálica En Varilla De 1/2"</v>
          </cell>
          <cell r="E3855" t="str">
            <v>M2</v>
          </cell>
          <cell r="F3855">
            <v>110746.84</v>
          </cell>
          <cell r="G3855">
            <v>42601</v>
          </cell>
        </row>
        <row r="3856">
          <cell r="C3856">
            <v>7192</v>
          </cell>
          <cell r="D3856" t="str">
            <v>Suministro E Instalación De Detector De Metal Y Armas Tipo Arco, Cobertura De Pies A Cabeza 100 A 240 Vac, 50 A 60 Hz / 55 W, 1 - 200 Por Programa Para Selección De Objetivos En Forma Precisa, 1.90 X 2.20 X 0.57 Metros, Garrett</v>
          </cell>
          <cell r="E3856" t="str">
            <v>UN</v>
          </cell>
          <cell r="F3856">
            <v>16053000</v>
          </cell>
          <cell r="G3856">
            <v>42601</v>
          </cell>
        </row>
        <row r="3857">
          <cell r="C3857">
            <v>7193</v>
          </cell>
          <cell r="D3857" t="str">
            <v>Suministro De Detector De Metales Puntuales Pinpointer, 360° Y Punta, Ip66 Resistente Al Agua Y Polvo. Localización Puntual De Metal En Lugares Confinados, En Las Paredes, Madera, Garrett</v>
          </cell>
          <cell r="E3857" t="str">
            <v>UN</v>
          </cell>
          <cell r="F3857">
            <v>509240</v>
          </cell>
          <cell r="G3857">
            <v>42601</v>
          </cell>
        </row>
        <row r="3858">
          <cell r="C3858">
            <v>7194</v>
          </cell>
          <cell r="D3858" t="str">
            <v>Suministro E Instalación De Sanitario Comby 15" Antivandálico Con Su Grifería, Incluye Accesorios Para Instalación; Línea Penitenciaría</v>
          </cell>
          <cell r="E3858" t="str">
            <v>UN</v>
          </cell>
          <cell r="F3858">
            <v>3286216.67</v>
          </cell>
          <cell r="G3858">
            <v>42601</v>
          </cell>
        </row>
        <row r="3859">
          <cell r="C3859">
            <v>7195</v>
          </cell>
          <cell r="D3859" t="str">
            <v>Suministro E Instalación De Pelicula Sand Blasting</v>
          </cell>
          <cell r="E3859" t="str">
            <v>M2</v>
          </cell>
          <cell r="F3859">
            <v>46400</v>
          </cell>
          <cell r="G3859">
            <v>42601</v>
          </cell>
        </row>
        <row r="3860">
          <cell r="C3860">
            <v>7196</v>
          </cell>
          <cell r="D3860" t="str">
            <v>Suministro E Instalación De Cortina Solar Screen</v>
          </cell>
          <cell r="E3860" t="str">
            <v>M2</v>
          </cell>
          <cell r="F3860">
            <v>80000</v>
          </cell>
          <cell r="G3860">
            <v>42601</v>
          </cell>
        </row>
        <row r="3861">
          <cell r="C3861">
            <v>7197</v>
          </cell>
          <cell r="D3861" t="str">
            <v>Anclaje Con Epóxico</v>
          </cell>
          <cell r="E3861" t="str">
            <v>UN</v>
          </cell>
          <cell r="F3861">
            <v>24481.3</v>
          </cell>
          <cell r="G3861">
            <v>42604</v>
          </cell>
        </row>
        <row r="3862">
          <cell r="C3862">
            <v>7200</v>
          </cell>
          <cell r="D3862" t="str">
            <v>Edu. Columna De Confinamiento En Concreto De 4000 Psi De 0.10 X 0.20 Metros, Incluye Acero De Refuerzo  3 Varillas De 1/2", Estribos De 3/8" A Cada 0.15 Metros Y Apuntalamiento De Muro</v>
          </cell>
          <cell r="E3862" t="str">
            <v>ML</v>
          </cell>
          <cell r="F3862">
            <v>56740.65</v>
          </cell>
          <cell r="G3862">
            <v>42613</v>
          </cell>
        </row>
        <row r="3863">
          <cell r="C3863">
            <v>7201</v>
          </cell>
          <cell r="D3863" t="str">
            <v>Edu. Losa Maciza Con Vigas Descolgadas De 0,15 Cms De Espesor En Concreto De 4000 Psi Premezclado</v>
          </cell>
          <cell r="E3863" t="str">
            <v>M3</v>
          </cell>
          <cell r="F3863">
            <v>912282.65</v>
          </cell>
          <cell r="G3863">
            <v>42614</v>
          </cell>
        </row>
        <row r="3864">
          <cell r="C3864">
            <v>7202</v>
          </cell>
          <cell r="D3864" t="str">
            <v>Edu. Rampa En Concreto Premezclado Visto F'C 28 Mpa. Conjunto Estructural Viga + Losa Maciza + Descanso (Secciones Según Planos) Incluye Malla Electrosoldada Con Acabado Estriado Horizontal, Junta  E= 0,10 Mts.</v>
          </cell>
          <cell r="E3864" t="str">
            <v>M2</v>
          </cell>
          <cell r="F3864">
            <v>254475.24</v>
          </cell>
          <cell r="G3864">
            <v>42613</v>
          </cell>
        </row>
        <row r="3865">
          <cell r="C3865">
            <v>7203</v>
          </cell>
          <cell r="D3865" t="str">
            <v>Edu. Concreto Grout F´C 28 Mpa Relleno Una Celda Vertical Reforzada En Muros E:0.12 M De Ladrillo.</v>
          </cell>
          <cell r="E3865" t="str">
            <v>ML</v>
          </cell>
          <cell r="F3865">
            <v>17075.580000000002</v>
          </cell>
          <cell r="G3865">
            <v>42613</v>
          </cell>
        </row>
        <row r="3866">
          <cell r="C3866">
            <v>7213</v>
          </cell>
          <cell r="D3866" t="str">
            <v>Edu. Graderias Prefabricadas Incluye Fabricacion Y Montaje</v>
          </cell>
          <cell r="E3866" t="str">
            <v>M3</v>
          </cell>
          <cell r="F3866">
            <v>1017145.31</v>
          </cell>
          <cell r="G3866">
            <v>42613</v>
          </cell>
        </row>
        <row r="3867">
          <cell r="C3867">
            <v>7221</v>
          </cell>
          <cell r="D3867" t="str">
            <v>Edu. Cancha Flotante En Madera En Guaimaro Inmunizado Espesor 20 Mm Machimbrado Por Los Cauatro Lados  Plataforma En Triplex  De 12 Mm Cara Inferior Con Ranura En Los Durmientes De  Madera En Pino Importado De Espesor 33 Mm Y 65  Mm Inmunizados, Pads De Apoyo En Neopreno Con La Altura De 10 Mm (15 Pads X M2) Recubrimiento Impermeabilizado En Polietileno Negro Calibre 6. Acabado En Laca Transparente Aprobado Por La Fiba, Dos (2) Manos De Sellador Y Tres De Laca Incluye Pintura De Demarcion</v>
          </cell>
          <cell r="E3867" t="str">
            <v>M2</v>
          </cell>
          <cell r="F3867">
            <v>275000</v>
          </cell>
          <cell r="G3867">
            <v>42613</v>
          </cell>
        </row>
        <row r="3868">
          <cell r="C3868">
            <v>7224</v>
          </cell>
          <cell r="D3868" t="str">
            <v>Edu. Viga Corona En Concreto De Fc=4000 Psi, De 0,15 X 0,20 Mts, Incluye Acero De Refuerzo 2 D=1/2" , Estribos De D=3/8"  A Cada 0,15 Mts</v>
          </cell>
          <cell r="E3868" t="str">
            <v>ML</v>
          </cell>
          <cell r="F3868">
            <v>53509.05</v>
          </cell>
          <cell r="G3868">
            <v>42614</v>
          </cell>
        </row>
        <row r="3869">
          <cell r="C3869">
            <v>7232</v>
          </cell>
          <cell r="D3869" t="str">
            <v>Edu. Construcion De Tanque De Concreto Premezclado De 4000 Psi Con  Impermeabilizacion Integral Incluye Pasantes Para Tuberias, Tanque Contraincendio Y Tanque De Agua Potable</v>
          </cell>
          <cell r="E3869" t="str">
            <v>M3</v>
          </cell>
          <cell r="F3869">
            <v>777380.01</v>
          </cell>
          <cell r="G3869">
            <v>42613</v>
          </cell>
        </row>
        <row r="3870">
          <cell r="C3870">
            <v>7239</v>
          </cell>
          <cell r="D3870" t="str">
            <v>Edu. Columnas De Acero Calidad S355 Para Columnas Circulares</v>
          </cell>
          <cell r="E3870" t="str">
            <v>KG</v>
          </cell>
          <cell r="F3870">
            <v>5549.86</v>
          </cell>
          <cell r="G3870">
            <v>42613</v>
          </cell>
        </row>
        <row r="3871">
          <cell r="C3871">
            <v>7240</v>
          </cell>
          <cell r="D3871" t="str">
            <v>Edu. Estructura Metalica Para Placa De Anclaje Y Conexiones De Acero Calidad 5355</v>
          </cell>
          <cell r="E3871" t="str">
            <v>KG</v>
          </cell>
          <cell r="F3871">
            <v>5549.86</v>
          </cell>
          <cell r="G3871">
            <v>42613</v>
          </cell>
        </row>
        <row r="3872">
          <cell r="C3872">
            <v>7241</v>
          </cell>
          <cell r="D3872" t="str">
            <v>Edu. Suministro Y Montaje De Membrana Impermeable De  Referencia Sarnafil Adherida Referencia S327-12 Espesor De 1.2 Mm O Similar Debidamente Rematada Y Sellada En Los Bordes Perimetrales Y Contra Los Marcos De Soportes De Las Lucarnas. Incluye Pruebas De Estanqueidad</v>
          </cell>
          <cell r="E3872" t="str">
            <v>M2</v>
          </cell>
          <cell r="F3872">
            <v>71105.14</v>
          </cell>
          <cell r="G3872">
            <v>42619</v>
          </cell>
        </row>
        <row r="3873">
          <cell r="C3873">
            <v>7242</v>
          </cell>
          <cell r="D3873" t="str">
            <v>Edu. Impermeabilizacion De Tanque En Membrana Sika Plan 12 Ntr Espesor 1,2 Mm O Similar</v>
          </cell>
          <cell r="E3873" t="str">
            <v>M2</v>
          </cell>
          <cell r="F3873">
            <v>92464.78</v>
          </cell>
          <cell r="G3873">
            <v>42619</v>
          </cell>
        </row>
        <row r="3874">
          <cell r="C3874">
            <v>7243</v>
          </cell>
          <cell r="D3874" t="str">
            <v>Edu. Suministro Fabricacion Y Montaje De Superficie De Cubierta En Superboard De 19 Mm Sobre Perfiles De Soporte</v>
          </cell>
          <cell r="E3874" t="str">
            <v>M2</v>
          </cell>
          <cell r="F3874">
            <v>44623.09</v>
          </cell>
          <cell r="G3874">
            <v>42613</v>
          </cell>
        </row>
        <row r="3875">
          <cell r="C3875">
            <v>7244</v>
          </cell>
          <cell r="D3875" t="str">
            <v>Edu. Bomba Centrifuga De 5Hp  De 220/440 Voltios Motor De Alta Eficienca Trabajo Continuo / Equipo De Bombeoespecial Para El Sistema Contraincendio (Ver Diseño)</v>
          </cell>
          <cell r="E3875" t="str">
            <v>UN</v>
          </cell>
          <cell r="F3875">
            <v>3605541.63</v>
          </cell>
          <cell r="G3875">
            <v>42613</v>
          </cell>
        </row>
        <row r="3876">
          <cell r="C3876">
            <v>7245</v>
          </cell>
          <cell r="D3876" t="str">
            <v>Edu. Tragante De Aguas Lluvias De 6"</v>
          </cell>
          <cell r="E3876" t="str">
            <v>UN</v>
          </cell>
          <cell r="F3876">
            <v>762203.03</v>
          </cell>
          <cell r="G3876">
            <v>42613</v>
          </cell>
        </row>
        <row r="3877">
          <cell r="C3877">
            <v>7247</v>
          </cell>
          <cell r="D3877" t="str">
            <v>Edu. Suministro E Instalacion De Luminaria Curvoled De 40 W</v>
          </cell>
          <cell r="E3877" t="str">
            <v>UN</v>
          </cell>
          <cell r="F3877">
            <v>800427.89</v>
          </cell>
          <cell r="G3877">
            <v>42613</v>
          </cell>
        </row>
        <row r="3878">
          <cell r="C3878">
            <v>7248</v>
          </cell>
          <cell r="D3878" t="str">
            <v>Edu. Suministro E Instalacion De Down Light 12W Cw</v>
          </cell>
          <cell r="E3878" t="str">
            <v>UN</v>
          </cell>
          <cell r="F3878">
            <v>668834.02</v>
          </cell>
          <cell r="G3878">
            <v>42613</v>
          </cell>
        </row>
        <row r="3879">
          <cell r="C3879">
            <v>7249</v>
          </cell>
          <cell r="D3879" t="str">
            <v>Edu. Suministro E Instalacion De At-Proyeled 60 @68 W Cw</v>
          </cell>
          <cell r="E3879" t="str">
            <v>UN</v>
          </cell>
          <cell r="F3879">
            <v>668834.02</v>
          </cell>
          <cell r="G3879">
            <v>42613</v>
          </cell>
        </row>
        <row r="3880">
          <cell r="C3880">
            <v>7250</v>
          </cell>
          <cell r="D3880" t="str">
            <v>Edu. Suministro E Instalacion De At-Paneled Lf De 40 W 60 X 60 Cw</v>
          </cell>
          <cell r="E3880" t="str">
            <v>UN</v>
          </cell>
          <cell r="F3880">
            <v>435158.36</v>
          </cell>
          <cell r="G3880">
            <v>42613</v>
          </cell>
        </row>
        <row r="3881">
          <cell r="C3881">
            <v>7251</v>
          </cell>
          <cell r="D3881" t="str">
            <v>Edu. Suministro E Instalacion De Ventana  Sobre Cubierta En Aluminio Natural Marco En Perfileria 3831 Con Empaque  Y Con Pisavidrio A Presion Tipo Alamo, Contiene Policarbonato Alveolar De 6 Mm De Espesor Según Diseño</v>
          </cell>
          <cell r="E3881" t="str">
            <v>UN</v>
          </cell>
          <cell r="F3881">
            <v>390331.6</v>
          </cell>
          <cell r="G3881">
            <v>42613</v>
          </cell>
        </row>
        <row r="3882">
          <cell r="C3882">
            <v>7252</v>
          </cell>
          <cell r="D3882" t="str">
            <v>Edu. Suministro E Instalacion De Transformador Normalizado Seco Tipo Resina Clase H De 225 Kva De 13200 V -220 Con Termometro Digital. Incluye Celda De Transformador</v>
          </cell>
          <cell r="E3882" t="str">
            <v>UN</v>
          </cell>
          <cell r="F3882">
            <v>29335107.5</v>
          </cell>
          <cell r="G3882">
            <v>42614</v>
          </cell>
        </row>
        <row r="3883">
          <cell r="C3883">
            <v>7253</v>
          </cell>
          <cell r="D3883" t="str">
            <v>Edu. Planta Electrica De Emergencia Cabinada Con Motor Cummins Y Generador Stanford De 250 Kva Con Transferencia De 630 Amperios Y Tanque De Combustible (Ver Diseño)</v>
          </cell>
          <cell r="E3883" t="str">
            <v>UN</v>
          </cell>
          <cell r="F3883">
            <v>120093231.95</v>
          </cell>
          <cell r="G3883">
            <v>42614</v>
          </cell>
        </row>
        <row r="3884">
          <cell r="C3884">
            <v>7255</v>
          </cell>
          <cell r="D3884" t="str">
            <v>Edu. Salida Para Alumbrado Sin Lampara En Tuberia Emt</v>
          </cell>
          <cell r="E3884" t="str">
            <v>UN</v>
          </cell>
          <cell r="F3884">
            <v>98424.43</v>
          </cell>
          <cell r="G3884">
            <v>42615</v>
          </cell>
        </row>
        <row r="3885">
          <cell r="C3885">
            <v>7264</v>
          </cell>
          <cell r="D3885" t="str">
            <v>Edu. Suministro E Instalación De Switch 24 Puertos Con Socket Para Modulo De Fibra - Poe</v>
          </cell>
          <cell r="E3885" t="str">
            <v>UN</v>
          </cell>
          <cell r="F3885">
            <v>1800000</v>
          </cell>
          <cell r="G3885">
            <v>42614</v>
          </cell>
        </row>
        <row r="3886">
          <cell r="C3886">
            <v>7281</v>
          </cell>
          <cell r="D3886" t="str">
            <v>Edu. Suministro, Fabricacion Montaje  De Estructura Metalica Cubierta En Aluminio Extruido 6071T6  Con Tornilleria De Alta Resitencia En Acero Inoxidable 304</v>
          </cell>
          <cell r="E3886" t="str">
            <v>KG</v>
          </cell>
          <cell r="F3886">
            <v>21592.36</v>
          </cell>
          <cell r="G3886">
            <v>42615</v>
          </cell>
        </row>
        <row r="3887">
          <cell r="C3887">
            <v>7295</v>
          </cell>
          <cell r="D3887" t="str">
            <v>Edu. Instalación De Luminaria Para Alumbrado Publico Tipo Led De 30 Vatios</v>
          </cell>
          <cell r="E3887" t="str">
            <v>UN</v>
          </cell>
          <cell r="F3887">
            <v>902627.09</v>
          </cell>
          <cell r="G3887">
            <v>42618</v>
          </cell>
        </row>
        <row r="3888">
          <cell r="C3888">
            <v>7298</v>
          </cell>
          <cell r="D3888" t="str">
            <v>Edu. Construcion De Tanques De 4000 Psi Con  Impermeabilizacion Integral Incluye Pasantes Para Tuberias. Sistema Contraincendio, Agua Potable, Irrigacion Y Tanque De Agua Lluvia</v>
          </cell>
          <cell r="E3888" t="str">
            <v>M3</v>
          </cell>
          <cell r="F3888">
            <v>775146.64</v>
          </cell>
          <cell r="G3888">
            <v>42618</v>
          </cell>
        </row>
        <row r="3889">
          <cell r="C3889">
            <v>7300</v>
          </cell>
          <cell r="D3889" t="str">
            <v>Edu. Suministro E Instalacion De Equipo De Bombeo Sistema De Riego  Bomba Centrifuga Motor Electrico De 220 - 440 Trifasica 10Hp Hdt 40 Mts 370 Gpm  (Ver Diseño)</v>
          </cell>
          <cell r="E3889" t="str">
            <v>UN</v>
          </cell>
          <cell r="F3889">
            <v>3111540.63</v>
          </cell>
          <cell r="G3889">
            <v>42618</v>
          </cell>
        </row>
        <row r="3890">
          <cell r="C3890">
            <v>7302</v>
          </cell>
          <cell r="D3890" t="str">
            <v>Edu. Grama Bermuda En Tepe Incluye Nivelacion, Riego Y Fertilizacion Bajo La Direccion Tecnica De Un Ingeniero Agronomo Y Dos (2)  Cortes Requeridos Debe Entregarse A Los Niveles Solicitados En El Diseño</v>
          </cell>
          <cell r="E3890" t="str">
            <v>M2</v>
          </cell>
          <cell r="F3890">
            <v>17816.16</v>
          </cell>
          <cell r="G3890">
            <v>42618</v>
          </cell>
        </row>
        <row r="3891">
          <cell r="C3891">
            <v>7303</v>
          </cell>
          <cell r="D3891" t="str">
            <v>Edu. Relleno En Arena De Rio (Santo Tomas)</v>
          </cell>
          <cell r="E3891" t="str">
            <v>M3</v>
          </cell>
          <cell r="F3891">
            <v>33722.14</v>
          </cell>
          <cell r="G3891">
            <v>42619</v>
          </cell>
        </row>
        <row r="3892">
          <cell r="C3892">
            <v>7306</v>
          </cell>
          <cell r="D3892" t="str">
            <v>Edu. Tuberia Tipo Durman Rib Draine Perforada Para Drenaje Con Filtro Subterraneo De 6" O Similar  (Ver Diseño). Incluye Accesorios (Codos,  Sillas T, Uniones)</v>
          </cell>
          <cell r="E3892" t="str">
            <v>ML</v>
          </cell>
          <cell r="F3892">
            <v>44526.32</v>
          </cell>
          <cell r="G3892">
            <v>42619</v>
          </cell>
        </row>
        <row r="3893">
          <cell r="C3893">
            <v>7309</v>
          </cell>
          <cell r="D3893" t="str">
            <v>Edu. Suministro E Instalación De Reflectores  Led Para Campo De Futbol Potencia 400 Ww Y 46000 Lumenes Con Eficieciencia De 115 Lumenes / W Para Iluminación De La Cancha Nivel De Iluminacion 1800 Luxes Ref. . Wxtl-05-400W (Ver Diseño)</v>
          </cell>
          <cell r="E3893" t="str">
            <v>UN</v>
          </cell>
          <cell r="F3893">
            <v>2575005.23</v>
          </cell>
          <cell r="G3893">
            <v>42618</v>
          </cell>
        </row>
        <row r="3894">
          <cell r="C3894">
            <v>7315</v>
          </cell>
          <cell r="D3894" t="str">
            <v>Dps. Sumidero Fundido En Sitio Reforzado</v>
          </cell>
          <cell r="E3894" t="str">
            <v>UN</v>
          </cell>
          <cell r="F3894">
            <v>2763383.36</v>
          </cell>
          <cell r="G3894">
            <v>42620</v>
          </cell>
        </row>
        <row r="3895">
          <cell r="C3895">
            <v>7317</v>
          </cell>
          <cell r="D3895" t="str">
            <v>Dps. Demolicion De Pisos, Andenes, Bordillos</v>
          </cell>
          <cell r="E3895" t="str">
            <v>M2</v>
          </cell>
          <cell r="F3895">
            <v>17237.34</v>
          </cell>
          <cell r="G3895">
            <v>42621</v>
          </cell>
        </row>
        <row r="3896">
          <cell r="C3896">
            <v>7321</v>
          </cell>
          <cell r="D3896" t="str">
            <v>Dps. Demolicion De Pavimientos De Concreto</v>
          </cell>
          <cell r="E3896" t="str">
            <v>M2</v>
          </cell>
          <cell r="F3896">
            <v>24167.040000000001</v>
          </cell>
          <cell r="G3896">
            <v>42620</v>
          </cell>
        </row>
        <row r="3897">
          <cell r="C3897">
            <v>7322</v>
          </cell>
          <cell r="D3897" t="str">
            <v>Dps. Excavaciones Varias Sin Clasificar</v>
          </cell>
          <cell r="E3897" t="str">
            <v>M3</v>
          </cell>
          <cell r="F3897">
            <v>23711.33</v>
          </cell>
          <cell r="G3897">
            <v>42620</v>
          </cell>
        </row>
        <row r="3898">
          <cell r="C3898">
            <v>7324</v>
          </cell>
          <cell r="D3898" t="str">
            <v>Dps. Acero De Refuerzo Grado 60</v>
          </cell>
          <cell r="E3898" t="str">
            <v>KG</v>
          </cell>
          <cell r="F3898">
            <v>3634.36</v>
          </cell>
          <cell r="G3898">
            <v>42620</v>
          </cell>
        </row>
        <row r="3899">
          <cell r="C3899">
            <v>7327</v>
          </cell>
          <cell r="D3899" t="str">
            <v>Dps. Subbase Granular</v>
          </cell>
          <cell r="E3899" t="str">
            <v>M3</v>
          </cell>
          <cell r="F3899">
            <v>111505.91</v>
          </cell>
          <cell r="G3899">
            <v>42620</v>
          </cell>
        </row>
        <row r="3900">
          <cell r="C3900">
            <v>7331</v>
          </cell>
          <cell r="D3900" t="str">
            <v>Dps. Canastillas En Acero Para Soporte De Dovelas</v>
          </cell>
          <cell r="E3900" t="str">
            <v>ML</v>
          </cell>
          <cell r="F3900">
            <v>14513.01</v>
          </cell>
          <cell r="G3900">
            <v>42621</v>
          </cell>
        </row>
        <row r="3901">
          <cell r="C3901">
            <v>7333</v>
          </cell>
          <cell r="D3901" t="str">
            <v>Dps. Separacion De Suelos De Subrasante Y Capas Granulares Con Geotextil Tejido 2400 O Similar</v>
          </cell>
          <cell r="E3901" t="str">
            <v>M2</v>
          </cell>
          <cell r="F3901">
            <v>9590.9699999999993</v>
          </cell>
          <cell r="G3901">
            <v>42620</v>
          </cell>
        </row>
        <row r="3902">
          <cell r="C3902">
            <v>7334</v>
          </cell>
          <cell r="D3902" t="str">
            <v>Dps. Base Estabilizada Con Cemento</v>
          </cell>
          <cell r="E3902" t="str">
            <v>M3</v>
          </cell>
          <cell r="F3902">
            <v>181740.83</v>
          </cell>
          <cell r="G3902">
            <v>42621</v>
          </cell>
        </row>
        <row r="3903">
          <cell r="C3903">
            <v>7335</v>
          </cell>
          <cell r="D3903" t="str">
            <v>Dps. Andenes En Concreto Tipo D</v>
          </cell>
          <cell r="E3903" t="str">
            <v>M2</v>
          </cell>
          <cell r="F3903">
            <v>62714.78</v>
          </cell>
          <cell r="G3903">
            <v>42620</v>
          </cell>
        </row>
        <row r="3904">
          <cell r="C3904">
            <v>7336</v>
          </cell>
          <cell r="D3904" t="str">
            <v>Dps. Bordillos En Concreto Tipo D (0.15 X 0.20) Mts</v>
          </cell>
          <cell r="E3904" t="str">
            <v>ML</v>
          </cell>
          <cell r="F3904">
            <v>44968.7</v>
          </cell>
          <cell r="G3904">
            <v>42620</v>
          </cell>
        </row>
        <row r="3905">
          <cell r="C3905">
            <v>7339</v>
          </cell>
          <cell r="D3905" t="str">
            <v>Dps. Material Seleccionado Para Anden</v>
          </cell>
          <cell r="E3905" t="str">
            <v>M3</v>
          </cell>
          <cell r="F3905">
            <v>78190.95</v>
          </cell>
          <cell r="G3905">
            <v>42620</v>
          </cell>
        </row>
        <row r="3906">
          <cell r="C3906">
            <v>7340</v>
          </cell>
          <cell r="D3906" t="str">
            <v>Dps. Terraplen Con Material Seleccionado</v>
          </cell>
          <cell r="E3906" t="str">
            <v>M3</v>
          </cell>
          <cell r="F3906">
            <v>76194.36</v>
          </cell>
          <cell r="G3906">
            <v>42620</v>
          </cell>
        </row>
        <row r="3907">
          <cell r="C3907">
            <v>7342</v>
          </cell>
          <cell r="D3907" t="str">
            <v>Dps. Pavimento En Concreto Hidraulico De Mr= 4.1 Mpa Y E= 20 Cm</v>
          </cell>
          <cell r="E3907" t="str">
            <v>M3</v>
          </cell>
          <cell r="F3907">
            <v>740893.45</v>
          </cell>
          <cell r="G3907">
            <v>42620</v>
          </cell>
        </row>
        <row r="3908">
          <cell r="C3908">
            <v>7343</v>
          </cell>
          <cell r="D3908" t="str">
            <v>Dps. Cunetas Revestidas En Concreto</v>
          </cell>
          <cell r="E3908" t="str">
            <v>M3</v>
          </cell>
          <cell r="F3908">
            <v>513775.92</v>
          </cell>
          <cell r="G3908">
            <v>42620</v>
          </cell>
        </row>
        <row r="3909">
          <cell r="C3909">
            <v>7344</v>
          </cell>
          <cell r="D3909" t="str">
            <v>Dps. Solado En Concreto Clase F</v>
          </cell>
          <cell r="E3909" t="str">
            <v>M3</v>
          </cell>
          <cell r="F3909">
            <v>275745.84000000003</v>
          </cell>
          <cell r="G3909">
            <v>42620</v>
          </cell>
        </row>
        <row r="3910">
          <cell r="C3910">
            <v>7348</v>
          </cell>
          <cell r="D3910" t="str">
            <v>Dps. Relleno Para Estructura</v>
          </cell>
          <cell r="E3910" t="str">
            <v>M3</v>
          </cell>
          <cell r="F3910">
            <v>72346.44</v>
          </cell>
          <cell r="G3910">
            <v>42620</v>
          </cell>
        </row>
        <row r="3911">
          <cell r="C3911">
            <v>7349</v>
          </cell>
          <cell r="D3911" t="str">
            <v>Dps. Señales De Transito Grupo 1 (0.75 X 0.75) Mts</v>
          </cell>
          <cell r="E3911" t="str">
            <v>UN</v>
          </cell>
          <cell r="F3911">
            <v>327716.58</v>
          </cell>
          <cell r="G3911">
            <v>42621</v>
          </cell>
        </row>
        <row r="3912">
          <cell r="C3912">
            <v>7350</v>
          </cell>
          <cell r="D3912" t="str">
            <v>Dps. Muro De Contencion En Concreto Clase D</v>
          </cell>
          <cell r="E3912" t="str">
            <v>M3</v>
          </cell>
          <cell r="F3912">
            <v>751005.7</v>
          </cell>
          <cell r="G3912">
            <v>42620</v>
          </cell>
        </row>
        <row r="3913">
          <cell r="C3913">
            <v>7353</v>
          </cell>
          <cell r="D3913" t="str">
            <v>Dps. Linea De Demarcacion</v>
          </cell>
          <cell r="E3913" t="str">
            <v>ML</v>
          </cell>
          <cell r="F3913">
            <v>2586.44</v>
          </cell>
          <cell r="G3913">
            <v>42620</v>
          </cell>
        </row>
        <row r="3914">
          <cell r="C3914">
            <v>7354</v>
          </cell>
          <cell r="D3914" t="str">
            <v>Dps. Excavaciones Varias Sin Clasificar</v>
          </cell>
          <cell r="E3914" t="str">
            <v>M3</v>
          </cell>
          <cell r="F3914">
            <v>23711.33</v>
          </cell>
          <cell r="G3914">
            <v>42620</v>
          </cell>
        </row>
        <row r="3915">
          <cell r="C3915">
            <v>7355</v>
          </cell>
          <cell r="D3915" t="str">
            <v>Pavimento En Concreto Rigido Mr 0 600 Psi, Acelerado A Tres (3) Dias E = 0.20 Metros, Sin Acero</v>
          </cell>
          <cell r="E3915" t="str">
            <v>M2</v>
          </cell>
          <cell r="F3915">
            <v>127845.63</v>
          </cell>
          <cell r="G3915">
            <v>42621</v>
          </cell>
        </row>
        <row r="3916">
          <cell r="C3916">
            <v>7357</v>
          </cell>
          <cell r="D3916" t="str">
            <v>Bordillo En Concreto De 3000 Psi De 0.20 X 0.20 Mts</v>
          </cell>
          <cell r="E3916" t="str">
            <v>ML</v>
          </cell>
          <cell r="F3916">
            <v>42550.06</v>
          </cell>
          <cell r="G3916">
            <v>42621</v>
          </cell>
        </row>
        <row r="3917">
          <cell r="C3917">
            <v>7359</v>
          </cell>
          <cell r="D3917" t="str">
            <v>Edu. Suministro E Instalacion De Balancin Para Juego De Perros Modelo Cac-04 O Similar</v>
          </cell>
          <cell r="E3917" t="str">
            <v>UN</v>
          </cell>
          <cell r="F3917">
            <v>1740000</v>
          </cell>
          <cell r="G3917">
            <v>42625</v>
          </cell>
        </row>
        <row r="3918">
          <cell r="C3918">
            <v>7361</v>
          </cell>
          <cell r="D3918" t="str">
            <v>Edu. Suministro E Instalacion De Empalizada Para Juego De Perros Modelo Cac-05 O Similares</v>
          </cell>
          <cell r="E3918" t="str">
            <v>UN</v>
          </cell>
          <cell r="F3918">
            <v>3248000</v>
          </cell>
          <cell r="G3918">
            <v>42625</v>
          </cell>
        </row>
        <row r="3919">
          <cell r="C3919">
            <v>7363</v>
          </cell>
          <cell r="D3919" t="str">
            <v>Suministro Y Siembra De Arbol Tipico De La Zona, De 3 A 5 Mts De Altura</v>
          </cell>
          <cell r="E3919" t="str">
            <v>UN</v>
          </cell>
          <cell r="F3919">
            <v>652793.59999999998</v>
          </cell>
          <cell r="G3919">
            <v>42625</v>
          </cell>
        </row>
        <row r="3920">
          <cell r="C3920">
            <v>7364</v>
          </cell>
          <cell r="D3920" t="str">
            <v>Edu. Suministro E Instalacion De Pasarela Para Juego De Perros Modelo Cac-05 O Similar</v>
          </cell>
          <cell r="E3920" t="str">
            <v>UN</v>
          </cell>
          <cell r="F3920">
            <v>3712000</v>
          </cell>
          <cell r="G3920">
            <v>42625</v>
          </cell>
        </row>
        <row r="3921">
          <cell r="C3921">
            <v>7366</v>
          </cell>
          <cell r="D3921" t="str">
            <v>Edu. Suministro E Instalacion De Rueda Para Juego De Perros Modelo Cac-07 O Similar</v>
          </cell>
          <cell r="E3921" t="str">
            <v>UN</v>
          </cell>
          <cell r="F3921">
            <v>580000</v>
          </cell>
          <cell r="G3921">
            <v>42625</v>
          </cell>
        </row>
        <row r="3922">
          <cell r="C3922">
            <v>7367</v>
          </cell>
          <cell r="D3922" t="str">
            <v>Suministro E Instalación De Sistema De Riego + Hidrantes De 1"</v>
          </cell>
          <cell r="E3922" t="str">
            <v>ML</v>
          </cell>
          <cell r="F3922">
            <v>54759.96</v>
          </cell>
          <cell r="G3922">
            <v>42625</v>
          </cell>
        </row>
        <row r="3923">
          <cell r="C3923">
            <v>7369</v>
          </cell>
          <cell r="D3923" t="str">
            <v>Edu. Suministro E Instalacion De Salto De Altura Para Juego De Perros Modelo Cac-08 O Similar</v>
          </cell>
          <cell r="E3923" t="str">
            <v>UN</v>
          </cell>
          <cell r="F3923">
            <v>745000</v>
          </cell>
          <cell r="G3923">
            <v>42632</v>
          </cell>
        </row>
        <row r="3924">
          <cell r="C3924">
            <v>7371</v>
          </cell>
          <cell r="D3924" t="str">
            <v>Edu. Suministro E Instalacion De Salto De Longitud Para Juego De Perros Modelo Cac-09 O Similar</v>
          </cell>
          <cell r="E3924" t="str">
            <v>UN</v>
          </cell>
          <cell r="F3924">
            <v>672800</v>
          </cell>
          <cell r="G3924">
            <v>42625</v>
          </cell>
        </row>
        <row r="3925">
          <cell r="C3925">
            <v>7373</v>
          </cell>
          <cell r="D3925" t="str">
            <v>Edu. Suministro E Instalacion De Slalom Para Juego De Perros Modelo Cac-10 O Similar</v>
          </cell>
          <cell r="E3925" t="str">
            <v>UN</v>
          </cell>
          <cell r="F3925">
            <v>812000</v>
          </cell>
          <cell r="G3925">
            <v>42625</v>
          </cell>
        </row>
        <row r="3926">
          <cell r="C3926">
            <v>7375</v>
          </cell>
          <cell r="D3926" t="str">
            <v>Edu. Suministro E Instalacion De Tunel Para Juego De Perros Modelo Cac-11 O Similar</v>
          </cell>
          <cell r="E3926" t="str">
            <v>UN</v>
          </cell>
          <cell r="F3926">
            <v>2204000</v>
          </cell>
          <cell r="G3926">
            <v>42625</v>
          </cell>
        </row>
        <row r="3927">
          <cell r="C3927">
            <v>7376</v>
          </cell>
          <cell r="D3927" t="str">
            <v>Edu. Terraplen Para Refuerzo Con Geosinteticos Inv 223-13, Incluye Suministro , Extendida, Nivelacion, Humedecimiento Y Compactacion E=25. (No Incluye Geosintetico) O Similar</v>
          </cell>
          <cell r="E3927" t="str">
            <v>M3</v>
          </cell>
          <cell r="F3927">
            <v>58217.36</v>
          </cell>
          <cell r="G3927">
            <v>42636</v>
          </cell>
        </row>
        <row r="3928">
          <cell r="C3928">
            <v>7379</v>
          </cell>
          <cell r="D3928" t="str">
            <v>Edu. Suministro E Instalacion De Puerta En Fibra De Vidrio</v>
          </cell>
          <cell r="E3928" t="str">
            <v>M2</v>
          </cell>
          <cell r="F3928">
            <v>298960</v>
          </cell>
          <cell r="G3928">
            <v>42628</v>
          </cell>
        </row>
        <row r="3929">
          <cell r="C3929">
            <v>7381</v>
          </cell>
          <cell r="D3929" t="str">
            <v>Edu. Suministro E Instalacion De Puerta En Fibra De Vidrio Tipo Persiana</v>
          </cell>
          <cell r="E3929" t="str">
            <v>M2</v>
          </cell>
          <cell r="F3929">
            <v>306570</v>
          </cell>
          <cell r="G3929">
            <v>42626</v>
          </cell>
        </row>
        <row r="3930">
          <cell r="C3930">
            <v>7383</v>
          </cell>
          <cell r="D3930" t="str">
            <v>Edu. Suministro E Instalacion De Estera En Acero Galavanizado Enrollable Microperforada</v>
          </cell>
          <cell r="E3930" t="str">
            <v>M2</v>
          </cell>
          <cell r="F3930">
            <v>1431720</v>
          </cell>
          <cell r="G3930">
            <v>42626</v>
          </cell>
        </row>
        <row r="3931">
          <cell r="C3931">
            <v>7385</v>
          </cell>
          <cell r="D3931" t="str">
            <v>Edu. Suministro E Instalacion De Cambiador De Bebe Horizontal Para Empotrar Tipo Ac962 Bradley O Similar</v>
          </cell>
          <cell r="E3931" t="str">
            <v>UN</v>
          </cell>
          <cell r="F3931">
            <v>5629264.2800000003</v>
          </cell>
          <cell r="G3931">
            <v>42629</v>
          </cell>
        </row>
        <row r="3932">
          <cell r="C3932">
            <v>7387</v>
          </cell>
          <cell r="D3932" t="str">
            <v>Edu. Suministro E Instalacion De Banca En Madera Mu-4 O Similar</v>
          </cell>
          <cell r="E3932" t="str">
            <v>UN</v>
          </cell>
          <cell r="F3932">
            <v>1160000</v>
          </cell>
          <cell r="G3932">
            <v>42626</v>
          </cell>
        </row>
        <row r="3933">
          <cell r="C3933">
            <v>7389</v>
          </cell>
          <cell r="D3933" t="str">
            <v>Edu. Suministro E Instalacion De B-2: Baranda Para Vacios Espacio Publico, De Altura H=1.10 M ( Ver Diseño)</v>
          </cell>
          <cell r="E3933" t="str">
            <v>ML</v>
          </cell>
          <cell r="F3933">
            <v>366670</v>
          </cell>
          <cell r="G3933">
            <v>42626</v>
          </cell>
        </row>
        <row r="3934">
          <cell r="C3934">
            <v>7396</v>
          </cell>
          <cell r="D3934" t="str">
            <v>Edu. Suministro E Instalacion De Tablestaca Sintetica Pvc Sg-950 L = 8 Metros Anclada O Similar</v>
          </cell>
          <cell r="E3934" t="str">
            <v>ML</v>
          </cell>
          <cell r="F3934">
            <v>5617803.8700000001</v>
          </cell>
          <cell r="G3934">
            <v>42626</v>
          </cell>
        </row>
        <row r="3935">
          <cell r="C3935">
            <v>7397</v>
          </cell>
          <cell r="D3935" t="str">
            <v>Edu. Suministro E Instalacion De Tablestaca Sintetica Sg-425, H=3 Metros Anclada O Similiar</v>
          </cell>
          <cell r="E3935" t="str">
            <v>ML</v>
          </cell>
          <cell r="F3935">
            <v>1288439.6100000001</v>
          </cell>
          <cell r="G3935">
            <v>42626</v>
          </cell>
        </row>
        <row r="3936">
          <cell r="C3936">
            <v>7404</v>
          </cell>
          <cell r="D3936" t="str">
            <v>Edu. Suministro, Fabricacion En Sitio E Instalacion De Geoesteras Bx 50 E=0.30 Metros</v>
          </cell>
          <cell r="E3936" t="str">
            <v>M2</v>
          </cell>
          <cell r="F3936">
            <v>75678.97</v>
          </cell>
          <cell r="G3936">
            <v>42626</v>
          </cell>
        </row>
        <row r="3937">
          <cell r="C3937">
            <v>7406</v>
          </cell>
          <cell r="D3937" t="str">
            <v>Edu. Kit De Emplame Contractil Tipo Exterior Para Cable Xlpe-1/0-15 Kv O Similar</v>
          </cell>
          <cell r="E3937" t="str">
            <v>UN</v>
          </cell>
          <cell r="F3937">
            <v>1035289.03</v>
          </cell>
          <cell r="G3937">
            <v>42626</v>
          </cell>
        </row>
        <row r="3938">
          <cell r="C3938">
            <v>7410</v>
          </cell>
          <cell r="D3938" t="str">
            <v>Edu. Suministro E Instalacion De Luminaria Led Hermetica Ip-66 De 40 W O Similar</v>
          </cell>
          <cell r="E3938" t="str">
            <v>UN</v>
          </cell>
          <cell r="F3938">
            <v>384711.42</v>
          </cell>
          <cell r="G3938">
            <v>42626</v>
          </cell>
        </row>
        <row r="3939">
          <cell r="C3939">
            <v>7414</v>
          </cell>
          <cell r="D3939" t="str">
            <v>Edu. Suministro E Instalacion De Tranformador Tipo Pad Mountefd Radial De 150 Kva Trifasico-13.2/230/127 V O Similiar</v>
          </cell>
          <cell r="E3939" t="str">
            <v>UN</v>
          </cell>
          <cell r="F3939">
            <v>23023971.780000001</v>
          </cell>
          <cell r="G3939">
            <v>42626</v>
          </cell>
        </row>
        <row r="3940">
          <cell r="C3940">
            <v>7417</v>
          </cell>
          <cell r="D3940" t="str">
            <v>Edu. Construccion De Registro De Alumbrad De 1.00X1.00X1.20 Mts  (Interno) Con Marco En Angulo  De Hierro Galvanizada En Caliente De 4"" Y Tapa De Concreto Con Refuerzo En Varilla De 3/8"</v>
          </cell>
          <cell r="E3940" t="str">
            <v>UN</v>
          </cell>
          <cell r="F3940">
            <v>547999.15</v>
          </cell>
          <cell r="G3940">
            <v>42626</v>
          </cell>
        </row>
        <row r="3941">
          <cell r="C3941">
            <v>7419</v>
          </cell>
          <cell r="D3941" t="str">
            <v>Edu. Suministro E Instalacion De Tablestaca Sintetica Sg-825 L= 6.5 Metros Anclada O Similar</v>
          </cell>
          <cell r="E3941" t="str">
            <v>ML</v>
          </cell>
          <cell r="F3941">
            <v>3464572.77</v>
          </cell>
          <cell r="G3941">
            <v>42668</v>
          </cell>
        </row>
        <row r="3942">
          <cell r="C3942">
            <v>7421</v>
          </cell>
          <cell r="D3942" t="str">
            <v>Edu.Construccion Caja De Giro En Concreto Dim  Interna ( 1.20 X 1.20*1.30 ) Mts - Con Marco En Angulo Galvanizado En Caliente Y Tapa  De Concreto En Angulo De Hierro De 4" X 3/16" Reforzada Con Varilla Corrugada De 3/8"</v>
          </cell>
          <cell r="E3942" t="str">
            <v>UN</v>
          </cell>
          <cell r="F3942">
            <v>627197.65</v>
          </cell>
          <cell r="G3942">
            <v>42626</v>
          </cell>
        </row>
        <row r="3943">
          <cell r="C3943">
            <v>7423</v>
          </cell>
          <cell r="D3943" t="str">
            <v>Edu. Suministro E Instalacion De Tablestacas Sinteticas Sg-825 L = 6 Metros Anclada O Similar</v>
          </cell>
          <cell r="E3943" t="str">
            <v>ML</v>
          </cell>
          <cell r="F3943">
            <v>3317825.39</v>
          </cell>
          <cell r="G3943">
            <v>42668</v>
          </cell>
        </row>
        <row r="3944">
          <cell r="C3944">
            <v>7426</v>
          </cell>
          <cell r="D3944" t="str">
            <v>Edu. Suministro E Instalacion De Tablestaca Sintetica Sg- 625 L = 3 Metros No Anclada O Similar</v>
          </cell>
          <cell r="E3944" t="str">
            <v>ML</v>
          </cell>
          <cell r="F3944">
            <v>1492454.58</v>
          </cell>
          <cell r="G3944">
            <v>42668</v>
          </cell>
        </row>
        <row r="3945">
          <cell r="C3945">
            <v>7435</v>
          </cell>
          <cell r="D3945" t="str">
            <v>Edu. Suministro E Instalacion De Sube Y Baja Galvanizado En Caliente Ref Gtq 6219 O Similar</v>
          </cell>
          <cell r="E3945" t="str">
            <v>UN</v>
          </cell>
          <cell r="F3945">
            <v>10565672.4</v>
          </cell>
          <cell r="G3945">
            <v>42626</v>
          </cell>
        </row>
        <row r="3946">
          <cell r="C3946">
            <v>7442</v>
          </cell>
          <cell r="D3946" t="str">
            <v>Edu. Suministro E Instalacion De Canopy Para Niños Galvanizado En Caliente Gtq 5120 O Similar</v>
          </cell>
          <cell r="E3946" t="str">
            <v>UN</v>
          </cell>
          <cell r="F3946">
            <v>55851581.549999997</v>
          </cell>
          <cell r="G3946">
            <v>42626</v>
          </cell>
        </row>
        <row r="3947">
          <cell r="C3947">
            <v>7449</v>
          </cell>
          <cell r="D3947" t="str">
            <v>Edu. Suministro E Instalacion De Estructura De Baloncesto</v>
          </cell>
          <cell r="E3947" t="str">
            <v>UN</v>
          </cell>
          <cell r="F3947">
            <v>10269480</v>
          </cell>
          <cell r="G3947">
            <v>42626</v>
          </cell>
        </row>
        <row r="3948">
          <cell r="C3948">
            <v>7454</v>
          </cell>
          <cell r="D3948" t="str">
            <v>Edu. Suministro E Instalacion De Equipamiento De Voleybol Fijo</v>
          </cell>
          <cell r="E3948" t="str">
            <v>UN</v>
          </cell>
          <cell r="F3948">
            <v>5677156</v>
          </cell>
          <cell r="G3948">
            <v>42626</v>
          </cell>
        </row>
        <row r="3949">
          <cell r="C3949">
            <v>7459</v>
          </cell>
          <cell r="D3949" t="str">
            <v>Edu. Suministro E Instalacion De Porteria De Microfutbol (Un Par) Ref Stadio 002 O Similar</v>
          </cell>
          <cell r="E3949" t="str">
            <v>UN</v>
          </cell>
          <cell r="F3949">
            <v>5987340</v>
          </cell>
          <cell r="G3949">
            <v>42626</v>
          </cell>
        </row>
        <row r="3950">
          <cell r="C3950">
            <v>7465</v>
          </cell>
          <cell r="D3950" t="str">
            <v>Edu. Suministro E Instalacion De Geotextil Tr - 4000 O Similar</v>
          </cell>
          <cell r="E3950" t="str">
            <v>M2</v>
          </cell>
          <cell r="F3950">
            <v>10600.79</v>
          </cell>
          <cell r="G3950">
            <v>42629</v>
          </cell>
        </row>
        <row r="3951">
          <cell r="C3951">
            <v>7471</v>
          </cell>
          <cell r="D3951" t="str">
            <v>Edu. Suministro E Instalacionde Tuberia De 2" Perforada Y Forrada Con Geotextil Tr 4000 O Similar</v>
          </cell>
          <cell r="E3951" t="str">
            <v>ML</v>
          </cell>
          <cell r="F3951">
            <v>23021.54</v>
          </cell>
          <cell r="G3951">
            <v>42629</v>
          </cell>
        </row>
        <row r="3952">
          <cell r="C3952">
            <v>7480</v>
          </cell>
          <cell r="D3952" t="str">
            <v>Edu. Suministro E Instalacion De Cesped Sintetico De Paisajismo, Incluye Capa De 15 Cm De Suelo Cemento</v>
          </cell>
          <cell r="E3952" t="str">
            <v>M2</v>
          </cell>
          <cell r="F3952">
            <v>78628.94</v>
          </cell>
          <cell r="G3952">
            <v>42629</v>
          </cell>
        </row>
        <row r="3953">
          <cell r="C3953">
            <v>7511</v>
          </cell>
          <cell r="D3953" t="str">
            <v>Edu. Suministro E Instalacion De Cesped Sintetico Deportivo. Incluye Capa De 15 Cm De Suelo Cemento Y 10 Cm De Caucho</v>
          </cell>
          <cell r="E3953" t="str">
            <v>M2</v>
          </cell>
          <cell r="F3953">
            <v>287661.26</v>
          </cell>
          <cell r="G3953">
            <v>42629</v>
          </cell>
        </row>
        <row r="3954">
          <cell r="C3954">
            <v>7514</v>
          </cell>
          <cell r="D3954" t="str">
            <v>Edu. Suministro E Instalacion De Superficie De Meson Para Lavamano En Granito Con Estructura De Soporte En Acero</v>
          </cell>
          <cell r="E3954" t="str">
            <v>M2</v>
          </cell>
          <cell r="F3954">
            <v>379000</v>
          </cell>
          <cell r="G3954">
            <v>42627</v>
          </cell>
        </row>
        <row r="3955">
          <cell r="C3955">
            <v>7516</v>
          </cell>
          <cell r="D3955" t="str">
            <v>Edu. Suministro E Instalacion De Piso De Madera Teca Para Mirador</v>
          </cell>
          <cell r="E3955" t="str">
            <v>M2</v>
          </cell>
          <cell r="F3955">
            <v>212100</v>
          </cell>
          <cell r="G3955">
            <v>42627</v>
          </cell>
        </row>
        <row r="3956">
          <cell r="C3956">
            <v>7519</v>
          </cell>
          <cell r="D3956" t="str">
            <v>Edu. Suministro E Instalacion De Caneca Antivandalica Galvanizada En Caliente Mu-5</v>
          </cell>
          <cell r="E3956" t="str">
            <v>UN</v>
          </cell>
          <cell r="F3956">
            <v>232000</v>
          </cell>
          <cell r="G3956">
            <v>42627</v>
          </cell>
        </row>
        <row r="3957">
          <cell r="C3957">
            <v>7521</v>
          </cell>
          <cell r="D3957" t="str">
            <v>Edu. Suministro E Instalacion De Bicicletero Galvanizado En Caliente Mu-6 Segun Detalle Especifico. Incluye Suministro, Instalacion Y Base En Concreto</v>
          </cell>
          <cell r="E3957" t="str">
            <v>UN</v>
          </cell>
          <cell r="F3957">
            <v>515206.88</v>
          </cell>
          <cell r="G3957">
            <v>42629</v>
          </cell>
        </row>
        <row r="3958">
          <cell r="C3958">
            <v>7523</v>
          </cell>
          <cell r="D3958" t="str">
            <v>Edu. Suministro E Instalacion De Mesa Y Bancas Prefabricadas En Hierro Y Concreto Ref Gt677 O Similar Para Plaza De Cafeteria (Ver Diseño)</v>
          </cell>
          <cell r="E3958" t="str">
            <v>UN</v>
          </cell>
          <cell r="F3958">
            <v>4776455.07</v>
          </cell>
          <cell r="G3958">
            <v>42629</v>
          </cell>
        </row>
        <row r="3959">
          <cell r="C3959">
            <v>7525</v>
          </cell>
          <cell r="D3959" t="str">
            <v>Edu. Suministro E Instalacion De Kit De Herramientas Para Bicicletas</v>
          </cell>
          <cell r="E3959" t="str">
            <v>UN</v>
          </cell>
          <cell r="F3959">
            <v>1770158.29</v>
          </cell>
          <cell r="G3959">
            <v>42629</v>
          </cell>
        </row>
        <row r="3960">
          <cell r="C3960">
            <v>7526</v>
          </cell>
          <cell r="D3960" t="str">
            <v>Edu. Suministro E Instalacion De Gravilla Triturada Compactada Para Senderos Peatonales, E = 0.05 Metros</v>
          </cell>
          <cell r="E3960" t="str">
            <v>M3</v>
          </cell>
          <cell r="F3960">
            <v>81085.5</v>
          </cell>
          <cell r="G3960">
            <v>42629</v>
          </cell>
        </row>
        <row r="3961">
          <cell r="C3961">
            <v>7527</v>
          </cell>
          <cell r="D3961" t="str">
            <v>Edu. Piso En Concreto De F´C= 3000 Psi Con Acabado Pulido Sobre Suelo E = 0.15 Metros. Incluye : Suministro, Fundida Y Curado</v>
          </cell>
          <cell r="E3961" t="str">
            <v>M2</v>
          </cell>
          <cell r="F3961">
            <v>88448.85</v>
          </cell>
          <cell r="G3961">
            <v>42633</v>
          </cell>
        </row>
        <row r="3962">
          <cell r="C3962">
            <v>7533</v>
          </cell>
          <cell r="D3962" t="str">
            <v>Edu. Piso De Concreto De F´C= 28 Mpa (4000 Psi). Incluye: Formaleta, Vaciado Y Curado. No Incluye Acero De Refuerzo</v>
          </cell>
          <cell r="E3962" t="str">
            <v>M3</v>
          </cell>
          <cell r="F3962">
            <v>610863.35</v>
          </cell>
          <cell r="G3962">
            <v>42633</v>
          </cell>
        </row>
        <row r="3963">
          <cell r="C3963">
            <v>7534</v>
          </cell>
          <cell r="D3963" t="str">
            <v>Edu. Concreto Losa Aligerada E=0.22 Metros, F'C=28 Mpa 4000 Psi</v>
          </cell>
          <cell r="E3963" t="str">
            <v>M2</v>
          </cell>
          <cell r="F3963">
            <v>119895.27</v>
          </cell>
          <cell r="G3963">
            <v>42629</v>
          </cell>
        </row>
        <row r="3964">
          <cell r="C3964">
            <v>7535</v>
          </cell>
          <cell r="D3964" t="str">
            <v>Edu. Mu - 3 Banca De Concreto Fundido En Sitio Con Espaldar - Tipo Esquinero</v>
          </cell>
          <cell r="E3964" t="str">
            <v>UN</v>
          </cell>
          <cell r="F3964">
            <v>568240.9</v>
          </cell>
          <cell r="G3964">
            <v>42629</v>
          </cell>
        </row>
        <row r="3965">
          <cell r="C3965">
            <v>7537</v>
          </cell>
          <cell r="D3965" t="str">
            <v>Edu. Mu - 2: Banca De Concreto Fundido En Sitio Sin Espaldar</v>
          </cell>
          <cell r="E3965" t="str">
            <v>UN</v>
          </cell>
          <cell r="F3965">
            <v>401787.55</v>
          </cell>
          <cell r="G3965">
            <v>42629</v>
          </cell>
        </row>
        <row r="3966">
          <cell r="C3966">
            <v>7538</v>
          </cell>
          <cell r="D3966" t="str">
            <v>Edu. Banca Prefabricada En Talud. Incluye Suministro, Formaleta, Vaciado Y Curado</v>
          </cell>
          <cell r="E3966" t="str">
            <v>UN</v>
          </cell>
          <cell r="F3966">
            <v>234945.87</v>
          </cell>
          <cell r="G3966">
            <v>42629</v>
          </cell>
        </row>
        <row r="3967">
          <cell r="C3967">
            <v>7541</v>
          </cell>
          <cell r="D3967" t="str">
            <v>Edu. Suministro E Instalacion De Enchape Con Acabado Entrablillado</v>
          </cell>
          <cell r="E3967" t="str">
            <v>M2</v>
          </cell>
          <cell r="F3967">
            <v>222055.67</v>
          </cell>
          <cell r="G3967">
            <v>42629</v>
          </cell>
        </row>
        <row r="3968">
          <cell r="C3968">
            <v>7542</v>
          </cell>
          <cell r="D3968" t="str">
            <v>Edu. Suministro E Instalacion De Mesa Y Bancas Prefabricadas En Concreto Para Plaza De Juegos (Ver Diseño)</v>
          </cell>
          <cell r="E3968" t="str">
            <v>UN</v>
          </cell>
          <cell r="F3968">
            <v>441107.5</v>
          </cell>
          <cell r="G3968">
            <v>42629</v>
          </cell>
        </row>
        <row r="3969">
          <cell r="C3969">
            <v>7545</v>
          </cell>
          <cell r="D3969" t="str">
            <v>Edu. Mu-8 Alcorques Cuadrados De 1.6 X 1.6 M</v>
          </cell>
          <cell r="E3969" t="str">
            <v>UN</v>
          </cell>
          <cell r="F3969">
            <v>1518228.32</v>
          </cell>
          <cell r="G3969">
            <v>42629</v>
          </cell>
        </row>
        <row r="3970">
          <cell r="C3970">
            <v>7548</v>
          </cell>
          <cell r="D3970" t="str">
            <v>Edu. Mu-10 Alcorques Circulares</v>
          </cell>
          <cell r="E3970" t="str">
            <v>UN</v>
          </cell>
          <cell r="F3970">
            <v>1275060.6100000001</v>
          </cell>
          <cell r="G3970">
            <v>42629</v>
          </cell>
        </row>
        <row r="3971">
          <cell r="C3971">
            <v>7549</v>
          </cell>
          <cell r="D3971" t="str">
            <v>Edu. Relleno Para Estructura Inv. 610-13 Incluye Suministro, Extendida, Nivelacion, Humedecimiento Y Compactacion E=25</v>
          </cell>
          <cell r="E3971" t="str">
            <v>M3</v>
          </cell>
          <cell r="F3971">
            <v>132089</v>
          </cell>
          <cell r="G3971">
            <v>42629</v>
          </cell>
        </row>
        <row r="3972">
          <cell r="C3972">
            <v>7551</v>
          </cell>
          <cell r="D3972" t="str">
            <v>Edu. Suministro E Instalacion De Sistemas De Confinamiento Celular De Nanofibras De Polimero-Neoweb 330 X 120 Tipo D De 2.50X8.00 M Neoloy O Similar</v>
          </cell>
          <cell r="E3972" t="str">
            <v>M2</v>
          </cell>
          <cell r="F3972">
            <v>41796.9</v>
          </cell>
          <cell r="G3972">
            <v>42632</v>
          </cell>
        </row>
        <row r="3973">
          <cell r="C3973">
            <v>7554</v>
          </cell>
          <cell r="D3973" t="str">
            <v>Edu. Excavacion Para Micropilotes Pre-Excavados, Rellenos En Concreto De 5000 Psi. Incluye Retiro De Material</v>
          </cell>
          <cell r="E3973" t="str">
            <v>ML</v>
          </cell>
          <cell r="F3973">
            <v>104425.5</v>
          </cell>
          <cell r="G3973">
            <v>42632</v>
          </cell>
        </row>
        <row r="3974">
          <cell r="C3974">
            <v>7556</v>
          </cell>
          <cell r="D3974" t="str">
            <v>Edu. Piso De Concreto A/C= 0.5 Con Acabado Texturizado. Incluye: Suministro, Instalacion,Formaleta Y Curado</v>
          </cell>
          <cell r="E3974" t="str">
            <v>M3</v>
          </cell>
          <cell r="F3974">
            <v>742317.8</v>
          </cell>
          <cell r="G3974">
            <v>42633</v>
          </cell>
        </row>
        <row r="3975">
          <cell r="C3975">
            <v>7557</v>
          </cell>
          <cell r="D3975" t="str">
            <v>Edu. Equipo De Bombeo Sumergible: Q= 6.7 Lps, Hdt = 23M Incluido 2 Equipos De Bombeo, Tuberias Y Accesorio, Estacion Prefabricada, Tablero Control E Instalacion (Ver Cotizacion Anexa)</v>
          </cell>
          <cell r="E3975" t="str">
            <v>GL</v>
          </cell>
          <cell r="F3975">
            <v>128432095</v>
          </cell>
          <cell r="G3975">
            <v>42633</v>
          </cell>
        </row>
        <row r="3976">
          <cell r="C3976">
            <v>7560</v>
          </cell>
          <cell r="D3976" t="str">
            <v>Edu. Cruce De La Vía 40 Con Equipo Mecánico De Perforación Horizontal De Percusión O Rotación (Topo)</v>
          </cell>
          <cell r="E3976" t="str">
            <v>ML</v>
          </cell>
          <cell r="F3976">
            <v>320000</v>
          </cell>
          <cell r="G3976">
            <v>42633</v>
          </cell>
        </row>
        <row r="3977">
          <cell r="C3977">
            <v>7577</v>
          </cell>
          <cell r="D3977" t="str">
            <v>Edu. Modulo De Vendedores Estacionarios En Acero Galvanizado (4 Unidades Por Modulo). Incluye: Cubierta, Muebles Fijos Y Moviles</v>
          </cell>
          <cell r="E3977" t="str">
            <v>UN</v>
          </cell>
          <cell r="F3977">
            <v>15339555.02</v>
          </cell>
          <cell r="G3977">
            <v>42633</v>
          </cell>
        </row>
        <row r="3978">
          <cell r="C3978">
            <v>7579</v>
          </cell>
          <cell r="D3978" t="str">
            <v>Edu. Suministro E Instalacion De Piso De Caucho. Incluye Capa De 15 Cm De Suelo Cemento</v>
          </cell>
          <cell r="E3978" t="str">
            <v>M2</v>
          </cell>
          <cell r="F3978">
            <v>213814</v>
          </cell>
          <cell r="G3978">
            <v>42633</v>
          </cell>
        </row>
        <row r="3979">
          <cell r="C3979">
            <v>7587</v>
          </cell>
          <cell r="D3979" t="str">
            <v>Edu Pozo De Inspeccion 1.80 Mts &lt; H &lt;= 3.00 Mts Para Tuberías De Diámetros Entre Los 200 Mm (8 Pulgadas) Y 400 Mm (16 Pulgadas), Diámetro Del Cilindro 1,20 M.</v>
          </cell>
          <cell r="E3979" t="str">
            <v>UN</v>
          </cell>
          <cell r="F3979">
            <v>4083137.27</v>
          </cell>
          <cell r="G3979">
            <v>42691</v>
          </cell>
        </row>
        <row r="3980">
          <cell r="C3980">
            <v>7590</v>
          </cell>
          <cell r="D3980" t="str">
            <v>Edu. Suministro De Tubería En Polietileno De Alta Densidad  Pead 75 Mm Pn 10 Pe 100  Para La Acometida De Agua Desde Red Acueducto Existente</v>
          </cell>
          <cell r="E3980" t="str">
            <v>ML</v>
          </cell>
          <cell r="F3980">
            <v>16283</v>
          </cell>
          <cell r="G3980">
            <v>42642</v>
          </cell>
        </row>
        <row r="3981">
          <cell r="C3981">
            <v>7592</v>
          </cell>
          <cell r="D3981" t="str">
            <v>Edu. Suministro De Tubería En Polietileno De Alta Densidad  Pead 63 Mm Pn 10 Pe 100 Para La Acometida De Agua Desde Red Acueducto Existente.</v>
          </cell>
          <cell r="E3981" t="str">
            <v>ML</v>
          </cell>
          <cell r="F3981">
            <v>11841</v>
          </cell>
          <cell r="G3981">
            <v>42642</v>
          </cell>
        </row>
        <row r="3982">
          <cell r="C3982">
            <v>7593</v>
          </cell>
          <cell r="D3982" t="str">
            <v>Edu. Instalación De Tubería Y Accesorios A Presion Pead Diámetro 75 Mm De La Acometida, Bajo Cualquier Condición De Humedad</v>
          </cell>
          <cell r="E3982" t="str">
            <v>ML</v>
          </cell>
          <cell r="F3982">
            <v>7408.72</v>
          </cell>
          <cell r="G3982">
            <v>42642</v>
          </cell>
        </row>
        <row r="3983">
          <cell r="C3983">
            <v>7595</v>
          </cell>
          <cell r="D3983" t="str">
            <v>Edu. Suministro E Instalacion De Sistema De Confinamiento Celular De Nanofibras De Polimero-Neoweb 330 X 120 Tipo B De 2.50 X 8.00 M Neoloy O Similar</v>
          </cell>
          <cell r="E3983" t="str">
            <v>M2</v>
          </cell>
          <cell r="F3983">
            <v>46423.5</v>
          </cell>
          <cell r="G3983">
            <v>42642</v>
          </cell>
        </row>
        <row r="3984">
          <cell r="C3984">
            <v>7596</v>
          </cell>
          <cell r="D3984" t="str">
            <v>Edu. Instalación De Tubería Y Accesorios A Presion Pead Diámetro 63 Mm De La Acometida, Bajo Cualquier Condición De Humedad</v>
          </cell>
          <cell r="E3984" t="str">
            <v>ML</v>
          </cell>
          <cell r="F3984">
            <v>6960.43</v>
          </cell>
          <cell r="G3984">
            <v>42642</v>
          </cell>
        </row>
        <row r="3985">
          <cell r="C3985">
            <v>7599</v>
          </cell>
          <cell r="D3985" t="str">
            <v>Edu. Colocacion De Malla Electrosoldada D = 6 Mm Con Separacion De 0.15 Mts</v>
          </cell>
          <cell r="E3985" t="str">
            <v>KG</v>
          </cell>
          <cell r="F3985">
            <v>4343.8599999999997</v>
          </cell>
          <cell r="G3985">
            <v>42643</v>
          </cell>
        </row>
        <row r="3986">
          <cell r="C3986">
            <v>7600</v>
          </cell>
          <cell r="D3986" t="str">
            <v>Edu. Colocacion De Malla Electrosoldada D = 7 Mm Con Separacion De 0.15 Mts</v>
          </cell>
          <cell r="E3986" t="str">
            <v>KG</v>
          </cell>
          <cell r="F3986">
            <v>4343.8599999999997</v>
          </cell>
          <cell r="G3986">
            <v>42643</v>
          </cell>
        </row>
        <row r="3987">
          <cell r="C3987">
            <v>7602</v>
          </cell>
          <cell r="D3987" t="str">
            <v>Edu. Suministro E Instalacion De Circuito De Actividad Fisica Para Jovenes</v>
          </cell>
          <cell r="E3987" t="str">
            <v>UN</v>
          </cell>
          <cell r="F3987">
            <v>223151956.19999999</v>
          </cell>
          <cell r="G3987">
            <v>42642</v>
          </cell>
        </row>
        <row r="3988">
          <cell r="C3988">
            <v>7604</v>
          </cell>
          <cell r="D3988" t="str">
            <v>Edu. Suministro E Instalacion De Juego Para Escalar Piramida</v>
          </cell>
          <cell r="E3988" t="str">
            <v>UN</v>
          </cell>
          <cell r="F3988">
            <v>99089145.269999996</v>
          </cell>
          <cell r="G3988">
            <v>42642</v>
          </cell>
        </row>
        <row r="3989">
          <cell r="C3989">
            <v>7606</v>
          </cell>
          <cell r="D3989" t="str">
            <v>Edu. Suministro E Instalacion De Dispensador Para Perros</v>
          </cell>
          <cell r="E3989" t="str">
            <v>UN</v>
          </cell>
          <cell r="F3989">
            <v>2091583.83</v>
          </cell>
          <cell r="G3989">
            <v>42642</v>
          </cell>
        </row>
        <row r="3990">
          <cell r="C3990">
            <v>7608</v>
          </cell>
          <cell r="D3990" t="str">
            <v>Edu. Suministro E Instalacion De Mesa Para Juego De Perros</v>
          </cell>
          <cell r="E3990" t="str">
            <v>UN</v>
          </cell>
          <cell r="F3990">
            <v>4330913.58</v>
          </cell>
          <cell r="G3990">
            <v>42642</v>
          </cell>
        </row>
        <row r="3991">
          <cell r="C3991">
            <v>7610</v>
          </cell>
          <cell r="D3991" t="str">
            <v>Edu. Suministro E Instalacion De Juego Para Escalar Tipo Estrella Ref Gtq6415 O Similar</v>
          </cell>
          <cell r="E3991" t="str">
            <v>UN</v>
          </cell>
          <cell r="F3991">
            <v>14944763.82</v>
          </cell>
          <cell r="G3991">
            <v>42642</v>
          </cell>
        </row>
        <row r="3992">
          <cell r="C3992">
            <v>7613</v>
          </cell>
          <cell r="D3992" t="str">
            <v>Edu. Proteccion Flexocreto 6000 O Similar,. Incluye Instalacion Y Relleno En Sitio Con Mortero Fluido F'C= 2500 Psi</v>
          </cell>
          <cell r="E3992" t="str">
            <v>M2</v>
          </cell>
          <cell r="F3992">
            <v>61369.08</v>
          </cell>
          <cell r="G3992">
            <v>42642</v>
          </cell>
        </row>
        <row r="3993">
          <cell r="C3993">
            <v>7615</v>
          </cell>
          <cell r="D3993" t="str">
            <v>Edu. Concreto Para Box Coulvert De 4500 Psi, No Incluye Acero De Refuerzo (Ver Diseño)</v>
          </cell>
          <cell r="E3993" t="str">
            <v>M3</v>
          </cell>
          <cell r="F3993">
            <v>726490.57</v>
          </cell>
          <cell r="G3993">
            <v>42643</v>
          </cell>
        </row>
        <row r="3994">
          <cell r="C3994">
            <v>7616</v>
          </cell>
          <cell r="D3994" t="str">
            <v>Edu. Piso De Concreto De F´C= 28 Mpa (4000 Psi) E = 0.21 Mts. Incluye: Formaleta,  Vaciado  Y  Curado. No  Incluye  Acero  De Refuerzo</v>
          </cell>
          <cell r="E3994" t="str">
            <v>M2</v>
          </cell>
          <cell r="F3994">
            <v>124241.08</v>
          </cell>
          <cell r="G3994">
            <v>42643</v>
          </cell>
        </row>
        <row r="3995">
          <cell r="C3995">
            <v>7617</v>
          </cell>
          <cell r="D3995" t="str">
            <v>Edu. Piso De Concreto De F´C= 28 Mpa (4000 Psi) E = 0.22 Mts. Incluye: Formaleta,  Vaciado  Y  Curado. No  Incluye  Acero  De Refuerzo</v>
          </cell>
          <cell r="E3995" t="str">
            <v>M2</v>
          </cell>
          <cell r="F3995">
            <v>130157.33</v>
          </cell>
          <cell r="G3995">
            <v>42643</v>
          </cell>
        </row>
        <row r="3996">
          <cell r="C3996">
            <v>7618</v>
          </cell>
          <cell r="D3996" t="str">
            <v>Edu. Concreto Para Box Coulvert De 5000 Psi, No Incluye Acero De Refuerzo (Ver Diseño)</v>
          </cell>
          <cell r="E3996" t="str">
            <v>M3</v>
          </cell>
          <cell r="F3996">
            <v>746388.07</v>
          </cell>
          <cell r="G3996">
            <v>42643</v>
          </cell>
        </row>
        <row r="3997">
          <cell r="C3997">
            <v>7620</v>
          </cell>
          <cell r="D3997" t="str">
            <v>Edu. Suministro E Instalación De Cable Thw Cobre Forrado, 90°C -Awg 2</v>
          </cell>
          <cell r="E3997" t="str">
            <v>ML</v>
          </cell>
          <cell r="F3997">
            <v>15467.94</v>
          </cell>
          <cell r="G3997">
            <v>42643</v>
          </cell>
        </row>
        <row r="3998">
          <cell r="C3998">
            <v>7621</v>
          </cell>
          <cell r="D3998" t="str">
            <v>Edu. Pozo De Inspeccion H &gt; 3,00 Mts</v>
          </cell>
          <cell r="E3998" t="str">
            <v>UN</v>
          </cell>
          <cell r="F3998">
            <v>6057212.9100000001</v>
          </cell>
          <cell r="G3998">
            <v>42643</v>
          </cell>
        </row>
        <row r="3999">
          <cell r="C3999">
            <v>7622</v>
          </cell>
          <cell r="D3999" t="str">
            <v>Edu. Mu-1 Banca En Concreto Prefabricada Con Espaldar</v>
          </cell>
          <cell r="E3999" t="str">
            <v>UN</v>
          </cell>
          <cell r="F3999">
            <v>606803.86</v>
          </cell>
          <cell r="G3999">
            <v>42643</v>
          </cell>
        </row>
        <row r="4000">
          <cell r="C4000">
            <v>7623</v>
          </cell>
          <cell r="D4000" t="str">
            <v>Error</v>
          </cell>
          <cell r="E4000" t="str">
            <v>M3</v>
          </cell>
          <cell r="F4000">
            <v>156635</v>
          </cell>
          <cell r="G4000">
            <v>42643</v>
          </cell>
        </row>
        <row r="4001">
          <cell r="C4001">
            <v>7625</v>
          </cell>
          <cell r="D4001" t="str">
            <v>Edu. Micropilotes Inyectados. Incluye Excavación, Tubería De Refuerzo, Relleno De La Cavidad Con Lechada Primaria E Inyección Con Lechada Secundaria (Incluye Pala Auxiliar).</v>
          </cell>
          <cell r="E4001" t="str">
            <v>ML</v>
          </cell>
          <cell r="F4001">
            <v>107051.32</v>
          </cell>
          <cell r="G4001">
            <v>42646</v>
          </cell>
        </row>
        <row r="4002">
          <cell r="C4002">
            <v>7626</v>
          </cell>
          <cell r="D4002" t="str">
            <v>Edu. Descapote Y Limpieza A Máquina Y Adecuación Con Compactación Del Terreno Existente, Incluye Retiro De Material E= 0.50</v>
          </cell>
          <cell r="E4002" t="str">
            <v>M2</v>
          </cell>
          <cell r="F4002">
            <v>19202.71</v>
          </cell>
          <cell r="G4002">
            <v>42667</v>
          </cell>
        </row>
        <row r="4003">
          <cell r="C4003">
            <v>7627</v>
          </cell>
          <cell r="D4003" t="str">
            <v>Edu. Pilotes En Concreto Preexcavados    F'C=4000 Psi    D=0.80M. No Incluye Acero De Refuerzo</v>
          </cell>
          <cell r="E4003" t="str">
            <v>ML</v>
          </cell>
          <cell r="F4003">
            <v>630358.98</v>
          </cell>
          <cell r="G4003">
            <v>42667</v>
          </cell>
        </row>
        <row r="4004">
          <cell r="C4004">
            <v>7628</v>
          </cell>
          <cell r="D4004" t="str">
            <v>Edu. Excavacion A Maquina Y Retiro De Materiales A Una Distancia Superior A Los 20 Km.</v>
          </cell>
          <cell r="E4004" t="str">
            <v>M3</v>
          </cell>
          <cell r="F4004">
            <v>14460</v>
          </cell>
          <cell r="G4004">
            <v>42667</v>
          </cell>
        </row>
        <row r="4005">
          <cell r="C4005">
            <v>7631</v>
          </cell>
          <cell r="D4005" t="str">
            <v>Edu.  Suministro E Instalacion De Cable De Aluminio Forrado Nº 4 Awg - Aislamiento Thw -90º</v>
          </cell>
          <cell r="E4005" t="str">
            <v>ML</v>
          </cell>
          <cell r="F4005">
            <v>4486.1400000000003</v>
          </cell>
          <cell r="G4005">
            <v>42668</v>
          </cell>
        </row>
        <row r="4006">
          <cell r="C4006">
            <v>7634</v>
          </cell>
          <cell r="D4006" t="str">
            <v>Edu. Suministro E Instalacion De Tranformador Tipo Pad Mounted De 112.5 Kva Trifásico- 13.2/230/127 V  Configuracion En Anillo -- (Incluye Gabinete De Protecciones, Barraje De Cobre, Interruptores Industriales, Terminales Premoldeados Tipo Codo,Anclaje, Mallas A Tierra,  Dps,Pruebas Y Puesta En Servico</v>
          </cell>
          <cell r="E4006" t="str">
            <v>UN</v>
          </cell>
          <cell r="F4006">
            <v>22692215.539999999</v>
          </cell>
          <cell r="G4006">
            <v>42668</v>
          </cell>
        </row>
        <row r="4007">
          <cell r="C4007">
            <v>7636</v>
          </cell>
          <cell r="D4007" t="str">
            <v>Edu. Suministro E Instalacion De Tranformador Tipo Pad Mounted De 75 Kva Monofásico- 13.2/230/127 V  -- (Incluye Gabinete De Protecciones, Barraje De Cobre, Interruptores Industriales, Terminales Premoldeados Tipo Codo,Anclaje, Mallas A Tierra, Pruebas Y Puesta En Servico</v>
          </cell>
          <cell r="E4007" t="str">
            <v>UN</v>
          </cell>
          <cell r="F4007">
            <v>17348027.100000001</v>
          </cell>
          <cell r="G4007">
            <v>42668</v>
          </cell>
        </row>
        <row r="4008">
          <cell r="C4008">
            <v>7637</v>
          </cell>
          <cell r="D4008" t="str">
            <v>Edu. Suministro E Instalacion De Cable De Aluminio Forrado N°2 Awg - Aislamiento Thw-90°</v>
          </cell>
          <cell r="E4008" t="str">
            <v>ML</v>
          </cell>
          <cell r="F4008">
            <v>5369.14</v>
          </cell>
          <cell r="G4008">
            <v>42668</v>
          </cell>
        </row>
        <row r="4009">
          <cell r="C4009">
            <v>7639</v>
          </cell>
          <cell r="D4009" t="str">
            <v>Edu. Kit De Empalme En Gel Para Baja Tensión De 6 - 6</v>
          </cell>
          <cell r="E4009" t="str">
            <v>UN</v>
          </cell>
          <cell r="F4009">
            <v>85465.16</v>
          </cell>
          <cell r="G4009">
            <v>42668</v>
          </cell>
        </row>
        <row r="4010">
          <cell r="C4010">
            <v>7640</v>
          </cell>
          <cell r="D4010" t="str">
            <v>Edu. Suministro E Instalacion De Cable De Cobre Forrado Nº 8 Awg- Aislamiento Thw º</v>
          </cell>
          <cell r="E4010" t="str">
            <v>ML</v>
          </cell>
          <cell r="F4010">
            <v>4009.99</v>
          </cell>
          <cell r="G4010">
            <v>42668</v>
          </cell>
        </row>
        <row r="4011">
          <cell r="C4011">
            <v>7643</v>
          </cell>
          <cell r="D4011" t="str">
            <v>Edu. Sumunistro E Instalación De Poste Acero Galvanizado En Caliente De 9 Mts. De Altura Libre,  En Lamina De Acero, Acabado Final En Pintura De Pioluretano  Para Exteriores Ral 7035, Doble Proposito Incluye Dos Brazos Tipo Cercha De 2.00 M, Anclaje De Concreto  De Concreto Y Pedestal</v>
          </cell>
          <cell r="E4011" t="str">
            <v>UN</v>
          </cell>
          <cell r="F4011">
            <v>2688438.74</v>
          </cell>
          <cell r="G4011">
            <v>42668</v>
          </cell>
        </row>
        <row r="4012">
          <cell r="C4012">
            <v>7647</v>
          </cell>
          <cell r="D4012" t="str">
            <v>Edu. Suministro E Instalacion De Luminaria  Tipo At*Down 30 Cw- Con Sistema De Encendido Automatico Y Accesorios Para Su Instalacion(Cajas Octogonales, Adaptadores, Sensor De Movimiento, Interrruptores)</v>
          </cell>
          <cell r="E4012" t="str">
            <v>UN</v>
          </cell>
          <cell r="F4012">
            <v>194267.01</v>
          </cell>
          <cell r="G4012">
            <v>42668</v>
          </cell>
        </row>
        <row r="4013">
          <cell r="C4013">
            <v>7650</v>
          </cell>
          <cell r="D4013" t="str">
            <v>Edu. Micropilotes Inyectados. Incluye Excavación, Colocación Del Acero Y Tubería De Refuerzo, Relleno De La Cavidad Con Lechada Primaria E Inyección Con Lechada Secundaria.</v>
          </cell>
          <cell r="E4013" t="str">
            <v>ML</v>
          </cell>
          <cell r="F4013">
            <v>237010.03</v>
          </cell>
          <cell r="G4013">
            <v>42668</v>
          </cell>
        </row>
        <row r="4014">
          <cell r="C4014">
            <v>7651</v>
          </cell>
          <cell r="D4014" t="str">
            <v>Zapata  Y  Pedestal  En  Concreto  De  3500  Psi  Premezclado, No Incluye Acero De Refuerzo</v>
          </cell>
          <cell r="E4014" t="str">
            <v>M3</v>
          </cell>
          <cell r="F4014">
            <v>463317.23</v>
          </cell>
          <cell r="G4014">
            <v>42669</v>
          </cell>
        </row>
        <row r="4015">
          <cell r="C4015">
            <v>7652</v>
          </cell>
          <cell r="D4015" t="str">
            <v>Viga De Cimiento En Concreto De 3500 Psi, No Incluye Acero De Refuerzo</v>
          </cell>
          <cell r="E4015" t="str">
            <v>M3</v>
          </cell>
          <cell r="F4015">
            <v>587163.63</v>
          </cell>
          <cell r="G4015">
            <v>42669</v>
          </cell>
        </row>
        <row r="4016">
          <cell r="C4016">
            <v>7653</v>
          </cell>
          <cell r="D4016" t="str">
            <v>Levante  De  Muro  En  Bloque  De  Concreto Abuzardado (Split)  De  0.20  X 0.20 X 0.40 Metros, Mortero De Pega 1:4</v>
          </cell>
          <cell r="E4016" t="str">
            <v>M2</v>
          </cell>
          <cell r="F4016">
            <v>61335.91</v>
          </cell>
          <cell r="G4016">
            <v>42669</v>
          </cell>
        </row>
        <row r="4017">
          <cell r="C4017">
            <v>7655</v>
          </cell>
          <cell r="D4017" t="str">
            <v>Piso En Ceramica Fortaleza Blanco De 0.33 X 0.33 Metros O Similar</v>
          </cell>
          <cell r="E4017" t="str">
            <v>M2</v>
          </cell>
          <cell r="F4017">
            <v>47305.21</v>
          </cell>
          <cell r="G4017">
            <v>42670</v>
          </cell>
        </row>
        <row r="4018">
          <cell r="C4018">
            <v>7657</v>
          </cell>
          <cell r="D4018" t="str">
            <v>Enchape Pared Egeo Blanco De 0.30 X 0.60 Metros  O Similar   (Incluye Pega, Biselada, Win De Aluminio Y Emboquillada)</v>
          </cell>
          <cell r="E4018" t="str">
            <v>M2</v>
          </cell>
          <cell r="F4018">
            <v>61333.25</v>
          </cell>
          <cell r="G4018">
            <v>42676</v>
          </cell>
        </row>
        <row r="4019">
          <cell r="C4019">
            <v>7658</v>
          </cell>
          <cell r="D4019" t="str">
            <v>Ns. Acabado De Losa En Concreto Con Equipo Mecanico, Incluye Endurecedor, Juntas De Dilatación Y Acabado Final Esmaltado.</v>
          </cell>
          <cell r="E4019" t="str">
            <v>M2</v>
          </cell>
          <cell r="F4019">
            <v>12000</v>
          </cell>
          <cell r="G4019">
            <v>42670</v>
          </cell>
        </row>
        <row r="4020">
          <cell r="C4020">
            <v>7659</v>
          </cell>
          <cell r="D4020" t="str">
            <v>Ns. Cerramiento En Malla Eslabonada Galv # 12 Rombo 1.1/2"</v>
          </cell>
          <cell r="E4020" t="str">
            <v>M2</v>
          </cell>
          <cell r="F4020">
            <v>52720</v>
          </cell>
          <cell r="G4020">
            <v>42670</v>
          </cell>
        </row>
        <row r="4021">
          <cell r="C4021">
            <v>7661</v>
          </cell>
          <cell r="D4021" t="str">
            <v>Ns. Demolicion Y Retiro De Material Sobrante En Volqueta</v>
          </cell>
          <cell r="E4021" t="str">
            <v>GL</v>
          </cell>
          <cell r="F4021">
            <v>80000000</v>
          </cell>
          <cell r="G4021">
            <v>42670</v>
          </cell>
        </row>
        <row r="4022">
          <cell r="C4022">
            <v>7662</v>
          </cell>
          <cell r="D4022" t="str">
            <v>Ns. Piso En Madera Laminada (Taller De Danza)</v>
          </cell>
          <cell r="E4022" t="str">
            <v>M2</v>
          </cell>
          <cell r="F4022">
            <v>105000</v>
          </cell>
          <cell r="G4022">
            <v>42670</v>
          </cell>
        </row>
        <row r="4023">
          <cell r="C4023">
            <v>7663</v>
          </cell>
          <cell r="D4023" t="str">
            <v>Ns. Limpieza Muros, Resane Y Sellado De Muros De Fachada En Ladrillo A La Vista</v>
          </cell>
          <cell r="E4023" t="str">
            <v>M2</v>
          </cell>
          <cell r="F4023">
            <v>19760</v>
          </cell>
          <cell r="G4023">
            <v>42678</v>
          </cell>
        </row>
        <row r="4024">
          <cell r="C4024">
            <v>7664</v>
          </cell>
          <cell r="D4024" t="str">
            <v>Ns. Piso En Ceramica Beta Rectificado Marfil O Similar 40 X 90 Cm.</v>
          </cell>
          <cell r="E4024" t="str">
            <v>M2</v>
          </cell>
          <cell r="F4024">
            <v>82000</v>
          </cell>
          <cell r="G4024">
            <v>42678</v>
          </cell>
        </row>
        <row r="4025">
          <cell r="C4025">
            <v>7665</v>
          </cell>
          <cell r="D4025" t="str">
            <v>Ns. Estructura De Escalera Tramo De 1 Piso</v>
          </cell>
          <cell r="E4025" t="str">
            <v>GL</v>
          </cell>
          <cell r="F4025">
            <v>12000000</v>
          </cell>
          <cell r="G4025">
            <v>42670</v>
          </cell>
        </row>
        <row r="4026">
          <cell r="C4026">
            <v>7666</v>
          </cell>
          <cell r="D4026" t="str">
            <v>Ns. Media Caña Pvc De 9 Cm</v>
          </cell>
          <cell r="E4026" t="str">
            <v>ML</v>
          </cell>
          <cell r="F4026">
            <v>38000</v>
          </cell>
          <cell r="G4026">
            <v>42678</v>
          </cell>
        </row>
        <row r="4027">
          <cell r="C4027">
            <v>7667</v>
          </cell>
          <cell r="D4027" t="str">
            <v>Ns. Estructura De Rampa Tramo De 1 Piso</v>
          </cell>
          <cell r="E4027" t="str">
            <v>GL</v>
          </cell>
          <cell r="F4027">
            <v>23000000</v>
          </cell>
          <cell r="G4027">
            <v>42670</v>
          </cell>
        </row>
        <row r="4028">
          <cell r="C4028">
            <v>7668</v>
          </cell>
          <cell r="D4028" t="str">
            <v>Prvc. Instalación De Codos Grp Y/O Pvc Dn 1800 Pn=1 Sn 2500 (0°-30°)</v>
          </cell>
          <cell r="E4028" t="str">
            <v>UN</v>
          </cell>
          <cell r="F4028">
            <v>877801.84</v>
          </cell>
          <cell r="G4028">
            <v>42671</v>
          </cell>
        </row>
        <row r="4029">
          <cell r="C4029">
            <v>7669</v>
          </cell>
          <cell r="D4029" t="str">
            <v>Prvc. Instalación De Tuberías En Grp Y/O Pvc De Diametro 1300Mm, Pn=1:00 Sn 2500</v>
          </cell>
          <cell r="E4029" t="str">
            <v>ML</v>
          </cell>
          <cell r="F4029">
            <v>107589.64</v>
          </cell>
          <cell r="G4029">
            <v>42671</v>
          </cell>
        </row>
        <row r="4030">
          <cell r="C4030">
            <v>7672</v>
          </cell>
          <cell r="D4030" t="str">
            <v>Prvc. Suminisro De Tuberia Grp Y/O Pvc De Diametro 1300 Mm Pn=1, Sn 2500, Incluye Union, Transporte Al Campamento Y Demas Costos</v>
          </cell>
          <cell r="E4030" t="str">
            <v>ML</v>
          </cell>
          <cell r="F4030">
            <v>1471834</v>
          </cell>
          <cell r="G4030">
            <v>42671</v>
          </cell>
        </row>
        <row r="4031">
          <cell r="C4031">
            <v>7673</v>
          </cell>
          <cell r="D4031" t="str">
            <v>Prvc. Suministro Codos Grp Y/O Pvc Dn 1800 Pn=1 Sn 2500 (0º-30) Incluye Union, Transporte Al Campamento Y Demas Costos</v>
          </cell>
          <cell r="E4031" t="str">
            <v>UN</v>
          </cell>
          <cell r="F4031">
            <v>7200000</v>
          </cell>
          <cell r="G4031">
            <v>42671</v>
          </cell>
        </row>
        <row r="4032">
          <cell r="C4032">
            <v>7674</v>
          </cell>
          <cell r="D4032" t="str">
            <v>Instalación De Tubería De Alcantarillado De Pvc 450 Mm 18" De Superficie Interior Lisa Y Exterior Perfilada, Bajo Cualquier Condición De Humedad</v>
          </cell>
          <cell r="E4032" t="str">
            <v>ML</v>
          </cell>
          <cell r="F4032">
            <v>22792.45</v>
          </cell>
          <cell r="G4032">
            <v>42685</v>
          </cell>
        </row>
        <row r="4033">
          <cell r="C4033">
            <v>7675</v>
          </cell>
          <cell r="D4033" t="str">
            <v>Instalación De Tubería De Alcantarillado De Pvc De 200 Mm (8”)  De Superficie Interior Lisa Y Exterior Perfilada, Bajo Cualquier Condición De Humedad, (Inlcuye Manijas)</v>
          </cell>
          <cell r="E4033" t="str">
            <v>ML</v>
          </cell>
          <cell r="F4033">
            <v>10065.19</v>
          </cell>
          <cell r="G4033">
            <v>42685</v>
          </cell>
        </row>
        <row r="4034">
          <cell r="C4034">
            <v>7676</v>
          </cell>
          <cell r="D4034" t="str">
            <v>Instalación De Tubería De Alcantarillado De Pvc De 250 Mm 10”  De Superficie Interior Lisa Y Exterior Perfilada, Bajo Cualquier Condición De Humedad</v>
          </cell>
          <cell r="E4034" t="str">
            <v>ML</v>
          </cell>
          <cell r="F4034">
            <v>12733.8</v>
          </cell>
          <cell r="G4034">
            <v>42685</v>
          </cell>
        </row>
        <row r="4035">
          <cell r="C4035">
            <v>7677</v>
          </cell>
          <cell r="D4035" t="str">
            <v>Instalación De Tubería De Alcantarillado De Pvc De 400 Mm 16” De Superficie Interior Lisa Y Exterior Perfilada, Bajo Cualquier Condición De Humedad</v>
          </cell>
          <cell r="E4035" t="str">
            <v>ML</v>
          </cell>
          <cell r="F4035">
            <v>20276.150000000001</v>
          </cell>
          <cell r="G4035">
            <v>42685</v>
          </cell>
        </row>
        <row r="4036">
          <cell r="C4036">
            <v>7678</v>
          </cell>
          <cell r="D4036" t="str">
            <v>Instalación De Tubería De Alcantarillado De Pvc De 660 Mm 24”  De Superficie Interior Lisa Y Exterior Perfilada, Bajo Cualquier Condición De Humedad</v>
          </cell>
          <cell r="E4036" t="str">
            <v>ML</v>
          </cell>
          <cell r="F4036">
            <v>33478.339999999997</v>
          </cell>
          <cell r="G4036">
            <v>42685</v>
          </cell>
        </row>
        <row r="4037">
          <cell r="C4037">
            <v>7679</v>
          </cell>
          <cell r="D4037" t="str">
            <v>Soporte Para Cinta Demarcadora</v>
          </cell>
          <cell r="E4037" t="str">
            <v>UN</v>
          </cell>
          <cell r="F4037">
            <v>11907</v>
          </cell>
          <cell r="G4037">
            <v>42689</v>
          </cell>
        </row>
        <row r="4038">
          <cell r="C4038">
            <v>7680</v>
          </cell>
          <cell r="D4038" t="str">
            <v>Cinta Demarcadora, Sin Soporte</v>
          </cell>
          <cell r="E4038" t="str">
            <v>ML</v>
          </cell>
          <cell r="F4038">
            <v>483.63</v>
          </cell>
          <cell r="G4038">
            <v>42689</v>
          </cell>
        </row>
        <row r="4039">
          <cell r="C4039">
            <v>7681</v>
          </cell>
          <cell r="D4039" t="str">
            <v>Entibado Tipo 6. Continuo Metalico</v>
          </cell>
          <cell r="E4039" t="str">
            <v>M2</v>
          </cell>
          <cell r="F4039">
            <v>30900</v>
          </cell>
          <cell r="G4039">
            <v>42689</v>
          </cell>
        </row>
        <row r="4040">
          <cell r="C4040">
            <v>7682</v>
          </cell>
          <cell r="D4040" t="str">
            <v>Valla Movil Tipo 3. Valla Doble Cara</v>
          </cell>
          <cell r="E4040" t="str">
            <v>UN</v>
          </cell>
          <cell r="F4040">
            <v>160400</v>
          </cell>
          <cell r="G4040">
            <v>42689</v>
          </cell>
        </row>
        <row r="4041">
          <cell r="C4041">
            <v>7683</v>
          </cell>
          <cell r="D4041" t="str">
            <v>Empalme De Tuberias De Alcantarillado Desde 160 Mm (6") Hasta 300 Mm (12") A Pozo Existente En Mamposteria</v>
          </cell>
          <cell r="E4041" t="str">
            <v>UN</v>
          </cell>
          <cell r="F4041">
            <v>127004</v>
          </cell>
          <cell r="G4041">
            <v>42689</v>
          </cell>
        </row>
        <row r="4042">
          <cell r="C4042">
            <v>7684</v>
          </cell>
          <cell r="D4042" t="str">
            <v>Empalme De Tuberías Desde 350 Mm (14") Hasta 500 Mm (20") A Pozo Existente En Mampostería</v>
          </cell>
          <cell r="E4042" t="str">
            <v>UN</v>
          </cell>
          <cell r="F4042">
            <v>161958</v>
          </cell>
          <cell r="G4042">
            <v>42689</v>
          </cell>
        </row>
        <row r="4043">
          <cell r="C4043">
            <v>7685</v>
          </cell>
          <cell r="D4043" t="str">
            <v>Empalme De Tuberías Desde 600 Mm (24") Hasta 900 Mm (36") A Pozo Existenteen Mampostería</v>
          </cell>
          <cell r="E4043" t="str">
            <v>UN</v>
          </cell>
          <cell r="F4043">
            <v>163577.57999999999</v>
          </cell>
          <cell r="G4043">
            <v>42689</v>
          </cell>
        </row>
        <row r="4044">
          <cell r="C4044">
            <v>7687</v>
          </cell>
          <cell r="D4044" t="str">
            <v>Suministro Tubería De Alcantarillado De Pvc  De Superficie Interior Lisa Y Exterior Perfilada Rigidez 8Kn/M2 (S8) D= 200 Mm (8") (Incluye Manijas)</v>
          </cell>
          <cell r="E4044" t="str">
            <v>ML</v>
          </cell>
          <cell r="F4044">
            <v>48720</v>
          </cell>
          <cell r="G4044">
            <v>42699</v>
          </cell>
        </row>
        <row r="4045">
          <cell r="C4045">
            <v>7688</v>
          </cell>
          <cell r="D4045" t="str">
            <v>Suministro Tubería De Alcantarillado De Pvc  De Superficie Interior Lisa Y Exterior Perfilada Rigidez 8Kn/M2 (S8) D=250 Mm (10")</v>
          </cell>
          <cell r="E4045" t="str">
            <v>ML</v>
          </cell>
          <cell r="F4045">
            <v>75589</v>
          </cell>
          <cell r="G4045">
            <v>42699</v>
          </cell>
        </row>
        <row r="4046">
          <cell r="C4046">
            <v>7689</v>
          </cell>
          <cell r="D4046" t="str">
            <v>Suministro Tubería De Alcantarillado De Pvc  De Superficie Interior Lisa Y Exterior Perfilada Rigidez 8Kn/M2 (S8) D= 400 Mm (16")</v>
          </cell>
          <cell r="E4046" t="str">
            <v>ML</v>
          </cell>
          <cell r="F4046">
            <v>182813</v>
          </cell>
          <cell r="G4046">
            <v>42699</v>
          </cell>
        </row>
        <row r="4047">
          <cell r="C4047">
            <v>7690</v>
          </cell>
          <cell r="D4047" t="str">
            <v>Suministro Tubería De Alcantarillado De Pvc  De Superficie Interior Lisa Y Exterior Perfilada Rigidez 8Kn/M2 (S8) D= 450 Mm (18")</v>
          </cell>
          <cell r="E4047" t="str">
            <v>ML</v>
          </cell>
          <cell r="F4047">
            <v>254751</v>
          </cell>
          <cell r="G4047">
            <v>42699</v>
          </cell>
        </row>
        <row r="4048">
          <cell r="C4048">
            <v>7691</v>
          </cell>
          <cell r="D4048" t="str">
            <v>Suministro Tubería De Alcantarillado De Pvc  De Superficie Interior Lisa Y Exterior Perfilada Rigidez 8Kn/M2 (S8) D= 660 Mm (24")</v>
          </cell>
          <cell r="E4048" t="str">
            <v>ML</v>
          </cell>
          <cell r="F4048">
            <v>450849</v>
          </cell>
          <cell r="G4048">
            <v>42699</v>
          </cell>
        </row>
        <row r="4049">
          <cell r="C4049">
            <v>7692</v>
          </cell>
          <cell r="D4049" t="str">
            <v>Instalación De Domiciliaria De Alcantarillado Con Tubería De  Pvc  Y/O Pead  160 Mm (6”). Incluye Tee O Yee, Codo O Accesorio De Derivación, Tipo 1.  0 &lt; L &lt; 1,0 M.</v>
          </cell>
          <cell r="E4049" t="str">
            <v>UN</v>
          </cell>
          <cell r="F4049">
            <v>37303</v>
          </cell>
          <cell r="G4049">
            <v>42689</v>
          </cell>
        </row>
        <row r="4050">
          <cell r="C4050">
            <v>7693</v>
          </cell>
          <cell r="D4050" t="str">
            <v>Instalación De Domiciliaria De Alcantarillado Con Tubería De  Pvc  Y/O Pead  160 Mm (6”). Incluye Tee O Yee, Codo O Accesorio De Derivación, Tipo 2.  1 &lt; L&lt;  3,0 M.</v>
          </cell>
          <cell r="E4050" t="str">
            <v>UN</v>
          </cell>
          <cell r="F4050">
            <v>64904</v>
          </cell>
          <cell r="G4050">
            <v>42689</v>
          </cell>
        </row>
        <row r="4051">
          <cell r="C4051">
            <v>7694</v>
          </cell>
          <cell r="D4051" t="str">
            <v>Instalación De Domiciliaria De Alcantarillado Con Tubería De  Pvc  Y/O Pead  160 Mm (6”). Incluye Tee O Yee, Codo O Accesorio De Derivación, Tipo 3.  3 &lt; L &lt; 5,0 M.</v>
          </cell>
          <cell r="E4051" t="str">
            <v>UN</v>
          </cell>
          <cell r="F4051">
            <v>129808</v>
          </cell>
          <cell r="G4051">
            <v>42689</v>
          </cell>
        </row>
        <row r="4052">
          <cell r="C4052">
            <v>7695</v>
          </cell>
          <cell r="D4052" t="str">
            <v>Suministro De Tubería De Alcantarillado De Pvc De 160 Mm (6") De Superficie Interior Lisa Y Exterior Perfilada</v>
          </cell>
          <cell r="E4052" t="str">
            <v>ML</v>
          </cell>
          <cell r="F4052">
            <v>39556.65</v>
          </cell>
          <cell r="G4052">
            <v>42691</v>
          </cell>
        </row>
        <row r="4053">
          <cell r="C4053">
            <v>7696</v>
          </cell>
          <cell r="D4053" t="str">
            <v>Suministro De Codo 90° Campana X Campana Diámetro Nominal 160 Mm</v>
          </cell>
          <cell r="E4053" t="str">
            <v>UN</v>
          </cell>
          <cell r="F4053">
            <v>59745</v>
          </cell>
          <cell r="G4053">
            <v>42689</v>
          </cell>
        </row>
        <row r="4054">
          <cell r="C4054">
            <v>7697</v>
          </cell>
          <cell r="D4054" t="str">
            <v>Suministro Codo 45° Campana X Campana Diámetro Nominal 160 Mm</v>
          </cell>
          <cell r="E4054" t="str">
            <v>UN</v>
          </cell>
          <cell r="F4054">
            <v>31395</v>
          </cell>
          <cell r="G4054">
            <v>42689</v>
          </cell>
        </row>
        <row r="4055">
          <cell r="C4055">
            <v>7698</v>
          </cell>
          <cell r="D4055" t="str">
            <v>Suministro Yee Campana X Campana X Campana Diámetro Nominal 200 X 200 X 160 Mm</v>
          </cell>
          <cell r="E4055" t="str">
            <v>ML</v>
          </cell>
          <cell r="F4055">
            <v>125727</v>
          </cell>
          <cell r="G4055">
            <v>42689</v>
          </cell>
        </row>
        <row r="4056">
          <cell r="C4056">
            <v>7699</v>
          </cell>
          <cell r="D4056" t="str">
            <v>Cimentacion De Tuberia Con Material Granular  (Agregado Grueso)</v>
          </cell>
          <cell r="E4056" t="str">
            <v>M3</v>
          </cell>
          <cell r="F4056">
            <v>96369</v>
          </cell>
          <cell r="G4056">
            <v>42689</v>
          </cell>
        </row>
        <row r="4057">
          <cell r="C4057">
            <v>7701</v>
          </cell>
          <cell r="D4057" t="str">
            <v>Suministro De Codos De Polietileno 160 Mm X 90° D=6"</v>
          </cell>
          <cell r="E4057" t="str">
            <v>UN</v>
          </cell>
          <cell r="F4057">
            <v>76398.289999999994</v>
          </cell>
          <cell r="G4057">
            <v>42690</v>
          </cell>
        </row>
        <row r="4058">
          <cell r="C4058">
            <v>7703</v>
          </cell>
          <cell r="D4058" t="str">
            <v>Suministro De Tee De Polietileno 110Mm X 110Mm X 110Mm</v>
          </cell>
          <cell r="E4058" t="str">
            <v>UN</v>
          </cell>
          <cell r="F4058">
            <v>48385.68</v>
          </cell>
          <cell r="G4058">
            <v>42690</v>
          </cell>
        </row>
        <row r="4059">
          <cell r="C4059">
            <v>7705</v>
          </cell>
          <cell r="D4059" t="str">
            <v>Suministro De Tee De Polietileno 200Mm X 200Mm X 200Mm</v>
          </cell>
          <cell r="E4059" t="str">
            <v>UN</v>
          </cell>
          <cell r="F4059">
            <v>312293.98</v>
          </cell>
          <cell r="G4059">
            <v>42691</v>
          </cell>
        </row>
        <row r="4060">
          <cell r="C4060">
            <v>7707</v>
          </cell>
          <cell r="D4060" t="str">
            <v>Suministro De Silletas Para Acometidas De Polietileno De 110Mm X 20Mm Para Union Por Termofusion</v>
          </cell>
          <cell r="E4060" t="str">
            <v>UN</v>
          </cell>
          <cell r="F4060">
            <v>11021.97</v>
          </cell>
          <cell r="G4060">
            <v>42690</v>
          </cell>
        </row>
        <row r="4061">
          <cell r="C4061">
            <v>7709</v>
          </cell>
          <cell r="D4061" t="str">
            <v>Suministro De Silletas Para Acometidas De Polietileno De 160Mm X 20Mm Para Union Por Termofusion</v>
          </cell>
          <cell r="E4061" t="str">
            <v>UN</v>
          </cell>
          <cell r="F4061">
            <v>11021.97</v>
          </cell>
          <cell r="G4061">
            <v>42690</v>
          </cell>
        </row>
        <row r="4062">
          <cell r="C4062">
            <v>7711</v>
          </cell>
          <cell r="D4062" t="str">
            <v>Suministro De Silletas Para Acometidas De Polietileno De 200Mm X 20Mm Para Union Por Termofusion</v>
          </cell>
          <cell r="E4062" t="str">
            <v>UN</v>
          </cell>
          <cell r="F4062">
            <v>11021.97</v>
          </cell>
          <cell r="G4062">
            <v>42690</v>
          </cell>
        </row>
        <row r="4063">
          <cell r="C4063">
            <v>7713</v>
          </cell>
          <cell r="D4063" t="str">
            <v>Suministro De Silletas Para Acometidas De Polietileno De 250Mm X 20Mm Para Union Por Termofusion</v>
          </cell>
          <cell r="E4063" t="str">
            <v>UN</v>
          </cell>
          <cell r="F4063">
            <v>16957</v>
          </cell>
          <cell r="G4063">
            <v>42690</v>
          </cell>
        </row>
        <row r="4064">
          <cell r="C4064">
            <v>7715</v>
          </cell>
          <cell r="D4064" t="str">
            <v>Suministro De Adaptadores Tope Brida De Polietileno Sin Brida Pn 10 D=110Mm</v>
          </cell>
          <cell r="E4064" t="str">
            <v>UN</v>
          </cell>
          <cell r="F4064">
            <v>18430.02</v>
          </cell>
          <cell r="G4064">
            <v>42690</v>
          </cell>
        </row>
        <row r="4065">
          <cell r="C4065">
            <v>7717</v>
          </cell>
          <cell r="D4065" t="str">
            <v>Suministro De Adaptadores Tope Brida De Polietileno Sin Brida Pn 10 D=160Mm</v>
          </cell>
          <cell r="E4065" t="str">
            <v>UN</v>
          </cell>
          <cell r="F4065">
            <v>42737.47</v>
          </cell>
          <cell r="G4065">
            <v>42690</v>
          </cell>
        </row>
        <row r="4066">
          <cell r="C4066">
            <v>7719</v>
          </cell>
          <cell r="D4066" t="str">
            <v>Suministro De Adaptadores Tope Brida De Polietileno Sin Brida Pn 10 D=250Mm</v>
          </cell>
          <cell r="E4066" t="str">
            <v>UN</v>
          </cell>
          <cell r="F4066">
            <v>125994.15</v>
          </cell>
          <cell r="G4066">
            <v>42690</v>
          </cell>
        </row>
        <row r="4067">
          <cell r="C4067">
            <v>7720</v>
          </cell>
          <cell r="D4067" t="str">
            <v>Pozo De Inspección 1,80 M &lt; H &lt;= 3,00 M Para Tuberías De Diámetros Entre Los 450 Mm (18 Pulgadas) Y 700 Mm (27 Pulgadas), Diámetro Del Cilindro 1,50 M.</v>
          </cell>
          <cell r="E4067" t="str">
            <v>UN</v>
          </cell>
          <cell r="F4067">
            <v>4699061.2300000004</v>
          </cell>
          <cell r="G4067">
            <v>42699</v>
          </cell>
        </row>
        <row r="4068">
          <cell r="C4068">
            <v>7721</v>
          </cell>
          <cell r="D4068" t="str">
            <v>Suministro De Hidrante Tipo Trafico Norma Iso Pn 10, Incluye El Suministro E Instalación De Tornillería Y Empaquetadura Para El Montaje, D = 100 Mm  (4")</v>
          </cell>
          <cell r="E4068" t="str">
            <v>UN</v>
          </cell>
          <cell r="F4068">
            <v>2760800</v>
          </cell>
          <cell r="G4068">
            <v>42691</v>
          </cell>
        </row>
        <row r="4069">
          <cell r="C4069">
            <v>7722</v>
          </cell>
          <cell r="D4069" t="str">
            <v>Suministro De Hidrante Tipo Trafico Norma Iso Pn 10, Incluye El Suministro E Instalación De Tornillería Y Empaquetadura Para El Montaje, D = 150 Mm  (6")</v>
          </cell>
          <cell r="E4069" t="str">
            <v>UN</v>
          </cell>
          <cell r="F4069">
            <v>3770000</v>
          </cell>
          <cell r="G4069">
            <v>42691</v>
          </cell>
        </row>
        <row r="4070">
          <cell r="C4070">
            <v>7723</v>
          </cell>
          <cell r="D4070" t="str">
            <v>Suministro De Tuberías De Acueducto De Polietileno De Alta Densidad (Pead) De 160Mm Pn 10 Pe 100 D=6"</v>
          </cell>
          <cell r="E4070" t="str">
            <v>ML</v>
          </cell>
          <cell r="F4070">
            <v>46940.76</v>
          </cell>
          <cell r="G4070">
            <v>42802</v>
          </cell>
        </row>
        <row r="4071">
          <cell r="C4071">
            <v>7724</v>
          </cell>
          <cell r="D4071" t="str">
            <v>Instalación De  Acometidas Domiciliarias Tipo 10. En Zona Dura Sin Cruce De Vía (A Favor De La Red), Con 0,0 M &lt; L &lt; 7,0 M Y 16 Mm &lt; D &lt; 50 Mm. Con Silleta De Polietileno Para Acueducto. Incluye Excavación, Instalación De Tubería Y Accesorios, Cinta Referenciadora Y Relleno.</v>
          </cell>
          <cell r="E4071" t="str">
            <v>UN</v>
          </cell>
          <cell r="F4071">
            <v>102702</v>
          </cell>
          <cell r="G4071">
            <v>42691</v>
          </cell>
        </row>
        <row r="4072">
          <cell r="C4072">
            <v>7725</v>
          </cell>
          <cell r="D4072" t="str">
            <v>Camisa En Tuberia De Acero Al Carbon Para Cruce De Arroyo Con Tuberias De Polietileno De 160 Mm  6". Incluye Tubería De Acero.</v>
          </cell>
          <cell r="E4072" t="str">
            <v>ML</v>
          </cell>
          <cell r="F4072">
            <v>208965</v>
          </cell>
          <cell r="G4072">
            <v>42691</v>
          </cell>
        </row>
        <row r="4073">
          <cell r="C4073">
            <v>7726</v>
          </cell>
          <cell r="D4073" t="str">
            <v>Camisa En Tuberia De Acero Al Carbon Para Cruce De Arroyo Con Tuberias De Polietileno De 200 Mm   8". Incluye Tubería De Acero.</v>
          </cell>
          <cell r="E4073" t="str">
            <v>ML</v>
          </cell>
          <cell r="F4073">
            <v>272401</v>
          </cell>
          <cell r="G4073">
            <v>42691</v>
          </cell>
        </row>
        <row r="4074">
          <cell r="C4074">
            <v>7727</v>
          </cell>
          <cell r="D4074" t="str">
            <v>Instalación Tubo Operador Para Válvulas Entre 80 Mm Y 200 Mm Y Para Válvulas De Purga</v>
          </cell>
          <cell r="E4074" t="str">
            <v>UN</v>
          </cell>
          <cell r="F4074">
            <v>200983</v>
          </cell>
          <cell r="G4074">
            <v>42691</v>
          </cell>
        </row>
        <row r="4075">
          <cell r="C4075">
            <v>7728</v>
          </cell>
          <cell r="D4075" t="str">
            <v>Caja De Mampostería Para Tuberías Entre  250 Mm (10") Y  400 Mm (16").</v>
          </cell>
          <cell r="E4075" t="str">
            <v>UN</v>
          </cell>
          <cell r="F4075">
            <v>5694873</v>
          </cell>
          <cell r="G4075">
            <v>42691</v>
          </cell>
        </row>
        <row r="4076">
          <cell r="C4076">
            <v>7729</v>
          </cell>
          <cell r="D4076" t="str">
            <v>Suministro De Tuberías De Acueducto De Polietileno De Alta Densidad (Pead) De 200Mm Pn 10 Pe 100 D=8"</v>
          </cell>
          <cell r="E4076" t="str">
            <v>ML</v>
          </cell>
          <cell r="F4076">
            <v>56375.61</v>
          </cell>
          <cell r="G4076">
            <v>42691</v>
          </cell>
        </row>
        <row r="4077">
          <cell r="C4077">
            <v>7730</v>
          </cell>
          <cell r="D4077" t="str">
            <v>Instalación De Hidrante Tipo Trafico Norma Iso Pn 10, Incluye El Suministro E Instalación De Tornillería Y Empaquetadura Para El Montaje, D = 100 Mm  (4")</v>
          </cell>
          <cell r="E4077" t="str">
            <v>UN</v>
          </cell>
          <cell r="F4077">
            <v>738749</v>
          </cell>
          <cell r="G4077">
            <v>42691</v>
          </cell>
        </row>
        <row r="4078">
          <cell r="C4078">
            <v>7731</v>
          </cell>
          <cell r="D4078" t="str">
            <v>Suministro De Tuberías De Acueducto De Polietileno De Alta Densidad (Pead) De 250Mm Pn 10 Pe 100 D=10"</v>
          </cell>
          <cell r="E4078" t="str">
            <v>ML</v>
          </cell>
          <cell r="F4078">
            <v>90988.37</v>
          </cell>
          <cell r="G4078">
            <v>42691</v>
          </cell>
        </row>
        <row r="4079">
          <cell r="C4079">
            <v>7732</v>
          </cell>
          <cell r="D4079" t="str">
            <v>Instalación De Hidrante Tipo Trafico Norma Iso Pn 10, Incluye El Suministro E Instalación De Tornillería Y Empaquetadura Para El Montaje, D = 150 Mm  (6")</v>
          </cell>
          <cell r="E4079" t="str">
            <v>UN</v>
          </cell>
          <cell r="F4079">
            <v>865302</v>
          </cell>
          <cell r="G4079">
            <v>42691</v>
          </cell>
        </row>
        <row r="4080">
          <cell r="C4080">
            <v>7733</v>
          </cell>
          <cell r="D4080" t="str">
            <v>Empalmes A Red De Acueducto En Tubería  Pead De 110 Mm  (4")</v>
          </cell>
          <cell r="E4080" t="str">
            <v>UN</v>
          </cell>
          <cell r="F4080">
            <v>407148</v>
          </cell>
          <cell r="G4080">
            <v>42691</v>
          </cell>
        </row>
        <row r="4081">
          <cell r="C4081">
            <v>7734</v>
          </cell>
          <cell r="D4081" t="str">
            <v>Empalmes A Red De Acueducto En Tubería  Pead De 160 Mm  (6")</v>
          </cell>
          <cell r="E4081" t="str">
            <v>UN</v>
          </cell>
          <cell r="F4081">
            <v>461305</v>
          </cell>
          <cell r="G4081">
            <v>42691</v>
          </cell>
        </row>
        <row r="4082">
          <cell r="C4082">
            <v>7735</v>
          </cell>
          <cell r="D4082" t="str">
            <v>Empalmes A Red De Acueducto En Tubería  Pead De 200 Mm   ( 8")</v>
          </cell>
          <cell r="E4082" t="str">
            <v>UN</v>
          </cell>
          <cell r="F4082">
            <v>515128</v>
          </cell>
          <cell r="G4082">
            <v>42691</v>
          </cell>
        </row>
        <row r="4083">
          <cell r="C4083">
            <v>7736</v>
          </cell>
          <cell r="D4083" t="str">
            <v>Suministro De Tuberías De Acueducto De Polietileno Para Acometidas D=20 Mm Pn 10</v>
          </cell>
          <cell r="E4083" t="str">
            <v>ML</v>
          </cell>
          <cell r="F4083">
            <v>1216.8399999999999</v>
          </cell>
          <cell r="G4083">
            <v>42691</v>
          </cell>
        </row>
        <row r="4084">
          <cell r="C4084">
            <v>7737</v>
          </cell>
          <cell r="D4084" t="str">
            <v>Empalmes A Red De Acueducto En Tubería  Pead De 250 Mm   (10")</v>
          </cell>
          <cell r="E4084" t="str">
            <v>UN</v>
          </cell>
          <cell r="F4084">
            <v>571207</v>
          </cell>
          <cell r="G4084">
            <v>42691</v>
          </cell>
        </row>
        <row r="4085">
          <cell r="C4085">
            <v>7738</v>
          </cell>
          <cell r="D4085" t="str">
            <v>Suministro De Codos De Polietileno Pe 100 Pn 10 De 200 Mm X 90° D=8"</v>
          </cell>
          <cell r="E4085" t="str">
            <v>UN</v>
          </cell>
          <cell r="F4085">
            <v>172979.66</v>
          </cell>
          <cell r="G4085">
            <v>42691</v>
          </cell>
        </row>
        <row r="4086">
          <cell r="C4086">
            <v>7739</v>
          </cell>
          <cell r="D4086" t="str">
            <v>Suministro De Tees De Polietileno Pe 100 Pn 10 De 160Mm X 160Mm X 160Mm</v>
          </cell>
          <cell r="E4086" t="str">
            <v>UN</v>
          </cell>
          <cell r="F4086">
            <v>184475.14</v>
          </cell>
          <cell r="G4086">
            <v>42691</v>
          </cell>
        </row>
        <row r="4087">
          <cell r="C4087">
            <v>7740</v>
          </cell>
          <cell r="D4087" t="str">
            <v>Suministro De Adaptadores Tope Brida De Polietileno Sin Brida Pn 10 D=200Mm</v>
          </cell>
          <cell r="E4087" t="str">
            <v>UN</v>
          </cell>
          <cell r="F4087">
            <v>83661.570000000007</v>
          </cell>
          <cell r="G4087">
            <v>42691</v>
          </cell>
        </row>
        <row r="4088">
          <cell r="C4088">
            <v>7741</v>
          </cell>
          <cell r="D4088" t="str">
            <v>Suministro De Brida Metálica Para Adaptador Tope De Polietileno Norma Iso Pn 10 D=110Mm</v>
          </cell>
          <cell r="E4088" t="str">
            <v>UN</v>
          </cell>
          <cell r="F4088">
            <v>56476.14</v>
          </cell>
          <cell r="G4088">
            <v>42691</v>
          </cell>
        </row>
        <row r="4089">
          <cell r="C4089">
            <v>7742</v>
          </cell>
          <cell r="D4089" t="str">
            <v>Suministro De Brida Metálica Para Adaptador Tope De Polietileno Norma Iso Pn 10 D=160Mm</v>
          </cell>
          <cell r="E4089" t="str">
            <v>UN</v>
          </cell>
          <cell r="F4089">
            <v>74577.31</v>
          </cell>
          <cell r="G4089">
            <v>42691</v>
          </cell>
        </row>
        <row r="4090">
          <cell r="C4090">
            <v>7743</v>
          </cell>
          <cell r="D4090" t="str">
            <v>Suministro De Brida Metálica Para Adaptador Tope De Polietileno Norma Iso Pn 10 D=200Mm</v>
          </cell>
          <cell r="E4090" t="str">
            <v>UN</v>
          </cell>
          <cell r="F4090">
            <v>99502.3</v>
          </cell>
          <cell r="G4090">
            <v>42691</v>
          </cell>
        </row>
        <row r="4091">
          <cell r="C4091">
            <v>7744</v>
          </cell>
          <cell r="D4091" t="str">
            <v>Suministro De Válvula De Compuerta Brida X Brida Normaiso Pn 10 D = 150 Mm (6")</v>
          </cell>
          <cell r="E4091" t="str">
            <v>UN</v>
          </cell>
          <cell r="F4091">
            <v>1243520</v>
          </cell>
          <cell r="G4091">
            <v>42691</v>
          </cell>
        </row>
        <row r="4092">
          <cell r="C4092">
            <v>7745</v>
          </cell>
          <cell r="D4092" t="str">
            <v>Suministro De Brida Metálica Para Adaptador Tope De Polietileno Norma Iso Pn 10 D=250Mm</v>
          </cell>
          <cell r="E4092" t="str">
            <v>UN</v>
          </cell>
          <cell r="F4092">
            <v>175743.6</v>
          </cell>
          <cell r="G4092">
            <v>42691</v>
          </cell>
        </row>
        <row r="4093">
          <cell r="C4093">
            <v>7746</v>
          </cell>
          <cell r="D4093" t="str">
            <v>Suministro De Válvula De Compuerta Brida X Brida Normaiso Pn 10 D = 250 Mm (10")</v>
          </cell>
          <cell r="E4093" t="str">
            <v>UN</v>
          </cell>
          <cell r="F4093">
            <v>4060000</v>
          </cell>
          <cell r="G4093">
            <v>42691</v>
          </cell>
        </row>
        <row r="4094">
          <cell r="C4094">
            <v>7747</v>
          </cell>
          <cell r="D4094" t="str">
            <v>Suministro De Válvula De Compuerta Brida X Brida Normaiso Pn 10 D = 200 Mm (8")</v>
          </cell>
          <cell r="E4094" t="str">
            <v>UN</v>
          </cell>
          <cell r="F4094">
            <v>1852520</v>
          </cell>
          <cell r="G4094">
            <v>42691</v>
          </cell>
        </row>
        <row r="4095">
          <cell r="C4095">
            <v>7748</v>
          </cell>
          <cell r="D4095" t="str">
            <v>Empalmes A Red De Acueducto En Tubería  Pead De 160 Mm  (6")</v>
          </cell>
          <cell r="E4095" t="str">
            <v>UN</v>
          </cell>
          <cell r="F4095">
            <v>461305</v>
          </cell>
          <cell r="G4095">
            <v>42691</v>
          </cell>
        </row>
        <row r="4096">
          <cell r="C4096">
            <v>7749</v>
          </cell>
          <cell r="D4096" t="str">
            <v>Instalación De Tubería De Alcantarillado De Pvc De 300Mm 12” De Superficie Interior Lisa Y Exterior Perfilada,Bajo Cualquier Condición De Humedad</v>
          </cell>
          <cell r="E4096" t="str">
            <v>ML</v>
          </cell>
          <cell r="F4096">
            <v>15106.56</v>
          </cell>
          <cell r="G4096">
            <v>42697</v>
          </cell>
        </row>
        <row r="4097">
          <cell r="C4097">
            <v>7750</v>
          </cell>
          <cell r="D4097" t="str">
            <v>Empalme De Red Existente  A Tuberia Proyectada De 315 Mm De Pead D=12"</v>
          </cell>
          <cell r="E4097" t="str">
            <v>UN</v>
          </cell>
          <cell r="F4097">
            <v>621207</v>
          </cell>
          <cell r="G4097">
            <v>42697</v>
          </cell>
        </row>
        <row r="4098">
          <cell r="C4098">
            <v>7751</v>
          </cell>
          <cell r="D4098" t="str">
            <v>Instalación De Tubería De Alcantarillado De Pvc De 355Mm 14” De Superficie Interior Lisa Y Exterior Perfilada,Bajo Cualquier Condición De Humedad</v>
          </cell>
          <cell r="E4098" t="str">
            <v>ML</v>
          </cell>
          <cell r="F4098">
            <v>17555.099999999999</v>
          </cell>
          <cell r="G4098">
            <v>42697</v>
          </cell>
        </row>
        <row r="4099">
          <cell r="C4099">
            <v>7752</v>
          </cell>
          <cell r="D4099" t="str">
            <v>Instalación De Válvula De Compuerta Brida X Brida Norma Iso Pn 10, Incluye El Suministro E Instalación De Tornillería Grado 2 Y Empaquetadura Para El Montaje D = 400Mm (16")</v>
          </cell>
          <cell r="E4099" t="str">
            <v>UN</v>
          </cell>
          <cell r="F4099">
            <v>615142.91</v>
          </cell>
          <cell r="G4099">
            <v>42697</v>
          </cell>
        </row>
        <row r="4100">
          <cell r="C4100">
            <v>7753</v>
          </cell>
          <cell r="D4100" t="str">
            <v>Instalación De Tubería De Alcantarillado De Pvc De 500Mm 20” De Superficie Interior Lisa Y Exterior Perfilada,Bajo Cualquier Condición De Humedad</v>
          </cell>
          <cell r="E4100" t="str">
            <v>ML</v>
          </cell>
          <cell r="F4100">
            <v>25308.75</v>
          </cell>
          <cell r="G4100">
            <v>42697</v>
          </cell>
        </row>
        <row r="4101">
          <cell r="C4101">
            <v>7754</v>
          </cell>
          <cell r="D4101" t="str">
            <v>Instalación De Válvula De Compuerta Brida X Brida Norma Iso Pn 10, Incluye El Suministro E Instalación De Tornillería Grado 2 Y Empaquetadura Para El Montaje D = 300Mm (12")</v>
          </cell>
          <cell r="E4101" t="str">
            <v>UN</v>
          </cell>
          <cell r="F4101">
            <v>492450.61</v>
          </cell>
          <cell r="G4101">
            <v>42697</v>
          </cell>
        </row>
        <row r="4102">
          <cell r="C4102">
            <v>7756</v>
          </cell>
          <cell r="D4102" t="str">
            <v>Suministro Tubería De Alcantarillado De Pvc  De Superficie Interior Lisa Y Exterior Perfilada Rigidez 8Kn/M2 (S8) D=300 Mm (12”)</v>
          </cell>
          <cell r="E4102" t="str">
            <v>ML</v>
          </cell>
          <cell r="F4102">
            <v>112856.59</v>
          </cell>
          <cell r="G4102">
            <v>42697</v>
          </cell>
        </row>
        <row r="4103">
          <cell r="C4103">
            <v>7758</v>
          </cell>
          <cell r="D4103" t="str">
            <v>Suministro De Tubería De Alcantarillado De Pvc  De Superficie Interior Lisa Y Exterior Perfilada Rigidez 8Kn/M2 (S8) D=350 Mm (14")</v>
          </cell>
          <cell r="E4103" t="str">
            <v>ML</v>
          </cell>
          <cell r="F4103">
            <v>131626.54999999999</v>
          </cell>
          <cell r="G4103">
            <v>42699</v>
          </cell>
        </row>
        <row r="4104">
          <cell r="C4104">
            <v>7760</v>
          </cell>
          <cell r="D4104" t="str">
            <v>Suministro De Tubería De Alcantarillado De Pvc  De Superficie Interior Lisa Y Exterior Perfilada Rigidez 8Kn/M2 (S8) D=500 Mm (20”)</v>
          </cell>
          <cell r="E4104" t="str">
            <v>ML</v>
          </cell>
          <cell r="F4104">
            <v>308737.44</v>
          </cell>
          <cell r="G4104">
            <v>42697</v>
          </cell>
        </row>
        <row r="4105">
          <cell r="C4105">
            <v>7761</v>
          </cell>
          <cell r="D4105" t="str">
            <v>Suministro De Codos De Polietileno 110Mm X 45° (4") Pe 100 Pn 10 A Tope</v>
          </cell>
          <cell r="E4105" t="str">
            <v>UN</v>
          </cell>
          <cell r="F4105">
            <v>202468</v>
          </cell>
          <cell r="G4105">
            <v>42697</v>
          </cell>
        </row>
        <row r="4106">
          <cell r="C4106">
            <v>7762</v>
          </cell>
          <cell r="D4106" t="str">
            <v>Suministro De Codos De Polietileno 160Mm X 45° (6") Pe 100 Pn 10 A Tope</v>
          </cell>
          <cell r="E4106" t="str">
            <v>UN</v>
          </cell>
          <cell r="F4106">
            <v>371638</v>
          </cell>
          <cell r="G4106">
            <v>42697</v>
          </cell>
        </row>
        <row r="4107">
          <cell r="C4107">
            <v>7763</v>
          </cell>
          <cell r="D4107" t="str">
            <v>Suministro De Reduccion De Polietileno 160Mm X 110Mm  (6" X 4") Pe 100 Pn 10 A Tope</v>
          </cell>
          <cell r="E4107" t="str">
            <v>UN</v>
          </cell>
          <cell r="F4107">
            <v>335037</v>
          </cell>
          <cell r="G4107">
            <v>42697</v>
          </cell>
        </row>
        <row r="4108">
          <cell r="C4108">
            <v>7764</v>
          </cell>
          <cell r="D4108" t="str">
            <v>Suministro De Tapones De Polietileno Diametro 110Mm  (4") A Tope Pe 100 Pn 10</v>
          </cell>
          <cell r="E4108" t="str">
            <v>UN</v>
          </cell>
          <cell r="F4108">
            <v>228341</v>
          </cell>
          <cell r="G4108">
            <v>42697</v>
          </cell>
        </row>
        <row r="4109">
          <cell r="C4109">
            <v>7765</v>
          </cell>
          <cell r="D4109" t="str">
            <v>Suministro De Tapones De Polietileno Diametro 160Mm  (6")  A Tope Pe 100 Pn 10</v>
          </cell>
          <cell r="E4109" t="str">
            <v>UN</v>
          </cell>
          <cell r="F4109">
            <v>520324</v>
          </cell>
          <cell r="G4109">
            <v>42697</v>
          </cell>
        </row>
        <row r="4110">
          <cell r="C4110">
            <v>7766</v>
          </cell>
          <cell r="D4110" t="str">
            <v>Pozo De Inspeccion De 1,45 M &lt; H &lt;= 1,80 M, Incluida Losa Superior Y Tapa Para Tuberías De Diámetros Entre Los 450 Mm (18 Pulgadas) Y 750 Mm (30 Pulgadas), Diámetro Del Cilindro 1,50 M.</v>
          </cell>
          <cell r="E4110" t="str">
            <v>UN</v>
          </cell>
          <cell r="F4110">
            <v>3056910</v>
          </cell>
          <cell r="G4110">
            <v>42699</v>
          </cell>
        </row>
        <row r="4111">
          <cell r="C4111">
            <v>7767</v>
          </cell>
          <cell r="D4111" t="str">
            <v>Pozo De Inspeccion De 1,80 M &lt; H &lt;= 3,00 M, Incluida Losa Superior Y Tapa Para Tuberías De Diámetros Entre Los 450 Mm (18 Pulgadas) Y 750 Mm (30 Pulgadas), Diámetro Del Cilindro 1,50 M.</v>
          </cell>
          <cell r="E4111" t="str">
            <v>UN</v>
          </cell>
          <cell r="F4111">
            <v>4699061.2300000004</v>
          </cell>
          <cell r="G4111">
            <v>42699</v>
          </cell>
        </row>
        <row r="4112">
          <cell r="C4112">
            <v>7769</v>
          </cell>
          <cell r="D4112" t="str">
            <v>Suministro De Yee Campana X Campana X Campana Diámetro Nominal 250 X 250 X 160 Mm</v>
          </cell>
          <cell r="E4112" t="str">
            <v>UN</v>
          </cell>
          <cell r="F4112">
            <v>284591</v>
          </cell>
          <cell r="G4112">
            <v>42697</v>
          </cell>
        </row>
        <row r="4113">
          <cell r="C4113">
            <v>7770</v>
          </cell>
          <cell r="D4113" t="str">
            <v>Entibado Tipo 2. Discontinuo Mixto. Metálico Y Madera</v>
          </cell>
          <cell r="E4113" t="str">
            <v>M2</v>
          </cell>
          <cell r="F4113">
            <v>21075</v>
          </cell>
          <cell r="G4113">
            <v>42697</v>
          </cell>
        </row>
        <row r="4114">
          <cell r="C4114">
            <v>7771</v>
          </cell>
          <cell r="D4114" t="str">
            <v>Suministro De Tuberia De Hd De 300 Mm Pn 10 (12")</v>
          </cell>
          <cell r="E4114" t="str">
            <v>ML</v>
          </cell>
          <cell r="F4114">
            <v>251395.20000000001</v>
          </cell>
          <cell r="G4114">
            <v>42699</v>
          </cell>
        </row>
        <row r="4115">
          <cell r="C4115">
            <v>7772</v>
          </cell>
          <cell r="D4115" t="str">
            <v>Suministro De Tuberia De Hd De 400 Mm Pn 10 (16")</v>
          </cell>
          <cell r="E4115" t="str">
            <v>ML</v>
          </cell>
          <cell r="F4115">
            <v>342209.28000000003</v>
          </cell>
          <cell r="G4115">
            <v>42699</v>
          </cell>
        </row>
        <row r="4116">
          <cell r="C4116">
            <v>7773</v>
          </cell>
          <cell r="D4116" t="str">
            <v>Suministro De Válvula De Compuerta Brida X Brida Normaiso Pn 10 D = 300 Mm (12")</v>
          </cell>
          <cell r="E4116" t="str">
            <v>UN</v>
          </cell>
          <cell r="F4116">
            <v>4060000</v>
          </cell>
          <cell r="G4116">
            <v>42702</v>
          </cell>
        </row>
        <row r="4117">
          <cell r="C4117">
            <v>7774</v>
          </cell>
          <cell r="D4117" t="str">
            <v>Suministro De Válvula De Compuerta Brida X Brida Normaiso Pn 10 D = 400 Mm (16")</v>
          </cell>
          <cell r="E4117" t="str">
            <v>UN</v>
          </cell>
          <cell r="F4117">
            <v>11368000</v>
          </cell>
          <cell r="G4117">
            <v>42702</v>
          </cell>
        </row>
        <row r="4118">
          <cell r="C4118">
            <v>7775</v>
          </cell>
          <cell r="D4118" t="str">
            <v>Suministro De Union De Desmontaje De 300 Mm (12") Norma Iso Pn 10</v>
          </cell>
          <cell r="E4118" t="str">
            <v>UN</v>
          </cell>
          <cell r="F4118">
            <v>2000000</v>
          </cell>
          <cell r="G4118">
            <v>42702</v>
          </cell>
        </row>
        <row r="4119">
          <cell r="C4119">
            <v>7776</v>
          </cell>
          <cell r="D4119" t="str">
            <v>Suministro De Union De Desmontaje De 400 Mm (16") Norma Iso Pn 10</v>
          </cell>
          <cell r="E4119" t="str">
            <v>UN</v>
          </cell>
          <cell r="F4119">
            <v>2378000</v>
          </cell>
          <cell r="G4119">
            <v>42702</v>
          </cell>
        </row>
        <row r="4120">
          <cell r="C4120">
            <v>7777</v>
          </cell>
          <cell r="D4120" t="str">
            <v>Suministro De Brida Universal En Hd De 100 Mm (4") Norma Iso Pn 10</v>
          </cell>
          <cell r="E4120" t="str">
            <v>UN</v>
          </cell>
          <cell r="F4120">
            <v>98600</v>
          </cell>
          <cell r="G4120">
            <v>42702</v>
          </cell>
        </row>
        <row r="4121">
          <cell r="C4121">
            <v>7778</v>
          </cell>
          <cell r="D4121" t="str">
            <v>Suministro De Brida Universal En Hd De 150 Mm (6") Norma Iso Pn 10</v>
          </cell>
          <cell r="E4121" t="str">
            <v>UN</v>
          </cell>
          <cell r="F4121">
            <v>179800</v>
          </cell>
          <cell r="G4121">
            <v>42702</v>
          </cell>
        </row>
        <row r="4122">
          <cell r="C4122">
            <v>7779</v>
          </cell>
          <cell r="D4122" t="str">
            <v>Suministro De Brida Universal En Hd De 300 Mm (12") Norma Iso Pn 10</v>
          </cell>
          <cell r="E4122" t="str">
            <v>UN</v>
          </cell>
          <cell r="F4122">
            <v>609000</v>
          </cell>
          <cell r="G4122">
            <v>42702</v>
          </cell>
        </row>
        <row r="4123">
          <cell r="C4123">
            <v>7780</v>
          </cell>
          <cell r="D4123" t="str">
            <v>Suministro De Brida Universal En Hd De 400 Mm (16") Norma Iso Pn 10</v>
          </cell>
          <cell r="E4123" t="str">
            <v>UN</v>
          </cell>
          <cell r="F4123">
            <v>1090400</v>
          </cell>
          <cell r="G4123">
            <v>42702</v>
          </cell>
        </row>
        <row r="4124">
          <cell r="C4124">
            <v>7781</v>
          </cell>
          <cell r="D4124" t="str">
            <v>Suministro De Codo 90 ° Bxb En Hd De 300 Mm (12") Norma Iso Pn 16</v>
          </cell>
          <cell r="E4124" t="str">
            <v>UN</v>
          </cell>
          <cell r="F4124">
            <v>1900000</v>
          </cell>
          <cell r="G4124">
            <v>42702</v>
          </cell>
        </row>
        <row r="4125">
          <cell r="C4125">
            <v>7782</v>
          </cell>
          <cell r="D4125" t="str">
            <v>Suministro De Codo 90 ° Bxb En Hd De 400 Mm (16") Norma Iso Pn 16</v>
          </cell>
          <cell r="E4125" t="str">
            <v>UN</v>
          </cell>
          <cell r="F4125">
            <v>3438240</v>
          </cell>
          <cell r="G4125">
            <v>42702</v>
          </cell>
        </row>
        <row r="4126">
          <cell r="C4126">
            <v>7783</v>
          </cell>
          <cell r="D4126" t="str">
            <v>Suministro De Tee 300X 300X 300 Mm (12") En Hd. Norma Iso Pn 16</v>
          </cell>
          <cell r="E4126" t="str">
            <v>UN</v>
          </cell>
          <cell r="F4126">
            <v>2564760</v>
          </cell>
          <cell r="G4126">
            <v>42702</v>
          </cell>
        </row>
        <row r="4127">
          <cell r="C4127">
            <v>7784</v>
          </cell>
          <cell r="D4127" t="str">
            <v>Suministro De Tee 400X 400X 300 Mm (16") En Hd. Norma Iso Pn 16</v>
          </cell>
          <cell r="E4127" t="str">
            <v>UN</v>
          </cell>
          <cell r="F4127">
            <v>4024000</v>
          </cell>
          <cell r="G4127">
            <v>42702</v>
          </cell>
        </row>
        <row r="4128">
          <cell r="C4128">
            <v>7785</v>
          </cell>
          <cell r="D4128" t="str">
            <v>Suministro De Tapon Union Mecanica De 300 Mm Hd Pn 16</v>
          </cell>
          <cell r="E4128" t="str">
            <v>UN</v>
          </cell>
          <cell r="F4128">
            <v>837520</v>
          </cell>
          <cell r="G4128">
            <v>42702</v>
          </cell>
        </row>
        <row r="4129">
          <cell r="C4129">
            <v>7786</v>
          </cell>
          <cell r="D4129" t="str">
            <v>Instalacion De Tuberia De Hd De 300 Mm (12")</v>
          </cell>
          <cell r="E4129" t="str">
            <v>ML</v>
          </cell>
          <cell r="F4129">
            <v>9750</v>
          </cell>
          <cell r="G4129">
            <v>42699</v>
          </cell>
        </row>
        <row r="4130">
          <cell r="C4130">
            <v>7787</v>
          </cell>
          <cell r="D4130" t="str">
            <v>Instalacion De Tuberia De Hd De 400 Mm (16")</v>
          </cell>
          <cell r="E4130" t="str">
            <v>ML</v>
          </cell>
          <cell r="F4130">
            <v>13500</v>
          </cell>
          <cell r="G4130">
            <v>42699</v>
          </cell>
        </row>
        <row r="4131">
          <cell r="C4131">
            <v>7788</v>
          </cell>
          <cell r="D4131" t="str">
            <v>Suministro De Tee 400X 400X 400 Mm (16") En Hd. Norma Iso Pn 16</v>
          </cell>
          <cell r="E4131" t="str">
            <v>UN</v>
          </cell>
          <cell r="F4131">
            <v>4024000</v>
          </cell>
          <cell r="G4131">
            <v>42702</v>
          </cell>
        </row>
        <row r="4132">
          <cell r="C4132">
            <v>7789</v>
          </cell>
          <cell r="D4132" t="str">
            <v>P. B. O. Relleno En Material Seleccionado Y Compactado Para Anden Y Zona De Calzada Donde Se Requiera</v>
          </cell>
          <cell r="E4132" t="str">
            <v>M3</v>
          </cell>
          <cell r="F4132">
            <v>66853.679999999993</v>
          </cell>
          <cell r="G4132">
            <v>42740</v>
          </cell>
        </row>
        <row r="4133">
          <cell r="C4133">
            <v>7790</v>
          </cell>
          <cell r="D4133" t="str">
            <v>B. P. O. Acero De Refuerzo De 1/2" 60.000 Psi Legitimo Para Placas De Pavimento Irregulares Cuantia 8 Kg/M2</v>
          </cell>
          <cell r="E4133" t="str">
            <v>KG</v>
          </cell>
          <cell r="F4133">
            <v>3619.4</v>
          </cell>
          <cell r="G4133">
            <v>42740</v>
          </cell>
        </row>
        <row r="4134">
          <cell r="C4134">
            <v>7791</v>
          </cell>
          <cell r="D4134" t="str">
            <v>P. B. O. Demolicion De Cuneta Y Retiro De Material</v>
          </cell>
          <cell r="E4134" t="str">
            <v>M2</v>
          </cell>
          <cell r="F4134">
            <v>10218.32</v>
          </cell>
          <cell r="G4134">
            <v>42740</v>
          </cell>
        </row>
        <row r="4135">
          <cell r="C4135">
            <v>7792</v>
          </cell>
          <cell r="D4135" t="str">
            <v>P. B. O. Demolicion De Bordillo Y Retiro De Material</v>
          </cell>
          <cell r="E4135" t="str">
            <v>ML</v>
          </cell>
          <cell r="F4135">
            <v>5859.33</v>
          </cell>
          <cell r="G4135">
            <v>42740</v>
          </cell>
        </row>
        <row r="4136">
          <cell r="C4136">
            <v>7793</v>
          </cell>
          <cell r="D4136" t="str">
            <v>P. B. O. Bordillo En Concreto De 500 Psi A La Flexion Mezclado En Planta Y Transportado Al Sitio Especificado, Bordillo De 0,15 X 0,30 M., Incluye Acero De 3/8 Longitudinal Y Grapas De 3/8 A 0.50 Mt De 60,000 Psi Legitimo</v>
          </cell>
          <cell r="E4136" t="str">
            <v>ML</v>
          </cell>
          <cell r="F4136">
            <v>42065.47</v>
          </cell>
          <cell r="G4136">
            <v>42740</v>
          </cell>
        </row>
        <row r="4137">
          <cell r="C4137">
            <v>7794</v>
          </cell>
          <cell r="D4137" t="str">
            <v>P. B. O. Reconstruccion De Registros Alcantarillado 0.60M X 0.60M</v>
          </cell>
          <cell r="E4137" t="str">
            <v>UN</v>
          </cell>
          <cell r="F4137">
            <v>107368.09</v>
          </cell>
          <cell r="G4137">
            <v>42740</v>
          </cell>
        </row>
        <row r="4138">
          <cell r="C4138">
            <v>7795</v>
          </cell>
          <cell r="D4138" t="str">
            <v>P. B. O. Base En Suelo-Cemento Proporción 1:20 E=0.20 M. Para Pavimento Rigido</v>
          </cell>
          <cell r="E4138" t="str">
            <v>M2</v>
          </cell>
          <cell r="F4138">
            <v>32955.050000000003</v>
          </cell>
          <cell r="G4138">
            <v>42740</v>
          </cell>
        </row>
        <row r="4139">
          <cell r="C4139">
            <v>7796</v>
          </cell>
          <cell r="D4139" t="str">
            <v>P. B. O. Corte, Demolicion Y Retiro De Pavimento De Concreto Rigido Y/O Asfaltico</v>
          </cell>
          <cell r="E4139" t="str">
            <v>M2</v>
          </cell>
          <cell r="F4139">
            <v>16208.8</v>
          </cell>
          <cell r="G4139">
            <v>42740</v>
          </cell>
        </row>
        <row r="4140">
          <cell r="C4140">
            <v>7800</v>
          </cell>
          <cell r="D4140" t="str">
            <v>P. B. O.  Suministro E Instalacion Alarma</v>
          </cell>
          <cell r="E4140" t="str">
            <v>UN</v>
          </cell>
          <cell r="F4140">
            <v>31454.79</v>
          </cell>
          <cell r="G4140">
            <v>42740</v>
          </cell>
        </row>
        <row r="4141">
          <cell r="C4141">
            <v>7801</v>
          </cell>
          <cell r="D4141" t="str">
            <v>P. B. O. Anden En Concreto Premezclado Fc=3,000 Psi E=0.07 M. (Incluye Rampa Para Discapacitados)</v>
          </cell>
          <cell r="E4141" t="str">
            <v>M2</v>
          </cell>
          <cell r="F4141">
            <v>48026.25</v>
          </cell>
          <cell r="G4141">
            <v>42740</v>
          </cell>
        </row>
        <row r="4142">
          <cell r="C4142">
            <v>7802</v>
          </cell>
          <cell r="D4142" t="str">
            <v>P. B. O. Concreto Asfaltico Para Parcheo E=0,05 M Incluye Imprimacion</v>
          </cell>
          <cell r="E4142" t="str">
            <v>M3</v>
          </cell>
          <cell r="F4142">
            <v>677321.51</v>
          </cell>
          <cell r="G4142">
            <v>42740</v>
          </cell>
        </row>
        <row r="4143">
          <cell r="C4143">
            <v>7803</v>
          </cell>
          <cell r="D4143" t="str">
            <v>P. B. O. Concreto De Fc= 3.000 Psi,  Para Box-Coulvert, Pasos Peatonales Y Muros,Incluye 100 Kg/M3 De Acero Fy=60.000 Psi</v>
          </cell>
          <cell r="E4143" t="str">
            <v>M3</v>
          </cell>
          <cell r="F4143">
            <v>984919.6</v>
          </cell>
          <cell r="G4143">
            <v>42740</v>
          </cell>
        </row>
        <row r="4144">
          <cell r="C4144">
            <v>7804</v>
          </cell>
          <cell r="D4144" t="str">
            <v>P. B. O. Sobre Carpeta En Concreto Asfaltico E=0,05 M, Incluye Riego De Liga, Acabado Con Finisher Y Rodillos Vibratorio Y De Llantas</v>
          </cell>
          <cell r="E4144" t="str">
            <v>M3</v>
          </cell>
          <cell r="F4144">
            <v>687442.26</v>
          </cell>
          <cell r="G4144">
            <v>42740</v>
          </cell>
        </row>
        <row r="4145">
          <cell r="C4145">
            <v>7805</v>
          </cell>
          <cell r="D4145" t="str">
            <v>P. B. O. Construccion De Filtros- Geotextil Nt-1800-Triturado 0.40 X 0.60 M. Tuberia De 4" Pvc, Incluye Excavación Y Sellado En Arena Gruesa</v>
          </cell>
          <cell r="E4145" t="str">
            <v>ML</v>
          </cell>
          <cell r="F4145">
            <v>80217.7</v>
          </cell>
          <cell r="G4145">
            <v>42741</v>
          </cell>
        </row>
        <row r="4146">
          <cell r="C4146">
            <v>7806</v>
          </cell>
          <cell r="D4146" t="str">
            <v>P. B. O. Pavimento En Concreto De 500 Psi A La Flexion Mezclado En Planta Y Transportado Al Sitio Especificado De 0,15 Mt, Incluye Pasadores De 3/4 Liso A 0,30 M Y De 1/2 Corrugado A 1,00 M De Separacion, Canastilla De Soporte Para Dovelas, Junta En Silicona, Cortadora De Pavimento Y Aditivo Curador De Superficie,  Incluye Nivelacion Y Replanteo (Topografia)</v>
          </cell>
          <cell r="E4146" t="str">
            <v>M2</v>
          </cell>
          <cell r="F4146">
            <v>105298.27</v>
          </cell>
          <cell r="G4146">
            <v>42740</v>
          </cell>
        </row>
        <row r="4147">
          <cell r="C4147">
            <v>7807</v>
          </cell>
          <cell r="D4147" t="str">
            <v>P. B. O. Excavacion Y Retiro De Material Comun, Incluye Nivelacion Y Replanteo (Topografia)</v>
          </cell>
          <cell r="E4147" t="str">
            <v>M3</v>
          </cell>
          <cell r="F4147">
            <v>21381.8</v>
          </cell>
          <cell r="G4147">
            <v>42740</v>
          </cell>
        </row>
        <row r="4148">
          <cell r="C4148">
            <v>7809</v>
          </cell>
          <cell r="D4148" t="str">
            <v>P. B. O. Relleno Compactado En Piedra Cimiento Para Fallos</v>
          </cell>
          <cell r="E4148" t="str">
            <v>M3</v>
          </cell>
          <cell r="F4148">
            <v>85193.08</v>
          </cell>
          <cell r="G4148">
            <v>42740</v>
          </cell>
        </row>
        <row r="4149">
          <cell r="C4149">
            <v>7811</v>
          </cell>
          <cell r="D4149" t="str">
            <v>P. B. O. Conexiones Domiciliarias De Alcantarillado En 6" Tuberia Novafort  Longitud Hasta 6 M., Incluye Excavación Y Relleno</v>
          </cell>
          <cell r="E4149" t="str">
            <v>UN</v>
          </cell>
          <cell r="F4149">
            <v>280105.34999999998</v>
          </cell>
          <cell r="G4149">
            <v>42740</v>
          </cell>
        </row>
        <row r="4150">
          <cell r="C4150">
            <v>7813</v>
          </cell>
          <cell r="D4150" t="str">
            <v>P. B. O. Suministro E Instalacion Y/O Reparacion De Domiciliarias De Acueducto</v>
          </cell>
          <cell r="E4150" t="str">
            <v>UN</v>
          </cell>
          <cell r="F4150">
            <v>32094.36</v>
          </cell>
          <cell r="G4150">
            <v>42740</v>
          </cell>
        </row>
        <row r="4151">
          <cell r="C4151">
            <v>7814</v>
          </cell>
          <cell r="D4151" t="str">
            <v>P. B. O. Publipostes En Vinilo Con Estructura En Hierro De 1,05 X 2,10, Instalados</v>
          </cell>
          <cell r="E4151" t="str">
            <v>UN</v>
          </cell>
          <cell r="F4151">
            <v>452971.1</v>
          </cell>
          <cell r="G4151">
            <v>42740</v>
          </cell>
        </row>
        <row r="4152">
          <cell r="C4152">
            <v>7820</v>
          </cell>
          <cell r="D4152" t="str">
            <v>P. B. O. Pasacalle De 1 Mt X 6 Mt, Instalados</v>
          </cell>
          <cell r="E4152" t="str">
            <v>UN</v>
          </cell>
          <cell r="F4152">
            <v>251023.31</v>
          </cell>
          <cell r="G4152">
            <v>42740</v>
          </cell>
        </row>
        <row r="4153">
          <cell r="C4153">
            <v>7821</v>
          </cell>
          <cell r="D4153" t="str">
            <v>P. B. O. Cuneta En Concreto Premezclado Fc=3,000 Psi E=0.07 M. (Incluye Rampa Para Discapacitados)</v>
          </cell>
          <cell r="E4153" t="str">
            <v>M2</v>
          </cell>
          <cell r="F4153">
            <v>44430.61</v>
          </cell>
          <cell r="G4153">
            <v>42740</v>
          </cell>
        </row>
        <row r="4154">
          <cell r="C4154">
            <v>7822</v>
          </cell>
          <cell r="D4154" t="str">
            <v>P. B. O. Reparacion De Fugas Agua Potable</v>
          </cell>
          <cell r="E4154" t="str">
            <v>UN</v>
          </cell>
          <cell r="F4154">
            <v>65549.710000000006</v>
          </cell>
          <cell r="G4154">
            <v>42740</v>
          </cell>
        </row>
        <row r="4155">
          <cell r="C4155">
            <v>7823</v>
          </cell>
          <cell r="D4155" t="str">
            <v>P. B. O. Base En Suelo-Cemento Proporción 1:20 E=0.20 M. Para Parcheo En Concreto Asfaltico</v>
          </cell>
          <cell r="E4155" t="str">
            <v>M2</v>
          </cell>
          <cell r="F4155">
            <v>32955.050000000003</v>
          </cell>
          <cell r="G4155">
            <v>42740</v>
          </cell>
        </row>
        <row r="4156">
          <cell r="C4156">
            <v>7825</v>
          </cell>
          <cell r="D4156" t="str">
            <v>Suministro E Instalacion De Tuberia En Hierro Galvanizado De 1 1/2"</v>
          </cell>
          <cell r="E4156" t="str">
            <v>ML</v>
          </cell>
          <cell r="F4156">
            <v>35205.269999999997</v>
          </cell>
          <cell r="G4156">
            <v>42745</v>
          </cell>
        </row>
        <row r="4157">
          <cell r="C4157">
            <v>7826</v>
          </cell>
          <cell r="D4157" t="str">
            <v>Suministro E Instalacion De Accesorio En Hierro Galvanizado De 1 1/2"</v>
          </cell>
          <cell r="E4157" t="str">
            <v>UN</v>
          </cell>
          <cell r="F4157">
            <v>8213.6</v>
          </cell>
          <cell r="G4157">
            <v>42746</v>
          </cell>
        </row>
        <row r="4158">
          <cell r="C4158">
            <v>7831</v>
          </cell>
          <cell r="D4158" t="str">
            <v>Suministro E Instalacion De Copa Excentrica De 2" X  3"</v>
          </cell>
          <cell r="E4158" t="str">
            <v>UN</v>
          </cell>
          <cell r="F4158">
            <v>90687.6</v>
          </cell>
          <cell r="G4158">
            <v>42745</v>
          </cell>
        </row>
        <row r="4159">
          <cell r="C4159">
            <v>7832</v>
          </cell>
          <cell r="D4159" t="str">
            <v>Suministro E Instalacion De Copa Concentrica De 2" X 3"</v>
          </cell>
          <cell r="E4159" t="str">
            <v>UN</v>
          </cell>
          <cell r="F4159">
            <v>70487.600000000006</v>
          </cell>
          <cell r="G4159">
            <v>42745</v>
          </cell>
        </row>
        <row r="4160">
          <cell r="C4160">
            <v>7837</v>
          </cell>
          <cell r="D4160" t="str">
            <v>Suministro E Instalacion De Tuberia Pvc P-Rde 21 De 4"</v>
          </cell>
          <cell r="E4160" t="str">
            <v>ML</v>
          </cell>
          <cell r="F4160">
            <v>80291.460000000006</v>
          </cell>
          <cell r="G4160">
            <v>42746</v>
          </cell>
        </row>
        <row r="4161">
          <cell r="C4161">
            <v>7838</v>
          </cell>
          <cell r="D4161" t="str">
            <v>Suministro E Instalacion De Tuberia Pvc P - Rde 21 De 3"</v>
          </cell>
          <cell r="E4161" t="str">
            <v>ML</v>
          </cell>
          <cell r="F4161">
            <v>50056</v>
          </cell>
          <cell r="G4161">
            <v>42746</v>
          </cell>
        </row>
        <row r="4162">
          <cell r="C4162">
            <v>7850</v>
          </cell>
          <cell r="D4162" t="str">
            <v>Suministro E Instalacion De Tuberia Cpvc De 3/4"</v>
          </cell>
          <cell r="E4162" t="str">
            <v>ML</v>
          </cell>
          <cell r="F4162">
            <v>16077.77</v>
          </cell>
          <cell r="G4162">
            <v>42746</v>
          </cell>
        </row>
        <row r="4163">
          <cell r="C4163">
            <v>7851</v>
          </cell>
          <cell r="D4163" t="str">
            <v>Suministro E Instalacion De Tuberia Cpvc De 1/2"</v>
          </cell>
          <cell r="E4163" t="str">
            <v>ML</v>
          </cell>
          <cell r="F4163">
            <v>10535.8</v>
          </cell>
          <cell r="G4163">
            <v>42746</v>
          </cell>
        </row>
        <row r="4164">
          <cell r="C4164">
            <v>7852</v>
          </cell>
          <cell r="D4164" t="str">
            <v>Suministro E Instalacion De Tuberia Pvc De 3"</v>
          </cell>
          <cell r="E4164" t="str">
            <v>ML</v>
          </cell>
          <cell r="F4164">
            <v>24080.799999999999</v>
          </cell>
          <cell r="G4164">
            <v>42746</v>
          </cell>
        </row>
        <row r="4165">
          <cell r="C4165">
            <v>7855</v>
          </cell>
          <cell r="D4165" t="str">
            <v>Suministro E Instalacion De Accesorio En Hierro Galvanizado De 3"</v>
          </cell>
          <cell r="E4165" t="str">
            <v>UN</v>
          </cell>
          <cell r="F4165">
            <v>8213.6</v>
          </cell>
          <cell r="G4165">
            <v>42746</v>
          </cell>
        </row>
        <row r="4166">
          <cell r="C4166">
            <v>7856</v>
          </cell>
          <cell r="D4166" t="str">
            <v>Suministro E Instalacion De Accesorio En Hierro Galvanizado De 4"</v>
          </cell>
          <cell r="E4166" t="str">
            <v>UN</v>
          </cell>
          <cell r="F4166">
            <v>8213.6</v>
          </cell>
          <cell r="G4166">
            <v>42746</v>
          </cell>
        </row>
        <row r="4167">
          <cell r="C4167">
            <v>7857</v>
          </cell>
          <cell r="D4167" t="str">
            <v>Suministro E Instalacion De Abrazadera De 1 1/2"</v>
          </cell>
          <cell r="E4167" t="str">
            <v>UN</v>
          </cell>
          <cell r="F4167">
            <v>5247.84</v>
          </cell>
          <cell r="G4167">
            <v>42746</v>
          </cell>
        </row>
        <row r="4168">
          <cell r="C4168">
            <v>7859</v>
          </cell>
          <cell r="D4168" t="str">
            <v>Abrazadera Doble Galvanizada De 4"</v>
          </cell>
          <cell r="E4168" t="str">
            <v>UN</v>
          </cell>
          <cell r="F4168">
            <v>5800</v>
          </cell>
          <cell r="G4168">
            <v>42746</v>
          </cell>
        </row>
        <row r="4169">
          <cell r="C4169">
            <v>7861</v>
          </cell>
          <cell r="D4169" t="str">
            <v>Suministro E Instalacion De Abrazadera De 4"</v>
          </cell>
          <cell r="E4169" t="str">
            <v>UN</v>
          </cell>
          <cell r="F4169">
            <v>5297.84</v>
          </cell>
          <cell r="G4169">
            <v>42746</v>
          </cell>
        </row>
        <row r="4170">
          <cell r="C4170">
            <v>7862</v>
          </cell>
          <cell r="D4170" t="str">
            <v>Suministro E Instalacion De Registro Paso Directo De 3/4"</v>
          </cell>
          <cell r="E4170" t="str">
            <v>UN</v>
          </cell>
          <cell r="F4170">
            <v>49978.8</v>
          </cell>
          <cell r="G4170">
            <v>42746</v>
          </cell>
        </row>
        <row r="4171">
          <cell r="C4171">
            <v>7865</v>
          </cell>
          <cell r="D4171" t="str">
            <v>Suministro E Instalacion De Registro Paso Directo De 4''</v>
          </cell>
          <cell r="E4171" t="str">
            <v>UN</v>
          </cell>
          <cell r="F4171">
            <v>1480419.59</v>
          </cell>
          <cell r="G4171">
            <v>42746</v>
          </cell>
        </row>
        <row r="4172">
          <cell r="C4172">
            <v>7867</v>
          </cell>
          <cell r="D4172" t="str">
            <v>Suministro E Instalación De Registro Paso Directo De 3''</v>
          </cell>
          <cell r="E4172" t="str">
            <v>UN</v>
          </cell>
          <cell r="F4172">
            <v>641364.4</v>
          </cell>
          <cell r="G4172">
            <v>42746</v>
          </cell>
        </row>
        <row r="4173">
          <cell r="C4173">
            <v>7870</v>
          </cell>
          <cell r="D4173" t="str">
            <v>Suministro E Instalación De Registro Paso Directo De 1 1/2''</v>
          </cell>
          <cell r="E4173" t="str">
            <v>UN</v>
          </cell>
          <cell r="F4173">
            <v>173585.6</v>
          </cell>
          <cell r="G4173">
            <v>42746</v>
          </cell>
        </row>
        <row r="4174">
          <cell r="C4174">
            <v>7871</v>
          </cell>
          <cell r="D4174" t="str">
            <v>Suministro E Instalación De  Registro Paso Directo De 1/2''</v>
          </cell>
          <cell r="E4174" t="str">
            <v>UN</v>
          </cell>
          <cell r="F4174">
            <v>56864.800000000003</v>
          </cell>
          <cell r="G4174">
            <v>42746</v>
          </cell>
        </row>
        <row r="4175">
          <cell r="C4175">
            <v>7875</v>
          </cell>
          <cell r="D4175" t="str">
            <v>Suministro E Instalacion De Cheque De 4"</v>
          </cell>
          <cell r="E4175" t="str">
            <v>UN</v>
          </cell>
          <cell r="F4175">
            <v>1023930.36</v>
          </cell>
          <cell r="G4175">
            <v>42746</v>
          </cell>
        </row>
        <row r="4176">
          <cell r="C4176">
            <v>7877</v>
          </cell>
          <cell r="D4176" t="str">
            <v>Suministro E Instalacion De Cheque De 3"</v>
          </cell>
          <cell r="E4176" t="str">
            <v>UN</v>
          </cell>
          <cell r="F4176">
            <v>604773.28</v>
          </cell>
          <cell r="G4176">
            <v>42746</v>
          </cell>
        </row>
        <row r="4177">
          <cell r="C4177">
            <v>7878</v>
          </cell>
          <cell r="D4177" t="str">
            <v>Suministro E Instalación De Valvula Maxivent  O Similar De 3"</v>
          </cell>
          <cell r="E4177" t="str">
            <v>UN</v>
          </cell>
          <cell r="F4177">
            <v>205989.44</v>
          </cell>
          <cell r="G4177">
            <v>42746</v>
          </cell>
        </row>
        <row r="4178">
          <cell r="C4178">
            <v>7880</v>
          </cell>
          <cell r="D4178" t="str">
            <v>Suministro E Instalación De Abrazaderas</v>
          </cell>
          <cell r="E4178" t="str">
            <v>UN</v>
          </cell>
          <cell r="F4178">
            <v>7393.88</v>
          </cell>
          <cell r="G4178">
            <v>42746</v>
          </cell>
        </row>
        <row r="4179">
          <cell r="C4179">
            <v>7881</v>
          </cell>
          <cell r="D4179" t="str">
            <v>Suministro E Instalación De Cheque Perforado De  1 1/2''</v>
          </cell>
          <cell r="E4179" t="str">
            <v>UN</v>
          </cell>
          <cell r="F4179">
            <v>197970.37</v>
          </cell>
          <cell r="G4179">
            <v>42746</v>
          </cell>
        </row>
        <row r="4180">
          <cell r="C4180">
            <v>7889</v>
          </cell>
          <cell r="D4180" t="str">
            <v>Suministro E Instalación De Junta De Expansion Borracha De 2''</v>
          </cell>
          <cell r="E4180" t="str">
            <v>UN</v>
          </cell>
          <cell r="F4180">
            <v>112071.7</v>
          </cell>
          <cell r="G4180">
            <v>42746</v>
          </cell>
        </row>
        <row r="4181">
          <cell r="C4181">
            <v>7890</v>
          </cell>
          <cell r="D4181" t="str">
            <v>Suministro E Instalación De Valvula De Pie Con Coladera De 3''</v>
          </cell>
          <cell r="E4181" t="str">
            <v>UN</v>
          </cell>
          <cell r="F4181">
            <v>194244.64</v>
          </cell>
          <cell r="G4181">
            <v>42746</v>
          </cell>
        </row>
        <row r="4182">
          <cell r="C4182">
            <v>7891</v>
          </cell>
          <cell r="D4182" t="str">
            <v>Suministro E Instalación De Bridas De 2''</v>
          </cell>
          <cell r="E4182" t="str">
            <v>UN</v>
          </cell>
          <cell r="F4182">
            <v>79531.16</v>
          </cell>
          <cell r="G4182">
            <v>42746</v>
          </cell>
        </row>
        <row r="4183">
          <cell r="C4183">
            <v>7892</v>
          </cell>
          <cell r="D4183" t="str">
            <v>Suministro E Instalación De Bridas De 4''</v>
          </cell>
          <cell r="E4183" t="str">
            <v>UN</v>
          </cell>
          <cell r="F4183">
            <v>225497.88</v>
          </cell>
          <cell r="G4183">
            <v>42746</v>
          </cell>
        </row>
        <row r="4184">
          <cell r="C4184">
            <v>7893</v>
          </cell>
          <cell r="D4184" t="str">
            <v>Suministro E Instalación De Manometros</v>
          </cell>
          <cell r="E4184" t="str">
            <v>UN</v>
          </cell>
          <cell r="F4184">
            <v>25923.38</v>
          </cell>
          <cell r="G4184">
            <v>42746</v>
          </cell>
        </row>
        <row r="4185">
          <cell r="C4185">
            <v>7894</v>
          </cell>
          <cell r="D4185" t="str">
            <v>Suministro E Instalación De  Registro Paso Directo De 1 1/4''</v>
          </cell>
          <cell r="E4185" t="str">
            <v>UN</v>
          </cell>
          <cell r="F4185">
            <v>127189.96</v>
          </cell>
          <cell r="G4185">
            <v>42746</v>
          </cell>
        </row>
        <row r="4186">
          <cell r="C4186">
            <v>7895</v>
          </cell>
          <cell r="D4186" t="str">
            <v>Suministro E Instalación De  Registro Paso Directo De 1 ''</v>
          </cell>
          <cell r="E4186" t="str">
            <v>UN</v>
          </cell>
          <cell r="F4186">
            <v>95203.97</v>
          </cell>
          <cell r="G4186">
            <v>42746</v>
          </cell>
        </row>
        <row r="4187">
          <cell r="C4187">
            <v>7896</v>
          </cell>
          <cell r="D4187" t="str">
            <v>Box Coulvert En Concreto Reforzado 3000Psi A=1,00 H=1,00  E=0,12M Incluye Acero De Refuerzo</v>
          </cell>
          <cell r="E4187" t="str">
            <v>ML</v>
          </cell>
          <cell r="F4187">
            <v>453488.94</v>
          </cell>
          <cell r="G4187">
            <v>42746</v>
          </cell>
        </row>
        <row r="4188">
          <cell r="C4188">
            <v>7910</v>
          </cell>
          <cell r="D4188" t="str">
            <v>Suministro E Instalación De Tubería Acero Negro Sch 40  De 1 1/4"</v>
          </cell>
          <cell r="E4188" t="str">
            <v>ML</v>
          </cell>
          <cell r="F4188">
            <v>26256.3</v>
          </cell>
          <cell r="G4188">
            <v>42746</v>
          </cell>
        </row>
        <row r="4189">
          <cell r="C4189">
            <v>7911</v>
          </cell>
          <cell r="D4189" t="str">
            <v>Suministro E Instalación De Tubería Acero Negro Sch 40  -  1"</v>
          </cell>
          <cell r="E4189" t="str">
            <v>ML</v>
          </cell>
          <cell r="F4189">
            <v>21343.4</v>
          </cell>
          <cell r="G4189">
            <v>42746</v>
          </cell>
        </row>
        <row r="4190">
          <cell r="C4190">
            <v>7914</v>
          </cell>
          <cell r="D4190" t="str">
            <v>Caja De Inspección 0,6 * 0,6</v>
          </cell>
          <cell r="E4190" t="str">
            <v>UN</v>
          </cell>
          <cell r="F4190">
            <v>299992.09999999998</v>
          </cell>
          <cell r="G4190">
            <v>42746</v>
          </cell>
        </row>
        <row r="4191">
          <cell r="C4191">
            <v>7915</v>
          </cell>
          <cell r="D4191" t="str">
            <v>Suministro E Instalación De Sistema De Presión De Agua Potable</v>
          </cell>
          <cell r="E4191" t="str">
            <v>UN</v>
          </cell>
          <cell r="F4191">
            <v>549727.81000000006</v>
          </cell>
          <cell r="G4191">
            <v>42746</v>
          </cell>
        </row>
        <row r="4192">
          <cell r="C4192">
            <v>7916</v>
          </cell>
          <cell r="D4192" t="str">
            <v>Suministro E Instalación De Equipo Red Contra Incendio</v>
          </cell>
          <cell r="E4192" t="str">
            <v>UN</v>
          </cell>
          <cell r="F4192">
            <v>716755.59</v>
          </cell>
          <cell r="G4192">
            <v>42746</v>
          </cell>
        </row>
        <row r="4193">
          <cell r="C4193">
            <v>7917</v>
          </cell>
          <cell r="D4193" t="str">
            <v>Suministro E Instalación De Accesorio Acero Negro Sch 40  De  1"</v>
          </cell>
          <cell r="E4193" t="str">
            <v>UN</v>
          </cell>
          <cell r="F4193">
            <v>11208.48</v>
          </cell>
          <cell r="G4193">
            <v>42747</v>
          </cell>
        </row>
        <row r="4194">
          <cell r="C4194">
            <v>7918</v>
          </cell>
          <cell r="D4194" t="str">
            <v>Suministro E Instalación De Strap  2"  De 1 1/4"</v>
          </cell>
          <cell r="E4194" t="str">
            <v>UN</v>
          </cell>
          <cell r="F4194">
            <v>12813.54</v>
          </cell>
          <cell r="G4194">
            <v>42747</v>
          </cell>
        </row>
        <row r="4195">
          <cell r="C4195">
            <v>7919</v>
          </cell>
          <cell r="D4195" t="str">
            <v>Suministro E Instalación De Strap  2" De 1"</v>
          </cell>
          <cell r="E4195" t="str">
            <v>UN</v>
          </cell>
          <cell r="F4195">
            <v>12210.57</v>
          </cell>
          <cell r="G4195">
            <v>42747</v>
          </cell>
        </row>
        <row r="4196">
          <cell r="C4196">
            <v>7920</v>
          </cell>
          <cell r="D4196" t="str">
            <v>Suministro E Instalación De Strap  1 1/4" De 1"</v>
          </cell>
          <cell r="E4196" t="str">
            <v>UN</v>
          </cell>
          <cell r="F4196">
            <v>10705.06</v>
          </cell>
          <cell r="G4196">
            <v>42747</v>
          </cell>
        </row>
        <row r="4197">
          <cell r="C4197">
            <v>7921</v>
          </cell>
          <cell r="D4197" t="str">
            <v>Suministro E Instalación De Gabinete Tipo Iii</v>
          </cell>
          <cell r="E4197" t="str">
            <v>UN</v>
          </cell>
          <cell r="F4197">
            <v>1321789.6000000001</v>
          </cell>
          <cell r="G4197">
            <v>42747</v>
          </cell>
        </row>
        <row r="4198">
          <cell r="C4198">
            <v>7922</v>
          </cell>
          <cell r="D4198" t="str">
            <v>Suministro E Instalación De Cheque Siamesa De 4"</v>
          </cell>
          <cell r="E4198" t="str">
            <v>UN</v>
          </cell>
          <cell r="F4198">
            <v>1023930.36</v>
          </cell>
          <cell r="G4198">
            <v>42747</v>
          </cell>
        </row>
        <row r="4199">
          <cell r="C4199">
            <v>7923</v>
          </cell>
          <cell r="D4199" t="str">
            <v>Suministro E Instalación De Cheque De 2"</v>
          </cell>
          <cell r="E4199" t="str">
            <v>UN</v>
          </cell>
          <cell r="F4199">
            <v>263691.02</v>
          </cell>
          <cell r="G4199">
            <v>42747</v>
          </cell>
        </row>
        <row r="4200">
          <cell r="C4200">
            <v>7924</v>
          </cell>
          <cell r="D4200" t="str">
            <v>Suministro E Instalacion De Valvula Con Sensor De Flujo De 2"</v>
          </cell>
          <cell r="E4200" t="str">
            <v>UN</v>
          </cell>
          <cell r="F4200">
            <v>426471.61</v>
          </cell>
          <cell r="G4200">
            <v>42747</v>
          </cell>
        </row>
        <row r="4201">
          <cell r="C4201">
            <v>7925</v>
          </cell>
          <cell r="D4201" t="str">
            <v>Suministro E Instalación De Vávlvula Mariposa De 2"</v>
          </cell>
          <cell r="E4201" t="str">
            <v>UN</v>
          </cell>
          <cell r="F4201">
            <v>521288.83</v>
          </cell>
          <cell r="G4201">
            <v>42747</v>
          </cell>
        </row>
        <row r="4202">
          <cell r="C4202">
            <v>7926</v>
          </cell>
          <cell r="D4202" t="str">
            <v>Suministro E Instalación De Tuberia Acero De 6"</v>
          </cell>
          <cell r="E4202" t="str">
            <v>UN</v>
          </cell>
          <cell r="F4202">
            <v>301926.55</v>
          </cell>
          <cell r="G4202">
            <v>42747</v>
          </cell>
        </row>
        <row r="4203">
          <cell r="C4203">
            <v>7928</v>
          </cell>
          <cell r="D4203" t="str">
            <v>Suministro E Instalación De Tubería Polietileno De Alta Densidad Rde-17 - 6"</v>
          </cell>
          <cell r="E4203" t="str">
            <v>ML</v>
          </cell>
          <cell r="F4203">
            <v>150708.29</v>
          </cell>
          <cell r="G4203">
            <v>42747</v>
          </cell>
        </row>
        <row r="4204">
          <cell r="C4204">
            <v>7931</v>
          </cell>
          <cell r="D4204" t="str">
            <v>Suministro E Instalación De Accesorio Polietileno De Alta Densidad De 6"</v>
          </cell>
          <cell r="E4204" t="str">
            <v>UN</v>
          </cell>
          <cell r="F4204">
            <v>142977.68</v>
          </cell>
          <cell r="G4204">
            <v>42747</v>
          </cell>
        </row>
        <row r="4205">
          <cell r="C4205">
            <v>7932</v>
          </cell>
          <cell r="D4205" t="str">
            <v>Colocacion De Malla Electrosoldada U-84</v>
          </cell>
          <cell r="E4205" t="str">
            <v>KG</v>
          </cell>
          <cell r="F4205">
            <v>4995.1899999999996</v>
          </cell>
          <cell r="G4205">
            <v>42747</v>
          </cell>
        </row>
        <row r="4206">
          <cell r="C4206">
            <v>7934</v>
          </cell>
          <cell r="D4206" t="str">
            <v>Suministro E Instalación De Tubería Polietileno De Alta Densidad Rde-17 - 4"</v>
          </cell>
          <cell r="E4206" t="str">
            <v>ML</v>
          </cell>
          <cell r="F4206">
            <v>80526.06</v>
          </cell>
          <cell r="G4206">
            <v>42747</v>
          </cell>
        </row>
        <row r="4207">
          <cell r="C4207">
            <v>7937</v>
          </cell>
          <cell r="D4207" t="str">
            <v>Suministro E Instalación Deaccesorio Polietileno De Alta Densidad - 4"</v>
          </cell>
          <cell r="E4207" t="str">
            <v>UN</v>
          </cell>
          <cell r="F4207">
            <v>51318.68</v>
          </cell>
          <cell r="G4207">
            <v>42747</v>
          </cell>
        </row>
        <row r="4208">
          <cell r="C4208">
            <v>7938</v>
          </cell>
          <cell r="D4208" t="str">
            <v>Pintura Muros Norte Pintura Viniltex Acriltex Pintuco Color Pantone 3546C Rojo, O Similar , 3 Manos</v>
          </cell>
          <cell r="E4208" t="str">
            <v>M2</v>
          </cell>
          <cell r="F4208">
            <v>6222.73</v>
          </cell>
          <cell r="G4208">
            <v>42747</v>
          </cell>
        </row>
        <row r="4209">
          <cell r="C4209">
            <v>7940</v>
          </cell>
          <cell r="D4209" t="str">
            <v>Suministro E Instalación De Tubería Polietileno De Alta Densidad Rde-17  De 2  1/2"</v>
          </cell>
          <cell r="E4209" t="str">
            <v>ML</v>
          </cell>
          <cell r="F4209">
            <v>46643.4</v>
          </cell>
          <cell r="G4209">
            <v>42747</v>
          </cell>
        </row>
        <row r="4210">
          <cell r="C4210">
            <v>7942</v>
          </cell>
          <cell r="D4210" t="str">
            <v>Placa De Contrapiso 3000 Psi  E = 0.15 Metros</v>
          </cell>
          <cell r="E4210" t="str">
            <v>M2</v>
          </cell>
          <cell r="F4210">
            <v>80323.929999999993</v>
          </cell>
          <cell r="G4210">
            <v>42747</v>
          </cell>
        </row>
        <row r="4211">
          <cell r="C4211">
            <v>7943</v>
          </cell>
          <cell r="D4211" t="str">
            <v>Suministro E Instalación De Accesorio Polietileno De Alta Densidad  - 2  1/2"</v>
          </cell>
          <cell r="E4211" t="str">
            <v>UN</v>
          </cell>
          <cell r="F4211">
            <v>30295.759999999998</v>
          </cell>
          <cell r="G4211">
            <v>42747</v>
          </cell>
        </row>
        <row r="4212">
          <cell r="C4212">
            <v>7945</v>
          </cell>
          <cell r="D4212" t="str">
            <v>Suministro E Instalación De Tubería Acero Negro Sch 40  De 2  1/2"</v>
          </cell>
          <cell r="E4212" t="str">
            <v>ML</v>
          </cell>
          <cell r="F4212">
            <v>57853.18</v>
          </cell>
          <cell r="G4212">
            <v>42747</v>
          </cell>
        </row>
        <row r="4213">
          <cell r="C4213">
            <v>7949</v>
          </cell>
          <cell r="D4213" t="str">
            <v>Suministro E Instalación De Accesorio Acero Negro Sch 40  De 2  1/2"</v>
          </cell>
          <cell r="E4213" t="str">
            <v>UN</v>
          </cell>
          <cell r="F4213">
            <v>27590.6</v>
          </cell>
          <cell r="G4213">
            <v>42747</v>
          </cell>
        </row>
        <row r="4214">
          <cell r="C4214">
            <v>7951</v>
          </cell>
          <cell r="D4214" t="str">
            <v>Suministro E Instalación De Tubería Acero Negro Sch 40  - 2"</v>
          </cell>
          <cell r="E4214" t="str">
            <v>ML</v>
          </cell>
          <cell r="F4214">
            <v>38899.839999999997</v>
          </cell>
          <cell r="G4214">
            <v>42747</v>
          </cell>
        </row>
        <row r="4215">
          <cell r="C4215">
            <v>7954</v>
          </cell>
          <cell r="D4215" t="str">
            <v>Suministro E Instalación De Accesorio Acero Negro Sch 40  De 2"</v>
          </cell>
          <cell r="E4215" t="str">
            <v>UN</v>
          </cell>
          <cell r="F4215">
            <v>20371.68</v>
          </cell>
          <cell r="G4215">
            <v>42747</v>
          </cell>
        </row>
        <row r="4216">
          <cell r="C4216">
            <v>7956</v>
          </cell>
          <cell r="D4216" t="str">
            <v>Suministro E Instalacion De P-01- Puerta  Doble Abatible  - Marco En Aluminio Anonizado Natural Y Hojas  Con Estructura En Aluminio 4 X 1 3/4" Perfiles Horizontales En Aluminio 1 1/2 X 3/4 Natural</v>
          </cell>
          <cell r="E4216" t="str">
            <v>M2</v>
          </cell>
          <cell r="F4216">
            <v>387377.75</v>
          </cell>
          <cell r="G4216">
            <v>42747</v>
          </cell>
        </row>
        <row r="4217">
          <cell r="C4217">
            <v>7958</v>
          </cell>
          <cell r="D4217" t="str">
            <v>Suministro E Instalacion De P-02 - Puerta Batiente Maciza  En Aluminio  - Acabado Anonizado Natural.</v>
          </cell>
          <cell r="E4217" t="str">
            <v>M2</v>
          </cell>
          <cell r="F4217">
            <v>487877.75</v>
          </cell>
          <cell r="G4217">
            <v>42747</v>
          </cell>
        </row>
        <row r="4218">
          <cell r="C4218">
            <v>7960</v>
          </cell>
          <cell r="D4218" t="str">
            <v>Suministro E Instalacion De P-04 Puerta Doble Con Rejilla Acordeon -  Aluminio Acabado Anonizado Natural</v>
          </cell>
          <cell r="E4218" t="str">
            <v>M2</v>
          </cell>
          <cell r="F4218">
            <v>511877.75</v>
          </cell>
          <cell r="G4218">
            <v>42747</v>
          </cell>
        </row>
        <row r="4219">
          <cell r="C4219">
            <v>7962</v>
          </cell>
          <cell r="D4219" t="str">
            <v>Suministro E Instalacion De P-05 Y P-09- Puerta Batiente Vidrio Laminado 10Mm 5+5 Incoloro +Adhesivo Traslucido  -  Perfileria En Aluminio Anonizado Natural. Manijas En Acero Inoxidable.</v>
          </cell>
          <cell r="E4219" t="str">
            <v>M2</v>
          </cell>
          <cell r="F4219">
            <v>576877.75</v>
          </cell>
          <cell r="G4219">
            <v>42747</v>
          </cell>
        </row>
        <row r="4220">
          <cell r="C4220">
            <v>7964</v>
          </cell>
          <cell r="D4220" t="str">
            <v>Suministro E Instalacion De P-06 - P-13 - Puerta Doble O Batiente Con Rejilla En Aluminio-   Acabado Anonizado Natural.</v>
          </cell>
          <cell r="E4220" t="str">
            <v>M2</v>
          </cell>
          <cell r="F4220">
            <v>504877.75</v>
          </cell>
          <cell r="G4220">
            <v>42747</v>
          </cell>
        </row>
        <row r="4221">
          <cell r="C4221">
            <v>7966</v>
          </cell>
          <cell r="D4221" t="str">
            <v>Suministro E Instalacion De P-7-  Puerta Doble 3 Cuerpos -  Marco En Aluminio Anonizado Natural Y Hojas  Con Estructura En Aluminio 4 X 1 3/4" Perfiles Horizontales En Aluminio 1 1/2 X 3/4 Color Negro</v>
          </cell>
          <cell r="E4221" t="str">
            <v>M2</v>
          </cell>
          <cell r="F4221">
            <v>453877.75</v>
          </cell>
          <cell r="G4221">
            <v>42747</v>
          </cell>
        </row>
        <row r="4222">
          <cell r="C4222">
            <v>7968</v>
          </cell>
          <cell r="D4222" t="str">
            <v>Suministro E Instalacion De P-08 -   Puerta Doble Con Rejilla En Aluminio-   Acabado Anonizado Natural. Dimensiones Según Cuadro De Puertas - Dimensiones 1,60 X 2,20</v>
          </cell>
          <cell r="E4222" t="str">
            <v>M2</v>
          </cell>
          <cell r="F4222">
            <v>663077.75</v>
          </cell>
          <cell r="G4222">
            <v>42747</v>
          </cell>
        </row>
        <row r="4223">
          <cell r="C4223">
            <v>7971</v>
          </cell>
          <cell r="D4223" t="str">
            <v>Suministro E Instalacion De Fachada Vidriada V26-V27 - Fachada Estructura Aluminio Anodizado Natural + Vidrio Láminado Incoloro 3+3</v>
          </cell>
          <cell r="E4223" t="str">
            <v>M2</v>
          </cell>
          <cell r="F4223">
            <v>320000</v>
          </cell>
          <cell r="G4223">
            <v>42747</v>
          </cell>
        </row>
        <row r="4224">
          <cell r="C4224">
            <v>7974</v>
          </cell>
          <cell r="D4224" t="str">
            <v>Suministro E Instalacion De Rejilla Ventilación Rejilla Ventilación En Aluminio Anonizado Natural</v>
          </cell>
          <cell r="E4224" t="str">
            <v>M2</v>
          </cell>
          <cell r="F4224">
            <v>285000</v>
          </cell>
          <cell r="G4224">
            <v>42747</v>
          </cell>
        </row>
        <row r="4225">
          <cell r="C4225">
            <v>7975</v>
          </cell>
          <cell r="D4225" t="str">
            <v>Suministro E Instalacion Deventana V13 -Ventanería Fija Piso Techo En Aluminio Anodizado Color Negro + Vidrio Laminado Incoloro 3+3</v>
          </cell>
          <cell r="E4225" t="str">
            <v>M2</v>
          </cell>
          <cell r="F4225">
            <v>239150.06</v>
          </cell>
          <cell r="G4225">
            <v>42747</v>
          </cell>
        </row>
        <row r="4226">
          <cell r="C4226">
            <v>7976</v>
          </cell>
          <cell r="D4226" t="str">
            <v>Suministro E Instalacion De Ventana V1 -Ventanería En Aluminio Anonizado Natural + Vidrio Incoloro 3+3 De 6Mm + 2 Hojas Correderas + Rejillaperfiles Horizontales Tubulares 1 1/2 X 3/4.</v>
          </cell>
          <cell r="E4226" t="str">
            <v>M2</v>
          </cell>
          <cell r="F4226">
            <v>264600</v>
          </cell>
          <cell r="G4226">
            <v>42747</v>
          </cell>
        </row>
        <row r="4227">
          <cell r="C4227">
            <v>7978</v>
          </cell>
          <cell r="D4227" t="str">
            <v>Suministro E Instalacion De Ventana V2 Y V5 -Ventanería Fija Piso Techo En Aluminio Anonizado Natural + Vidrio Laminado Incoloro 3+3 + Pelicula Adhesiva Traslusida H=1,80M</v>
          </cell>
          <cell r="E4227" t="str">
            <v>M2</v>
          </cell>
          <cell r="F4227">
            <v>253760</v>
          </cell>
          <cell r="G4227">
            <v>42747</v>
          </cell>
        </row>
        <row r="4228">
          <cell r="C4228">
            <v>7979</v>
          </cell>
          <cell r="D4228" t="str">
            <v>Suministro E Instalacion De Ventana V6- V7- V9- V10- V11- V12 - V14 Y V15 -Ventanería Fija Piso Techo En Aluminio Anonizado Natural + Vidrio Laminado Incoloro 5+5</v>
          </cell>
          <cell r="E4228" t="str">
            <v>M2</v>
          </cell>
          <cell r="F4228">
            <v>244000</v>
          </cell>
          <cell r="G4228">
            <v>42747</v>
          </cell>
        </row>
        <row r="4229">
          <cell r="C4229">
            <v>7980</v>
          </cell>
          <cell r="D4229" t="str">
            <v>Suministro E Instalacion De Ventana V3 - V4 Y V8 -Ventanería Fija Piso Techo En Aluminio Anonizado Natural + Vidrio Laminado Incoloro 3+3</v>
          </cell>
          <cell r="E4229" t="str">
            <v>M2</v>
          </cell>
          <cell r="F4229">
            <v>244000</v>
          </cell>
          <cell r="G4229">
            <v>42747</v>
          </cell>
        </row>
        <row r="4230">
          <cell r="C4230">
            <v>7982</v>
          </cell>
          <cell r="D4230" t="str">
            <v>Suministro E Instalación De Tuberia Acero De 2"</v>
          </cell>
          <cell r="E4230" t="str">
            <v>ML</v>
          </cell>
          <cell r="F4230">
            <v>72299.75</v>
          </cell>
          <cell r="G4230">
            <v>42747</v>
          </cell>
        </row>
        <row r="4231">
          <cell r="C4231">
            <v>7985</v>
          </cell>
          <cell r="D4231" t="str">
            <v>Suministro E Instalación De Accesorios Acero  De 6"</v>
          </cell>
          <cell r="E4231" t="str">
            <v>UN</v>
          </cell>
          <cell r="F4231">
            <v>196888.4</v>
          </cell>
          <cell r="G4231">
            <v>42747</v>
          </cell>
        </row>
        <row r="4232">
          <cell r="C4232">
            <v>7989</v>
          </cell>
          <cell r="D4232" t="str">
            <v>Suministro E Instalación De Accesorios Acero  De 4"</v>
          </cell>
          <cell r="E4232" t="str">
            <v>UN</v>
          </cell>
          <cell r="F4232">
            <v>57654.400000000001</v>
          </cell>
          <cell r="G4232">
            <v>42747</v>
          </cell>
        </row>
        <row r="4233">
          <cell r="C4233">
            <v>7992</v>
          </cell>
          <cell r="D4233" t="str">
            <v>Suministro E Instalación De Accesorios Acero De 2"</v>
          </cell>
          <cell r="E4233" t="str">
            <v>UN</v>
          </cell>
          <cell r="F4233">
            <v>16612.5</v>
          </cell>
          <cell r="G4233">
            <v>42747</v>
          </cell>
        </row>
        <row r="4234">
          <cell r="C4234">
            <v>7995</v>
          </cell>
          <cell r="D4234" t="str">
            <v>Suministro E Instalación De Soporte Sencillo De 6"</v>
          </cell>
          <cell r="E4234" t="str">
            <v>UN</v>
          </cell>
          <cell r="F4234">
            <v>13443.6</v>
          </cell>
          <cell r="G4234">
            <v>42747</v>
          </cell>
        </row>
        <row r="4235">
          <cell r="C4235">
            <v>7996</v>
          </cell>
          <cell r="D4235" t="str">
            <v>Suministro E Instalación De Cheques Amortiguados De 6"</v>
          </cell>
          <cell r="E4235" t="str">
            <v>UN</v>
          </cell>
          <cell r="F4235">
            <v>1186507.28</v>
          </cell>
          <cell r="G4235">
            <v>42747</v>
          </cell>
        </row>
        <row r="4236">
          <cell r="C4236">
            <v>7997</v>
          </cell>
          <cell r="D4236" t="str">
            <v>Suministro E Instalación De Soporte Sencillo  De 4"</v>
          </cell>
          <cell r="E4236" t="str">
            <v>UN</v>
          </cell>
          <cell r="F4236">
            <v>25383.200000000001</v>
          </cell>
          <cell r="G4236">
            <v>42747</v>
          </cell>
        </row>
        <row r="4237">
          <cell r="C4237">
            <v>7998</v>
          </cell>
          <cell r="D4237" t="str">
            <v>Suministro E Instalación De Cheques D= 2"</v>
          </cell>
          <cell r="E4237" t="str">
            <v>UN</v>
          </cell>
          <cell r="F4237">
            <v>264852.02</v>
          </cell>
          <cell r="G4237">
            <v>42747</v>
          </cell>
        </row>
        <row r="4238">
          <cell r="C4238">
            <v>7999</v>
          </cell>
          <cell r="D4238" t="str">
            <v>Suministro E Instalación De Soporte Sencillo De 2"</v>
          </cell>
          <cell r="E4238" t="str">
            <v>UN</v>
          </cell>
          <cell r="F4238">
            <v>6213.68</v>
          </cell>
          <cell r="G4238">
            <v>42747</v>
          </cell>
        </row>
        <row r="4239">
          <cell r="C4239">
            <v>8002</v>
          </cell>
          <cell r="D4239" t="str">
            <v>Suministro E Instalación De Cabezal De Prueba 4" X 2 1/2" X 2,1/2"</v>
          </cell>
          <cell r="E4239" t="str">
            <v>UN</v>
          </cell>
          <cell r="F4239">
            <v>3641552.77</v>
          </cell>
          <cell r="G4239">
            <v>42747</v>
          </cell>
        </row>
        <row r="4240">
          <cell r="C4240">
            <v>8003</v>
          </cell>
          <cell r="D4240" t="str">
            <v>Desinfección Según Especificaciones</v>
          </cell>
          <cell r="E4240" t="str">
            <v>GL</v>
          </cell>
          <cell r="F4240">
            <v>420123.99</v>
          </cell>
          <cell r="G4240">
            <v>42747</v>
          </cell>
        </row>
        <row r="4241">
          <cell r="C4241">
            <v>8004</v>
          </cell>
          <cell r="D4241" t="str">
            <v>Suministro E Instalación De Bridas De 2"</v>
          </cell>
          <cell r="E4241" t="str">
            <v>UN</v>
          </cell>
          <cell r="F4241">
            <v>79531.08</v>
          </cell>
          <cell r="G4241">
            <v>42747</v>
          </cell>
        </row>
        <row r="4242">
          <cell r="C4242">
            <v>8005</v>
          </cell>
          <cell r="D4242" t="str">
            <v>Lavado Según Especificaciones</v>
          </cell>
          <cell r="E4242" t="str">
            <v>GL</v>
          </cell>
          <cell r="F4242">
            <v>326939.95</v>
          </cell>
          <cell r="G4242">
            <v>42747</v>
          </cell>
        </row>
        <row r="4243">
          <cell r="C4243">
            <v>8007</v>
          </cell>
          <cell r="D4243" t="str">
            <v>Suministro E Instalación De Sistema De Presión De Agua Potable  Para Una Presión De 31 - 51 Psi – 22 Mts Con Un Caudal De 324 Gpm – 20.4 Ls, Compuesto Por Tres (3) Electrobombas Al 30 % Cada Una De 2 Hp. + (1)  Tanque Hidroacumulador De 500 Litros Tipo Vertical Con Membrana, Construidos En Lámina De Acero Al Carbón.</v>
          </cell>
          <cell r="E4243" t="str">
            <v>UN</v>
          </cell>
          <cell r="F4243">
            <v>11832000</v>
          </cell>
          <cell r="G4243">
            <v>42747</v>
          </cell>
        </row>
        <row r="4244">
          <cell r="C4244">
            <v>8008</v>
          </cell>
          <cell r="D4244" t="str">
            <v>Suministro E Instalación De Valvula Mariposa  De 6"</v>
          </cell>
          <cell r="E4244" t="str">
            <v>UN</v>
          </cell>
          <cell r="F4244">
            <v>1294201.1200000001</v>
          </cell>
          <cell r="G4244">
            <v>42747</v>
          </cell>
        </row>
        <row r="4245">
          <cell r="C4245">
            <v>8010</v>
          </cell>
          <cell r="D4245" t="str">
            <v>Suministro E Instalación De Equipo Red Contra Incendio Listado Y Aprobado Ul/Fm Bomba Turbina Vertical 500 Gpm A 123 Psi - Eje De Succión Estándar De 3.04 Mts. 75 Hp</v>
          </cell>
          <cell r="E4245" t="str">
            <v>UN</v>
          </cell>
          <cell r="F4245">
            <v>98024176</v>
          </cell>
          <cell r="G4245">
            <v>42747</v>
          </cell>
        </row>
        <row r="4246">
          <cell r="C4246">
            <v>8012</v>
          </cell>
          <cell r="D4246" t="str">
            <v>Relleno Materia Asmt Tipo Ii 3 O 4 Compactado Al 90%</v>
          </cell>
          <cell r="E4246" t="str">
            <v>M3</v>
          </cell>
          <cell r="F4246">
            <v>76737.06</v>
          </cell>
          <cell r="G4246">
            <v>42747</v>
          </cell>
        </row>
        <row r="4247">
          <cell r="C4247">
            <v>8014</v>
          </cell>
          <cell r="D4247" t="str">
            <v>Suministro E Instalación De Valvula Mariposa  De 4"</v>
          </cell>
          <cell r="E4247" t="str">
            <v>UN</v>
          </cell>
          <cell r="F4247">
            <v>921217.12</v>
          </cell>
          <cell r="G4247">
            <v>42747</v>
          </cell>
        </row>
        <row r="4248">
          <cell r="C4248">
            <v>8016</v>
          </cell>
          <cell r="D4248" t="str">
            <v>Suministro E Instalacion De Banco De Suplentes Móvil: Techo En Policarbonato Macizo De 6 Mm ,(Garantía De 15 Años En La Cubierta) Estructura De 1.20 X 6.1 Tubería Redonda De 2" Y 2 1/2", Estructura De Sillas Móvil , Tubería Cuadrada De 40 X 40 Y Tubería Redonda De 1 1/2¨ Todo Calibre 2.5 Mm, Pintura Electrostática Color Blanco, 10 Sillas Tipo Cubo Fabricadas En Vinil Cuero Color Blanco.</v>
          </cell>
          <cell r="E4248" t="str">
            <v>UN</v>
          </cell>
          <cell r="F4248">
            <v>22968000</v>
          </cell>
          <cell r="G4248">
            <v>42747</v>
          </cell>
        </row>
        <row r="4249">
          <cell r="C4249">
            <v>8019</v>
          </cell>
          <cell r="D4249" t="str">
            <v>Suministro E Instalacion De Banco De Árbitros Móvil: Techo En Policarbonato Macizo De 6 Mm ,(Garantía De 15 Años En La Cubierta) Estructura De 1.20 X 2.1 Tubería Redonda De 2" Y 2 1/2", Estructura De Sillas Móvil , Tubería Cuadrada De 40 X 40 Y Tubería Redonda De 1 1/2¨ Todo Calibre 2.5 Mm, Pintura Electrostática Color Blanco, 3 Sillas Tipo Cubo Fabricadas En Vinil Cuero Color Blanco.</v>
          </cell>
          <cell r="E4249" t="str">
            <v>UN</v>
          </cell>
          <cell r="F4249">
            <v>7888000</v>
          </cell>
          <cell r="G4249">
            <v>42747</v>
          </cell>
        </row>
        <row r="4250">
          <cell r="C4250">
            <v>8020</v>
          </cell>
          <cell r="D4250" t="str">
            <v>Suministro E Instalación De Registro De Paso Directo De 2"</v>
          </cell>
          <cell r="E4250" t="str">
            <v>UN</v>
          </cell>
          <cell r="F4250">
            <v>269139.59999999998</v>
          </cell>
          <cell r="G4250">
            <v>42747</v>
          </cell>
        </row>
        <row r="4251">
          <cell r="C4251">
            <v>8024</v>
          </cell>
          <cell r="D4251" t="str">
            <v>Enchape Tipo Institucional Alfa Código 225000771 O Similar, Formato 20.3 X 30.5 Cm</v>
          </cell>
          <cell r="E4251" t="str">
            <v>M2</v>
          </cell>
          <cell r="F4251">
            <v>53916.24</v>
          </cell>
          <cell r="G4251">
            <v>42747</v>
          </cell>
        </row>
        <row r="4252">
          <cell r="C4252">
            <v>8025</v>
          </cell>
          <cell r="D4252" t="str">
            <v>Suministro E Instalacion De Capa Elástica O “Shockpad”</v>
          </cell>
          <cell r="E4252" t="str">
            <v>M2</v>
          </cell>
          <cell r="F4252">
            <v>48042.07</v>
          </cell>
          <cell r="G4252">
            <v>42747</v>
          </cell>
        </row>
        <row r="4253">
          <cell r="C4253">
            <v>8026</v>
          </cell>
          <cell r="D4253" t="str">
            <v>Enchape Tipo Tropical Alfa, Formato 20.3 X 30.5 Cm</v>
          </cell>
          <cell r="E4253" t="str">
            <v>M2</v>
          </cell>
          <cell r="F4253">
            <v>52444.62</v>
          </cell>
          <cell r="G4253">
            <v>42747</v>
          </cell>
        </row>
        <row r="4254">
          <cell r="C4254">
            <v>8028</v>
          </cell>
          <cell r="D4254" t="str">
            <v>Suministro E Instalacion De Porterías Y Mallas De 7,32 X 2.44 Mts</v>
          </cell>
          <cell r="E4254" t="str">
            <v>UN</v>
          </cell>
          <cell r="F4254">
            <v>2349964.73</v>
          </cell>
          <cell r="G4254">
            <v>42747</v>
          </cell>
        </row>
        <row r="4255">
          <cell r="C4255">
            <v>8030</v>
          </cell>
          <cell r="D4255" t="str">
            <v>Suministro E Instalacion De Tablero Marcador De 120 X 200 Cm, 9 Digitos De 40 Cm + Botonera 3 Mandos Con Cable + Sirena + Control Inalámbrico + Protección En Acrilico Para Intemperie + Software Sistema Android Transmisión Por Bluetooth, Tipo Ofimax O Similar</v>
          </cell>
          <cell r="E4255" t="str">
            <v>UN</v>
          </cell>
          <cell r="F4255">
            <v>3309575.19</v>
          </cell>
          <cell r="G4255">
            <v>42747</v>
          </cell>
        </row>
        <row r="4256">
          <cell r="C4256">
            <v>8032</v>
          </cell>
          <cell r="D4256" t="str">
            <v>Suministro E Instalación De Tuberia Acero  De 4"</v>
          </cell>
          <cell r="E4256" t="str">
            <v>ML</v>
          </cell>
          <cell r="F4256">
            <v>108989.94</v>
          </cell>
          <cell r="G4256">
            <v>42748</v>
          </cell>
        </row>
        <row r="4257">
          <cell r="C4257">
            <v>8033</v>
          </cell>
          <cell r="D4257" t="str">
            <v>Registro En Concreto. 60X60 Cm En Zona Verde</v>
          </cell>
          <cell r="E4257" t="str">
            <v>UN</v>
          </cell>
          <cell r="F4257">
            <v>352707.77</v>
          </cell>
          <cell r="G4257">
            <v>42752</v>
          </cell>
        </row>
        <row r="4258">
          <cell r="C4258">
            <v>8035</v>
          </cell>
          <cell r="D4258" t="str">
            <v>Pavimento Asfaltico Mdc - 25</v>
          </cell>
          <cell r="E4258" t="str">
            <v>M3</v>
          </cell>
          <cell r="F4258">
            <v>691813.58</v>
          </cell>
          <cell r="G4258">
            <v>42752</v>
          </cell>
        </row>
        <row r="4259">
          <cell r="C4259">
            <v>8039</v>
          </cell>
          <cell r="D4259" t="str">
            <v>Suministro E Instalacion Lampara De Alumbrado Publico At-Aluled-70W</v>
          </cell>
          <cell r="E4259" t="str">
            <v>UN</v>
          </cell>
          <cell r="F4259">
            <v>3050631.56</v>
          </cell>
          <cell r="G4259">
            <v>42752</v>
          </cell>
        </row>
        <row r="4260">
          <cell r="C4260">
            <v>8040</v>
          </cell>
          <cell r="D4260" t="str">
            <v>Suministro E Instalacion Lampara De Alumbrado Publico At-Aluled-40W</v>
          </cell>
          <cell r="E4260" t="str">
            <v>UN</v>
          </cell>
          <cell r="F4260">
            <v>2145846.2400000002</v>
          </cell>
          <cell r="G4260">
            <v>42752</v>
          </cell>
        </row>
        <row r="4261">
          <cell r="C4261">
            <v>8042</v>
          </cell>
          <cell r="D4261" t="str">
            <v>Construccion Registro Con Tapa De 0.40 X 0.40 X 0.40 Metros En Mamposteria</v>
          </cell>
          <cell r="E4261" t="str">
            <v>UN</v>
          </cell>
          <cell r="F4261">
            <v>561204.12</v>
          </cell>
          <cell r="G4261">
            <v>42752</v>
          </cell>
        </row>
        <row r="4262">
          <cell r="C4262">
            <v>8043</v>
          </cell>
          <cell r="D4262" t="str">
            <v>Suministro E Instalacion De Puesta A Tierra En Poste Hormigon De 9 M</v>
          </cell>
          <cell r="E4262" t="str">
            <v>UN</v>
          </cell>
          <cell r="F4262">
            <v>356531.95</v>
          </cell>
          <cell r="G4262">
            <v>42753</v>
          </cell>
        </row>
        <row r="4263">
          <cell r="C4263">
            <v>8045</v>
          </cell>
          <cell r="D4263" t="str">
            <v>Construccion Canalizacion C/ Un Tubo De 1 1/2" Diametro Enlecho De Arena.</v>
          </cell>
          <cell r="E4263" t="str">
            <v>ML</v>
          </cell>
          <cell r="F4263">
            <v>36358.99</v>
          </cell>
          <cell r="G4263">
            <v>42753</v>
          </cell>
        </row>
        <row r="4264">
          <cell r="C4264">
            <v>8046</v>
          </cell>
          <cell r="D4264" t="str">
            <v>Construccion De Gaviones, Incluye Canasta Metalica En Alambre De Hierro Galvanizada Calibre 13.5 Mm, Forrada En Pvc, Ojo De 0.10 X 0.10 Metros, Rellena De Roca De Cantera Entre 0.10 Y 0.30 Metros</v>
          </cell>
          <cell r="E4264" t="str">
            <v>M2</v>
          </cell>
          <cell r="F4264">
            <v>223008.75</v>
          </cell>
          <cell r="G4264">
            <v>42753</v>
          </cell>
        </row>
        <row r="4265">
          <cell r="C4265">
            <v>8048</v>
          </cell>
          <cell r="D4265" t="str">
            <v>Suministro E Instalacion De Acometida 2 #6 + #6 + #8T Cu Thhw</v>
          </cell>
          <cell r="E4265" t="str">
            <v>ML</v>
          </cell>
          <cell r="F4265">
            <v>28654.85</v>
          </cell>
          <cell r="G4265">
            <v>42753</v>
          </cell>
        </row>
        <row r="4266">
          <cell r="C4266">
            <v>8049</v>
          </cell>
          <cell r="D4266" t="str">
            <v>Suministro De Valvula Ventosa D= 4" (100Mm) Antifraude</v>
          </cell>
          <cell r="E4266" t="str">
            <v>UN</v>
          </cell>
          <cell r="F4266">
            <v>1455370</v>
          </cell>
          <cell r="G4266">
            <v>42762</v>
          </cell>
        </row>
        <row r="4267">
          <cell r="C4267">
            <v>8050</v>
          </cell>
          <cell r="D4267" t="str">
            <v>Suministro Ventosa D=4" (100Mm) Triple Accion Brida Iso</v>
          </cell>
          <cell r="E4267" t="str">
            <v>UN</v>
          </cell>
          <cell r="F4267">
            <v>1338750</v>
          </cell>
          <cell r="G4267">
            <v>42762</v>
          </cell>
        </row>
        <row r="4268">
          <cell r="C4268">
            <v>8051</v>
          </cell>
          <cell r="D4268" t="str">
            <v>Suministro Ventosa D=3" (75 Mm) Triple Accion Brida Iso</v>
          </cell>
          <cell r="E4268" t="str">
            <v>UN</v>
          </cell>
          <cell r="F4268">
            <v>846090</v>
          </cell>
          <cell r="G4268">
            <v>42762</v>
          </cell>
        </row>
        <row r="4269">
          <cell r="C4269">
            <v>8052</v>
          </cell>
          <cell r="D4269" t="str">
            <v>Suministro De Reduccion De 4" X 3" Brida Iso</v>
          </cell>
          <cell r="E4269" t="str">
            <v>UN</v>
          </cell>
          <cell r="F4269">
            <v>211820</v>
          </cell>
          <cell r="G4269">
            <v>42762</v>
          </cell>
        </row>
        <row r="4270">
          <cell r="C4270">
            <v>8053</v>
          </cell>
          <cell r="D4270" t="str">
            <v>Suministro De Adaptador Brida Universal De 12" R1</v>
          </cell>
          <cell r="E4270" t="str">
            <v>UN</v>
          </cell>
          <cell r="F4270">
            <v>616636.57999999996</v>
          </cell>
          <cell r="G4270">
            <v>42762</v>
          </cell>
        </row>
        <row r="4271">
          <cell r="C4271">
            <v>8054</v>
          </cell>
          <cell r="D4271" t="str">
            <v>Suministro De Ventosa De 2" Triple Accion Brida Iso</v>
          </cell>
          <cell r="E4271" t="str">
            <v>UN</v>
          </cell>
          <cell r="F4271">
            <v>691390</v>
          </cell>
          <cell r="G4271">
            <v>42762</v>
          </cell>
        </row>
        <row r="4272">
          <cell r="C4272">
            <v>8055</v>
          </cell>
          <cell r="D4272" t="str">
            <v>Suministro De Portaflanche Pead De 315Mm (12") Pn16 Rde11</v>
          </cell>
          <cell r="E4272" t="str">
            <v>UN</v>
          </cell>
          <cell r="F4272">
            <v>724931.34</v>
          </cell>
          <cell r="G4272">
            <v>42762</v>
          </cell>
        </row>
        <row r="4273">
          <cell r="C4273">
            <v>8056</v>
          </cell>
          <cell r="D4273" t="str">
            <v>Suministro De Brida Loca Metalica De 315 Mm (12") Hd Iso</v>
          </cell>
          <cell r="E4273" t="str">
            <v>UN</v>
          </cell>
          <cell r="F4273">
            <v>507827.74</v>
          </cell>
          <cell r="G4273">
            <v>42762</v>
          </cell>
        </row>
        <row r="4274">
          <cell r="C4274">
            <v>8057</v>
          </cell>
          <cell r="D4274" t="str">
            <v>Suministro De Codo Pead De 315Mm (12") X 45° Pn16 Rde 11</v>
          </cell>
          <cell r="E4274" t="str">
            <v>UN</v>
          </cell>
          <cell r="F4274">
            <v>1785978.18</v>
          </cell>
          <cell r="G4274">
            <v>42762</v>
          </cell>
        </row>
        <row r="4275">
          <cell r="C4275">
            <v>8058</v>
          </cell>
          <cell r="D4275" t="str">
            <v>Suministro  De Tuberias De Acueducto De Polietileno De Alta Densidad (Pead) De 315Mm (12") Pn 16 Rde 11</v>
          </cell>
          <cell r="E4275" t="str">
            <v>ML</v>
          </cell>
          <cell r="F4275">
            <v>343550.62</v>
          </cell>
          <cell r="G4275">
            <v>42762</v>
          </cell>
        </row>
        <row r="4276">
          <cell r="C4276">
            <v>8059</v>
          </cell>
          <cell r="D4276" t="str">
            <v>Instalacion De Tuberias Pead 315Mm (12") Pn 16 Rde 11</v>
          </cell>
          <cell r="E4276" t="str">
            <v>ML</v>
          </cell>
          <cell r="F4276">
            <v>14685.75</v>
          </cell>
          <cell r="G4276">
            <v>42762</v>
          </cell>
        </row>
        <row r="4277">
          <cell r="C4277">
            <v>8062</v>
          </cell>
          <cell r="D4277" t="str">
            <v>Suministro E Instalacion De Grama Sintetica Para Canchas</v>
          </cell>
          <cell r="E4277" t="str">
            <v>M2</v>
          </cell>
          <cell r="F4277">
            <v>106800</v>
          </cell>
          <cell r="G4277">
            <v>42765</v>
          </cell>
        </row>
        <row r="4278">
          <cell r="C4278">
            <v>8064</v>
          </cell>
          <cell r="D4278" t="str">
            <v>Suministro De Tubería En Polietileno De Alta Densidad Pead 400 Mm Pn 10 Pe 100</v>
          </cell>
          <cell r="E4278" t="str">
            <v>ML</v>
          </cell>
          <cell r="F4278">
            <v>480600</v>
          </cell>
          <cell r="G4278">
            <v>42772</v>
          </cell>
        </row>
        <row r="4279">
          <cell r="C4279">
            <v>8067</v>
          </cell>
          <cell r="D4279" t="str">
            <v>Suministro  E  Instalación  De  Tubería  De  Alcantarillado Novafort O Similar D = 27" - 685 Mm</v>
          </cell>
          <cell r="E4279" t="str">
            <v>ML</v>
          </cell>
          <cell r="F4279">
            <v>634807.24</v>
          </cell>
          <cell r="G4279">
            <v>42772</v>
          </cell>
        </row>
        <row r="4280">
          <cell r="C4280">
            <v>8072</v>
          </cell>
          <cell r="D4280" t="str">
            <v>Suministro De Reducción Polietileno 200Mm X 160Mm (8") X (6") Pe 100 Pn 10 A Tope</v>
          </cell>
          <cell r="E4280" t="str">
            <v>UN</v>
          </cell>
          <cell r="F4280">
            <v>208150</v>
          </cell>
          <cell r="G4280">
            <v>42772</v>
          </cell>
        </row>
        <row r="4281">
          <cell r="C4281">
            <v>8073</v>
          </cell>
          <cell r="D4281" t="str">
            <v>Suministro De Reducción Polietileno 160Mm X 90Mm (6") X (3") Pe 100 Pn 10 A Tope</v>
          </cell>
          <cell r="E4281" t="str">
            <v>UN</v>
          </cell>
          <cell r="F4281">
            <v>48466</v>
          </cell>
          <cell r="G4281">
            <v>42772</v>
          </cell>
        </row>
        <row r="4282">
          <cell r="C4282">
            <v>8077</v>
          </cell>
          <cell r="D4282" t="str">
            <v>Suministro  E  Instalación  De  Tubería  De  Alcantarillado Novafort O Similar D = 30" - 760 Mm</v>
          </cell>
          <cell r="E4282" t="str">
            <v>ML</v>
          </cell>
          <cell r="F4282">
            <v>801549.34</v>
          </cell>
          <cell r="G4282">
            <v>42772</v>
          </cell>
        </row>
        <row r="4283">
          <cell r="C4283">
            <v>8078</v>
          </cell>
          <cell r="D4283" t="str">
            <v>Suministro De Reducción Polietileno 110Mm X 90Mm (4") X (3") Pe 100 Pn 10 A Tope</v>
          </cell>
          <cell r="E4283" t="str">
            <v>UN</v>
          </cell>
          <cell r="F4283">
            <v>37984</v>
          </cell>
          <cell r="G4283">
            <v>42772</v>
          </cell>
        </row>
        <row r="4284">
          <cell r="C4284">
            <v>8080</v>
          </cell>
          <cell r="D4284" t="str">
            <v>Suministro De Tapón De Polietileno 90 Mm (4") Pe 100 Pn 10</v>
          </cell>
          <cell r="E4284" t="str">
            <v>UN</v>
          </cell>
          <cell r="F4284">
            <v>19542</v>
          </cell>
          <cell r="G4284">
            <v>42773</v>
          </cell>
        </row>
        <row r="4285">
          <cell r="C4285">
            <v>8082</v>
          </cell>
          <cell r="D4285" t="str">
            <v>Suministro De Silleta De Polietileno 90Mm X 20Mm (4") X (1") Para Union Por Termofusion</v>
          </cell>
          <cell r="E4285" t="str">
            <v>UN</v>
          </cell>
          <cell r="F4285">
            <v>11498</v>
          </cell>
          <cell r="G4285">
            <v>42775</v>
          </cell>
        </row>
        <row r="4286">
          <cell r="C4286">
            <v>8084</v>
          </cell>
          <cell r="D4286" t="str">
            <v>Suministro De Silleta De Polietileno 200Mm X 20Mm (8") X (1") Para Union Por Termofusion</v>
          </cell>
          <cell r="E4286" t="str">
            <v>UN</v>
          </cell>
          <cell r="F4286">
            <v>11498</v>
          </cell>
          <cell r="G4286">
            <v>42775</v>
          </cell>
        </row>
        <row r="4287">
          <cell r="C4287">
            <v>8086</v>
          </cell>
          <cell r="D4287" t="str">
            <v>Suministro De Adaptadores Tope Brida De Polietileno Diámetro 90Mm (4") Sin Brida Pn 10</v>
          </cell>
          <cell r="E4287" t="str">
            <v>UN</v>
          </cell>
          <cell r="F4287">
            <v>40586</v>
          </cell>
          <cell r="G4287">
            <v>42775</v>
          </cell>
        </row>
        <row r="4288">
          <cell r="C4288">
            <v>8090</v>
          </cell>
          <cell r="D4288" t="str">
            <v>Suministro De Adaptadores Tope Brida De Polietileno Diámetro 315Mm (12") Sin Brida Pn 10</v>
          </cell>
          <cell r="E4288" t="str">
            <v>UN</v>
          </cell>
          <cell r="F4288">
            <v>518523</v>
          </cell>
          <cell r="G4288">
            <v>42775</v>
          </cell>
        </row>
        <row r="4289">
          <cell r="C4289">
            <v>8091</v>
          </cell>
          <cell r="D4289" t="str">
            <v>Adaptadores Tope Brida De Polietileno Diámetro 250Mm (10") Sin Brida Pn 10</v>
          </cell>
          <cell r="E4289" t="str">
            <v>UN</v>
          </cell>
          <cell r="F4289">
            <v>256193</v>
          </cell>
          <cell r="G4289">
            <v>42775</v>
          </cell>
        </row>
        <row r="4290">
          <cell r="C4290">
            <v>8092</v>
          </cell>
          <cell r="D4290" t="str">
            <v>Adaptadores Tope Brida De Polietileno Diámetro 200Mm (8") Sin Brida Pn 10</v>
          </cell>
          <cell r="E4290" t="str">
            <v>UN</v>
          </cell>
          <cell r="F4290">
            <v>126082</v>
          </cell>
          <cell r="G4290">
            <v>42775</v>
          </cell>
        </row>
        <row r="4291">
          <cell r="C4291">
            <v>8097</v>
          </cell>
          <cell r="D4291" t="str">
            <v>Suministro De Brida Metálica Para Adaptador Tope De Polietileno Diámetro 315Mm (12") Norma Iso Pn 10</v>
          </cell>
          <cell r="E4291" t="str">
            <v>UN</v>
          </cell>
          <cell r="F4291">
            <v>507828</v>
          </cell>
          <cell r="G4291">
            <v>42775</v>
          </cell>
        </row>
        <row r="4292">
          <cell r="C4292">
            <v>8098</v>
          </cell>
          <cell r="D4292" t="str">
            <v>Suministro De Brida Metálica Para Adaptador Tope De Polietileno Diámetro 90 Mm (4") Norma Iso Pn 10</v>
          </cell>
          <cell r="E4292" t="str">
            <v>UN</v>
          </cell>
          <cell r="F4292">
            <v>62041</v>
          </cell>
          <cell r="G4292">
            <v>42775</v>
          </cell>
        </row>
        <row r="4293">
          <cell r="C4293">
            <v>8099</v>
          </cell>
          <cell r="D4293" t="str">
            <v>Suministro De Brida Metálica Para Adaptador Tope De Polietileno Diámetro 200 Mm (8") Norma Iso Pn 10</v>
          </cell>
          <cell r="E4293" t="str">
            <v>UN</v>
          </cell>
          <cell r="F4293">
            <v>136491</v>
          </cell>
          <cell r="G4293">
            <v>42775</v>
          </cell>
        </row>
        <row r="4294">
          <cell r="C4294">
            <v>8100</v>
          </cell>
          <cell r="D4294" t="str">
            <v>Suministro De Brida Metálica Para Adaptador Tope De Polietileno Diámetro 250 Mm (10") Norma Iso Pn 10</v>
          </cell>
          <cell r="E4294" t="str">
            <v>UN</v>
          </cell>
          <cell r="F4294">
            <v>241074</v>
          </cell>
          <cell r="G4294">
            <v>42775</v>
          </cell>
        </row>
        <row r="4295">
          <cell r="C4295">
            <v>8103</v>
          </cell>
          <cell r="D4295" t="str">
            <v>Suministro De Codo De Polietileno 200 Mm X 90° (8") Pe 100 Pn 10 A Tope</v>
          </cell>
          <cell r="E4295" t="str">
            <v>UN</v>
          </cell>
          <cell r="F4295">
            <v>308942</v>
          </cell>
          <cell r="G4295">
            <v>42775</v>
          </cell>
        </row>
        <row r="4296">
          <cell r="C4296">
            <v>8104</v>
          </cell>
          <cell r="D4296" t="str">
            <v>Suministro De Codo De Polietileno 90 Mm X 90° (4") Pe 100 Pn 10 A Tope</v>
          </cell>
          <cell r="E4296" t="str">
            <v>UN</v>
          </cell>
          <cell r="F4296">
            <v>35025</v>
          </cell>
          <cell r="G4296">
            <v>42775</v>
          </cell>
        </row>
        <row r="4297">
          <cell r="C4297">
            <v>8107</v>
          </cell>
          <cell r="D4297" t="str">
            <v>Suministro De Tee De Polietileno 90Mm (4") Pe 100 Pn 10 A Tope</v>
          </cell>
          <cell r="E4297" t="str">
            <v>UN</v>
          </cell>
          <cell r="F4297">
            <v>62141</v>
          </cell>
          <cell r="G4297">
            <v>42775</v>
          </cell>
        </row>
        <row r="4298">
          <cell r="C4298">
            <v>8108</v>
          </cell>
          <cell r="D4298" t="str">
            <v>Suministro De Tee De Polietileno 200Mm (8") Pe 100 Pn 10 A Tope</v>
          </cell>
          <cell r="E4298" t="str">
            <v>UN</v>
          </cell>
          <cell r="F4298">
            <v>276217</v>
          </cell>
          <cell r="G4298">
            <v>42775</v>
          </cell>
        </row>
        <row r="4299">
          <cell r="C4299">
            <v>8110</v>
          </cell>
          <cell r="D4299" t="str">
            <v>Suministro De Hidrante Tres Salidas D= 150Mm (6") Tipo Trafico Norma Awwa C-502, Extremo Garra De Tigre.</v>
          </cell>
          <cell r="E4299" t="str">
            <v>UN</v>
          </cell>
          <cell r="F4299">
            <v>3962700</v>
          </cell>
          <cell r="G4299">
            <v>42775</v>
          </cell>
        </row>
        <row r="4300">
          <cell r="C4300">
            <v>8113</v>
          </cell>
          <cell r="D4300" t="str">
            <v>Instalación De Válvula De Compuerta D= 3" Brida X Brida Norma Iso Pn 10, Incluye El Suministro E Instalación De Tornillería Grado 2 Y Empaquetadura Para El Montaje</v>
          </cell>
          <cell r="E4300" t="str">
            <v>UN</v>
          </cell>
          <cell r="F4300">
            <v>537880</v>
          </cell>
          <cell r="G4300">
            <v>42775</v>
          </cell>
        </row>
        <row r="4301">
          <cell r="C4301">
            <v>8114</v>
          </cell>
          <cell r="D4301" t="str">
            <v>Instalación De Válvula De Compuerta D=200Mm (8") Brida X Brida Norma Iso Pn 10, Incluye El Suministro E Instalación De Tornillería Grado 2 Y Empaquetadura Para El Montaje</v>
          </cell>
          <cell r="E4301" t="str">
            <v>UN</v>
          </cell>
          <cell r="F4301">
            <v>1900430</v>
          </cell>
          <cell r="G4301">
            <v>42775</v>
          </cell>
        </row>
        <row r="4302">
          <cell r="C4302">
            <v>8117</v>
          </cell>
          <cell r="D4302" t="str">
            <v>Suministro De Codo De Hd 90Mm (3")</v>
          </cell>
          <cell r="E4302" t="str">
            <v>UN</v>
          </cell>
          <cell r="F4302">
            <v>216580</v>
          </cell>
          <cell r="G4302">
            <v>42775</v>
          </cell>
        </row>
        <row r="4303">
          <cell r="C4303">
            <v>8118</v>
          </cell>
          <cell r="D4303" t="str">
            <v>Suministro De Codo De Hd 110Mm (4")</v>
          </cell>
          <cell r="E4303" t="str">
            <v>UN</v>
          </cell>
          <cell r="F4303">
            <v>271320</v>
          </cell>
          <cell r="G4303">
            <v>42775</v>
          </cell>
        </row>
        <row r="4304">
          <cell r="C4304">
            <v>8124</v>
          </cell>
          <cell r="D4304" t="str">
            <v>Suministro De Union De Hd 90 Mm (3")</v>
          </cell>
          <cell r="E4304" t="str">
            <v>UN</v>
          </cell>
          <cell r="F4304">
            <v>80920</v>
          </cell>
          <cell r="G4304">
            <v>42775</v>
          </cell>
        </row>
        <row r="4305">
          <cell r="C4305">
            <v>8125</v>
          </cell>
          <cell r="D4305" t="str">
            <v>Suministro De Union De Hd 110Mm (4")</v>
          </cell>
          <cell r="E4305" t="str">
            <v>UN</v>
          </cell>
          <cell r="F4305">
            <v>97580</v>
          </cell>
          <cell r="G4305">
            <v>42775</v>
          </cell>
        </row>
        <row r="4306">
          <cell r="C4306">
            <v>8126</v>
          </cell>
          <cell r="D4306" t="str">
            <v>Suministro De Union De Hd 150Mm (6")</v>
          </cell>
          <cell r="E4306" t="str">
            <v>UN</v>
          </cell>
          <cell r="F4306">
            <v>159460</v>
          </cell>
          <cell r="G4306">
            <v>42775</v>
          </cell>
        </row>
        <row r="4307">
          <cell r="C4307">
            <v>8127</v>
          </cell>
          <cell r="D4307" t="str">
            <v>Suministro De Union De Hd 200Mm (8")</v>
          </cell>
          <cell r="E4307" t="str">
            <v>UN</v>
          </cell>
          <cell r="F4307">
            <v>243950</v>
          </cell>
          <cell r="G4307">
            <v>42775</v>
          </cell>
        </row>
        <row r="4308">
          <cell r="C4308">
            <v>8128</v>
          </cell>
          <cell r="D4308" t="str">
            <v>Suministro De Union De Hd 300Mm (12")</v>
          </cell>
          <cell r="E4308" t="str">
            <v>UN</v>
          </cell>
          <cell r="F4308">
            <v>521220</v>
          </cell>
          <cell r="G4308">
            <v>42775</v>
          </cell>
        </row>
        <row r="4309">
          <cell r="C4309">
            <v>8129</v>
          </cell>
          <cell r="D4309" t="str">
            <v>Instalacion De Tuberia De Polietileno De Alta Densidad (Pead) 400Mm D=18", Y Accesorios Para Acueducto</v>
          </cell>
          <cell r="E4309" t="str">
            <v>ML</v>
          </cell>
          <cell r="F4309">
            <v>20803.8</v>
          </cell>
          <cell r="G4309">
            <v>42775</v>
          </cell>
        </row>
        <row r="4310">
          <cell r="C4310">
            <v>8130</v>
          </cell>
          <cell r="D4310" t="str">
            <v>Losa De Concreto Mr 45 (Suministro, Formaletado, Colocacion Y Acabado. No Incluye Acero. Curado, Juntas)</v>
          </cell>
          <cell r="E4310" t="str">
            <v>M3</v>
          </cell>
          <cell r="F4310">
            <v>610082.09</v>
          </cell>
          <cell r="G4310">
            <v>42787</v>
          </cell>
        </row>
        <row r="4311">
          <cell r="C4311">
            <v>8138</v>
          </cell>
          <cell r="D4311" t="str">
            <v>Carcamos De 60 Cms Con 1.5 =&lt; M =&lt; 2 Mts En Concreto De 3000, Acero De 1/2"</v>
          </cell>
          <cell r="E4311" t="str">
            <v>ML</v>
          </cell>
          <cell r="F4311">
            <v>475365.03</v>
          </cell>
          <cell r="G4311">
            <v>42789</v>
          </cell>
        </row>
        <row r="4312">
          <cell r="C4312">
            <v>8139</v>
          </cell>
          <cell r="D4312" t="str">
            <v>Suministro E Instalacion Rejillas De Hd De 100 X 60 Cms</v>
          </cell>
          <cell r="E4312" t="str">
            <v>ML</v>
          </cell>
          <cell r="F4312">
            <v>282093.75</v>
          </cell>
          <cell r="G4312">
            <v>42789</v>
          </cell>
        </row>
        <row r="4313">
          <cell r="C4313">
            <v>8140</v>
          </cell>
          <cell r="D4313" t="str">
            <v>Suministro E Instalacion De Tuberia De Novaloc De 39" O Similar, Incluye Union</v>
          </cell>
          <cell r="E4313" t="str">
            <v>ML</v>
          </cell>
          <cell r="F4313">
            <v>1646471</v>
          </cell>
          <cell r="G4313">
            <v>42789</v>
          </cell>
        </row>
        <row r="4314">
          <cell r="C4314">
            <v>8141</v>
          </cell>
          <cell r="D4314" t="str">
            <v>Suministro E Instalacion De Tuberia Novaloc De 42" O Similar, Incluye Union</v>
          </cell>
          <cell r="E4314" t="str">
            <v>ML</v>
          </cell>
          <cell r="F4314">
            <v>1875730</v>
          </cell>
          <cell r="G4314">
            <v>42789</v>
          </cell>
        </row>
        <row r="4315">
          <cell r="C4315">
            <v>8142</v>
          </cell>
          <cell r="D4315" t="str">
            <v>Suministro E Instalacion De Tuberia Novaloc De 45" O Similar, Incluye Union</v>
          </cell>
          <cell r="E4315" t="str">
            <v>ML</v>
          </cell>
          <cell r="F4315">
            <v>1957331</v>
          </cell>
          <cell r="G4315">
            <v>42789</v>
          </cell>
        </row>
        <row r="4316">
          <cell r="C4316">
            <v>8143</v>
          </cell>
          <cell r="D4316" t="str">
            <v>Suministro E Instalacion De Tuberia Novaloc De 48" O Similar, Incluye Union</v>
          </cell>
          <cell r="E4316" t="str">
            <v>ML</v>
          </cell>
          <cell r="F4316">
            <v>2531500</v>
          </cell>
          <cell r="G4316">
            <v>42789</v>
          </cell>
        </row>
        <row r="4317">
          <cell r="C4317">
            <v>8144</v>
          </cell>
          <cell r="D4317" t="str">
            <v>Suministro E Instalacion De Tuberia Novaloc De 51" O Similar, Incluye Union</v>
          </cell>
          <cell r="E4317" t="str">
            <v>ML</v>
          </cell>
          <cell r="F4317">
            <v>2938131</v>
          </cell>
          <cell r="G4317">
            <v>42789</v>
          </cell>
        </row>
        <row r="4318">
          <cell r="C4318">
            <v>8145</v>
          </cell>
          <cell r="D4318" t="str">
            <v>Suministro E Instalacion De Tuberia Novaloc De 54" O Similar, Incluye Union</v>
          </cell>
          <cell r="E4318" t="str">
            <v>ML</v>
          </cell>
          <cell r="F4318">
            <v>2650134</v>
          </cell>
          <cell r="G4318">
            <v>42789</v>
          </cell>
        </row>
        <row r="4319">
          <cell r="C4319">
            <v>8146</v>
          </cell>
          <cell r="D4319" t="str">
            <v>Suministro E Instalacion De Tuberia De Alcantarillado  Novafort O Similar De D=14" - 355Mm</v>
          </cell>
          <cell r="E4319" t="str">
            <v>ML</v>
          </cell>
          <cell r="F4319">
            <v>142474.5</v>
          </cell>
          <cell r="G4319">
            <v>42789</v>
          </cell>
        </row>
        <row r="4320">
          <cell r="C4320">
            <v>8150</v>
          </cell>
          <cell r="D4320" t="str">
            <v>Suministro E Instalacion De Adoquin Peatonal En Losetas Prefabricadas En Tonos Grises, Tactil Alerta Y Tactil Guia De 0.9 X 0.30 X 0.06 Metros, Con Borde De Confinamiento A Ambos Lados De 0.15 X 0.30 Metros En Concreto De3000 Psi Reforzado Con 2 Varillas De 3/8" Y Estribos De 1/4" A Cada 0.32 Metros (Incluye Excavacion, Retiro De Material, Y Base En Material Seleccionado)</v>
          </cell>
          <cell r="E4320" t="str">
            <v>M2</v>
          </cell>
          <cell r="F4320">
            <v>126168.91</v>
          </cell>
          <cell r="G4320">
            <v>42789</v>
          </cell>
        </row>
        <row r="4321">
          <cell r="C4321">
            <v>8151</v>
          </cell>
          <cell r="D4321" t="str">
            <v>Rampa Peatonal De Concreto Con Adoquin Peatonal En Losetas Tactil De Alerta Prefabricadas En Tonos Grises.(Incluye Excavacion, Retiro De Material, Y Base En Material Seleccionado)</v>
          </cell>
          <cell r="E4321" t="str">
            <v>M2</v>
          </cell>
          <cell r="F4321">
            <v>196846.7</v>
          </cell>
          <cell r="G4321">
            <v>42789</v>
          </cell>
        </row>
        <row r="4322">
          <cell r="C4322">
            <v>8152</v>
          </cell>
          <cell r="D4322" t="str">
            <v>Suministro Liner Para Tuberias De Dn 1400-1600-1700 Con Velocidades De Flujo Entre 8 Y 12 M/S. No Incluye El Suministro Del Tubo.</v>
          </cell>
          <cell r="E4322" t="str">
            <v>ML</v>
          </cell>
          <cell r="F4322">
            <v>1212185</v>
          </cell>
          <cell r="G4322">
            <v>42797</v>
          </cell>
        </row>
        <row r="4323">
          <cell r="C4323">
            <v>8153</v>
          </cell>
          <cell r="D4323" t="str">
            <v>Sumidero Secciones Variables, En Concreto 4000 Psi, No Incluye El Acero</v>
          </cell>
          <cell r="E4323" t="str">
            <v>M3</v>
          </cell>
          <cell r="F4323">
            <v>1017205</v>
          </cell>
          <cell r="G4323">
            <v>42797</v>
          </cell>
        </row>
        <row r="4324">
          <cell r="C4324">
            <v>8154</v>
          </cell>
          <cell r="D4324" t="str">
            <v>Suministo E Instalacion De Rejillas Colectoras Metálicas En Acero Según Diseño, Incluye Marco Y Contra Marco, Tráfico Pesado.</v>
          </cell>
          <cell r="E4324" t="str">
            <v>M2</v>
          </cell>
          <cell r="F4324">
            <v>2097557</v>
          </cell>
          <cell r="G4324">
            <v>42797</v>
          </cell>
        </row>
        <row r="4325">
          <cell r="C4325">
            <v>8155</v>
          </cell>
          <cell r="D4325" t="str">
            <v>Conexion Cond Acsr(Al)477(559.5)-Acsr(Al)477(559.5)</v>
          </cell>
          <cell r="E4325" t="str">
            <v>UN</v>
          </cell>
          <cell r="F4325">
            <v>1389439.18</v>
          </cell>
          <cell r="G4325">
            <v>42797</v>
          </cell>
        </row>
        <row r="4326">
          <cell r="C4326">
            <v>8156</v>
          </cell>
          <cell r="D4326" t="str">
            <v>Conexion Amovible Completa P/ Acsr 477 (Aaac 559.5)Mcm</v>
          </cell>
          <cell r="E4326" t="str">
            <v>UN</v>
          </cell>
          <cell r="F4326">
            <v>408264.51</v>
          </cell>
          <cell r="G4326">
            <v>42797</v>
          </cell>
        </row>
        <row r="4327">
          <cell r="C4327">
            <v>8157</v>
          </cell>
          <cell r="D4327" t="str">
            <v>Aislador Comp Tipo Poste 34,5 Kv(1)</v>
          </cell>
          <cell r="E4327" t="str">
            <v>UN</v>
          </cell>
          <cell r="F4327">
            <v>99973.440000000002</v>
          </cell>
          <cell r="G4327">
            <v>42797</v>
          </cell>
        </row>
        <row r="4328">
          <cell r="C4328">
            <v>8158</v>
          </cell>
          <cell r="D4328" t="str">
            <v>Desm. Descargador De Sobretension Autovalvulas 13.2 Kv-Sn</v>
          </cell>
          <cell r="E4328" t="str">
            <v>UN</v>
          </cell>
          <cell r="F4328">
            <v>55540.800000000003</v>
          </cell>
          <cell r="G4328">
            <v>42797</v>
          </cell>
        </row>
        <row r="4329">
          <cell r="C4329">
            <v>8159</v>
          </cell>
          <cell r="D4329" t="str">
            <v>Desmontaje Trafo 3F Convencional Int 75 Kva 13,2 Kv</v>
          </cell>
          <cell r="E4329" t="str">
            <v>UN</v>
          </cell>
          <cell r="F4329">
            <v>288812.15999999997</v>
          </cell>
          <cell r="G4329">
            <v>42797</v>
          </cell>
        </row>
        <row r="4330">
          <cell r="C4330">
            <v>8160</v>
          </cell>
          <cell r="D4330" t="str">
            <v>Instalacion De Acometida Subterranea 2X4/0+4/0 Cu</v>
          </cell>
          <cell r="E4330" t="str">
            <v>ML</v>
          </cell>
          <cell r="F4330">
            <v>205345.5</v>
          </cell>
          <cell r="G4330">
            <v>42797</v>
          </cell>
        </row>
        <row r="4331">
          <cell r="C4331">
            <v>8161</v>
          </cell>
          <cell r="D4331" t="str">
            <v>Instalacion De Acometida 2X6+6 Awg Polietileno Xlpe 90 Cu</v>
          </cell>
          <cell r="E4331" t="str">
            <v>ML</v>
          </cell>
          <cell r="F4331">
            <v>34355.71</v>
          </cell>
          <cell r="G4331">
            <v>42797</v>
          </cell>
        </row>
        <row r="4332">
          <cell r="C4332">
            <v>8162</v>
          </cell>
          <cell r="D4332" t="str">
            <v>Suministro E Instalacion De Transformador Monofasico De 55 Kva, Incluye Elementos De Proteccion, Accesorios Para Poste, Retie, Retilap Y Tramite Ante El Operador De Red.</v>
          </cell>
          <cell r="E4332" t="str">
            <v>UN</v>
          </cell>
          <cell r="F4332">
            <v>8995154.4700000007</v>
          </cell>
          <cell r="G4332">
            <v>42797</v>
          </cell>
        </row>
        <row r="4333">
          <cell r="C4333">
            <v>8163</v>
          </cell>
          <cell r="D4333" t="str">
            <v>Suministro Tubería De Alcantarillado De Pvc  De Superficie Interior Lisa Y Exterior Perfilada/Corrugada 27"</v>
          </cell>
          <cell r="E4333" t="str">
            <v>ML</v>
          </cell>
          <cell r="F4333">
            <v>492219</v>
          </cell>
          <cell r="G4333">
            <v>42800</v>
          </cell>
        </row>
        <row r="4334">
          <cell r="C4334">
            <v>8164</v>
          </cell>
          <cell r="D4334" t="str">
            <v>Suministro Tubería De Alcantarillado De Pvc  De Superficie Interior Lisa Y Exterior Perfilada/Corrugada 36"</v>
          </cell>
          <cell r="E4334" t="str">
            <v>ML</v>
          </cell>
          <cell r="F4334">
            <v>1068115</v>
          </cell>
          <cell r="G4334">
            <v>42800</v>
          </cell>
        </row>
        <row r="4335">
          <cell r="C4335">
            <v>8165</v>
          </cell>
          <cell r="D4335" t="str">
            <v>Suministro Tubería De Alcantarillado De Pvc  De Superficie Interior Lisa Y Exterior Perfilada/Corrugada 39"</v>
          </cell>
          <cell r="E4335" t="str">
            <v>ML</v>
          </cell>
          <cell r="F4335">
            <v>1592995</v>
          </cell>
          <cell r="G4335">
            <v>42800</v>
          </cell>
        </row>
        <row r="4336">
          <cell r="C4336">
            <v>8166</v>
          </cell>
          <cell r="D4336" t="str">
            <v>Suministro Tubería De Alcantarillado De Pvc  De Superficie Interior Lisa Y Exterior Perfilada/Corrugada 42"</v>
          </cell>
          <cell r="E4336" t="str">
            <v>ML</v>
          </cell>
          <cell r="F4336">
            <v>1821531</v>
          </cell>
          <cell r="G4336">
            <v>42800</v>
          </cell>
        </row>
        <row r="4337">
          <cell r="C4337">
            <v>8167</v>
          </cell>
          <cell r="D4337" t="str">
            <v>Instalación Tubería De Alcantarillado De Pvc  De Superficie Interior Lisa Y Exterior Perfilada/Corrugada 27"</v>
          </cell>
          <cell r="E4337" t="str">
            <v>ML</v>
          </cell>
          <cell r="F4337">
            <v>46958.7</v>
          </cell>
          <cell r="G4337">
            <v>42800</v>
          </cell>
        </row>
        <row r="4338">
          <cell r="C4338">
            <v>8168</v>
          </cell>
          <cell r="D4338" t="str">
            <v>Instalación Tubería De Alcantarillado De Pvc  De Superficie Interior Lisa Y Exterior Perfilada/Corrugada 36"</v>
          </cell>
          <cell r="E4338" t="str">
            <v>ML</v>
          </cell>
          <cell r="F4338">
            <v>54002.51</v>
          </cell>
          <cell r="G4338">
            <v>42800</v>
          </cell>
        </row>
        <row r="4339">
          <cell r="C4339">
            <v>8169</v>
          </cell>
          <cell r="D4339" t="str">
            <v>Instalación Tubería De Alcantarillado De Pvc  De Superficie Interior Lisa Y Exterior Perfilada/Corrugada 39"</v>
          </cell>
          <cell r="E4339" t="str">
            <v>ML</v>
          </cell>
          <cell r="F4339">
            <v>64803.01</v>
          </cell>
          <cell r="G4339">
            <v>42800</v>
          </cell>
        </row>
        <row r="4340">
          <cell r="C4340">
            <v>8170</v>
          </cell>
          <cell r="D4340" t="str">
            <v>Instalación Tubería De Alcantarillado De Pvc  De Superficie Interior Lisa Y Exterior Perfilada/Corrugada 42"</v>
          </cell>
          <cell r="E4340" t="str">
            <v>ML</v>
          </cell>
          <cell r="F4340">
            <v>71283.31</v>
          </cell>
          <cell r="G4340">
            <v>42800</v>
          </cell>
        </row>
        <row r="4341">
          <cell r="C4341">
            <v>8171</v>
          </cell>
          <cell r="D4341" t="str">
            <v>Relleno Con Material Seleccionado Del Sitio Para El Encauzamiento (Incluye Cargue, Traslados Al Y Desde El  Sitio De Acopio, Extendida, Humectación Y Compactado Al 95% Del Proctor Modificado), Desde La Cota De Batea Hasta Parte Inferior Del Suelo Cemento De La Reconstrucción Vial</v>
          </cell>
          <cell r="E4341" t="str">
            <v>M3</v>
          </cell>
          <cell r="F4341">
            <v>82445.87</v>
          </cell>
          <cell r="G4341">
            <v>42800</v>
          </cell>
        </row>
        <row r="4342">
          <cell r="C4342">
            <v>8172</v>
          </cell>
          <cell r="D4342" t="str">
            <v>Sin Detalle</v>
          </cell>
          <cell r="E4342" t="str">
            <v>UN</v>
          </cell>
          <cell r="F4342">
            <v>0</v>
          </cell>
          <cell r="G4342">
            <v>42822</v>
          </cell>
        </row>
        <row r="4343">
          <cell r="C4343">
            <v>8174</v>
          </cell>
          <cell r="D4343" t="str">
            <v>Publicaciones Y Valla Informativa En Lámina Galvanizada De 2.00 X 2.00 Metros,  Incluye Instalacion Y Montaje</v>
          </cell>
          <cell r="E4343" t="str">
            <v>UN</v>
          </cell>
          <cell r="F4343">
            <v>770730</v>
          </cell>
          <cell r="G4343">
            <v>42852</v>
          </cell>
        </row>
        <row r="4344">
          <cell r="C4344">
            <v>8176</v>
          </cell>
          <cell r="D4344" t="str">
            <v>Limpieza General</v>
          </cell>
          <cell r="E4344" t="str">
            <v>M2</v>
          </cell>
          <cell r="F4344">
            <v>2123.5</v>
          </cell>
          <cell r="G4344">
            <v>42853</v>
          </cell>
        </row>
        <row r="4345">
          <cell r="C4345">
            <v>8177</v>
          </cell>
          <cell r="D4345" t="str">
            <v>Desmonte De Tanque De Almacenamiento De Agua</v>
          </cell>
          <cell r="E4345" t="str">
            <v>UN</v>
          </cell>
          <cell r="F4345">
            <v>31256.25</v>
          </cell>
          <cell r="G4345">
            <v>42853</v>
          </cell>
        </row>
        <row r="4346">
          <cell r="C4346">
            <v>8178</v>
          </cell>
          <cell r="D4346" t="str">
            <v>Lavado De Ventanería Incluye Celosías De Fachada</v>
          </cell>
          <cell r="E4346" t="str">
            <v>M2</v>
          </cell>
          <cell r="F4346">
            <v>3860.58</v>
          </cell>
          <cell r="G4346">
            <v>42853</v>
          </cell>
        </row>
        <row r="4347">
          <cell r="C4347">
            <v>8179</v>
          </cell>
          <cell r="D4347" t="str">
            <v>Lavado De Pisos</v>
          </cell>
          <cell r="E4347" t="str">
            <v>M2</v>
          </cell>
          <cell r="F4347">
            <v>3629.5</v>
          </cell>
          <cell r="G4347">
            <v>42853</v>
          </cell>
        </row>
        <row r="4348">
          <cell r="C4348">
            <v>8180</v>
          </cell>
          <cell r="D4348" t="str">
            <v>Lavado De Baños Y Cocina Con Acido</v>
          </cell>
          <cell r="E4348" t="str">
            <v>M2</v>
          </cell>
          <cell r="F4348">
            <v>4847.63</v>
          </cell>
          <cell r="G4348">
            <v>42853</v>
          </cell>
        </row>
        <row r="4349">
          <cell r="C4349">
            <v>8181</v>
          </cell>
          <cell r="D4349" t="str">
            <v>Pintura De Vigas Metalica Estructura Cubierta</v>
          </cell>
          <cell r="E4349" t="str">
            <v>ML</v>
          </cell>
          <cell r="F4349">
            <v>19832</v>
          </cell>
          <cell r="G4349">
            <v>42853</v>
          </cell>
        </row>
        <row r="4350">
          <cell r="C4350">
            <v>8182</v>
          </cell>
          <cell r="D4350" t="str">
            <v>Suministro E Instalacion De Barandas Metalicas, Según Diseño Existente</v>
          </cell>
          <cell r="E4350" t="str">
            <v>ML</v>
          </cell>
          <cell r="F4350">
            <v>111806</v>
          </cell>
          <cell r="G4350">
            <v>42853</v>
          </cell>
        </row>
        <row r="4351">
          <cell r="C4351">
            <v>8183</v>
          </cell>
          <cell r="D4351" t="str">
            <v>Mantenimiento De Puerta Corrediza Metalica Area De Comedor</v>
          </cell>
          <cell r="E4351" t="str">
            <v>M2</v>
          </cell>
          <cell r="F4351">
            <v>29942</v>
          </cell>
          <cell r="G4351">
            <v>42853</v>
          </cell>
        </row>
        <row r="4352">
          <cell r="C4352">
            <v>8184</v>
          </cell>
          <cell r="D4352" t="str">
            <v>Suministro E Instalacion De Persianas En Fachada</v>
          </cell>
          <cell r="E4352" t="str">
            <v>M2</v>
          </cell>
          <cell r="F4352">
            <v>111856</v>
          </cell>
          <cell r="G4352">
            <v>42853</v>
          </cell>
        </row>
        <row r="4353">
          <cell r="C4353">
            <v>8185</v>
          </cell>
          <cell r="D4353" t="str">
            <v>Revision Y Arreglo De Cubierta En Canaleta 90</v>
          </cell>
          <cell r="E4353" t="str">
            <v>M2</v>
          </cell>
          <cell r="F4353">
            <v>26415</v>
          </cell>
          <cell r="G4353">
            <v>42853</v>
          </cell>
        </row>
        <row r="4354">
          <cell r="C4354">
            <v>8186</v>
          </cell>
          <cell r="D4354" t="str">
            <v>Pintura De Canaletas 90 Color Blanco</v>
          </cell>
          <cell r="E4354" t="str">
            <v>M2</v>
          </cell>
          <cell r="F4354">
            <v>15042</v>
          </cell>
          <cell r="G4354">
            <v>42853</v>
          </cell>
        </row>
        <row r="4355">
          <cell r="C4355">
            <v>8187</v>
          </cell>
          <cell r="D4355" t="str">
            <v>Reparacion De Cielo Raso Existente</v>
          </cell>
          <cell r="E4355" t="str">
            <v>M2</v>
          </cell>
          <cell r="F4355">
            <v>43403</v>
          </cell>
          <cell r="G4355">
            <v>42853</v>
          </cell>
        </row>
        <row r="4356">
          <cell r="C4356">
            <v>8188</v>
          </cell>
          <cell r="D4356" t="str">
            <v>Revision Y Arreglo De Puntos Hidraulicos Existentes, Incluye Cambio Detubo En Mal Estado O Escape, Cheques, Llaves De Paso Y Cualquier Otroelemento Para Su Puesta En Funcionamiento</v>
          </cell>
          <cell r="E4356" t="str">
            <v>UN</v>
          </cell>
          <cell r="F4356">
            <v>71250</v>
          </cell>
          <cell r="G4356">
            <v>42853</v>
          </cell>
        </row>
        <row r="4357">
          <cell r="C4357">
            <v>8189</v>
          </cell>
          <cell r="D4357" t="str">
            <v>Suministro E Instalacion De Aire Acondicionado De 9.000 Btu, Incluye La Instalacion Hidraulica Y Punto Electrico Quedando En Perfecto Funcionamiento En Area De Oficina</v>
          </cell>
          <cell r="E4357" t="str">
            <v>UN</v>
          </cell>
          <cell r="F4357">
            <v>1774500</v>
          </cell>
          <cell r="G4357">
            <v>42853</v>
          </cell>
        </row>
        <row r="4358">
          <cell r="C4358">
            <v>8190</v>
          </cell>
          <cell r="D4358" t="str">
            <v>Revision De Tablero De Distribucion, Incluye Cambio De Breakers Y Cualquier Otro Elemento Necesario Que Garantize El Correcto Funcionamiento</v>
          </cell>
          <cell r="E4358" t="str">
            <v>UN</v>
          </cell>
          <cell r="F4358">
            <v>473250</v>
          </cell>
          <cell r="G4358">
            <v>42853</v>
          </cell>
        </row>
        <row r="4359">
          <cell r="C4359">
            <v>8191</v>
          </cell>
          <cell r="D4359" t="str">
            <v>Mantenimiento Y Cambio De Griferias Sanitaria-Lavamanos</v>
          </cell>
          <cell r="E4359" t="str">
            <v>UN</v>
          </cell>
          <cell r="F4359">
            <v>41550</v>
          </cell>
          <cell r="G4359">
            <v>42853</v>
          </cell>
        </row>
        <row r="4360">
          <cell r="C4360">
            <v>8192</v>
          </cell>
          <cell r="D4360" t="str">
            <v>Sin Detalle</v>
          </cell>
          <cell r="E4360" t="str">
            <v>M2</v>
          </cell>
          <cell r="F4360">
            <v>0</v>
          </cell>
          <cell r="G4360">
            <v>42857</v>
          </cell>
        </row>
        <row r="4361">
          <cell r="C4361">
            <v>8194</v>
          </cell>
          <cell r="D4361" t="str">
            <v>Conformación De Terraplen Compactado Con Material Seleccionado Inv 220-13</v>
          </cell>
          <cell r="E4361" t="str">
            <v>M3</v>
          </cell>
          <cell r="F4361">
            <v>76262.13</v>
          </cell>
          <cell r="G4361">
            <v>42865</v>
          </cell>
        </row>
        <row r="4362">
          <cell r="C4362">
            <v>8195</v>
          </cell>
          <cell r="D4362" t="str">
            <v>Revision Y Arreglo De Puntos Sanitarios Existentes, Incluye Cambio Detubo En Mal Estado O Escape, Cheques, Llaves De Paso Y Cualquier Otroelemento Para Su Puesta En Funcionamiento</v>
          </cell>
          <cell r="E4362" t="str">
            <v>UN</v>
          </cell>
          <cell r="F4362">
            <v>76250</v>
          </cell>
          <cell r="G4362">
            <v>42857</v>
          </cell>
        </row>
        <row r="4363">
          <cell r="C4363">
            <v>8196</v>
          </cell>
          <cell r="D4363" t="str">
            <v>Concreto De 4000 Psi</v>
          </cell>
          <cell r="E4363" t="str">
            <v>M3</v>
          </cell>
          <cell r="F4363">
            <v>333228.31</v>
          </cell>
          <cell r="G4363">
            <v>42857</v>
          </cell>
        </row>
        <row r="4364">
          <cell r="C4364">
            <v>8197</v>
          </cell>
          <cell r="D4364" t="str">
            <v>Placa De Contrapiso 4000 Psi E=0,15 Metros</v>
          </cell>
          <cell r="E4364" t="str">
            <v>M2</v>
          </cell>
          <cell r="F4364">
            <v>87010.11</v>
          </cell>
          <cell r="G4364">
            <v>42857</v>
          </cell>
        </row>
        <row r="4365">
          <cell r="C4365">
            <v>8199</v>
          </cell>
          <cell r="D4365" t="str">
            <v>Paisajismo General Zona Verde: Incluye Excavacion, Retiro Y Desecho (1Mx1Mx,4M=,4M3X1M2), Suministro Y Colocacion De Tierra Abonada (1Mx1Mx,4M=,4M3X1M2), Suministro Y Siembra De Asparagus Desinflorus Densidad 6 X M2, Arachis Pintoi Densidad 11 X M2, Alpinia Purpurata Densidad 4 X M2, Bougainvillea Spectabilis Densidad 3 X M2, Epipremnum Aureum Densidad 6 X M2, Heliconia Psittacorum Densidad 6 X M2, Ixora Coccinea Nora Grant Densidad 4 X M2, Liriope Muscari Variegato Densidad 5 X M2, Nerium Olean</v>
          </cell>
          <cell r="E4365" t="str">
            <v>M2</v>
          </cell>
          <cell r="F4365">
            <v>99030.14</v>
          </cell>
          <cell r="G4365">
            <v>42865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Summary"/>
      <sheetName val="Pivot table (2)"/>
      <sheetName val="Budget Book"/>
      <sheetName val="Cal forecast"/>
      <sheetName val="Items"/>
      <sheetName val="% aprobados"/>
      <sheetName val="M1-157"/>
      <sheetName val="M1-158"/>
      <sheetName val="M1-161"/>
      <sheetName val="M1-166"/>
      <sheetName val="M1-179"/>
      <sheetName val="M1-188 A"/>
      <sheetName val="M1-188 B"/>
      <sheetName val="M1-188 2009 C"/>
      <sheetName val="M1-188 2010 C"/>
      <sheetName val="M1-188 D"/>
      <sheetName val="M1-188 E"/>
      <sheetName val="M1-193"/>
      <sheetName val="M1-196"/>
      <sheetName val="M1-204"/>
      <sheetName val="M1-228 A"/>
      <sheetName val="M1-228 B"/>
      <sheetName val="M1-228 C"/>
      <sheetName val="M1-229-2009"/>
      <sheetName val="M1-229-2010"/>
      <sheetName val="M1-229-2011"/>
      <sheetName val="M1-234"/>
      <sheetName val="M1-244"/>
      <sheetName val="M1-251"/>
      <sheetName val="M1-252"/>
      <sheetName val="M1-256"/>
      <sheetName val="M1-257"/>
      <sheetName val="M1-259"/>
      <sheetName val="M1-260"/>
      <sheetName val="M1-261"/>
      <sheetName val="M1-262"/>
      <sheetName val="M1-263"/>
      <sheetName val="M1-264"/>
      <sheetName val="M1-266"/>
      <sheetName val="M1-267 A"/>
      <sheetName val="M1-267 B"/>
      <sheetName val="M1-267 C"/>
      <sheetName val="M1-267 D"/>
      <sheetName val="M1-267 E"/>
      <sheetName val="M1-267 F"/>
      <sheetName val="M1-267 G"/>
      <sheetName val="M1-268"/>
      <sheetName val="M1-270"/>
      <sheetName val="M1-272"/>
      <sheetName val="M1-273"/>
      <sheetName val="M1-274"/>
      <sheetName val="M1-275"/>
      <sheetName val="M1-276"/>
      <sheetName val="M1-277"/>
      <sheetName val="M1-279"/>
      <sheetName val="M1-283"/>
      <sheetName val="M1-289"/>
      <sheetName val="M1-290"/>
      <sheetName val="M1-291"/>
      <sheetName val="M1-293"/>
      <sheetName val="M1-294"/>
      <sheetName val="M1-308"/>
      <sheetName val="M1-313"/>
      <sheetName val="M1-314"/>
      <sheetName val="M1-315"/>
      <sheetName val="M1-316"/>
      <sheetName val="M1-317"/>
      <sheetName val="M1-318"/>
      <sheetName val="M1-319"/>
      <sheetName val="M1-320"/>
      <sheetName val="M1-322-2009"/>
      <sheetName val="M1-322-2010"/>
      <sheetName val="M1-322-2011"/>
      <sheetName val="M1-324"/>
      <sheetName val="M1-325"/>
      <sheetName val="M1-326"/>
      <sheetName val="REF - Lista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B4" t="str">
            <v>TBD</v>
          </cell>
          <cell r="F4" t="str">
            <v>Exploration works</v>
          </cell>
        </row>
        <row r="5">
          <cell r="B5" t="str">
            <v>Defining scope</v>
          </cell>
          <cell r="F5" t="str">
            <v>Mining operations</v>
          </cell>
        </row>
        <row r="6">
          <cell r="B6" t="str">
            <v>In progress</v>
          </cell>
          <cell r="F6" t="str">
            <v>Health, Safety, Environment &amp; Community (HSEC)</v>
          </cell>
        </row>
        <row r="7">
          <cell r="B7" t="str">
            <v>For Approval</v>
          </cell>
          <cell r="F7" t="str">
            <v>Other</v>
          </cell>
        </row>
        <row r="8">
          <cell r="B8" t="str">
            <v>Partially Approved</v>
          </cell>
        </row>
        <row r="9">
          <cell r="B9" t="str">
            <v>Approved</v>
          </cell>
        </row>
        <row r="10">
          <cell r="B10" t="str">
            <v>Voided</v>
          </cell>
        </row>
        <row r="11">
          <cell r="B11" t="str">
            <v>Completed</v>
          </cell>
        </row>
        <row r="14">
          <cell r="B14" t="str">
            <v>Capital projects</v>
          </cell>
        </row>
        <row r="15">
          <cell r="B15" t="str">
            <v>Project Responsible</v>
          </cell>
        </row>
        <row r="16">
          <cell r="B16" t="str">
            <v>Purchasing</v>
          </cell>
          <cell r="D16" t="str">
            <v>Admin &amp; Infrastructure</v>
          </cell>
        </row>
        <row r="17">
          <cell r="B17" t="str">
            <v>Legal</v>
          </cell>
          <cell r="D17" t="str">
            <v>Mining - Support</v>
          </cell>
        </row>
        <row r="18">
          <cell r="B18" t="str">
            <v>Peter Tilston</v>
          </cell>
          <cell r="D18" t="str">
            <v>Mining - Waste Removal</v>
          </cell>
        </row>
        <row r="19">
          <cell r="B19" t="str">
            <v>Edward Delilla</v>
          </cell>
          <cell r="D19" t="str">
            <v>Coal Handling</v>
          </cell>
        </row>
        <row r="20">
          <cell r="B20" t="str">
            <v>Harold McBride</v>
          </cell>
          <cell r="D20" t="str">
            <v>HO &amp; Marketing</v>
          </cell>
        </row>
        <row r="21">
          <cell r="B21" t="str">
            <v>Chris Phillips</v>
          </cell>
          <cell r="D21" t="str">
            <v>Mining - Coal Mining</v>
          </cell>
        </row>
        <row r="22">
          <cell r="B22" t="str">
            <v>Darren Bowden</v>
          </cell>
          <cell r="D22" t="str">
            <v>Rail &amp; Transport</v>
          </cell>
        </row>
        <row r="23">
          <cell r="B23" t="str">
            <v>Gary Nagle</v>
          </cell>
          <cell r="D23" t="str">
            <v>Fenoco: Access Fees</v>
          </cell>
        </row>
        <row r="24">
          <cell r="D24" t="str">
            <v>Port</v>
          </cell>
        </row>
        <row r="27">
          <cell r="D27" t="str">
            <v>Expansion</v>
          </cell>
        </row>
        <row r="28">
          <cell r="D28" t="str">
            <v>Stay in business</v>
          </cell>
        </row>
        <row r="32">
          <cell r="D32" t="str">
            <v>Other</v>
          </cell>
        </row>
        <row r="33">
          <cell r="D33" t="str">
            <v>Electrical Infrastructure</v>
          </cell>
        </row>
        <row r="34">
          <cell r="D34" t="str">
            <v>Purchase New Equip</v>
          </cell>
        </row>
        <row r="35">
          <cell r="D35" t="str">
            <v>Civil Infrastructure</v>
          </cell>
        </row>
        <row r="36">
          <cell r="D36" t="str">
            <v>Overhaul</v>
          </cell>
        </row>
        <row r="37">
          <cell r="D37" t="str">
            <v>Engineering Studies</v>
          </cell>
        </row>
        <row r="38">
          <cell r="D38" t="str">
            <v>Purchase Used Equip</v>
          </cell>
        </row>
      </sheetData>
      <sheetData sheetId="7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turitas Valuation Summary"/>
      <sheetName val="Title"/>
      <sheetName val="Options"/>
      <sheetName val="Project Finance"/>
      <sheetName val="Equipment Leasing"/>
      <sheetName val="Parameters"/>
      <sheetName val="Pricing"/>
      <sheetName val="NPV Summary"/>
      <sheetName val="Cost Summ"/>
      <sheetName val="Sensitivities"/>
      <sheetName val="Economic  Graph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Royaltie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2007 Capex"/>
      <sheetName val="Paste In Schedule_CDJ"/>
      <sheetName val="Paste In Schedule_Cal"/>
      <sheetName val="Paste In Utilisation"/>
      <sheetName val="Paste In Fleet"/>
      <sheetName val="Paste in Roster"/>
      <sheetName val="Equip Data"/>
      <sheetName val="Not Used ------&gt;"/>
      <sheetName val="Update_Header_Footer"/>
    </sheetNames>
    <sheetDataSet>
      <sheetData sheetId="0" refreshError="1"/>
      <sheetData sheetId="1" refreshError="1"/>
      <sheetData sheetId="2" refreshError="1"/>
      <sheetData sheetId="3" refreshError="1"/>
      <sheetData sheetId="4" refreshError="1"/>
      <sheetData sheetId="5" refreshError="1">
        <row r="15">
          <cell r="K15">
            <v>0.1</v>
          </cell>
          <cell r="R15">
            <v>0.08</v>
          </cell>
        </row>
        <row r="16">
          <cell r="K16">
            <v>2.5000000000000001E-2</v>
          </cell>
        </row>
        <row r="17">
          <cell r="D17">
            <v>38353</v>
          </cell>
        </row>
        <row r="18">
          <cell r="K18">
            <v>11300</v>
          </cell>
          <cell r="R18">
            <v>0.55000000000000004</v>
          </cell>
        </row>
        <row r="19">
          <cell r="R19">
            <v>1800</v>
          </cell>
        </row>
        <row r="26">
          <cell r="O26">
            <v>4</v>
          </cell>
          <cell r="P26">
            <v>2</v>
          </cell>
          <cell r="Q26">
            <v>4</v>
          </cell>
          <cell r="R26">
            <v>5</v>
          </cell>
        </row>
        <row r="27">
          <cell r="O27">
            <v>7</v>
          </cell>
          <cell r="P27">
            <v>5</v>
          </cell>
          <cell r="Q27">
            <v>6</v>
          </cell>
          <cell r="R27">
            <v>7</v>
          </cell>
        </row>
        <row r="28">
          <cell r="O28">
            <v>2</v>
          </cell>
          <cell r="P28">
            <v>2</v>
          </cell>
          <cell r="Q28">
            <v>2</v>
          </cell>
          <cell r="R28">
            <v>3</v>
          </cell>
        </row>
        <row r="29">
          <cell r="O29">
            <v>12</v>
          </cell>
          <cell r="P29">
            <v>12</v>
          </cell>
          <cell r="Q29">
            <v>12</v>
          </cell>
          <cell r="R29">
            <v>8</v>
          </cell>
        </row>
        <row r="30">
          <cell r="O30" t="str">
            <v>4p7d</v>
          </cell>
          <cell r="P30" t="str">
            <v>2p5d2</v>
          </cell>
          <cell r="Q30" t="str">
            <v>4p6d</v>
          </cell>
          <cell r="R30" t="str">
            <v>5p7d</v>
          </cell>
        </row>
      </sheetData>
      <sheetData sheetId="6" refreshError="1"/>
      <sheetData sheetId="7" refreshError="1"/>
      <sheetData sheetId="8" refreshError="1"/>
      <sheetData sheetId="9" refreshError="1">
        <row r="10">
          <cell r="I10">
            <v>1</v>
          </cell>
        </row>
        <row r="12">
          <cell r="I12">
            <v>1</v>
          </cell>
        </row>
        <row r="13">
          <cell r="I13">
            <v>1</v>
          </cell>
        </row>
      </sheetData>
      <sheetData sheetId="10" refreshError="1"/>
      <sheetData sheetId="11" refreshError="1"/>
      <sheetData sheetId="12" refreshError="1">
        <row r="58">
          <cell r="H58">
            <v>0</v>
          </cell>
        </row>
        <row r="132">
          <cell r="H132">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14">
          <cell r="B14">
            <v>110</v>
          </cell>
          <cell r="C14" t="str">
            <v>Front End Loader</v>
          </cell>
          <cell r="D14" t="str">
            <v>Caterpillar992G</v>
          </cell>
          <cell r="E14" t="str">
            <v>11.5 cu.m.</v>
          </cell>
          <cell r="F14">
            <v>0.75</v>
          </cell>
          <cell r="G14" t="str">
            <v>USA</v>
          </cell>
          <cell r="I14">
            <v>1681500</v>
          </cell>
          <cell r="J14">
            <v>1681500</v>
          </cell>
          <cell r="K14">
            <v>42500</v>
          </cell>
          <cell r="L14">
            <v>2</v>
          </cell>
          <cell r="M14">
            <v>5530.91</v>
          </cell>
          <cell r="Q14">
            <v>17.411240975383745</v>
          </cell>
          <cell r="S14">
            <v>30.401868770238533</v>
          </cell>
          <cell r="T14">
            <v>3.8002335962798166</v>
          </cell>
          <cell r="Y14">
            <v>107.46</v>
          </cell>
          <cell r="Z14">
            <v>59.103000000000002</v>
          </cell>
          <cell r="AA14">
            <v>0.1</v>
          </cell>
          <cell r="AB14">
            <v>5.9103000000000003</v>
          </cell>
          <cell r="AC14">
            <v>12.1653</v>
          </cell>
          <cell r="AD14">
            <v>6.2774999999999999</v>
          </cell>
          <cell r="AE14">
            <v>30.195</v>
          </cell>
          <cell r="AI14">
            <v>113.65109999999999</v>
          </cell>
          <cell r="AJ14">
            <v>19147</v>
          </cell>
          <cell r="AN14">
            <v>0.42</v>
          </cell>
        </row>
        <row r="15">
          <cell r="B15">
            <v>111</v>
          </cell>
          <cell r="C15" t="str">
            <v>Front End Loader</v>
          </cell>
          <cell r="D15" t="str">
            <v>Caterpillar994D</v>
          </cell>
          <cell r="E15" t="str">
            <v>18.0 cu.m.</v>
          </cell>
          <cell r="F15">
            <v>0.75</v>
          </cell>
          <cell r="G15" t="str">
            <v>USA</v>
          </cell>
          <cell r="I15">
            <v>3847500</v>
          </cell>
          <cell r="J15">
            <v>3847500</v>
          </cell>
          <cell r="K15">
            <v>45000</v>
          </cell>
          <cell r="L15">
            <v>2</v>
          </cell>
          <cell r="M15">
            <v>5530.91</v>
          </cell>
          <cell r="N15">
            <v>4200</v>
          </cell>
          <cell r="Q15">
            <v>39.839280197911968</v>
          </cell>
          <cell r="S15">
            <v>69.563598033596648</v>
          </cell>
          <cell r="T15">
            <v>8.695449754199581</v>
          </cell>
          <cell r="Y15">
            <v>167.94</v>
          </cell>
          <cell r="Z15">
            <v>92.367000000000004</v>
          </cell>
          <cell r="AA15">
            <v>0.1</v>
          </cell>
          <cell r="AB15">
            <v>9.2367000000000008</v>
          </cell>
          <cell r="AC15">
            <v>44.579587500000002</v>
          </cell>
          <cell r="AD15">
            <v>6.5175000000000001</v>
          </cell>
          <cell r="AE15">
            <v>47.61</v>
          </cell>
          <cell r="AI15">
            <v>200.3107875</v>
          </cell>
          <cell r="AJ15">
            <v>19147</v>
          </cell>
          <cell r="AN15">
            <v>0.48</v>
          </cell>
        </row>
        <row r="16">
          <cell r="B16">
            <v>118</v>
          </cell>
          <cell r="C16" t="str">
            <v>Front End Loader</v>
          </cell>
          <cell r="D16" t="str">
            <v>Caterpillar988G</v>
          </cell>
          <cell r="E16" t="str">
            <v>6.4 cu.m.</v>
          </cell>
          <cell r="F16">
            <v>0.75</v>
          </cell>
          <cell r="G16" t="str">
            <v>USA</v>
          </cell>
          <cell r="I16">
            <v>754500</v>
          </cell>
          <cell r="J16">
            <v>754500</v>
          </cell>
          <cell r="K16">
            <v>30000</v>
          </cell>
          <cell r="L16">
            <v>2</v>
          </cell>
          <cell r="M16">
            <v>5530.91</v>
          </cell>
          <cell r="Q16">
            <v>7.8125372084014515</v>
          </cell>
          <cell r="S16">
            <v>13.641516495477237</v>
          </cell>
          <cell r="T16">
            <v>1.7051895619346547</v>
          </cell>
          <cell r="Y16">
            <v>53.1</v>
          </cell>
          <cell r="Z16">
            <v>29.205000000000002</v>
          </cell>
          <cell r="AA16">
            <v>0.1</v>
          </cell>
          <cell r="AB16">
            <v>2.9205000000000005</v>
          </cell>
          <cell r="AC16">
            <v>4.8399749999999999</v>
          </cell>
          <cell r="AD16">
            <v>0</v>
          </cell>
          <cell r="AE16">
            <v>0</v>
          </cell>
          <cell r="AI16">
            <v>36.965475000000005</v>
          </cell>
          <cell r="AJ16">
            <v>19147</v>
          </cell>
          <cell r="AN16">
            <v>0.36</v>
          </cell>
        </row>
        <row r="17">
          <cell r="B17">
            <v>120</v>
          </cell>
          <cell r="C17" t="str">
            <v>Front End Loader</v>
          </cell>
          <cell r="D17" t="str">
            <v>Le TourneauL1850</v>
          </cell>
          <cell r="E17" t="str">
            <v>25.2 cu.m.</v>
          </cell>
          <cell r="F17">
            <v>0.79</v>
          </cell>
          <cell r="G17" t="str">
            <v>USA</v>
          </cell>
          <cell r="I17">
            <v>4521840</v>
          </cell>
          <cell r="J17">
            <v>4521840</v>
          </cell>
          <cell r="K17">
            <v>47000</v>
          </cell>
          <cell r="L17">
            <v>2</v>
          </cell>
          <cell r="M17">
            <v>5530.91</v>
          </cell>
          <cell r="Q17">
            <v>46.821793572482463</v>
          </cell>
          <cell r="S17">
            <v>81.755805102596142</v>
          </cell>
          <cell r="T17">
            <v>10.219475637824518</v>
          </cell>
          <cell r="Y17">
            <v>201.42</v>
          </cell>
          <cell r="Z17">
            <v>110.78100000000001</v>
          </cell>
          <cell r="AA17">
            <v>0.1</v>
          </cell>
          <cell r="AB17">
            <v>11.078100000000001</v>
          </cell>
          <cell r="AC17">
            <v>40.614525</v>
          </cell>
          <cell r="AD17">
            <v>0</v>
          </cell>
          <cell r="AE17">
            <v>100.515</v>
          </cell>
          <cell r="AI17">
            <v>262.98862500000001</v>
          </cell>
          <cell r="AJ17">
            <v>19147</v>
          </cell>
          <cell r="AN17">
            <v>0.5</v>
          </cell>
        </row>
        <row r="18">
          <cell r="B18">
            <v>202</v>
          </cell>
          <cell r="C18" t="str">
            <v>Hydraulic Excavator</v>
          </cell>
          <cell r="D18" t="str">
            <v>HitachiEX 2500</v>
          </cell>
          <cell r="E18" t="str">
            <v>238 t</v>
          </cell>
          <cell r="F18">
            <v>0.74</v>
          </cell>
          <cell r="G18" t="str">
            <v>Japan</v>
          </cell>
          <cell r="I18">
            <v>2479312.5</v>
          </cell>
          <cell r="J18">
            <v>2479312.5</v>
          </cell>
          <cell r="K18">
            <v>40000</v>
          </cell>
          <cell r="L18">
            <v>2</v>
          </cell>
          <cell r="M18">
            <v>5530.91</v>
          </cell>
          <cell r="Q18">
            <v>25.672261308820186</v>
          </cell>
          <cell r="S18">
            <v>44.82648424942731</v>
          </cell>
          <cell r="T18">
            <v>5.6033105311784137</v>
          </cell>
          <cell r="Y18">
            <v>174.6</v>
          </cell>
          <cell r="Z18">
            <v>96.03</v>
          </cell>
          <cell r="AA18">
            <v>0.12</v>
          </cell>
          <cell r="AB18">
            <v>11.5236</v>
          </cell>
          <cell r="AC18">
            <v>0</v>
          </cell>
          <cell r="AD18">
            <v>15.0375</v>
          </cell>
          <cell r="AE18">
            <v>67.875</v>
          </cell>
          <cell r="AI18">
            <v>190.46609999999998</v>
          </cell>
          <cell r="AJ18">
            <v>19147</v>
          </cell>
          <cell r="AN18">
            <v>0.9</v>
          </cell>
        </row>
        <row r="19">
          <cell r="B19">
            <v>204</v>
          </cell>
          <cell r="C19" t="str">
            <v>Hydraulic Excavator</v>
          </cell>
          <cell r="D19" t="str">
            <v>HitachiEX 5500</v>
          </cell>
          <cell r="E19" t="str">
            <v>515 t</v>
          </cell>
          <cell r="F19">
            <v>0.76</v>
          </cell>
          <cell r="G19" t="str">
            <v>Japan</v>
          </cell>
          <cell r="I19">
            <v>5587275</v>
          </cell>
          <cell r="J19">
            <v>5587275</v>
          </cell>
          <cell r="K19">
            <v>50000</v>
          </cell>
          <cell r="L19">
            <v>2</v>
          </cell>
          <cell r="M19">
            <v>5530.91</v>
          </cell>
          <cell r="Q19">
            <v>57.853934832433687</v>
          </cell>
          <cell r="S19">
            <v>101.01909089101071</v>
          </cell>
          <cell r="T19">
            <v>12.627386361376338</v>
          </cell>
          <cell r="Y19">
            <v>349.2</v>
          </cell>
          <cell r="Z19">
            <v>192.06</v>
          </cell>
          <cell r="AA19">
            <v>0.12</v>
          </cell>
          <cell r="AB19">
            <v>23.0472</v>
          </cell>
          <cell r="AC19">
            <v>0</v>
          </cell>
          <cell r="AD19">
            <v>37.005000000000003</v>
          </cell>
          <cell r="AE19">
            <v>130.5</v>
          </cell>
          <cell r="AI19">
            <v>382.61220000000003</v>
          </cell>
          <cell r="AJ19">
            <v>19147</v>
          </cell>
          <cell r="AN19">
            <v>1.2</v>
          </cell>
        </row>
        <row r="20">
          <cell r="B20">
            <v>207</v>
          </cell>
          <cell r="C20" t="str">
            <v>Hydraulic Excavator</v>
          </cell>
          <cell r="D20" t="str">
            <v>O&amp;KRH120-E</v>
          </cell>
          <cell r="E20" t="str">
            <v>250 t</v>
          </cell>
          <cell r="F20">
            <v>0.84</v>
          </cell>
          <cell r="G20" t="str">
            <v>Germany</v>
          </cell>
          <cell r="I20">
            <v>2500800</v>
          </cell>
          <cell r="J20">
            <v>2500800</v>
          </cell>
          <cell r="K20">
            <v>40000</v>
          </cell>
          <cell r="L20">
            <v>2</v>
          </cell>
          <cell r="M20">
            <v>5530.91</v>
          </cell>
          <cell r="N20">
            <v>4200</v>
          </cell>
          <cell r="Q20">
            <v>25.894755534486876</v>
          </cell>
          <cell r="S20">
            <v>45.21498270628161</v>
          </cell>
          <cell r="T20">
            <v>5.6518728382852013</v>
          </cell>
          <cell r="Y20">
            <v>171.72</v>
          </cell>
          <cell r="Z20">
            <v>94.446000000000012</v>
          </cell>
          <cell r="AA20">
            <v>0.12</v>
          </cell>
          <cell r="AB20">
            <v>11.333520000000002</v>
          </cell>
          <cell r="AC20">
            <v>0</v>
          </cell>
          <cell r="AD20">
            <v>10.2225</v>
          </cell>
          <cell r="AE20">
            <v>77.88</v>
          </cell>
          <cell r="AI20">
            <v>193.88202000000001</v>
          </cell>
          <cell r="AJ20">
            <v>19147</v>
          </cell>
          <cell r="AN20">
            <v>0.9</v>
          </cell>
        </row>
        <row r="21">
          <cell r="B21">
            <v>209</v>
          </cell>
          <cell r="C21" t="str">
            <v>Hydraulic Excavator</v>
          </cell>
          <cell r="D21" t="str">
            <v>O&amp;KRH170</v>
          </cell>
          <cell r="E21" t="str">
            <v>360 t</v>
          </cell>
          <cell r="F21">
            <v>0.86</v>
          </cell>
          <cell r="G21" t="str">
            <v>Germany</v>
          </cell>
          <cell r="I21">
            <v>3520125</v>
          </cell>
          <cell r="J21">
            <v>3520125</v>
          </cell>
          <cell r="K21">
            <v>45000</v>
          </cell>
          <cell r="L21">
            <v>2</v>
          </cell>
          <cell r="M21">
            <v>5530.91</v>
          </cell>
          <cell r="Q21">
            <v>36.449446707387892</v>
          </cell>
          <cell r="S21">
            <v>63.644590130737981</v>
          </cell>
          <cell r="T21">
            <v>7.9555737663422477</v>
          </cell>
          <cell r="Y21">
            <v>201.6</v>
          </cell>
          <cell r="Z21">
            <v>110.88000000000001</v>
          </cell>
          <cell r="AA21">
            <v>0.12</v>
          </cell>
          <cell r="AB21">
            <v>13.3056</v>
          </cell>
          <cell r="AC21">
            <v>0</v>
          </cell>
          <cell r="AD21">
            <v>10.8</v>
          </cell>
          <cell r="AE21">
            <v>81.412499999999994</v>
          </cell>
          <cell r="AI21">
            <v>216.3981</v>
          </cell>
          <cell r="AJ21">
            <v>19147</v>
          </cell>
          <cell r="AN21">
            <v>1.08</v>
          </cell>
        </row>
        <row r="22">
          <cell r="B22">
            <v>210</v>
          </cell>
          <cell r="C22" t="str">
            <v>Hydraulic Excavator</v>
          </cell>
          <cell r="D22" t="str">
            <v>O&amp;KRH200</v>
          </cell>
          <cell r="E22" t="str">
            <v>480 t</v>
          </cell>
          <cell r="F22">
            <v>0.87</v>
          </cell>
          <cell r="G22" t="str">
            <v>Germany</v>
          </cell>
          <cell r="I22">
            <v>5087062.5</v>
          </cell>
          <cell r="J22">
            <v>5087062.5</v>
          </cell>
          <cell r="K22">
            <v>50000</v>
          </cell>
          <cell r="L22">
            <v>2</v>
          </cell>
          <cell r="M22">
            <v>5530.91</v>
          </cell>
          <cell r="Q22">
            <v>52.674440109627177</v>
          </cell>
          <cell r="S22">
            <v>91.975145138865045</v>
          </cell>
          <cell r="T22">
            <v>11.496893142358131</v>
          </cell>
          <cell r="Y22">
            <v>286.52</v>
          </cell>
          <cell r="Z22">
            <v>157.58600000000001</v>
          </cell>
          <cell r="AA22">
            <v>0.12</v>
          </cell>
          <cell r="AB22">
            <v>18.910320000000002</v>
          </cell>
          <cell r="AC22">
            <v>0</v>
          </cell>
          <cell r="AD22">
            <v>15.615</v>
          </cell>
          <cell r="AE22">
            <v>123</v>
          </cell>
          <cell r="AI22">
            <v>315.11131999999998</v>
          </cell>
          <cell r="AJ22">
            <v>19147</v>
          </cell>
          <cell r="AN22">
            <v>1.2</v>
          </cell>
        </row>
        <row r="23">
          <cell r="B23">
            <v>211</v>
          </cell>
          <cell r="C23" t="str">
            <v>Hydraulic Excavator</v>
          </cell>
          <cell r="D23" t="str">
            <v>O&amp;KRH400</v>
          </cell>
          <cell r="E23" t="str">
            <v>800 t</v>
          </cell>
          <cell r="F23">
            <v>0.89</v>
          </cell>
          <cell r="G23" t="str">
            <v>Germany</v>
          </cell>
          <cell r="I23">
            <v>9792187.5</v>
          </cell>
          <cell r="J23">
            <v>9792187.5</v>
          </cell>
          <cell r="K23">
            <v>60000</v>
          </cell>
          <cell r="L23">
            <v>2</v>
          </cell>
          <cell r="M23">
            <v>5530.91</v>
          </cell>
          <cell r="Q23">
            <v>101.3940744803096</v>
          </cell>
          <cell r="S23">
            <v>177.0447810577283</v>
          </cell>
          <cell r="T23">
            <v>22.130597632216038</v>
          </cell>
          <cell r="Y23">
            <v>537.12</v>
          </cell>
          <cell r="Z23">
            <v>295.41600000000005</v>
          </cell>
          <cell r="AA23">
            <v>0.12</v>
          </cell>
          <cell r="AB23">
            <v>35.449920000000006</v>
          </cell>
          <cell r="AC23">
            <v>0</v>
          </cell>
          <cell r="AD23">
            <v>30.052499999999998</v>
          </cell>
          <cell r="AE23">
            <v>213</v>
          </cell>
          <cell r="AI23">
            <v>573.91842000000008</v>
          </cell>
          <cell r="AJ23">
            <v>19147</v>
          </cell>
          <cell r="AN23">
            <v>1.2</v>
          </cell>
        </row>
        <row r="24">
          <cell r="B24">
            <v>223</v>
          </cell>
          <cell r="C24" t="str">
            <v>Hydraulic Excavator</v>
          </cell>
          <cell r="D24" t="str">
            <v>Liebherr994 B</v>
          </cell>
          <cell r="E24" t="str">
            <v>296 t</v>
          </cell>
          <cell r="F24">
            <v>0.93</v>
          </cell>
          <cell r="G24" t="str">
            <v>Europe</v>
          </cell>
          <cell r="I24">
            <v>2804234.25</v>
          </cell>
          <cell r="J24">
            <v>2804234.25</v>
          </cell>
          <cell r="K24">
            <v>45000</v>
          </cell>
          <cell r="L24">
            <v>2</v>
          </cell>
          <cell r="M24">
            <v>5530.91</v>
          </cell>
          <cell r="Q24">
            <v>29.036692404504613</v>
          </cell>
          <cell r="S24">
            <v>50.701136883442331</v>
          </cell>
          <cell r="T24">
            <v>6.3376421104302905</v>
          </cell>
          <cell r="Y24">
            <v>204.96</v>
          </cell>
          <cell r="Z24">
            <v>112.72800000000001</v>
          </cell>
          <cell r="AA24">
            <v>0.12</v>
          </cell>
          <cell r="AB24">
            <v>13.52736</v>
          </cell>
          <cell r="AC24">
            <v>0</v>
          </cell>
          <cell r="AD24">
            <v>0</v>
          </cell>
          <cell r="AE24">
            <v>112.36499999999999</v>
          </cell>
          <cell r="AI24">
            <v>238.62036000000001</v>
          </cell>
          <cell r="AJ24">
            <v>19147</v>
          </cell>
          <cell r="AN24">
            <v>0.8</v>
          </cell>
        </row>
        <row r="25">
          <cell r="B25">
            <v>224</v>
          </cell>
          <cell r="C25" t="str">
            <v>Hydraulic Excavator</v>
          </cell>
          <cell r="D25" t="str">
            <v>Liebherr995</v>
          </cell>
          <cell r="E25" t="str">
            <v>390 t</v>
          </cell>
          <cell r="F25">
            <v>0.90400000000000003</v>
          </cell>
          <cell r="G25" t="str">
            <v>Europe</v>
          </cell>
          <cell r="I25">
            <v>4917230.25</v>
          </cell>
          <cell r="J25">
            <v>4917230.25</v>
          </cell>
          <cell r="K25">
            <v>45000</v>
          </cell>
          <cell r="L25">
            <v>2</v>
          </cell>
          <cell r="M25">
            <v>5530.91</v>
          </cell>
          <cell r="Q25">
            <v>50.915897005171885</v>
          </cell>
          <cell r="S25">
            <v>88.904542832915382</v>
          </cell>
          <cell r="T25">
            <v>11.113067854114425</v>
          </cell>
          <cell r="Y25">
            <v>302.39999999999998</v>
          </cell>
          <cell r="Z25">
            <v>166.32</v>
          </cell>
          <cell r="AA25">
            <v>0.15</v>
          </cell>
          <cell r="AB25">
            <v>24.947999999999997</v>
          </cell>
          <cell r="AC25">
            <v>0</v>
          </cell>
          <cell r="AD25">
            <v>0</v>
          </cell>
          <cell r="AE25">
            <v>191.625</v>
          </cell>
          <cell r="AI25">
            <v>382.89300000000003</v>
          </cell>
          <cell r="AJ25">
            <v>19147</v>
          </cell>
          <cell r="AN25">
            <v>0.9</v>
          </cell>
        </row>
        <row r="26">
          <cell r="B26">
            <v>225</v>
          </cell>
          <cell r="C26" t="str">
            <v>Hydraulic Excavator</v>
          </cell>
          <cell r="D26" t="str">
            <v>Liebherr996</v>
          </cell>
          <cell r="E26" t="str">
            <v>530 t</v>
          </cell>
          <cell r="F26">
            <v>0.91</v>
          </cell>
          <cell r="G26" t="str">
            <v>Europe</v>
          </cell>
          <cell r="I26">
            <v>5896669.5</v>
          </cell>
          <cell r="J26">
            <v>5896669.5</v>
          </cell>
          <cell r="K26">
            <v>50000</v>
          </cell>
          <cell r="L26">
            <v>2</v>
          </cell>
          <cell r="M26">
            <v>5530.91</v>
          </cell>
          <cell r="N26">
            <v>4200</v>
          </cell>
          <cell r="Q26">
            <v>61.05758764002119</v>
          </cell>
          <cell r="S26">
            <v>106.61300762442347</v>
          </cell>
          <cell r="T26">
            <v>13.326625953052936</v>
          </cell>
          <cell r="Y26">
            <v>436.8</v>
          </cell>
          <cell r="Z26">
            <v>240.24000000000004</v>
          </cell>
          <cell r="AA26">
            <v>0.15</v>
          </cell>
          <cell r="AB26">
            <v>36.036000000000001</v>
          </cell>
          <cell r="AC26">
            <v>0</v>
          </cell>
          <cell r="AD26">
            <v>20.475000000000001</v>
          </cell>
          <cell r="AE26">
            <v>270.375</v>
          </cell>
          <cell r="AI26">
            <v>567.12599999999998</v>
          </cell>
          <cell r="AJ26">
            <v>19147</v>
          </cell>
          <cell r="AN26">
            <v>1.1000000000000001</v>
          </cell>
        </row>
        <row r="27">
          <cell r="B27">
            <v>230</v>
          </cell>
          <cell r="C27" t="str">
            <v>Hydraulic Excavator</v>
          </cell>
          <cell r="D27" t="str">
            <v>HitachiEX 1200</v>
          </cell>
          <cell r="E27" t="str">
            <v>109 t</v>
          </cell>
          <cell r="F27">
            <v>0.8</v>
          </cell>
          <cell r="G27" t="str">
            <v>Japan</v>
          </cell>
          <cell r="I27">
            <v>881250</v>
          </cell>
          <cell r="J27">
            <v>881250</v>
          </cell>
          <cell r="K27">
            <v>30000</v>
          </cell>
          <cell r="L27">
            <v>2</v>
          </cell>
          <cell r="M27">
            <v>5530.91</v>
          </cell>
          <cell r="Q27">
            <v>9.1249813318804254</v>
          </cell>
          <cell r="S27">
            <v>15.933182785472916</v>
          </cell>
          <cell r="T27">
            <v>1.9916478481841144</v>
          </cell>
          <cell r="Y27">
            <v>90.34</v>
          </cell>
          <cell r="Z27">
            <v>49.687000000000005</v>
          </cell>
          <cell r="AA27">
            <v>0.12</v>
          </cell>
          <cell r="AB27">
            <v>5.96244</v>
          </cell>
          <cell r="AC27">
            <v>0</v>
          </cell>
          <cell r="AD27">
            <v>4.125</v>
          </cell>
          <cell r="AE27">
            <v>27.3</v>
          </cell>
          <cell r="AI27">
            <v>87.07444000000001</v>
          </cell>
          <cell r="AJ27">
            <v>19147</v>
          </cell>
          <cell r="AN27">
            <v>0.52</v>
          </cell>
        </row>
        <row r="28">
          <cell r="B28">
            <v>231</v>
          </cell>
          <cell r="C28" t="str">
            <v>Hydraulic Excavator</v>
          </cell>
          <cell r="D28" t="str">
            <v>HitachiEX 1900</v>
          </cell>
          <cell r="E28" t="str">
            <v>186 t</v>
          </cell>
          <cell r="F28">
            <v>0.74</v>
          </cell>
          <cell r="G28" t="str">
            <v>Japan</v>
          </cell>
          <cell r="I28">
            <v>1770937.5</v>
          </cell>
          <cell r="J28">
            <v>1770937.5</v>
          </cell>
          <cell r="K28">
            <v>35000</v>
          </cell>
          <cell r="L28">
            <v>2</v>
          </cell>
          <cell r="M28">
            <v>5530.91</v>
          </cell>
          <cell r="Q28">
            <v>18.337329506300133</v>
          </cell>
          <cell r="S28">
            <v>32.018917321019508</v>
          </cell>
          <cell r="T28">
            <v>4.0023646651274385</v>
          </cell>
          <cell r="Y28">
            <v>140.4</v>
          </cell>
          <cell r="Z28">
            <v>77.220000000000013</v>
          </cell>
          <cell r="AA28">
            <v>0.12</v>
          </cell>
          <cell r="AB28">
            <v>9.2664000000000009</v>
          </cell>
          <cell r="AC28">
            <v>0</v>
          </cell>
          <cell r="AD28">
            <v>11.25</v>
          </cell>
          <cell r="AE28">
            <v>52.8</v>
          </cell>
          <cell r="AI28">
            <v>150.53640000000001</v>
          </cell>
          <cell r="AJ28">
            <v>19147</v>
          </cell>
          <cell r="AN28">
            <v>0.72</v>
          </cell>
        </row>
        <row r="29">
          <cell r="B29">
            <v>232</v>
          </cell>
          <cell r="C29" t="str">
            <v>Hydraulic Excavator</v>
          </cell>
          <cell r="D29" t="str">
            <v>HitachiEX 3600</v>
          </cell>
          <cell r="E29" t="str">
            <v>348 t</v>
          </cell>
          <cell r="F29">
            <v>0.74</v>
          </cell>
          <cell r="G29" t="str">
            <v>Japan</v>
          </cell>
          <cell r="I29">
            <v>3754387.5</v>
          </cell>
          <cell r="J29">
            <v>3754387.5</v>
          </cell>
          <cell r="K29">
            <v>45000</v>
          </cell>
          <cell r="L29">
            <v>2</v>
          </cell>
          <cell r="M29">
            <v>5530.91</v>
          </cell>
          <cell r="Q29">
            <v>38.875138553356258</v>
          </cell>
          <cell r="S29">
            <v>67.880104720561363</v>
          </cell>
          <cell r="T29">
            <v>8.4850130900701703</v>
          </cell>
          <cell r="Y29">
            <v>252</v>
          </cell>
          <cell r="Z29">
            <v>138.60000000000002</v>
          </cell>
          <cell r="AA29">
            <v>0.12</v>
          </cell>
          <cell r="AB29">
            <v>16.632000000000001</v>
          </cell>
          <cell r="AC29">
            <v>0</v>
          </cell>
          <cell r="AD29">
            <v>21</v>
          </cell>
          <cell r="AE29">
            <v>97.95</v>
          </cell>
          <cell r="AI29">
            <v>274.18200000000002</v>
          </cell>
          <cell r="AJ29">
            <v>19147</v>
          </cell>
          <cell r="AN29">
            <v>1.08</v>
          </cell>
        </row>
        <row r="30">
          <cell r="B30">
            <v>300</v>
          </cell>
          <cell r="C30" t="str">
            <v>Truck - Rear Dump</v>
          </cell>
          <cell r="D30" t="str">
            <v>Caterpillar769D</v>
          </cell>
          <cell r="E30" t="str">
            <v>38.0 t</v>
          </cell>
          <cell r="F30">
            <v>0.75</v>
          </cell>
          <cell r="G30" t="str">
            <v>USA</v>
          </cell>
          <cell r="I30">
            <v>618690</v>
          </cell>
          <cell r="J30">
            <v>618690</v>
          </cell>
          <cell r="K30">
            <v>30000</v>
          </cell>
          <cell r="L30">
            <v>2</v>
          </cell>
          <cell r="M30">
            <v>5765.65</v>
          </cell>
          <cell r="Q30">
            <v>6.1454581773923387</v>
          </cell>
          <cell r="S30">
            <v>10.730620138232464</v>
          </cell>
          <cell r="T30">
            <v>1.341327517279058</v>
          </cell>
          <cell r="Y30">
            <v>35.840000000000003</v>
          </cell>
          <cell r="Z30">
            <v>19.712000000000003</v>
          </cell>
          <cell r="AA30">
            <v>0.1</v>
          </cell>
          <cell r="AB30">
            <v>1.9712000000000005</v>
          </cell>
          <cell r="AC30">
            <v>3.8969437500000002</v>
          </cell>
          <cell r="AD30">
            <v>0.63749999999999996</v>
          </cell>
          <cell r="AE30">
            <v>7.3425000000000002</v>
          </cell>
          <cell r="AI30">
            <v>33.560143750000002</v>
          </cell>
          <cell r="AJ30">
            <v>19147</v>
          </cell>
          <cell r="AN30">
            <v>0.24</v>
          </cell>
        </row>
        <row r="31">
          <cell r="B31">
            <v>301</v>
          </cell>
          <cell r="C31" t="str">
            <v>Truck - Rear Dump</v>
          </cell>
          <cell r="D31" t="str">
            <v>Caterpillar773D</v>
          </cell>
          <cell r="E31" t="str">
            <v>53.0 t</v>
          </cell>
          <cell r="F31">
            <v>0.75</v>
          </cell>
          <cell r="G31" t="str">
            <v>USA</v>
          </cell>
          <cell r="I31">
            <v>867675</v>
          </cell>
          <cell r="J31">
            <v>867675</v>
          </cell>
          <cell r="K31">
            <v>35000</v>
          </cell>
          <cell r="L31">
            <v>2</v>
          </cell>
          <cell r="M31">
            <v>5765.65</v>
          </cell>
          <cell r="Q31">
            <v>8.6186303707331557</v>
          </cell>
          <cell r="S31">
            <v>15.04904043776504</v>
          </cell>
          <cell r="T31">
            <v>1.88113005472063</v>
          </cell>
          <cell r="Y31">
            <v>48.02</v>
          </cell>
          <cell r="Z31">
            <v>26.411000000000005</v>
          </cell>
          <cell r="AA31">
            <v>0.1</v>
          </cell>
          <cell r="AB31">
            <v>2.6411000000000007</v>
          </cell>
          <cell r="AC31">
            <v>6.6291750000000009</v>
          </cell>
          <cell r="AD31">
            <v>1.125</v>
          </cell>
          <cell r="AE31">
            <v>17.625</v>
          </cell>
          <cell r="AI31">
            <v>54.431275000000007</v>
          </cell>
          <cell r="AJ31">
            <v>19147</v>
          </cell>
          <cell r="AN31">
            <v>0.3</v>
          </cell>
        </row>
        <row r="32">
          <cell r="B32">
            <v>302</v>
          </cell>
          <cell r="C32" t="str">
            <v>Truck - Rear Dump</v>
          </cell>
          <cell r="D32" t="str">
            <v>Caterpillar777D</v>
          </cell>
          <cell r="E32" t="str">
            <v>97.0 t</v>
          </cell>
          <cell r="F32">
            <v>0.75</v>
          </cell>
          <cell r="G32" t="str">
            <v>USA</v>
          </cell>
          <cell r="I32">
            <v>1140000</v>
          </cell>
          <cell r="J32">
            <v>1140000</v>
          </cell>
          <cell r="K32">
            <v>40000</v>
          </cell>
          <cell r="L32">
            <v>2</v>
          </cell>
          <cell r="M32">
            <v>5765.65</v>
          </cell>
          <cell r="Q32">
            <v>11.323639176691502</v>
          </cell>
          <cell r="S32">
            <v>19.772271990148553</v>
          </cell>
          <cell r="T32">
            <v>2.4715339987685692</v>
          </cell>
          <cell r="Y32">
            <v>69.2</v>
          </cell>
          <cell r="Z32">
            <v>38.06</v>
          </cell>
          <cell r="AA32">
            <v>0.1</v>
          </cell>
          <cell r="AB32">
            <v>3.8060000000000005</v>
          </cell>
          <cell r="AC32">
            <v>10.8037125</v>
          </cell>
          <cell r="AD32">
            <v>1.38</v>
          </cell>
          <cell r="AE32">
            <v>22.05</v>
          </cell>
          <cell r="AI32">
            <v>76.099712499999995</v>
          </cell>
          <cell r="AJ32">
            <v>19147</v>
          </cell>
          <cell r="AN32">
            <v>0.36</v>
          </cell>
        </row>
        <row r="33">
          <cell r="B33">
            <v>303</v>
          </cell>
          <cell r="C33" t="str">
            <v>Truck - Rear Dump</v>
          </cell>
          <cell r="D33" t="str">
            <v>Caterpillar785C</v>
          </cell>
          <cell r="E33" t="str">
            <v>154 t</v>
          </cell>
          <cell r="F33">
            <v>0.7</v>
          </cell>
          <cell r="G33" t="str">
            <v>USA</v>
          </cell>
          <cell r="I33">
            <v>1734660</v>
          </cell>
          <cell r="J33">
            <v>1734660</v>
          </cell>
          <cell r="K33">
            <v>45000</v>
          </cell>
          <cell r="L33">
            <v>2</v>
          </cell>
          <cell r="M33">
            <v>5765.65</v>
          </cell>
          <cell r="Q33">
            <v>17.230406959859366</v>
          </cell>
          <cell r="S33">
            <v>30.08611344774657</v>
          </cell>
          <cell r="T33">
            <v>3.7607641809683212</v>
          </cell>
          <cell r="Y33">
            <v>99.5</v>
          </cell>
          <cell r="Z33">
            <v>54.725000000000001</v>
          </cell>
          <cell r="AA33">
            <v>0.1</v>
          </cell>
          <cell r="AB33">
            <v>5.4725000000000001</v>
          </cell>
          <cell r="AC33">
            <v>18.1274625</v>
          </cell>
          <cell r="AD33">
            <v>1.56</v>
          </cell>
          <cell r="AE33">
            <v>22.454999999999998</v>
          </cell>
          <cell r="AI33">
            <v>102.3399625</v>
          </cell>
          <cell r="AJ33">
            <v>19147</v>
          </cell>
          <cell r="AN33">
            <v>0.4</v>
          </cell>
        </row>
        <row r="34">
          <cell r="B34">
            <v>304</v>
          </cell>
          <cell r="C34" t="str">
            <v>Truck - Rear Dump</v>
          </cell>
          <cell r="D34" t="str">
            <v>Caterpillar789C</v>
          </cell>
          <cell r="E34" t="str">
            <v>196 t</v>
          </cell>
          <cell r="F34">
            <v>0.7</v>
          </cell>
          <cell r="G34" t="str">
            <v>USA</v>
          </cell>
          <cell r="I34">
            <v>1930500</v>
          </cell>
          <cell r="J34">
            <v>1930500</v>
          </cell>
          <cell r="K34">
            <v>50000</v>
          </cell>
          <cell r="L34">
            <v>2</v>
          </cell>
          <cell r="M34">
            <v>5765.65</v>
          </cell>
          <cell r="Q34">
            <v>19.175688974213109</v>
          </cell>
          <cell r="S34">
            <v>33.482781646475246</v>
          </cell>
          <cell r="T34">
            <v>4.1853477058094057</v>
          </cell>
          <cell r="Y34">
            <v>124.16</v>
          </cell>
          <cell r="Z34">
            <v>68.287999999999997</v>
          </cell>
          <cell r="AA34">
            <v>0.1</v>
          </cell>
          <cell r="AB34">
            <v>6.8288000000000002</v>
          </cell>
          <cell r="AC34">
            <v>25.810312499999998</v>
          </cell>
          <cell r="AD34">
            <v>1.8825000000000001</v>
          </cell>
          <cell r="AE34">
            <v>39</v>
          </cell>
          <cell r="AI34">
            <v>141.80961249999999</v>
          </cell>
          <cell r="AJ34">
            <v>19147</v>
          </cell>
          <cell r="AN34">
            <v>0.4</v>
          </cell>
        </row>
        <row r="35">
          <cell r="B35">
            <v>305</v>
          </cell>
          <cell r="C35" t="str">
            <v>Truck - Rear Dump</v>
          </cell>
          <cell r="D35" t="str">
            <v>Caterpillar793C</v>
          </cell>
          <cell r="E35" t="str">
            <v>232 t</v>
          </cell>
          <cell r="F35">
            <v>0.77</v>
          </cell>
          <cell r="G35" t="str">
            <v>USA</v>
          </cell>
          <cell r="I35">
            <v>2490249.75</v>
          </cell>
          <cell r="J35">
            <v>2490249.75</v>
          </cell>
          <cell r="K35">
            <v>57500</v>
          </cell>
          <cell r="L35">
            <v>2</v>
          </cell>
          <cell r="M35">
            <v>5765.65</v>
          </cell>
          <cell r="N35">
            <v>4200</v>
          </cell>
          <cell r="Q35">
            <v>24.735692656882648</v>
          </cell>
          <cell r="S35">
            <v>43.191136298596</v>
          </cell>
          <cell r="T35">
            <v>5.3988920373245</v>
          </cell>
          <cell r="Y35">
            <v>145.44</v>
          </cell>
          <cell r="Z35">
            <v>79.992000000000004</v>
          </cell>
          <cell r="AA35">
            <v>0.1</v>
          </cell>
          <cell r="AB35">
            <v>7.999200000000001</v>
          </cell>
          <cell r="AC35">
            <v>31.825237500000004</v>
          </cell>
          <cell r="AD35">
            <v>1.6425000000000001</v>
          </cell>
          <cell r="AE35">
            <v>40.215000000000003</v>
          </cell>
          <cell r="AI35">
            <v>161.67393750000002</v>
          </cell>
          <cell r="AJ35">
            <v>19147</v>
          </cell>
          <cell r="AN35">
            <v>0.45</v>
          </cell>
        </row>
        <row r="36">
          <cell r="B36">
            <v>603</v>
          </cell>
          <cell r="C36" t="str">
            <v>Grader</v>
          </cell>
          <cell r="D36" t="str">
            <v>Caterpillar14H</v>
          </cell>
          <cell r="E36" t="str">
            <v>160 kW</v>
          </cell>
          <cell r="F36">
            <v>0.85</v>
          </cell>
          <cell r="G36" t="str">
            <v>USA</v>
          </cell>
          <cell r="I36">
            <v>517998.75</v>
          </cell>
          <cell r="J36">
            <v>517998.75</v>
          </cell>
          <cell r="K36">
            <v>25000</v>
          </cell>
          <cell r="L36">
            <v>2</v>
          </cell>
          <cell r="M36">
            <v>5826.6</v>
          </cell>
          <cell r="Q36">
            <v>5.0914672369661655</v>
          </cell>
          <cell r="S36">
            <v>8.8902404489753888</v>
          </cell>
          <cell r="T36">
            <v>1.1112800561219236</v>
          </cell>
          <cell r="Y36">
            <v>26.4</v>
          </cell>
          <cell r="Z36">
            <v>14.52</v>
          </cell>
          <cell r="AA36">
            <v>0.1</v>
          </cell>
          <cell r="AB36">
            <v>1.452</v>
          </cell>
          <cell r="AC36">
            <v>1.1963699999999999</v>
          </cell>
          <cell r="AD36">
            <v>2.7974999999999999</v>
          </cell>
          <cell r="AE36">
            <v>8.2424999999999997</v>
          </cell>
          <cell r="AI36">
            <v>28.208369999999999</v>
          </cell>
          <cell r="AJ36">
            <v>19147</v>
          </cell>
          <cell r="AN36">
            <v>0.18</v>
          </cell>
        </row>
        <row r="37">
          <cell r="B37">
            <v>604</v>
          </cell>
          <cell r="C37" t="str">
            <v>Grader</v>
          </cell>
          <cell r="D37" t="str">
            <v>Caterpillar16H</v>
          </cell>
          <cell r="E37" t="str">
            <v>205 kW</v>
          </cell>
          <cell r="F37">
            <v>0.78</v>
          </cell>
          <cell r="G37" t="str">
            <v>USA</v>
          </cell>
          <cell r="I37">
            <v>639900</v>
          </cell>
          <cell r="J37">
            <v>639900</v>
          </cell>
          <cell r="K37">
            <v>30000</v>
          </cell>
          <cell r="L37">
            <v>2</v>
          </cell>
          <cell r="M37">
            <v>5826.6</v>
          </cell>
          <cell r="Q37">
            <v>6.2896481602217182</v>
          </cell>
          <cell r="S37">
            <v>10.982391102873031</v>
          </cell>
          <cell r="T37">
            <v>1.3727988878591288</v>
          </cell>
          <cell r="Y37">
            <v>33.83</v>
          </cell>
          <cell r="Z37">
            <v>18.6065</v>
          </cell>
          <cell r="AA37">
            <v>0.1</v>
          </cell>
          <cell r="AB37">
            <v>1.8606500000000001</v>
          </cell>
          <cell r="AC37">
            <v>1.5762600000000002</v>
          </cell>
          <cell r="AD37">
            <v>3.5474999999999999</v>
          </cell>
          <cell r="AE37">
            <v>18.862500000000001</v>
          </cell>
          <cell r="AI37">
            <v>44.453410000000005</v>
          </cell>
          <cell r="AJ37">
            <v>19147</v>
          </cell>
          <cell r="AN37">
            <v>0.18</v>
          </cell>
        </row>
        <row r="38">
          <cell r="B38">
            <v>605</v>
          </cell>
          <cell r="C38" t="str">
            <v>Grader</v>
          </cell>
          <cell r="D38" t="str">
            <v>Caterpillar24H</v>
          </cell>
          <cell r="E38" t="str">
            <v>373 kW</v>
          </cell>
          <cell r="F38">
            <v>0.85</v>
          </cell>
          <cell r="G38" t="str">
            <v>USA</v>
          </cell>
          <cell r="I38">
            <v>1485750</v>
          </cell>
          <cell r="J38">
            <v>1485750</v>
          </cell>
          <cell r="K38">
            <v>45000</v>
          </cell>
          <cell r="L38">
            <v>2</v>
          </cell>
          <cell r="M38">
            <v>5826.6</v>
          </cell>
          <cell r="Q38">
            <v>14.60360174097424</v>
          </cell>
          <cell r="S38">
            <v>25.49943363196375</v>
          </cell>
          <cell r="T38">
            <v>3.1874292039954688</v>
          </cell>
          <cell r="Y38">
            <v>61.55</v>
          </cell>
          <cell r="Z38">
            <v>33.852499999999999</v>
          </cell>
          <cell r="AA38">
            <v>0.1</v>
          </cell>
          <cell r="AB38">
            <v>3.3852500000000001</v>
          </cell>
          <cell r="AC38">
            <v>4.4263800000000009</v>
          </cell>
          <cell r="AD38">
            <v>7.7925000000000004</v>
          </cell>
          <cell r="AE38">
            <v>30.824999999999999</v>
          </cell>
          <cell r="AI38">
            <v>80.281630000000007</v>
          </cell>
          <cell r="AJ38">
            <v>19147</v>
          </cell>
          <cell r="AN38">
            <v>0.24</v>
          </cell>
        </row>
        <row r="39">
          <cell r="B39">
            <v>701</v>
          </cell>
          <cell r="C39" t="str">
            <v>Dozer - Track</v>
          </cell>
          <cell r="D39" t="str">
            <v>CaterpillarD7R</v>
          </cell>
          <cell r="E39" t="str">
            <v>171 kW</v>
          </cell>
          <cell r="F39">
            <v>0.86</v>
          </cell>
          <cell r="G39" t="str">
            <v>USA</v>
          </cell>
          <cell r="I39">
            <v>509733</v>
          </cell>
          <cell r="J39">
            <v>509733</v>
          </cell>
          <cell r="K39">
            <v>22500</v>
          </cell>
          <cell r="L39">
            <v>2</v>
          </cell>
          <cell r="M39">
            <v>5887.1</v>
          </cell>
          <cell r="Q39">
            <v>4.9587336776332709</v>
          </cell>
          <cell r="S39">
            <v>8.6584736117952801</v>
          </cell>
          <cell r="T39">
            <v>1.0823092014744102</v>
          </cell>
          <cell r="Y39">
            <v>30.78</v>
          </cell>
          <cell r="Z39">
            <v>16.929000000000002</v>
          </cell>
          <cell r="AA39">
            <v>0.12</v>
          </cell>
          <cell r="AB39">
            <v>2.0314800000000002</v>
          </cell>
          <cell r="AC39">
            <v>0</v>
          </cell>
          <cell r="AD39">
            <v>3</v>
          </cell>
          <cell r="AE39">
            <v>13.125</v>
          </cell>
          <cell r="AI39">
            <v>35.085480000000004</v>
          </cell>
          <cell r="AJ39">
            <v>19147</v>
          </cell>
          <cell r="AN39">
            <v>0.3</v>
          </cell>
        </row>
        <row r="40">
          <cell r="B40">
            <v>702</v>
          </cell>
          <cell r="C40" t="str">
            <v>Dozer - Track</v>
          </cell>
          <cell r="D40" t="str">
            <v>CaterpillarD8R</v>
          </cell>
          <cell r="E40" t="str">
            <v>228 kW</v>
          </cell>
          <cell r="F40">
            <v>0.86</v>
          </cell>
          <cell r="G40" t="str">
            <v>USA</v>
          </cell>
          <cell r="I40">
            <v>677378.25</v>
          </cell>
          <cell r="J40">
            <v>677378.25</v>
          </cell>
          <cell r="K40">
            <v>25000</v>
          </cell>
          <cell r="L40">
            <v>2</v>
          </cell>
          <cell r="M40">
            <v>5887.1</v>
          </cell>
          <cell r="Q40">
            <v>6.5896034605789451</v>
          </cell>
          <cell r="S40">
            <v>11.50614479115354</v>
          </cell>
          <cell r="T40">
            <v>1.438268098894192</v>
          </cell>
          <cell r="Y40">
            <v>41.04</v>
          </cell>
          <cell r="Z40">
            <v>22.572000000000003</v>
          </cell>
          <cell r="AA40">
            <v>0.12</v>
          </cell>
          <cell r="AB40">
            <v>2.7086400000000004</v>
          </cell>
          <cell r="AC40">
            <v>0</v>
          </cell>
          <cell r="AD40">
            <v>3.8025000000000002</v>
          </cell>
          <cell r="AE40">
            <v>20.212499999999999</v>
          </cell>
          <cell r="AI40">
            <v>49.295640000000006</v>
          </cell>
          <cell r="AJ40">
            <v>19147</v>
          </cell>
          <cell r="AN40">
            <v>0.3</v>
          </cell>
        </row>
        <row r="41">
          <cell r="B41">
            <v>703</v>
          </cell>
          <cell r="C41" t="str">
            <v>Dozer - Track</v>
          </cell>
          <cell r="D41" t="str">
            <v>CaterpillarD9R</v>
          </cell>
          <cell r="E41" t="str">
            <v>302 kW</v>
          </cell>
          <cell r="F41">
            <v>0.86</v>
          </cell>
          <cell r="G41" t="str">
            <v>USA</v>
          </cell>
          <cell r="I41">
            <v>724953.75</v>
          </cell>
          <cell r="J41">
            <v>724953.75</v>
          </cell>
          <cell r="K41">
            <v>27500</v>
          </cell>
          <cell r="L41">
            <v>2</v>
          </cell>
          <cell r="M41">
            <v>5887.1</v>
          </cell>
          <cell r="Q41">
            <v>7.0524226896267868</v>
          </cell>
          <cell r="S41">
            <v>12.314276129163764</v>
          </cell>
          <cell r="T41">
            <v>1.5392845161454705</v>
          </cell>
          <cell r="Y41">
            <v>54.36</v>
          </cell>
          <cell r="Z41">
            <v>29.898000000000003</v>
          </cell>
          <cell r="AA41">
            <v>0.12</v>
          </cell>
          <cell r="AB41">
            <v>3.5877600000000003</v>
          </cell>
          <cell r="AC41">
            <v>0</v>
          </cell>
          <cell r="AD41">
            <v>5.0625</v>
          </cell>
          <cell r="AE41">
            <v>28.567499999999999</v>
          </cell>
          <cell r="AI41">
            <v>67.115759999999995</v>
          </cell>
          <cell r="AJ41">
            <v>19147</v>
          </cell>
          <cell r="AN41">
            <v>0.36</v>
          </cell>
        </row>
        <row r="42">
          <cell r="B42">
            <v>704</v>
          </cell>
          <cell r="C42" t="str">
            <v>Dozer - Track</v>
          </cell>
          <cell r="D42" t="str">
            <v>CaterpillarD10R</v>
          </cell>
          <cell r="E42" t="str">
            <v>425 kW</v>
          </cell>
          <cell r="F42">
            <v>0.86</v>
          </cell>
          <cell r="G42" t="str">
            <v>USA</v>
          </cell>
          <cell r="I42">
            <v>1046360.25</v>
          </cell>
          <cell r="J42">
            <v>1046360.25</v>
          </cell>
          <cell r="K42">
            <v>30000</v>
          </cell>
          <cell r="L42">
            <v>2</v>
          </cell>
          <cell r="M42">
            <v>5887.1</v>
          </cell>
          <cell r="Q42">
            <v>10.179097312930034</v>
          </cell>
          <cell r="S42">
            <v>17.773780808887228</v>
          </cell>
          <cell r="T42">
            <v>2.2217226011109035</v>
          </cell>
          <cell r="Y42">
            <v>76.5</v>
          </cell>
          <cell r="Z42">
            <v>42.075000000000003</v>
          </cell>
          <cell r="AA42">
            <v>0.12</v>
          </cell>
          <cell r="AB42">
            <v>5.0490000000000004</v>
          </cell>
          <cell r="AC42">
            <v>0</v>
          </cell>
          <cell r="AD42">
            <v>4.8600000000000003</v>
          </cell>
          <cell r="AE42">
            <v>60.15</v>
          </cell>
          <cell r="AI42">
            <v>112.134</v>
          </cell>
          <cell r="AJ42">
            <v>19147</v>
          </cell>
          <cell r="AN42">
            <v>0.36</v>
          </cell>
        </row>
        <row r="43">
          <cell r="B43">
            <v>705</v>
          </cell>
          <cell r="C43" t="str">
            <v>Dozer - Track</v>
          </cell>
          <cell r="D43" t="str">
            <v>CaterpillarD11R</v>
          </cell>
          <cell r="E43" t="str">
            <v>634 kW</v>
          </cell>
          <cell r="F43">
            <v>0.8</v>
          </cell>
          <cell r="G43" t="str">
            <v>USA</v>
          </cell>
          <cell r="I43">
            <v>1540700.25</v>
          </cell>
          <cell r="J43">
            <v>1540700.25</v>
          </cell>
          <cell r="K43">
            <v>32500</v>
          </cell>
          <cell r="L43">
            <v>2</v>
          </cell>
          <cell r="M43">
            <v>5887.1</v>
          </cell>
          <cell r="Q43">
            <v>14.98808634483739</v>
          </cell>
          <cell r="S43">
            <v>26.170784426967437</v>
          </cell>
          <cell r="T43">
            <v>3.2713480533709292</v>
          </cell>
          <cell r="Y43">
            <v>114.12</v>
          </cell>
          <cell r="Z43">
            <v>62.766000000000005</v>
          </cell>
          <cell r="AA43">
            <v>0.12</v>
          </cell>
          <cell r="AB43">
            <v>7.5319200000000004</v>
          </cell>
          <cell r="AC43">
            <v>0</v>
          </cell>
          <cell r="AD43">
            <v>11.5875</v>
          </cell>
          <cell r="AE43">
            <v>61.424999999999997</v>
          </cell>
          <cell r="AI43">
            <v>143.31042000000002</v>
          </cell>
          <cell r="AJ43">
            <v>19147</v>
          </cell>
          <cell r="AN43">
            <v>0.42</v>
          </cell>
        </row>
        <row r="44">
          <cell r="B44">
            <v>706</v>
          </cell>
          <cell r="C44" t="str">
            <v>Dozer - Track</v>
          </cell>
          <cell r="D44" t="str">
            <v>CaterpillarD11R CD</v>
          </cell>
          <cell r="E44" t="str">
            <v>634 kW</v>
          </cell>
          <cell r="F44">
            <v>0.86</v>
          </cell>
          <cell r="G44" t="str">
            <v>USA</v>
          </cell>
          <cell r="I44">
            <v>1397046</v>
          </cell>
          <cell r="J44">
            <v>1397046</v>
          </cell>
          <cell r="K44">
            <v>32500</v>
          </cell>
          <cell r="L44">
            <v>2</v>
          </cell>
          <cell r="M44">
            <v>5887.1</v>
          </cell>
          <cell r="Q44">
            <v>13.590603412772662</v>
          </cell>
          <cell r="S44">
            <v>23.730631380475952</v>
          </cell>
          <cell r="T44">
            <v>2.9663289225594944</v>
          </cell>
          <cell r="Y44">
            <v>114.12</v>
          </cell>
          <cell r="Z44">
            <v>62.766000000000005</v>
          </cell>
          <cell r="AA44">
            <v>0.12</v>
          </cell>
          <cell r="AB44">
            <v>7.5319200000000004</v>
          </cell>
          <cell r="AC44">
            <v>0</v>
          </cell>
          <cell r="AD44">
            <v>11.5875</v>
          </cell>
          <cell r="AE44">
            <v>42.674999999999997</v>
          </cell>
          <cell r="AI44">
            <v>124.56042000000001</v>
          </cell>
          <cell r="AJ44">
            <v>19147</v>
          </cell>
          <cell r="AN44">
            <v>0.42</v>
          </cell>
        </row>
        <row r="45">
          <cell r="B45">
            <v>800</v>
          </cell>
          <cell r="C45" t="str">
            <v>Dozer - Rubber Tyre</v>
          </cell>
          <cell r="D45" t="str">
            <v>Caterpillar824G</v>
          </cell>
          <cell r="E45" t="str">
            <v>235 kW</v>
          </cell>
          <cell r="F45">
            <v>0.9</v>
          </cell>
          <cell r="G45" t="str">
            <v>USA</v>
          </cell>
          <cell r="I45">
            <v>626982</v>
          </cell>
          <cell r="J45">
            <v>626982</v>
          </cell>
          <cell r="K45">
            <v>25000</v>
          </cell>
          <cell r="L45">
            <v>2</v>
          </cell>
          <cell r="M45">
            <v>5887.1</v>
          </cell>
          <cell r="Q45">
            <v>6.0993436930115585</v>
          </cell>
          <cell r="S45">
            <v>10.650099369808565</v>
          </cell>
          <cell r="T45">
            <v>1.3312624212260706</v>
          </cell>
          <cell r="Y45">
            <v>35.25</v>
          </cell>
          <cell r="Z45">
            <v>19.387500000000003</v>
          </cell>
          <cell r="AA45">
            <v>0.1</v>
          </cell>
          <cell r="AB45">
            <v>1.9387500000000004</v>
          </cell>
          <cell r="AC45">
            <v>2.8294874999999999</v>
          </cell>
          <cell r="AD45">
            <v>1.8075000000000001</v>
          </cell>
          <cell r="AE45">
            <v>13.875</v>
          </cell>
          <cell r="AI45">
            <v>39.838237500000005</v>
          </cell>
          <cell r="AJ45">
            <v>19147</v>
          </cell>
          <cell r="AN45">
            <v>0.3</v>
          </cell>
        </row>
        <row r="46">
          <cell r="B46">
            <v>801</v>
          </cell>
          <cell r="C46" t="str">
            <v>Dozer - Rubber Tyre</v>
          </cell>
          <cell r="D46" t="str">
            <v>Caterpillar834G</v>
          </cell>
          <cell r="E46" t="str">
            <v>358 kW</v>
          </cell>
          <cell r="F46">
            <v>0.9</v>
          </cell>
          <cell r="G46" t="str">
            <v>USA</v>
          </cell>
          <cell r="I46">
            <v>830940</v>
          </cell>
          <cell r="J46">
            <v>830940</v>
          </cell>
          <cell r="K46">
            <v>32500</v>
          </cell>
          <cell r="L46">
            <v>2</v>
          </cell>
          <cell r="M46">
            <v>5887.1</v>
          </cell>
          <cell r="Q46">
            <v>8.083467544955079</v>
          </cell>
          <cell r="S46">
            <v>14.114589526252313</v>
          </cell>
          <cell r="T46">
            <v>1.7643236907815392</v>
          </cell>
          <cell r="Y46">
            <v>53.7</v>
          </cell>
          <cell r="Z46">
            <v>29.535000000000004</v>
          </cell>
          <cell r="AA46">
            <v>0.1</v>
          </cell>
          <cell r="AB46">
            <v>2.9535000000000005</v>
          </cell>
          <cell r="AC46">
            <v>4.8399749999999999</v>
          </cell>
          <cell r="AD46">
            <v>0</v>
          </cell>
          <cell r="AE46">
            <v>0</v>
          </cell>
          <cell r="AI46">
            <v>37.328475000000005</v>
          </cell>
          <cell r="AJ46">
            <v>19147</v>
          </cell>
          <cell r="AN46">
            <v>0.3</v>
          </cell>
        </row>
        <row r="47">
          <cell r="B47">
            <v>802</v>
          </cell>
          <cell r="C47" t="str">
            <v>Dozer - Rubber Tyre</v>
          </cell>
          <cell r="D47" t="str">
            <v>Caterpillar844</v>
          </cell>
          <cell r="E47" t="str">
            <v>466 kW</v>
          </cell>
          <cell r="F47">
            <v>0.75</v>
          </cell>
          <cell r="G47" t="str">
            <v>USA</v>
          </cell>
          <cell r="I47">
            <v>1282500</v>
          </cell>
          <cell r="J47">
            <v>1282500</v>
          </cell>
          <cell r="K47">
            <v>32500</v>
          </cell>
          <cell r="L47">
            <v>2</v>
          </cell>
          <cell r="M47">
            <v>5887.1</v>
          </cell>
          <cell r="Q47">
            <v>12.476288452120361</v>
          </cell>
          <cell r="S47">
            <v>21.784919569907082</v>
          </cell>
          <cell r="T47">
            <v>2.7231149462383852</v>
          </cell>
          <cell r="Y47">
            <v>69.900000000000006</v>
          </cell>
          <cell r="Z47">
            <v>38.445000000000007</v>
          </cell>
          <cell r="AA47">
            <v>0.1</v>
          </cell>
          <cell r="AB47">
            <v>3.8445000000000009</v>
          </cell>
          <cell r="AC47">
            <v>9.0704250000000002</v>
          </cell>
          <cell r="AD47">
            <v>4.4400000000000004</v>
          </cell>
          <cell r="AE47">
            <v>27.824999999999999</v>
          </cell>
          <cell r="AI47">
            <v>83.624925000000005</v>
          </cell>
          <cell r="AJ47">
            <v>19147</v>
          </cell>
          <cell r="AN47">
            <v>0.33</v>
          </cell>
        </row>
        <row r="48">
          <cell r="B48">
            <v>803</v>
          </cell>
          <cell r="C48" t="str">
            <v>Dozer - Rubber Tyre</v>
          </cell>
          <cell r="D48" t="str">
            <v>Caterpillar854G</v>
          </cell>
          <cell r="E48" t="str">
            <v>597 kW</v>
          </cell>
          <cell r="F48">
            <v>0.9</v>
          </cell>
          <cell r="G48" t="str">
            <v>USA</v>
          </cell>
          <cell r="I48">
            <v>1473030</v>
          </cell>
          <cell r="J48">
            <v>1473030</v>
          </cell>
          <cell r="K48">
            <v>35000</v>
          </cell>
          <cell r="L48">
            <v>2</v>
          </cell>
          <cell r="M48">
            <v>5887.1</v>
          </cell>
          <cell r="Q48">
            <v>14.329783375147644</v>
          </cell>
          <cell r="S48">
            <v>25.021317796538192</v>
          </cell>
          <cell r="T48">
            <v>3.127664724567274</v>
          </cell>
          <cell r="Y48">
            <v>89.55</v>
          </cell>
          <cell r="Z48">
            <v>49.252500000000005</v>
          </cell>
          <cell r="AA48">
            <v>0.1</v>
          </cell>
          <cell r="AB48">
            <v>4.925250000000001</v>
          </cell>
          <cell r="AC48">
            <v>13.362300000000001</v>
          </cell>
          <cell r="AD48">
            <v>5.4074999999999998</v>
          </cell>
          <cell r="AE48">
            <v>37.65</v>
          </cell>
          <cell r="AI48">
            <v>110.59755000000001</v>
          </cell>
          <cell r="AJ48">
            <v>19147</v>
          </cell>
          <cell r="AN48">
            <v>0.36</v>
          </cell>
        </row>
        <row r="49">
          <cell r="B49">
            <v>1101</v>
          </cell>
          <cell r="C49" t="str">
            <v>Watercart</v>
          </cell>
          <cell r="D49" t="str">
            <v>Caterpillar773D</v>
          </cell>
          <cell r="E49" t="str">
            <v>45.0 kl</v>
          </cell>
          <cell r="F49">
            <v>0.75</v>
          </cell>
          <cell r="G49" t="str">
            <v>USA</v>
          </cell>
          <cell r="I49">
            <v>727462.5</v>
          </cell>
          <cell r="J49">
            <v>727462.5</v>
          </cell>
          <cell r="K49">
            <v>27500</v>
          </cell>
          <cell r="L49">
            <v>2</v>
          </cell>
          <cell r="M49">
            <v>4773.2</v>
          </cell>
          <cell r="Q49">
            <v>8.7283152763989946</v>
          </cell>
          <cell r="S49">
            <v>15.240561887203553</v>
          </cell>
          <cell r="T49">
            <v>1.9050702359004441</v>
          </cell>
          <cell r="Y49">
            <v>48.02</v>
          </cell>
          <cell r="Z49">
            <v>26.411000000000005</v>
          </cell>
          <cell r="AA49">
            <v>0.1</v>
          </cell>
          <cell r="AB49">
            <v>2.6411000000000007</v>
          </cell>
          <cell r="AC49">
            <v>6.6291750000000009</v>
          </cell>
          <cell r="AD49">
            <v>1.125</v>
          </cell>
          <cell r="AE49">
            <v>29.07</v>
          </cell>
          <cell r="AI49">
            <v>65.876275000000007</v>
          </cell>
          <cell r="AJ49">
            <v>19147</v>
          </cell>
          <cell r="AN49">
            <v>0.3</v>
          </cell>
        </row>
        <row r="50">
          <cell r="B50">
            <v>1102</v>
          </cell>
          <cell r="C50" t="str">
            <v>Watercart</v>
          </cell>
          <cell r="D50" t="str">
            <v>Caterpillar777D</v>
          </cell>
          <cell r="E50" t="str">
            <v>80.0 kl</v>
          </cell>
          <cell r="F50">
            <v>0.75</v>
          </cell>
          <cell r="G50" t="str">
            <v>USA</v>
          </cell>
          <cell r="I50">
            <v>1068750</v>
          </cell>
          <cell r="J50">
            <v>1068750</v>
          </cell>
          <cell r="K50">
            <v>30000</v>
          </cell>
          <cell r="L50">
            <v>2</v>
          </cell>
          <cell r="M50">
            <v>4773.2</v>
          </cell>
          <cell r="Q50">
            <v>12.823186008421638</v>
          </cell>
          <cell r="S50">
            <v>22.390639403335289</v>
          </cell>
          <cell r="T50">
            <v>2.7988299254169111</v>
          </cell>
          <cell r="Y50">
            <v>69.2</v>
          </cell>
          <cell r="Z50">
            <v>38.06</v>
          </cell>
          <cell r="AA50">
            <v>0.1</v>
          </cell>
          <cell r="AB50">
            <v>3.8060000000000005</v>
          </cell>
          <cell r="AC50">
            <v>10.8037125</v>
          </cell>
          <cell r="AD50">
            <v>1.5</v>
          </cell>
          <cell r="AE50">
            <v>37.935000000000002</v>
          </cell>
          <cell r="AI50">
            <v>92.104712500000005</v>
          </cell>
          <cell r="AJ50">
            <v>19147</v>
          </cell>
          <cell r="AN50">
            <v>0.36</v>
          </cell>
        </row>
        <row r="51">
          <cell r="B51">
            <v>1103</v>
          </cell>
          <cell r="C51" t="str">
            <v>Watercart</v>
          </cell>
          <cell r="D51" t="str">
            <v>Caterpillar785C</v>
          </cell>
          <cell r="E51" t="str">
            <v>120 kl</v>
          </cell>
          <cell r="F51">
            <v>0.7</v>
          </cell>
          <cell r="G51" t="str">
            <v>USA</v>
          </cell>
          <cell r="I51">
            <v>1734660</v>
          </cell>
          <cell r="J51">
            <v>1734660</v>
          </cell>
          <cell r="K51">
            <v>30000</v>
          </cell>
          <cell r="L51">
            <v>2</v>
          </cell>
          <cell r="M51">
            <v>4773.2</v>
          </cell>
          <cell r="Q51">
            <v>20.812975758005773</v>
          </cell>
          <cell r="S51">
            <v>36.341657588200789</v>
          </cell>
          <cell r="T51">
            <v>4.5427071985250986</v>
          </cell>
          <cell r="Y51">
            <v>99.5</v>
          </cell>
          <cell r="Z51">
            <v>54.725000000000001</v>
          </cell>
          <cell r="AA51">
            <v>0.1</v>
          </cell>
          <cell r="AB51">
            <v>5.4725000000000001</v>
          </cell>
          <cell r="AC51">
            <v>18.1274625</v>
          </cell>
          <cell r="AD51">
            <v>1.7250000000000001</v>
          </cell>
          <cell r="AE51">
            <v>39.75</v>
          </cell>
          <cell r="AI51">
            <v>119.79996250000001</v>
          </cell>
          <cell r="AJ51">
            <v>19147</v>
          </cell>
          <cell r="AN51">
            <v>0.4</v>
          </cell>
        </row>
        <row r="52">
          <cell r="B52">
            <v>1318</v>
          </cell>
          <cell r="C52" t="str">
            <v>Drill - Diesel</v>
          </cell>
          <cell r="D52" t="str">
            <v>DrillTechD40KS (LP)</v>
          </cell>
          <cell r="E52" t="str">
            <v>40000 lb</v>
          </cell>
          <cell r="F52">
            <v>0.91</v>
          </cell>
          <cell r="G52" t="str">
            <v>USA</v>
          </cell>
          <cell r="I52">
            <v>864531.75</v>
          </cell>
          <cell r="J52">
            <v>864531.75</v>
          </cell>
          <cell r="K52">
            <v>45000</v>
          </cell>
          <cell r="L52">
            <v>2</v>
          </cell>
          <cell r="M52">
            <v>5826.6</v>
          </cell>
          <cell r="Q52">
            <v>8.4975785760912075</v>
          </cell>
          <cell r="S52">
            <v>14.837671197610955</v>
          </cell>
          <cell r="T52">
            <v>1.8547088997013697</v>
          </cell>
          <cell r="Y52">
            <v>67.41</v>
          </cell>
          <cell r="Z52">
            <v>37.075499999999998</v>
          </cell>
          <cell r="AA52">
            <v>0.12</v>
          </cell>
          <cell r="AB52">
            <v>4.4490599999999993</v>
          </cell>
          <cell r="AC52">
            <v>0</v>
          </cell>
          <cell r="AD52">
            <v>0</v>
          </cell>
          <cell r="AE52">
            <v>26.25</v>
          </cell>
          <cell r="AI52">
            <v>67.774559999999994</v>
          </cell>
          <cell r="AJ52">
            <v>19147</v>
          </cell>
          <cell r="AN52">
            <v>0.8</v>
          </cell>
        </row>
        <row r="53">
          <cell r="B53">
            <v>1319</v>
          </cell>
          <cell r="C53" t="str">
            <v>Drill - Diesel</v>
          </cell>
          <cell r="D53" t="str">
            <v>DrillTechD55SP</v>
          </cell>
          <cell r="E53" t="str">
            <v>55000 lb</v>
          </cell>
          <cell r="F53">
            <v>1</v>
          </cell>
          <cell r="G53" t="str">
            <v>Australia</v>
          </cell>
          <cell r="I53">
            <v>1097180</v>
          </cell>
          <cell r="J53">
            <v>1097180</v>
          </cell>
          <cell r="K53">
            <v>45000</v>
          </cell>
          <cell r="L53">
            <v>2</v>
          </cell>
          <cell r="M53">
            <v>5826.6</v>
          </cell>
          <cell r="Q53">
            <v>10.784304060684583</v>
          </cell>
          <cell r="S53">
            <v>18.830535818487625</v>
          </cell>
          <cell r="T53">
            <v>2.3538169773109532</v>
          </cell>
          <cell r="Y53">
            <v>86.1</v>
          </cell>
          <cell r="Z53">
            <v>47.355000000000004</v>
          </cell>
          <cell r="AA53">
            <v>0.12</v>
          </cell>
          <cell r="AB53">
            <v>5.6825999999999999</v>
          </cell>
          <cell r="AC53">
            <v>0</v>
          </cell>
          <cell r="AD53">
            <v>0</v>
          </cell>
          <cell r="AE53">
            <v>0</v>
          </cell>
          <cell r="AI53">
            <v>53.037600000000005</v>
          </cell>
          <cell r="AJ53">
            <v>19147</v>
          </cell>
          <cell r="AN53">
            <v>0.8</v>
          </cell>
        </row>
        <row r="54">
          <cell r="B54">
            <v>1320</v>
          </cell>
          <cell r="C54" t="str">
            <v>Drill - Diesel</v>
          </cell>
          <cell r="D54" t="str">
            <v>DrillTechD60KS</v>
          </cell>
          <cell r="E54" t="str">
            <v>60000 lb</v>
          </cell>
          <cell r="F54">
            <v>0.93</v>
          </cell>
          <cell r="G54" t="str">
            <v>USA</v>
          </cell>
          <cell r="I54">
            <v>1097181</v>
          </cell>
          <cell r="J54">
            <v>1097181</v>
          </cell>
          <cell r="K54">
            <v>45000</v>
          </cell>
          <cell r="L54">
            <v>2</v>
          </cell>
          <cell r="M54">
            <v>5826.6</v>
          </cell>
          <cell r="Q54">
            <v>10.784313889795632</v>
          </cell>
          <cell r="S54">
            <v>18.830552981155389</v>
          </cell>
          <cell r="T54">
            <v>2.3538191226444241</v>
          </cell>
          <cell r="Y54">
            <v>98.7</v>
          </cell>
          <cell r="Z54">
            <v>54.285000000000004</v>
          </cell>
          <cell r="AA54">
            <v>0.12</v>
          </cell>
          <cell r="AB54">
            <v>6.5141999999999998</v>
          </cell>
          <cell r="AC54">
            <v>0</v>
          </cell>
          <cell r="AD54">
            <v>0</v>
          </cell>
          <cell r="AE54">
            <v>0</v>
          </cell>
          <cell r="AI54">
            <v>60.799200000000006</v>
          </cell>
          <cell r="AJ54">
            <v>19147</v>
          </cell>
          <cell r="AN54">
            <v>0.8</v>
          </cell>
        </row>
        <row r="55">
          <cell r="B55">
            <v>1321</v>
          </cell>
          <cell r="C55" t="str">
            <v>Drill - Diesel</v>
          </cell>
          <cell r="D55" t="str">
            <v>DrillTechD75KS</v>
          </cell>
          <cell r="E55" t="str">
            <v>75000 lb</v>
          </cell>
          <cell r="F55">
            <v>0.93</v>
          </cell>
          <cell r="G55" t="str">
            <v>USA</v>
          </cell>
          <cell r="I55">
            <v>1152136.5</v>
          </cell>
          <cell r="J55">
            <v>1152136.5</v>
          </cell>
          <cell r="K55">
            <v>45000</v>
          </cell>
          <cell r="L55">
            <v>2</v>
          </cell>
          <cell r="M55">
            <v>5826.6</v>
          </cell>
          <cell r="Q55">
            <v>11.32447760204608</v>
          </cell>
          <cell r="S55">
            <v>19.773735969519102</v>
          </cell>
          <cell r="T55">
            <v>2.4717169961898877</v>
          </cell>
          <cell r="Y55">
            <v>98.7</v>
          </cell>
          <cell r="Z55">
            <v>54.285000000000004</v>
          </cell>
          <cell r="AA55">
            <v>0.12</v>
          </cell>
          <cell r="AB55">
            <v>6.5141999999999998</v>
          </cell>
          <cell r="AC55">
            <v>1</v>
          </cell>
          <cell r="AD55">
            <v>0</v>
          </cell>
          <cell r="AE55">
            <v>31.5</v>
          </cell>
          <cell r="AI55">
            <v>93.299200000000013</v>
          </cell>
          <cell r="AJ55">
            <v>19147</v>
          </cell>
          <cell r="AN55">
            <v>1</v>
          </cell>
        </row>
        <row r="56">
          <cell r="B56">
            <v>247</v>
          </cell>
          <cell r="C56" t="str">
            <v>Hydraulic Excavator</v>
          </cell>
          <cell r="D56" t="str">
            <v>Caterpillar345CL</v>
          </cell>
          <cell r="E56" t="str">
            <v>44 t</v>
          </cell>
          <cell r="F56">
            <v>1</v>
          </cell>
          <cell r="G56" t="str">
            <v>USA</v>
          </cell>
          <cell r="H56">
            <v>1</v>
          </cell>
          <cell r="I56">
            <v>582937</v>
          </cell>
          <cell r="J56">
            <v>582937</v>
          </cell>
          <cell r="K56">
            <v>45000</v>
          </cell>
          <cell r="L56">
            <v>2</v>
          </cell>
          <cell r="M56">
            <v>5530.91</v>
          </cell>
          <cell r="Q56">
            <v>9.1249813318804254</v>
          </cell>
          <cell r="S56">
            <v>15.933182785472916</v>
          </cell>
          <cell r="T56">
            <v>1.9916478481841144</v>
          </cell>
          <cell r="Y56">
            <v>90.34</v>
          </cell>
          <cell r="Z56">
            <v>49.687000000000005</v>
          </cell>
          <cell r="AA56">
            <v>0.12</v>
          </cell>
          <cell r="AB56">
            <v>5.96244</v>
          </cell>
          <cell r="AC56">
            <v>0</v>
          </cell>
          <cell r="AD56">
            <v>4.125</v>
          </cell>
          <cell r="AE56">
            <v>27.3</v>
          </cell>
          <cell r="AI56">
            <v>87.07444000000001</v>
          </cell>
          <cell r="AJ56">
            <v>19147</v>
          </cell>
          <cell r="AN56">
            <v>0.52</v>
          </cell>
        </row>
      </sheetData>
      <sheetData sheetId="52" refreshError="1"/>
      <sheetData sheetId="5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ización"/>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 val="BD100-45-P1"/>
      <sheetName val="TABLA_DE_CONTENIDO"/>
      <sheetName val="GENERALIDADES_"/>
      <sheetName val="CUMPLIMIENTO_%_"/>
      <sheetName val="CUMPLIMIENTO_%__(2)"/>
      <sheetName val="ESTADO_RED"/>
      <sheetName val="SEMAFORO_45A-04"/>
      <sheetName val="SEMAFORO_55-01"/>
      <sheetName val="SEMAFORO_56-07"/>
      <sheetName val="SEMAFORO_55CN-03"/>
      <sheetName val="SEMAFORO_55CN-01"/>
      <sheetName val="TORTA_EST__VIAS_"/>
      <sheetName val="EST__VIAS"/>
      <sheetName val="MAPA_EST_RED"/>
      <sheetName val="NECESIDAD_VIA"/>
      <sheetName val="Necesidades_cr_"/>
      <sheetName val="SITIOS_CRITICOS"/>
      <sheetName val="CANT_OBRA_B-C"/>
      <sheetName val="CANT_OBRA_C-G"/>
      <sheetName val="CANT_OBRA_Z-U"/>
      <sheetName val="CANT_OBRA_B-T"/>
      <sheetName val="INF__EMERGENCIAS"/>
      <sheetName val="NEC_PTES"/>
      <sheetName val="NEC__PONTONES"/>
      <sheetName val="señal_v"/>
      <sheetName val="señal_H"/>
      <sheetName val="ACCIDENTALIDAD_junio"/>
      <sheetName val="ACCIDENTALIDAD_julio"/>
      <sheetName val="ACCIDENTALIDAD_agosto"/>
      <sheetName val="ACCIDENT_"/>
      <sheetName val="DEFENSA_VIAS"/>
      <sheetName val="ZONAS_RETIRO"/>
      <sheetName val="CUANTI_AMV"/>
      <sheetName val="CUALI_AMV"/>
      <sheetName val="CUANTI_MICRO"/>
      <sheetName val="CUALI_MICRO"/>
      <sheetName val="ACC_EJECUTIVO"/>
      <sheetName val="RESUM_ACCID"/>
      <sheetName val="RESUM_ACCID_(2)"/>
    </sheetNames>
    <sheetDataSet>
      <sheetData sheetId="0">
        <row r="2">
          <cell r="A2" t="str">
            <v>REGIONAL CUNDINAMARCA</v>
          </cell>
        </row>
      </sheetData>
      <sheetData sheetId="1" refreshError="1"/>
      <sheetData sheetId="2" refreshError="1">
        <row r="2">
          <cell r="A2" t="str">
            <v>REGIONAL CUNDINAMARCA</v>
          </cell>
        </row>
      </sheetData>
      <sheetData sheetId="3" refreshError="1"/>
      <sheetData sheetId="4" refreshError="1">
        <row r="2">
          <cell r="A2" t="str">
            <v>REGIONAL CUNDINAMARCA</v>
          </cell>
        </row>
        <row r="9">
          <cell r="E9" t="str">
            <v>EDGAR EDUARDO HERNANDEZ Q.</v>
          </cell>
        </row>
      </sheetData>
      <sheetData sheetId="5">
        <row r="8">
          <cell r="E8" t="str">
            <v>BIMESTRE: JULIO - AGOSTO DE 2001</v>
          </cell>
        </row>
      </sheetData>
      <sheetData sheetId="6" refreshError="1"/>
      <sheetData sheetId="7" refreshError="1">
        <row r="8">
          <cell r="E8" t="str">
            <v>BIMESTRE: JULIO - AGOSTO DE 2001</v>
          </cell>
        </row>
      </sheetData>
      <sheetData sheetId="8">
        <row r="8">
          <cell r="E8" t="str">
            <v>BIMESTRE: JULIO - AGOSTO DE 2001</v>
          </cell>
        </row>
      </sheetData>
      <sheetData sheetId="9">
        <row r="8">
          <cell r="E8" t="str">
            <v>BIMESTRE: JULIO - AGOSTO DE 2001</v>
          </cell>
        </row>
      </sheetData>
      <sheetData sheetId="10">
        <row r="8">
          <cell r="E8" t="str">
            <v>BIMESTRE: JULIO - AGOSTO DE 2001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REGIONAL CUNDINAMARCA</v>
          </cell>
        </row>
      </sheetData>
      <sheetData sheetId="45">
        <row r="2">
          <cell r="A2" t="str">
            <v>REGIONAL CUNDINAMARCA</v>
          </cell>
        </row>
      </sheetData>
      <sheetData sheetId="46">
        <row r="2">
          <cell r="A2" t="str">
            <v>REGIONAL CUNDINAMARCA</v>
          </cell>
        </row>
      </sheetData>
      <sheetData sheetId="47">
        <row r="2">
          <cell r="A2" t="str">
            <v>REGIONAL CUNDINAMARCA</v>
          </cell>
        </row>
      </sheetData>
      <sheetData sheetId="48"/>
      <sheetData sheetId="49" refreshError="1"/>
      <sheetData sheetId="50"/>
      <sheetData sheetId="51">
        <row r="8">
          <cell r="E8" t="str">
            <v>BIMESTRE: JULIO - AGOSTO DE 2001</v>
          </cell>
        </row>
      </sheetData>
      <sheetData sheetId="52">
        <row r="8">
          <cell r="E8" t="str">
            <v>BIMESTRE: JULIO - AGOSTO DE 2001</v>
          </cell>
        </row>
      </sheetData>
      <sheetData sheetId="53"/>
      <sheetData sheetId="54">
        <row r="8">
          <cell r="E8" t="str">
            <v>BIMESTRE: JULIO - AGOSTO DE 2001</v>
          </cell>
        </row>
      </sheetData>
      <sheetData sheetId="55">
        <row r="8">
          <cell r="E8" t="str">
            <v>BIMESTRE: JULIO - AGOSTO DE 2001</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2">
          <cell r="A2" t="str">
            <v>REGIONAL CUNDINAMARCA</v>
          </cell>
        </row>
      </sheetData>
      <sheetData sheetId="86">
        <row r="2">
          <cell r="A2" t="str">
            <v>REGIONAL CUNDINAMARCA</v>
          </cell>
        </row>
      </sheetData>
      <sheetData sheetId="87">
        <row r="2">
          <cell r="A2" t="str">
            <v>REGIONAL CUNDINAMARCA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CANTARILLADO RAS"/>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Port Expansion"/>
      <sheetName val="M&amp;N"/>
      <sheetName val="Phase 2 - RAPISCOL"/>
      <sheetName val="PSM05-053"/>
      <sheetName val="PSM04-049"/>
      <sheetName val="PSM05-054"/>
      <sheetName val="PSM05-055"/>
      <sheetName val="Tiburon recv 12-9-05"/>
      <sheetName val="PSM05-057"/>
      <sheetName val="PSM05-060"/>
      <sheetName val="PSM05-062"/>
      <sheetName val="PSM05-063"/>
      <sheetName val="PSM05-064"/>
      <sheetName val="PSM05-071"/>
      <sheetName val="PSM05-072"/>
      <sheetName val="PSM05-076"/>
      <sheetName val="PSM05-078"/>
      <sheetName val="PSM05-081"/>
      <sheetName val="PSM05-083"/>
      <sheetName val="PSM05-088"/>
      <sheetName val="PSM05-090"/>
      <sheetName val="PSM05-091"/>
      <sheetName val="PSM05-095"/>
      <sheetName val="PSM06-097"/>
      <sheetName val="PSM06-099"/>
      <sheetName val="PSM06-100"/>
      <sheetName val="PSM06-103"/>
      <sheetName val="PSM06-104"/>
    </sheetNames>
    <sheetDataSet>
      <sheetData sheetId="0"/>
      <sheetData sheetId="1" refreshError="1"/>
      <sheetData sheetId="2" refreshError="1"/>
      <sheetData sheetId="3" refreshError="1"/>
      <sheetData sheetId="4" refreshError="1"/>
      <sheetData sheetId="5" refreshError="1"/>
      <sheetData sheetId="6" refreshError="1">
        <row r="289">
          <cell r="C289">
            <v>2340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ummary"/>
      <sheetName val="Options"/>
      <sheetName val="Rail Capex Depreciation"/>
      <sheetName val="Title"/>
      <sheetName val="Parameters"/>
      <sheetName val="NPV Summary"/>
      <sheetName val="NPV Summary 100% Carboandes"/>
      <sheetName val="NPV Summary only Carboandes"/>
      <sheetName val="Cost Summ"/>
      <sheetName val="Economic  Graphs"/>
      <sheetName val="Sensitivitie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Schedule_LJ"/>
      <sheetName val="Paste In Schedule_LJ2"/>
      <sheetName val="Paste In Utilisation"/>
      <sheetName val="Paste In Fleet"/>
      <sheetName val="Paste in Roster"/>
      <sheetName val="Equip Data"/>
      <sheetName val="Not Used ------&gt;"/>
      <sheetName val="Update_Header_Footer"/>
    </sheetNames>
    <sheetDataSet>
      <sheetData sheetId="0"/>
      <sheetData sheetId="1"/>
      <sheetData sheetId="2"/>
      <sheetData sheetId="3"/>
      <sheetData sheetId="4" refreshError="1">
        <row r="18">
          <cell r="R18">
            <v>0.35</v>
          </cell>
        </row>
        <row r="31">
          <cell r="I31">
            <v>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turitas Valuation Summary"/>
      <sheetName val="Title"/>
      <sheetName val="Options"/>
      <sheetName val="Project Finance"/>
      <sheetName val="Equipment Leasing"/>
      <sheetName val="Parameters"/>
      <sheetName val="Pricing"/>
      <sheetName val="NPV Summary"/>
      <sheetName val="Cost Summ"/>
      <sheetName val="Sensitivities"/>
      <sheetName val="Economic  Graph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Royaltie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2007 Capex"/>
      <sheetName val="Paste In Schedule_CDJ"/>
      <sheetName val="Paste In Schedule_Cal"/>
      <sheetName val="Paste In Utilisation"/>
      <sheetName val="Paste In Fleet"/>
      <sheetName val="Paste in Roster"/>
      <sheetName val="Equip Data"/>
      <sheetName val="Not Used ------&gt;"/>
      <sheetName val="Update_Header_Footer"/>
    </sheetNames>
    <sheetDataSet>
      <sheetData sheetId="0" refreshError="1"/>
      <sheetData sheetId="1"/>
      <sheetData sheetId="2" refreshError="1"/>
      <sheetData sheetId="3" refreshError="1"/>
      <sheetData sheetId="4" refreshError="1"/>
      <sheetData sheetId="5" refreshError="1">
        <row r="31">
          <cell r="I31">
            <v>5</v>
          </cell>
          <cell r="J31">
            <v>0.2</v>
          </cell>
        </row>
        <row r="33">
          <cell r="I33">
            <v>20</v>
          </cell>
          <cell r="J33">
            <v>0.05</v>
          </cell>
        </row>
        <row r="34">
          <cell r="I34">
            <v>20</v>
          </cell>
          <cell r="J34">
            <v>0.05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DA Summary"/>
      <sheetName val="Cover"/>
      <sheetName val="Summary for IG"/>
      <sheetName val="Summary page"/>
      <sheetName val="Index"/>
      <sheetName val="Title"/>
      <sheetName val="NPV Summary"/>
      <sheetName val="Price"/>
      <sheetName val="Cost Summ"/>
      <sheetName val="Tax workings"/>
      <sheetName val="Sensitivities"/>
      <sheetName val="Tax summary"/>
      <sheetName val="Economic  Graphs"/>
      <sheetName val="Quantity Graphs"/>
      <sheetName val="Deprec"/>
      <sheetName val="Coal Stocks &amp; Wkg Cap"/>
      <sheetName val="Total Cap"/>
      <sheetName val="Other Cap GIAG"/>
      <sheetName val="Other Cap JG"/>
      <sheetName val="mine capital"/>
      <sheetName val="Propuerto op costs"/>
      <sheetName val="Propuerto capex"/>
      <sheetName val="Updated CAPEX"/>
      <sheetName val="Repl Cap"/>
      <sheetName val="Repl Cap - Contractor"/>
      <sheetName val="Init Cap"/>
      <sheetName val="Init Cap - Contractor"/>
      <sheetName val="Init"/>
      <sheetName val="Repl"/>
      <sheetName val="Total Op Costs"/>
      <sheetName val="Other Op Costs"/>
      <sheetName val="Royalties"/>
      <sheetName val="Other Op Costs-Security"/>
      <sheetName val="Rail Opex"/>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Power Consump"/>
      <sheetName val="Fuel Cons"/>
      <sheetName val="Equip Annual Hours"/>
      <sheetName val="Fleet Cost Hrs"/>
      <sheetName val="Fleet Op Hrs"/>
      <sheetName val="Roster"/>
      <sheetName val="Utilisation"/>
      <sheetName val="Fleet"/>
      <sheetName val="Combined Schedule Summary"/>
      <sheetName val="Waste Sched"/>
      <sheetName val="Coal Sched"/>
      <sheetName val="Waste Sched GIAG"/>
      <sheetName val="Coal Sched GIAG"/>
      <sheetName val="Waste Sched Update"/>
      <sheetName val="Coal Sched Update"/>
      <sheetName val="Paste In Utilisation"/>
      <sheetName val="Paste in Roster"/>
      <sheetName val="Paste In Fleet"/>
      <sheetName val="Paste In Utilisation GIAG"/>
      <sheetName val="Paste in Roster GIAG"/>
      <sheetName val="Paste In Fleet GIAG"/>
      <sheetName val="Paste In Utilisation Update"/>
      <sheetName val="Paste in Roster Update"/>
      <sheetName val="Paste In Fleet Update"/>
      <sheetName val="Equip Data"/>
      <sheetName val="Depr Custom duties - Prodeco"/>
      <sheetName val="Cashflow"/>
      <sheetName val="Summary"/>
      <sheetName val="PV -JV"/>
      <sheetName val="Not Used ------&gt;"/>
      <sheetName val="Nom IS&amp;BS"/>
      <sheetName val="Update_Header_Footer"/>
    </sheetNames>
    <sheetDataSet>
      <sheetData sheetId="0" refreshError="1"/>
      <sheetData sheetId="1" refreshError="1"/>
      <sheetData sheetId="2" refreshError="1"/>
      <sheetData sheetId="3" refreshError="1"/>
      <sheetData sheetId="4" refreshError="1">
        <row r="57">
          <cell r="L57">
            <v>12</v>
          </cell>
        </row>
        <row r="66">
          <cell r="T66">
            <v>10</v>
          </cell>
          <cell r="U66">
            <v>0.1</v>
          </cell>
        </row>
      </sheetData>
      <sheetData sheetId="5" refreshError="1">
        <row r="28">
          <cell r="L28" t="str">
            <v xml:space="preserve">PRODECO/CDJ RAIL ACCESS - OPTION 1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 Summary Page"/>
      <sheetName val="Log"/>
      <sheetName val="Drivers"/>
      <sheetName val="Inputs_28kt"/>
      <sheetName val="Inputs_28upID"/>
      <sheetName val="Inputs_32t"/>
      <sheetName val="Inputs_37kt"/>
      <sheetName val="Inputs-SUMMARY"/>
      <sheetName val="Toggles"/>
      <sheetName val="Workings"/>
      <sheetName val="Output"/>
      <sheetName val="DBOutput"/>
      <sheetName val="Core"/>
      <sheetName val="Core_real"/>
      <sheetName val="Tax"/>
      <sheetName val="Royalties"/>
      <sheetName val="Fin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H3">
            <v>1</v>
          </cell>
          <cell r="I3">
            <v>1</v>
          </cell>
          <cell r="J3">
            <v>2</v>
          </cell>
          <cell r="K3">
            <v>3</v>
          </cell>
          <cell r="L3">
            <v>4</v>
          </cell>
          <cell r="M3">
            <v>5</v>
          </cell>
          <cell r="N3">
            <v>6</v>
          </cell>
          <cell r="O3">
            <v>7</v>
          </cell>
          <cell r="P3">
            <v>8</v>
          </cell>
          <cell r="Q3">
            <v>9</v>
          </cell>
          <cell r="R3">
            <v>10</v>
          </cell>
          <cell r="S3">
            <v>11</v>
          </cell>
          <cell r="T3">
            <v>12</v>
          </cell>
          <cell r="U3">
            <v>13</v>
          </cell>
          <cell r="V3">
            <v>14</v>
          </cell>
          <cell r="W3">
            <v>15</v>
          </cell>
          <cell r="X3">
            <v>16</v>
          </cell>
          <cell r="Y3">
            <v>17</v>
          </cell>
          <cell r="Z3">
            <v>18</v>
          </cell>
          <cell r="AA3">
            <v>19</v>
          </cell>
          <cell r="AB3">
            <v>20</v>
          </cell>
          <cell r="AC3">
            <v>21</v>
          </cell>
          <cell r="AD3">
            <v>22</v>
          </cell>
          <cell r="AE3">
            <v>23</v>
          </cell>
          <cell r="AF3">
            <v>24</v>
          </cell>
          <cell r="AG3">
            <v>25</v>
          </cell>
          <cell r="AH3">
            <v>26</v>
          </cell>
          <cell r="AI3">
            <v>27</v>
          </cell>
          <cell r="AJ3">
            <v>28</v>
          </cell>
          <cell r="AK3">
            <v>29</v>
          </cell>
          <cell r="AL3">
            <v>30</v>
          </cell>
          <cell r="AM3">
            <v>31</v>
          </cell>
          <cell r="AN3">
            <v>32</v>
          </cell>
          <cell r="AO3">
            <v>33</v>
          </cell>
          <cell r="AP3">
            <v>34</v>
          </cell>
          <cell r="AQ3">
            <v>35</v>
          </cell>
          <cell r="AR3">
            <v>36</v>
          </cell>
          <cell r="AS3">
            <v>37</v>
          </cell>
          <cell r="AT3">
            <v>38</v>
          </cell>
          <cell r="AU3">
            <v>39</v>
          </cell>
          <cell r="AV3">
            <v>40</v>
          </cell>
          <cell r="AW3">
            <v>41</v>
          </cell>
          <cell r="AX3">
            <v>42</v>
          </cell>
          <cell r="AY3">
            <v>43</v>
          </cell>
          <cell r="AZ3">
            <v>44</v>
          </cell>
          <cell r="BA3">
            <v>45</v>
          </cell>
          <cell r="BB3">
            <v>46</v>
          </cell>
          <cell r="BC3">
            <v>47</v>
          </cell>
          <cell r="BD3">
            <v>48</v>
          </cell>
          <cell r="BE3">
            <v>49</v>
          </cell>
          <cell r="BF3">
            <v>50</v>
          </cell>
          <cell r="BG3">
            <v>51</v>
          </cell>
          <cell r="BH3">
            <v>52</v>
          </cell>
          <cell r="BI3">
            <v>53</v>
          </cell>
          <cell r="BJ3">
            <v>54</v>
          </cell>
          <cell r="BK3">
            <v>55</v>
          </cell>
          <cell r="BL3">
            <v>56</v>
          </cell>
          <cell r="BM3">
            <v>57</v>
          </cell>
          <cell r="BN3">
            <v>58</v>
          </cell>
          <cell r="BO3">
            <v>59</v>
          </cell>
          <cell r="BP3">
            <v>60</v>
          </cell>
          <cell r="BQ3">
            <v>61</v>
          </cell>
          <cell r="BR3">
            <v>62</v>
          </cell>
        </row>
        <row r="266">
          <cell r="H266">
            <v>1</v>
          </cell>
          <cell r="I266">
            <v>1</v>
          </cell>
          <cell r="J266">
            <v>1</v>
          </cell>
          <cell r="K266">
            <v>1</v>
          </cell>
          <cell r="L266">
            <v>1</v>
          </cell>
          <cell r="M266">
            <v>1</v>
          </cell>
          <cell r="N266">
            <v>1</v>
          </cell>
          <cell r="O266">
            <v>1</v>
          </cell>
          <cell r="P266">
            <v>1</v>
          </cell>
          <cell r="Q266">
            <v>1</v>
          </cell>
          <cell r="R266">
            <v>1</v>
          </cell>
          <cell r="S266">
            <v>1</v>
          </cell>
          <cell r="T266">
            <v>1</v>
          </cell>
          <cell r="U266">
            <v>1</v>
          </cell>
          <cell r="V266">
            <v>1</v>
          </cell>
          <cell r="W266">
            <v>1</v>
          </cell>
          <cell r="X266">
            <v>1</v>
          </cell>
          <cell r="Y266">
            <v>1</v>
          </cell>
          <cell r="Z266">
            <v>1</v>
          </cell>
          <cell r="AA266">
            <v>1</v>
          </cell>
          <cell r="AB266">
            <v>1</v>
          </cell>
          <cell r="AC266">
            <v>1</v>
          </cell>
          <cell r="AD266">
            <v>1</v>
          </cell>
          <cell r="AE266">
            <v>1</v>
          </cell>
          <cell r="AF266">
            <v>1</v>
          </cell>
          <cell r="AG266">
            <v>1</v>
          </cell>
          <cell r="AH266">
            <v>1</v>
          </cell>
          <cell r="AI266">
            <v>1</v>
          </cell>
          <cell r="AJ266">
            <v>1</v>
          </cell>
          <cell r="AK266">
            <v>1</v>
          </cell>
          <cell r="AL266">
            <v>1</v>
          </cell>
          <cell r="AM266">
            <v>1</v>
          </cell>
          <cell r="AN266">
            <v>1</v>
          </cell>
          <cell r="AO266">
            <v>1</v>
          </cell>
          <cell r="AP266">
            <v>1</v>
          </cell>
          <cell r="AQ266">
            <v>1</v>
          </cell>
          <cell r="AR266">
            <v>1</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1</v>
          </cell>
          <cell r="BK266">
            <v>1</v>
          </cell>
          <cell r="BL266">
            <v>1</v>
          </cell>
          <cell r="BM266">
            <v>1</v>
          </cell>
          <cell r="BN266">
            <v>1</v>
          </cell>
          <cell r="BO266">
            <v>1</v>
          </cell>
          <cell r="BP266">
            <v>1</v>
          </cell>
          <cell r="BQ266">
            <v>1</v>
          </cell>
          <cell r="BR266">
            <v>1</v>
          </cell>
        </row>
        <row r="279">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row>
        <row r="464">
          <cell r="H464">
            <v>8.2600000000000007E-2</v>
          </cell>
          <cell r="I464">
            <v>7.0211197026236405E-2</v>
          </cell>
          <cell r="J464">
            <v>7.7699999899087602E-2</v>
          </cell>
          <cell r="K464">
            <v>7.8425000111062501E-2</v>
          </cell>
          <cell r="L464">
            <v>7.8424999980129209E-2</v>
          </cell>
          <cell r="M464">
            <v>7.842499994123911E-2</v>
          </cell>
          <cell r="N464">
            <v>0.08</v>
          </cell>
          <cell r="O464">
            <v>0.08</v>
          </cell>
          <cell r="P464">
            <v>0.08</v>
          </cell>
          <cell r="Q464">
            <v>0.08</v>
          </cell>
          <cell r="R464">
            <v>0.08</v>
          </cell>
          <cell r="S464">
            <v>0.08</v>
          </cell>
          <cell r="T464">
            <v>0.08</v>
          </cell>
          <cell r="U464">
            <v>0.08</v>
          </cell>
          <cell r="V464">
            <v>0.08</v>
          </cell>
          <cell r="W464">
            <v>0.08</v>
          </cell>
          <cell r="X464">
            <v>0.08</v>
          </cell>
          <cell r="Y464">
            <v>0.08</v>
          </cell>
          <cell r="Z464">
            <v>0.08</v>
          </cell>
          <cell r="AA464">
            <v>0.08</v>
          </cell>
          <cell r="AB464">
            <v>0.08</v>
          </cell>
          <cell r="AC464">
            <v>0.08</v>
          </cell>
          <cell r="AD464">
            <v>0.08</v>
          </cell>
          <cell r="AE464">
            <v>0.08</v>
          </cell>
          <cell r="AF464">
            <v>0.08</v>
          </cell>
          <cell r="AG464">
            <v>0.08</v>
          </cell>
          <cell r="AH464">
            <v>0.08</v>
          </cell>
          <cell r="AI464">
            <v>0.08</v>
          </cell>
          <cell r="AJ464">
            <v>0.08</v>
          </cell>
          <cell r="AK464">
            <v>0.08</v>
          </cell>
          <cell r="AL464">
            <v>0.08</v>
          </cell>
          <cell r="AM464">
            <v>0.08</v>
          </cell>
          <cell r="AN464">
            <v>0.08</v>
          </cell>
          <cell r="AO464">
            <v>0.08</v>
          </cell>
          <cell r="AP464">
            <v>0.08</v>
          </cell>
          <cell r="AQ464">
            <v>0.08</v>
          </cell>
          <cell r="AR464">
            <v>0.08</v>
          </cell>
          <cell r="AS464">
            <v>0.08</v>
          </cell>
          <cell r="AT464">
            <v>0.08</v>
          </cell>
          <cell r="AU464">
            <v>0.08</v>
          </cell>
          <cell r="AV464">
            <v>0.08</v>
          </cell>
          <cell r="AW464">
            <v>0.08</v>
          </cell>
          <cell r="AX464">
            <v>0.08</v>
          </cell>
          <cell r="AY464">
            <v>0.08</v>
          </cell>
          <cell r="AZ464">
            <v>0.08</v>
          </cell>
          <cell r="BA464">
            <v>0.08</v>
          </cell>
          <cell r="BB464">
            <v>0.08</v>
          </cell>
          <cell r="BC464">
            <v>0.08</v>
          </cell>
          <cell r="BD464">
            <v>0.08</v>
          </cell>
          <cell r="BE464">
            <v>0.08</v>
          </cell>
          <cell r="BF464">
            <v>0.08</v>
          </cell>
          <cell r="BG464">
            <v>0.08</v>
          </cell>
          <cell r="BH464">
            <v>0.08</v>
          </cell>
          <cell r="BI464">
            <v>0.08</v>
          </cell>
          <cell r="BJ464">
            <v>0.08</v>
          </cell>
          <cell r="BK464">
            <v>0.08</v>
          </cell>
          <cell r="BL464">
            <v>0.08</v>
          </cell>
          <cell r="BM464">
            <v>0.08</v>
          </cell>
          <cell r="BN464">
            <v>0.08</v>
          </cell>
          <cell r="BO464">
            <v>0.08</v>
          </cell>
          <cell r="BP464">
            <v>0.08</v>
          </cell>
          <cell r="BQ464">
            <v>0.08</v>
          </cell>
          <cell r="BR464">
            <v>0.08</v>
          </cell>
        </row>
        <row r="466">
          <cell r="H466">
            <v>0.38500000000000001</v>
          </cell>
          <cell r="I466">
            <v>0.38500000000000001</v>
          </cell>
          <cell r="J466">
            <v>0.38500000000000001</v>
          </cell>
          <cell r="K466">
            <v>0.38500000000000001</v>
          </cell>
          <cell r="L466">
            <v>0.35</v>
          </cell>
          <cell r="M466">
            <v>0.35</v>
          </cell>
          <cell r="N466">
            <v>0.35</v>
          </cell>
          <cell r="O466">
            <v>0.35</v>
          </cell>
          <cell r="P466">
            <v>0.35</v>
          </cell>
          <cell r="Q466">
            <v>0.35</v>
          </cell>
          <cell r="R466">
            <v>0.35</v>
          </cell>
          <cell r="S466">
            <v>0.35</v>
          </cell>
          <cell r="T466">
            <v>0.35</v>
          </cell>
          <cell r="U466">
            <v>0.35</v>
          </cell>
          <cell r="V466">
            <v>0.35</v>
          </cell>
          <cell r="W466">
            <v>0.35</v>
          </cell>
          <cell r="X466">
            <v>0.35</v>
          </cell>
          <cell r="Y466">
            <v>0.35</v>
          </cell>
          <cell r="Z466">
            <v>0.35</v>
          </cell>
          <cell r="AA466">
            <v>0.35</v>
          </cell>
          <cell r="AB466">
            <v>0.35</v>
          </cell>
          <cell r="AC466">
            <v>0.35</v>
          </cell>
          <cell r="AD466">
            <v>0.35</v>
          </cell>
          <cell r="AE466">
            <v>0.35</v>
          </cell>
          <cell r="AF466">
            <v>0.35</v>
          </cell>
          <cell r="AG466">
            <v>0.35</v>
          </cell>
          <cell r="AH466">
            <v>0.35</v>
          </cell>
          <cell r="AI466">
            <v>0.35</v>
          </cell>
          <cell r="AJ466">
            <v>0.35</v>
          </cell>
          <cell r="AK466">
            <v>0.35</v>
          </cell>
          <cell r="AL466">
            <v>0.35</v>
          </cell>
          <cell r="AM466">
            <v>0.35</v>
          </cell>
          <cell r="AN466">
            <v>0.35</v>
          </cell>
          <cell r="AO466">
            <v>0.35</v>
          </cell>
          <cell r="AP466">
            <v>0.35</v>
          </cell>
          <cell r="AQ466">
            <v>0.35</v>
          </cell>
          <cell r="AR466">
            <v>0.35</v>
          </cell>
          <cell r="AS466">
            <v>0.35</v>
          </cell>
          <cell r="AT466">
            <v>0.35</v>
          </cell>
          <cell r="AU466">
            <v>0.35</v>
          </cell>
          <cell r="AV466">
            <v>0.35</v>
          </cell>
          <cell r="AW466">
            <v>0.35</v>
          </cell>
          <cell r="AX466">
            <v>0.35</v>
          </cell>
          <cell r="AY466">
            <v>0.35</v>
          </cell>
          <cell r="AZ466">
            <v>0.35</v>
          </cell>
          <cell r="BA466">
            <v>0.35</v>
          </cell>
          <cell r="BB466">
            <v>0.35</v>
          </cell>
          <cell r="BC466">
            <v>0.35</v>
          </cell>
          <cell r="BD466">
            <v>0.35</v>
          </cell>
          <cell r="BE466">
            <v>0.35</v>
          </cell>
          <cell r="BF466">
            <v>0.35</v>
          </cell>
          <cell r="BG466">
            <v>0.35</v>
          </cell>
          <cell r="BH466">
            <v>0.35</v>
          </cell>
          <cell r="BI466">
            <v>0.35</v>
          </cell>
          <cell r="BJ466">
            <v>0.35</v>
          </cell>
          <cell r="BK466">
            <v>0.35</v>
          </cell>
          <cell r="BL466">
            <v>0.35</v>
          </cell>
          <cell r="BM466">
            <v>0.35</v>
          </cell>
          <cell r="BN466">
            <v>0.35</v>
          </cell>
          <cell r="BO466">
            <v>0.35</v>
          </cell>
          <cell r="BP466">
            <v>0.35</v>
          </cell>
          <cell r="BQ466">
            <v>0.35</v>
          </cell>
          <cell r="BR466">
            <v>0.35</v>
          </cell>
        </row>
      </sheetData>
      <sheetData sheetId="9" refreshError="1"/>
      <sheetData sheetId="10" refreshError="1">
        <row r="8">
          <cell r="H8">
            <v>1.0189999999999999</v>
          </cell>
          <cell r="I8">
            <v>1</v>
          </cell>
          <cell r="J8">
            <v>1.0249999999999999</v>
          </cell>
          <cell r="K8">
            <v>1.0506249999999999</v>
          </cell>
          <cell r="L8">
            <v>1.0768906249999999</v>
          </cell>
          <cell r="M8">
            <v>1.1038128906249998</v>
          </cell>
          <cell r="N8">
            <v>1.1314082128906247</v>
          </cell>
          <cell r="O8">
            <v>1.1596934182128902</v>
          </cell>
          <cell r="P8">
            <v>1.1886857536682123</v>
          </cell>
          <cell r="Q8">
            <v>1.2184028975099175</v>
          </cell>
          <cell r="R8">
            <v>1.2488629699476652</v>
          </cell>
          <cell r="S8">
            <v>1.2800845441963566</v>
          </cell>
          <cell r="T8">
            <v>1.3120866578012655</v>
          </cell>
          <cell r="U8">
            <v>1.3448888242462971</v>
          </cell>
          <cell r="V8">
            <v>1.3785110448524545</v>
          </cell>
          <cell r="W8">
            <v>1.4129738209737657</v>
          </cell>
          <cell r="X8">
            <v>1.4482981664981096</v>
          </cell>
          <cell r="Y8">
            <v>1.4845056206605622</v>
          </cell>
          <cell r="Z8">
            <v>1.5216182611770761</v>
          </cell>
          <cell r="AA8">
            <v>1.5596587177065029</v>
          </cell>
          <cell r="AB8">
            <v>1.5986501856491653</v>
          </cell>
          <cell r="AC8">
            <v>1.6386164402903942</v>
          </cell>
          <cell r="AD8">
            <v>1.6795818512976539</v>
          </cell>
          <cell r="AE8">
            <v>1.721571397580095</v>
          </cell>
          <cell r="AF8">
            <v>1.7646106825195973</v>
          </cell>
          <cell r="AG8">
            <v>1.8087259495825871</v>
          </cell>
          <cell r="AH8">
            <v>1.8539440983221516</v>
          </cell>
          <cell r="AI8">
            <v>1.9002927007802053</v>
          </cell>
          <cell r="AJ8">
            <v>1.9478000182997102</v>
          </cell>
          <cell r="AK8">
            <v>1.9964950187572028</v>
          </cell>
          <cell r="AL8">
            <v>2.0464073942261325</v>
          </cell>
          <cell r="AM8">
            <v>2.0464073942261325</v>
          </cell>
          <cell r="AN8">
            <v>2.0464073942261325</v>
          </cell>
          <cell r="AO8">
            <v>2.0464073942261325</v>
          </cell>
          <cell r="AP8">
            <v>2.0464073942261325</v>
          </cell>
          <cell r="AQ8">
            <v>2.0464073942261325</v>
          </cell>
          <cell r="AR8">
            <v>2.0464073942261325</v>
          </cell>
          <cell r="AS8">
            <v>2.0464073942261325</v>
          </cell>
          <cell r="AT8">
            <v>2.0464073942261325</v>
          </cell>
          <cell r="AU8">
            <v>2.0464073942261325</v>
          </cell>
          <cell r="AV8">
            <v>2.0464073942261325</v>
          </cell>
          <cell r="AW8">
            <v>2.0464073942261325</v>
          </cell>
          <cell r="AX8">
            <v>2.0464073942261325</v>
          </cell>
          <cell r="AY8">
            <v>2.0464073942261325</v>
          </cell>
          <cell r="AZ8">
            <v>2.0464073942261325</v>
          </cell>
          <cell r="BA8">
            <v>2.0464073942261325</v>
          </cell>
          <cell r="BB8">
            <v>2.0464073942261325</v>
          </cell>
          <cell r="BC8">
            <v>2.0464073942261325</v>
          </cell>
          <cell r="BD8">
            <v>2.0464073942261325</v>
          </cell>
          <cell r="BE8">
            <v>2.0464073942261325</v>
          </cell>
          <cell r="BF8">
            <v>2.0464073942261325</v>
          </cell>
          <cell r="BG8">
            <v>2.0464073942261325</v>
          </cell>
          <cell r="BH8">
            <v>2.0464073942261325</v>
          </cell>
          <cell r="BI8">
            <v>2.0464073942261325</v>
          </cell>
          <cell r="BJ8">
            <v>2.0464073942261325</v>
          </cell>
          <cell r="BK8">
            <v>2.0464073942261325</v>
          </cell>
          <cell r="BL8">
            <v>2.0464073942261325</v>
          </cell>
          <cell r="BM8">
            <v>2.0464073942261325</v>
          </cell>
          <cell r="BN8">
            <v>2.0464073942261325</v>
          </cell>
          <cell r="BO8">
            <v>2.0464073942261325</v>
          </cell>
          <cell r="BP8">
            <v>2.0464073942261325</v>
          </cell>
          <cell r="BQ8">
            <v>2.0464073942261325</v>
          </cell>
          <cell r="BR8">
            <v>2.0464073942261325</v>
          </cell>
        </row>
        <row r="299">
          <cell r="H299">
            <v>0.97799999999999998</v>
          </cell>
          <cell r="I299">
            <v>10.586175000000001</v>
          </cell>
          <cell r="J299">
            <v>2.2945351621093746</v>
          </cell>
          <cell r="K299">
            <v>0.56323233958544916</v>
          </cell>
          <cell r="L299">
            <v>5.174012543515623</v>
          </cell>
          <cell r="M299">
            <v>6.4781730204488372</v>
          </cell>
          <cell r="N299">
            <v>5.7668306546156041</v>
          </cell>
          <cell r="O299">
            <v>8.0815986640953259</v>
          </cell>
          <cell r="P299">
            <v>14.200878096211088</v>
          </cell>
          <cell r="Q299">
            <v>13.411840410243737</v>
          </cell>
          <cell r="R299">
            <v>15.707658864755569</v>
          </cell>
          <cell r="S299">
            <v>9.6425615866079184</v>
          </cell>
          <cell r="T299">
            <v>9.343671591781769</v>
          </cell>
          <cell r="U299">
            <v>9.9972695052330032</v>
          </cell>
          <cell r="V299">
            <v>8.7397093640836641</v>
          </cell>
          <cell r="W299">
            <v>9.1751470254400047</v>
          </cell>
          <cell r="X299">
            <v>9.1034961668128354</v>
          </cell>
          <cell r="Y299">
            <v>9.06904416860759</v>
          </cell>
          <cell r="Z299">
            <v>9.5341641078242159</v>
          </cell>
          <cell r="AA299">
            <v>7.6841087512955486</v>
          </cell>
          <cell r="AB299">
            <v>10.307367692344945</v>
          </cell>
          <cell r="AC299">
            <v>17.190244796607878</v>
          </cell>
          <cell r="AD299">
            <v>27.201885126603621</v>
          </cell>
          <cell r="AE299">
            <v>11.853327577933403</v>
          </cell>
          <cell r="AF299">
            <v>10.363704868778445</v>
          </cell>
          <cell r="AG299">
            <v>6.0755676203879174</v>
          </cell>
          <cell r="AH299">
            <v>5.9737886385631649</v>
          </cell>
          <cell r="AI299">
            <v>0.39100721907353875</v>
          </cell>
          <cell r="AJ299">
            <v>0.68763680735039334</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SALARIOS OBRA"/>
      <sheetName val="FACTOR PREST OBRA"/>
      <sheetName val="A.I.U."/>
      <sheetName val="INSUMOS-EQUIPOS"/>
      <sheetName val="CONCRETOS Y MORTEROS"/>
      <sheetName val="APU HIDROSAN"/>
      <sheetName val="APU ELECT"/>
      <sheetName val="APU ELECTRICOS"/>
      <sheetName val="APU "/>
      <sheetName val="PRESUPUESTO"/>
      <sheetName val="FLJ.CAJ"/>
      <sheetName val="FLJ.CAJ (2)"/>
      <sheetName val="01- PRELIMINARES"/>
      <sheetName val="02-CIMENTACIÓN"/>
      <sheetName val="03-DESAGUES E INST SUBTERR"/>
      <sheetName val="04-ESTRUCTURA"/>
      <sheetName val="05-MAMPOSTERIA"/>
      <sheetName val="06-PREFABRICADOS"/>
      <sheetName val="07-INSTALACIONES  HS Y GAS"/>
      <sheetName val="08-INST ELECTRICAS"/>
      <sheetName val="09-PAÑETES"/>
      <sheetName val="10-PISOS"/>
      <sheetName val="11-CUBIERTA E IMPERMEAB"/>
      <sheetName val="12-13-CARP. METALICA-MADERA"/>
      <sheetName val="14-ENCHAPES"/>
      <sheetName val="16-APA. SANITARIOS Y ACCESORIOS"/>
      <sheetName val="17-CIELO RASO Y DIVISIONES"/>
      <sheetName val="18-PINTURA Y ESTUCO"/>
      <sheetName val="19-CERRADURAS Y VIDRIOS"/>
      <sheetName val="20-O.EXTERIORES,ASEO,VARIOS "/>
    </sheetNames>
    <sheetDataSet>
      <sheetData sheetId="0"/>
      <sheetData sheetId="1"/>
      <sheetData sheetId="2"/>
      <sheetData sheetId="3"/>
      <sheetData sheetId="4"/>
      <sheetData sheetId="5">
        <row r="14">
          <cell r="B14">
            <v>2135.8516666666665</v>
          </cell>
        </row>
        <row r="33">
          <cell r="B33">
            <v>310.59000000000003</v>
          </cell>
        </row>
        <row r="74">
          <cell r="B74">
            <v>39882.85</v>
          </cell>
        </row>
        <row r="76">
          <cell r="B76">
            <v>37167.270000000004</v>
          </cell>
        </row>
        <row r="198">
          <cell r="B198">
            <v>10836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Returns"/>
      <sheetName val="Balance Sheet"/>
      <sheetName val="Dividends"/>
      <sheetName val="Equipment Assumptions"/>
      <sheetName val="Budget Assumptions"/>
      <sheetName val="Material Assumptions"/>
      <sheetName val="Cash Costs"/>
      <sheetName val="Loading Type RH200W - hours"/>
      <sheetName val="Loading Type EX3600 - hours"/>
      <sheetName val="Loading Type RH120W - hours"/>
      <sheetName val="Loading Type OtherW - hours"/>
      <sheetName val="Loading Type RH40C - hours"/>
      <sheetName val="Loading Type 992C - hours"/>
      <sheetName val="Drill&amp;Blast"/>
      <sheetName val="Mine Hours"/>
      <sheetName val="MARC Rates"/>
      <sheetName val="MineSupportCostsandContractors"/>
      <sheetName val="MineEquipmentCosts"/>
      <sheetName val="EquipDeprnReplmt~"/>
      <sheetName val="Opex~"/>
      <sheetName val="Operations CAL"/>
      <sheetName val="Maintenance CAL"/>
      <sheetName val="Dates &amp; Flags"/>
      <sheetName val="Cuentas"/>
      <sheetName val="CtaGeneral-A"/>
      <sheetName val="Hoja3"/>
      <sheetName val="Hoja2"/>
      <sheetName val="Hoja1"/>
      <sheetName val="Fixed Assets~"/>
    </sheetNames>
    <sheetDataSet>
      <sheetData sheetId="0" refreshError="1"/>
      <sheetData sheetId="1" refreshError="1"/>
      <sheetData sheetId="2" refreshError="1"/>
      <sheetData sheetId="3" refreshError="1"/>
      <sheetData sheetId="4">
        <row r="3">
          <cell r="J3">
            <v>0.55000000000000004</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11">
          <cell r="A11" t="str">
            <v>Hydraulic Shovels RH200</v>
          </cell>
          <cell r="F11" t="str">
            <v>Feed</v>
          </cell>
          <cell r="G11" t="str">
            <v>Hrs</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2">
          <cell r="A12" t="str">
            <v>Hydraulic Shovels RH170</v>
          </cell>
          <cell r="F12" t="str">
            <v>Feed</v>
          </cell>
          <cell r="G12" t="str">
            <v>Hrs</v>
          </cell>
          <cell r="J12">
            <v>0</v>
          </cell>
          <cell r="K12">
            <v>0</v>
          </cell>
          <cell r="L12">
            <v>0</v>
          </cell>
          <cell r="M12">
            <v>0</v>
          </cell>
          <cell r="N12">
            <v>0</v>
          </cell>
          <cell r="O12">
            <v>0</v>
          </cell>
          <cell r="P12">
            <v>2835.2213624000001</v>
          </cell>
          <cell r="Q12">
            <v>2535.0354366749993</v>
          </cell>
          <cell r="R12">
            <v>2613.64131</v>
          </cell>
          <cell r="S12">
            <v>2402.8089658999997</v>
          </cell>
          <cell r="T12">
            <v>2473.4938686450005</v>
          </cell>
          <cell r="U12">
            <v>2464.4452424000001</v>
          </cell>
          <cell r="V12">
            <v>2622.39912</v>
          </cell>
          <cell r="W12">
            <v>2539.4440499999996</v>
          </cell>
          <cell r="X12">
            <v>2431.8425999999999</v>
          </cell>
          <cell r="Y12">
            <v>2369.9099430399997</v>
          </cell>
          <cell r="Z12">
            <v>2367.9786995200002</v>
          </cell>
          <cell r="AA12">
            <v>2738.3718758400009</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row>
        <row r="13">
          <cell r="A13" t="str">
            <v>Hydraulic Shovels RH120</v>
          </cell>
          <cell r="F13" t="str">
            <v>Feed</v>
          </cell>
          <cell r="G13" t="str">
            <v>Hrs</v>
          </cell>
          <cell r="J13">
            <v>0</v>
          </cell>
          <cell r="K13">
            <v>0</v>
          </cell>
          <cell r="L13">
            <v>0</v>
          </cell>
          <cell r="M13">
            <v>0</v>
          </cell>
          <cell r="N13">
            <v>0</v>
          </cell>
          <cell r="O13">
            <v>0</v>
          </cell>
          <cell r="P13">
            <v>1167.4440904000001</v>
          </cell>
          <cell r="Q13">
            <v>1023.5708558796875</v>
          </cell>
          <cell r="R13">
            <v>1055.3095368749998</v>
          </cell>
          <cell r="S13">
            <v>1013.6850324890621</v>
          </cell>
          <cell r="T13">
            <v>1020.3162208160621</v>
          </cell>
          <cell r="U13">
            <v>971.28136024000003</v>
          </cell>
          <cell r="V13">
            <v>1097.6329649999998</v>
          </cell>
          <cell r="W13">
            <v>1059.7295362500001</v>
          </cell>
          <cell r="X13">
            <v>1002.2139200000003</v>
          </cell>
          <cell r="Y13">
            <v>999.8057572199998</v>
          </cell>
          <cell r="Z13">
            <v>998.99101385999995</v>
          </cell>
          <cell r="AA13">
            <v>1116.742280616</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4">
          <cell r="A14" t="str">
            <v>Hydraulic Shovels Other</v>
          </cell>
          <cell r="F14" t="str">
            <v>Feed</v>
          </cell>
          <cell r="G14" t="str">
            <v>Hrs</v>
          </cell>
          <cell r="J14">
            <v>0</v>
          </cell>
          <cell r="K14">
            <v>0</v>
          </cell>
          <cell r="L14">
            <v>0</v>
          </cell>
          <cell r="M14">
            <v>0</v>
          </cell>
          <cell r="N14">
            <v>0</v>
          </cell>
          <cell r="O14">
            <v>0</v>
          </cell>
          <cell r="P14">
            <v>1053.3330138947372</v>
          </cell>
          <cell r="Q14">
            <v>1763.0885555822369</v>
          </cell>
          <cell r="R14">
            <v>1817.7580539473686</v>
          </cell>
          <cell r="S14">
            <v>1422.7158350723685</v>
          </cell>
          <cell r="T14">
            <v>1057.986968953026</v>
          </cell>
          <cell r="U14">
            <v>1007.1417089684214</v>
          </cell>
          <cell r="V14">
            <v>1244.2802842105261</v>
          </cell>
          <cell r="W14">
            <v>1367.3929500000008</v>
          </cell>
          <cell r="X14">
            <v>1186.8322736842106</v>
          </cell>
          <cell r="Y14">
            <v>1403.2361504842102</v>
          </cell>
          <cell r="Z14">
            <v>1402.0926510315787</v>
          </cell>
          <cell r="AA14">
            <v>1702.4746201768419</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row>
        <row r="15">
          <cell r="A15" t="str">
            <v>Hydraulic Shovels RH40</v>
          </cell>
          <cell r="F15" t="str">
            <v>Feed</v>
          </cell>
          <cell r="G15" t="str">
            <v>Hrs</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883.89590800044164</v>
          </cell>
          <cell r="Y15">
            <v>920.10201384246545</v>
          </cell>
          <cell r="Z15">
            <v>909.28013220430933</v>
          </cell>
          <cell r="AA15">
            <v>959.10349229670067</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6">
          <cell r="A16" t="str">
            <v>Front End Loaders</v>
          </cell>
          <cell r="F16" t="str">
            <v>Feed</v>
          </cell>
          <cell r="G16" t="str">
            <v>Hrs</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353.55836320017664</v>
          </cell>
          <cell r="Y16">
            <v>368.04080553698611</v>
          </cell>
          <cell r="Z16">
            <v>363.71205288172371</v>
          </cell>
          <cell r="AA16">
            <v>383.64139691868036</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row>
        <row r="17">
          <cell r="A17" t="str">
            <v>CAT793</v>
          </cell>
          <cell r="F17" t="str">
            <v>Feed</v>
          </cell>
          <cell r="G17" t="str">
            <v>Hrs</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8">
          <cell r="A18" t="str">
            <v>CAT789</v>
          </cell>
          <cell r="F18" t="str">
            <v>Feed</v>
          </cell>
          <cell r="G18" t="str">
            <v>Hrs</v>
          </cell>
          <cell r="J18">
            <v>0</v>
          </cell>
          <cell r="K18">
            <v>0</v>
          </cell>
          <cell r="L18">
            <v>0</v>
          </cell>
          <cell r="M18">
            <v>0</v>
          </cell>
          <cell r="N18">
            <v>0</v>
          </cell>
          <cell r="O18">
            <v>0</v>
          </cell>
          <cell r="P18">
            <v>9979.9791956480003</v>
          </cell>
          <cell r="Q18">
            <v>9024.7261545629972</v>
          </cell>
          <cell r="R18">
            <v>9931.8369779999994</v>
          </cell>
          <cell r="S18">
            <v>8986.5055324659988</v>
          </cell>
          <cell r="T18">
            <v>9300.3369461052007</v>
          </cell>
          <cell r="U18">
            <v>9217.0252065760014</v>
          </cell>
          <cell r="V18">
            <v>9860.2206912000001</v>
          </cell>
          <cell r="W18">
            <v>9548.3096279999972</v>
          </cell>
          <cell r="X18">
            <v>9143.7281759999987</v>
          </cell>
          <cell r="Y18">
            <v>9005.6577835519984</v>
          </cell>
          <cell r="Z18">
            <v>8998.3190581760009</v>
          </cell>
          <cell r="AA18">
            <v>10241.510815641604</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row>
        <row r="19">
          <cell r="A19" t="str">
            <v>CAT777</v>
          </cell>
          <cell r="F19" t="str">
            <v>Feed</v>
          </cell>
          <cell r="G19" t="str">
            <v>Hrs</v>
          </cell>
          <cell r="J19">
            <v>0</v>
          </cell>
          <cell r="K19">
            <v>0</v>
          </cell>
          <cell r="L19">
            <v>0</v>
          </cell>
          <cell r="M19">
            <v>0</v>
          </cell>
          <cell r="N19">
            <v>0</v>
          </cell>
          <cell r="O19">
            <v>0</v>
          </cell>
          <cell r="P19">
            <v>13420.542938571662</v>
          </cell>
          <cell r="Q19">
            <v>14200.336347834313</v>
          </cell>
          <cell r="R19">
            <v>13434.361556477732</v>
          </cell>
          <cell r="S19">
            <v>12145.372445045141</v>
          </cell>
          <cell r="T19">
            <v>11006.292917957609</v>
          </cell>
          <cell r="U19">
            <v>10622.821306220245</v>
          </cell>
          <cell r="V19">
            <v>12149.065828663966</v>
          </cell>
          <cell r="W19">
            <v>12244.058792307696</v>
          </cell>
          <cell r="X19">
            <v>14374.459870123013</v>
          </cell>
          <cell r="Y19">
            <v>14941.151623900398</v>
          </cell>
          <cell r="Z19">
            <v>14893.557719897628</v>
          </cell>
          <cell r="AA19">
            <v>17214.199098940207</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0">
          <cell r="A20" t="str">
            <v>Production Drills</v>
          </cell>
          <cell r="F20" t="str">
            <v>Feed</v>
          </cell>
          <cell r="G20" t="str">
            <v>Hrs</v>
          </cell>
          <cell r="J20">
            <v>872.92402526491389</v>
          </cell>
          <cell r="K20">
            <v>872.92402526491389</v>
          </cell>
          <cell r="L20">
            <v>872.92402526491389</v>
          </cell>
          <cell r="M20">
            <v>872.92402526491389</v>
          </cell>
          <cell r="N20">
            <v>872.92402526491389</v>
          </cell>
          <cell r="O20">
            <v>872.92402526491389</v>
          </cell>
          <cell r="P20">
            <v>2254.3412155616156</v>
          </cell>
          <cell r="Q20">
            <v>2180.6037875502043</v>
          </cell>
          <cell r="R20">
            <v>2245.4681844040965</v>
          </cell>
          <cell r="S20">
            <v>2036.2819772784264</v>
          </cell>
          <cell r="T20">
            <v>2000.4486578907199</v>
          </cell>
          <cell r="U20">
            <v>1963.343112878038</v>
          </cell>
          <cell r="V20">
            <v>2153.2330594724754</v>
          </cell>
          <cell r="W20">
            <v>2117.1128666333698</v>
          </cell>
          <cell r="X20">
            <v>1996.4465792857252</v>
          </cell>
          <cell r="Y20">
            <v>2007.2135719347566</v>
          </cell>
          <cell r="Z20">
            <v>2005.320949239906</v>
          </cell>
          <cell r="AA20">
            <v>2316.6308843953248</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row>
        <row r="21">
          <cell r="A21" t="str">
            <v>Coal Drills</v>
          </cell>
          <cell r="F21" t="str">
            <v>Feed</v>
          </cell>
          <cell r="G21" t="str">
            <v>Hrs</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40</v>
          </cell>
          <cell r="AK21">
            <v>40</v>
          </cell>
          <cell r="AL21">
            <v>40</v>
          </cell>
          <cell r="AM21">
            <v>40</v>
          </cell>
          <cell r="AN21">
            <v>40</v>
          </cell>
          <cell r="AO21">
            <v>40</v>
          </cell>
          <cell r="AP21">
            <v>40</v>
          </cell>
          <cell r="AQ21">
            <v>40</v>
          </cell>
          <cell r="AR21">
            <v>40</v>
          </cell>
          <cell r="AS21">
            <v>40</v>
          </cell>
          <cell r="AT21">
            <v>40</v>
          </cell>
          <cell r="AU21">
            <v>40</v>
          </cell>
          <cell r="AV21">
            <v>40</v>
          </cell>
          <cell r="AW21">
            <v>40</v>
          </cell>
          <cell r="AX21">
            <v>40</v>
          </cell>
          <cell r="AY21">
            <v>40</v>
          </cell>
          <cell r="AZ21">
            <v>40</v>
          </cell>
          <cell r="BA21">
            <v>40</v>
          </cell>
          <cell r="BB21">
            <v>40</v>
          </cell>
          <cell r="BC21">
            <v>40</v>
          </cell>
          <cell r="BD21">
            <v>40</v>
          </cell>
          <cell r="BE21">
            <v>40</v>
          </cell>
          <cell r="BF21">
            <v>40</v>
          </cell>
          <cell r="BG21">
            <v>40</v>
          </cell>
          <cell r="BH21">
            <v>40</v>
          </cell>
          <cell r="BI21">
            <v>40</v>
          </cell>
          <cell r="BJ21">
            <v>40</v>
          </cell>
          <cell r="BK21">
            <v>40</v>
          </cell>
          <cell r="BL21">
            <v>40</v>
          </cell>
          <cell r="BM21">
            <v>40</v>
          </cell>
          <cell r="BN21">
            <v>40</v>
          </cell>
          <cell r="BO21">
            <v>40</v>
          </cell>
          <cell r="BP21">
            <v>40</v>
          </cell>
          <cell r="BQ21">
            <v>40</v>
          </cell>
          <cell r="BR21">
            <v>40</v>
          </cell>
          <cell r="BS21">
            <v>40</v>
          </cell>
          <cell r="BT21">
            <v>40</v>
          </cell>
          <cell r="BU21">
            <v>40</v>
          </cell>
          <cell r="BV21">
            <v>40</v>
          </cell>
          <cell r="BW21">
            <v>40</v>
          </cell>
          <cell r="BX21">
            <v>40</v>
          </cell>
        </row>
        <row r="22">
          <cell r="A22" t="str">
            <v>Track Dozers D10</v>
          </cell>
          <cell r="F22" t="str">
            <v>Feed</v>
          </cell>
          <cell r="G22" t="str">
            <v>Hrs</v>
          </cell>
          <cell r="J22">
            <v>0</v>
          </cell>
          <cell r="K22">
            <v>0</v>
          </cell>
          <cell r="L22">
            <v>0</v>
          </cell>
          <cell r="M22">
            <v>0</v>
          </cell>
          <cell r="N22">
            <v>0</v>
          </cell>
          <cell r="O22">
            <v>0</v>
          </cell>
          <cell r="P22">
            <v>0</v>
          </cell>
          <cell r="Q22">
            <v>0</v>
          </cell>
          <cell r="R22">
            <v>0</v>
          </cell>
          <cell r="S22">
            <v>962.95718504687511</v>
          </cell>
          <cell r="T22">
            <v>2402.4981123750003</v>
          </cell>
          <cell r="U22">
            <v>2348.348465</v>
          </cell>
          <cell r="V22">
            <v>2530.1737499999999</v>
          </cell>
          <cell r="W22">
            <v>2500.02</v>
          </cell>
          <cell r="X22">
            <v>2375.75</v>
          </cell>
          <cell r="Y22">
            <v>2407.5781055000007</v>
          </cell>
          <cell r="Z22">
            <v>2382.7138714999996</v>
          </cell>
          <cell r="AA22">
            <v>2668.6529279999995</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row>
        <row r="23">
          <cell r="A23" t="str">
            <v>Track Dozers D9</v>
          </cell>
          <cell r="F23" t="str">
            <v>Feed</v>
          </cell>
          <cell r="G23" t="str">
            <v>Hrs</v>
          </cell>
          <cell r="J23">
            <v>0</v>
          </cell>
          <cell r="K23">
            <v>0</v>
          </cell>
          <cell r="L23">
            <v>0</v>
          </cell>
          <cell r="M23">
            <v>0</v>
          </cell>
          <cell r="N23">
            <v>0</v>
          </cell>
          <cell r="O23">
            <v>0</v>
          </cell>
          <cell r="P23">
            <v>1609.9975290000002</v>
          </cell>
          <cell r="Q23">
            <v>1503.6586848749998</v>
          </cell>
          <cell r="R23">
            <v>1565.8019999999999</v>
          </cell>
          <cell r="S23">
            <v>2888.8715551406253</v>
          </cell>
          <cell r="T23">
            <v>3363.4973573250004</v>
          </cell>
          <cell r="U23">
            <v>3287.6878509999997</v>
          </cell>
          <cell r="V23">
            <v>3542.24325</v>
          </cell>
          <cell r="W23">
            <v>3500.0279999999998</v>
          </cell>
          <cell r="X23">
            <v>3326.05</v>
          </cell>
          <cell r="Y23">
            <v>3370.6093477000004</v>
          </cell>
          <cell r="Z23">
            <v>3335.7994200999992</v>
          </cell>
          <cell r="AA23">
            <v>3736.1140992000001</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24">
          <cell r="A24" t="str">
            <v>Track Dozers D7</v>
          </cell>
          <cell r="F24" t="str">
            <v>Feed</v>
          </cell>
          <cell r="G24" t="str">
            <v>Hrs</v>
          </cell>
          <cell r="J24">
            <v>0</v>
          </cell>
          <cell r="K24">
            <v>0</v>
          </cell>
          <cell r="L24">
            <v>0</v>
          </cell>
          <cell r="M24">
            <v>0</v>
          </cell>
          <cell r="N24">
            <v>0</v>
          </cell>
          <cell r="O24">
            <v>0</v>
          </cell>
          <cell r="P24">
            <v>0</v>
          </cell>
          <cell r="Q24">
            <v>0</v>
          </cell>
          <cell r="R24">
            <v>0</v>
          </cell>
          <cell r="S24">
            <v>481.47859252343756</v>
          </cell>
          <cell r="T24">
            <v>480.49962247500002</v>
          </cell>
          <cell r="U24">
            <v>469.669693</v>
          </cell>
          <cell r="V24">
            <v>506.03474999999997</v>
          </cell>
          <cell r="W24">
            <v>500.00400000000002</v>
          </cell>
          <cell r="X24">
            <v>475.15</v>
          </cell>
          <cell r="Y24">
            <v>481.51562110000009</v>
          </cell>
          <cell r="Z24">
            <v>476.54277429999991</v>
          </cell>
          <cell r="AA24">
            <v>533.73058559999993</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row>
        <row r="25">
          <cell r="A25" t="str">
            <v>Wheel Dozers 834</v>
          </cell>
          <cell r="F25" t="str">
            <v>Feed</v>
          </cell>
          <cell r="G25" t="str">
            <v>Hrs</v>
          </cell>
          <cell r="J25">
            <v>0</v>
          </cell>
          <cell r="K25">
            <v>0</v>
          </cell>
          <cell r="L25">
            <v>0</v>
          </cell>
          <cell r="M25">
            <v>0</v>
          </cell>
          <cell r="N25">
            <v>0</v>
          </cell>
          <cell r="O25">
            <v>0</v>
          </cell>
          <cell r="P25">
            <v>0</v>
          </cell>
          <cell r="Q25">
            <v>1398.7522649999999</v>
          </cell>
          <cell r="R25">
            <v>1456.56</v>
          </cell>
          <cell r="S25">
            <v>1343.6611884375</v>
          </cell>
          <cell r="T25">
            <v>1340.929179</v>
          </cell>
          <cell r="U25">
            <v>1310.7061199999998</v>
          </cell>
          <cell r="V25">
            <v>1412.19</v>
          </cell>
          <cell r="W25">
            <v>1395.36</v>
          </cell>
          <cell r="X25">
            <v>1768</v>
          </cell>
          <cell r="Y25">
            <v>1791.6860320000001</v>
          </cell>
          <cell r="Z25">
            <v>1773.1824159999996</v>
          </cell>
          <cell r="AA25">
            <v>1985.9742719999999</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row>
        <row r="26">
          <cell r="A26" t="str">
            <v>Graders</v>
          </cell>
          <cell r="F26" t="str">
            <v>Feed</v>
          </cell>
          <cell r="G26" t="str">
            <v>Hrs</v>
          </cell>
          <cell r="J26">
            <v>0</v>
          </cell>
          <cell r="K26">
            <v>0</v>
          </cell>
          <cell r="L26">
            <v>0</v>
          </cell>
          <cell r="M26">
            <v>0</v>
          </cell>
          <cell r="N26">
            <v>0</v>
          </cell>
          <cell r="O26">
            <v>0</v>
          </cell>
          <cell r="P26">
            <v>1747.2841399999998</v>
          </cell>
          <cell r="Q26">
            <v>1631.8776424999999</v>
          </cell>
          <cell r="R26">
            <v>1699.32</v>
          </cell>
          <cell r="S26">
            <v>1567.60471984375</v>
          </cell>
          <cell r="T26">
            <v>1564.4173755000002</v>
          </cell>
          <cell r="U26">
            <v>1529.1571399999996</v>
          </cell>
          <cell r="V26">
            <v>1647.5550000000001</v>
          </cell>
          <cell r="W26">
            <v>1627.92</v>
          </cell>
          <cell r="X26">
            <v>1547</v>
          </cell>
          <cell r="Y26">
            <v>1567.7252780000001</v>
          </cell>
          <cell r="Z26">
            <v>1551.5346139999997</v>
          </cell>
          <cell r="AA26">
            <v>1737.727488</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row>
        <row r="27">
          <cell r="A27" t="str">
            <v>Water Trucks</v>
          </cell>
          <cell r="F27" t="str">
            <v>Feed</v>
          </cell>
          <cell r="G27" t="str">
            <v>Hrs</v>
          </cell>
          <cell r="J27">
            <v>0</v>
          </cell>
          <cell r="K27">
            <v>0</v>
          </cell>
          <cell r="L27">
            <v>0</v>
          </cell>
          <cell r="M27">
            <v>0</v>
          </cell>
          <cell r="N27">
            <v>0</v>
          </cell>
          <cell r="O27">
            <v>0</v>
          </cell>
          <cell r="P27">
            <v>873.64206999999988</v>
          </cell>
          <cell r="Q27">
            <v>815.93882124999993</v>
          </cell>
          <cell r="R27">
            <v>849.66</v>
          </cell>
          <cell r="S27">
            <v>783.802359921875</v>
          </cell>
          <cell r="T27">
            <v>782.20868775000008</v>
          </cell>
          <cell r="U27">
            <v>764.57856999999979</v>
          </cell>
          <cell r="V27">
            <v>823.77750000000003</v>
          </cell>
          <cell r="W27">
            <v>813.96</v>
          </cell>
          <cell r="X27">
            <v>773.5</v>
          </cell>
          <cell r="Y27">
            <v>783.86263900000006</v>
          </cell>
          <cell r="Z27">
            <v>775.76730699999985</v>
          </cell>
          <cell r="AA27">
            <v>868.863744</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row>
        <row r="28">
          <cell r="A28" t="str">
            <v>Ancillary Excavator 330</v>
          </cell>
          <cell r="F28" t="str">
            <v>Feed</v>
          </cell>
          <cell r="G28" t="str">
            <v>Hrs</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663</v>
          </cell>
          <cell r="Y28">
            <v>671.88226200000008</v>
          </cell>
          <cell r="Z28">
            <v>664.94340599999987</v>
          </cell>
          <cell r="AA28">
            <v>744.74035200000003</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row>
        <row r="29">
          <cell r="A29" t="str">
            <v>Crushers</v>
          </cell>
          <cell r="F29" t="str">
            <v>Feed</v>
          </cell>
          <cell r="G29" t="str">
            <v>Hrs</v>
          </cell>
          <cell r="J29">
            <v>778.78125</v>
          </cell>
          <cell r="K29">
            <v>769.5</v>
          </cell>
          <cell r="L29">
            <v>731.25</v>
          </cell>
          <cell r="M29">
            <v>741.04661250000004</v>
          </cell>
          <cell r="N29">
            <v>733.39346249999983</v>
          </cell>
          <cell r="O29">
            <v>821.40479999999991</v>
          </cell>
          <cell r="P29">
            <v>693.77458500000012</v>
          </cell>
          <cell r="Q29">
            <v>771.37073437499998</v>
          </cell>
          <cell r="R29">
            <v>726.94125000000008</v>
          </cell>
          <cell r="S29">
            <v>733.57972971679692</v>
          </cell>
          <cell r="T29">
            <v>321.67510635937498</v>
          </cell>
          <cell r="U29">
            <v>299.96858812499994</v>
          </cell>
          <cell r="V29">
            <v>338.76984375000001</v>
          </cell>
          <cell r="W29">
            <v>338.58</v>
          </cell>
          <cell r="X29">
            <v>321.75</v>
          </cell>
          <cell r="Y29">
            <v>333.47097562499999</v>
          </cell>
          <cell r="Z29">
            <v>330.02705812499994</v>
          </cell>
          <cell r="AA29">
            <v>369.63216</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row>
        <row r="30">
          <cell r="A30" t="str">
            <v>Stockpile Loaders</v>
          </cell>
          <cell r="F30" t="str">
            <v>Feed</v>
          </cell>
          <cell r="G30" t="str">
            <v>Hrs</v>
          </cell>
          <cell r="J30">
            <v>0</v>
          </cell>
          <cell r="K30">
            <v>0</v>
          </cell>
          <cell r="L30">
            <v>0</v>
          </cell>
          <cell r="M30">
            <v>0</v>
          </cell>
          <cell r="N30">
            <v>0</v>
          </cell>
          <cell r="O30">
            <v>0</v>
          </cell>
          <cell r="P30">
            <v>0</v>
          </cell>
          <cell r="Q30">
            <v>0</v>
          </cell>
          <cell r="R30">
            <v>0</v>
          </cell>
          <cell r="S30">
            <v>335.91529710937505</v>
          </cell>
          <cell r="T30">
            <v>335.23229475000005</v>
          </cell>
          <cell r="U30">
            <v>327.67652999999996</v>
          </cell>
          <cell r="V30">
            <v>353.04750000000001</v>
          </cell>
          <cell r="W30">
            <v>348.84</v>
          </cell>
          <cell r="X30">
            <v>331.5</v>
          </cell>
          <cell r="Y30">
            <v>335.94113100000004</v>
          </cell>
          <cell r="Z30">
            <v>332.47170299999993</v>
          </cell>
          <cell r="AA30">
            <v>372.37017600000001</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row>
        <row r="94">
          <cell r="A94" t="str">
            <v>Hydraulic Shovels RH200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row>
        <row r="95">
          <cell r="A95" t="str">
            <v>Hydraulic Shovels RH170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row>
        <row r="96">
          <cell r="A96" t="str">
            <v>Hydraulic Shovels RH120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row>
        <row r="97">
          <cell r="A97" t="str">
            <v>Hydraulic Shovels RH40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row>
        <row r="98">
          <cell r="A98" t="str">
            <v>Front End Loaders</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row>
        <row r="99">
          <cell r="A99" t="str">
            <v>CAT793</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row>
        <row r="100">
          <cell r="A100" t="str">
            <v>CAT789</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row>
        <row r="101">
          <cell r="A101" t="str">
            <v>CAT777</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row>
        <row r="102">
          <cell r="A102" t="str">
            <v>Production Drills</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row>
        <row r="103">
          <cell r="A103" t="str">
            <v>Coal Drills</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row>
        <row r="104">
          <cell r="A104" t="str">
            <v>Track Dozers D10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row>
        <row r="105">
          <cell r="A105" t="str">
            <v>Track Dozers D9</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row>
        <row r="106">
          <cell r="A106" t="str">
            <v>Track Dozers D7</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row>
        <row r="107">
          <cell r="A107" t="str">
            <v>Wheel Dozers 834</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row>
        <row r="108">
          <cell r="A108" t="str">
            <v>Graders</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row>
        <row r="109">
          <cell r="A109" t="str">
            <v>Water Trucks</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row>
        <row r="110">
          <cell r="A110" t="str">
            <v>Ancillary Excavator 330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row>
        <row r="111">
          <cell r="A111" t="str">
            <v>Crushers</v>
          </cell>
        </row>
        <row r="112">
          <cell r="A112" t="str">
            <v>Stockpile Loaders</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11">
          <cell r="P11" t="str">
            <v>5300  Materials and Supplies  DO NOT USE</v>
          </cell>
          <cell r="Q11" t="str">
            <v>MINING CODES</v>
          </cell>
          <cell r="S11" t="str">
            <v>5220  Utillities  DO NOT USE</v>
          </cell>
          <cell r="T11" t="str">
            <v>Process ProductionPrimary Cushing-22060100</v>
          </cell>
        </row>
        <row r="12">
          <cell r="P12" t="str">
            <v>1000  Production Statistics</v>
          </cell>
          <cell r="Q12" t="str">
            <v>Mine Drilling 22020010</v>
          </cell>
          <cell r="S12" t="str">
            <v xml:space="preserve">5221       Utilities - Electricity   </v>
          </cell>
          <cell r="T12" t="str">
            <v>Process ProductionConveying and feeding-22060110</v>
          </cell>
        </row>
        <row r="13">
          <cell r="P13" t="str">
            <v>1001      Waste Mined</v>
          </cell>
          <cell r="Q13" t="str">
            <v>Mine Blasting 22020020</v>
          </cell>
          <cell r="S13" t="str">
            <v xml:space="preserve">5222       Utilities - Natural Gas   </v>
          </cell>
          <cell r="T13" t="str">
            <v>Process ProductionGrinding-22060120</v>
          </cell>
        </row>
        <row r="14">
          <cell r="P14" t="str">
            <v>1002      Oxide Mined</v>
          </cell>
          <cell r="Q14" t="str">
            <v>Mine Loading 22020030</v>
          </cell>
          <cell r="S14" t="str">
            <v xml:space="preserve">5223       Utilities - Water   </v>
          </cell>
          <cell r="T14" t="str">
            <v>Process ProductionSAG Mill-22060121</v>
          </cell>
        </row>
        <row r="15">
          <cell r="P15" t="str">
            <v>1003      VC Sulphide Mined</v>
          </cell>
          <cell r="Q15" t="str">
            <v>Mine CAT 375 22020031</v>
          </cell>
          <cell r="S15" t="str">
            <v xml:space="preserve">5224       Utilities - Sewer   </v>
          </cell>
          <cell r="T15" t="str">
            <v>Process ProductionBall Mill 1-22060122</v>
          </cell>
        </row>
        <row r="16">
          <cell r="P16" t="str">
            <v>1004      IN Sulphide Mined</v>
          </cell>
          <cell r="Q16" t="str">
            <v>Mine CAT 994 22020032</v>
          </cell>
          <cell r="S16" t="str">
            <v xml:space="preserve">5225       Utilities - Compressed Air   </v>
          </cell>
          <cell r="T16" t="str">
            <v>Process ProductionBall Mill 2-22060123</v>
          </cell>
        </row>
        <row r="17">
          <cell r="P17" t="str">
            <v>1005      Oxide Ag HG</v>
          </cell>
          <cell r="Q17" t="str">
            <v>Mine Hydraulic Shovels 22020033</v>
          </cell>
          <cell r="S17" t="str">
            <v>5300  Materials and Supplies  DO NOT USE</v>
          </cell>
          <cell r="T17" t="str">
            <v>Process ProductionPebble Crusher-22060124</v>
          </cell>
        </row>
        <row r="18">
          <cell r="P18" t="str">
            <v>1006      VCS AG Head Grade</v>
          </cell>
          <cell r="Q18" t="str">
            <v>Mine Hauling 22020040</v>
          </cell>
          <cell r="S18" t="str">
            <v xml:space="preserve">5302       Supplies - Operating   </v>
          </cell>
          <cell r="T18" t="str">
            <v>Process ProductionLead Flotation Circuit-22060130</v>
          </cell>
        </row>
        <row r="19">
          <cell r="P19" t="str">
            <v>1007      INS AG Head Grade</v>
          </cell>
          <cell r="Q19" t="str">
            <v>Mine CAT 785 22020041</v>
          </cell>
          <cell r="S19" t="str">
            <v xml:space="preserve">5303       Supplies - Field   </v>
          </cell>
          <cell r="T19" t="str">
            <v>Process ProductionLead Regrind-22060131</v>
          </cell>
        </row>
        <row r="20">
          <cell r="P20" t="str">
            <v>1008      Oxide Pg HG</v>
          </cell>
          <cell r="Q20" t="str">
            <v>Mine CAT 789 22020042</v>
          </cell>
          <cell r="S20" t="str">
            <v xml:space="preserve">5304       Supplies - Office   </v>
          </cell>
          <cell r="T20" t="str">
            <v>Process ProductionZinc Flotation Circuit-22060140</v>
          </cell>
        </row>
        <row r="21">
          <cell r="P21" t="str">
            <v>1009       VCS Pb HG</v>
          </cell>
          <cell r="Q21" t="str">
            <v>Mine Rehandle 22020049</v>
          </cell>
          <cell r="S21" t="str">
            <v xml:space="preserve">5305       Small Equipment and Tools   </v>
          </cell>
          <cell r="T21" t="str">
            <v>Process ProductionZinc Regrind-22060141</v>
          </cell>
        </row>
        <row r="22">
          <cell r="P22" t="str">
            <v>1010       INS Pb HG</v>
          </cell>
          <cell r="Q22" t="str">
            <v>Mine Dozing 22020050</v>
          </cell>
          <cell r="S22" t="str">
            <v>5321       Grinding Balls  DO NOT USE</v>
          </cell>
          <cell r="T22" t="str">
            <v>Process ProductionConcentrate Dewatering-22060150</v>
          </cell>
        </row>
        <row r="23">
          <cell r="P23" t="str">
            <v>1011       Oxide Zn HG</v>
          </cell>
          <cell r="Q23" t="str">
            <v>Mine Road Maintenance 22020060</v>
          </cell>
          <cell r="S23" t="str">
            <v xml:space="preserve">5321010       Grinding Balls -125mm  </v>
          </cell>
          <cell r="T23" t="str">
            <v>Process ProductionThickening-22060151</v>
          </cell>
        </row>
        <row r="24">
          <cell r="P24" t="str">
            <v>1012       VCS Zn HG</v>
          </cell>
          <cell r="Q24" t="str">
            <v>Mine Dewatering 22020070</v>
          </cell>
          <cell r="S24" t="str">
            <v xml:space="preserve">5321020       Grinding Balls - 50mm  </v>
          </cell>
          <cell r="T24" t="str">
            <v>Process ProductionFiltering-22060152</v>
          </cell>
        </row>
        <row r="25">
          <cell r="P25" t="str">
            <v>1013       INS Zn HG</v>
          </cell>
          <cell r="Q25" t="str">
            <v>Mine Suport (Lighting Plants, RTD) 22020080</v>
          </cell>
          <cell r="S25" t="str">
            <v xml:space="preserve">5321030       Grinding Balls - 25mm  </v>
          </cell>
          <cell r="T25" t="str">
            <v>Process ProductionThickener/Tailings-22060160</v>
          </cell>
        </row>
        <row r="26">
          <cell r="P26" t="str">
            <v>1014      Mill Feed VCS</v>
          </cell>
          <cell r="Q26" t="str">
            <v>Mine Planning 22020510</v>
          </cell>
          <cell r="S26" t="str">
            <v xml:space="preserve">5330       Liners &amp; Bolts   </v>
          </cell>
          <cell r="T26" t="str">
            <v>Process ProductionConcentrate Loadout-22060170</v>
          </cell>
        </row>
        <row r="27">
          <cell r="P27" t="str">
            <v>1015      Mill Feed INS</v>
          </cell>
          <cell r="Q27" t="str">
            <v>Mine Survey 22020520</v>
          </cell>
          <cell r="S27" t="str">
            <v xml:space="preserve">5331       Tires   </v>
          </cell>
          <cell r="T27" t="str">
            <v>Process ProductionWater systems-22060180</v>
          </cell>
        </row>
        <row r="28">
          <cell r="P28" t="str">
            <v>1016      Mill Feed Ag HG</v>
          </cell>
          <cell r="Q28" t="str">
            <v>Mine Geology 22020530</v>
          </cell>
          <cell r="S28" t="str">
            <v xml:space="preserve">5340       Filter Cloth   </v>
          </cell>
          <cell r="T28" t="str">
            <v>Process ProductionUtilities-22060190</v>
          </cell>
        </row>
        <row r="29">
          <cell r="P29" t="str">
            <v>1017      Mill Feed Pb Head Grade</v>
          </cell>
          <cell r="Q29" t="str">
            <v>Exploration Services 22020540</v>
          </cell>
          <cell r="S29" t="str">
            <v>5350  Components &amp; Parts  DO NOT USE</v>
          </cell>
          <cell r="T29" t="str">
            <v>Process ProductionLaboratory Services-22060200</v>
          </cell>
        </row>
        <row r="30">
          <cell r="P30" t="str">
            <v>1018      Mill feed Zn HG</v>
          </cell>
          <cell r="Q30" t="str">
            <v>Mine G &amp; A 22020930</v>
          </cell>
          <cell r="S30" t="str">
            <v xml:space="preserve">5351       Mechanical   </v>
          </cell>
          <cell r="T30" t="str">
            <v>Process ProductionMetallurgical Laboratory-22060210</v>
          </cell>
        </row>
        <row r="31">
          <cell r="P31" t="str">
            <v>1019      Mill Recov Ag</v>
          </cell>
          <cell r="Q31" t="str">
            <v>MINE MAINTENANCE CODES</v>
          </cell>
          <cell r="S31" t="str">
            <v xml:space="preserve">5352       Electrical/Instrumentation   </v>
          </cell>
          <cell r="T31" t="str">
            <v>Process ProductionAdminsitration-22060930</v>
          </cell>
        </row>
        <row r="32">
          <cell r="P32" t="str">
            <v>1020      Mill Recov Pb</v>
          </cell>
          <cell r="Q32" t="str">
            <v>MMaint- Drilling 22021010</v>
          </cell>
          <cell r="S32" t="str">
            <v xml:space="preserve">5353       Ground Engaging Tools   </v>
          </cell>
          <cell r="T32" t="str">
            <v>Process MaintenancePrimary Cushing-22061100</v>
          </cell>
        </row>
        <row r="33">
          <cell r="P33" t="str">
            <v>1021      Mill Recov Zn</v>
          </cell>
          <cell r="Q33" t="str">
            <v>MMaint- Blasting 22021020</v>
          </cell>
          <cell r="S33" t="str">
            <v xml:space="preserve">5354       Piping / Plumbing   </v>
          </cell>
          <cell r="T33" t="str">
            <v>Process MaintenanceConveying and feeding-22061110</v>
          </cell>
        </row>
        <row r="34">
          <cell r="P34" t="str">
            <v>1022      Vol Pb Conc</v>
          </cell>
          <cell r="Q34" t="str">
            <v>MMaint- Loading 22021030</v>
          </cell>
          <cell r="S34" t="str">
            <v xml:space="preserve">5355       Buildings   </v>
          </cell>
          <cell r="T34" t="str">
            <v>Process MaintenanceGrinding-22061120</v>
          </cell>
        </row>
        <row r="35">
          <cell r="P35" t="str">
            <v>1023      Vol Zn Con</v>
          </cell>
          <cell r="Q35" t="str">
            <v>MMaint- CAT 375 22021031</v>
          </cell>
          <cell r="S35" t="str">
            <v xml:space="preserve">5356       Undercarriage   </v>
          </cell>
          <cell r="T35" t="str">
            <v>Process MaintenanceSAG Mill-22061121</v>
          </cell>
        </row>
        <row r="36">
          <cell r="P36" t="str">
            <v>1024      Ag in Pb con</v>
          </cell>
          <cell r="Q36" t="str">
            <v>MMaint- CAT 994 22021032</v>
          </cell>
          <cell r="S36" t="str">
            <v xml:space="preserve">5360       Rubber Wear Parts   </v>
          </cell>
          <cell r="T36" t="str">
            <v>Process MaintenanceBall Mill 1-22061122</v>
          </cell>
        </row>
        <row r="37">
          <cell r="P37" t="str">
            <v>1025      Ag in Zn con</v>
          </cell>
          <cell r="Q37" t="str">
            <v>MMaint- Hydraulic Shovels 22021033</v>
          </cell>
          <cell r="S37" t="str">
            <v xml:space="preserve">5365       Steel Sections   </v>
          </cell>
          <cell r="T37" t="str">
            <v>Process MaintenanceBall Mill 2-22061123</v>
          </cell>
        </row>
        <row r="38">
          <cell r="P38" t="str">
            <v>1026      Gross Silver Prod</v>
          </cell>
          <cell r="Q38" t="str">
            <v>MMaint- Hauling 22021040</v>
          </cell>
          <cell r="S38" t="str">
            <v>5370  Fuel Oil and Grease  DO NOT USE</v>
          </cell>
          <cell r="T38" t="str">
            <v>Process MaintenancePebble Crusher-22061124</v>
          </cell>
        </row>
        <row r="39">
          <cell r="P39" t="str">
            <v>1027      Gross Pb Prod</v>
          </cell>
          <cell r="Q39" t="str">
            <v>MMaint- CAT 785 22021041</v>
          </cell>
          <cell r="S39" t="str">
            <v xml:space="preserve">5371       Diesel   </v>
          </cell>
          <cell r="T39" t="str">
            <v>Process MaintenanceLead Flotation Circuit-22061130</v>
          </cell>
        </row>
        <row r="40">
          <cell r="P40" t="str">
            <v>1028      Gross Zn Prod</v>
          </cell>
          <cell r="Q40" t="str">
            <v>MMaint- CAT 789 22021042</v>
          </cell>
          <cell r="S40" t="str">
            <v xml:space="preserve">5372       Gasoline   </v>
          </cell>
          <cell r="T40" t="str">
            <v>Process MaintenanceLead Regrind-22061131</v>
          </cell>
        </row>
        <row r="41">
          <cell r="P41" t="str">
            <v>1029      Net Payable Ag</v>
          </cell>
          <cell r="Q41" t="str">
            <v>MMaint- Rehandle 22021049</v>
          </cell>
          <cell r="S41" t="str">
            <v xml:space="preserve">5373       Oil and Grease   </v>
          </cell>
          <cell r="T41" t="str">
            <v>Process MaintenanceZinc Flotation Circuit-22061140</v>
          </cell>
        </row>
        <row r="42">
          <cell r="P42" t="str">
            <v>1030      Net Payable Pb</v>
          </cell>
          <cell r="Q42" t="str">
            <v>MMaint- Dozing 22021050</v>
          </cell>
          <cell r="S42" t="str">
            <v xml:space="preserve">5375       General Consumables   </v>
          </cell>
          <cell r="T42" t="str">
            <v>Process MaintenanceZinc Regrind-22061141</v>
          </cell>
        </row>
        <row r="43">
          <cell r="P43" t="str">
            <v>1031      Net Payable Zn</v>
          </cell>
          <cell r="Q43" t="str">
            <v>MMaint- Road Maintenance 22021060</v>
          </cell>
          <cell r="S43" t="str">
            <v>5400  Reagents  DO NOT USE</v>
          </cell>
          <cell r="T43" t="str">
            <v>Process MaintenanceConcentrate Dewatering-22061150</v>
          </cell>
        </row>
        <row r="44">
          <cell r="P44" t="str">
            <v>1032      Gross Revenue</v>
          </cell>
          <cell r="Q44" t="str">
            <v>MMaint- Dewatering 22021070</v>
          </cell>
          <cell r="S44" t="str">
            <v>5401       Collector - Primary  DO NOT USE</v>
          </cell>
          <cell r="T44" t="str">
            <v>Process MaintenanceThickening-22061151</v>
          </cell>
        </row>
        <row r="45">
          <cell r="P45" t="str">
            <v>1033      Net Revenue</v>
          </cell>
          <cell r="Q45" t="str">
            <v>MMaint- Suport 22021080</v>
          </cell>
          <cell r="S45" t="str">
            <v xml:space="preserve">5401010           Aero 65  </v>
          </cell>
          <cell r="T45" t="str">
            <v>Process MaintenanceFiltering-22061152</v>
          </cell>
        </row>
        <row r="46">
          <cell r="P46" t="str">
            <v>5301  DO NOT USE  DO NOT USE</v>
          </cell>
          <cell r="Q46" t="str">
            <v>MMaint- G &amp; A 22021930</v>
          </cell>
          <cell r="S46" t="str">
            <v xml:space="preserve">5401020           Aero 238  </v>
          </cell>
          <cell r="T46" t="str">
            <v>Process MaintenanceThickener/Tailings-22061160</v>
          </cell>
        </row>
        <row r="47">
          <cell r="P47" t="str">
            <v>6301       Depreciation</v>
          </cell>
          <cell r="S47" t="str">
            <v xml:space="preserve">5401030           SIPX  </v>
          </cell>
          <cell r="T47" t="str">
            <v>Process MaintenanceConcentrate Loadout-22061170</v>
          </cell>
        </row>
        <row r="48">
          <cell r="P48" t="str">
            <v>5842       Leasing costs</v>
          </cell>
          <cell r="S48" t="str">
            <v xml:space="preserve">5401040           PAX  </v>
          </cell>
          <cell r="T48" t="str">
            <v>Process MaintenanceWater systems-22061180</v>
          </cell>
        </row>
        <row r="49">
          <cell r="P49" t="str">
            <v xml:space="preserve">5302       Supplies - Operating   </v>
          </cell>
          <cell r="S49" t="str">
            <v xml:space="preserve">5405       Flocculants   </v>
          </cell>
          <cell r="T49" t="str">
            <v>Process MaintenanceUtilities-22061190</v>
          </cell>
        </row>
        <row r="50">
          <cell r="P50" t="str">
            <v xml:space="preserve">5303       Supplies - Field   </v>
          </cell>
          <cell r="S50" t="str">
            <v xml:space="preserve">5410       Chemicals - Other   </v>
          </cell>
          <cell r="T50" t="str">
            <v>Process MaintenanceBuilding Maintenance-22061470</v>
          </cell>
        </row>
        <row r="51">
          <cell r="P51" t="str">
            <v xml:space="preserve">5304       Supplies - Office   </v>
          </cell>
          <cell r="S51" t="str">
            <v xml:space="preserve">5415       Frother   </v>
          </cell>
          <cell r="T51" t="str">
            <v>Process MaintenanceCraneage and Rigging Services-22061480</v>
          </cell>
        </row>
        <row r="52">
          <cell r="P52" t="str">
            <v xml:space="preserve">5305       Small Equipment and Tools   </v>
          </cell>
          <cell r="S52" t="str">
            <v xml:space="preserve">5420       Lime   </v>
          </cell>
          <cell r="T52" t="str">
            <v>Process MaintenanceAdminsitration-22061930</v>
          </cell>
        </row>
        <row r="53">
          <cell r="P53" t="str">
            <v xml:space="preserve">5306       Office Equipment   </v>
          </cell>
          <cell r="S53" t="str">
            <v>5425       Depressants  DO NOT USE</v>
          </cell>
        </row>
        <row r="54">
          <cell r="P54" t="str">
            <v xml:space="preserve">5307       Computer Equipment   </v>
          </cell>
          <cell r="S54" t="str">
            <v xml:space="preserve">5425010           Zn Oxide  </v>
          </cell>
        </row>
        <row r="55">
          <cell r="P55" t="str">
            <v xml:space="preserve">5310       Software   </v>
          </cell>
          <cell r="S55" t="str">
            <v xml:space="preserve">5425020           Na Cyanide  </v>
          </cell>
        </row>
        <row r="56">
          <cell r="P56" t="str">
            <v>5315  Explosives &amp; Accessories  DO NOT USE</v>
          </cell>
          <cell r="S56" t="str">
            <v xml:space="preserve">5430       Activator   </v>
          </cell>
        </row>
        <row r="57">
          <cell r="P57" t="str">
            <v xml:space="preserve">5316       Bulk   </v>
          </cell>
        </row>
        <row r="58">
          <cell r="P58" t="str">
            <v xml:space="preserve">5317       Accessories   </v>
          </cell>
        </row>
        <row r="59">
          <cell r="P59" t="str">
            <v xml:space="preserve">5318       Explosives   </v>
          </cell>
        </row>
        <row r="60">
          <cell r="P60" t="str">
            <v xml:space="preserve">5331  Tires   </v>
          </cell>
        </row>
        <row r="61">
          <cell r="P61" t="str">
            <v>5350  Components &amp; Parts  DO NOT USE</v>
          </cell>
        </row>
        <row r="62">
          <cell r="P62" t="str">
            <v xml:space="preserve">5351       Mechanical   </v>
          </cell>
        </row>
        <row r="63">
          <cell r="P63" t="str">
            <v xml:space="preserve">5352       Electrical/Instrumentation   </v>
          </cell>
        </row>
        <row r="64">
          <cell r="P64" t="str">
            <v xml:space="preserve">5353       Ground Engaging Tools   </v>
          </cell>
        </row>
        <row r="65">
          <cell r="P65" t="str">
            <v xml:space="preserve">5354       Piping / Plumbing   </v>
          </cell>
        </row>
        <row r="66">
          <cell r="P66" t="str">
            <v xml:space="preserve">5355       Buildings   </v>
          </cell>
        </row>
        <row r="67">
          <cell r="P67" t="str">
            <v xml:space="preserve">5356       Undercarriage   </v>
          </cell>
        </row>
        <row r="68">
          <cell r="P68" t="str">
            <v xml:space="preserve">5360       Rubber Wear Parts   </v>
          </cell>
        </row>
        <row r="69">
          <cell r="P69" t="str">
            <v xml:space="preserve">5365       Steel Sections   </v>
          </cell>
        </row>
        <row r="70">
          <cell r="P70" t="str">
            <v>5370  Fuel Oil and Grease  DO NOT USE</v>
          </cell>
        </row>
        <row r="71">
          <cell r="P71" t="str">
            <v xml:space="preserve">5371       Diesel   </v>
          </cell>
        </row>
        <row r="72">
          <cell r="P72" t="str">
            <v xml:space="preserve">5372       Gasoline   </v>
          </cell>
        </row>
        <row r="73">
          <cell r="P73" t="str">
            <v xml:space="preserve">5373       Oil and Grease   </v>
          </cell>
        </row>
        <row r="74">
          <cell r="P74" t="str">
            <v xml:space="preserve">5375       General Consumables   </v>
          </cell>
        </row>
        <row r="75">
          <cell r="P75" t="str">
            <v>5500  Contractors  DO NOT USE</v>
          </cell>
        </row>
        <row r="76">
          <cell r="P76" t="str">
            <v xml:space="preserve">5501       Contract - ECPM   </v>
          </cell>
        </row>
        <row r="77">
          <cell r="P77" t="str">
            <v xml:space="preserve">5502       Contract - Drilling Services   </v>
          </cell>
        </row>
        <row r="78">
          <cell r="P78" t="str">
            <v xml:space="preserve">5503       Contract - Maintenance and Rep   </v>
          </cell>
        </row>
        <row r="79">
          <cell r="P79" t="str">
            <v xml:space="preserve">5504       Contract - Mining   </v>
          </cell>
        </row>
        <row r="80">
          <cell r="P80" t="str">
            <v xml:space="preserve">5510       Contract - Construction   </v>
          </cell>
        </row>
        <row r="81">
          <cell r="P81" t="str">
            <v xml:space="preserve">5529       Contract - Other   </v>
          </cell>
        </row>
        <row r="82">
          <cell r="P82" t="str">
            <v>5530  Professional Fees  DO NOT USE</v>
          </cell>
        </row>
        <row r="83">
          <cell r="P83" t="str">
            <v xml:space="preserve">5534       Professional Fees: Legal Fees   </v>
          </cell>
        </row>
        <row r="84">
          <cell r="P84" t="str">
            <v xml:space="preserve">5535       IT Consulting   </v>
          </cell>
        </row>
        <row r="85">
          <cell r="P85" t="str">
            <v xml:space="preserve">5536       Other Professional Services   </v>
          </cell>
        </row>
        <row r="86">
          <cell r="P86" t="str">
            <v xml:space="preserve">5623       Permit Costs   </v>
          </cell>
        </row>
        <row r="87">
          <cell r="P87" t="str">
            <v xml:space="preserve">5624       Licenses Costs   </v>
          </cell>
        </row>
        <row r="88">
          <cell r="P88" t="str">
            <v xml:space="preserve">5625       Fines   </v>
          </cell>
        </row>
        <row r="89">
          <cell r="P89" t="str">
            <v>5640  Freight, Shipping &amp; Postage  DO NOT USE</v>
          </cell>
        </row>
        <row r="90">
          <cell r="P90" t="str">
            <v xml:space="preserve">5641       Postage   </v>
          </cell>
        </row>
        <row r="91">
          <cell r="P91" t="str">
            <v xml:space="preserve">5642       Shipping Service   </v>
          </cell>
        </row>
        <row r="92">
          <cell r="P92" t="str">
            <v xml:space="preserve">5643       Freight &amp; Delivery   </v>
          </cell>
        </row>
        <row r="93">
          <cell r="P93" t="str">
            <v xml:space="preserve">5644       Customs And Duties   </v>
          </cell>
        </row>
        <row r="94">
          <cell r="P94" t="str">
            <v>5700  Travel &amp; Entertainment  DO NOT USE</v>
          </cell>
        </row>
        <row r="95">
          <cell r="P95" t="str">
            <v xml:space="preserve">5701       Travel: Transportation   </v>
          </cell>
        </row>
        <row r="96">
          <cell r="P96" t="str">
            <v xml:space="preserve">5702       Travel: Fares   </v>
          </cell>
        </row>
        <row r="97">
          <cell r="P97" t="str">
            <v xml:space="preserve">5703       Travel: Lodging   </v>
          </cell>
        </row>
        <row r="98">
          <cell r="P98" t="str">
            <v xml:space="preserve">5704       Travel: Meals   </v>
          </cell>
        </row>
        <row r="99">
          <cell r="P99" t="str">
            <v xml:space="preserve">5705       External Visitors   </v>
          </cell>
        </row>
        <row r="100">
          <cell r="P100" t="str">
            <v xml:space="preserve">5706       Entertainment   </v>
          </cell>
        </row>
        <row r="101">
          <cell r="P101" t="str">
            <v xml:space="preserve">5710       Travel: Other   </v>
          </cell>
        </row>
        <row r="102">
          <cell r="P102" t="str">
            <v xml:space="preserve">5711       Travel: Vehicles and Other   </v>
          </cell>
        </row>
        <row r="103">
          <cell r="P103" t="str">
            <v xml:space="preserve">5712       Gasoline &amp; Minor Maint.   </v>
          </cell>
        </row>
        <row r="104">
          <cell r="P104" t="str">
            <v>5800  Other Costs  DO NOT USE</v>
          </cell>
        </row>
        <row r="105">
          <cell r="P105" t="str">
            <v xml:space="preserve">5801       Copying &amp; Reproduction   </v>
          </cell>
        </row>
        <row r="106">
          <cell r="P106" t="str">
            <v xml:space="preserve">5802       Photos and maps   </v>
          </cell>
        </row>
        <row r="107">
          <cell r="P107" t="str">
            <v xml:space="preserve">5803       Subscriptions &amp; Publications   </v>
          </cell>
        </row>
        <row r="108">
          <cell r="P108" t="str">
            <v xml:space="preserve">5804       Education, Seminars, Conferences   </v>
          </cell>
        </row>
        <row r="109">
          <cell r="P109" t="str">
            <v xml:space="preserve">5805       Membership Dues   </v>
          </cell>
        </row>
        <row r="110">
          <cell r="P110" t="str">
            <v xml:space="preserve">5808       Other General Costs   </v>
          </cell>
        </row>
        <row r="111">
          <cell r="P111" t="str">
            <v xml:space="preserve">5809       Medical Expenses   </v>
          </cell>
        </row>
      </sheetData>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 val="PRESUP"/>
      <sheetName val="Informe"/>
      <sheetName val="Cantidades"/>
    </sheetNames>
    <sheetDataSet>
      <sheetData sheetId="0"/>
      <sheetData sheetId="1">
        <row r="1">
          <cell r="A1" t="str">
            <v>DISELECSA LTDA</v>
          </cell>
          <cell r="E1" t="str">
            <v>Pagina:</v>
          </cell>
          <cell r="F1">
            <v>1</v>
          </cell>
        </row>
        <row r="2">
          <cell r="A2" t="str">
            <v xml:space="preserve">PROYECTO : CONSTRUCCION REDES EN MEDIA Y BAJA TENSION - </v>
          </cell>
          <cell r="E2" t="str">
            <v>Fecha :</v>
          </cell>
          <cell r="F2" t="str">
            <v>JUL 27/05</v>
          </cell>
        </row>
        <row r="3">
          <cell r="B3" t="str">
            <v>ETAPA 8 SECCION B - MANZ 120 y 147</v>
          </cell>
          <cell r="E3" t="str">
            <v>Informe:</v>
          </cell>
          <cell r="F3" t="str">
            <v>F. PRECIOS</v>
          </cell>
        </row>
        <row r="4">
          <cell r="A4" t="str">
            <v xml:space="preserve">URBANIZACION LOS ROBLES                       </v>
          </cell>
          <cell r="E4" t="str">
            <v xml:space="preserve"> </v>
          </cell>
        </row>
        <row r="5">
          <cell r="A5" t="str">
            <v>CASTRO TCHERASSI S.A.</v>
          </cell>
          <cell r="E5" t="str">
            <v>VERSION 01</v>
          </cell>
        </row>
        <row r="6">
          <cell r="E6" t="str">
            <v xml:space="preserve"> </v>
          </cell>
        </row>
        <row r="7">
          <cell r="A7" t="str">
            <v>ITEM</v>
          </cell>
          <cell r="B7" t="str">
            <v>DESCRIPCION</v>
          </cell>
          <cell r="C7" t="str">
            <v>UNIDAD</v>
          </cell>
          <cell r="D7" t="str">
            <v>CANT</v>
          </cell>
          <cell r="E7" t="str">
            <v>V/UNIT</v>
          </cell>
          <cell r="F7" t="str">
            <v>V/TOTAL</v>
          </cell>
        </row>
        <row r="9">
          <cell r="A9">
            <v>1</v>
          </cell>
          <cell r="B9" t="str">
            <v>REDES MEDIA Y BAJA TENSION AEREAS</v>
          </cell>
          <cell r="F9">
            <v>0</v>
          </cell>
        </row>
        <row r="10">
          <cell r="A10">
            <v>1.01</v>
          </cell>
          <cell r="B10" t="str">
            <v>Sum e Inst de Poste de Concreto de 12 x 750 Kgs ( Excv, Hincada y aplomada, Tpte)</v>
          </cell>
          <cell r="C10" t="str">
            <v>UN</v>
          </cell>
          <cell r="D10">
            <v>1</v>
          </cell>
          <cell r="E10">
            <v>699535</v>
          </cell>
          <cell r="F10">
            <v>699535</v>
          </cell>
        </row>
        <row r="11">
          <cell r="A11">
            <v>1.02</v>
          </cell>
          <cell r="B11" t="str">
            <v>Sum e Inst de Poste Autosoportado de Concreto de 12 x 1750 Kgs (Hincada y aplomada, Tpte)</v>
          </cell>
          <cell r="C11" t="str">
            <v>UN</v>
          </cell>
          <cell r="D11">
            <v>2</v>
          </cell>
          <cell r="E11">
            <v>1730445</v>
          </cell>
          <cell r="F11">
            <v>3460890</v>
          </cell>
        </row>
        <row r="12">
          <cell r="A12">
            <v>1.03</v>
          </cell>
          <cell r="B12" t="str">
            <v xml:space="preserve">Construccion de Base Autosoportada </v>
          </cell>
          <cell r="C12" t="str">
            <v>UN</v>
          </cell>
          <cell r="D12">
            <v>2</v>
          </cell>
          <cell r="E12">
            <v>686236</v>
          </cell>
          <cell r="F12">
            <v>1372472</v>
          </cell>
        </row>
        <row r="13">
          <cell r="A13">
            <v>1.04</v>
          </cell>
          <cell r="B13" t="str">
            <v>Sum e Inst de Estruc Paso tipo Senc  3 FASES (LINE POST)</v>
          </cell>
          <cell r="C13" t="str">
            <v>UN</v>
          </cell>
          <cell r="D13">
            <v>0</v>
          </cell>
          <cell r="E13">
            <v>509799</v>
          </cell>
          <cell r="F13">
            <v>0</v>
          </cell>
        </row>
        <row r="14">
          <cell r="A14">
            <v>1.05</v>
          </cell>
          <cell r="B14" t="str">
            <v>Sum e Inst de Estruc Term Corrida      3 FASES (LINE POST)</v>
          </cell>
          <cell r="C14" t="str">
            <v>UN</v>
          </cell>
          <cell r="D14">
            <v>0</v>
          </cell>
          <cell r="E14">
            <v>1410677</v>
          </cell>
          <cell r="F14">
            <v>0</v>
          </cell>
        </row>
        <row r="15">
          <cell r="A15">
            <v>1.06</v>
          </cell>
          <cell r="B15" t="str">
            <v xml:space="preserve">Sum e Inst de Estructura Terminal       3 FASES </v>
          </cell>
          <cell r="C15" t="str">
            <v>UN</v>
          </cell>
          <cell r="D15">
            <v>1</v>
          </cell>
          <cell r="E15">
            <v>719772</v>
          </cell>
          <cell r="F15">
            <v>719772</v>
          </cell>
        </row>
        <row r="16">
          <cell r="A16">
            <v>1.07</v>
          </cell>
          <cell r="B16" t="str">
            <v>Sum e Inst de Estruc Paso tipo Senc   2 FASES (LINE POST)</v>
          </cell>
          <cell r="C16" t="str">
            <v>UN</v>
          </cell>
          <cell r="D16">
            <v>0</v>
          </cell>
          <cell r="E16">
            <v>399350</v>
          </cell>
          <cell r="F16">
            <v>0</v>
          </cell>
        </row>
        <row r="17">
          <cell r="A17">
            <v>1.08</v>
          </cell>
          <cell r="B17" t="str">
            <v>Sum e Inst de Estructura de Terminal Corrida      2 FASES</v>
          </cell>
          <cell r="C17" t="str">
            <v>UN</v>
          </cell>
          <cell r="E17">
            <v>1057487</v>
          </cell>
          <cell r="F17">
            <v>0</v>
          </cell>
        </row>
        <row r="18">
          <cell r="A18">
            <v>1.0900000000000001</v>
          </cell>
          <cell r="B18" t="str">
            <v>Sum e Inst de Estructura Terminal       2 FASES</v>
          </cell>
          <cell r="C18" t="str">
            <v>UN</v>
          </cell>
          <cell r="D18">
            <v>2</v>
          </cell>
          <cell r="E18">
            <v>602437</v>
          </cell>
          <cell r="F18">
            <v>1204874</v>
          </cell>
        </row>
        <row r="19">
          <cell r="A19">
            <v>1.1000000000000001</v>
          </cell>
          <cell r="B19" t="str">
            <v>Sum e Inst de Retenida Directa a tierra</v>
          </cell>
          <cell r="C19" t="str">
            <v>UN</v>
          </cell>
          <cell r="D19">
            <v>0</v>
          </cell>
          <cell r="E19">
            <v>147313</v>
          </cell>
          <cell r="F19">
            <v>0</v>
          </cell>
        </row>
        <row r="20">
          <cell r="A20">
            <v>1.1100000000000001</v>
          </cell>
          <cell r="B20" t="str">
            <v>Sum e Inst de Retenida Doble a tierra</v>
          </cell>
          <cell r="C20" t="str">
            <v>UN</v>
          </cell>
          <cell r="D20">
            <v>0</v>
          </cell>
          <cell r="E20">
            <v>250116</v>
          </cell>
          <cell r="F20">
            <v>0</v>
          </cell>
        </row>
        <row r="21">
          <cell r="A21">
            <v>1.1200000000000001</v>
          </cell>
          <cell r="B21" t="str">
            <v>Sum e Inst de Cruceta auxiliar para protecciones de transformador</v>
          </cell>
          <cell r="C21" t="str">
            <v>UN</v>
          </cell>
          <cell r="D21">
            <v>3</v>
          </cell>
          <cell r="E21">
            <v>167486</v>
          </cell>
          <cell r="F21">
            <v>502458</v>
          </cell>
        </row>
        <row r="22">
          <cell r="A22">
            <v>1.1299999999999999</v>
          </cell>
          <cell r="B22" t="str">
            <v>Sum e Inst de Transformador de  25 kva 13.200 v (Incluye Protecciones , y herrajes y bajante a tierra)</v>
          </cell>
          <cell r="C22" t="str">
            <v>UN</v>
          </cell>
          <cell r="D22">
            <v>1</v>
          </cell>
          <cell r="E22">
            <v>3793609</v>
          </cell>
          <cell r="F22">
            <v>3793609</v>
          </cell>
        </row>
        <row r="23">
          <cell r="A23">
            <v>1.1399999999999999</v>
          </cell>
          <cell r="B23" t="str">
            <v>Sum e Inst de Transformador de 37,5 kva 13.200 v , conexión en caliente (Incluye Protecciones , y herrajes y bajante a tierra)</v>
          </cell>
          <cell r="C23" t="str">
            <v>UN</v>
          </cell>
          <cell r="D23">
            <v>1</v>
          </cell>
          <cell r="E23">
            <v>4200432</v>
          </cell>
          <cell r="F23">
            <v>4200432</v>
          </cell>
        </row>
        <row r="24">
          <cell r="A24">
            <v>1.1499999999999999</v>
          </cell>
          <cell r="B24" t="str">
            <v>Sum e Inst de Transformador de  50 kva 13.200 v , conexión en caliente (Incluye Protecciones , y herrajes y bajante a tierra)</v>
          </cell>
          <cell r="C24" t="str">
            <v>UN</v>
          </cell>
          <cell r="D24">
            <v>1</v>
          </cell>
          <cell r="E24">
            <v>4944520</v>
          </cell>
          <cell r="F24">
            <v>4944520</v>
          </cell>
        </row>
        <row r="25">
          <cell r="A25">
            <v>1.1599999999999999</v>
          </cell>
          <cell r="B25" t="str">
            <v xml:space="preserve">Instalación de bajante y conexión de Transformador red sec. Trenzada </v>
          </cell>
          <cell r="C25" t="str">
            <v>UN</v>
          </cell>
          <cell r="D25">
            <v>3</v>
          </cell>
          <cell r="E25">
            <v>245429</v>
          </cell>
          <cell r="F25">
            <v>736287</v>
          </cell>
        </row>
        <row r="26">
          <cell r="A26">
            <v>1.17</v>
          </cell>
          <cell r="B26" t="str">
            <v>Sum e Inst de Seccionamiento de línea 3F - 100 Amp  (Incluye Protecciones  y herrajes . Montaje en caliente)</v>
          </cell>
          <cell r="C26" t="str">
            <v>UN</v>
          </cell>
          <cell r="E26">
            <v>882804</v>
          </cell>
          <cell r="F26">
            <v>0</v>
          </cell>
        </row>
        <row r="27">
          <cell r="A27">
            <v>1.18</v>
          </cell>
          <cell r="B27" t="str">
            <v xml:space="preserve">Sum e Inst de Seccionamiento de línea 3F - 100 Amp en caliente (Incluye Protecciones, Aisladores  y herrajes) . </v>
          </cell>
          <cell r="C27" t="str">
            <v>UN</v>
          </cell>
          <cell r="E27">
            <v>879375</v>
          </cell>
          <cell r="F27">
            <v>0</v>
          </cell>
        </row>
        <row r="28">
          <cell r="A28">
            <v>1.19</v>
          </cell>
          <cell r="B28" t="str">
            <v xml:space="preserve">Sum e Inst de Seccionamiento de línea 2F - 100 Amp  en caliente (Incluye Protecciones, Aisladores  y herrajes) . </v>
          </cell>
          <cell r="C28" t="str">
            <v>UN</v>
          </cell>
          <cell r="D28">
            <v>0</v>
          </cell>
          <cell r="E28">
            <v>584536</v>
          </cell>
          <cell r="F28">
            <v>0</v>
          </cell>
        </row>
        <row r="29">
          <cell r="A29">
            <v>1.2</v>
          </cell>
          <cell r="B29" t="str">
            <v>Sum, riega y tendido de Cable Tipo ACSR No 1/0  - 3 hilos</v>
          </cell>
          <cell r="C29" t="str">
            <v>ML</v>
          </cell>
          <cell r="D29">
            <v>35</v>
          </cell>
          <cell r="E29">
            <v>9716</v>
          </cell>
          <cell r="F29">
            <v>340060</v>
          </cell>
        </row>
        <row r="30">
          <cell r="A30">
            <v>1.21</v>
          </cell>
          <cell r="B30" t="str">
            <v>Sum, riega y tendido de Cable Tipo ACSR No 1/0  - 2 hilos</v>
          </cell>
          <cell r="C30" t="str">
            <v>ML</v>
          </cell>
          <cell r="D30">
            <v>60</v>
          </cell>
          <cell r="E30">
            <v>6478</v>
          </cell>
          <cell r="F30">
            <v>388680</v>
          </cell>
        </row>
        <row r="31">
          <cell r="A31">
            <v>1.22</v>
          </cell>
          <cell r="B31" t="str">
            <v>Sum, riega y tendido de Cable Tipo ACSR No 4/0  - 3 hilos</v>
          </cell>
          <cell r="C31" t="str">
            <v>ML</v>
          </cell>
          <cell r="E31">
            <v>16835</v>
          </cell>
          <cell r="F31">
            <v>0</v>
          </cell>
        </row>
        <row r="32">
          <cell r="A32">
            <v>1.23</v>
          </cell>
          <cell r="B32" t="str">
            <v>Sum, riega y tendido de Cable Tipo ACSR No 4/0  - 2 hilos</v>
          </cell>
          <cell r="C32" t="str">
            <v>ML</v>
          </cell>
          <cell r="E32">
            <v>10703</v>
          </cell>
          <cell r="F32">
            <v>0</v>
          </cell>
        </row>
        <row r="33">
          <cell r="A33">
            <v>1.24</v>
          </cell>
          <cell r="B33" t="str">
            <v xml:space="preserve">Remodelación de redes en MT existentes </v>
          </cell>
          <cell r="C33" t="str">
            <v>GLO</v>
          </cell>
          <cell r="D33">
            <v>1</v>
          </cell>
          <cell r="E33">
            <v>2121981</v>
          </cell>
          <cell r="F33">
            <v>2121981</v>
          </cell>
        </row>
        <row r="34">
          <cell r="B34" t="str">
            <v>SUBTOTAL REDES MEDIA TENSION</v>
          </cell>
          <cell r="F34">
            <v>24485570</v>
          </cell>
        </row>
        <row r="36">
          <cell r="A36">
            <v>2</v>
          </cell>
          <cell r="B36" t="str">
            <v>REDES BAJA TENSION</v>
          </cell>
        </row>
        <row r="37">
          <cell r="A37">
            <v>2.0099999999999998</v>
          </cell>
          <cell r="B37" t="str">
            <v>Sum e Inst de Poste de Concreto de 9 x 510 Kgs ( Excv, Hincada y aplomada, Tpte)</v>
          </cell>
          <cell r="C37" t="str">
            <v>UN</v>
          </cell>
          <cell r="D37">
            <v>4</v>
          </cell>
          <cell r="E37">
            <v>413416</v>
          </cell>
          <cell r="F37">
            <v>1653664</v>
          </cell>
        </row>
        <row r="38">
          <cell r="A38">
            <v>2.02</v>
          </cell>
          <cell r="B38" t="str">
            <v>Sum e Inst de Poste Autosoportado de Concreto de 9 x 1500 Kgs (Hincada y aplomada, Tpte)</v>
          </cell>
          <cell r="C38" t="str">
            <v>UN</v>
          </cell>
          <cell r="D38">
            <v>2</v>
          </cell>
          <cell r="E38">
            <v>909743</v>
          </cell>
          <cell r="F38">
            <v>1819486</v>
          </cell>
        </row>
        <row r="39">
          <cell r="A39">
            <v>2.0299999999999998</v>
          </cell>
          <cell r="B39" t="str">
            <v xml:space="preserve">Construccion de Base Autosoportada </v>
          </cell>
          <cell r="C39" t="str">
            <v>UN</v>
          </cell>
          <cell r="D39">
            <v>2</v>
          </cell>
          <cell r="E39">
            <v>610335</v>
          </cell>
          <cell r="F39">
            <v>1220670</v>
          </cell>
        </row>
        <row r="40">
          <cell r="A40">
            <v>2.04</v>
          </cell>
          <cell r="B40" t="str">
            <v xml:space="preserve">Estructura sec tipo alineación en  poste   prim ó sec. </v>
          </cell>
          <cell r="C40" t="str">
            <v>UN</v>
          </cell>
          <cell r="D40">
            <v>2</v>
          </cell>
          <cell r="E40">
            <v>15021</v>
          </cell>
          <cell r="F40">
            <v>30042</v>
          </cell>
        </row>
        <row r="41">
          <cell r="A41">
            <v>2.0499999999999998</v>
          </cell>
          <cell r="B41" t="str">
            <v xml:space="preserve">Estructura sec alineación en angulo  en  poste   prim ó sec. </v>
          </cell>
          <cell r="C41" t="str">
            <v>UN</v>
          </cell>
          <cell r="D41">
            <v>0</v>
          </cell>
          <cell r="E41">
            <v>21936</v>
          </cell>
          <cell r="F41">
            <v>0</v>
          </cell>
        </row>
        <row r="42">
          <cell r="A42">
            <v>2.06</v>
          </cell>
          <cell r="B42" t="str">
            <v xml:space="preserve">Estructura secund.  Fin de línea en  poste  prim ó sec. </v>
          </cell>
          <cell r="C42" t="str">
            <v>UN</v>
          </cell>
          <cell r="D42">
            <v>8</v>
          </cell>
          <cell r="E42">
            <v>31363</v>
          </cell>
          <cell r="F42">
            <v>250904</v>
          </cell>
        </row>
        <row r="43">
          <cell r="A43">
            <v>2.0699999999999998</v>
          </cell>
          <cell r="B43" t="str">
            <v xml:space="preserve">Estructura secund. Tipo anclaje en  poste prim ó sec  </v>
          </cell>
          <cell r="C43" t="str">
            <v>UN</v>
          </cell>
          <cell r="D43">
            <v>2</v>
          </cell>
          <cell r="E43">
            <v>51178</v>
          </cell>
          <cell r="F43">
            <v>102356</v>
          </cell>
        </row>
        <row r="44">
          <cell r="A44">
            <v>2.08</v>
          </cell>
          <cell r="B44" t="str">
            <v>Cruce aereo puenteado red secundaria  a neutro desnudo (tipo SAX1)</v>
          </cell>
          <cell r="C44" t="str">
            <v>UN</v>
          </cell>
          <cell r="D44">
            <v>2</v>
          </cell>
          <cell r="E44">
            <v>44549</v>
          </cell>
          <cell r="F44">
            <v>89098</v>
          </cell>
        </row>
        <row r="45">
          <cell r="A45">
            <v>2.09</v>
          </cell>
          <cell r="B45" t="str">
            <v>Sum e inst de tapones selladores y conector aislado de perforacion para puentes, cruces, aterrizaje, alumbrado publico y derivacion de cajas de abonados red trenzada</v>
          </cell>
          <cell r="C45" t="str">
            <v>Glo</v>
          </cell>
          <cell r="D45">
            <v>1</v>
          </cell>
          <cell r="E45">
            <v>1237703</v>
          </cell>
          <cell r="F45">
            <v>1237703</v>
          </cell>
        </row>
        <row r="46">
          <cell r="A46">
            <v>2.1</v>
          </cell>
          <cell r="B46" t="str">
            <v>Sum e inst de varilla polo a tierra cola de circuito (incluye varilla Cu, cable Cu desnudo)</v>
          </cell>
          <cell r="C46" t="str">
            <v>UN</v>
          </cell>
          <cell r="D46">
            <v>6</v>
          </cell>
          <cell r="E46">
            <v>119411</v>
          </cell>
          <cell r="F46">
            <v>716466</v>
          </cell>
        </row>
        <row r="47">
          <cell r="A47">
            <v>2.11</v>
          </cell>
          <cell r="B47" t="str">
            <v>Sum e Inst de Retenida Secundaria</v>
          </cell>
          <cell r="C47" t="str">
            <v>UN</v>
          </cell>
          <cell r="D47">
            <v>3</v>
          </cell>
          <cell r="E47">
            <v>136128</v>
          </cell>
          <cell r="F47">
            <v>408384</v>
          </cell>
        </row>
        <row r="48">
          <cell r="A48">
            <v>2.12</v>
          </cell>
          <cell r="B48" t="str">
            <v>Sum e Inst de Retenida Sec.  en Guitarra a tierra</v>
          </cell>
          <cell r="C48" t="str">
            <v>UN</v>
          </cell>
          <cell r="D48">
            <v>0</v>
          </cell>
          <cell r="E48">
            <v>196220</v>
          </cell>
          <cell r="F48">
            <v>0</v>
          </cell>
        </row>
        <row r="49">
          <cell r="A49">
            <v>2.13</v>
          </cell>
          <cell r="B49" t="str">
            <v>Sum, tendido y tensionado de Linea secundaria en cable triplex 2 x 2 + 2 AAAC- XLPE 600V</v>
          </cell>
          <cell r="C49" t="str">
            <v>ML</v>
          </cell>
          <cell r="E49">
            <v>9450.68</v>
          </cell>
          <cell r="F49">
            <v>0</v>
          </cell>
        </row>
        <row r="50">
          <cell r="A50">
            <v>2.14</v>
          </cell>
          <cell r="B50" t="str">
            <v>Sum, tendido y tensionado de Linea secundaria en cable triplex 2 x 1/0 + 1/0 AAAC- XLPE 600V</v>
          </cell>
          <cell r="C50" t="str">
            <v>ML</v>
          </cell>
          <cell r="D50">
            <v>165</v>
          </cell>
          <cell r="E50">
            <v>13431.55</v>
          </cell>
          <cell r="F50">
            <v>2216206</v>
          </cell>
        </row>
        <row r="51">
          <cell r="A51">
            <v>2.15</v>
          </cell>
          <cell r="B51" t="str">
            <v>Sum, tendido y tensionado de Linea secundaria en cable triplex 2 x 4/0 + 4/0 AAAC- XLPE 600V</v>
          </cell>
          <cell r="C51" t="str">
            <v>ML</v>
          </cell>
          <cell r="D51">
            <v>109</v>
          </cell>
          <cell r="E51">
            <v>22093.119999999999</v>
          </cell>
          <cell r="F51">
            <v>2408150.08</v>
          </cell>
        </row>
        <row r="52">
          <cell r="A52">
            <v>2.16</v>
          </cell>
          <cell r="B52" t="str">
            <v>Sum, tendido y tensionado de Linea neutro  en cable desnudo 1/0  ACSR</v>
          </cell>
          <cell r="C52" t="str">
            <v>ML</v>
          </cell>
          <cell r="D52">
            <v>25</v>
          </cell>
          <cell r="E52">
            <v>2979</v>
          </cell>
          <cell r="F52">
            <v>74475</v>
          </cell>
        </row>
        <row r="53">
          <cell r="A53">
            <v>2.17</v>
          </cell>
          <cell r="B53" t="str">
            <v>Sum y montaje de Caja para acometida de 9 circuitos</v>
          </cell>
          <cell r="C53" t="str">
            <v>UN</v>
          </cell>
          <cell r="D53">
            <v>13</v>
          </cell>
          <cell r="E53">
            <v>326251</v>
          </cell>
          <cell r="F53">
            <v>4241263</v>
          </cell>
        </row>
        <row r="54">
          <cell r="A54">
            <v>2.1800000000000002</v>
          </cell>
          <cell r="B54" t="str">
            <v xml:space="preserve">Sum y montaje de Caja para acometida de 4 circuitos </v>
          </cell>
          <cell r="C54" t="str">
            <v>UN</v>
          </cell>
          <cell r="D54">
            <v>0</v>
          </cell>
          <cell r="E54">
            <v>246740</v>
          </cell>
          <cell r="F54">
            <v>0</v>
          </cell>
        </row>
        <row r="55">
          <cell r="B55" t="str">
            <v>SUBTOTAL REDES BAJA TENSION</v>
          </cell>
          <cell r="F55">
            <v>16468867.08</v>
          </cell>
        </row>
        <row r="57">
          <cell r="A57">
            <v>3</v>
          </cell>
          <cell r="B57" t="str">
            <v>ALUMBRADO - LUMINARIAS</v>
          </cell>
        </row>
        <row r="58">
          <cell r="A58">
            <v>3.01</v>
          </cell>
          <cell r="B58" t="str">
            <v>Sum e Inst de luminaria de Sodio de 150 W Incluye ( Brazo , pernos y cableados)</v>
          </cell>
          <cell r="C58" t="str">
            <v>UN</v>
          </cell>
          <cell r="D58">
            <v>10</v>
          </cell>
          <cell r="E58">
            <v>316694</v>
          </cell>
          <cell r="F58">
            <v>3166940</v>
          </cell>
        </row>
        <row r="59">
          <cell r="A59">
            <v>3.02</v>
          </cell>
          <cell r="B59" t="str">
            <v>Sum e Inst de luminaria de Sodio de 70 W Incluye ( Brazo, pernos y cableados)</v>
          </cell>
          <cell r="C59" t="str">
            <v>UN</v>
          </cell>
          <cell r="D59">
            <v>3</v>
          </cell>
          <cell r="E59">
            <v>193373</v>
          </cell>
          <cell r="F59">
            <v>580119</v>
          </cell>
        </row>
        <row r="60">
          <cell r="A60">
            <v>3.03</v>
          </cell>
          <cell r="B60" t="str">
            <v>Sum, tendido y tensionado de Linea secundaria en cable duplex 2 x 2  AAAC- XLPE 600V</v>
          </cell>
          <cell r="C60" t="str">
            <v>ML</v>
          </cell>
          <cell r="D60">
            <v>0</v>
          </cell>
          <cell r="E60">
            <v>7291</v>
          </cell>
          <cell r="F60">
            <v>0</v>
          </cell>
        </row>
        <row r="61">
          <cell r="A61">
            <v>3.04</v>
          </cell>
          <cell r="B61" t="str">
            <v>Sum e instalacion de materiales y accesorios exclusivo de alumbrado publico ( incluye herrajes,perchas, aisl.carrete, conectores aislados, tapones, retenidas )</v>
          </cell>
          <cell r="C61" t="str">
            <v>GLO</v>
          </cell>
          <cell r="D61">
            <v>0</v>
          </cell>
          <cell r="E61">
            <v>1095402</v>
          </cell>
          <cell r="F61">
            <v>0</v>
          </cell>
        </row>
        <row r="62">
          <cell r="A62">
            <v>3.05</v>
          </cell>
          <cell r="B62" t="str">
            <v>Sum e Inst de Poste de Concreto de 9 x 510 Kgs exclusivo de alumbrado ( Excv, Hincada y aplomada, Tpte)</v>
          </cell>
          <cell r="C62" t="str">
            <v>UN</v>
          </cell>
          <cell r="D62">
            <v>0</v>
          </cell>
          <cell r="E62">
            <v>413416</v>
          </cell>
          <cell r="F62">
            <v>0</v>
          </cell>
        </row>
        <row r="63">
          <cell r="A63">
            <v>3.06</v>
          </cell>
          <cell r="B63" t="str">
            <v>Sum e Inst de Poste de Concreto de 12 x 510 Kgs exclusivo de alumbrado ( Excv, Hincada y aplomada, Tpte)</v>
          </cell>
          <cell r="C63" t="str">
            <v>UN</v>
          </cell>
          <cell r="D63">
            <v>0</v>
          </cell>
          <cell r="E63">
            <v>646267</v>
          </cell>
          <cell r="F63">
            <v>0</v>
          </cell>
        </row>
        <row r="64">
          <cell r="B64" t="str">
            <v>SUBTOTAL ALUMBRADO - LUMINARIAS</v>
          </cell>
          <cell r="F64">
            <v>3747059</v>
          </cell>
        </row>
        <row r="66">
          <cell r="A66">
            <v>4</v>
          </cell>
          <cell r="B66" t="str">
            <v>ACOMETIDAS</v>
          </cell>
        </row>
        <row r="67">
          <cell r="A67">
            <v>4.01</v>
          </cell>
          <cell r="B67" t="str">
            <v>Sum y montaje de acometidas 220 V (incluye cable,  anclajes y contador 220 V)</v>
          </cell>
          <cell r="C67" t="str">
            <v>UN</v>
          </cell>
          <cell r="D67">
            <v>59</v>
          </cell>
          <cell r="E67">
            <v>294761</v>
          </cell>
          <cell r="F67">
            <v>17390899</v>
          </cell>
        </row>
        <row r="68">
          <cell r="A68" t="str">
            <v xml:space="preserve"> </v>
          </cell>
          <cell r="B68" t="str">
            <v>SUBTOTAL ACOMETIDAS</v>
          </cell>
          <cell r="F68">
            <v>17390899</v>
          </cell>
        </row>
        <row r="70">
          <cell r="B70" t="str">
            <v>SUBTOTAL COSTOS DIRECTOS</v>
          </cell>
          <cell r="F70">
            <v>62092395.079999998</v>
          </cell>
        </row>
        <row r="72">
          <cell r="B72" t="str">
            <v>ADMINISTRACION</v>
          </cell>
          <cell r="C72" t="str">
            <v>%</v>
          </cell>
          <cell r="D72">
            <v>0.08</v>
          </cell>
          <cell r="F72">
            <v>4967391.6063999999</v>
          </cell>
        </row>
        <row r="73">
          <cell r="B73" t="str">
            <v>IMPREVISTOS</v>
          </cell>
          <cell r="C73" t="str">
            <v>%</v>
          </cell>
          <cell r="D73">
            <v>0.02</v>
          </cell>
          <cell r="F73">
            <v>1241847.9016</v>
          </cell>
        </row>
        <row r="74">
          <cell r="B74" t="str">
            <v>UTILIDADES</v>
          </cell>
          <cell r="C74" t="str">
            <v>%</v>
          </cell>
          <cell r="D74">
            <v>0.05</v>
          </cell>
          <cell r="F74">
            <v>3104619.7540000002</v>
          </cell>
        </row>
        <row r="76">
          <cell r="B76" t="str">
            <v>COSTOS INDIRECTOS</v>
          </cell>
          <cell r="F76">
            <v>9313859.2620000001</v>
          </cell>
        </row>
        <row r="78">
          <cell r="B78" t="str">
            <v>VALOR IVA (16 %) SOBRE UTILIDAD ESTIMADA</v>
          </cell>
          <cell r="F78">
            <v>496739.16064000002</v>
          </cell>
        </row>
        <row r="80">
          <cell r="B80" t="str">
            <v>VALOR TOTAL PRESUPUESTO</v>
          </cell>
          <cell r="F80">
            <v>71902993.502639994</v>
          </cell>
        </row>
        <row r="83">
          <cell r="B83" t="str">
            <v>ATENTAMENTE</v>
          </cell>
        </row>
        <row r="86">
          <cell r="B86" t="str">
            <v>ING. ANGEL QUINTANA S.</v>
          </cell>
          <cell r="D86" t="str">
            <v xml:space="preserve">VoBo   ING. JAIME MERLANO </v>
          </cell>
        </row>
        <row r="87">
          <cell r="B87" t="str">
            <v>DIRECTOR DE PROYECTO</v>
          </cell>
          <cell r="D87" t="str">
            <v xml:space="preserve">             DIRECTOR TECNICO</v>
          </cell>
        </row>
        <row r="88">
          <cell r="B88" t="str">
            <v>CC.ARCHIVO</v>
          </cell>
        </row>
        <row r="90">
          <cell r="B90" t="str">
            <v>Sum y montaje de acometidas 110 V (incluye cable,  anclajes y contador 110 V)</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BS.DATOS"/>
      <sheetName val="INFORMACIÓN REFERENCIA"/>
      <sheetName val="CALCULO POI"/>
      <sheetName val="BD COSTOS UNIDAD CONSTRUCTIVA"/>
      <sheetName val="CALCULO COSTOS DE OPERACIÓN"/>
      <sheetName val="INPUTS"/>
      <sheetName val="REFERENCIAS"/>
      <sheetName val="DEMANDABASE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ASICOS"/>
      <sheetName val="deuda"/>
      <sheetName val="consumo1"/>
    </sheetNames>
    <sheetDataSet>
      <sheetData sheetId="0"/>
      <sheetData sheetId="1">
        <row r="1">
          <cell r="A1" t="str">
            <v>NIC</v>
          </cell>
          <cell r="B1" t="str">
            <v>DEUDA</v>
          </cell>
          <cell r="C1" t="str">
            <v>MESES</v>
          </cell>
        </row>
        <row r="2">
          <cell r="A2">
            <v>5012005</v>
          </cell>
          <cell r="B2">
            <v>122957</v>
          </cell>
          <cell r="C2">
            <v>40</v>
          </cell>
        </row>
        <row r="3">
          <cell r="A3">
            <v>5049861</v>
          </cell>
          <cell r="B3">
            <v>339090</v>
          </cell>
          <cell r="C3">
            <v>5</v>
          </cell>
        </row>
        <row r="4">
          <cell r="A4">
            <v>5051089</v>
          </cell>
          <cell r="B4">
            <v>54550</v>
          </cell>
          <cell r="C4">
            <v>1</v>
          </cell>
        </row>
        <row r="5">
          <cell r="A5">
            <v>5054224</v>
          </cell>
          <cell r="B5">
            <v>19640</v>
          </cell>
          <cell r="C5">
            <v>1</v>
          </cell>
        </row>
        <row r="6">
          <cell r="A6">
            <v>5059043</v>
          </cell>
          <cell r="B6">
            <v>1497930</v>
          </cell>
          <cell r="C6">
            <v>40</v>
          </cell>
        </row>
        <row r="7">
          <cell r="A7">
            <v>5059827</v>
          </cell>
          <cell r="B7">
            <v>2159589</v>
          </cell>
          <cell r="C7">
            <v>38</v>
          </cell>
        </row>
        <row r="8">
          <cell r="A8">
            <v>5059829</v>
          </cell>
          <cell r="B8">
            <v>6142595</v>
          </cell>
          <cell r="C8">
            <v>38</v>
          </cell>
        </row>
        <row r="9">
          <cell r="A9">
            <v>5059839</v>
          </cell>
          <cell r="B9">
            <v>2618083</v>
          </cell>
          <cell r="C9">
            <v>38</v>
          </cell>
        </row>
        <row r="10">
          <cell r="A10">
            <v>5060085</v>
          </cell>
          <cell r="B10">
            <v>149750</v>
          </cell>
          <cell r="C10">
            <v>1</v>
          </cell>
        </row>
        <row r="11">
          <cell r="A11">
            <v>5060385</v>
          </cell>
          <cell r="B11">
            <v>383302</v>
          </cell>
          <cell r="C11">
            <v>28</v>
          </cell>
        </row>
        <row r="12">
          <cell r="A12">
            <v>5062083</v>
          </cell>
          <cell r="B12">
            <v>15320</v>
          </cell>
          <cell r="C12">
            <v>1</v>
          </cell>
        </row>
        <row r="13">
          <cell r="A13">
            <v>5071575</v>
          </cell>
          <cell r="B13">
            <v>221383</v>
          </cell>
          <cell r="C13">
            <v>14</v>
          </cell>
        </row>
        <row r="14">
          <cell r="A14">
            <v>5071820</v>
          </cell>
          <cell r="B14">
            <v>16000</v>
          </cell>
          <cell r="C14">
            <v>1</v>
          </cell>
        </row>
        <row r="15">
          <cell r="A15">
            <v>5071824</v>
          </cell>
          <cell r="B15">
            <v>343098</v>
          </cell>
          <cell r="C15">
            <v>44</v>
          </cell>
        </row>
        <row r="16">
          <cell r="A16">
            <v>5071840</v>
          </cell>
          <cell r="B16">
            <v>486540</v>
          </cell>
          <cell r="C16">
            <v>4</v>
          </cell>
        </row>
        <row r="17">
          <cell r="A17">
            <v>5071841</v>
          </cell>
          <cell r="B17">
            <v>49480</v>
          </cell>
          <cell r="C17">
            <v>1</v>
          </cell>
        </row>
        <row r="18">
          <cell r="A18">
            <v>5071844</v>
          </cell>
          <cell r="B18">
            <v>516870</v>
          </cell>
          <cell r="C18">
            <v>8</v>
          </cell>
        </row>
        <row r="19">
          <cell r="A19">
            <v>5071866</v>
          </cell>
          <cell r="B19">
            <v>33750</v>
          </cell>
          <cell r="C19">
            <v>1</v>
          </cell>
        </row>
        <row r="20">
          <cell r="A20">
            <v>5071873</v>
          </cell>
          <cell r="B20">
            <v>11000</v>
          </cell>
          <cell r="C20">
            <v>2</v>
          </cell>
        </row>
        <row r="21">
          <cell r="A21">
            <v>5071875</v>
          </cell>
          <cell r="B21">
            <v>50950</v>
          </cell>
          <cell r="C21">
            <v>1</v>
          </cell>
        </row>
        <row r="22">
          <cell r="A22">
            <v>5071891</v>
          </cell>
          <cell r="B22">
            <v>115685</v>
          </cell>
          <cell r="C22">
            <v>53</v>
          </cell>
        </row>
        <row r="23">
          <cell r="A23">
            <v>5071904</v>
          </cell>
          <cell r="B23">
            <v>102720</v>
          </cell>
          <cell r="C23">
            <v>5</v>
          </cell>
        </row>
        <row r="24">
          <cell r="A24">
            <v>5106181</v>
          </cell>
          <cell r="B24">
            <v>26280</v>
          </cell>
          <cell r="C24">
            <v>3</v>
          </cell>
        </row>
        <row r="25">
          <cell r="A25">
            <v>5106187</v>
          </cell>
          <cell r="B25">
            <v>25360</v>
          </cell>
          <cell r="C25">
            <v>2</v>
          </cell>
        </row>
        <row r="26">
          <cell r="A26">
            <v>5106265</v>
          </cell>
          <cell r="B26">
            <v>43220</v>
          </cell>
          <cell r="C26">
            <v>1</v>
          </cell>
        </row>
        <row r="27">
          <cell r="A27">
            <v>5106270</v>
          </cell>
          <cell r="B27">
            <v>30740</v>
          </cell>
          <cell r="C27">
            <v>1</v>
          </cell>
        </row>
        <row r="28">
          <cell r="A28">
            <v>5106273</v>
          </cell>
          <cell r="B28">
            <v>186270</v>
          </cell>
          <cell r="C28">
            <v>2</v>
          </cell>
        </row>
        <row r="29">
          <cell r="A29">
            <v>5106295</v>
          </cell>
          <cell r="B29">
            <v>695740</v>
          </cell>
          <cell r="C29">
            <v>1</v>
          </cell>
        </row>
        <row r="30">
          <cell r="A30">
            <v>5106296</v>
          </cell>
          <cell r="B30">
            <v>2599895</v>
          </cell>
          <cell r="C30">
            <v>52</v>
          </cell>
        </row>
        <row r="31">
          <cell r="A31">
            <v>5106308</v>
          </cell>
          <cell r="B31">
            <v>587690</v>
          </cell>
          <cell r="C31">
            <v>8</v>
          </cell>
        </row>
        <row r="32">
          <cell r="A32">
            <v>5106310</v>
          </cell>
          <cell r="B32">
            <v>393980</v>
          </cell>
          <cell r="C32">
            <v>7</v>
          </cell>
        </row>
        <row r="33">
          <cell r="A33">
            <v>5106340</v>
          </cell>
          <cell r="B33">
            <v>219080</v>
          </cell>
          <cell r="C33">
            <v>4</v>
          </cell>
        </row>
        <row r="34">
          <cell r="A34">
            <v>5106342</v>
          </cell>
          <cell r="B34">
            <v>16720</v>
          </cell>
          <cell r="C34">
            <v>1</v>
          </cell>
        </row>
        <row r="35">
          <cell r="A35">
            <v>5106344</v>
          </cell>
          <cell r="B35">
            <v>25990</v>
          </cell>
          <cell r="C35">
            <v>1</v>
          </cell>
        </row>
        <row r="36">
          <cell r="A36">
            <v>5106346</v>
          </cell>
          <cell r="B36">
            <v>548423</v>
          </cell>
          <cell r="C36">
            <v>16</v>
          </cell>
        </row>
        <row r="37">
          <cell r="A37">
            <v>5106349</v>
          </cell>
          <cell r="B37">
            <v>1488902</v>
          </cell>
          <cell r="C37">
            <v>28</v>
          </cell>
        </row>
        <row r="38">
          <cell r="A38">
            <v>5106351</v>
          </cell>
          <cell r="B38">
            <v>43360</v>
          </cell>
          <cell r="C38">
            <v>1</v>
          </cell>
        </row>
        <row r="39">
          <cell r="A39">
            <v>5106352</v>
          </cell>
          <cell r="B39">
            <v>20240</v>
          </cell>
          <cell r="C39">
            <v>1</v>
          </cell>
        </row>
        <row r="40">
          <cell r="A40">
            <v>5106357</v>
          </cell>
          <cell r="B40">
            <v>10400</v>
          </cell>
          <cell r="C40">
            <v>1</v>
          </cell>
        </row>
        <row r="41">
          <cell r="A41">
            <v>5106505</v>
          </cell>
          <cell r="B41">
            <v>119570</v>
          </cell>
          <cell r="C41">
            <v>2</v>
          </cell>
        </row>
        <row r="42">
          <cell r="A42">
            <v>5106506</v>
          </cell>
          <cell r="B42">
            <v>31960</v>
          </cell>
          <cell r="C42">
            <v>2</v>
          </cell>
        </row>
        <row r="43">
          <cell r="A43">
            <v>5109997</v>
          </cell>
          <cell r="B43">
            <v>30000</v>
          </cell>
          <cell r="C43">
            <v>1</v>
          </cell>
        </row>
        <row r="44">
          <cell r="A44">
            <v>5110020</v>
          </cell>
          <cell r="B44">
            <v>377790</v>
          </cell>
          <cell r="C44">
            <v>7</v>
          </cell>
        </row>
        <row r="45">
          <cell r="A45">
            <v>5110329</v>
          </cell>
          <cell r="B45">
            <v>1438880</v>
          </cell>
          <cell r="C45">
            <v>48</v>
          </cell>
        </row>
        <row r="46">
          <cell r="A46">
            <v>5110351</v>
          </cell>
          <cell r="B46">
            <v>1043136</v>
          </cell>
          <cell r="C46">
            <v>40</v>
          </cell>
        </row>
        <row r="47">
          <cell r="A47">
            <v>5110393</v>
          </cell>
          <cell r="B47">
            <v>16140</v>
          </cell>
          <cell r="C47">
            <v>1</v>
          </cell>
        </row>
        <row r="48">
          <cell r="A48">
            <v>5110403</v>
          </cell>
          <cell r="B48">
            <v>820870</v>
          </cell>
          <cell r="C48">
            <v>0</v>
          </cell>
        </row>
        <row r="49">
          <cell r="A49">
            <v>5110491</v>
          </cell>
          <cell r="B49">
            <v>376130</v>
          </cell>
          <cell r="C49">
            <v>1</v>
          </cell>
        </row>
        <row r="50">
          <cell r="A50">
            <v>5110574</v>
          </cell>
          <cell r="B50">
            <v>100000</v>
          </cell>
          <cell r="C50">
            <v>4</v>
          </cell>
        </row>
        <row r="51">
          <cell r="A51">
            <v>5110620</v>
          </cell>
          <cell r="B51">
            <v>103150</v>
          </cell>
          <cell r="C51">
            <v>1</v>
          </cell>
        </row>
        <row r="52">
          <cell r="A52">
            <v>5110651</v>
          </cell>
          <cell r="B52">
            <v>91830</v>
          </cell>
          <cell r="C52">
            <v>0</v>
          </cell>
        </row>
        <row r="53">
          <cell r="A53">
            <v>5110669</v>
          </cell>
          <cell r="B53">
            <v>53220</v>
          </cell>
          <cell r="C53">
            <v>9</v>
          </cell>
        </row>
        <row r="54">
          <cell r="A54">
            <v>5110786</v>
          </cell>
          <cell r="B54">
            <v>16380</v>
          </cell>
          <cell r="C54">
            <v>1</v>
          </cell>
        </row>
        <row r="55">
          <cell r="A55">
            <v>5110823</v>
          </cell>
          <cell r="B55">
            <v>6580</v>
          </cell>
          <cell r="C55">
            <v>6</v>
          </cell>
        </row>
        <row r="56">
          <cell r="A56">
            <v>5110981</v>
          </cell>
          <cell r="B56">
            <v>417880</v>
          </cell>
          <cell r="C56">
            <v>7</v>
          </cell>
        </row>
        <row r="57">
          <cell r="A57">
            <v>5111021</v>
          </cell>
          <cell r="B57">
            <v>40000</v>
          </cell>
          <cell r="C57">
            <v>1</v>
          </cell>
        </row>
        <row r="58">
          <cell r="A58">
            <v>5111085</v>
          </cell>
          <cell r="B58">
            <v>113360</v>
          </cell>
          <cell r="C58">
            <v>1</v>
          </cell>
        </row>
        <row r="59">
          <cell r="A59">
            <v>5111148</v>
          </cell>
          <cell r="B59">
            <v>15020</v>
          </cell>
          <cell r="C59">
            <v>1</v>
          </cell>
        </row>
        <row r="60">
          <cell r="A60">
            <v>5111158</v>
          </cell>
          <cell r="B60">
            <v>18090</v>
          </cell>
          <cell r="C60">
            <v>1</v>
          </cell>
        </row>
        <row r="61">
          <cell r="A61">
            <v>5111187</v>
          </cell>
          <cell r="B61">
            <v>493850</v>
          </cell>
          <cell r="C61">
            <v>16</v>
          </cell>
        </row>
        <row r="62">
          <cell r="A62">
            <v>5111261</v>
          </cell>
          <cell r="B62">
            <v>51770</v>
          </cell>
          <cell r="C62">
            <v>1</v>
          </cell>
        </row>
        <row r="63">
          <cell r="A63">
            <v>5111271</v>
          </cell>
          <cell r="B63">
            <v>2256416</v>
          </cell>
          <cell r="C63">
            <v>53</v>
          </cell>
        </row>
        <row r="64">
          <cell r="A64">
            <v>5111343</v>
          </cell>
          <cell r="B64">
            <v>35355</v>
          </cell>
          <cell r="C64">
            <v>14</v>
          </cell>
        </row>
        <row r="65">
          <cell r="A65">
            <v>5111372</v>
          </cell>
          <cell r="B65">
            <v>19700</v>
          </cell>
          <cell r="C65">
            <v>4</v>
          </cell>
        </row>
        <row r="66">
          <cell r="A66">
            <v>5111378</v>
          </cell>
          <cell r="B66">
            <v>100000</v>
          </cell>
          <cell r="C66">
            <v>1</v>
          </cell>
        </row>
        <row r="67">
          <cell r="A67">
            <v>5111389</v>
          </cell>
          <cell r="B67">
            <v>59090</v>
          </cell>
          <cell r="C67">
            <v>1</v>
          </cell>
        </row>
        <row r="68">
          <cell r="A68">
            <v>5111400</v>
          </cell>
          <cell r="B68">
            <v>23210</v>
          </cell>
          <cell r="C68">
            <v>1</v>
          </cell>
        </row>
        <row r="69">
          <cell r="A69">
            <v>5111409</v>
          </cell>
          <cell r="B69">
            <v>22160</v>
          </cell>
          <cell r="C69">
            <v>1</v>
          </cell>
        </row>
        <row r="70">
          <cell r="A70">
            <v>5111450</v>
          </cell>
          <cell r="B70">
            <v>53660</v>
          </cell>
          <cell r="C70">
            <v>0</v>
          </cell>
        </row>
        <row r="71">
          <cell r="A71">
            <v>5111458</v>
          </cell>
          <cell r="B71">
            <v>95590</v>
          </cell>
          <cell r="C71">
            <v>1</v>
          </cell>
        </row>
        <row r="72">
          <cell r="A72">
            <v>5111500</v>
          </cell>
          <cell r="B72">
            <v>516060</v>
          </cell>
          <cell r="C72">
            <v>0</v>
          </cell>
        </row>
        <row r="73">
          <cell r="A73">
            <v>5111579</v>
          </cell>
          <cell r="B73">
            <v>582100</v>
          </cell>
          <cell r="C73">
            <v>10</v>
          </cell>
        </row>
        <row r="74">
          <cell r="A74">
            <v>5111592</v>
          </cell>
          <cell r="B74">
            <v>153127</v>
          </cell>
          <cell r="C74">
            <v>53</v>
          </cell>
        </row>
        <row r="75">
          <cell r="A75">
            <v>5111861</v>
          </cell>
          <cell r="B75">
            <v>616610</v>
          </cell>
          <cell r="C75">
            <v>0</v>
          </cell>
        </row>
        <row r="76">
          <cell r="A76">
            <v>5111869</v>
          </cell>
          <cell r="B76">
            <v>316810</v>
          </cell>
          <cell r="C76">
            <v>-1</v>
          </cell>
        </row>
        <row r="77">
          <cell r="A77">
            <v>5111927</v>
          </cell>
          <cell r="B77">
            <v>58310</v>
          </cell>
          <cell r="C77">
            <v>1</v>
          </cell>
        </row>
        <row r="78">
          <cell r="A78">
            <v>5111943</v>
          </cell>
          <cell r="B78">
            <v>370830</v>
          </cell>
          <cell r="C78">
            <v>3</v>
          </cell>
        </row>
        <row r="79">
          <cell r="A79">
            <v>5111954</v>
          </cell>
          <cell r="B79">
            <v>1574426</v>
          </cell>
          <cell r="C79">
            <v>38</v>
          </cell>
        </row>
        <row r="80">
          <cell r="A80">
            <v>5111986</v>
          </cell>
          <cell r="B80">
            <v>770180</v>
          </cell>
          <cell r="C80">
            <v>0</v>
          </cell>
        </row>
        <row r="81">
          <cell r="A81">
            <v>5111997</v>
          </cell>
          <cell r="B81">
            <v>497700</v>
          </cell>
          <cell r="C81">
            <v>-1</v>
          </cell>
        </row>
        <row r="82">
          <cell r="A82">
            <v>5112197</v>
          </cell>
          <cell r="B82">
            <v>118560</v>
          </cell>
          <cell r="C82">
            <v>5</v>
          </cell>
        </row>
        <row r="83">
          <cell r="A83">
            <v>5112208</v>
          </cell>
          <cell r="B83">
            <v>217770</v>
          </cell>
          <cell r="C83">
            <v>5</v>
          </cell>
        </row>
        <row r="84">
          <cell r="A84">
            <v>5112239</v>
          </cell>
          <cell r="B84">
            <v>37190</v>
          </cell>
          <cell r="C84">
            <v>1</v>
          </cell>
        </row>
        <row r="85">
          <cell r="A85">
            <v>5112292</v>
          </cell>
          <cell r="B85">
            <v>22750</v>
          </cell>
          <cell r="C85">
            <v>1</v>
          </cell>
        </row>
        <row r="86">
          <cell r="A86">
            <v>5112356</v>
          </cell>
          <cell r="B86">
            <v>614420</v>
          </cell>
          <cell r="C86">
            <v>8</v>
          </cell>
        </row>
        <row r="87">
          <cell r="A87">
            <v>5112416</v>
          </cell>
          <cell r="B87">
            <v>2448827</v>
          </cell>
          <cell r="C87">
            <v>16</v>
          </cell>
        </row>
        <row r="88">
          <cell r="A88">
            <v>5112427</v>
          </cell>
          <cell r="B88">
            <v>9210</v>
          </cell>
          <cell r="C88">
            <v>1</v>
          </cell>
        </row>
        <row r="89">
          <cell r="A89">
            <v>5112485</v>
          </cell>
          <cell r="B89">
            <v>152710</v>
          </cell>
          <cell r="C89">
            <v>4</v>
          </cell>
        </row>
        <row r="90">
          <cell r="A90">
            <v>5112519</v>
          </cell>
          <cell r="B90">
            <v>17210</v>
          </cell>
          <cell r="C90">
            <v>1</v>
          </cell>
        </row>
        <row r="91">
          <cell r="A91">
            <v>5112530</v>
          </cell>
          <cell r="B91">
            <v>332030</v>
          </cell>
          <cell r="C91">
            <v>6</v>
          </cell>
        </row>
        <row r="92">
          <cell r="A92">
            <v>5112574</v>
          </cell>
          <cell r="B92">
            <v>3252</v>
          </cell>
          <cell r="C92">
            <v>1</v>
          </cell>
        </row>
        <row r="93">
          <cell r="A93">
            <v>5112593</v>
          </cell>
          <cell r="B93">
            <v>90</v>
          </cell>
          <cell r="C93">
            <v>1</v>
          </cell>
        </row>
        <row r="94">
          <cell r="A94">
            <v>5112652</v>
          </cell>
          <cell r="B94">
            <v>1671450</v>
          </cell>
          <cell r="C94">
            <v>9</v>
          </cell>
        </row>
        <row r="95">
          <cell r="A95">
            <v>5112674</v>
          </cell>
          <cell r="B95">
            <v>344620</v>
          </cell>
          <cell r="C95">
            <v>4</v>
          </cell>
        </row>
        <row r="96">
          <cell r="A96">
            <v>5112748</v>
          </cell>
          <cell r="B96">
            <v>483880</v>
          </cell>
          <cell r="C96">
            <v>8</v>
          </cell>
        </row>
        <row r="97">
          <cell r="A97">
            <v>5112757</v>
          </cell>
          <cell r="B97">
            <v>415960</v>
          </cell>
          <cell r="C97">
            <v>8</v>
          </cell>
        </row>
        <row r="98">
          <cell r="A98">
            <v>5112776</v>
          </cell>
          <cell r="B98">
            <v>12730</v>
          </cell>
          <cell r="C98">
            <v>1</v>
          </cell>
        </row>
        <row r="99">
          <cell r="A99">
            <v>5112797</v>
          </cell>
          <cell r="B99">
            <v>209680</v>
          </cell>
          <cell r="C99">
            <v>6</v>
          </cell>
        </row>
        <row r="100">
          <cell r="A100">
            <v>5112815</v>
          </cell>
          <cell r="B100">
            <v>500257</v>
          </cell>
          <cell r="C100">
            <v>23</v>
          </cell>
        </row>
        <row r="101">
          <cell r="A101">
            <v>5112833</v>
          </cell>
          <cell r="B101">
            <v>194820</v>
          </cell>
          <cell r="C101">
            <v>4</v>
          </cell>
        </row>
        <row r="102">
          <cell r="A102">
            <v>5112850</v>
          </cell>
          <cell r="B102">
            <v>1522445</v>
          </cell>
          <cell r="C102">
            <v>53</v>
          </cell>
        </row>
        <row r="103">
          <cell r="A103">
            <v>5112861</v>
          </cell>
          <cell r="B103">
            <v>1360504</v>
          </cell>
          <cell r="C103">
            <v>51</v>
          </cell>
        </row>
        <row r="104">
          <cell r="A104">
            <v>5112872</v>
          </cell>
          <cell r="B104">
            <v>1054530</v>
          </cell>
          <cell r="C104">
            <v>28</v>
          </cell>
        </row>
        <row r="105">
          <cell r="A105">
            <v>5113006</v>
          </cell>
          <cell r="B105">
            <v>1064618</v>
          </cell>
          <cell r="C105">
            <v>18</v>
          </cell>
        </row>
        <row r="106">
          <cell r="A106">
            <v>5113017</v>
          </cell>
          <cell r="B106">
            <v>32840</v>
          </cell>
          <cell r="C106">
            <v>1</v>
          </cell>
        </row>
        <row r="107">
          <cell r="A107">
            <v>5113057</v>
          </cell>
          <cell r="B107">
            <v>231760</v>
          </cell>
          <cell r="C107">
            <v>-1</v>
          </cell>
        </row>
        <row r="108">
          <cell r="A108">
            <v>5113086</v>
          </cell>
          <cell r="B108">
            <v>11050</v>
          </cell>
          <cell r="C108">
            <v>1</v>
          </cell>
        </row>
        <row r="109">
          <cell r="A109">
            <v>5113097</v>
          </cell>
          <cell r="B109">
            <v>390431</v>
          </cell>
          <cell r="C109">
            <v>13</v>
          </cell>
        </row>
        <row r="110">
          <cell r="A110">
            <v>5113113</v>
          </cell>
          <cell r="B110">
            <v>1376390</v>
          </cell>
          <cell r="C110">
            <v>8</v>
          </cell>
        </row>
        <row r="111">
          <cell r="A111">
            <v>5113256</v>
          </cell>
          <cell r="B111">
            <v>273779</v>
          </cell>
          <cell r="C111">
            <v>34</v>
          </cell>
        </row>
        <row r="112">
          <cell r="A112">
            <v>5113299</v>
          </cell>
          <cell r="B112">
            <v>324570</v>
          </cell>
          <cell r="C112">
            <v>-1</v>
          </cell>
        </row>
        <row r="113">
          <cell r="A113">
            <v>5113329</v>
          </cell>
          <cell r="B113">
            <v>27150</v>
          </cell>
          <cell r="C113">
            <v>2</v>
          </cell>
        </row>
        <row r="114">
          <cell r="A114">
            <v>5113447</v>
          </cell>
          <cell r="B114">
            <v>1082290</v>
          </cell>
          <cell r="C114">
            <v>-1</v>
          </cell>
        </row>
        <row r="115">
          <cell r="A115">
            <v>5113660</v>
          </cell>
          <cell r="B115">
            <v>24880</v>
          </cell>
          <cell r="C115">
            <v>1</v>
          </cell>
        </row>
        <row r="116">
          <cell r="A116">
            <v>5113704</v>
          </cell>
          <cell r="B116">
            <v>179580</v>
          </cell>
          <cell r="C116">
            <v>7</v>
          </cell>
        </row>
        <row r="117">
          <cell r="A117">
            <v>5113714</v>
          </cell>
          <cell r="B117">
            <v>31850</v>
          </cell>
          <cell r="C117">
            <v>1</v>
          </cell>
        </row>
        <row r="118">
          <cell r="A118">
            <v>5113722</v>
          </cell>
          <cell r="B118">
            <v>36890</v>
          </cell>
          <cell r="C118">
            <v>1</v>
          </cell>
        </row>
        <row r="119">
          <cell r="A119">
            <v>5113786</v>
          </cell>
          <cell r="B119">
            <v>40820</v>
          </cell>
          <cell r="C119">
            <v>1</v>
          </cell>
        </row>
        <row r="120">
          <cell r="A120">
            <v>5113790</v>
          </cell>
          <cell r="B120">
            <v>2205820</v>
          </cell>
          <cell r="C120">
            <v>53</v>
          </cell>
        </row>
        <row r="121">
          <cell r="A121">
            <v>5113870</v>
          </cell>
          <cell r="B121">
            <v>83770</v>
          </cell>
          <cell r="C121">
            <v>-1</v>
          </cell>
        </row>
        <row r="122">
          <cell r="A122">
            <v>5113941</v>
          </cell>
          <cell r="B122">
            <v>386250</v>
          </cell>
          <cell r="C122">
            <v>-1</v>
          </cell>
        </row>
        <row r="123">
          <cell r="A123">
            <v>5113951</v>
          </cell>
          <cell r="B123">
            <v>504640</v>
          </cell>
          <cell r="C123">
            <v>0</v>
          </cell>
        </row>
        <row r="124">
          <cell r="A124">
            <v>5113981</v>
          </cell>
          <cell r="B124">
            <v>41630</v>
          </cell>
          <cell r="C124">
            <v>1</v>
          </cell>
        </row>
        <row r="125">
          <cell r="A125">
            <v>5114063</v>
          </cell>
          <cell r="B125">
            <v>24810</v>
          </cell>
          <cell r="C125">
            <v>1</v>
          </cell>
        </row>
        <row r="126">
          <cell r="A126">
            <v>5114229</v>
          </cell>
          <cell r="B126">
            <v>86700</v>
          </cell>
          <cell r="C126">
            <v>2</v>
          </cell>
        </row>
        <row r="127">
          <cell r="A127">
            <v>5114257</v>
          </cell>
          <cell r="B127">
            <v>1555861</v>
          </cell>
          <cell r="C127">
            <v>29</v>
          </cell>
        </row>
        <row r="128">
          <cell r="A128">
            <v>5114299</v>
          </cell>
          <cell r="B128">
            <v>2320129</v>
          </cell>
          <cell r="C128">
            <v>52</v>
          </cell>
        </row>
        <row r="129">
          <cell r="A129">
            <v>5114532</v>
          </cell>
          <cell r="B129">
            <v>53130</v>
          </cell>
          <cell r="C129">
            <v>1</v>
          </cell>
        </row>
        <row r="130">
          <cell r="A130">
            <v>5114570</v>
          </cell>
          <cell r="B130">
            <v>26050</v>
          </cell>
          <cell r="C130">
            <v>1</v>
          </cell>
        </row>
        <row r="131">
          <cell r="A131">
            <v>5114624</v>
          </cell>
          <cell r="B131">
            <v>32740</v>
          </cell>
          <cell r="C131">
            <v>1</v>
          </cell>
        </row>
        <row r="132">
          <cell r="A132">
            <v>5114640</v>
          </cell>
          <cell r="B132">
            <v>675730</v>
          </cell>
          <cell r="C132">
            <v>0</v>
          </cell>
        </row>
        <row r="133">
          <cell r="A133">
            <v>5114645</v>
          </cell>
          <cell r="B133">
            <v>143830</v>
          </cell>
          <cell r="C133">
            <v>5</v>
          </cell>
        </row>
        <row r="134">
          <cell r="A134">
            <v>5114650</v>
          </cell>
          <cell r="B134">
            <v>223900</v>
          </cell>
          <cell r="C134">
            <v>4</v>
          </cell>
        </row>
        <row r="135">
          <cell r="A135">
            <v>5114657</v>
          </cell>
          <cell r="B135">
            <v>18270</v>
          </cell>
          <cell r="C135">
            <v>4</v>
          </cell>
        </row>
        <row r="136">
          <cell r="A136">
            <v>5114665</v>
          </cell>
          <cell r="B136">
            <v>14540</v>
          </cell>
          <cell r="C136">
            <v>1</v>
          </cell>
        </row>
        <row r="137">
          <cell r="A137">
            <v>5114667</v>
          </cell>
          <cell r="B137">
            <v>1027350</v>
          </cell>
          <cell r="C137">
            <v>1</v>
          </cell>
        </row>
        <row r="138">
          <cell r="A138">
            <v>5114669</v>
          </cell>
          <cell r="B138">
            <v>104380</v>
          </cell>
          <cell r="C138">
            <v>-1</v>
          </cell>
        </row>
        <row r="139">
          <cell r="A139">
            <v>5114672</v>
          </cell>
          <cell r="B139">
            <v>515990</v>
          </cell>
          <cell r="C139">
            <v>1</v>
          </cell>
        </row>
        <row r="140">
          <cell r="A140">
            <v>5114674</v>
          </cell>
          <cell r="B140">
            <v>1839827</v>
          </cell>
          <cell r="C140">
            <v>52</v>
          </cell>
        </row>
        <row r="141">
          <cell r="A141">
            <v>5114677</v>
          </cell>
          <cell r="B141">
            <v>367412</v>
          </cell>
          <cell r="C141">
            <v>16</v>
          </cell>
        </row>
        <row r="142">
          <cell r="A142">
            <v>5114678</v>
          </cell>
          <cell r="B142">
            <v>148560</v>
          </cell>
          <cell r="C142">
            <v>4</v>
          </cell>
        </row>
        <row r="143">
          <cell r="A143">
            <v>5114680</v>
          </cell>
          <cell r="B143">
            <v>273570</v>
          </cell>
          <cell r="C143">
            <v>4</v>
          </cell>
        </row>
        <row r="144">
          <cell r="A144">
            <v>5114681</v>
          </cell>
          <cell r="B144">
            <v>474273</v>
          </cell>
          <cell r="C144">
            <v>31</v>
          </cell>
        </row>
        <row r="145">
          <cell r="A145">
            <v>5114694</v>
          </cell>
          <cell r="B145">
            <v>19820</v>
          </cell>
          <cell r="C145">
            <v>2</v>
          </cell>
        </row>
        <row r="146">
          <cell r="A146">
            <v>5114696</v>
          </cell>
          <cell r="B146">
            <v>2560</v>
          </cell>
          <cell r="C146">
            <v>1</v>
          </cell>
        </row>
        <row r="147">
          <cell r="A147">
            <v>5114698</v>
          </cell>
          <cell r="B147">
            <v>137340</v>
          </cell>
          <cell r="C147">
            <v>0</v>
          </cell>
        </row>
        <row r="148">
          <cell r="A148">
            <v>5114703</v>
          </cell>
          <cell r="B148">
            <v>562690</v>
          </cell>
          <cell r="C148">
            <v>7</v>
          </cell>
        </row>
        <row r="149">
          <cell r="A149">
            <v>5114713</v>
          </cell>
          <cell r="B149">
            <v>61200</v>
          </cell>
          <cell r="C149">
            <v>1</v>
          </cell>
        </row>
        <row r="150">
          <cell r="A150">
            <v>5114714</v>
          </cell>
          <cell r="B150">
            <v>49500</v>
          </cell>
          <cell r="C150">
            <v>1</v>
          </cell>
        </row>
        <row r="151">
          <cell r="A151">
            <v>5114715</v>
          </cell>
          <cell r="B151">
            <v>1526088</v>
          </cell>
          <cell r="C151">
            <v>51</v>
          </cell>
        </row>
        <row r="152">
          <cell r="A152">
            <v>5114721</v>
          </cell>
          <cell r="B152">
            <v>95912</v>
          </cell>
          <cell r="C152">
            <v>27</v>
          </cell>
        </row>
        <row r="153">
          <cell r="A153">
            <v>5114723</v>
          </cell>
          <cell r="B153">
            <v>399520</v>
          </cell>
          <cell r="C153">
            <v>0</v>
          </cell>
        </row>
        <row r="154">
          <cell r="A154">
            <v>5114728</v>
          </cell>
          <cell r="B154">
            <v>218100</v>
          </cell>
          <cell r="C154">
            <v>0</v>
          </cell>
        </row>
        <row r="155">
          <cell r="A155">
            <v>5114731</v>
          </cell>
          <cell r="B155">
            <v>0</v>
          </cell>
          <cell r="C155">
            <v>1</v>
          </cell>
        </row>
        <row r="156">
          <cell r="A156">
            <v>5114734</v>
          </cell>
          <cell r="B156">
            <v>177383</v>
          </cell>
          <cell r="C156">
            <v>16</v>
          </cell>
        </row>
        <row r="157">
          <cell r="A157">
            <v>5114737</v>
          </cell>
          <cell r="B157">
            <v>530210</v>
          </cell>
          <cell r="C157">
            <v>0</v>
          </cell>
        </row>
        <row r="158">
          <cell r="A158">
            <v>5114740</v>
          </cell>
          <cell r="B158">
            <v>398220</v>
          </cell>
          <cell r="C158">
            <v>2</v>
          </cell>
        </row>
        <row r="159">
          <cell r="A159">
            <v>5114743</v>
          </cell>
          <cell r="B159">
            <v>1048849</v>
          </cell>
          <cell r="C159">
            <v>38</v>
          </cell>
        </row>
        <row r="160">
          <cell r="A160">
            <v>5114750</v>
          </cell>
          <cell r="B160">
            <v>857090</v>
          </cell>
          <cell r="C160">
            <v>8</v>
          </cell>
        </row>
        <row r="161">
          <cell r="A161">
            <v>5114761</v>
          </cell>
          <cell r="B161">
            <v>643240</v>
          </cell>
          <cell r="C161">
            <v>2</v>
          </cell>
        </row>
        <row r="162">
          <cell r="A162">
            <v>5114772</v>
          </cell>
          <cell r="B162">
            <v>833210</v>
          </cell>
          <cell r="C162">
            <v>0</v>
          </cell>
        </row>
        <row r="163">
          <cell r="A163">
            <v>5114799</v>
          </cell>
          <cell r="B163">
            <v>56930</v>
          </cell>
          <cell r="C163">
            <v>1</v>
          </cell>
        </row>
        <row r="164">
          <cell r="A164">
            <v>5114950</v>
          </cell>
          <cell r="B164">
            <v>157210</v>
          </cell>
          <cell r="C164">
            <v>-1</v>
          </cell>
        </row>
        <row r="165">
          <cell r="A165">
            <v>5115024</v>
          </cell>
          <cell r="B165">
            <v>620577</v>
          </cell>
          <cell r="C165">
            <v>27</v>
          </cell>
        </row>
        <row r="166">
          <cell r="A166">
            <v>5115184</v>
          </cell>
          <cell r="B166">
            <v>470360</v>
          </cell>
          <cell r="C166">
            <v>9</v>
          </cell>
        </row>
        <row r="167">
          <cell r="A167">
            <v>5115242</v>
          </cell>
          <cell r="B167">
            <v>56060</v>
          </cell>
          <cell r="C167">
            <v>1</v>
          </cell>
        </row>
        <row r="168">
          <cell r="A168">
            <v>5115252</v>
          </cell>
          <cell r="B168">
            <v>30990</v>
          </cell>
          <cell r="C168">
            <v>1</v>
          </cell>
        </row>
        <row r="169">
          <cell r="A169">
            <v>5115273</v>
          </cell>
          <cell r="B169">
            <v>114250</v>
          </cell>
          <cell r="C169">
            <v>7</v>
          </cell>
        </row>
        <row r="170">
          <cell r="A170">
            <v>5115298</v>
          </cell>
          <cell r="B170">
            <v>28110</v>
          </cell>
          <cell r="C170">
            <v>1</v>
          </cell>
        </row>
        <row r="171">
          <cell r="A171">
            <v>5115348</v>
          </cell>
          <cell r="B171">
            <v>139010</v>
          </cell>
          <cell r="C171">
            <v>3</v>
          </cell>
        </row>
        <row r="172">
          <cell r="A172">
            <v>5115380</v>
          </cell>
          <cell r="B172">
            <v>2060424</v>
          </cell>
          <cell r="C172">
            <v>53</v>
          </cell>
        </row>
        <row r="173">
          <cell r="A173">
            <v>5115401</v>
          </cell>
          <cell r="B173">
            <v>77640</v>
          </cell>
          <cell r="C173">
            <v>4</v>
          </cell>
        </row>
        <row r="174">
          <cell r="A174">
            <v>5115551</v>
          </cell>
          <cell r="B174">
            <v>19130</v>
          </cell>
          <cell r="C174">
            <v>1</v>
          </cell>
        </row>
        <row r="175">
          <cell r="A175">
            <v>5115561</v>
          </cell>
          <cell r="B175">
            <v>31940</v>
          </cell>
          <cell r="C175">
            <v>2</v>
          </cell>
        </row>
        <row r="176">
          <cell r="A176">
            <v>5115583</v>
          </cell>
          <cell r="B176">
            <v>38420</v>
          </cell>
          <cell r="C176">
            <v>1</v>
          </cell>
        </row>
        <row r="177">
          <cell r="A177">
            <v>5115624</v>
          </cell>
          <cell r="B177">
            <v>867190</v>
          </cell>
          <cell r="C177">
            <v>3</v>
          </cell>
        </row>
        <row r="178">
          <cell r="A178">
            <v>5115644</v>
          </cell>
          <cell r="B178">
            <v>83630</v>
          </cell>
          <cell r="C178">
            <v>2</v>
          </cell>
        </row>
        <row r="179">
          <cell r="A179">
            <v>5115661</v>
          </cell>
          <cell r="B179">
            <v>9750</v>
          </cell>
          <cell r="C179">
            <v>1</v>
          </cell>
        </row>
        <row r="180">
          <cell r="A180">
            <v>5115671</v>
          </cell>
          <cell r="B180">
            <v>547590</v>
          </cell>
          <cell r="C180">
            <v>7</v>
          </cell>
        </row>
        <row r="181">
          <cell r="A181">
            <v>5115681</v>
          </cell>
          <cell r="B181">
            <v>43240</v>
          </cell>
          <cell r="C181">
            <v>1</v>
          </cell>
        </row>
        <row r="182">
          <cell r="A182">
            <v>5115728</v>
          </cell>
          <cell r="B182">
            <v>24970</v>
          </cell>
          <cell r="C182">
            <v>1</v>
          </cell>
        </row>
        <row r="183">
          <cell r="A183">
            <v>5115738</v>
          </cell>
          <cell r="B183">
            <v>23970</v>
          </cell>
          <cell r="C183">
            <v>2</v>
          </cell>
        </row>
        <row r="184">
          <cell r="A184">
            <v>5115848</v>
          </cell>
          <cell r="B184">
            <v>49620</v>
          </cell>
          <cell r="C184">
            <v>1</v>
          </cell>
        </row>
        <row r="185">
          <cell r="A185">
            <v>5115869</v>
          </cell>
          <cell r="B185">
            <v>25580</v>
          </cell>
          <cell r="C185">
            <v>1</v>
          </cell>
        </row>
        <row r="186">
          <cell r="A186">
            <v>5115913</v>
          </cell>
          <cell r="B186">
            <v>1494143</v>
          </cell>
          <cell r="C186">
            <v>52</v>
          </cell>
        </row>
        <row r="187">
          <cell r="A187">
            <v>5115934</v>
          </cell>
          <cell r="B187">
            <v>215650</v>
          </cell>
          <cell r="C187">
            <v>3</v>
          </cell>
        </row>
        <row r="188">
          <cell r="A188">
            <v>5115955</v>
          </cell>
          <cell r="B188">
            <v>8100</v>
          </cell>
          <cell r="C188">
            <v>1</v>
          </cell>
        </row>
        <row r="189">
          <cell r="A189">
            <v>5115965</v>
          </cell>
          <cell r="B189">
            <v>41380</v>
          </cell>
          <cell r="C189">
            <v>1</v>
          </cell>
        </row>
        <row r="190">
          <cell r="A190">
            <v>5115984</v>
          </cell>
          <cell r="B190">
            <v>2136000</v>
          </cell>
          <cell r="C190">
            <v>3</v>
          </cell>
        </row>
        <row r="191">
          <cell r="A191">
            <v>5116007</v>
          </cell>
          <cell r="B191">
            <v>45840</v>
          </cell>
          <cell r="C191">
            <v>3</v>
          </cell>
        </row>
        <row r="192">
          <cell r="A192">
            <v>5116048</v>
          </cell>
          <cell r="B192">
            <v>283650</v>
          </cell>
          <cell r="C192">
            <v>-1</v>
          </cell>
        </row>
        <row r="193">
          <cell r="A193">
            <v>5116059</v>
          </cell>
          <cell r="B193">
            <v>133330</v>
          </cell>
          <cell r="C193">
            <v>2</v>
          </cell>
        </row>
        <row r="194">
          <cell r="A194">
            <v>5116181</v>
          </cell>
          <cell r="B194">
            <v>152010</v>
          </cell>
          <cell r="C194">
            <v>1</v>
          </cell>
        </row>
        <row r="195">
          <cell r="A195">
            <v>5116191</v>
          </cell>
          <cell r="B195">
            <v>36710</v>
          </cell>
          <cell r="C195">
            <v>1</v>
          </cell>
        </row>
        <row r="196">
          <cell r="A196">
            <v>5116212</v>
          </cell>
          <cell r="B196">
            <v>192870</v>
          </cell>
          <cell r="C196">
            <v>5</v>
          </cell>
        </row>
        <row r="197">
          <cell r="A197">
            <v>5116284</v>
          </cell>
          <cell r="B197">
            <v>12400</v>
          </cell>
          <cell r="C197">
            <v>2</v>
          </cell>
        </row>
        <row r="198">
          <cell r="A198">
            <v>5116316</v>
          </cell>
          <cell r="B198">
            <v>108870</v>
          </cell>
          <cell r="C198">
            <v>1</v>
          </cell>
        </row>
        <row r="199">
          <cell r="A199">
            <v>5116347</v>
          </cell>
          <cell r="B199">
            <v>143740</v>
          </cell>
          <cell r="C199">
            <v>3</v>
          </cell>
        </row>
        <row r="200">
          <cell r="A200">
            <v>5116358</v>
          </cell>
          <cell r="B200">
            <v>730125</v>
          </cell>
          <cell r="C200">
            <v>19</v>
          </cell>
        </row>
        <row r="201">
          <cell r="A201">
            <v>5116455</v>
          </cell>
          <cell r="B201">
            <v>4910</v>
          </cell>
          <cell r="C201">
            <v>1</v>
          </cell>
        </row>
        <row r="202">
          <cell r="A202">
            <v>5116459</v>
          </cell>
          <cell r="B202">
            <v>29480</v>
          </cell>
          <cell r="C202">
            <v>1</v>
          </cell>
        </row>
        <row r="203">
          <cell r="A203">
            <v>5116462</v>
          </cell>
          <cell r="B203">
            <v>31840</v>
          </cell>
          <cell r="C203">
            <v>1</v>
          </cell>
        </row>
        <row r="204">
          <cell r="A204">
            <v>5116469</v>
          </cell>
          <cell r="B204">
            <v>10280</v>
          </cell>
          <cell r="C204">
            <v>1</v>
          </cell>
        </row>
        <row r="205">
          <cell r="A205">
            <v>5116477</v>
          </cell>
          <cell r="B205">
            <v>45140</v>
          </cell>
          <cell r="C205">
            <v>1</v>
          </cell>
        </row>
        <row r="206">
          <cell r="A206">
            <v>5116478</v>
          </cell>
          <cell r="B206">
            <v>19370</v>
          </cell>
          <cell r="C206">
            <v>1</v>
          </cell>
        </row>
        <row r="207">
          <cell r="A207">
            <v>5116489</v>
          </cell>
          <cell r="B207">
            <v>67550</v>
          </cell>
          <cell r="C207">
            <v>1</v>
          </cell>
        </row>
        <row r="208">
          <cell r="A208">
            <v>5116498</v>
          </cell>
          <cell r="B208">
            <v>84140</v>
          </cell>
          <cell r="C208">
            <v>1</v>
          </cell>
        </row>
        <row r="209">
          <cell r="A209">
            <v>5116508</v>
          </cell>
          <cell r="B209">
            <v>135340</v>
          </cell>
          <cell r="C209">
            <v>3</v>
          </cell>
        </row>
        <row r="210">
          <cell r="A210">
            <v>5116522</v>
          </cell>
          <cell r="B210">
            <v>40050</v>
          </cell>
          <cell r="C210">
            <v>1</v>
          </cell>
        </row>
        <row r="211">
          <cell r="A211">
            <v>5116524</v>
          </cell>
          <cell r="B211">
            <v>109320</v>
          </cell>
          <cell r="C211">
            <v>7</v>
          </cell>
        </row>
        <row r="212">
          <cell r="A212">
            <v>5116525</v>
          </cell>
          <cell r="B212">
            <v>78360</v>
          </cell>
          <cell r="C212">
            <v>2</v>
          </cell>
        </row>
        <row r="213">
          <cell r="A213">
            <v>5116556</v>
          </cell>
          <cell r="B213">
            <v>2135023</v>
          </cell>
          <cell r="C213">
            <v>50</v>
          </cell>
        </row>
        <row r="214">
          <cell r="A214">
            <v>5116566</v>
          </cell>
          <cell r="B214">
            <v>23280</v>
          </cell>
          <cell r="C214">
            <v>1</v>
          </cell>
        </row>
        <row r="215">
          <cell r="A215">
            <v>5116595</v>
          </cell>
          <cell r="B215">
            <v>227568</v>
          </cell>
          <cell r="C215">
            <v>53</v>
          </cell>
        </row>
        <row r="216">
          <cell r="A216">
            <v>5116606</v>
          </cell>
          <cell r="B216">
            <v>36050</v>
          </cell>
          <cell r="C216">
            <v>1</v>
          </cell>
        </row>
        <row r="217">
          <cell r="A217">
            <v>5116626</v>
          </cell>
          <cell r="B217">
            <v>26820</v>
          </cell>
          <cell r="C217">
            <v>1</v>
          </cell>
        </row>
        <row r="218">
          <cell r="A218">
            <v>5116635</v>
          </cell>
          <cell r="B218">
            <v>20830</v>
          </cell>
          <cell r="C218">
            <v>1</v>
          </cell>
        </row>
        <row r="219">
          <cell r="A219">
            <v>5116646</v>
          </cell>
          <cell r="B219">
            <v>27570</v>
          </cell>
          <cell r="C219">
            <v>1</v>
          </cell>
        </row>
        <row r="220">
          <cell r="A220">
            <v>5116724</v>
          </cell>
          <cell r="B220">
            <v>2003930</v>
          </cell>
          <cell r="C220">
            <v>45</v>
          </cell>
        </row>
        <row r="221">
          <cell r="A221">
            <v>5116735</v>
          </cell>
          <cell r="B221">
            <v>9510</v>
          </cell>
          <cell r="C221">
            <v>1</v>
          </cell>
        </row>
        <row r="222">
          <cell r="A222">
            <v>5116757</v>
          </cell>
          <cell r="B222">
            <v>126960</v>
          </cell>
          <cell r="C222">
            <v>4</v>
          </cell>
        </row>
        <row r="223">
          <cell r="A223">
            <v>5116769</v>
          </cell>
          <cell r="B223">
            <v>19510</v>
          </cell>
          <cell r="C223">
            <v>1</v>
          </cell>
        </row>
        <row r="224">
          <cell r="A224">
            <v>5116780</v>
          </cell>
          <cell r="B224">
            <v>18030</v>
          </cell>
          <cell r="C224">
            <v>1</v>
          </cell>
        </row>
        <row r="225">
          <cell r="A225">
            <v>5116900</v>
          </cell>
          <cell r="B225">
            <v>24520</v>
          </cell>
          <cell r="C225">
            <v>2</v>
          </cell>
        </row>
        <row r="226">
          <cell r="A226">
            <v>5116920</v>
          </cell>
          <cell r="B226">
            <v>76840</v>
          </cell>
          <cell r="C226">
            <v>3</v>
          </cell>
        </row>
        <row r="227">
          <cell r="A227">
            <v>5116938</v>
          </cell>
          <cell r="B227">
            <v>1212182</v>
          </cell>
          <cell r="C227">
            <v>48</v>
          </cell>
        </row>
        <row r="228">
          <cell r="A228">
            <v>5116947</v>
          </cell>
          <cell r="B228">
            <v>63420</v>
          </cell>
          <cell r="C228">
            <v>0</v>
          </cell>
        </row>
        <row r="229">
          <cell r="A229">
            <v>5117079</v>
          </cell>
          <cell r="B229">
            <v>2267168</v>
          </cell>
          <cell r="C229">
            <v>53</v>
          </cell>
        </row>
        <row r="230">
          <cell r="A230">
            <v>5117089</v>
          </cell>
          <cell r="B230">
            <v>29180</v>
          </cell>
          <cell r="C230">
            <v>1</v>
          </cell>
        </row>
        <row r="231">
          <cell r="A231">
            <v>5117094</v>
          </cell>
          <cell r="B231">
            <v>37990</v>
          </cell>
          <cell r="C231">
            <v>1</v>
          </cell>
        </row>
        <row r="232">
          <cell r="A232">
            <v>5119155</v>
          </cell>
          <cell r="B232">
            <v>336900</v>
          </cell>
          <cell r="C232">
            <v>0</v>
          </cell>
        </row>
        <row r="233">
          <cell r="A233">
            <v>5366452</v>
          </cell>
          <cell r="B233">
            <v>2352810</v>
          </cell>
          <cell r="C233">
            <v>10</v>
          </cell>
        </row>
        <row r="234">
          <cell r="A234">
            <v>5880600</v>
          </cell>
          <cell r="B234">
            <v>29370</v>
          </cell>
          <cell r="C234">
            <v>5</v>
          </cell>
        </row>
        <row r="235">
          <cell r="A235">
            <v>5899703</v>
          </cell>
          <cell r="B235">
            <v>43200</v>
          </cell>
          <cell r="C235">
            <v>2</v>
          </cell>
        </row>
        <row r="236">
          <cell r="A236">
            <v>5901484</v>
          </cell>
          <cell r="B236">
            <v>374070</v>
          </cell>
          <cell r="C236">
            <v>2</v>
          </cell>
        </row>
        <row r="237">
          <cell r="A237">
            <v>5908054</v>
          </cell>
          <cell r="B237">
            <v>12790</v>
          </cell>
          <cell r="C237">
            <v>1</v>
          </cell>
        </row>
      </sheetData>
      <sheetData sheetId="2">
        <row r="1">
          <cell r="A1" t="str">
            <v>NIS_RAD</v>
          </cell>
          <cell r="B1" t="str">
            <v>NIC</v>
          </cell>
          <cell r="C1" t="str">
            <v>COD_UNICOM</v>
          </cell>
          <cell r="D1" t="str">
            <v>NUM_APA</v>
          </cell>
          <cell r="E1" t="str">
            <v>MAY_2002</v>
          </cell>
          <cell r="F1" t="str">
            <v>JUN_2002</v>
          </cell>
          <cell r="G1" t="str">
            <v>JUL_2002</v>
          </cell>
          <cell r="H1" t="str">
            <v>AGO_2002</v>
          </cell>
          <cell r="I1" t="str">
            <v>SEP_2002</v>
          </cell>
          <cell r="J1" t="str">
            <v>OCT_2002</v>
          </cell>
          <cell r="K1" t="str">
            <v>NOV_2002</v>
          </cell>
          <cell r="L1" t="str">
            <v>DIC_2002</v>
          </cell>
          <cell r="M1" t="str">
            <v>ENE_2003</v>
          </cell>
        </row>
        <row r="2">
          <cell r="A2">
            <v>5184156</v>
          </cell>
          <cell r="B2">
            <v>5116171</v>
          </cell>
          <cell r="C2">
            <v>4410</v>
          </cell>
          <cell r="E2">
            <v>235</v>
          </cell>
          <cell r="F2">
            <v>210</v>
          </cell>
          <cell r="G2">
            <v>202</v>
          </cell>
          <cell r="H2">
            <v>180</v>
          </cell>
          <cell r="I2">
            <v>234</v>
          </cell>
          <cell r="J2">
            <v>202</v>
          </cell>
          <cell r="K2">
            <v>215</v>
          </cell>
          <cell r="L2">
            <v>161</v>
          </cell>
          <cell r="M2">
            <v>165</v>
          </cell>
        </row>
        <row r="3">
          <cell r="A3">
            <v>5184176</v>
          </cell>
          <cell r="B3">
            <v>5116181</v>
          </cell>
          <cell r="C3">
            <v>4410</v>
          </cell>
          <cell r="D3">
            <v>31987828</v>
          </cell>
          <cell r="E3">
            <v>119</v>
          </cell>
          <cell r="F3">
            <v>212</v>
          </cell>
          <cell r="G3">
            <v>103</v>
          </cell>
          <cell r="H3">
            <v>102</v>
          </cell>
          <cell r="I3">
            <v>109</v>
          </cell>
          <cell r="J3">
            <v>648</v>
          </cell>
          <cell r="K3">
            <v>254</v>
          </cell>
          <cell r="L3">
            <v>154</v>
          </cell>
          <cell r="M3">
            <v>75</v>
          </cell>
        </row>
        <row r="4">
          <cell r="A4">
            <v>5184258</v>
          </cell>
          <cell r="B4">
            <v>5116222</v>
          </cell>
          <cell r="C4">
            <v>4410</v>
          </cell>
          <cell r="D4">
            <v>3361116</v>
          </cell>
          <cell r="E4">
            <v>238</v>
          </cell>
          <cell r="F4">
            <v>212</v>
          </cell>
          <cell r="G4">
            <v>204</v>
          </cell>
          <cell r="H4">
            <v>181</v>
          </cell>
          <cell r="I4">
            <v>236</v>
          </cell>
          <cell r="J4">
            <v>44</v>
          </cell>
          <cell r="K4">
            <v>20</v>
          </cell>
          <cell r="L4">
            <v>15</v>
          </cell>
          <cell r="M4">
            <v>74</v>
          </cell>
        </row>
        <row r="5">
          <cell r="A5">
            <v>5184238</v>
          </cell>
          <cell r="B5">
            <v>5116212</v>
          </cell>
          <cell r="C5">
            <v>4410</v>
          </cell>
          <cell r="D5">
            <v>9016247</v>
          </cell>
          <cell r="E5">
            <v>233</v>
          </cell>
          <cell r="F5">
            <v>206</v>
          </cell>
          <cell r="G5">
            <v>200</v>
          </cell>
          <cell r="H5">
            <v>189</v>
          </cell>
          <cell r="I5">
            <v>273</v>
          </cell>
          <cell r="J5">
            <v>469</v>
          </cell>
          <cell r="K5">
            <v>121</v>
          </cell>
          <cell r="L5">
            <v>111</v>
          </cell>
          <cell r="M5">
            <v>8</v>
          </cell>
        </row>
        <row r="6">
          <cell r="A6">
            <v>5184196</v>
          </cell>
          <cell r="B6">
            <v>5116191</v>
          </cell>
          <cell r="C6">
            <v>4410</v>
          </cell>
          <cell r="D6">
            <v>3507301</v>
          </cell>
          <cell r="E6">
            <v>172</v>
          </cell>
          <cell r="F6">
            <v>152</v>
          </cell>
          <cell r="G6">
            <v>90</v>
          </cell>
          <cell r="H6">
            <v>86</v>
          </cell>
          <cell r="I6">
            <v>95</v>
          </cell>
          <cell r="J6">
            <v>141</v>
          </cell>
          <cell r="K6">
            <v>113</v>
          </cell>
          <cell r="L6">
            <v>105</v>
          </cell>
          <cell r="M6">
            <v>133</v>
          </cell>
        </row>
        <row r="7">
          <cell r="A7">
            <v>5181098</v>
          </cell>
          <cell r="B7">
            <v>5114642</v>
          </cell>
          <cell r="C7">
            <v>4410</v>
          </cell>
          <cell r="D7">
            <v>9016697</v>
          </cell>
          <cell r="E7">
            <v>119</v>
          </cell>
          <cell r="F7">
            <v>139</v>
          </cell>
          <cell r="G7">
            <v>82</v>
          </cell>
          <cell r="H7">
            <v>122</v>
          </cell>
          <cell r="I7">
            <v>84</v>
          </cell>
          <cell r="J7">
            <v>59</v>
          </cell>
          <cell r="K7">
            <v>42</v>
          </cell>
          <cell r="L7">
            <v>122</v>
          </cell>
          <cell r="M7">
            <v>122</v>
          </cell>
        </row>
        <row r="8">
          <cell r="A8">
            <v>5079478</v>
          </cell>
          <cell r="B8">
            <v>5063832</v>
          </cell>
          <cell r="C8">
            <v>4410</v>
          </cell>
          <cell r="D8">
            <v>2944590</v>
          </cell>
          <cell r="E8">
            <v>157</v>
          </cell>
          <cell r="F8">
            <v>100</v>
          </cell>
          <cell r="G8">
            <v>48</v>
          </cell>
          <cell r="H8">
            <v>47</v>
          </cell>
          <cell r="I8">
            <v>47</v>
          </cell>
          <cell r="J8">
            <v>39</v>
          </cell>
          <cell r="K8">
            <v>9</v>
          </cell>
          <cell r="L8">
            <v>15</v>
          </cell>
          <cell r="M8">
            <v>45</v>
          </cell>
        </row>
        <row r="9">
          <cell r="A9">
            <v>5184218</v>
          </cell>
          <cell r="B9">
            <v>5116202</v>
          </cell>
          <cell r="C9">
            <v>4410</v>
          </cell>
          <cell r="D9">
            <v>3391016</v>
          </cell>
          <cell r="E9">
            <v>187</v>
          </cell>
          <cell r="F9">
            <v>137</v>
          </cell>
          <cell r="G9">
            <v>163</v>
          </cell>
          <cell r="H9">
            <v>111</v>
          </cell>
          <cell r="I9">
            <v>168</v>
          </cell>
          <cell r="J9">
            <v>38</v>
          </cell>
          <cell r="K9">
            <v>101</v>
          </cell>
          <cell r="L9">
            <v>92</v>
          </cell>
          <cell r="M9">
            <v>130</v>
          </cell>
        </row>
        <row r="10">
          <cell r="A10">
            <v>5184110</v>
          </cell>
          <cell r="B10">
            <v>5116148</v>
          </cell>
          <cell r="C10">
            <v>4410</v>
          </cell>
          <cell r="D10">
            <v>2198508</v>
          </cell>
          <cell r="E10">
            <v>130</v>
          </cell>
          <cell r="F10">
            <v>105</v>
          </cell>
          <cell r="G10">
            <v>128</v>
          </cell>
          <cell r="H10">
            <v>112</v>
          </cell>
          <cell r="I10">
            <v>114</v>
          </cell>
          <cell r="J10">
            <v>149</v>
          </cell>
          <cell r="K10">
            <v>189</v>
          </cell>
          <cell r="L10">
            <v>191</v>
          </cell>
          <cell r="M10">
            <v>219</v>
          </cell>
        </row>
        <row r="11">
          <cell r="A11">
            <v>5184088</v>
          </cell>
          <cell r="B11">
            <v>5116137</v>
          </cell>
          <cell r="C11">
            <v>4410</v>
          </cell>
          <cell r="D11">
            <v>6826443</v>
          </cell>
          <cell r="E11">
            <v>190</v>
          </cell>
          <cell r="F11">
            <v>116</v>
          </cell>
          <cell r="G11">
            <v>113</v>
          </cell>
          <cell r="H11">
            <v>122</v>
          </cell>
          <cell r="I11">
            <v>122</v>
          </cell>
          <cell r="J11">
            <v>109</v>
          </cell>
          <cell r="K11">
            <v>193</v>
          </cell>
          <cell r="L11">
            <v>157</v>
          </cell>
          <cell r="M11">
            <v>208</v>
          </cell>
        </row>
        <row r="12">
          <cell r="A12">
            <v>5184132</v>
          </cell>
          <cell r="B12">
            <v>5116159</v>
          </cell>
          <cell r="C12">
            <v>4410</v>
          </cell>
          <cell r="D12">
            <v>3729620</v>
          </cell>
          <cell r="E12">
            <v>168</v>
          </cell>
          <cell r="F12">
            <v>172</v>
          </cell>
          <cell r="G12">
            <v>161</v>
          </cell>
          <cell r="H12">
            <v>141</v>
          </cell>
          <cell r="I12">
            <v>165</v>
          </cell>
          <cell r="J12">
            <v>162</v>
          </cell>
          <cell r="K12">
            <v>176</v>
          </cell>
          <cell r="L12">
            <v>175</v>
          </cell>
          <cell r="M12">
            <v>164</v>
          </cell>
        </row>
        <row r="13">
          <cell r="A13">
            <v>5181094</v>
          </cell>
          <cell r="B13">
            <v>5114640</v>
          </cell>
          <cell r="C13">
            <v>4410</v>
          </cell>
          <cell r="D13">
            <v>31993420</v>
          </cell>
          <cell r="E13">
            <v>53</v>
          </cell>
          <cell r="F13">
            <v>42</v>
          </cell>
          <cell r="G13">
            <v>47</v>
          </cell>
          <cell r="H13">
            <v>43</v>
          </cell>
          <cell r="I13">
            <v>47</v>
          </cell>
          <cell r="J13">
            <v>41</v>
          </cell>
          <cell r="K13">
            <v>42</v>
          </cell>
          <cell r="L13">
            <v>38</v>
          </cell>
          <cell r="M13">
            <v>44</v>
          </cell>
        </row>
        <row r="14">
          <cell r="A14">
            <v>5181084</v>
          </cell>
          <cell r="B14">
            <v>5114635</v>
          </cell>
          <cell r="C14">
            <v>4410</v>
          </cell>
          <cell r="D14">
            <v>32998205</v>
          </cell>
          <cell r="E14">
            <v>279</v>
          </cell>
          <cell r="F14">
            <v>5</v>
          </cell>
          <cell r="G14">
            <v>474</v>
          </cell>
          <cell r="H14">
            <v>222</v>
          </cell>
          <cell r="I14">
            <v>239</v>
          </cell>
          <cell r="J14">
            <v>201</v>
          </cell>
          <cell r="K14">
            <v>230</v>
          </cell>
          <cell r="L14">
            <v>241</v>
          </cell>
          <cell r="M14">
            <v>272</v>
          </cell>
        </row>
        <row r="15">
          <cell r="A15">
            <v>5181088</v>
          </cell>
          <cell r="B15">
            <v>5114637</v>
          </cell>
          <cell r="C15">
            <v>4410</v>
          </cell>
          <cell r="D15">
            <v>33001759</v>
          </cell>
          <cell r="E15">
            <v>72</v>
          </cell>
          <cell r="F15">
            <v>65</v>
          </cell>
          <cell r="G15">
            <v>60</v>
          </cell>
          <cell r="H15">
            <v>59</v>
          </cell>
          <cell r="I15">
            <v>67</v>
          </cell>
          <cell r="J15">
            <v>99</v>
          </cell>
          <cell r="K15">
            <v>155</v>
          </cell>
          <cell r="L15">
            <v>149</v>
          </cell>
          <cell r="M15">
            <v>100</v>
          </cell>
        </row>
        <row r="16">
          <cell r="A16">
            <v>5181086</v>
          </cell>
          <cell r="B16">
            <v>5114636</v>
          </cell>
          <cell r="C16">
            <v>4410</v>
          </cell>
          <cell r="D16">
            <v>32998188</v>
          </cell>
          <cell r="E16">
            <v>172</v>
          </cell>
          <cell r="F16">
            <v>152</v>
          </cell>
          <cell r="G16">
            <v>148</v>
          </cell>
          <cell r="H16">
            <v>144</v>
          </cell>
          <cell r="I16">
            <v>213</v>
          </cell>
          <cell r="J16">
            <v>183</v>
          </cell>
          <cell r="K16">
            <v>193</v>
          </cell>
          <cell r="L16">
            <v>172</v>
          </cell>
          <cell r="M16">
            <v>184</v>
          </cell>
        </row>
        <row r="17">
          <cell r="A17">
            <v>5181090</v>
          </cell>
          <cell r="B17">
            <v>5114638</v>
          </cell>
          <cell r="C17">
            <v>4410</v>
          </cell>
          <cell r="D17">
            <v>33001685</v>
          </cell>
          <cell r="E17">
            <v>417</v>
          </cell>
          <cell r="F17">
            <v>312</v>
          </cell>
          <cell r="G17">
            <v>207</v>
          </cell>
          <cell r="H17">
            <v>229</v>
          </cell>
          <cell r="I17">
            <v>299</v>
          </cell>
          <cell r="J17">
            <v>286</v>
          </cell>
          <cell r="K17">
            <v>294</v>
          </cell>
          <cell r="L17">
            <v>209</v>
          </cell>
          <cell r="M17">
            <v>258</v>
          </cell>
        </row>
        <row r="18">
          <cell r="A18">
            <v>5181092</v>
          </cell>
          <cell r="B18">
            <v>5114639</v>
          </cell>
          <cell r="C18">
            <v>4410</v>
          </cell>
          <cell r="D18">
            <v>33001541</v>
          </cell>
          <cell r="E18">
            <v>322</v>
          </cell>
          <cell r="F18">
            <v>249</v>
          </cell>
          <cell r="G18">
            <v>233</v>
          </cell>
          <cell r="H18">
            <v>257</v>
          </cell>
          <cell r="I18">
            <v>301</v>
          </cell>
          <cell r="J18">
            <v>276</v>
          </cell>
          <cell r="K18">
            <v>301</v>
          </cell>
          <cell r="L18">
            <v>261</v>
          </cell>
          <cell r="M18">
            <v>276</v>
          </cell>
        </row>
        <row r="19">
          <cell r="A19">
            <v>5184402</v>
          </cell>
          <cell r="B19">
            <v>5116294</v>
          </cell>
          <cell r="C19">
            <v>4410</v>
          </cell>
          <cell r="D19">
            <v>31987900</v>
          </cell>
          <cell r="E19">
            <v>5</v>
          </cell>
          <cell r="F19">
            <v>100</v>
          </cell>
          <cell r="G19">
            <v>0</v>
          </cell>
          <cell r="H19">
            <v>14</v>
          </cell>
          <cell r="I19">
            <v>53</v>
          </cell>
          <cell r="J19">
            <v>0</v>
          </cell>
          <cell r="K19">
            <v>12</v>
          </cell>
          <cell r="L19">
            <v>12</v>
          </cell>
          <cell r="M19">
            <v>0</v>
          </cell>
        </row>
        <row r="20">
          <cell r="A20">
            <v>5184340</v>
          </cell>
          <cell r="B20">
            <v>5116263</v>
          </cell>
          <cell r="C20">
            <v>4410</v>
          </cell>
          <cell r="D20">
            <v>31987903</v>
          </cell>
          <cell r="E20">
            <v>122</v>
          </cell>
          <cell r="F20">
            <v>111</v>
          </cell>
          <cell r="G20">
            <v>127</v>
          </cell>
          <cell r="H20">
            <v>114</v>
          </cell>
          <cell r="I20">
            <v>116</v>
          </cell>
          <cell r="J20">
            <v>102</v>
          </cell>
          <cell r="K20">
            <v>92</v>
          </cell>
          <cell r="L20">
            <v>87</v>
          </cell>
          <cell r="M20">
            <v>101</v>
          </cell>
        </row>
        <row r="21">
          <cell r="A21">
            <v>5184424</v>
          </cell>
          <cell r="B21">
            <v>5116305</v>
          </cell>
          <cell r="C21">
            <v>4410</v>
          </cell>
          <cell r="D21">
            <v>3313722</v>
          </cell>
          <cell r="E21">
            <v>32</v>
          </cell>
          <cell r="F21">
            <v>30</v>
          </cell>
          <cell r="G21">
            <v>25</v>
          </cell>
          <cell r="H21">
            <v>27</v>
          </cell>
          <cell r="I21">
            <v>31</v>
          </cell>
          <cell r="J21">
            <v>50</v>
          </cell>
          <cell r="K21">
            <v>106</v>
          </cell>
          <cell r="L21">
            <v>94</v>
          </cell>
          <cell r="M21">
            <v>130</v>
          </cell>
        </row>
        <row r="22">
          <cell r="A22">
            <v>5181082</v>
          </cell>
          <cell r="B22">
            <v>5114634</v>
          </cell>
          <cell r="C22">
            <v>4410</v>
          </cell>
          <cell r="D22">
            <v>33995840</v>
          </cell>
          <cell r="E22">
            <v>188</v>
          </cell>
          <cell r="F22">
            <v>113</v>
          </cell>
          <cell r="G22">
            <v>208</v>
          </cell>
          <cell r="H22">
            <v>161</v>
          </cell>
          <cell r="I22">
            <v>173</v>
          </cell>
          <cell r="J22">
            <v>159</v>
          </cell>
          <cell r="K22">
            <v>166</v>
          </cell>
          <cell r="L22">
            <v>154</v>
          </cell>
          <cell r="M22">
            <v>178</v>
          </cell>
        </row>
        <row r="23">
          <cell r="A23">
            <v>5184446</v>
          </cell>
          <cell r="B23">
            <v>5116316</v>
          </cell>
          <cell r="C23">
            <v>4410</v>
          </cell>
          <cell r="D23">
            <v>1728450</v>
          </cell>
          <cell r="E23">
            <v>325</v>
          </cell>
          <cell r="F23">
            <v>282</v>
          </cell>
          <cell r="G23">
            <v>287</v>
          </cell>
          <cell r="H23">
            <v>242</v>
          </cell>
          <cell r="I23">
            <v>307</v>
          </cell>
          <cell r="J23">
            <v>283</v>
          </cell>
          <cell r="K23">
            <v>298</v>
          </cell>
          <cell r="L23">
            <v>305</v>
          </cell>
          <cell r="M23">
            <v>361</v>
          </cell>
        </row>
        <row r="24">
          <cell r="A24">
            <v>5184360</v>
          </cell>
          <cell r="B24">
            <v>5116273</v>
          </cell>
          <cell r="C24">
            <v>4410</v>
          </cell>
          <cell r="D24">
            <v>359271</v>
          </cell>
          <cell r="E24">
            <v>176</v>
          </cell>
          <cell r="F24">
            <v>136</v>
          </cell>
          <cell r="G24">
            <v>138</v>
          </cell>
          <cell r="H24">
            <v>141</v>
          </cell>
          <cell r="I24">
            <v>130</v>
          </cell>
          <cell r="J24">
            <v>157</v>
          </cell>
          <cell r="K24">
            <v>177</v>
          </cell>
          <cell r="L24">
            <v>161</v>
          </cell>
          <cell r="M24">
            <v>184</v>
          </cell>
        </row>
        <row r="25">
          <cell r="A25">
            <v>5181080</v>
          </cell>
          <cell r="B25">
            <v>5114633</v>
          </cell>
          <cell r="C25">
            <v>4410</v>
          </cell>
          <cell r="D25">
            <v>8702636</v>
          </cell>
          <cell r="E25">
            <v>217</v>
          </cell>
          <cell r="F25">
            <v>267</v>
          </cell>
          <cell r="G25">
            <v>208</v>
          </cell>
          <cell r="H25">
            <v>173</v>
          </cell>
          <cell r="I25">
            <v>248</v>
          </cell>
          <cell r="J25">
            <v>213</v>
          </cell>
          <cell r="K25">
            <v>234</v>
          </cell>
          <cell r="L25">
            <v>246</v>
          </cell>
          <cell r="M25">
            <v>287</v>
          </cell>
        </row>
        <row r="26">
          <cell r="A26">
            <v>5076500</v>
          </cell>
          <cell r="B26">
            <v>5062343</v>
          </cell>
          <cell r="C26">
            <v>4410</v>
          </cell>
          <cell r="D26">
            <v>2930693</v>
          </cell>
          <cell r="E26">
            <v>769</v>
          </cell>
          <cell r="F26">
            <v>508</v>
          </cell>
          <cell r="G26">
            <v>625</v>
          </cell>
          <cell r="H26">
            <v>1045</v>
          </cell>
          <cell r="I26">
            <v>1009</v>
          </cell>
          <cell r="J26">
            <v>567</v>
          </cell>
          <cell r="K26">
            <v>594</v>
          </cell>
          <cell r="L26">
            <v>625</v>
          </cell>
          <cell r="M26">
            <v>536</v>
          </cell>
        </row>
        <row r="27">
          <cell r="A27">
            <v>5181990</v>
          </cell>
          <cell r="B27">
            <v>5115088</v>
          </cell>
          <cell r="C27">
            <v>4410</v>
          </cell>
          <cell r="D27">
            <v>1530245</v>
          </cell>
          <cell r="E27">
            <v>184</v>
          </cell>
          <cell r="F27">
            <v>153</v>
          </cell>
          <cell r="G27">
            <v>160</v>
          </cell>
          <cell r="H27">
            <v>162</v>
          </cell>
          <cell r="I27">
            <v>177</v>
          </cell>
          <cell r="J27">
            <v>155</v>
          </cell>
          <cell r="K27">
            <v>149</v>
          </cell>
          <cell r="L27">
            <v>153</v>
          </cell>
          <cell r="M27">
            <v>176</v>
          </cell>
        </row>
        <row r="28">
          <cell r="A28">
            <v>5184298</v>
          </cell>
          <cell r="B28">
            <v>5116242</v>
          </cell>
          <cell r="C28">
            <v>4410</v>
          </cell>
          <cell r="D28">
            <v>2100940</v>
          </cell>
          <cell r="E28">
            <v>130</v>
          </cell>
          <cell r="F28">
            <v>89</v>
          </cell>
          <cell r="G28">
            <v>96</v>
          </cell>
          <cell r="H28">
            <v>87</v>
          </cell>
          <cell r="I28">
            <v>84</v>
          </cell>
          <cell r="J28">
            <v>90</v>
          </cell>
          <cell r="K28">
            <v>182</v>
          </cell>
          <cell r="L28">
            <v>166</v>
          </cell>
          <cell r="M28">
            <v>195</v>
          </cell>
        </row>
        <row r="29">
          <cell r="A29">
            <v>5184320</v>
          </cell>
          <cell r="B29">
            <v>5116253</v>
          </cell>
          <cell r="C29">
            <v>4410</v>
          </cell>
          <cell r="D29">
            <v>2199976</v>
          </cell>
          <cell r="E29">
            <v>184</v>
          </cell>
          <cell r="F29">
            <v>175</v>
          </cell>
          <cell r="G29">
            <v>183</v>
          </cell>
          <cell r="H29">
            <v>150</v>
          </cell>
          <cell r="I29">
            <v>157</v>
          </cell>
          <cell r="J29">
            <v>149</v>
          </cell>
          <cell r="K29">
            <v>137</v>
          </cell>
          <cell r="L29">
            <v>141</v>
          </cell>
          <cell r="M29">
            <v>145</v>
          </cell>
        </row>
        <row r="30">
          <cell r="A30">
            <v>5184382</v>
          </cell>
          <cell r="B30">
            <v>5116284</v>
          </cell>
          <cell r="C30">
            <v>4410</v>
          </cell>
          <cell r="D30">
            <v>2183505</v>
          </cell>
          <cell r="E30">
            <v>96</v>
          </cell>
          <cell r="F30">
            <v>87</v>
          </cell>
          <cell r="G30">
            <v>88</v>
          </cell>
          <cell r="H30">
            <v>79</v>
          </cell>
          <cell r="I30">
            <v>83</v>
          </cell>
          <cell r="J30">
            <v>84</v>
          </cell>
          <cell r="K30">
            <v>93</v>
          </cell>
          <cell r="L30">
            <v>84</v>
          </cell>
          <cell r="M30">
            <v>101</v>
          </cell>
        </row>
        <row r="31">
          <cell r="A31">
            <v>5060262</v>
          </cell>
          <cell r="B31">
            <v>5054224</v>
          </cell>
          <cell r="C31">
            <v>4410</v>
          </cell>
          <cell r="D31">
            <v>7729399</v>
          </cell>
          <cell r="E31">
            <v>165</v>
          </cell>
          <cell r="F31">
            <v>0</v>
          </cell>
          <cell r="G31">
            <v>7</v>
          </cell>
          <cell r="H31">
            <v>176</v>
          </cell>
          <cell r="I31">
            <v>190</v>
          </cell>
          <cell r="J31">
            <v>173</v>
          </cell>
          <cell r="K31">
            <v>198</v>
          </cell>
          <cell r="L31">
            <v>157</v>
          </cell>
          <cell r="M31">
            <v>141</v>
          </cell>
        </row>
        <row r="32">
          <cell r="A32">
            <v>5059182</v>
          </cell>
          <cell r="B32">
            <v>5053684</v>
          </cell>
          <cell r="C32">
            <v>4410</v>
          </cell>
          <cell r="D32">
            <v>7727700</v>
          </cell>
          <cell r="E32">
            <v>121</v>
          </cell>
          <cell r="F32">
            <v>105</v>
          </cell>
          <cell r="G32">
            <v>134</v>
          </cell>
          <cell r="H32">
            <v>113</v>
          </cell>
          <cell r="I32">
            <v>110</v>
          </cell>
          <cell r="J32">
            <v>118</v>
          </cell>
          <cell r="K32">
            <v>119</v>
          </cell>
          <cell r="L32">
            <v>122</v>
          </cell>
          <cell r="M32">
            <v>195</v>
          </cell>
        </row>
        <row r="33">
          <cell r="A33">
            <v>5183082</v>
          </cell>
          <cell r="B33">
            <v>5115634</v>
          </cell>
          <cell r="C33">
            <v>4410</v>
          </cell>
          <cell r="D33">
            <v>443402</v>
          </cell>
          <cell r="E33">
            <v>185</v>
          </cell>
          <cell r="F33">
            <v>172</v>
          </cell>
          <cell r="G33">
            <v>167</v>
          </cell>
          <cell r="H33">
            <v>173</v>
          </cell>
          <cell r="I33">
            <v>197</v>
          </cell>
          <cell r="J33">
            <v>165</v>
          </cell>
          <cell r="K33">
            <v>183</v>
          </cell>
          <cell r="L33">
            <v>147</v>
          </cell>
          <cell r="M33">
            <v>163</v>
          </cell>
        </row>
        <row r="34">
          <cell r="A34">
            <v>5175722</v>
          </cell>
          <cell r="B34">
            <v>5111954</v>
          </cell>
          <cell r="C34">
            <v>4410</v>
          </cell>
          <cell r="E34">
            <v>233</v>
          </cell>
          <cell r="F34">
            <v>206</v>
          </cell>
          <cell r="G34">
            <v>200</v>
          </cell>
          <cell r="H34">
            <v>189</v>
          </cell>
          <cell r="I34">
            <v>273</v>
          </cell>
          <cell r="J34">
            <v>237</v>
          </cell>
          <cell r="K34">
            <v>251</v>
          </cell>
          <cell r="L34">
            <v>224</v>
          </cell>
          <cell r="M34">
            <v>242</v>
          </cell>
        </row>
        <row r="35">
          <cell r="A35">
            <v>5164636</v>
          </cell>
          <cell r="B35">
            <v>5106411</v>
          </cell>
          <cell r="C35">
            <v>4410</v>
          </cell>
          <cell r="D35">
            <v>3647103</v>
          </cell>
          <cell r="E35">
            <v>115</v>
          </cell>
          <cell r="F35">
            <v>150</v>
          </cell>
          <cell r="G35">
            <v>81</v>
          </cell>
          <cell r="H35">
            <v>72</v>
          </cell>
          <cell r="I35">
            <v>82</v>
          </cell>
          <cell r="J35">
            <v>97</v>
          </cell>
          <cell r="K35">
            <v>287</v>
          </cell>
          <cell r="L35">
            <v>247</v>
          </cell>
          <cell r="M35">
            <v>260</v>
          </cell>
        </row>
        <row r="36">
          <cell r="A36">
            <v>5175514</v>
          </cell>
          <cell r="B36">
            <v>5111850</v>
          </cell>
          <cell r="C36">
            <v>4410</v>
          </cell>
          <cell r="D36">
            <v>3648547</v>
          </cell>
          <cell r="E36">
            <v>291</v>
          </cell>
          <cell r="F36">
            <v>253</v>
          </cell>
          <cell r="G36">
            <v>226</v>
          </cell>
          <cell r="H36">
            <v>215</v>
          </cell>
          <cell r="I36">
            <v>227</v>
          </cell>
          <cell r="J36">
            <v>209</v>
          </cell>
          <cell r="K36">
            <v>212</v>
          </cell>
          <cell r="L36">
            <v>228</v>
          </cell>
          <cell r="M36">
            <v>218</v>
          </cell>
        </row>
        <row r="37">
          <cell r="A37">
            <v>5175506</v>
          </cell>
          <cell r="B37">
            <v>5111846</v>
          </cell>
          <cell r="C37">
            <v>4410</v>
          </cell>
          <cell r="D37">
            <v>3649449</v>
          </cell>
          <cell r="E37">
            <v>171</v>
          </cell>
          <cell r="F37">
            <v>139</v>
          </cell>
          <cell r="G37">
            <v>145</v>
          </cell>
          <cell r="H37">
            <v>140</v>
          </cell>
          <cell r="I37">
            <v>150</v>
          </cell>
          <cell r="J37">
            <v>128</v>
          </cell>
          <cell r="K37">
            <v>133</v>
          </cell>
          <cell r="L37">
            <v>137</v>
          </cell>
          <cell r="M37">
            <v>138</v>
          </cell>
        </row>
        <row r="38">
          <cell r="A38">
            <v>5175678</v>
          </cell>
          <cell r="B38">
            <v>5111932</v>
          </cell>
          <cell r="C38">
            <v>4410</v>
          </cell>
          <cell r="D38">
            <v>3649138</v>
          </cell>
          <cell r="E38">
            <v>67</v>
          </cell>
          <cell r="F38">
            <v>58</v>
          </cell>
          <cell r="G38">
            <v>52</v>
          </cell>
          <cell r="H38">
            <v>56</v>
          </cell>
          <cell r="I38">
            <v>56</v>
          </cell>
          <cell r="J38">
            <v>51</v>
          </cell>
          <cell r="K38">
            <v>52</v>
          </cell>
          <cell r="L38">
            <v>54</v>
          </cell>
          <cell r="M38">
            <v>56</v>
          </cell>
        </row>
        <row r="39">
          <cell r="A39">
            <v>5183890</v>
          </cell>
          <cell r="B39">
            <v>5116038</v>
          </cell>
          <cell r="C39">
            <v>4410</v>
          </cell>
          <cell r="D39">
            <v>6826525</v>
          </cell>
          <cell r="E39">
            <v>233</v>
          </cell>
          <cell r="F39">
            <v>206</v>
          </cell>
          <cell r="G39">
            <v>200</v>
          </cell>
          <cell r="H39">
            <v>189</v>
          </cell>
          <cell r="I39">
            <v>273</v>
          </cell>
          <cell r="J39">
            <v>237</v>
          </cell>
          <cell r="K39">
            <v>251</v>
          </cell>
          <cell r="L39">
            <v>224</v>
          </cell>
          <cell r="M39">
            <v>242</v>
          </cell>
        </row>
        <row r="40">
          <cell r="A40">
            <v>5181184</v>
          </cell>
          <cell r="B40">
            <v>5114685</v>
          </cell>
          <cell r="C40">
            <v>4410</v>
          </cell>
          <cell r="D40">
            <v>3655742</v>
          </cell>
          <cell r="E40">
            <v>233</v>
          </cell>
          <cell r="F40">
            <v>206</v>
          </cell>
          <cell r="G40">
            <v>406</v>
          </cell>
          <cell r="H40">
            <v>189</v>
          </cell>
          <cell r="I40">
            <v>273</v>
          </cell>
          <cell r="J40">
            <v>237</v>
          </cell>
          <cell r="K40">
            <v>251</v>
          </cell>
          <cell r="L40">
            <v>224</v>
          </cell>
          <cell r="M40">
            <v>242</v>
          </cell>
        </row>
        <row r="41">
          <cell r="A41">
            <v>5175536</v>
          </cell>
          <cell r="B41">
            <v>5111861</v>
          </cell>
          <cell r="C41">
            <v>4410</v>
          </cell>
          <cell r="D41">
            <v>3653635</v>
          </cell>
          <cell r="E41">
            <v>49</v>
          </cell>
          <cell r="F41">
            <v>42</v>
          </cell>
          <cell r="G41">
            <v>40</v>
          </cell>
          <cell r="H41">
            <v>43</v>
          </cell>
          <cell r="I41">
            <v>45</v>
          </cell>
          <cell r="J41">
            <v>42</v>
          </cell>
          <cell r="K41">
            <v>44</v>
          </cell>
          <cell r="L41">
            <v>42</v>
          </cell>
          <cell r="M41">
            <v>43</v>
          </cell>
        </row>
        <row r="42">
          <cell r="A42">
            <v>5175786</v>
          </cell>
          <cell r="B42">
            <v>5111986</v>
          </cell>
          <cell r="C42">
            <v>4410</v>
          </cell>
          <cell r="D42">
            <v>3653636</v>
          </cell>
          <cell r="E42">
            <v>215</v>
          </cell>
          <cell r="F42">
            <v>122</v>
          </cell>
          <cell r="G42">
            <v>69</v>
          </cell>
          <cell r="H42">
            <v>47</v>
          </cell>
          <cell r="I42">
            <v>52</v>
          </cell>
          <cell r="J42">
            <v>55</v>
          </cell>
          <cell r="K42">
            <v>58</v>
          </cell>
          <cell r="L42">
            <v>61</v>
          </cell>
          <cell r="M42">
            <v>56</v>
          </cell>
        </row>
        <row r="43">
          <cell r="A43">
            <v>5173776</v>
          </cell>
          <cell r="B43">
            <v>5110981</v>
          </cell>
          <cell r="C43">
            <v>4410</v>
          </cell>
          <cell r="D43">
            <v>33001200</v>
          </cell>
          <cell r="E43">
            <v>146</v>
          </cell>
          <cell r="F43">
            <v>300</v>
          </cell>
          <cell r="G43">
            <v>194</v>
          </cell>
          <cell r="H43">
            <v>169</v>
          </cell>
          <cell r="I43">
            <v>90</v>
          </cell>
          <cell r="J43">
            <v>141</v>
          </cell>
          <cell r="K43">
            <v>135</v>
          </cell>
          <cell r="L43">
            <v>123</v>
          </cell>
          <cell r="M43">
            <v>144</v>
          </cell>
        </row>
        <row r="44">
          <cell r="A44">
            <v>5181142</v>
          </cell>
          <cell r="B44">
            <v>5114664</v>
          </cell>
          <cell r="C44">
            <v>4410</v>
          </cell>
          <cell r="D44">
            <v>33001549</v>
          </cell>
          <cell r="E44">
            <v>176</v>
          </cell>
          <cell r="F44">
            <v>167</v>
          </cell>
          <cell r="G44">
            <v>178</v>
          </cell>
          <cell r="H44">
            <v>180</v>
          </cell>
          <cell r="I44">
            <v>282</v>
          </cell>
          <cell r="J44">
            <v>69</v>
          </cell>
          <cell r="K44">
            <v>178</v>
          </cell>
          <cell r="L44">
            <v>208</v>
          </cell>
          <cell r="M44">
            <v>185</v>
          </cell>
        </row>
        <row r="45">
          <cell r="A45">
            <v>5181134</v>
          </cell>
          <cell r="B45">
            <v>5114660</v>
          </cell>
          <cell r="C45">
            <v>4410</v>
          </cell>
          <cell r="D45">
            <v>7686459</v>
          </cell>
          <cell r="E45">
            <v>233</v>
          </cell>
          <cell r="F45">
            <v>206</v>
          </cell>
          <cell r="G45">
            <v>200</v>
          </cell>
          <cell r="H45">
            <v>189</v>
          </cell>
          <cell r="I45">
            <v>273</v>
          </cell>
          <cell r="J45">
            <v>237</v>
          </cell>
          <cell r="K45">
            <v>251</v>
          </cell>
          <cell r="L45">
            <v>224</v>
          </cell>
          <cell r="M45">
            <v>249</v>
          </cell>
        </row>
        <row r="46">
          <cell r="A46">
            <v>5182446</v>
          </cell>
          <cell r="B46">
            <v>5115316</v>
          </cell>
          <cell r="C46">
            <v>4410</v>
          </cell>
          <cell r="D46">
            <v>31116242</v>
          </cell>
          <cell r="E46">
            <v>158</v>
          </cell>
          <cell r="F46">
            <v>122</v>
          </cell>
          <cell r="G46">
            <v>113</v>
          </cell>
          <cell r="H46">
            <v>82</v>
          </cell>
          <cell r="I46">
            <v>106</v>
          </cell>
          <cell r="J46">
            <v>212</v>
          </cell>
          <cell r="K46">
            <v>184</v>
          </cell>
          <cell r="L46">
            <v>160</v>
          </cell>
          <cell r="M46">
            <v>165</v>
          </cell>
        </row>
        <row r="47">
          <cell r="A47">
            <v>5184624</v>
          </cell>
          <cell r="B47">
            <v>5116405</v>
          </cell>
          <cell r="C47">
            <v>4410</v>
          </cell>
          <cell r="D47">
            <v>31981480</v>
          </cell>
          <cell r="E47">
            <v>233</v>
          </cell>
          <cell r="F47">
            <v>206</v>
          </cell>
          <cell r="G47">
            <v>200</v>
          </cell>
          <cell r="H47">
            <v>189</v>
          </cell>
          <cell r="I47">
            <v>273</v>
          </cell>
          <cell r="J47">
            <v>266</v>
          </cell>
          <cell r="K47">
            <v>163</v>
          </cell>
          <cell r="L47">
            <v>160</v>
          </cell>
          <cell r="M47">
            <v>175</v>
          </cell>
        </row>
        <row r="48">
          <cell r="A48">
            <v>5181178</v>
          </cell>
          <cell r="B48">
            <v>5114682</v>
          </cell>
          <cell r="C48">
            <v>4410</v>
          </cell>
          <cell r="D48">
            <v>31116328</v>
          </cell>
          <cell r="E48">
            <v>233</v>
          </cell>
          <cell r="F48">
            <v>206</v>
          </cell>
          <cell r="G48">
            <v>200</v>
          </cell>
          <cell r="H48">
            <v>189</v>
          </cell>
          <cell r="I48">
            <v>273</v>
          </cell>
          <cell r="J48">
            <v>107</v>
          </cell>
          <cell r="K48">
            <v>89</v>
          </cell>
          <cell r="L48">
            <v>85</v>
          </cell>
          <cell r="M48">
            <v>87</v>
          </cell>
        </row>
        <row r="49">
          <cell r="A49">
            <v>5184602</v>
          </cell>
          <cell r="B49">
            <v>5116394</v>
          </cell>
          <cell r="C49">
            <v>4410</v>
          </cell>
          <cell r="D49">
            <v>7314908</v>
          </cell>
          <cell r="E49">
            <v>233</v>
          </cell>
          <cell r="F49">
            <v>206</v>
          </cell>
          <cell r="G49">
            <v>200</v>
          </cell>
          <cell r="H49">
            <v>189</v>
          </cell>
          <cell r="I49">
            <v>273</v>
          </cell>
          <cell r="J49">
            <v>178</v>
          </cell>
          <cell r="K49">
            <v>189</v>
          </cell>
          <cell r="L49">
            <v>188</v>
          </cell>
          <cell r="M49">
            <v>188</v>
          </cell>
        </row>
        <row r="50">
          <cell r="A50">
            <v>5175628</v>
          </cell>
          <cell r="B50">
            <v>5111907</v>
          </cell>
          <cell r="C50">
            <v>4410</v>
          </cell>
          <cell r="D50">
            <v>3361038</v>
          </cell>
          <cell r="E50">
            <v>115</v>
          </cell>
          <cell r="F50">
            <v>96</v>
          </cell>
          <cell r="G50">
            <v>88</v>
          </cell>
          <cell r="H50">
            <v>95</v>
          </cell>
          <cell r="I50">
            <v>96</v>
          </cell>
          <cell r="J50">
            <v>207</v>
          </cell>
          <cell r="K50">
            <v>232</v>
          </cell>
          <cell r="L50">
            <v>191</v>
          </cell>
          <cell r="M50">
            <v>229</v>
          </cell>
        </row>
        <row r="51">
          <cell r="A51">
            <v>5182510</v>
          </cell>
          <cell r="B51">
            <v>5115348</v>
          </cell>
          <cell r="C51">
            <v>4410</v>
          </cell>
          <cell r="D51">
            <v>3517631</v>
          </cell>
          <cell r="E51">
            <v>317</v>
          </cell>
          <cell r="F51">
            <v>283</v>
          </cell>
          <cell r="G51">
            <v>275</v>
          </cell>
          <cell r="H51">
            <v>248</v>
          </cell>
          <cell r="I51">
            <v>490</v>
          </cell>
          <cell r="J51">
            <v>159</v>
          </cell>
          <cell r="K51">
            <v>179</v>
          </cell>
          <cell r="L51">
            <v>165</v>
          </cell>
          <cell r="M51">
            <v>160</v>
          </cell>
        </row>
        <row r="52">
          <cell r="A52">
            <v>5181222</v>
          </cell>
          <cell r="B52">
            <v>5114704</v>
          </cell>
          <cell r="C52">
            <v>4410</v>
          </cell>
          <cell r="D52">
            <v>10407268</v>
          </cell>
          <cell r="E52">
            <v>233</v>
          </cell>
          <cell r="F52">
            <v>299</v>
          </cell>
          <cell r="G52">
            <v>287</v>
          </cell>
          <cell r="H52">
            <v>290</v>
          </cell>
          <cell r="I52">
            <v>303</v>
          </cell>
          <cell r="J52">
            <v>270</v>
          </cell>
          <cell r="K52">
            <v>292</v>
          </cell>
          <cell r="L52">
            <v>291</v>
          </cell>
          <cell r="M52">
            <v>302</v>
          </cell>
        </row>
        <row r="53">
          <cell r="A53">
            <v>5184580</v>
          </cell>
          <cell r="B53">
            <v>5116383</v>
          </cell>
          <cell r="C53">
            <v>4410</v>
          </cell>
          <cell r="D53">
            <v>3214468</v>
          </cell>
          <cell r="E53">
            <v>109</v>
          </cell>
          <cell r="F53">
            <v>88</v>
          </cell>
          <cell r="G53">
            <v>93</v>
          </cell>
          <cell r="H53">
            <v>145</v>
          </cell>
          <cell r="I53">
            <v>148</v>
          </cell>
          <cell r="J53">
            <v>153</v>
          </cell>
          <cell r="K53">
            <v>171</v>
          </cell>
          <cell r="L53">
            <v>202</v>
          </cell>
          <cell r="M53">
            <v>220</v>
          </cell>
        </row>
        <row r="54">
          <cell r="A54">
            <v>5074000</v>
          </cell>
          <cell r="B54">
            <v>5061093</v>
          </cell>
          <cell r="C54">
            <v>4410</v>
          </cell>
          <cell r="D54">
            <v>3524473</v>
          </cell>
          <cell r="E54">
            <v>46</v>
          </cell>
          <cell r="F54">
            <v>37</v>
          </cell>
          <cell r="G54">
            <v>62</v>
          </cell>
          <cell r="H54">
            <v>207</v>
          </cell>
          <cell r="I54">
            <v>99</v>
          </cell>
          <cell r="J54">
            <v>158</v>
          </cell>
          <cell r="K54">
            <v>184</v>
          </cell>
          <cell r="L54">
            <v>173</v>
          </cell>
          <cell r="M54">
            <v>212</v>
          </cell>
        </row>
        <row r="55">
          <cell r="A55">
            <v>5183870</v>
          </cell>
          <cell r="B55">
            <v>5116028</v>
          </cell>
          <cell r="C55">
            <v>4410</v>
          </cell>
          <cell r="D55">
            <v>1693202</v>
          </cell>
          <cell r="E55">
            <v>175</v>
          </cell>
          <cell r="F55">
            <v>152</v>
          </cell>
          <cell r="G55">
            <v>156</v>
          </cell>
          <cell r="H55">
            <v>180</v>
          </cell>
          <cell r="I55">
            <v>76</v>
          </cell>
          <cell r="J55">
            <v>0</v>
          </cell>
          <cell r="K55">
            <v>0</v>
          </cell>
          <cell r="L55">
            <v>59</v>
          </cell>
          <cell r="M55">
            <v>108</v>
          </cell>
        </row>
        <row r="56">
          <cell r="A56">
            <v>5172448</v>
          </cell>
          <cell r="B56">
            <v>5110317</v>
          </cell>
          <cell r="C56">
            <v>4410</v>
          </cell>
          <cell r="D56">
            <v>1752366</v>
          </cell>
          <cell r="E56">
            <v>335</v>
          </cell>
          <cell r="F56">
            <v>293</v>
          </cell>
          <cell r="G56">
            <v>279</v>
          </cell>
          <cell r="H56">
            <v>269</v>
          </cell>
          <cell r="I56">
            <v>319</v>
          </cell>
          <cell r="J56">
            <v>269</v>
          </cell>
          <cell r="K56">
            <v>275</v>
          </cell>
          <cell r="L56">
            <v>184</v>
          </cell>
          <cell r="M56">
            <v>120</v>
          </cell>
        </row>
        <row r="57">
          <cell r="A57">
            <v>5181220</v>
          </cell>
          <cell r="B57">
            <v>5114703</v>
          </cell>
          <cell r="C57">
            <v>4410</v>
          </cell>
          <cell r="D57">
            <v>70000025</v>
          </cell>
          <cell r="E57">
            <v>301</v>
          </cell>
          <cell r="F57">
            <v>259</v>
          </cell>
          <cell r="G57">
            <v>307</v>
          </cell>
          <cell r="H57">
            <v>266</v>
          </cell>
          <cell r="I57">
            <v>229</v>
          </cell>
          <cell r="J57">
            <v>194</v>
          </cell>
          <cell r="K57">
            <v>0</v>
          </cell>
          <cell r="L57">
            <v>197</v>
          </cell>
          <cell r="M57">
            <v>202</v>
          </cell>
        </row>
        <row r="58">
          <cell r="A58">
            <v>5175468</v>
          </cell>
          <cell r="B58">
            <v>5111827</v>
          </cell>
          <cell r="C58">
            <v>4410</v>
          </cell>
          <cell r="D58">
            <v>15960541</v>
          </cell>
          <cell r="E58">
            <v>127</v>
          </cell>
          <cell r="F58">
            <v>60</v>
          </cell>
          <cell r="G58">
            <v>79</v>
          </cell>
          <cell r="H58">
            <v>83</v>
          </cell>
          <cell r="I58">
            <v>104</v>
          </cell>
          <cell r="J58">
            <v>112</v>
          </cell>
          <cell r="K58">
            <v>177</v>
          </cell>
          <cell r="L58">
            <v>159</v>
          </cell>
          <cell r="M58">
            <v>155</v>
          </cell>
        </row>
        <row r="59">
          <cell r="A59">
            <v>5175486</v>
          </cell>
          <cell r="B59">
            <v>5111836</v>
          </cell>
          <cell r="C59">
            <v>4410</v>
          </cell>
          <cell r="D59">
            <v>52779</v>
          </cell>
          <cell r="E59">
            <v>75</v>
          </cell>
          <cell r="F59">
            <v>147</v>
          </cell>
          <cell r="G59">
            <v>122</v>
          </cell>
          <cell r="H59">
            <v>128</v>
          </cell>
          <cell r="I59">
            <v>129</v>
          </cell>
          <cell r="J59">
            <v>89</v>
          </cell>
          <cell r="K59">
            <v>162</v>
          </cell>
          <cell r="L59">
            <v>150</v>
          </cell>
          <cell r="M59">
            <v>205</v>
          </cell>
        </row>
        <row r="60">
          <cell r="A60">
            <v>5181798</v>
          </cell>
          <cell r="B60">
            <v>5114992</v>
          </cell>
          <cell r="C60">
            <v>4410</v>
          </cell>
          <cell r="D60">
            <v>5312669</v>
          </cell>
          <cell r="E60">
            <v>42</v>
          </cell>
          <cell r="F60">
            <v>60</v>
          </cell>
          <cell r="G60">
            <v>96</v>
          </cell>
          <cell r="H60">
            <v>99</v>
          </cell>
          <cell r="I60">
            <v>99</v>
          </cell>
          <cell r="J60">
            <v>9</v>
          </cell>
          <cell r="K60">
            <v>14</v>
          </cell>
          <cell r="L60">
            <v>12</v>
          </cell>
          <cell r="M60">
            <v>11</v>
          </cell>
        </row>
        <row r="61">
          <cell r="A61">
            <v>5181042</v>
          </cell>
          <cell r="B61">
            <v>5114614</v>
          </cell>
          <cell r="C61">
            <v>4410</v>
          </cell>
          <cell r="D61">
            <v>357365</v>
          </cell>
          <cell r="E61">
            <v>269</v>
          </cell>
          <cell r="F61">
            <v>208</v>
          </cell>
          <cell r="G61">
            <v>201</v>
          </cell>
          <cell r="H61">
            <v>171</v>
          </cell>
          <cell r="I61">
            <v>100</v>
          </cell>
          <cell r="J61">
            <v>129</v>
          </cell>
          <cell r="K61">
            <v>153</v>
          </cell>
          <cell r="L61">
            <v>188</v>
          </cell>
          <cell r="M61">
            <v>187</v>
          </cell>
        </row>
        <row r="62">
          <cell r="A62">
            <v>5181068</v>
          </cell>
          <cell r="B62">
            <v>5114627</v>
          </cell>
          <cell r="C62">
            <v>4410</v>
          </cell>
          <cell r="D62">
            <v>16005357</v>
          </cell>
          <cell r="E62">
            <v>167</v>
          </cell>
          <cell r="F62">
            <v>116</v>
          </cell>
          <cell r="G62">
            <v>137</v>
          </cell>
          <cell r="H62">
            <v>130</v>
          </cell>
          <cell r="I62">
            <v>126</v>
          </cell>
          <cell r="J62">
            <v>124</v>
          </cell>
          <cell r="K62">
            <v>149</v>
          </cell>
          <cell r="L62">
            <v>84</v>
          </cell>
          <cell r="M62">
            <v>120</v>
          </cell>
        </row>
        <row r="63">
          <cell r="A63">
            <v>5181020</v>
          </cell>
          <cell r="B63">
            <v>5114603</v>
          </cell>
          <cell r="C63">
            <v>4410</v>
          </cell>
          <cell r="D63">
            <v>16005966</v>
          </cell>
          <cell r="E63">
            <v>279</v>
          </cell>
          <cell r="F63">
            <v>268</v>
          </cell>
          <cell r="G63">
            <v>285</v>
          </cell>
          <cell r="H63">
            <v>253</v>
          </cell>
          <cell r="I63">
            <v>210</v>
          </cell>
          <cell r="J63">
            <v>197</v>
          </cell>
          <cell r="K63">
            <v>208</v>
          </cell>
          <cell r="L63">
            <v>220</v>
          </cell>
          <cell r="M63">
            <v>226</v>
          </cell>
        </row>
        <row r="64">
          <cell r="A64">
            <v>5181224</v>
          </cell>
          <cell r="B64">
            <v>5114705</v>
          </cell>
          <cell r="C64">
            <v>4410</v>
          </cell>
          <cell r="D64">
            <v>31988553</v>
          </cell>
          <cell r="E64">
            <v>233</v>
          </cell>
          <cell r="F64">
            <v>206</v>
          </cell>
          <cell r="G64">
            <v>200</v>
          </cell>
          <cell r="H64">
            <v>189</v>
          </cell>
          <cell r="I64">
            <v>273</v>
          </cell>
          <cell r="J64">
            <v>223</v>
          </cell>
          <cell r="K64">
            <v>245</v>
          </cell>
          <cell r="L64">
            <v>228</v>
          </cell>
          <cell r="M64">
            <v>223</v>
          </cell>
        </row>
        <row r="65">
          <cell r="A65">
            <v>5181176</v>
          </cell>
          <cell r="B65">
            <v>5114681</v>
          </cell>
          <cell r="C65">
            <v>4410</v>
          </cell>
          <cell r="D65">
            <v>10276896</v>
          </cell>
          <cell r="E65">
            <v>92</v>
          </cell>
          <cell r="F65">
            <v>70</v>
          </cell>
          <cell r="G65">
            <v>60</v>
          </cell>
          <cell r="H65">
            <v>38</v>
          </cell>
          <cell r="I65">
            <v>35</v>
          </cell>
          <cell r="J65">
            <v>148</v>
          </cell>
          <cell r="K65">
            <v>102</v>
          </cell>
          <cell r="L65">
            <v>27</v>
          </cell>
          <cell r="M65">
            <v>196</v>
          </cell>
        </row>
        <row r="66">
          <cell r="A66">
            <v>5175916</v>
          </cell>
          <cell r="B66">
            <v>5112051</v>
          </cell>
          <cell r="C66">
            <v>4410</v>
          </cell>
          <cell r="D66">
            <v>10276144</v>
          </cell>
          <cell r="E66">
            <v>595</v>
          </cell>
          <cell r="F66">
            <v>541</v>
          </cell>
          <cell r="G66">
            <v>521</v>
          </cell>
          <cell r="H66">
            <v>492</v>
          </cell>
          <cell r="I66">
            <v>507</v>
          </cell>
          <cell r="J66">
            <v>461</v>
          </cell>
          <cell r="K66">
            <v>510</v>
          </cell>
          <cell r="L66">
            <v>506</v>
          </cell>
          <cell r="M66">
            <v>555</v>
          </cell>
        </row>
        <row r="67">
          <cell r="A67">
            <v>5181180</v>
          </cell>
          <cell r="B67">
            <v>5114683</v>
          </cell>
          <cell r="C67">
            <v>4410</v>
          </cell>
          <cell r="D67">
            <v>10276251</v>
          </cell>
          <cell r="E67">
            <v>57</v>
          </cell>
          <cell r="F67">
            <v>55</v>
          </cell>
          <cell r="G67">
            <v>65</v>
          </cell>
          <cell r="H67">
            <v>57</v>
          </cell>
          <cell r="I67">
            <v>62</v>
          </cell>
          <cell r="J67">
            <v>57</v>
          </cell>
          <cell r="K67">
            <v>111</v>
          </cell>
          <cell r="L67">
            <v>71</v>
          </cell>
          <cell r="M67">
            <v>27</v>
          </cell>
        </row>
        <row r="68">
          <cell r="A68">
            <v>5175808</v>
          </cell>
          <cell r="B68">
            <v>5111997</v>
          </cell>
          <cell r="C68">
            <v>4410</v>
          </cell>
          <cell r="D68">
            <v>1691959</v>
          </cell>
          <cell r="E68">
            <v>118</v>
          </cell>
          <cell r="F68">
            <v>90</v>
          </cell>
          <cell r="G68">
            <v>151</v>
          </cell>
          <cell r="H68">
            <v>128</v>
          </cell>
          <cell r="I68">
            <v>124</v>
          </cell>
          <cell r="J68">
            <v>118</v>
          </cell>
          <cell r="K68">
            <v>100</v>
          </cell>
          <cell r="L68">
            <v>112</v>
          </cell>
          <cell r="M68">
            <v>118</v>
          </cell>
        </row>
        <row r="69">
          <cell r="A69">
            <v>5180976</v>
          </cell>
          <cell r="B69">
            <v>5114581</v>
          </cell>
          <cell r="C69">
            <v>4410</v>
          </cell>
          <cell r="D69">
            <v>1618576</v>
          </cell>
          <cell r="E69">
            <v>182</v>
          </cell>
          <cell r="F69">
            <v>158</v>
          </cell>
          <cell r="G69">
            <v>164</v>
          </cell>
          <cell r="H69">
            <v>158</v>
          </cell>
          <cell r="I69">
            <v>161</v>
          </cell>
          <cell r="J69">
            <v>148</v>
          </cell>
          <cell r="K69">
            <v>150</v>
          </cell>
          <cell r="L69">
            <v>151</v>
          </cell>
          <cell r="M69">
            <v>161</v>
          </cell>
        </row>
        <row r="70">
          <cell r="A70">
            <v>5175762</v>
          </cell>
          <cell r="B70">
            <v>5111974</v>
          </cell>
          <cell r="C70">
            <v>4410</v>
          </cell>
          <cell r="D70">
            <v>1501726</v>
          </cell>
          <cell r="E70">
            <v>346</v>
          </cell>
          <cell r="F70">
            <v>327</v>
          </cell>
          <cell r="G70">
            <v>338</v>
          </cell>
          <cell r="H70">
            <v>327</v>
          </cell>
          <cell r="I70">
            <v>193</v>
          </cell>
          <cell r="J70">
            <v>124</v>
          </cell>
          <cell r="K70">
            <v>151</v>
          </cell>
          <cell r="L70">
            <v>162</v>
          </cell>
          <cell r="M70">
            <v>200</v>
          </cell>
        </row>
        <row r="71">
          <cell r="A71">
            <v>5182488</v>
          </cell>
          <cell r="B71">
            <v>5115337</v>
          </cell>
          <cell r="C71">
            <v>4410</v>
          </cell>
          <cell r="D71">
            <v>1692056</v>
          </cell>
          <cell r="E71">
            <v>354</v>
          </cell>
          <cell r="F71">
            <v>352</v>
          </cell>
          <cell r="G71">
            <v>396</v>
          </cell>
          <cell r="H71">
            <v>324</v>
          </cell>
          <cell r="I71">
            <v>319</v>
          </cell>
          <cell r="J71">
            <v>312</v>
          </cell>
          <cell r="K71">
            <v>325</v>
          </cell>
          <cell r="L71">
            <v>286</v>
          </cell>
          <cell r="M71">
            <v>340</v>
          </cell>
        </row>
        <row r="72">
          <cell r="A72">
            <v>5181282</v>
          </cell>
          <cell r="B72">
            <v>5114734</v>
          </cell>
          <cell r="C72">
            <v>4410</v>
          </cell>
          <cell r="D72">
            <v>1864055</v>
          </cell>
          <cell r="E72">
            <v>0</v>
          </cell>
          <cell r="F72">
            <v>0</v>
          </cell>
          <cell r="G72">
            <v>0</v>
          </cell>
          <cell r="H72">
            <v>0</v>
          </cell>
          <cell r="I72">
            <v>0</v>
          </cell>
          <cell r="J72">
            <v>0</v>
          </cell>
          <cell r="K72">
            <v>0</v>
          </cell>
          <cell r="L72">
            <v>0</v>
          </cell>
          <cell r="M72">
            <v>0</v>
          </cell>
        </row>
        <row r="73">
          <cell r="A73">
            <v>5061972</v>
          </cell>
          <cell r="B73">
            <v>5055079</v>
          </cell>
          <cell r="C73">
            <v>4410</v>
          </cell>
          <cell r="D73">
            <v>2957251</v>
          </cell>
          <cell r="E73">
            <v>262</v>
          </cell>
          <cell r="F73">
            <v>83</v>
          </cell>
          <cell r="G73">
            <v>69</v>
          </cell>
          <cell r="H73">
            <v>74</v>
          </cell>
          <cell r="I73">
            <v>106</v>
          </cell>
          <cell r="J73">
            <v>112</v>
          </cell>
          <cell r="K73">
            <v>91</v>
          </cell>
          <cell r="L73">
            <v>90</v>
          </cell>
          <cell r="M73">
            <v>108</v>
          </cell>
        </row>
        <row r="74">
          <cell r="A74">
            <v>5175610</v>
          </cell>
          <cell r="B74">
            <v>5111898</v>
          </cell>
          <cell r="C74">
            <v>4410</v>
          </cell>
          <cell r="D74">
            <v>1472083</v>
          </cell>
          <cell r="E74">
            <v>92</v>
          </cell>
          <cell r="F74">
            <v>72</v>
          </cell>
          <cell r="G74">
            <v>71</v>
          </cell>
          <cell r="H74">
            <v>107</v>
          </cell>
          <cell r="I74">
            <v>122</v>
          </cell>
          <cell r="J74">
            <v>117</v>
          </cell>
          <cell r="K74">
            <v>122</v>
          </cell>
          <cell r="L74">
            <v>115</v>
          </cell>
          <cell r="M74">
            <v>125</v>
          </cell>
        </row>
        <row r="75">
          <cell r="A75">
            <v>5181076</v>
          </cell>
          <cell r="B75">
            <v>5114631</v>
          </cell>
          <cell r="C75">
            <v>4410</v>
          </cell>
          <cell r="D75">
            <v>1692325</v>
          </cell>
          <cell r="E75">
            <v>186</v>
          </cell>
          <cell r="F75">
            <v>164</v>
          </cell>
          <cell r="G75">
            <v>145</v>
          </cell>
          <cell r="H75">
            <v>138</v>
          </cell>
          <cell r="I75">
            <v>150</v>
          </cell>
          <cell r="J75">
            <v>148</v>
          </cell>
          <cell r="K75">
            <v>159</v>
          </cell>
          <cell r="L75">
            <v>152</v>
          </cell>
          <cell r="M75">
            <v>171</v>
          </cell>
        </row>
        <row r="76">
          <cell r="A76">
            <v>5180932</v>
          </cell>
          <cell r="B76">
            <v>5114559</v>
          </cell>
          <cell r="C76">
            <v>4410</v>
          </cell>
          <cell r="D76">
            <v>1791041</v>
          </cell>
          <cell r="E76">
            <v>162</v>
          </cell>
          <cell r="F76">
            <v>154</v>
          </cell>
          <cell r="G76">
            <v>145</v>
          </cell>
          <cell r="H76">
            <v>134</v>
          </cell>
          <cell r="I76">
            <v>165</v>
          </cell>
          <cell r="J76">
            <v>158</v>
          </cell>
          <cell r="K76">
            <v>177</v>
          </cell>
          <cell r="L76">
            <v>171</v>
          </cell>
          <cell r="M76">
            <v>176</v>
          </cell>
        </row>
        <row r="77">
          <cell r="A77">
            <v>5181714</v>
          </cell>
          <cell r="B77">
            <v>5114950</v>
          </cell>
          <cell r="C77">
            <v>4410</v>
          </cell>
          <cell r="D77">
            <v>1618053</v>
          </cell>
          <cell r="E77">
            <v>68</v>
          </cell>
          <cell r="F77">
            <v>35</v>
          </cell>
          <cell r="G77">
            <v>34</v>
          </cell>
          <cell r="H77">
            <v>28</v>
          </cell>
          <cell r="I77">
            <v>18</v>
          </cell>
          <cell r="J77">
            <v>0</v>
          </cell>
          <cell r="K77">
            <v>41</v>
          </cell>
          <cell r="L77">
            <v>90</v>
          </cell>
          <cell r="M77">
            <v>68</v>
          </cell>
        </row>
        <row r="78">
          <cell r="A78">
            <v>5181102</v>
          </cell>
          <cell r="B78">
            <v>5114644</v>
          </cell>
          <cell r="C78">
            <v>4410</v>
          </cell>
          <cell r="D78">
            <v>6803484</v>
          </cell>
          <cell r="E78">
            <v>84</v>
          </cell>
          <cell r="F78">
            <v>86</v>
          </cell>
          <cell r="G78">
            <v>54</v>
          </cell>
          <cell r="H78">
            <v>58</v>
          </cell>
          <cell r="I78">
            <v>85</v>
          </cell>
          <cell r="J78">
            <v>84</v>
          </cell>
          <cell r="K78">
            <v>76</v>
          </cell>
          <cell r="L78">
            <v>76</v>
          </cell>
          <cell r="M78">
            <v>90</v>
          </cell>
        </row>
        <row r="79">
          <cell r="A79">
            <v>5174478</v>
          </cell>
          <cell r="B79">
            <v>5111332</v>
          </cell>
          <cell r="C79">
            <v>4410</v>
          </cell>
          <cell r="D79">
            <v>6823907</v>
          </cell>
          <cell r="E79">
            <v>180</v>
          </cell>
          <cell r="F79">
            <v>143</v>
          </cell>
          <cell r="G79">
            <v>162</v>
          </cell>
          <cell r="H79">
            <v>178</v>
          </cell>
          <cell r="I79">
            <v>185</v>
          </cell>
          <cell r="J79">
            <v>175</v>
          </cell>
          <cell r="K79">
            <v>108</v>
          </cell>
          <cell r="L79">
            <v>237</v>
          </cell>
          <cell r="M79">
            <v>153</v>
          </cell>
        </row>
        <row r="80">
          <cell r="A80">
            <v>5175572</v>
          </cell>
          <cell r="B80">
            <v>5111879</v>
          </cell>
          <cell r="C80">
            <v>4410</v>
          </cell>
          <cell r="D80">
            <v>6823344</v>
          </cell>
          <cell r="E80">
            <v>206</v>
          </cell>
          <cell r="F80">
            <v>185</v>
          </cell>
          <cell r="G80">
            <v>201</v>
          </cell>
          <cell r="H80">
            <v>130</v>
          </cell>
          <cell r="I80">
            <v>161</v>
          </cell>
          <cell r="J80">
            <v>153</v>
          </cell>
          <cell r="K80">
            <v>163</v>
          </cell>
          <cell r="L80">
            <v>171</v>
          </cell>
          <cell r="M80">
            <v>202</v>
          </cell>
        </row>
        <row r="81">
          <cell r="A81">
            <v>5175592</v>
          </cell>
          <cell r="B81">
            <v>5111889</v>
          </cell>
          <cell r="C81">
            <v>4410</v>
          </cell>
          <cell r="D81">
            <v>6825572</v>
          </cell>
          <cell r="E81">
            <v>56</v>
          </cell>
          <cell r="F81">
            <v>47</v>
          </cell>
          <cell r="G81">
            <v>53</v>
          </cell>
          <cell r="H81">
            <v>57</v>
          </cell>
          <cell r="I81">
            <v>66</v>
          </cell>
          <cell r="J81">
            <v>53</v>
          </cell>
          <cell r="K81">
            <v>60</v>
          </cell>
          <cell r="L81">
            <v>58</v>
          </cell>
          <cell r="M81">
            <v>70</v>
          </cell>
        </row>
        <row r="82">
          <cell r="A82">
            <v>5175648</v>
          </cell>
          <cell r="B82">
            <v>5111917</v>
          </cell>
          <cell r="C82">
            <v>4410</v>
          </cell>
          <cell r="D82">
            <v>6826652</v>
          </cell>
          <cell r="E82">
            <v>332</v>
          </cell>
          <cell r="F82">
            <v>592</v>
          </cell>
          <cell r="G82">
            <v>243</v>
          </cell>
          <cell r="H82">
            <v>279</v>
          </cell>
          <cell r="I82">
            <v>307</v>
          </cell>
          <cell r="J82">
            <v>264</v>
          </cell>
          <cell r="K82">
            <v>285</v>
          </cell>
          <cell r="L82">
            <v>243</v>
          </cell>
          <cell r="M82">
            <v>228</v>
          </cell>
        </row>
        <row r="83">
          <cell r="A83">
            <v>5175744</v>
          </cell>
          <cell r="B83">
            <v>5111965</v>
          </cell>
          <cell r="C83">
            <v>4410</v>
          </cell>
          <cell r="D83">
            <v>6824867</v>
          </cell>
          <cell r="E83">
            <v>242</v>
          </cell>
          <cell r="F83">
            <v>226</v>
          </cell>
          <cell r="G83">
            <v>253</v>
          </cell>
          <cell r="H83">
            <v>234</v>
          </cell>
          <cell r="I83">
            <v>254</v>
          </cell>
          <cell r="J83">
            <v>238</v>
          </cell>
          <cell r="K83">
            <v>232</v>
          </cell>
          <cell r="L83">
            <v>226</v>
          </cell>
          <cell r="M83">
            <v>173</v>
          </cell>
        </row>
        <row r="84">
          <cell r="A84">
            <v>5181072</v>
          </cell>
          <cell r="B84">
            <v>5114629</v>
          </cell>
          <cell r="C84">
            <v>4410</v>
          </cell>
          <cell r="D84">
            <v>3366507</v>
          </cell>
          <cell r="E84">
            <v>80</v>
          </cell>
          <cell r="F84">
            <v>69</v>
          </cell>
          <cell r="G84">
            <v>59</v>
          </cell>
          <cell r="H84">
            <v>80</v>
          </cell>
          <cell r="I84">
            <v>75</v>
          </cell>
          <cell r="J84">
            <v>67</v>
          </cell>
          <cell r="K84">
            <v>73</v>
          </cell>
          <cell r="L84">
            <v>64</v>
          </cell>
          <cell r="M84">
            <v>69</v>
          </cell>
        </row>
        <row r="85">
          <cell r="A85">
            <v>5175830</v>
          </cell>
          <cell r="B85">
            <v>5112008</v>
          </cell>
          <cell r="C85">
            <v>4410</v>
          </cell>
          <cell r="D85">
            <v>3730145</v>
          </cell>
          <cell r="E85">
            <v>174</v>
          </cell>
          <cell r="F85">
            <v>149</v>
          </cell>
          <cell r="G85">
            <v>173</v>
          </cell>
          <cell r="H85">
            <v>153</v>
          </cell>
          <cell r="I85">
            <v>158</v>
          </cell>
          <cell r="J85">
            <v>144</v>
          </cell>
          <cell r="K85">
            <v>152</v>
          </cell>
          <cell r="L85">
            <v>146</v>
          </cell>
          <cell r="M85">
            <v>158</v>
          </cell>
        </row>
        <row r="86">
          <cell r="A86">
            <v>5175894</v>
          </cell>
          <cell r="B86">
            <v>5112040</v>
          </cell>
          <cell r="C86">
            <v>4410</v>
          </cell>
          <cell r="D86">
            <v>6824391</v>
          </cell>
          <cell r="E86">
            <v>43</v>
          </cell>
          <cell r="F86">
            <v>44</v>
          </cell>
          <cell r="G86">
            <v>51</v>
          </cell>
          <cell r="H86">
            <v>63</v>
          </cell>
          <cell r="I86">
            <v>52</v>
          </cell>
          <cell r="J86">
            <v>86</v>
          </cell>
          <cell r="K86">
            <v>74</v>
          </cell>
          <cell r="L86">
            <v>46</v>
          </cell>
          <cell r="M86">
            <v>38</v>
          </cell>
        </row>
        <row r="87">
          <cell r="A87">
            <v>5180998</v>
          </cell>
          <cell r="B87">
            <v>5114592</v>
          </cell>
          <cell r="C87">
            <v>4410</v>
          </cell>
          <cell r="D87">
            <v>3365820</v>
          </cell>
          <cell r="E87">
            <v>298</v>
          </cell>
          <cell r="F87">
            <v>264</v>
          </cell>
          <cell r="G87">
            <v>295</v>
          </cell>
          <cell r="H87">
            <v>280</v>
          </cell>
          <cell r="I87">
            <v>304</v>
          </cell>
          <cell r="J87">
            <v>273</v>
          </cell>
          <cell r="K87">
            <v>265</v>
          </cell>
          <cell r="L87">
            <v>260</v>
          </cell>
          <cell r="M87">
            <v>262</v>
          </cell>
        </row>
        <row r="88">
          <cell r="A88">
            <v>5181284</v>
          </cell>
          <cell r="B88">
            <v>5114735</v>
          </cell>
          <cell r="C88">
            <v>4410</v>
          </cell>
          <cell r="D88">
            <v>6825418</v>
          </cell>
          <cell r="E88">
            <v>210</v>
          </cell>
          <cell r="F88">
            <v>56</v>
          </cell>
          <cell r="G88">
            <v>184</v>
          </cell>
          <cell r="H88">
            <v>63</v>
          </cell>
          <cell r="I88">
            <v>223</v>
          </cell>
          <cell r="J88">
            <v>189</v>
          </cell>
          <cell r="K88">
            <v>178</v>
          </cell>
          <cell r="L88">
            <v>359</v>
          </cell>
          <cell r="M88">
            <v>185</v>
          </cell>
        </row>
        <row r="89">
          <cell r="A89">
            <v>5181140</v>
          </cell>
          <cell r="B89">
            <v>5114663</v>
          </cell>
          <cell r="C89">
            <v>4410</v>
          </cell>
          <cell r="D89">
            <v>3730918</v>
          </cell>
          <cell r="E89">
            <v>234</v>
          </cell>
          <cell r="F89">
            <v>202</v>
          </cell>
          <cell r="G89">
            <v>222</v>
          </cell>
          <cell r="H89">
            <v>207</v>
          </cell>
          <cell r="I89">
            <v>212</v>
          </cell>
          <cell r="J89">
            <v>200</v>
          </cell>
          <cell r="K89">
            <v>200</v>
          </cell>
          <cell r="L89">
            <v>182</v>
          </cell>
          <cell r="M89">
            <v>158</v>
          </cell>
        </row>
        <row r="90">
          <cell r="A90">
            <v>5181136</v>
          </cell>
          <cell r="B90">
            <v>5114661</v>
          </cell>
          <cell r="C90">
            <v>4410</v>
          </cell>
          <cell r="D90">
            <v>4744882</v>
          </cell>
          <cell r="E90">
            <v>87</v>
          </cell>
          <cell r="F90">
            <v>308</v>
          </cell>
          <cell r="G90">
            <v>178</v>
          </cell>
          <cell r="H90">
            <v>194</v>
          </cell>
          <cell r="I90">
            <v>191</v>
          </cell>
          <cell r="J90">
            <v>180</v>
          </cell>
          <cell r="K90">
            <v>205</v>
          </cell>
          <cell r="L90">
            <v>198</v>
          </cell>
          <cell r="M90">
            <v>186</v>
          </cell>
        </row>
        <row r="91">
          <cell r="A91">
            <v>5175256</v>
          </cell>
          <cell r="B91">
            <v>5111721</v>
          </cell>
          <cell r="C91">
            <v>4410</v>
          </cell>
          <cell r="D91">
            <v>6821826</v>
          </cell>
          <cell r="E91">
            <v>246</v>
          </cell>
          <cell r="F91">
            <v>221</v>
          </cell>
          <cell r="G91">
            <v>227</v>
          </cell>
          <cell r="H91">
            <v>263</v>
          </cell>
          <cell r="I91">
            <v>214</v>
          </cell>
          <cell r="J91">
            <v>232</v>
          </cell>
          <cell r="K91">
            <v>246</v>
          </cell>
          <cell r="L91">
            <v>221</v>
          </cell>
          <cell r="M91">
            <v>230</v>
          </cell>
        </row>
        <row r="92">
          <cell r="A92">
            <v>5175668</v>
          </cell>
          <cell r="B92">
            <v>5111927</v>
          </cell>
          <cell r="C92">
            <v>4410</v>
          </cell>
          <cell r="D92">
            <v>6823044</v>
          </cell>
          <cell r="E92">
            <v>185</v>
          </cell>
          <cell r="F92">
            <v>178</v>
          </cell>
          <cell r="G92">
            <v>346</v>
          </cell>
          <cell r="H92">
            <v>205</v>
          </cell>
          <cell r="I92">
            <v>209</v>
          </cell>
          <cell r="J92">
            <v>167</v>
          </cell>
          <cell r="K92">
            <v>185</v>
          </cell>
          <cell r="L92">
            <v>193</v>
          </cell>
          <cell r="M92">
            <v>214</v>
          </cell>
        </row>
        <row r="93">
          <cell r="A93">
            <v>5181078</v>
          </cell>
          <cell r="B93">
            <v>5114632</v>
          </cell>
          <cell r="C93">
            <v>4410</v>
          </cell>
          <cell r="D93">
            <v>1618000</v>
          </cell>
          <cell r="E93">
            <v>93</v>
          </cell>
          <cell r="F93">
            <v>80</v>
          </cell>
          <cell r="G93">
            <v>96</v>
          </cell>
          <cell r="H93">
            <v>86</v>
          </cell>
          <cell r="I93">
            <v>83</v>
          </cell>
          <cell r="J93">
            <v>90</v>
          </cell>
          <cell r="K93">
            <v>97</v>
          </cell>
          <cell r="L93">
            <v>114</v>
          </cell>
          <cell r="M93">
            <v>111</v>
          </cell>
        </row>
        <row r="94">
          <cell r="A94">
            <v>5181062</v>
          </cell>
          <cell r="B94">
            <v>5114624</v>
          </cell>
          <cell r="C94">
            <v>4410</v>
          </cell>
          <cell r="D94">
            <v>4747127</v>
          </cell>
          <cell r="E94">
            <v>194</v>
          </cell>
          <cell r="F94">
            <v>165</v>
          </cell>
          <cell r="G94">
            <v>180</v>
          </cell>
          <cell r="H94">
            <v>170</v>
          </cell>
          <cell r="I94">
            <v>206</v>
          </cell>
          <cell r="J94">
            <v>179</v>
          </cell>
          <cell r="K94">
            <v>177</v>
          </cell>
          <cell r="L94">
            <v>180</v>
          </cell>
          <cell r="M94">
            <v>227</v>
          </cell>
        </row>
        <row r="95">
          <cell r="A95">
            <v>5175850</v>
          </cell>
          <cell r="B95">
            <v>5112018</v>
          </cell>
          <cell r="C95">
            <v>4410</v>
          </cell>
          <cell r="D95">
            <v>3741009</v>
          </cell>
          <cell r="E95">
            <v>205</v>
          </cell>
          <cell r="F95">
            <v>149</v>
          </cell>
          <cell r="G95">
            <v>174</v>
          </cell>
          <cell r="H95">
            <v>170</v>
          </cell>
          <cell r="I95">
            <v>165</v>
          </cell>
          <cell r="J95">
            <v>155</v>
          </cell>
          <cell r="K95">
            <v>177</v>
          </cell>
          <cell r="L95">
            <v>167</v>
          </cell>
          <cell r="M95">
            <v>161</v>
          </cell>
        </row>
        <row r="96">
          <cell r="A96">
            <v>5173152</v>
          </cell>
          <cell r="B96">
            <v>5110669</v>
          </cell>
          <cell r="C96">
            <v>4410</v>
          </cell>
          <cell r="D96">
            <v>6822556</v>
          </cell>
          <cell r="E96">
            <v>164</v>
          </cell>
          <cell r="F96">
            <v>158</v>
          </cell>
          <cell r="G96">
            <v>152</v>
          </cell>
          <cell r="H96">
            <v>163</v>
          </cell>
          <cell r="I96">
            <v>160</v>
          </cell>
          <cell r="J96">
            <v>154</v>
          </cell>
          <cell r="K96">
            <v>147</v>
          </cell>
          <cell r="L96">
            <v>149</v>
          </cell>
          <cell r="M96">
            <v>163</v>
          </cell>
        </row>
        <row r="97">
          <cell r="A97">
            <v>5181280</v>
          </cell>
          <cell r="B97">
            <v>5114733</v>
          </cell>
          <cell r="C97">
            <v>4410</v>
          </cell>
          <cell r="D97">
            <v>7288841</v>
          </cell>
          <cell r="E97">
            <v>396</v>
          </cell>
          <cell r="F97">
            <v>412</v>
          </cell>
          <cell r="G97">
            <v>459</v>
          </cell>
          <cell r="H97">
            <v>369</v>
          </cell>
          <cell r="I97">
            <v>332</v>
          </cell>
          <cell r="J97">
            <v>362</v>
          </cell>
          <cell r="K97">
            <v>403</v>
          </cell>
          <cell r="L97">
            <v>375</v>
          </cell>
          <cell r="M97">
            <v>522</v>
          </cell>
        </row>
        <row r="98">
          <cell r="A98">
            <v>5175934</v>
          </cell>
          <cell r="B98">
            <v>5112060</v>
          </cell>
          <cell r="C98">
            <v>4410</v>
          </cell>
          <cell r="D98">
            <v>7213362</v>
          </cell>
          <cell r="E98">
            <v>422</v>
          </cell>
          <cell r="F98">
            <v>310</v>
          </cell>
          <cell r="G98">
            <v>282</v>
          </cell>
          <cell r="H98">
            <v>379</v>
          </cell>
          <cell r="I98">
            <v>422</v>
          </cell>
          <cell r="J98">
            <v>261</v>
          </cell>
          <cell r="K98">
            <v>208</v>
          </cell>
          <cell r="L98">
            <v>164</v>
          </cell>
          <cell r="M98">
            <v>123</v>
          </cell>
        </row>
        <row r="99">
          <cell r="A99">
            <v>5183828</v>
          </cell>
          <cell r="B99">
            <v>5116007</v>
          </cell>
          <cell r="C99">
            <v>4410</v>
          </cell>
          <cell r="D99">
            <v>7729276</v>
          </cell>
          <cell r="E99">
            <v>143</v>
          </cell>
          <cell r="F99">
            <v>203</v>
          </cell>
          <cell r="G99">
            <v>190</v>
          </cell>
          <cell r="H99">
            <v>186</v>
          </cell>
          <cell r="I99">
            <v>58</v>
          </cell>
          <cell r="J99">
            <v>0</v>
          </cell>
          <cell r="K99">
            <v>0</v>
          </cell>
          <cell r="L99">
            <v>0</v>
          </cell>
          <cell r="M99">
            <v>31</v>
          </cell>
        </row>
        <row r="100">
          <cell r="A100">
            <v>5183806</v>
          </cell>
          <cell r="B100">
            <v>5115996</v>
          </cell>
          <cell r="C100">
            <v>4410</v>
          </cell>
          <cell r="D100">
            <v>7687383</v>
          </cell>
          <cell r="E100">
            <v>554</v>
          </cell>
          <cell r="F100">
            <v>176</v>
          </cell>
          <cell r="G100">
            <v>187</v>
          </cell>
          <cell r="H100">
            <v>181</v>
          </cell>
          <cell r="I100">
            <v>195</v>
          </cell>
          <cell r="J100">
            <v>184</v>
          </cell>
          <cell r="K100">
            <v>192</v>
          </cell>
          <cell r="L100">
            <v>196</v>
          </cell>
          <cell r="M100">
            <v>207</v>
          </cell>
        </row>
        <row r="101">
          <cell r="A101">
            <v>5182468</v>
          </cell>
          <cell r="B101">
            <v>5115327</v>
          </cell>
          <cell r="C101">
            <v>4410</v>
          </cell>
          <cell r="D101">
            <v>7115513</v>
          </cell>
          <cell r="E101">
            <v>173</v>
          </cell>
          <cell r="F101">
            <v>162</v>
          </cell>
          <cell r="G101">
            <v>151</v>
          </cell>
          <cell r="H101">
            <v>159</v>
          </cell>
          <cell r="I101">
            <v>173</v>
          </cell>
          <cell r="J101">
            <v>301</v>
          </cell>
          <cell r="K101">
            <v>434</v>
          </cell>
          <cell r="L101">
            <v>392</v>
          </cell>
          <cell r="M101">
            <v>478</v>
          </cell>
        </row>
        <row r="102">
          <cell r="A102">
            <v>5181754</v>
          </cell>
          <cell r="B102">
            <v>5114970</v>
          </cell>
          <cell r="C102">
            <v>4410</v>
          </cell>
          <cell r="D102">
            <v>7286739</v>
          </cell>
          <cell r="E102">
            <v>454</v>
          </cell>
          <cell r="F102">
            <v>367</v>
          </cell>
          <cell r="G102">
            <v>352</v>
          </cell>
          <cell r="H102">
            <v>355</v>
          </cell>
          <cell r="I102">
            <v>339</v>
          </cell>
          <cell r="J102">
            <v>326</v>
          </cell>
          <cell r="K102">
            <v>319</v>
          </cell>
          <cell r="L102">
            <v>382</v>
          </cell>
          <cell r="M102">
            <v>454</v>
          </cell>
        </row>
        <row r="103">
          <cell r="A103">
            <v>5181776</v>
          </cell>
          <cell r="B103">
            <v>5114981</v>
          </cell>
          <cell r="C103">
            <v>4410</v>
          </cell>
          <cell r="D103">
            <v>7108900</v>
          </cell>
          <cell r="E103">
            <v>170</v>
          </cell>
          <cell r="F103">
            <v>134</v>
          </cell>
          <cell r="G103">
            <v>122</v>
          </cell>
          <cell r="H103">
            <v>58</v>
          </cell>
          <cell r="I103">
            <v>113</v>
          </cell>
          <cell r="J103">
            <v>261</v>
          </cell>
          <cell r="K103">
            <v>262</v>
          </cell>
          <cell r="L103">
            <v>178</v>
          </cell>
          <cell r="M103">
            <v>190</v>
          </cell>
        </row>
        <row r="104">
          <cell r="A104">
            <v>5062414</v>
          </cell>
          <cell r="B104">
            <v>5055300</v>
          </cell>
          <cell r="C104">
            <v>4410</v>
          </cell>
          <cell r="D104">
            <v>7314659</v>
          </cell>
          <cell r="E104">
            <v>535</v>
          </cell>
          <cell r="F104">
            <v>469</v>
          </cell>
          <cell r="G104">
            <v>478</v>
          </cell>
          <cell r="H104">
            <v>459</v>
          </cell>
          <cell r="I104">
            <v>495</v>
          </cell>
          <cell r="J104">
            <v>446</v>
          </cell>
          <cell r="K104">
            <v>487</v>
          </cell>
          <cell r="L104">
            <v>415</v>
          </cell>
          <cell r="M104">
            <v>374</v>
          </cell>
        </row>
        <row r="105">
          <cell r="A105">
            <v>5181230</v>
          </cell>
          <cell r="B105">
            <v>5114708</v>
          </cell>
          <cell r="C105">
            <v>4410</v>
          </cell>
          <cell r="D105">
            <v>7129176</v>
          </cell>
          <cell r="E105">
            <v>359</v>
          </cell>
          <cell r="F105">
            <v>304</v>
          </cell>
          <cell r="G105">
            <v>271</v>
          </cell>
          <cell r="H105">
            <v>284</v>
          </cell>
          <cell r="I105">
            <v>300</v>
          </cell>
          <cell r="J105">
            <v>279</v>
          </cell>
          <cell r="K105">
            <v>297</v>
          </cell>
          <cell r="L105">
            <v>258</v>
          </cell>
          <cell r="M105">
            <v>273</v>
          </cell>
        </row>
        <row r="106">
          <cell r="A106">
            <v>5180954</v>
          </cell>
          <cell r="B106">
            <v>5114570</v>
          </cell>
          <cell r="C106">
            <v>4410</v>
          </cell>
          <cell r="D106">
            <v>7115387</v>
          </cell>
          <cell r="E106">
            <v>228</v>
          </cell>
          <cell r="F106">
            <v>189</v>
          </cell>
          <cell r="G106">
            <v>197</v>
          </cell>
          <cell r="H106">
            <v>193</v>
          </cell>
          <cell r="I106">
            <v>183</v>
          </cell>
          <cell r="J106">
            <v>174</v>
          </cell>
          <cell r="K106">
            <v>172</v>
          </cell>
          <cell r="L106">
            <v>189</v>
          </cell>
          <cell r="M106">
            <v>193</v>
          </cell>
        </row>
        <row r="107">
          <cell r="A107">
            <v>5181100</v>
          </cell>
          <cell r="B107">
            <v>5114643</v>
          </cell>
          <cell r="C107">
            <v>4410</v>
          </cell>
          <cell r="D107">
            <v>3741130</v>
          </cell>
          <cell r="E107">
            <v>105</v>
          </cell>
          <cell r="F107">
            <v>111</v>
          </cell>
          <cell r="G107">
            <v>68</v>
          </cell>
          <cell r="H107">
            <v>64</v>
          </cell>
          <cell r="I107">
            <v>205</v>
          </cell>
          <cell r="J107">
            <v>173</v>
          </cell>
          <cell r="K107">
            <v>52</v>
          </cell>
          <cell r="L107">
            <v>61</v>
          </cell>
          <cell r="M107">
            <v>0</v>
          </cell>
        </row>
        <row r="108">
          <cell r="A108">
            <v>5181070</v>
          </cell>
          <cell r="B108">
            <v>5114628</v>
          </cell>
          <cell r="C108">
            <v>4410</v>
          </cell>
          <cell r="D108">
            <v>443787</v>
          </cell>
          <cell r="E108">
            <v>230</v>
          </cell>
          <cell r="F108">
            <v>138</v>
          </cell>
          <cell r="G108">
            <v>0</v>
          </cell>
          <cell r="H108">
            <v>1</v>
          </cell>
          <cell r="I108">
            <v>246</v>
          </cell>
          <cell r="J108">
            <v>140</v>
          </cell>
          <cell r="K108">
            <v>0</v>
          </cell>
          <cell r="L108">
            <v>19</v>
          </cell>
          <cell r="M108">
            <v>65</v>
          </cell>
        </row>
        <row r="109">
          <cell r="A109">
            <v>5175700</v>
          </cell>
          <cell r="B109">
            <v>5111943</v>
          </cell>
          <cell r="C109">
            <v>4410</v>
          </cell>
          <cell r="D109">
            <v>32997920</v>
          </cell>
          <cell r="E109">
            <v>381</v>
          </cell>
          <cell r="F109">
            <v>318</v>
          </cell>
          <cell r="G109">
            <v>336</v>
          </cell>
          <cell r="H109">
            <v>259</v>
          </cell>
          <cell r="I109">
            <v>266</v>
          </cell>
          <cell r="J109">
            <v>174</v>
          </cell>
          <cell r="K109">
            <v>633</v>
          </cell>
          <cell r="L109">
            <v>686</v>
          </cell>
          <cell r="M109">
            <v>742</v>
          </cell>
        </row>
        <row r="110">
          <cell r="A110">
            <v>5184552</v>
          </cell>
          <cell r="B110">
            <v>5116369</v>
          </cell>
          <cell r="C110">
            <v>4410</v>
          </cell>
          <cell r="D110">
            <v>3364050</v>
          </cell>
          <cell r="E110">
            <v>261</v>
          </cell>
          <cell r="F110">
            <v>221</v>
          </cell>
          <cell r="G110">
            <v>201</v>
          </cell>
          <cell r="H110">
            <v>206</v>
          </cell>
          <cell r="I110">
            <v>230</v>
          </cell>
          <cell r="J110">
            <v>195</v>
          </cell>
          <cell r="K110">
            <v>218</v>
          </cell>
          <cell r="L110">
            <v>194</v>
          </cell>
          <cell r="M110">
            <v>233</v>
          </cell>
        </row>
        <row r="111">
          <cell r="A111">
            <v>5175552</v>
          </cell>
          <cell r="B111">
            <v>5111869</v>
          </cell>
          <cell r="C111">
            <v>4410</v>
          </cell>
          <cell r="D111">
            <v>3650217</v>
          </cell>
          <cell r="E111">
            <v>104</v>
          </cell>
          <cell r="F111">
            <v>50</v>
          </cell>
          <cell r="G111">
            <v>40</v>
          </cell>
          <cell r="H111">
            <v>72</v>
          </cell>
          <cell r="I111">
            <v>53</v>
          </cell>
          <cell r="J111">
            <v>48</v>
          </cell>
          <cell r="K111">
            <v>47</v>
          </cell>
          <cell r="L111">
            <v>48</v>
          </cell>
          <cell r="M111">
            <v>53</v>
          </cell>
        </row>
        <row r="112">
          <cell r="A112">
            <v>5173054</v>
          </cell>
          <cell r="B112">
            <v>5110620</v>
          </cell>
          <cell r="C112">
            <v>4410</v>
          </cell>
          <cell r="D112">
            <v>10275831</v>
          </cell>
          <cell r="E112">
            <v>788</v>
          </cell>
          <cell r="F112">
            <v>683</v>
          </cell>
          <cell r="G112">
            <v>637</v>
          </cell>
          <cell r="H112">
            <v>599</v>
          </cell>
          <cell r="I112">
            <v>609</v>
          </cell>
          <cell r="J112">
            <v>539</v>
          </cell>
          <cell r="K112">
            <v>0</v>
          </cell>
          <cell r="L112">
            <v>0</v>
          </cell>
          <cell r="M112">
            <v>366</v>
          </cell>
        </row>
        <row r="113">
          <cell r="A113">
            <v>5173038</v>
          </cell>
          <cell r="B113">
            <v>5110612</v>
          </cell>
          <cell r="C113">
            <v>4410</v>
          </cell>
          <cell r="D113">
            <v>156235</v>
          </cell>
          <cell r="E113">
            <v>159</v>
          </cell>
          <cell r="F113">
            <v>139</v>
          </cell>
          <cell r="G113">
            <v>142</v>
          </cell>
          <cell r="H113">
            <v>140</v>
          </cell>
          <cell r="I113">
            <v>153</v>
          </cell>
          <cell r="J113">
            <v>132</v>
          </cell>
          <cell r="K113">
            <v>136</v>
          </cell>
          <cell r="L113">
            <v>142</v>
          </cell>
          <cell r="M113">
            <v>157</v>
          </cell>
        </row>
        <row r="114">
          <cell r="A114">
            <v>5175872</v>
          </cell>
          <cell r="B114">
            <v>5112029</v>
          </cell>
          <cell r="C114">
            <v>4410</v>
          </cell>
          <cell r="D114">
            <v>6823917</v>
          </cell>
          <cell r="E114">
            <v>224</v>
          </cell>
          <cell r="F114">
            <v>199</v>
          </cell>
          <cell r="G114">
            <v>218</v>
          </cell>
          <cell r="H114">
            <v>202</v>
          </cell>
          <cell r="I114">
            <v>213</v>
          </cell>
          <cell r="J114">
            <v>195</v>
          </cell>
          <cell r="K114">
            <v>220</v>
          </cell>
          <cell r="L114">
            <v>191</v>
          </cell>
          <cell r="M114">
            <v>252</v>
          </cell>
        </row>
        <row r="115">
          <cell r="A115">
            <v>5164490</v>
          </cell>
          <cell r="B115">
            <v>5106338</v>
          </cell>
          <cell r="C115">
            <v>4410</v>
          </cell>
          <cell r="D115">
            <v>15962073</v>
          </cell>
          <cell r="E115">
            <v>180</v>
          </cell>
          <cell r="F115">
            <v>152</v>
          </cell>
          <cell r="G115">
            <v>165</v>
          </cell>
          <cell r="H115">
            <v>150</v>
          </cell>
          <cell r="I115">
            <v>154</v>
          </cell>
          <cell r="J115">
            <v>174</v>
          </cell>
          <cell r="K115">
            <v>151</v>
          </cell>
          <cell r="L115">
            <v>172</v>
          </cell>
          <cell r="M115">
            <v>174</v>
          </cell>
        </row>
        <row r="116">
          <cell r="A116">
            <v>5081366</v>
          </cell>
          <cell r="B116">
            <v>5064776</v>
          </cell>
          <cell r="C116">
            <v>4410</v>
          </cell>
          <cell r="E116">
            <v>172</v>
          </cell>
          <cell r="F116">
            <v>152</v>
          </cell>
          <cell r="G116">
            <v>148</v>
          </cell>
          <cell r="H116">
            <v>144</v>
          </cell>
          <cell r="I116">
            <v>213</v>
          </cell>
          <cell r="J116">
            <v>183</v>
          </cell>
          <cell r="K116">
            <v>193</v>
          </cell>
          <cell r="L116">
            <v>172</v>
          </cell>
          <cell r="M116">
            <v>184</v>
          </cell>
        </row>
        <row r="117">
          <cell r="A117">
            <v>5069900</v>
          </cell>
          <cell r="B117">
            <v>5059043</v>
          </cell>
          <cell r="C117">
            <v>4410</v>
          </cell>
          <cell r="E117">
            <v>233</v>
          </cell>
          <cell r="F117">
            <v>206</v>
          </cell>
          <cell r="G117">
            <v>200</v>
          </cell>
          <cell r="H117">
            <v>189</v>
          </cell>
          <cell r="I117">
            <v>273</v>
          </cell>
          <cell r="J117">
            <v>237</v>
          </cell>
          <cell r="K117">
            <v>251</v>
          </cell>
          <cell r="L117">
            <v>224</v>
          </cell>
          <cell r="M117">
            <v>242</v>
          </cell>
        </row>
        <row r="118">
          <cell r="A118">
            <v>5176188</v>
          </cell>
          <cell r="B118">
            <v>5112187</v>
          </cell>
          <cell r="C118">
            <v>4410</v>
          </cell>
          <cell r="D118">
            <v>6824680</v>
          </cell>
          <cell r="E118">
            <v>221</v>
          </cell>
          <cell r="F118">
            <v>196</v>
          </cell>
          <cell r="G118">
            <v>189</v>
          </cell>
          <cell r="H118">
            <v>168</v>
          </cell>
          <cell r="I118">
            <v>219</v>
          </cell>
          <cell r="J118">
            <v>189</v>
          </cell>
          <cell r="K118">
            <v>201</v>
          </cell>
          <cell r="L118">
            <v>181</v>
          </cell>
          <cell r="M118">
            <v>194</v>
          </cell>
        </row>
        <row r="119">
          <cell r="A119">
            <v>5180716</v>
          </cell>
          <cell r="B119">
            <v>5114451</v>
          </cell>
          <cell r="C119">
            <v>4410</v>
          </cell>
          <cell r="D119">
            <v>3649759</v>
          </cell>
          <cell r="E119">
            <v>244</v>
          </cell>
          <cell r="F119">
            <v>263</v>
          </cell>
          <cell r="G119">
            <v>201</v>
          </cell>
          <cell r="H119">
            <v>278</v>
          </cell>
          <cell r="I119">
            <v>291</v>
          </cell>
          <cell r="J119">
            <v>292</v>
          </cell>
          <cell r="K119">
            <v>316</v>
          </cell>
          <cell r="L119">
            <v>312</v>
          </cell>
          <cell r="M119">
            <v>343</v>
          </cell>
        </row>
        <row r="120">
          <cell r="A120">
            <v>5180800</v>
          </cell>
          <cell r="B120">
            <v>5114493</v>
          </cell>
          <cell r="C120">
            <v>4410</v>
          </cell>
          <cell r="D120">
            <v>3655805</v>
          </cell>
          <cell r="E120">
            <v>278</v>
          </cell>
          <cell r="F120">
            <v>226</v>
          </cell>
          <cell r="G120">
            <v>201</v>
          </cell>
          <cell r="H120">
            <v>211</v>
          </cell>
          <cell r="I120">
            <v>188</v>
          </cell>
          <cell r="J120">
            <v>181</v>
          </cell>
          <cell r="K120">
            <v>188</v>
          </cell>
          <cell r="L120">
            <v>166</v>
          </cell>
          <cell r="M120">
            <v>174</v>
          </cell>
        </row>
        <row r="121">
          <cell r="A121">
            <v>5174166</v>
          </cell>
          <cell r="B121">
            <v>5111176</v>
          </cell>
          <cell r="C121">
            <v>4410</v>
          </cell>
          <cell r="D121">
            <v>33001179</v>
          </cell>
          <cell r="E121">
            <v>231</v>
          </cell>
          <cell r="F121">
            <v>205</v>
          </cell>
          <cell r="G121">
            <v>196</v>
          </cell>
          <cell r="H121">
            <v>172</v>
          </cell>
          <cell r="I121">
            <v>227</v>
          </cell>
          <cell r="J121">
            <v>196</v>
          </cell>
          <cell r="K121">
            <v>209</v>
          </cell>
          <cell r="L121">
            <v>188</v>
          </cell>
          <cell r="M121">
            <v>201</v>
          </cell>
        </row>
        <row r="122">
          <cell r="A122">
            <v>5180250</v>
          </cell>
          <cell r="B122">
            <v>5114218</v>
          </cell>
          <cell r="C122">
            <v>4410</v>
          </cell>
          <cell r="D122">
            <v>3639938</v>
          </cell>
          <cell r="E122">
            <v>136</v>
          </cell>
          <cell r="F122">
            <v>115</v>
          </cell>
          <cell r="G122">
            <v>59</v>
          </cell>
          <cell r="H122">
            <v>95</v>
          </cell>
          <cell r="I122">
            <v>91</v>
          </cell>
          <cell r="J122">
            <v>61</v>
          </cell>
          <cell r="K122">
            <v>95</v>
          </cell>
          <cell r="L122">
            <v>81</v>
          </cell>
          <cell r="M122">
            <v>171</v>
          </cell>
        </row>
        <row r="123">
          <cell r="A123">
            <v>5177660</v>
          </cell>
          <cell r="B123">
            <v>5112923</v>
          </cell>
          <cell r="C123">
            <v>4410</v>
          </cell>
          <cell r="D123">
            <v>3362953</v>
          </cell>
          <cell r="E123">
            <v>172</v>
          </cell>
          <cell r="F123">
            <v>152</v>
          </cell>
          <cell r="G123">
            <v>148</v>
          </cell>
          <cell r="H123">
            <v>144</v>
          </cell>
          <cell r="I123">
            <v>213</v>
          </cell>
          <cell r="J123">
            <v>183</v>
          </cell>
          <cell r="K123">
            <v>193</v>
          </cell>
          <cell r="L123">
            <v>172</v>
          </cell>
          <cell r="M123">
            <v>174</v>
          </cell>
        </row>
        <row r="124">
          <cell r="A124">
            <v>5180740</v>
          </cell>
          <cell r="B124">
            <v>5114463</v>
          </cell>
          <cell r="C124">
            <v>4410</v>
          </cell>
          <cell r="D124">
            <v>7724833</v>
          </cell>
          <cell r="E124">
            <v>172</v>
          </cell>
          <cell r="F124">
            <v>152</v>
          </cell>
          <cell r="G124">
            <v>148</v>
          </cell>
          <cell r="H124">
            <v>144</v>
          </cell>
          <cell r="I124">
            <v>213</v>
          </cell>
          <cell r="J124">
            <v>183</v>
          </cell>
          <cell r="K124">
            <v>193</v>
          </cell>
          <cell r="L124">
            <v>172</v>
          </cell>
          <cell r="M124">
            <v>245</v>
          </cell>
        </row>
        <row r="125">
          <cell r="A125">
            <v>5180082</v>
          </cell>
          <cell r="B125">
            <v>5114134</v>
          </cell>
          <cell r="C125">
            <v>4410</v>
          </cell>
          <cell r="D125">
            <v>706259</v>
          </cell>
          <cell r="E125">
            <v>233</v>
          </cell>
          <cell r="F125">
            <v>206</v>
          </cell>
          <cell r="G125">
            <v>200</v>
          </cell>
          <cell r="H125">
            <v>189</v>
          </cell>
          <cell r="I125">
            <v>273</v>
          </cell>
          <cell r="J125">
            <v>237</v>
          </cell>
          <cell r="K125">
            <v>193</v>
          </cell>
          <cell r="L125">
            <v>172</v>
          </cell>
          <cell r="M125">
            <v>313</v>
          </cell>
        </row>
        <row r="126">
          <cell r="A126">
            <v>5180760</v>
          </cell>
          <cell r="B126">
            <v>5114473</v>
          </cell>
          <cell r="C126">
            <v>4410</v>
          </cell>
          <cell r="D126">
            <v>3519548</v>
          </cell>
          <cell r="E126">
            <v>185</v>
          </cell>
          <cell r="F126">
            <v>175</v>
          </cell>
          <cell r="G126">
            <v>0</v>
          </cell>
          <cell r="H126">
            <v>143</v>
          </cell>
          <cell r="I126">
            <v>149</v>
          </cell>
          <cell r="J126">
            <v>166</v>
          </cell>
          <cell r="K126">
            <v>167</v>
          </cell>
          <cell r="L126">
            <v>186</v>
          </cell>
          <cell r="M126">
            <v>201</v>
          </cell>
        </row>
        <row r="127">
          <cell r="A127">
            <v>5176208</v>
          </cell>
          <cell r="B127">
            <v>5112197</v>
          </cell>
          <cell r="C127">
            <v>4410</v>
          </cell>
          <cell r="D127">
            <v>3518742</v>
          </cell>
          <cell r="E127">
            <v>172</v>
          </cell>
          <cell r="F127">
            <v>152</v>
          </cell>
          <cell r="G127">
            <v>148</v>
          </cell>
          <cell r="H127">
            <v>90</v>
          </cell>
          <cell r="I127">
            <v>30</v>
          </cell>
          <cell r="J127">
            <v>29</v>
          </cell>
          <cell r="K127">
            <v>21</v>
          </cell>
          <cell r="L127">
            <v>14</v>
          </cell>
          <cell r="M127">
            <v>30</v>
          </cell>
        </row>
        <row r="128">
          <cell r="A128">
            <v>5176292</v>
          </cell>
          <cell r="B128">
            <v>5112239</v>
          </cell>
          <cell r="C128">
            <v>4410</v>
          </cell>
          <cell r="D128">
            <v>10406837</v>
          </cell>
          <cell r="E128">
            <v>123</v>
          </cell>
          <cell r="F128">
            <v>240</v>
          </cell>
          <cell r="G128">
            <v>221</v>
          </cell>
          <cell r="H128">
            <v>203</v>
          </cell>
          <cell r="I128">
            <v>172</v>
          </cell>
          <cell r="J128">
            <v>160</v>
          </cell>
          <cell r="K128">
            <v>177</v>
          </cell>
          <cell r="L128">
            <v>115</v>
          </cell>
          <cell r="M128">
            <v>153</v>
          </cell>
        </row>
        <row r="129">
          <cell r="A129">
            <v>5180204</v>
          </cell>
          <cell r="B129">
            <v>5114195</v>
          </cell>
          <cell r="C129">
            <v>4410</v>
          </cell>
          <cell r="D129">
            <v>10505316</v>
          </cell>
          <cell r="E129">
            <v>177</v>
          </cell>
          <cell r="F129">
            <v>87</v>
          </cell>
          <cell r="G129">
            <v>153</v>
          </cell>
          <cell r="H129">
            <v>165</v>
          </cell>
          <cell r="I129">
            <v>179</v>
          </cell>
          <cell r="J129">
            <v>161</v>
          </cell>
          <cell r="K129">
            <v>167</v>
          </cell>
          <cell r="L129">
            <v>175</v>
          </cell>
          <cell r="M129">
            <v>157</v>
          </cell>
        </row>
        <row r="130">
          <cell r="A130">
            <v>5176704</v>
          </cell>
          <cell r="B130">
            <v>5112445</v>
          </cell>
          <cell r="C130">
            <v>4410</v>
          </cell>
          <cell r="D130">
            <v>6825517</v>
          </cell>
          <cell r="E130">
            <v>327</v>
          </cell>
          <cell r="F130">
            <v>282</v>
          </cell>
          <cell r="G130">
            <v>273</v>
          </cell>
          <cell r="H130">
            <v>268</v>
          </cell>
          <cell r="I130">
            <v>289</v>
          </cell>
          <cell r="J130">
            <v>115</v>
          </cell>
          <cell r="K130">
            <v>152</v>
          </cell>
          <cell r="L130">
            <v>293</v>
          </cell>
          <cell r="M130">
            <v>328</v>
          </cell>
        </row>
        <row r="131">
          <cell r="A131">
            <v>5180206</v>
          </cell>
          <cell r="B131">
            <v>5114196</v>
          </cell>
          <cell r="C131">
            <v>4410</v>
          </cell>
          <cell r="D131">
            <v>156293</v>
          </cell>
          <cell r="E131">
            <v>136</v>
          </cell>
          <cell r="F131">
            <v>142</v>
          </cell>
          <cell r="G131">
            <v>192</v>
          </cell>
          <cell r="H131">
            <v>190</v>
          </cell>
          <cell r="I131">
            <v>206</v>
          </cell>
          <cell r="J131">
            <v>180</v>
          </cell>
          <cell r="K131">
            <v>213</v>
          </cell>
          <cell r="L131">
            <v>219</v>
          </cell>
          <cell r="M131">
            <v>146</v>
          </cell>
        </row>
        <row r="132">
          <cell r="A132">
            <v>5176586</v>
          </cell>
          <cell r="B132">
            <v>5112386</v>
          </cell>
          <cell r="C132">
            <v>4410</v>
          </cell>
          <cell r="D132">
            <v>10274688</v>
          </cell>
          <cell r="E132">
            <v>424</v>
          </cell>
          <cell r="F132">
            <v>384</v>
          </cell>
          <cell r="G132">
            <v>371</v>
          </cell>
          <cell r="H132">
            <v>368</v>
          </cell>
          <cell r="I132">
            <v>383</v>
          </cell>
          <cell r="J132">
            <v>364</v>
          </cell>
          <cell r="K132">
            <v>399</v>
          </cell>
          <cell r="L132">
            <v>995</v>
          </cell>
          <cell r="M132">
            <v>375</v>
          </cell>
        </row>
        <row r="133">
          <cell r="A133">
            <v>5176740</v>
          </cell>
          <cell r="B133">
            <v>5112463</v>
          </cell>
          <cell r="C133">
            <v>4410</v>
          </cell>
          <cell r="D133">
            <v>10280703</v>
          </cell>
          <cell r="E133">
            <v>789</v>
          </cell>
          <cell r="F133">
            <v>691</v>
          </cell>
          <cell r="G133">
            <v>642</v>
          </cell>
          <cell r="H133">
            <v>815</v>
          </cell>
          <cell r="I133">
            <v>751</v>
          </cell>
          <cell r="J133">
            <v>680</v>
          </cell>
          <cell r="K133">
            <v>718</v>
          </cell>
          <cell r="L133">
            <v>683</v>
          </cell>
          <cell r="M133">
            <v>713</v>
          </cell>
        </row>
        <row r="134">
          <cell r="A134">
            <v>5176270</v>
          </cell>
          <cell r="B134">
            <v>5112228</v>
          </cell>
          <cell r="C134">
            <v>4410</v>
          </cell>
          <cell r="D134">
            <v>1534913</v>
          </cell>
          <cell r="E134">
            <v>132</v>
          </cell>
          <cell r="F134">
            <v>116</v>
          </cell>
          <cell r="G134">
            <v>125</v>
          </cell>
          <cell r="H134">
            <v>130</v>
          </cell>
          <cell r="I134">
            <v>137</v>
          </cell>
          <cell r="J134">
            <v>120</v>
          </cell>
          <cell r="K134">
            <v>130</v>
          </cell>
          <cell r="L134">
            <v>121</v>
          </cell>
          <cell r="M134">
            <v>132</v>
          </cell>
        </row>
        <row r="135">
          <cell r="A135">
            <v>5176646</v>
          </cell>
          <cell r="B135">
            <v>5112416</v>
          </cell>
          <cell r="C135">
            <v>4410</v>
          </cell>
          <cell r="D135">
            <v>1789739</v>
          </cell>
          <cell r="E135">
            <v>179</v>
          </cell>
          <cell r="F135">
            <v>150</v>
          </cell>
          <cell r="G135">
            <v>0</v>
          </cell>
          <cell r="H135">
            <v>208</v>
          </cell>
          <cell r="I135">
            <v>227</v>
          </cell>
          <cell r="J135">
            <v>153</v>
          </cell>
          <cell r="K135">
            <v>156</v>
          </cell>
          <cell r="L135">
            <v>141</v>
          </cell>
          <cell r="M135">
            <v>150</v>
          </cell>
        </row>
        <row r="136">
          <cell r="A136">
            <v>5176690</v>
          </cell>
          <cell r="B136">
            <v>5112438</v>
          </cell>
          <cell r="C136">
            <v>4410</v>
          </cell>
          <cell r="D136">
            <v>1676012</v>
          </cell>
          <cell r="E136">
            <v>329</v>
          </cell>
          <cell r="F136">
            <v>290</v>
          </cell>
          <cell r="G136">
            <v>294</v>
          </cell>
          <cell r="H136">
            <v>311</v>
          </cell>
          <cell r="I136">
            <v>300</v>
          </cell>
          <cell r="J136">
            <v>274</v>
          </cell>
          <cell r="K136">
            <v>318</v>
          </cell>
          <cell r="L136">
            <v>277</v>
          </cell>
          <cell r="M136">
            <v>298</v>
          </cell>
        </row>
        <row r="137">
          <cell r="A137">
            <v>5176000</v>
          </cell>
          <cell r="B137">
            <v>5112093</v>
          </cell>
          <cell r="C137">
            <v>4410</v>
          </cell>
          <cell r="D137">
            <v>1676013</v>
          </cell>
          <cell r="E137">
            <v>198</v>
          </cell>
          <cell r="F137">
            <v>174</v>
          </cell>
          <cell r="G137">
            <v>204</v>
          </cell>
          <cell r="H137">
            <v>177</v>
          </cell>
          <cell r="I137">
            <v>192</v>
          </cell>
          <cell r="J137">
            <v>174</v>
          </cell>
          <cell r="K137">
            <v>182</v>
          </cell>
          <cell r="L137">
            <v>178</v>
          </cell>
          <cell r="M137">
            <v>199</v>
          </cell>
        </row>
        <row r="138">
          <cell r="A138">
            <v>5180838</v>
          </cell>
          <cell r="B138">
            <v>5114512</v>
          </cell>
          <cell r="C138">
            <v>4410</v>
          </cell>
          <cell r="D138">
            <v>1618054</v>
          </cell>
          <cell r="E138">
            <v>398</v>
          </cell>
          <cell r="F138">
            <v>355</v>
          </cell>
          <cell r="G138">
            <v>369</v>
          </cell>
          <cell r="H138">
            <v>357</v>
          </cell>
          <cell r="I138">
            <v>293</v>
          </cell>
          <cell r="J138">
            <v>432</v>
          </cell>
          <cell r="K138">
            <v>352</v>
          </cell>
          <cell r="L138">
            <v>333</v>
          </cell>
          <cell r="M138">
            <v>356</v>
          </cell>
        </row>
        <row r="139">
          <cell r="A139">
            <v>5177594</v>
          </cell>
          <cell r="B139">
            <v>5112890</v>
          </cell>
          <cell r="C139">
            <v>4410</v>
          </cell>
          <cell r="D139">
            <v>1449652</v>
          </cell>
          <cell r="E139">
            <v>148</v>
          </cell>
          <cell r="F139">
            <v>117</v>
          </cell>
          <cell r="G139">
            <v>130</v>
          </cell>
          <cell r="H139">
            <v>125</v>
          </cell>
          <cell r="I139">
            <v>142</v>
          </cell>
          <cell r="J139">
            <v>145</v>
          </cell>
          <cell r="K139">
            <v>138</v>
          </cell>
          <cell r="L139">
            <v>139</v>
          </cell>
          <cell r="M139">
            <v>163</v>
          </cell>
        </row>
        <row r="140">
          <cell r="A140">
            <v>5180820</v>
          </cell>
          <cell r="B140">
            <v>5114503</v>
          </cell>
          <cell r="C140">
            <v>4410</v>
          </cell>
          <cell r="D140">
            <v>1530241</v>
          </cell>
          <cell r="E140">
            <v>339</v>
          </cell>
          <cell r="F140">
            <v>202</v>
          </cell>
          <cell r="G140">
            <v>257</v>
          </cell>
          <cell r="H140">
            <v>216</v>
          </cell>
          <cell r="I140">
            <v>239</v>
          </cell>
          <cell r="J140">
            <v>226</v>
          </cell>
          <cell r="K140">
            <v>247</v>
          </cell>
          <cell r="L140">
            <v>243</v>
          </cell>
          <cell r="M140">
            <v>271</v>
          </cell>
        </row>
        <row r="141">
          <cell r="A141">
            <v>5180684</v>
          </cell>
          <cell r="B141">
            <v>5114435</v>
          </cell>
          <cell r="C141">
            <v>4410</v>
          </cell>
          <cell r="D141">
            <v>1618049</v>
          </cell>
          <cell r="E141">
            <v>0</v>
          </cell>
          <cell r="F141">
            <v>0</v>
          </cell>
          <cell r="G141">
            <v>0</v>
          </cell>
          <cell r="H141">
            <v>121</v>
          </cell>
          <cell r="I141">
            <v>130</v>
          </cell>
          <cell r="J141">
            <v>134</v>
          </cell>
          <cell r="K141">
            <v>163</v>
          </cell>
          <cell r="L141">
            <v>167</v>
          </cell>
          <cell r="M141">
            <v>181</v>
          </cell>
        </row>
        <row r="142">
          <cell r="A142">
            <v>5180272</v>
          </cell>
          <cell r="B142">
            <v>5114229</v>
          </cell>
          <cell r="C142">
            <v>4410</v>
          </cell>
          <cell r="D142">
            <v>3728582</v>
          </cell>
          <cell r="E142">
            <v>322</v>
          </cell>
          <cell r="F142">
            <v>290</v>
          </cell>
          <cell r="G142">
            <v>307</v>
          </cell>
          <cell r="H142">
            <v>313</v>
          </cell>
          <cell r="I142">
            <v>307</v>
          </cell>
          <cell r="J142">
            <v>280</v>
          </cell>
          <cell r="K142">
            <v>289</v>
          </cell>
          <cell r="L142">
            <v>358</v>
          </cell>
          <cell r="M142">
            <v>296</v>
          </cell>
        </row>
        <row r="143">
          <cell r="A143">
            <v>5180180</v>
          </cell>
          <cell r="B143">
            <v>5114183</v>
          </cell>
          <cell r="C143">
            <v>4410</v>
          </cell>
          <cell r="D143">
            <v>6825282</v>
          </cell>
          <cell r="E143">
            <v>169</v>
          </cell>
          <cell r="F143">
            <v>182</v>
          </cell>
          <cell r="G143">
            <v>193</v>
          </cell>
          <cell r="H143">
            <v>184</v>
          </cell>
          <cell r="I143">
            <v>192</v>
          </cell>
          <cell r="J143">
            <v>172</v>
          </cell>
          <cell r="K143">
            <v>178</v>
          </cell>
          <cell r="L143">
            <v>188</v>
          </cell>
          <cell r="M143">
            <v>210</v>
          </cell>
        </row>
        <row r="144">
          <cell r="A144">
            <v>5180102</v>
          </cell>
          <cell r="B144">
            <v>5114144</v>
          </cell>
          <cell r="C144">
            <v>4410</v>
          </cell>
          <cell r="D144">
            <v>3726330</v>
          </cell>
          <cell r="E144">
            <v>51</v>
          </cell>
          <cell r="F144">
            <v>32</v>
          </cell>
          <cell r="G144">
            <v>50</v>
          </cell>
          <cell r="H144">
            <v>104</v>
          </cell>
          <cell r="I144">
            <v>250</v>
          </cell>
          <cell r="J144">
            <v>123</v>
          </cell>
          <cell r="K144">
            <v>109</v>
          </cell>
          <cell r="L144">
            <v>146</v>
          </cell>
          <cell r="M144">
            <v>130</v>
          </cell>
        </row>
        <row r="145">
          <cell r="A145">
            <v>5177618</v>
          </cell>
          <cell r="B145">
            <v>5112902</v>
          </cell>
          <cell r="C145">
            <v>4410</v>
          </cell>
          <cell r="D145">
            <v>1751544</v>
          </cell>
          <cell r="E145">
            <v>134</v>
          </cell>
          <cell r="F145">
            <v>115</v>
          </cell>
          <cell r="G145">
            <v>113</v>
          </cell>
          <cell r="H145">
            <v>104</v>
          </cell>
          <cell r="I145">
            <v>112</v>
          </cell>
          <cell r="J145">
            <v>99</v>
          </cell>
          <cell r="K145">
            <v>107</v>
          </cell>
          <cell r="L145">
            <v>105</v>
          </cell>
          <cell r="M145">
            <v>115</v>
          </cell>
        </row>
        <row r="146">
          <cell r="A146">
            <v>5177682</v>
          </cell>
          <cell r="B146">
            <v>5112934</v>
          </cell>
          <cell r="C146">
            <v>4410</v>
          </cell>
          <cell r="D146">
            <v>3741528</v>
          </cell>
          <cell r="E146">
            <v>39</v>
          </cell>
          <cell r="F146">
            <v>62</v>
          </cell>
          <cell r="G146">
            <v>41</v>
          </cell>
          <cell r="H146">
            <v>60</v>
          </cell>
          <cell r="I146">
            <v>77</v>
          </cell>
          <cell r="J146">
            <v>84</v>
          </cell>
          <cell r="K146">
            <v>83</v>
          </cell>
          <cell r="L146">
            <v>82</v>
          </cell>
          <cell r="M146">
            <v>87</v>
          </cell>
        </row>
        <row r="147">
          <cell r="A147">
            <v>5179492</v>
          </cell>
          <cell r="B147">
            <v>5113839</v>
          </cell>
          <cell r="C147">
            <v>4410</v>
          </cell>
          <cell r="D147">
            <v>4748384</v>
          </cell>
          <cell r="E147">
            <v>198</v>
          </cell>
          <cell r="F147">
            <v>178</v>
          </cell>
          <cell r="G147">
            <v>171</v>
          </cell>
          <cell r="H147">
            <v>176</v>
          </cell>
          <cell r="I147">
            <v>187</v>
          </cell>
          <cell r="J147">
            <v>164</v>
          </cell>
          <cell r="K147">
            <v>204</v>
          </cell>
          <cell r="L147">
            <v>184</v>
          </cell>
          <cell r="M147">
            <v>191</v>
          </cell>
        </row>
        <row r="148">
          <cell r="A148">
            <v>5179376</v>
          </cell>
          <cell r="B148">
            <v>5113781</v>
          </cell>
          <cell r="C148">
            <v>4410</v>
          </cell>
          <cell r="D148">
            <v>4747818</v>
          </cell>
          <cell r="E148">
            <v>641</v>
          </cell>
          <cell r="F148">
            <v>321</v>
          </cell>
          <cell r="G148">
            <v>319</v>
          </cell>
          <cell r="H148">
            <v>319</v>
          </cell>
          <cell r="I148">
            <v>337</v>
          </cell>
          <cell r="J148">
            <v>10</v>
          </cell>
          <cell r="K148">
            <v>0</v>
          </cell>
          <cell r="L148">
            <v>232</v>
          </cell>
          <cell r="M148">
            <v>1514</v>
          </cell>
        </row>
        <row r="149">
          <cell r="A149">
            <v>5176314</v>
          </cell>
          <cell r="B149">
            <v>5112250</v>
          </cell>
          <cell r="C149">
            <v>4410</v>
          </cell>
          <cell r="D149">
            <v>6823138</v>
          </cell>
          <cell r="E149">
            <v>61</v>
          </cell>
          <cell r="F149">
            <v>74</v>
          </cell>
          <cell r="G149">
            <v>57</v>
          </cell>
          <cell r="H149">
            <v>31</v>
          </cell>
          <cell r="I149">
            <v>35</v>
          </cell>
          <cell r="J149">
            <v>47</v>
          </cell>
          <cell r="K149">
            <v>59</v>
          </cell>
          <cell r="L149">
            <v>69</v>
          </cell>
          <cell r="M149">
            <v>55</v>
          </cell>
        </row>
        <row r="150">
          <cell r="A150">
            <v>5176250</v>
          </cell>
          <cell r="B150">
            <v>5112218</v>
          </cell>
          <cell r="C150">
            <v>4410</v>
          </cell>
          <cell r="D150">
            <v>6824774</v>
          </cell>
          <cell r="E150">
            <v>236</v>
          </cell>
          <cell r="F150">
            <v>382</v>
          </cell>
          <cell r="G150">
            <v>169</v>
          </cell>
          <cell r="H150">
            <v>163</v>
          </cell>
          <cell r="I150">
            <v>175</v>
          </cell>
          <cell r="J150">
            <v>189</v>
          </cell>
          <cell r="K150">
            <v>192</v>
          </cell>
          <cell r="L150">
            <v>198</v>
          </cell>
          <cell r="M150">
            <v>198</v>
          </cell>
        </row>
        <row r="151">
          <cell r="A151">
            <v>5176148</v>
          </cell>
          <cell r="B151">
            <v>5112167</v>
          </cell>
          <cell r="C151">
            <v>4410</v>
          </cell>
          <cell r="D151">
            <v>3725262</v>
          </cell>
          <cell r="E151">
            <v>293</v>
          </cell>
          <cell r="F151">
            <v>492</v>
          </cell>
          <cell r="G151">
            <v>260</v>
          </cell>
          <cell r="H151">
            <v>254</v>
          </cell>
          <cell r="I151">
            <v>278</v>
          </cell>
          <cell r="J151">
            <v>252</v>
          </cell>
          <cell r="K151">
            <v>262</v>
          </cell>
          <cell r="L151">
            <v>268</v>
          </cell>
          <cell r="M151">
            <v>221</v>
          </cell>
        </row>
        <row r="152">
          <cell r="A152">
            <v>5176628</v>
          </cell>
          <cell r="B152">
            <v>5112407</v>
          </cell>
          <cell r="C152">
            <v>4410</v>
          </cell>
          <cell r="D152">
            <v>6822581</v>
          </cell>
          <cell r="E152">
            <v>172</v>
          </cell>
          <cell r="F152">
            <v>151</v>
          </cell>
          <cell r="G152">
            <v>144</v>
          </cell>
          <cell r="H152">
            <v>156</v>
          </cell>
          <cell r="I152">
            <v>171</v>
          </cell>
          <cell r="J152">
            <v>135</v>
          </cell>
          <cell r="K152">
            <v>168</v>
          </cell>
          <cell r="L152">
            <v>166</v>
          </cell>
          <cell r="M152">
            <v>177</v>
          </cell>
        </row>
        <row r="153">
          <cell r="A153">
            <v>5176086</v>
          </cell>
          <cell r="B153">
            <v>5112136</v>
          </cell>
          <cell r="C153">
            <v>4410</v>
          </cell>
          <cell r="D153">
            <v>3730937</v>
          </cell>
          <cell r="E153">
            <v>44</v>
          </cell>
          <cell r="F153">
            <v>36</v>
          </cell>
          <cell r="G153">
            <v>36</v>
          </cell>
          <cell r="H153">
            <v>38</v>
          </cell>
          <cell r="I153">
            <v>40</v>
          </cell>
          <cell r="J153">
            <v>39</v>
          </cell>
          <cell r="K153">
            <v>40</v>
          </cell>
          <cell r="L153">
            <v>31</v>
          </cell>
          <cell r="M153">
            <v>37</v>
          </cell>
        </row>
        <row r="154">
          <cell r="A154">
            <v>5176022</v>
          </cell>
          <cell r="B154">
            <v>5112104</v>
          </cell>
          <cell r="C154">
            <v>4410</v>
          </cell>
          <cell r="D154">
            <v>6825074</v>
          </cell>
          <cell r="E154">
            <v>181</v>
          </cell>
          <cell r="F154">
            <v>138</v>
          </cell>
          <cell r="G154">
            <v>147</v>
          </cell>
          <cell r="H154">
            <v>150</v>
          </cell>
          <cell r="I154">
            <v>165</v>
          </cell>
          <cell r="J154">
            <v>167</v>
          </cell>
          <cell r="K154">
            <v>154</v>
          </cell>
          <cell r="L154">
            <v>139</v>
          </cell>
          <cell r="M154">
            <v>157</v>
          </cell>
        </row>
        <row r="155">
          <cell r="A155">
            <v>5175978</v>
          </cell>
          <cell r="B155">
            <v>5112082</v>
          </cell>
          <cell r="C155">
            <v>4410</v>
          </cell>
          <cell r="D155">
            <v>1753062</v>
          </cell>
          <cell r="E155">
            <v>184</v>
          </cell>
          <cell r="F155">
            <v>160</v>
          </cell>
          <cell r="G155">
            <v>199</v>
          </cell>
          <cell r="H155">
            <v>160</v>
          </cell>
          <cell r="I155">
            <v>158</v>
          </cell>
          <cell r="J155">
            <v>170</v>
          </cell>
          <cell r="K155">
            <v>189</v>
          </cell>
          <cell r="L155">
            <v>214</v>
          </cell>
          <cell r="M155">
            <v>211</v>
          </cell>
        </row>
        <row r="156">
          <cell r="A156">
            <v>5180228</v>
          </cell>
          <cell r="B156">
            <v>5114207</v>
          </cell>
          <cell r="C156">
            <v>4410</v>
          </cell>
          <cell r="D156">
            <v>6824208</v>
          </cell>
          <cell r="E156">
            <v>290</v>
          </cell>
          <cell r="F156">
            <v>103</v>
          </cell>
          <cell r="G156">
            <v>252</v>
          </cell>
          <cell r="H156">
            <v>47</v>
          </cell>
          <cell r="I156">
            <v>134</v>
          </cell>
          <cell r="J156">
            <v>150</v>
          </cell>
          <cell r="K156">
            <v>20</v>
          </cell>
          <cell r="L156">
            <v>155</v>
          </cell>
          <cell r="M156">
            <v>297</v>
          </cell>
        </row>
        <row r="157">
          <cell r="A157">
            <v>5180142</v>
          </cell>
          <cell r="B157">
            <v>5114164</v>
          </cell>
          <cell r="C157">
            <v>4410</v>
          </cell>
          <cell r="D157">
            <v>3725862</v>
          </cell>
          <cell r="E157">
            <v>138</v>
          </cell>
          <cell r="F157">
            <v>84</v>
          </cell>
          <cell r="G157">
            <v>124</v>
          </cell>
          <cell r="H157">
            <v>112</v>
          </cell>
          <cell r="I157">
            <v>147</v>
          </cell>
          <cell r="J157">
            <v>63</v>
          </cell>
          <cell r="K157">
            <v>117</v>
          </cell>
          <cell r="L157">
            <v>122</v>
          </cell>
          <cell r="M157">
            <v>130</v>
          </cell>
        </row>
        <row r="158">
          <cell r="A158">
            <v>5177576</v>
          </cell>
          <cell r="B158">
            <v>5112881</v>
          </cell>
          <cell r="C158">
            <v>4410</v>
          </cell>
          <cell r="D158">
            <v>3730999</v>
          </cell>
          <cell r="E158">
            <v>41</v>
          </cell>
          <cell r="F158">
            <v>38</v>
          </cell>
          <cell r="G158">
            <v>38</v>
          </cell>
          <cell r="H158">
            <v>38</v>
          </cell>
          <cell r="I158">
            <v>35</v>
          </cell>
          <cell r="J158">
            <v>40</v>
          </cell>
          <cell r="K158">
            <v>40</v>
          </cell>
          <cell r="L158">
            <v>40</v>
          </cell>
          <cell r="M158">
            <v>64</v>
          </cell>
        </row>
        <row r="159">
          <cell r="A159">
            <v>5176376</v>
          </cell>
          <cell r="B159">
            <v>5112281</v>
          </cell>
          <cell r="C159">
            <v>4410</v>
          </cell>
          <cell r="D159">
            <v>3729618</v>
          </cell>
          <cell r="E159">
            <v>200</v>
          </cell>
          <cell r="F159">
            <v>47</v>
          </cell>
          <cell r="G159">
            <v>18</v>
          </cell>
          <cell r="H159">
            <v>143</v>
          </cell>
          <cell r="I159">
            <v>168</v>
          </cell>
          <cell r="J159">
            <v>174</v>
          </cell>
          <cell r="K159">
            <v>195</v>
          </cell>
          <cell r="L159">
            <v>200</v>
          </cell>
          <cell r="M159">
            <v>221</v>
          </cell>
        </row>
        <row r="160">
          <cell r="A160">
            <v>5176332</v>
          </cell>
          <cell r="B160">
            <v>5112259</v>
          </cell>
          <cell r="C160">
            <v>4410</v>
          </cell>
          <cell r="D160">
            <v>6824288</v>
          </cell>
          <cell r="E160">
            <v>76</v>
          </cell>
          <cell r="F160">
            <v>57</v>
          </cell>
          <cell r="G160">
            <v>52</v>
          </cell>
          <cell r="H160">
            <v>53</v>
          </cell>
          <cell r="I160">
            <v>47</v>
          </cell>
          <cell r="J160">
            <v>42</v>
          </cell>
          <cell r="K160">
            <v>42</v>
          </cell>
          <cell r="L160">
            <v>37</v>
          </cell>
          <cell r="M160">
            <v>80</v>
          </cell>
        </row>
        <row r="161">
          <cell r="A161">
            <v>5176044</v>
          </cell>
          <cell r="B161">
            <v>5112115</v>
          </cell>
          <cell r="C161">
            <v>4410</v>
          </cell>
          <cell r="D161">
            <v>3725899</v>
          </cell>
          <cell r="E161">
            <v>139</v>
          </cell>
          <cell r="F161">
            <v>92</v>
          </cell>
          <cell r="G161">
            <v>71</v>
          </cell>
          <cell r="H161">
            <v>104</v>
          </cell>
          <cell r="I161">
            <v>88</v>
          </cell>
          <cell r="J161">
            <v>89</v>
          </cell>
          <cell r="K161">
            <v>90</v>
          </cell>
          <cell r="L161">
            <v>109</v>
          </cell>
          <cell r="M161">
            <v>184</v>
          </cell>
        </row>
        <row r="162">
          <cell r="A162">
            <v>5176230</v>
          </cell>
          <cell r="B162">
            <v>5112208</v>
          </cell>
          <cell r="C162">
            <v>4410</v>
          </cell>
          <cell r="D162">
            <v>3730484</v>
          </cell>
          <cell r="E162">
            <v>125</v>
          </cell>
          <cell r="F162">
            <v>114</v>
          </cell>
          <cell r="G162">
            <v>124</v>
          </cell>
          <cell r="H162">
            <v>57</v>
          </cell>
          <cell r="I162">
            <v>136</v>
          </cell>
          <cell r="J162">
            <v>221</v>
          </cell>
          <cell r="K162">
            <v>320</v>
          </cell>
          <cell r="L162">
            <v>270</v>
          </cell>
          <cell r="M162">
            <v>174</v>
          </cell>
        </row>
        <row r="163">
          <cell r="A163">
            <v>5176606</v>
          </cell>
          <cell r="B163">
            <v>5112396</v>
          </cell>
          <cell r="C163">
            <v>4410</v>
          </cell>
          <cell r="D163">
            <v>3725280</v>
          </cell>
          <cell r="E163">
            <v>78</v>
          </cell>
          <cell r="F163">
            <v>64</v>
          </cell>
          <cell r="G163">
            <v>66</v>
          </cell>
          <cell r="H163">
            <v>64</v>
          </cell>
          <cell r="I163">
            <v>67</v>
          </cell>
          <cell r="J163">
            <v>65</v>
          </cell>
          <cell r="K163">
            <v>69</v>
          </cell>
          <cell r="L163">
            <v>66</v>
          </cell>
          <cell r="M163">
            <v>79</v>
          </cell>
        </row>
        <row r="164">
          <cell r="A164">
            <v>5176668</v>
          </cell>
          <cell r="B164">
            <v>5112427</v>
          </cell>
          <cell r="C164">
            <v>4410</v>
          </cell>
          <cell r="D164">
            <v>3729033</v>
          </cell>
          <cell r="E164">
            <v>64</v>
          </cell>
          <cell r="F164">
            <v>54</v>
          </cell>
          <cell r="G164">
            <v>61</v>
          </cell>
          <cell r="H164">
            <v>64</v>
          </cell>
          <cell r="I164">
            <v>65</v>
          </cell>
          <cell r="J164">
            <v>54</v>
          </cell>
          <cell r="K164">
            <v>46</v>
          </cell>
          <cell r="L164">
            <v>47</v>
          </cell>
          <cell r="M164">
            <v>63</v>
          </cell>
        </row>
        <row r="165">
          <cell r="A165">
            <v>5180060</v>
          </cell>
          <cell r="B165">
            <v>5114123</v>
          </cell>
          <cell r="C165">
            <v>4410</v>
          </cell>
          <cell r="D165">
            <v>7286533</v>
          </cell>
          <cell r="E165">
            <v>212</v>
          </cell>
          <cell r="F165">
            <v>159</v>
          </cell>
          <cell r="G165">
            <v>151</v>
          </cell>
          <cell r="H165">
            <v>157</v>
          </cell>
          <cell r="I165">
            <v>173</v>
          </cell>
          <cell r="J165">
            <v>160</v>
          </cell>
          <cell r="K165">
            <v>178</v>
          </cell>
          <cell r="L165">
            <v>169</v>
          </cell>
          <cell r="M165">
            <v>156</v>
          </cell>
        </row>
        <row r="166">
          <cell r="A166">
            <v>5176398</v>
          </cell>
          <cell r="B166">
            <v>5112292</v>
          </cell>
          <cell r="C166">
            <v>4410</v>
          </cell>
          <cell r="D166">
            <v>7118122</v>
          </cell>
          <cell r="E166">
            <v>151</v>
          </cell>
          <cell r="F166">
            <v>55</v>
          </cell>
          <cell r="G166">
            <v>60</v>
          </cell>
          <cell r="H166">
            <v>85</v>
          </cell>
          <cell r="I166">
            <v>94</v>
          </cell>
          <cell r="J166">
            <v>109</v>
          </cell>
          <cell r="K166">
            <v>103</v>
          </cell>
          <cell r="L166">
            <v>86</v>
          </cell>
          <cell r="M166">
            <v>113</v>
          </cell>
        </row>
        <row r="167">
          <cell r="A167">
            <v>5176354</v>
          </cell>
          <cell r="B167">
            <v>5112270</v>
          </cell>
          <cell r="C167">
            <v>4410</v>
          </cell>
          <cell r="D167">
            <v>7105367</v>
          </cell>
          <cell r="E167">
            <v>181</v>
          </cell>
          <cell r="F167">
            <v>164</v>
          </cell>
          <cell r="G167">
            <v>0</v>
          </cell>
          <cell r="H167">
            <v>0</v>
          </cell>
          <cell r="I167">
            <v>72</v>
          </cell>
          <cell r="J167">
            <v>109</v>
          </cell>
          <cell r="K167">
            <v>109</v>
          </cell>
          <cell r="L167">
            <v>108</v>
          </cell>
          <cell r="M167">
            <v>139</v>
          </cell>
        </row>
        <row r="168">
          <cell r="A168">
            <v>5176108</v>
          </cell>
          <cell r="B168">
            <v>5112147</v>
          </cell>
          <cell r="C168">
            <v>4410</v>
          </cell>
          <cell r="D168">
            <v>7096028</v>
          </cell>
          <cell r="E168">
            <v>55</v>
          </cell>
          <cell r="F168">
            <v>63</v>
          </cell>
          <cell r="G168">
            <v>55</v>
          </cell>
          <cell r="H168">
            <v>49</v>
          </cell>
          <cell r="I168">
            <v>60</v>
          </cell>
          <cell r="J168">
            <v>80</v>
          </cell>
          <cell r="K168">
            <v>68</v>
          </cell>
          <cell r="L168">
            <v>58</v>
          </cell>
          <cell r="M168">
            <v>77</v>
          </cell>
        </row>
        <row r="169">
          <cell r="A169">
            <v>5176720</v>
          </cell>
          <cell r="B169">
            <v>5112453</v>
          </cell>
          <cell r="C169">
            <v>4410</v>
          </cell>
          <cell r="D169">
            <v>7724672</v>
          </cell>
          <cell r="E169">
            <v>253</v>
          </cell>
          <cell r="F169">
            <v>224</v>
          </cell>
          <cell r="G169">
            <v>230</v>
          </cell>
          <cell r="H169">
            <v>218</v>
          </cell>
          <cell r="I169">
            <v>210</v>
          </cell>
          <cell r="J169">
            <v>195</v>
          </cell>
          <cell r="K169">
            <v>250</v>
          </cell>
          <cell r="L169">
            <v>226</v>
          </cell>
          <cell r="M169">
            <v>210</v>
          </cell>
        </row>
        <row r="170">
          <cell r="A170">
            <v>5175956</v>
          </cell>
          <cell r="B170">
            <v>5112071</v>
          </cell>
          <cell r="C170">
            <v>4410</v>
          </cell>
          <cell r="D170">
            <v>7083034</v>
          </cell>
          <cell r="E170">
            <v>282</v>
          </cell>
          <cell r="F170">
            <v>251</v>
          </cell>
          <cell r="G170">
            <v>263</v>
          </cell>
          <cell r="H170">
            <v>307</v>
          </cell>
          <cell r="I170">
            <v>306</v>
          </cell>
          <cell r="J170">
            <v>264</v>
          </cell>
          <cell r="K170">
            <v>289</v>
          </cell>
          <cell r="L170">
            <v>823</v>
          </cell>
          <cell r="M170">
            <v>336</v>
          </cell>
        </row>
        <row r="171">
          <cell r="A171">
            <v>5179898</v>
          </cell>
          <cell r="B171">
            <v>5114042</v>
          </cell>
          <cell r="C171">
            <v>4410</v>
          </cell>
          <cell r="D171">
            <v>7095986</v>
          </cell>
          <cell r="E171">
            <v>207</v>
          </cell>
          <cell r="F171">
            <v>185</v>
          </cell>
          <cell r="G171">
            <v>198</v>
          </cell>
          <cell r="H171">
            <v>198</v>
          </cell>
          <cell r="I171">
            <v>159</v>
          </cell>
          <cell r="J171">
            <v>166</v>
          </cell>
          <cell r="K171">
            <v>174</v>
          </cell>
          <cell r="L171">
            <v>169</v>
          </cell>
          <cell r="M171">
            <v>197</v>
          </cell>
        </row>
        <row r="172">
          <cell r="A172">
            <v>5176066</v>
          </cell>
          <cell r="B172">
            <v>5112126</v>
          </cell>
          <cell r="C172">
            <v>4410</v>
          </cell>
          <cell r="D172">
            <v>7117603</v>
          </cell>
          <cell r="E172">
            <v>98</v>
          </cell>
          <cell r="F172">
            <v>73</v>
          </cell>
          <cell r="G172">
            <v>97</v>
          </cell>
          <cell r="H172">
            <v>86</v>
          </cell>
          <cell r="I172">
            <v>90</v>
          </cell>
          <cell r="J172">
            <v>75</v>
          </cell>
          <cell r="K172">
            <v>76</v>
          </cell>
          <cell r="L172">
            <v>77</v>
          </cell>
          <cell r="M172">
            <v>122</v>
          </cell>
        </row>
        <row r="173">
          <cell r="A173">
            <v>5180778</v>
          </cell>
          <cell r="B173">
            <v>5114482</v>
          </cell>
          <cell r="C173">
            <v>4410</v>
          </cell>
          <cell r="D173">
            <v>7686180</v>
          </cell>
          <cell r="E173">
            <v>250</v>
          </cell>
          <cell r="F173">
            <v>171</v>
          </cell>
          <cell r="G173">
            <v>120</v>
          </cell>
          <cell r="H173">
            <v>133</v>
          </cell>
          <cell r="I173">
            <v>184</v>
          </cell>
          <cell r="J173">
            <v>201</v>
          </cell>
          <cell r="K173">
            <v>194</v>
          </cell>
          <cell r="L173">
            <v>171</v>
          </cell>
          <cell r="M173">
            <v>217</v>
          </cell>
        </row>
        <row r="174">
          <cell r="A174">
            <v>5176170</v>
          </cell>
          <cell r="B174">
            <v>5112178</v>
          </cell>
          <cell r="C174">
            <v>4410</v>
          </cell>
          <cell r="D174">
            <v>6829880</v>
          </cell>
          <cell r="E174">
            <v>165</v>
          </cell>
          <cell r="F174">
            <v>28</v>
          </cell>
          <cell r="G174">
            <v>133</v>
          </cell>
          <cell r="H174">
            <v>148</v>
          </cell>
          <cell r="I174">
            <v>149</v>
          </cell>
          <cell r="J174">
            <v>172</v>
          </cell>
          <cell r="K174">
            <v>172</v>
          </cell>
          <cell r="L174">
            <v>146</v>
          </cell>
          <cell r="M174">
            <v>156</v>
          </cell>
        </row>
        <row r="175">
          <cell r="A175">
            <v>5180124</v>
          </cell>
          <cell r="B175">
            <v>5114155</v>
          </cell>
          <cell r="C175">
            <v>4410</v>
          </cell>
          <cell r="D175">
            <v>15960505</v>
          </cell>
          <cell r="E175">
            <v>124</v>
          </cell>
          <cell r="F175">
            <v>38</v>
          </cell>
          <cell r="G175">
            <v>92</v>
          </cell>
          <cell r="H175">
            <v>0</v>
          </cell>
          <cell r="I175">
            <v>28</v>
          </cell>
          <cell r="J175">
            <v>109</v>
          </cell>
          <cell r="K175">
            <v>127</v>
          </cell>
          <cell r="L175">
            <v>118</v>
          </cell>
          <cell r="M175">
            <v>124</v>
          </cell>
        </row>
        <row r="176">
          <cell r="A176">
            <v>5176126</v>
          </cell>
          <cell r="B176">
            <v>5112156</v>
          </cell>
          <cell r="C176">
            <v>4410</v>
          </cell>
          <cell r="D176">
            <v>15961010</v>
          </cell>
          <cell r="E176">
            <v>220</v>
          </cell>
          <cell r="F176">
            <v>225</v>
          </cell>
          <cell r="G176">
            <v>211</v>
          </cell>
          <cell r="H176">
            <v>232</v>
          </cell>
          <cell r="I176">
            <v>69</v>
          </cell>
          <cell r="J176">
            <v>115</v>
          </cell>
          <cell r="K176">
            <v>114</v>
          </cell>
          <cell r="L176">
            <v>119</v>
          </cell>
          <cell r="M176">
            <v>116</v>
          </cell>
        </row>
        <row r="177">
          <cell r="A177">
            <v>5176702</v>
          </cell>
          <cell r="B177">
            <v>5112444</v>
          </cell>
          <cell r="C177">
            <v>4410</v>
          </cell>
          <cell r="D177">
            <v>15960585</v>
          </cell>
          <cell r="E177">
            <v>175</v>
          </cell>
          <cell r="F177">
            <v>144</v>
          </cell>
          <cell r="G177">
            <v>162</v>
          </cell>
          <cell r="H177">
            <v>188</v>
          </cell>
          <cell r="I177">
            <v>196</v>
          </cell>
          <cell r="J177">
            <v>168</v>
          </cell>
          <cell r="K177">
            <v>171</v>
          </cell>
          <cell r="L177">
            <v>172</v>
          </cell>
          <cell r="M177">
            <v>178</v>
          </cell>
        </row>
        <row r="178">
          <cell r="A178">
            <v>5176484</v>
          </cell>
          <cell r="B178">
            <v>5112335</v>
          </cell>
          <cell r="C178">
            <v>4410</v>
          </cell>
          <cell r="D178">
            <v>15961070</v>
          </cell>
          <cell r="E178">
            <v>173</v>
          </cell>
          <cell r="F178">
            <v>136</v>
          </cell>
          <cell r="G178">
            <v>149</v>
          </cell>
          <cell r="H178">
            <v>150</v>
          </cell>
          <cell r="I178">
            <v>160</v>
          </cell>
          <cell r="J178">
            <v>150</v>
          </cell>
          <cell r="K178">
            <v>156</v>
          </cell>
          <cell r="L178">
            <v>167</v>
          </cell>
          <cell r="M178">
            <v>179</v>
          </cell>
        </row>
        <row r="179">
          <cell r="A179">
            <v>5177640</v>
          </cell>
          <cell r="B179">
            <v>5112913</v>
          </cell>
          <cell r="C179">
            <v>4410</v>
          </cell>
          <cell r="D179">
            <v>706227</v>
          </cell>
          <cell r="E179">
            <v>177</v>
          </cell>
          <cell r="F179">
            <v>153</v>
          </cell>
          <cell r="G179">
            <v>159</v>
          </cell>
          <cell r="H179">
            <v>131</v>
          </cell>
          <cell r="I179">
            <v>148</v>
          </cell>
          <cell r="J179">
            <v>143</v>
          </cell>
          <cell r="K179">
            <v>164</v>
          </cell>
          <cell r="L179">
            <v>153</v>
          </cell>
          <cell r="M179">
            <v>159</v>
          </cell>
        </row>
        <row r="180">
          <cell r="A180">
            <v>5176566</v>
          </cell>
          <cell r="B180">
            <v>5112376</v>
          </cell>
          <cell r="C180">
            <v>4410</v>
          </cell>
          <cell r="D180">
            <v>442299</v>
          </cell>
          <cell r="E180">
            <v>248</v>
          </cell>
          <cell r="F180">
            <v>201</v>
          </cell>
          <cell r="G180">
            <v>191</v>
          </cell>
          <cell r="H180">
            <v>186</v>
          </cell>
          <cell r="I180">
            <v>197</v>
          </cell>
          <cell r="J180">
            <v>179</v>
          </cell>
          <cell r="K180">
            <v>187</v>
          </cell>
          <cell r="L180">
            <v>200</v>
          </cell>
          <cell r="M180">
            <v>201</v>
          </cell>
        </row>
        <row r="181">
          <cell r="A181">
            <v>5177080</v>
          </cell>
          <cell r="B181">
            <v>5112633</v>
          </cell>
          <cell r="C181">
            <v>4410</v>
          </cell>
          <cell r="E181">
            <v>172</v>
          </cell>
          <cell r="F181">
            <v>152</v>
          </cell>
          <cell r="G181">
            <v>148</v>
          </cell>
          <cell r="H181">
            <v>144</v>
          </cell>
          <cell r="I181">
            <v>213</v>
          </cell>
          <cell r="J181">
            <v>183</v>
          </cell>
          <cell r="K181">
            <v>193</v>
          </cell>
          <cell r="L181">
            <v>172</v>
          </cell>
          <cell r="M181">
            <v>184</v>
          </cell>
        </row>
        <row r="182">
          <cell r="A182">
            <v>5176784</v>
          </cell>
          <cell r="B182">
            <v>5112485</v>
          </cell>
          <cell r="C182">
            <v>4410</v>
          </cell>
          <cell r="E182">
            <v>217</v>
          </cell>
          <cell r="F182">
            <v>193</v>
          </cell>
          <cell r="G182">
            <v>186</v>
          </cell>
          <cell r="H182">
            <v>165</v>
          </cell>
          <cell r="I182">
            <v>215</v>
          </cell>
          <cell r="J182">
            <v>185</v>
          </cell>
          <cell r="K182">
            <v>197</v>
          </cell>
          <cell r="L182">
            <v>178</v>
          </cell>
          <cell r="M182">
            <v>191</v>
          </cell>
        </row>
        <row r="183">
          <cell r="A183">
            <v>5180544</v>
          </cell>
          <cell r="B183">
            <v>5114365</v>
          </cell>
          <cell r="C183">
            <v>4410</v>
          </cell>
          <cell r="D183">
            <v>3653175</v>
          </cell>
          <cell r="E183">
            <v>254</v>
          </cell>
          <cell r="F183">
            <v>236</v>
          </cell>
          <cell r="G183">
            <v>201</v>
          </cell>
          <cell r="H183">
            <v>141</v>
          </cell>
          <cell r="I183">
            <v>196</v>
          </cell>
          <cell r="J183">
            <v>192</v>
          </cell>
          <cell r="K183">
            <v>197</v>
          </cell>
          <cell r="L183">
            <v>167</v>
          </cell>
          <cell r="M183">
            <v>152</v>
          </cell>
        </row>
        <row r="184">
          <cell r="A184">
            <v>5180524</v>
          </cell>
          <cell r="B184">
            <v>5114355</v>
          </cell>
          <cell r="C184">
            <v>4410</v>
          </cell>
          <cell r="D184">
            <v>3655718</v>
          </cell>
          <cell r="E184">
            <v>341</v>
          </cell>
          <cell r="F184">
            <v>262</v>
          </cell>
          <cell r="G184">
            <v>545</v>
          </cell>
          <cell r="H184">
            <v>495</v>
          </cell>
          <cell r="I184">
            <v>117</v>
          </cell>
          <cell r="J184">
            <v>148</v>
          </cell>
          <cell r="K184">
            <v>199</v>
          </cell>
          <cell r="L184">
            <v>246</v>
          </cell>
          <cell r="M184">
            <v>252</v>
          </cell>
        </row>
        <row r="185">
          <cell r="A185">
            <v>5177118</v>
          </cell>
          <cell r="B185">
            <v>5112652</v>
          </cell>
          <cell r="C185">
            <v>4410</v>
          </cell>
          <cell r="D185">
            <v>3648843</v>
          </cell>
          <cell r="E185">
            <v>233</v>
          </cell>
          <cell r="F185">
            <v>206</v>
          </cell>
          <cell r="G185">
            <v>200</v>
          </cell>
          <cell r="H185">
            <v>189</v>
          </cell>
          <cell r="I185">
            <v>273</v>
          </cell>
          <cell r="J185">
            <v>237</v>
          </cell>
          <cell r="K185">
            <v>251</v>
          </cell>
          <cell r="L185">
            <v>224</v>
          </cell>
          <cell r="M185">
            <v>242</v>
          </cell>
        </row>
        <row r="186">
          <cell r="A186">
            <v>5176896</v>
          </cell>
          <cell r="B186">
            <v>5112541</v>
          </cell>
          <cell r="C186">
            <v>4410</v>
          </cell>
          <cell r="D186">
            <v>32998173</v>
          </cell>
          <cell r="E186">
            <v>180</v>
          </cell>
          <cell r="F186">
            <v>149</v>
          </cell>
          <cell r="G186">
            <v>161</v>
          </cell>
          <cell r="H186">
            <v>141</v>
          </cell>
          <cell r="I186">
            <v>163</v>
          </cell>
          <cell r="J186">
            <v>151</v>
          </cell>
          <cell r="K186">
            <v>163</v>
          </cell>
          <cell r="L186">
            <v>155</v>
          </cell>
          <cell r="M186">
            <v>152</v>
          </cell>
        </row>
        <row r="187">
          <cell r="A187">
            <v>5180588</v>
          </cell>
          <cell r="B187">
            <v>5114387</v>
          </cell>
          <cell r="C187">
            <v>4410</v>
          </cell>
          <cell r="D187">
            <v>32997423</v>
          </cell>
          <cell r="E187">
            <v>172</v>
          </cell>
          <cell r="F187">
            <v>152</v>
          </cell>
          <cell r="G187">
            <v>148</v>
          </cell>
          <cell r="H187">
            <v>144</v>
          </cell>
          <cell r="I187">
            <v>213</v>
          </cell>
          <cell r="J187">
            <v>183</v>
          </cell>
          <cell r="K187">
            <v>193</v>
          </cell>
          <cell r="L187">
            <v>0</v>
          </cell>
          <cell r="M187">
            <v>0</v>
          </cell>
        </row>
        <row r="188">
          <cell r="A188">
            <v>5176830</v>
          </cell>
          <cell r="B188">
            <v>5112508</v>
          </cell>
          <cell r="C188">
            <v>4410</v>
          </cell>
          <cell r="D188">
            <v>70006349</v>
          </cell>
          <cell r="E188">
            <v>172</v>
          </cell>
          <cell r="F188">
            <v>152</v>
          </cell>
          <cell r="G188">
            <v>148</v>
          </cell>
          <cell r="H188">
            <v>144</v>
          </cell>
          <cell r="I188">
            <v>213</v>
          </cell>
          <cell r="J188">
            <v>183</v>
          </cell>
          <cell r="K188">
            <v>193</v>
          </cell>
          <cell r="L188">
            <v>47</v>
          </cell>
          <cell r="M188">
            <v>156</v>
          </cell>
        </row>
        <row r="189">
          <cell r="A189">
            <v>5176982</v>
          </cell>
          <cell r="B189">
            <v>5112584</v>
          </cell>
          <cell r="C189">
            <v>4410</v>
          </cell>
          <cell r="D189">
            <v>31116330</v>
          </cell>
          <cell r="E189">
            <v>218</v>
          </cell>
          <cell r="F189">
            <v>388</v>
          </cell>
          <cell r="G189">
            <v>187</v>
          </cell>
          <cell r="H189">
            <v>166</v>
          </cell>
          <cell r="I189">
            <v>217</v>
          </cell>
          <cell r="J189">
            <v>57</v>
          </cell>
          <cell r="K189">
            <v>66</v>
          </cell>
          <cell r="L189">
            <v>62</v>
          </cell>
          <cell r="M189">
            <v>50</v>
          </cell>
        </row>
        <row r="190">
          <cell r="A190">
            <v>5176526</v>
          </cell>
          <cell r="B190">
            <v>5112356</v>
          </cell>
          <cell r="C190">
            <v>4410</v>
          </cell>
          <cell r="D190">
            <v>3530489</v>
          </cell>
          <cell r="E190">
            <v>200</v>
          </cell>
          <cell r="F190">
            <v>176</v>
          </cell>
          <cell r="G190">
            <v>173</v>
          </cell>
          <cell r="H190">
            <v>193</v>
          </cell>
          <cell r="I190">
            <v>193</v>
          </cell>
          <cell r="J190">
            <v>173</v>
          </cell>
          <cell r="K190">
            <v>189</v>
          </cell>
          <cell r="L190">
            <v>172</v>
          </cell>
          <cell r="M190">
            <v>185</v>
          </cell>
        </row>
        <row r="191">
          <cell r="A191">
            <v>5176874</v>
          </cell>
          <cell r="B191">
            <v>5112530</v>
          </cell>
          <cell r="C191">
            <v>4410</v>
          </cell>
          <cell r="D191">
            <v>3509236</v>
          </cell>
          <cell r="E191">
            <v>233</v>
          </cell>
          <cell r="F191">
            <v>206</v>
          </cell>
          <cell r="G191">
            <v>560</v>
          </cell>
          <cell r="H191">
            <v>190</v>
          </cell>
          <cell r="I191">
            <v>198</v>
          </cell>
          <cell r="J191">
            <v>188</v>
          </cell>
          <cell r="K191">
            <v>218</v>
          </cell>
          <cell r="L191">
            <v>223</v>
          </cell>
          <cell r="M191">
            <v>302</v>
          </cell>
        </row>
        <row r="192">
          <cell r="A192">
            <v>5176440</v>
          </cell>
          <cell r="B192">
            <v>5112313</v>
          </cell>
          <cell r="C192">
            <v>4410</v>
          </cell>
          <cell r="D192">
            <v>10243936</v>
          </cell>
          <cell r="E192">
            <v>269</v>
          </cell>
          <cell r="F192">
            <v>789</v>
          </cell>
          <cell r="G192">
            <v>407</v>
          </cell>
          <cell r="H192">
            <v>487</v>
          </cell>
          <cell r="I192">
            <v>285</v>
          </cell>
          <cell r="J192">
            <v>119</v>
          </cell>
          <cell r="K192">
            <v>126</v>
          </cell>
          <cell r="L192">
            <v>141</v>
          </cell>
          <cell r="M192">
            <v>215</v>
          </cell>
        </row>
        <row r="193">
          <cell r="A193">
            <v>5177184</v>
          </cell>
          <cell r="B193">
            <v>5112685</v>
          </cell>
          <cell r="C193">
            <v>4410</v>
          </cell>
          <cell r="D193">
            <v>70006430</v>
          </cell>
          <cell r="E193">
            <v>243</v>
          </cell>
          <cell r="F193">
            <v>8</v>
          </cell>
          <cell r="G193">
            <v>409</v>
          </cell>
          <cell r="H193">
            <v>594</v>
          </cell>
          <cell r="I193">
            <v>82</v>
          </cell>
          <cell r="J193">
            <v>105</v>
          </cell>
          <cell r="K193">
            <v>188</v>
          </cell>
          <cell r="L193">
            <v>184</v>
          </cell>
          <cell r="M193">
            <v>224</v>
          </cell>
        </row>
        <row r="194">
          <cell r="A194">
            <v>5177022</v>
          </cell>
          <cell r="B194">
            <v>5112604</v>
          </cell>
          <cell r="C194">
            <v>4410</v>
          </cell>
          <cell r="D194">
            <v>70002696</v>
          </cell>
          <cell r="E194">
            <v>232</v>
          </cell>
          <cell r="F194">
            <v>198</v>
          </cell>
          <cell r="G194">
            <v>190</v>
          </cell>
          <cell r="H194">
            <v>188</v>
          </cell>
          <cell r="I194">
            <v>188</v>
          </cell>
          <cell r="J194">
            <v>172</v>
          </cell>
          <cell r="K194">
            <v>177</v>
          </cell>
          <cell r="L194">
            <v>164</v>
          </cell>
          <cell r="M194">
            <v>159</v>
          </cell>
        </row>
        <row r="195">
          <cell r="A195">
            <v>5180566</v>
          </cell>
          <cell r="B195">
            <v>5114376</v>
          </cell>
          <cell r="C195">
            <v>4410</v>
          </cell>
          <cell r="D195">
            <v>5315834</v>
          </cell>
          <cell r="E195">
            <v>405</v>
          </cell>
          <cell r="F195">
            <v>327</v>
          </cell>
          <cell r="G195">
            <v>239</v>
          </cell>
          <cell r="H195">
            <v>179</v>
          </cell>
          <cell r="I195">
            <v>341</v>
          </cell>
          <cell r="J195">
            <v>239</v>
          </cell>
          <cell r="K195">
            <v>340</v>
          </cell>
          <cell r="L195">
            <v>375</v>
          </cell>
          <cell r="M195">
            <v>357</v>
          </cell>
        </row>
        <row r="196">
          <cell r="A196">
            <v>5176548</v>
          </cell>
          <cell r="B196">
            <v>5112367</v>
          </cell>
          <cell r="C196">
            <v>4410</v>
          </cell>
          <cell r="D196">
            <v>156220</v>
          </cell>
          <cell r="E196">
            <v>210</v>
          </cell>
          <cell r="F196">
            <v>158</v>
          </cell>
          <cell r="G196">
            <v>147</v>
          </cell>
          <cell r="H196">
            <v>131</v>
          </cell>
          <cell r="I196">
            <v>147</v>
          </cell>
          <cell r="J196">
            <v>142</v>
          </cell>
          <cell r="K196">
            <v>130</v>
          </cell>
          <cell r="L196">
            <v>118</v>
          </cell>
          <cell r="M196">
            <v>165</v>
          </cell>
        </row>
        <row r="197">
          <cell r="A197">
            <v>5176852</v>
          </cell>
          <cell r="B197">
            <v>5112519</v>
          </cell>
          <cell r="C197">
            <v>4410</v>
          </cell>
          <cell r="D197">
            <v>1617998</v>
          </cell>
          <cell r="E197">
            <v>68</v>
          </cell>
          <cell r="F197">
            <v>74</v>
          </cell>
          <cell r="G197">
            <v>123</v>
          </cell>
          <cell r="H197">
            <v>150</v>
          </cell>
          <cell r="I197">
            <v>149</v>
          </cell>
          <cell r="J197">
            <v>154</v>
          </cell>
          <cell r="K197">
            <v>115</v>
          </cell>
          <cell r="L197">
            <v>113</v>
          </cell>
          <cell r="M197">
            <v>99</v>
          </cell>
        </row>
        <row r="198">
          <cell r="A198">
            <v>5177040</v>
          </cell>
          <cell r="B198">
            <v>5112613</v>
          </cell>
          <cell r="C198">
            <v>4410</v>
          </cell>
          <cell r="D198">
            <v>1502244</v>
          </cell>
          <cell r="E198">
            <v>118</v>
          </cell>
          <cell r="F198">
            <v>77</v>
          </cell>
          <cell r="G198">
            <v>83</v>
          </cell>
          <cell r="H198">
            <v>83</v>
          </cell>
          <cell r="I198">
            <v>81</v>
          </cell>
          <cell r="J198">
            <v>72</v>
          </cell>
          <cell r="K198">
            <v>68</v>
          </cell>
          <cell r="L198">
            <v>61</v>
          </cell>
          <cell r="M198">
            <v>102</v>
          </cell>
        </row>
        <row r="199">
          <cell r="A199">
            <v>5180508</v>
          </cell>
          <cell r="B199">
            <v>5114347</v>
          </cell>
          <cell r="C199">
            <v>4410</v>
          </cell>
          <cell r="D199">
            <v>1609087</v>
          </cell>
          <cell r="E199">
            <v>206</v>
          </cell>
          <cell r="F199">
            <v>162</v>
          </cell>
          <cell r="G199">
            <v>183</v>
          </cell>
          <cell r="H199">
            <v>177</v>
          </cell>
          <cell r="I199">
            <v>157</v>
          </cell>
          <cell r="J199">
            <v>146</v>
          </cell>
          <cell r="K199">
            <v>144</v>
          </cell>
          <cell r="L199">
            <v>126</v>
          </cell>
          <cell r="M199">
            <v>120</v>
          </cell>
        </row>
        <row r="200">
          <cell r="A200">
            <v>5180486</v>
          </cell>
          <cell r="B200">
            <v>5114336</v>
          </cell>
          <cell r="C200">
            <v>4410</v>
          </cell>
          <cell r="D200">
            <v>3305024</v>
          </cell>
          <cell r="E200">
            <v>106</v>
          </cell>
          <cell r="F200">
            <v>97</v>
          </cell>
          <cell r="G200">
            <v>115</v>
          </cell>
          <cell r="H200">
            <v>86</v>
          </cell>
          <cell r="I200">
            <v>99</v>
          </cell>
          <cell r="J200">
            <v>91</v>
          </cell>
          <cell r="K200">
            <v>95</v>
          </cell>
          <cell r="L200">
            <v>96</v>
          </cell>
          <cell r="M200">
            <v>108</v>
          </cell>
        </row>
        <row r="201">
          <cell r="A201">
            <v>5176462</v>
          </cell>
          <cell r="B201">
            <v>5112324</v>
          </cell>
          <cell r="C201">
            <v>4410</v>
          </cell>
          <cell r="D201">
            <v>3725788</v>
          </cell>
          <cell r="E201">
            <v>116</v>
          </cell>
          <cell r="F201">
            <v>113</v>
          </cell>
          <cell r="G201">
            <v>98</v>
          </cell>
          <cell r="H201">
            <v>94</v>
          </cell>
          <cell r="I201">
            <v>104</v>
          </cell>
          <cell r="J201">
            <v>105</v>
          </cell>
          <cell r="K201">
            <v>116</v>
          </cell>
          <cell r="L201">
            <v>121</v>
          </cell>
          <cell r="M201">
            <v>164</v>
          </cell>
        </row>
        <row r="202">
          <cell r="A202">
            <v>5176918</v>
          </cell>
          <cell r="B202">
            <v>5112552</v>
          </cell>
          <cell r="C202">
            <v>4410</v>
          </cell>
          <cell r="D202">
            <v>3725470</v>
          </cell>
          <cell r="E202">
            <v>95</v>
          </cell>
          <cell r="F202">
            <v>8</v>
          </cell>
          <cell r="G202">
            <v>172</v>
          </cell>
          <cell r="H202">
            <v>133</v>
          </cell>
          <cell r="I202">
            <v>134</v>
          </cell>
          <cell r="J202">
            <v>104</v>
          </cell>
          <cell r="K202">
            <v>106</v>
          </cell>
          <cell r="L202">
            <v>85</v>
          </cell>
          <cell r="M202">
            <v>100</v>
          </cell>
        </row>
        <row r="203">
          <cell r="A203">
            <v>5176962</v>
          </cell>
          <cell r="B203">
            <v>5112574</v>
          </cell>
          <cell r="C203">
            <v>4410</v>
          </cell>
          <cell r="D203">
            <v>3741444</v>
          </cell>
          <cell r="F203">
            <v>992</v>
          </cell>
          <cell r="H203">
            <v>489</v>
          </cell>
          <cell r="I203">
            <v>437</v>
          </cell>
          <cell r="J203">
            <v>434</v>
          </cell>
          <cell r="K203">
            <v>506</v>
          </cell>
          <cell r="L203">
            <v>391</v>
          </cell>
          <cell r="M203">
            <v>261</v>
          </cell>
        </row>
        <row r="204">
          <cell r="A204">
            <v>5176940</v>
          </cell>
          <cell r="B204">
            <v>5112563</v>
          </cell>
          <cell r="C204">
            <v>4410</v>
          </cell>
          <cell r="D204">
            <v>6825221</v>
          </cell>
          <cell r="E204">
            <v>325</v>
          </cell>
          <cell r="F204">
            <v>266</v>
          </cell>
          <cell r="G204">
            <v>157</v>
          </cell>
          <cell r="H204">
            <v>248</v>
          </cell>
          <cell r="I204">
            <v>0</v>
          </cell>
          <cell r="J204">
            <v>0</v>
          </cell>
          <cell r="K204">
            <v>170</v>
          </cell>
          <cell r="L204">
            <v>30</v>
          </cell>
          <cell r="M204">
            <v>224</v>
          </cell>
        </row>
        <row r="205">
          <cell r="A205">
            <v>5176808</v>
          </cell>
          <cell r="B205">
            <v>5112497</v>
          </cell>
          <cell r="C205">
            <v>4410</v>
          </cell>
          <cell r="D205">
            <v>3726095</v>
          </cell>
          <cell r="E205">
            <v>98</v>
          </cell>
          <cell r="F205">
            <v>63</v>
          </cell>
          <cell r="G205">
            <v>65</v>
          </cell>
          <cell r="H205">
            <v>75</v>
          </cell>
          <cell r="I205">
            <v>87</v>
          </cell>
          <cell r="J205">
            <v>0</v>
          </cell>
          <cell r="K205">
            <v>250</v>
          </cell>
          <cell r="L205">
            <v>217</v>
          </cell>
          <cell r="M205">
            <v>164</v>
          </cell>
        </row>
        <row r="206">
          <cell r="A206">
            <v>5177162</v>
          </cell>
          <cell r="B206">
            <v>5112674</v>
          </cell>
          <cell r="C206">
            <v>4410</v>
          </cell>
          <cell r="D206">
            <v>6824541</v>
          </cell>
          <cell r="E206">
            <v>210</v>
          </cell>
          <cell r="F206">
            <v>154</v>
          </cell>
          <cell r="G206">
            <v>155</v>
          </cell>
          <cell r="H206">
            <v>150</v>
          </cell>
          <cell r="I206">
            <v>183</v>
          </cell>
          <cell r="J206">
            <v>169</v>
          </cell>
          <cell r="K206">
            <v>208</v>
          </cell>
          <cell r="L206">
            <v>176</v>
          </cell>
          <cell r="M206">
            <v>184</v>
          </cell>
        </row>
        <row r="207">
          <cell r="A207">
            <v>5177000</v>
          </cell>
          <cell r="B207">
            <v>5112593</v>
          </cell>
          <cell r="C207">
            <v>4410</v>
          </cell>
          <cell r="D207">
            <v>7081993</v>
          </cell>
          <cell r="E207">
            <v>219</v>
          </cell>
          <cell r="F207">
            <v>358</v>
          </cell>
          <cell r="G207">
            <v>207</v>
          </cell>
          <cell r="H207">
            <v>212</v>
          </cell>
          <cell r="I207">
            <v>178</v>
          </cell>
          <cell r="J207">
            <v>157</v>
          </cell>
          <cell r="K207">
            <v>167</v>
          </cell>
          <cell r="L207">
            <v>170</v>
          </cell>
          <cell r="M207">
            <v>149</v>
          </cell>
        </row>
        <row r="208">
          <cell r="A208">
            <v>5177060</v>
          </cell>
          <cell r="B208">
            <v>5112623</v>
          </cell>
          <cell r="C208">
            <v>4410</v>
          </cell>
          <cell r="D208">
            <v>3307757</v>
          </cell>
          <cell r="E208">
            <v>153</v>
          </cell>
          <cell r="F208">
            <v>123</v>
          </cell>
          <cell r="G208">
            <v>125</v>
          </cell>
          <cell r="H208">
            <v>120</v>
          </cell>
          <cell r="I208">
            <v>135</v>
          </cell>
          <cell r="J208">
            <v>124</v>
          </cell>
          <cell r="K208">
            <v>123</v>
          </cell>
          <cell r="L208">
            <v>123</v>
          </cell>
          <cell r="M208">
            <v>134</v>
          </cell>
        </row>
        <row r="209">
          <cell r="A209">
            <v>5177140</v>
          </cell>
          <cell r="B209">
            <v>5112663</v>
          </cell>
          <cell r="C209">
            <v>4410</v>
          </cell>
          <cell r="D209">
            <v>7728052</v>
          </cell>
          <cell r="E209">
            <v>348</v>
          </cell>
          <cell r="F209">
            <v>311</v>
          </cell>
          <cell r="G209">
            <v>240</v>
          </cell>
          <cell r="H209">
            <v>188</v>
          </cell>
          <cell r="I209">
            <v>195</v>
          </cell>
          <cell r="J209">
            <v>181</v>
          </cell>
          <cell r="K209">
            <v>194</v>
          </cell>
          <cell r="L209">
            <v>191</v>
          </cell>
          <cell r="M209">
            <v>203</v>
          </cell>
        </row>
        <row r="210">
          <cell r="A210">
            <v>5176506</v>
          </cell>
          <cell r="B210">
            <v>5112346</v>
          </cell>
          <cell r="C210">
            <v>4410</v>
          </cell>
          <cell r="D210">
            <v>7104515</v>
          </cell>
          <cell r="E210">
            <v>112</v>
          </cell>
          <cell r="F210">
            <v>118</v>
          </cell>
          <cell r="G210">
            <v>115</v>
          </cell>
          <cell r="H210">
            <v>116</v>
          </cell>
          <cell r="I210">
            <v>123</v>
          </cell>
          <cell r="J210">
            <v>92</v>
          </cell>
          <cell r="K210">
            <v>100</v>
          </cell>
          <cell r="L210">
            <v>79</v>
          </cell>
          <cell r="M210">
            <v>110</v>
          </cell>
        </row>
        <row r="211">
          <cell r="A211">
            <v>5177102</v>
          </cell>
          <cell r="B211">
            <v>5112644</v>
          </cell>
          <cell r="C211">
            <v>4410</v>
          </cell>
          <cell r="D211">
            <v>7103621</v>
          </cell>
          <cell r="E211">
            <v>379</v>
          </cell>
          <cell r="F211">
            <v>345</v>
          </cell>
          <cell r="G211">
            <v>356</v>
          </cell>
          <cell r="H211">
            <v>338</v>
          </cell>
          <cell r="I211">
            <v>350</v>
          </cell>
          <cell r="J211">
            <v>331</v>
          </cell>
          <cell r="K211">
            <v>350</v>
          </cell>
          <cell r="L211">
            <v>429</v>
          </cell>
          <cell r="M211">
            <v>443</v>
          </cell>
        </row>
        <row r="212">
          <cell r="A212">
            <v>5180412</v>
          </cell>
          <cell r="B212">
            <v>5114299</v>
          </cell>
          <cell r="C212">
            <v>4410</v>
          </cell>
          <cell r="E212">
            <v>1138</v>
          </cell>
          <cell r="F212">
            <v>152</v>
          </cell>
          <cell r="G212">
            <v>148</v>
          </cell>
          <cell r="H212">
            <v>144</v>
          </cell>
          <cell r="I212">
            <v>213</v>
          </cell>
          <cell r="J212">
            <v>183</v>
          </cell>
          <cell r="K212">
            <v>193</v>
          </cell>
          <cell r="L212">
            <v>172</v>
          </cell>
          <cell r="M212">
            <v>368</v>
          </cell>
        </row>
        <row r="213">
          <cell r="A213">
            <v>5177558</v>
          </cell>
          <cell r="B213">
            <v>5112872</v>
          </cell>
          <cell r="C213">
            <v>4410</v>
          </cell>
          <cell r="E213">
            <v>172</v>
          </cell>
          <cell r="F213">
            <v>152</v>
          </cell>
          <cell r="G213">
            <v>148</v>
          </cell>
          <cell r="H213">
            <v>144</v>
          </cell>
          <cell r="I213">
            <v>213</v>
          </cell>
          <cell r="J213">
            <v>183</v>
          </cell>
          <cell r="K213">
            <v>193</v>
          </cell>
          <cell r="L213">
            <v>172</v>
          </cell>
          <cell r="M213">
            <v>184</v>
          </cell>
        </row>
        <row r="214">
          <cell r="A214">
            <v>5177310</v>
          </cell>
          <cell r="B214">
            <v>5112748</v>
          </cell>
          <cell r="C214">
            <v>4410</v>
          </cell>
          <cell r="D214">
            <v>3648694</v>
          </cell>
          <cell r="E214">
            <v>261</v>
          </cell>
          <cell r="F214">
            <v>493</v>
          </cell>
          <cell r="G214">
            <v>224</v>
          </cell>
          <cell r="H214">
            <v>198</v>
          </cell>
          <cell r="I214">
            <v>260</v>
          </cell>
          <cell r="J214">
            <v>223</v>
          </cell>
          <cell r="K214">
            <v>237</v>
          </cell>
          <cell r="L214">
            <v>215</v>
          </cell>
          <cell r="M214">
            <v>229</v>
          </cell>
        </row>
        <row r="215">
          <cell r="A215">
            <v>5177252</v>
          </cell>
          <cell r="B215">
            <v>5112719</v>
          </cell>
          <cell r="C215">
            <v>4410</v>
          </cell>
          <cell r="D215">
            <v>3655807</v>
          </cell>
          <cell r="E215">
            <v>268</v>
          </cell>
          <cell r="F215">
            <v>238</v>
          </cell>
          <cell r="G215">
            <v>230</v>
          </cell>
          <cell r="H215">
            <v>204</v>
          </cell>
          <cell r="I215">
            <v>267</v>
          </cell>
          <cell r="J215">
            <v>229</v>
          </cell>
          <cell r="K215">
            <v>244</v>
          </cell>
          <cell r="L215">
            <v>221</v>
          </cell>
          <cell r="M215">
            <v>236</v>
          </cell>
        </row>
        <row r="216">
          <cell r="A216">
            <v>5177480</v>
          </cell>
          <cell r="B216">
            <v>5112833</v>
          </cell>
          <cell r="C216">
            <v>4410</v>
          </cell>
          <cell r="D216">
            <v>1897293</v>
          </cell>
          <cell r="E216">
            <v>230</v>
          </cell>
          <cell r="F216">
            <v>142</v>
          </cell>
          <cell r="G216">
            <v>0</v>
          </cell>
          <cell r="H216">
            <v>0</v>
          </cell>
          <cell r="I216">
            <v>24</v>
          </cell>
          <cell r="J216">
            <v>121</v>
          </cell>
          <cell r="K216">
            <v>125</v>
          </cell>
          <cell r="L216">
            <v>151</v>
          </cell>
          <cell r="M216">
            <v>71</v>
          </cell>
        </row>
        <row r="217">
          <cell r="A217">
            <v>5180418</v>
          </cell>
          <cell r="B217">
            <v>5114302</v>
          </cell>
          <cell r="C217">
            <v>4410</v>
          </cell>
          <cell r="D217">
            <v>3530612</v>
          </cell>
          <cell r="E217">
            <v>107</v>
          </cell>
          <cell r="F217">
            <v>0</v>
          </cell>
          <cell r="G217">
            <v>385</v>
          </cell>
          <cell r="H217">
            <v>412</v>
          </cell>
          <cell r="I217">
            <v>404</v>
          </cell>
          <cell r="J217">
            <v>374</v>
          </cell>
          <cell r="K217">
            <v>373</v>
          </cell>
          <cell r="L217">
            <v>372</v>
          </cell>
          <cell r="M217">
            <v>420</v>
          </cell>
        </row>
        <row r="218">
          <cell r="A218">
            <v>5177514</v>
          </cell>
          <cell r="B218">
            <v>5112850</v>
          </cell>
          <cell r="C218">
            <v>4410</v>
          </cell>
          <cell r="D218">
            <v>10503146</v>
          </cell>
          <cell r="E218">
            <v>172</v>
          </cell>
          <cell r="F218">
            <v>229</v>
          </cell>
          <cell r="G218">
            <v>169</v>
          </cell>
          <cell r="H218">
            <v>163</v>
          </cell>
          <cell r="I218">
            <v>24</v>
          </cell>
          <cell r="J218">
            <v>144</v>
          </cell>
          <cell r="K218">
            <v>153</v>
          </cell>
          <cell r="L218">
            <v>138</v>
          </cell>
          <cell r="M218">
            <v>134</v>
          </cell>
        </row>
        <row r="219">
          <cell r="A219">
            <v>5177328</v>
          </cell>
          <cell r="B219">
            <v>5112757</v>
          </cell>
          <cell r="C219">
            <v>4410</v>
          </cell>
          <cell r="D219">
            <v>1676018</v>
          </cell>
          <cell r="E219">
            <v>172</v>
          </cell>
          <cell r="F219">
            <v>358</v>
          </cell>
          <cell r="G219">
            <v>217</v>
          </cell>
          <cell r="H219">
            <v>71</v>
          </cell>
          <cell r="I219">
            <v>193</v>
          </cell>
          <cell r="J219">
            <v>185</v>
          </cell>
          <cell r="K219">
            <v>204</v>
          </cell>
          <cell r="L219">
            <v>192</v>
          </cell>
          <cell r="M219">
            <v>180</v>
          </cell>
        </row>
        <row r="220">
          <cell r="A220">
            <v>5177536</v>
          </cell>
          <cell r="B220">
            <v>5112861</v>
          </cell>
          <cell r="C220">
            <v>4410</v>
          </cell>
          <cell r="D220">
            <v>10505256</v>
          </cell>
          <cell r="E220">
            <v>233</v>
          </cell>
          <cell r="F220">
            <v>214</v>
          </cell>
          <cell r="G220">
            <v>203</v>
          </cell>
          <cell r="H220">
            <v>0</v>
          </cell>
          <cell r="I220">
            <v>180</v>
          </cell>
          <cell r="J220">
            <v>164</v>
          </cell>
          <cell r="K220">
            <v>169</v>
          </cell>
          <cell r="L220">
            <v>153</v>
          </cell>
          <cell r="M220">
            <v>0</v>
          </cell>
        </row>
        <row r="221">
          <cell r="A221">
            <v>5177408</v>
          </cell>
          <cell r="B221">
            <v>5112797</v>
          </cell>
          <cell r="C221">
            <v>4410</v>
          </cell>
          <cell r="D221">
            <v>10407447</v>
          </cell>
          <cell r="E221">
            <v>172</v>
          </cell>
          <cell r="F221">
            <v>230</v>
          </cell>
          <cell r="G221">
            <v>94</v>
          </cell>
          <cell r="H221">
            <v>27</v>
          </cell>
          <cell r="I221">
            <v>130</v>
          </cell>
          <cell r="J221">
            <v>49</v>
          </cell>
          <cell r="K221">
            <v>79</v>
          </cell>
          <cell r="L221">
            <v>59</v>
          </cell>
          <cell r="M221">
            <v>54</v>
          </cell>
        </row>
        <row r="222">
          <cell r="A222">
            <v>5177366</v>
          </cell>
          <cell r="B222">
            <v>5112776</v>
          </cell>
          <cell r="C222">
            <v>4410</v>
          </cell>
          <cell r="D222">
            <v>963645</v>
          </cell>
          <cell r="E222">
            <v>70</v>
          </cell>
          <cell r="F222">
            <v>49</v>
          </cell>
          <cell r="G222">
            <v>86</v>
          </cell>
          <cell r="H222">
            <v>76</v>
          </cell>
          <cell r="I222">
            <v>65</v>
          </cell>
          <cell r="J222">
            <v>52</v>
          </cell>
          <cell r="K222">
            <v>48</v>
          </cell>
          <cell r="L222">
            <v>44</v>
          </cell>
          <cell r="M222">
            <v>44</v>
          </cell>
        </row>
        <row r="223">
          <cell r="A223">
            <v>5177444</v>
          </cell>
          <cell r="B223">
            <v>5112815</v>
          </cell>
          <cell r="C223">
            <v>4410</v>
          </cell>
          <cell r="D223">
            <v>1691956</v>
          </cell>
          <cell r="E223">
            <v>230</v>
          </cell>
          <cell r="F223">
            <v>0</v>
          </cell>
          <cell r="G223">
            <v>83</v>
          </cell>
          <cell r="H223">
            <v>0</v>
          </cell>
          <cell r="I223">
            <v>0</v>
          </cell>
          <cell r="J223">
            <v>0</v>
          </cell>
          <cell r="K223">
            <v>0</v>
          </cell>
          <cell r="L223">
            <v>0</v>
          </cell>
          <cell r="M223">
            <v>0</v>
          </cell>
        </row>
        <row r="224">
          <cell r="A224">
            <v>5177290</v>
          </cell>
          <cell r="B224">
            <v>5112738</v>
          </cell>
          <cell r="C224">
            <v>4410</v>
          </cell>
          <cell r="D224">
            <v>1617991</v>
          </cell>
          <cell r="E224">
            <v>231</v>
          </cell>
          <cell r="F224">
            <v>200</v>
          </cell>
          <cell r="G224">
            <v>209</v>
          </cell>
          <cell r="H224">
            <v>220</v>
          </cell>
          <cell r="I224">
            <v>233</v>
          </cell>
          <cell r="J224">
            <v>221</v>
          </cell>
          <cell r="K224">
            <v>249</v>
          </cell>
          <cell r="L224">
            <v>212</v>
          </cell>
          <cell r="M224">
            <v>244</v>
          </cell>
        </row>
        <row r="225">
          <cell r="A225">
            <v>5177268</v>
          </cell>
          <cell r="B225">
            <v>5112727</v>
          </cell>
          <cell r="C225">
            <v>4410</v>
          </cell>
          <cell r="D225">
            <v>1676016</v>
          </cell>
          <cell r="E225">
            <v>7</v>
          </cell>
          <cell r="F225">
            <v>37</v>
          </cell>
          <cell r="G225">
            <v>45</v>
          </cell>
          <cell r="H225">
            <v>48</v>
          </cell>
          <cell r="I225">
            <v>46</v>
          </cell>
          <cell r="J225">
            <v>90</v>
          </cell>
          <cell r="K225">
            <v>43</v>
          </cell>
          <cell r="L225">
            <v>35</v>
          </cell>
          <cell r="M225">
            <v>39</v>
          </cell>
        </row>
        <row r="226">
          <cell r="A226">
            <v>5177458</v>
          </cell>
          <cell r="B226">
            <v>5112822</v>
          </cell>
          <cell r="C226">
            <v>4410</v>
          </cell>
          <cell r="D226">
            <v>3730133</v>
          </cell>
          <cell r="E226">
            <v>131</v>
          </cell>
          <cell r="F226">
            <v>127</v>
          </cell>
          <cell r="G226">
            <v>147</v>
          </cell>
          <cell r="H226">
            <v>133</v>
          </cell>
          <cell r="I226">
            <v>117</v>
          </cell>
          <cell r="J226">
            <v>115</v>
          </cell>
          <cell r="K226">
            <v>134</v>
          </cell>
          <cell r="L226">
            <v>104</v>
          </cell>
          <cell r="M226">
            <v>125</v>
          </cell>
        </row>
        <row r="227">
          <cell r="A227">
            <v>5177388</v>
          </cell>
          <cell r="B227">
            <v>5112787</v>
          </cell>
          <cell r="C227">
            <v>4410</v>
          </cell>
          <cell r="D227">
            <v>3730590</v>
          </cell>
          <cell r="E227">
            <v>166</v>
          </cell>
          <cell r="F227">
            <v>122</v>
          </cell>
          <cell r="G227">
            <v>84</v>
          </cell>
          <cell r="H227">
            <v>94</v>
          </cell>
          <cell r="I227">
            <v>157</v>
          </cell>
          <cell r="J227">
            <v>104</v>
          </cell>
          <cell r="K227">
            <v>134</v>
          </cell>
          <cell r="L227">
            <v>117</v>
          </cell>
          <cell r="M227">
            <v>134</v>
          </cell>
        </row>
        <row r="228">
          <cell r="A228">
            <v>5177346</v>
          </cell>
          <cell r="B228">
            <v>5112766</v>
          </cell>
          <cell r="C228">
            <v>4410</v>
          </cell>
          <cell r="D228">
            <v>6824699</v>
          </cell>
          <cell r="E228">
            <v>186</v>
          </cell>
          <cell r="F228">
            <v>159</v>
          </cell>
          <cell r="G228">
            <v>172</v>
          </cell>
          <cell r="H228">
            <v>160</v>
          </cell>
          <cell r="I228">
            <v>168</v>
          </cell>
          <cell r="J228">
            <v>161</v>
          </cell>
          <cell r="K228">
            <v>163</v>
          </cell>
          <cell r="L228">
            <v>158</v>
          </cell>
          <cell r="M228">
            <v>170</v>
          </cell>
        </row>
        <row r="229">
          <cell r="A229">
            <v>5180420</v>
          </cell>
          <cell r="B229">
            <v>5114303</v>
          </cell>
          <cell r="C229">
            <v>4410</v>
          </cell>
          <cell r="D229">
            <v>3313746</v>
          </cell>
          <cell r="E229">
            <v>209</v>
          </cell>
          <cell r="F229">
            <v>149</v>
          </cell>
          <cell r="G229">
            <v>147</v>
          </cell>
          <cell r="H229">
            <v>147</v>
          </cell>
          <cell r="I229">
            <v>164</v>
          </cell>
          <cell r="J229">
            <v>145</v>
          </cell>
          <cell r="K229">
            <v>150</v>
          </cell>
          <cell r="L229">
            <v>139</v>
          </cell>
          <cell r="M229">
            <v>159</v>
          </cell>
        </row>
        <row r="230">
          <cell r="A230">
            <v>5177498</v>
          </cell>
          <cell r="B230">
            <v>5112842</v>
          </cell>
          <cell r="C230">
            <v>4410</v>
          </cell>
          <cell r="D230">
            <v>3725186</v>
          </cell>
          <cell r="E230">
            <v>173</v>
          </cell>
          <cell r="F230">
            <v>140</v>
          </cell>
          <cell r="G230">
            <v>169</v>
          </cell>
          <cell r="H230">
            <v>179</v>
          </cell>
          <cell r="I230">
            <v>173</v>
          </cell>
          <cell r="J230">
            <v>162</v>
          </cell>
          <cell r="K230">
            <v>182</v>
          </cell>
          <cell r="L230">
            <v>159</v>
          </cell>
          <cell r="M230">
            <v>111</v>
          </cell>
        </row>
        <row r="231">
          <cell r="A231">
            <v>5180404</v>
          </cell>
          <cell r="B231">
            <v>5114295</v>
          </cell>
          <cell r="C231">
            <v>4410</v>
          </cell>
          <cell r="D231">
            <v>3307308</v>
          </cell>
          <cell r="E231">
            <v>234</v>
          </cell>
          <cell r="F231">
            <v>219</v>
          </cell>
          <cell r="G231">
            <v>173</v>
          </cell>
          <cell r="H231">
            <v>184</v>
          </cell>
          <cell r="I231">
            <v>227</v>
          </cell>
          <cell r="J231">
            <v>217</v>
          </cell>
          <cell r="K231">
            <v>249</v>
          </cell>
          <cell r="L231">
            <v>214</v>
          </cell>
          <cell r="M231">
            <v>233</v>
          </cell>
        </row>
        <row r="232">
          <cell r="A232">
            <v>5180414</v>
          </cell>
          <cell r="B232">
            <v>5114300</v>
          </cell>
          <cell r="C232">
            <v>4410</v>
          </cell>
          <cell r="D232">
            <v>7116301</v>
          </cell>
          <cell r="E232">
            <v>279</v>
          </cell>
          <cell r="F232">
            <v>238</v>
          </cell>
          <cell r="G232">
            <v>227</v>
          </cell>
          <cell r="H232">
            <v>208</v>
          </cell>
          <cell r="I232">
            <v>231</v>
          </cell>
          <cell r="J232">
            <v>233</v>
          </cell>
          <cell r="K232">
            <v>243</v>
          </cell>
          <cell r="L232">
            <v>237</v>
          </cell>
          <cell r="M232">
            <v>268</v>
          </cell>
        </row>
        <row r="233">
          <cell r="A233">
            <v>5180328</v>
          </cell>
          <cell r="B233">
            <v>5114257</v>
          </cell>
          <cell r="C233">
            <v>4410</v>
          </cell>
          <cell r="D233">
            <v>2106164</v>
          </cell>
          <cell r="E233">
            <v>492</v>
          </cell>
          <cell r="F233">
            <v>174</v>
          </cell>
          <cell r="G233">
            <v>198</v>
          </cell>
          <cell r="H233">
            <v>187</v>
          </cell>
          <cell r="I233">
            <v>220</v>
          </cell>
          <cell r="J233">
            <v>141</v>
          </cell>
          <cell r="K233">
            <v>197</v>
          </cell>
          <cell r="L233">
            <v>201</v>
          </cell>
          <cell r="M233">
            <v>221</v>
          </cell>
        </row>
        <row r="234">
          <cell r="A234">
            <v>5180350</v>
          </cell>
          <cell r="B234">
            <v>5114268</v>
          </cell>
          <cell r="C234">
            <v>4410</v>
          </cell>
          <cell r="D234">
            <v>4866909</v>
          </cell>
          <cell r="E234">
            <v>502</v>
          </cell>
          <cell r="F234">
            <v>456</v>
          </cell>
          <cell r="G234">
            <v>456</v>
          </cell>
          <cell r="H234">
            <v>394</v>
          </cell>
          <cell r="I234">
            <v>396</v>
          </cell>
          <cell r="J234">
            <v>361</v>
          </cell>
          <cell r="K234">
            <v>383</v>
          </cell>
          <cell r="L234">
            <v>310</v>
          </cell>
          <cell r="M234">
            <v>361</v>
          </cell>
        </row>
        <row r="235">
          <cell r="A235">
            <v>5180312</v>
          </cell>
          <cell r="B235">
            <v>5114249</v>
          </cell>
          <cell r="C235">
            <v>4410</v>
          </cell>
          <cell r="D235">
            <v>7287965</v>
          </cell>
          <cell r="E235">
            <v>563</v>
          </cell>
          <cell r="F235">
            <v>423</v>
          </cell>
          <cell r="G235">
            <v>505</v>
          </cell>
          <cell r="H235">
            <v>442</v>
          </cell>
          <cell r="I235">
            <v>553</v>
          </cell>
          <cell r="J235">
            <v>538</v>
          </cell>
          <cell r="K235">
            <v>486</v>
          </cell>
          <cell r="L235">
            <v>396</v>
          </cell>
          <cell r="M235">
            <v>458</v>
          </cell>
        </row>
        <row r="236">
          <cell r="A236">
            <v>5069890</v>
          </cell>
          <cell r="B236">
            <v>5059038</v>
          </cell>
          <cell r="C236">
            <v>4410</v>
          </cell>
          <cell r="E236">
            <v>144</v>
          </cell>
          <cell r="F236">
            <v>128</v>
          </cell>
          <cell r="G236">
            <v>124</v>
          </cell>
          <cell r="H236">
            <v>119</v>
          </cell>
          <cell r="I236">
            <v>175</v>
          </cell>
          <cell r="J236">
            <v>149</v>
          </cell>
          <cell r="K236">
            <v>157</v>
          </cell>
          <cell r="L236">
            <v>141</v>
          </cell>
          <cell r="M236">
            <v>151</v>
          </cell>
        </row>
        <row r="237">
          <cell r="A237">
            <v>5053990</v>
          </cell>
          <cell r="B237">
            <v>5051088</v>
          </cell>
          <cell r="C237">
            <v>4410</v>
          </cell>
          <cell r="E237">
            <v>172</v>
          </cell>
          <cell r="F237">
            <v>143</v>
          </cell>
          <cell r="G237">
            <v>157</v>
          </cell>
          <cell r="H237">
            <v>149</v>
          </cell>
          <cell r="I237">
            <v>207</v>
          </cell>
          <cell r="J237">
            <v>189</v>
          </cell>
          <cell r="K237">
            <v>181</v>
          </cell>
          <cell r="L237">
            <v>183</v>
          </cell>
          <cell r="M237">
            <v>179</v>
          </cell>
        </row>
        <row r="238">
          <cell r="A238">
            <v>5171614</v>
          </cell>
          <cell r="B238">
            <v>5109900</v>
          </cell>
          <cell r="C238">
            <v>4410</v>
          </cell>
          <cell r="D238">
            <v>1535523</v>
          </cell>
          <cell r="E238">
            <v>132</v>
          </cell>
          <cell r="F238">
            <v>349</v>
          </cell>
          <cell r="G238">
            <v>381</v>
          </cell>
          <cell r="H238">
            <v>324</v>
          </cell>
          <cell r="I238">
            <v>310</v>
          </cell>
          <cell r="J238">
            <v>310</v>
          </cell>
          <cell r="K238">
            <v>287</v>
          </cell>
          <cell r="L238">
            <v>271</v>
          </cell>
          <cell r="M238">
            <v>275</v>
          </cell>
        </row>
        <row r="239">
          <cell r="A239">
            <v>5053992</v>
          </cell>
          <cell r="B239">
            <v>5051089</v>
          </cell>
          <cell r="C239">
            <v>4410</v>
          </cell>
          <cell r="D239">
            <v>3362812</v>
          </cell>
          <cell r="E239">
            <v>172</v>
          </cell>
          <cell r="F239">
            <v>143</v>
          </cell>
          <cell r="G239">
            <v>157</v>
          </cell>
          <cell r="H239">
            <v>149</v>
          </cell>
          <cell r="I239">
            <v>207</v>
          </cell>
          <cell r="J239">
            <v>189</v>
          </cell>
          <cell r="K239">
            <v>181</v>
          </cell>
          <cell r="L239">
            <v>183</v>
          </cell>
          <cell r="M239">
            <v>212</v>
          </cell>
        </row>
        <row r="240">
          <cell r="A240">
            <v>5171680</v>
          </cell>
          <cell r="B240">
            <v>5109933</v>
          </cell>
          <cell r="C240">
            <v>4410</v>
          </cell>
          <cell r="D240">
            <v>3642263</v>
          </cell>
          <cell r="E240">
            <v>325</v>
          </cell>
          <cell r="F240">
            <v>284</v>
          </cell>
          <cell r="G240">
            <v>291</v>
          </cell>
          <cell r="H240">
            <v>294</v>
          </cell>
          <cell r="I240">
            <v>311</v>
          </cell>
          <cell r="J240">
            <v>265</v>
          </cell>
          <cell r="K240">
            <v>394</v>
          </cell>
          <cell r="L240">
            <v>278</v>
          </cell>
          <cell r="M240">
            <v>287</v>
          </cell>
        </row>
        <row r="241">
          <cell r="A241">
            <v>5095452</v>
          </cell>
          <cell r="B241">
            <v>5071819</v>
          </cell>
          <cell r="C241">
            <v>4410</v>
          </cell>
          <cell r="D241">
            <v>31988423</v>
          </cell>
          <cell r="E241">
            <v>172</v>
          </cell>
          <cell r="F241">
            <v>143</v>
          </cell>
          <cell r="G241">
            <v>157</v>
          </cell>
          <cell r="H241">
            <v>149</v>
          </cell>
          <cell r="I241">
            <v>207</v>
          </cell>
          <cell r="J241">
            <v>179</v>
          </cell>
          <cell r="K241">
            <v>131</v>
          </cell>
          <cell r="L241">
            <v>146</v>
          </cell>
          <cell r="M241">
            <v>130</v>
          </cell>
        </row>
        <row r="242">
          <cell r="A242">
            <v>5095512</v>
          </cell>
          <cell r="B242">
            <v>5071849</v>
          </cell>
          <cell r="C242">
            <v>4410</v>
          </cell>
          <cell r="D242">
            <v>31981292</v>
          </cell>
          <cell r="E242">
            <v>235</v>
          </cell>
          <cell r="F242">
            <v>195</v>
          </cell>
          <cell r="G242">
            <v>217</v>
          </cell>
          <cell r="H242">
            <v>189</v>
          </cell>
          <cell r="I242">
            <v>228</v>
          </cell>
          <cell r="J242">
            <v>295</v>
          </cell>
          <cell r="K242">
            <v>205</v>
          </cell>
          <cell r="L242">
            <v>210</v>
          </cell>
          <cell r="M242">
            <v>232</v>
          </cell>
        </row>
        <row r="243">
          <cell r="A243">
            <v>5171786</v>
          </cell>
          <cell r="B243">
            <v>5109986</v>
          </cell>
          <cell r="C243">
            <v>4410</v>
          </cell>
          <cell r="D243">
            <v>3360956</v>
          </cell>
          <cell r="E243">
            <v>274</v>
          </cell>
          <cell r="F243">
            <v>244</v>
          </cell>
          <cell r="G243">
            <v>238</v>
          </cell>
          <cell r="H243">
            <v>210</v>
          </cell>
          <cell r="I243">
            <v>274</v>
          </cell>
          <cell r="J243">
            <v>310</v>
          </cell>
          <cell r="K243">
            <v>276</v>
          </cell>
          <cell r="L243">
            <v>457</v>
          </cell>
          <cell r="M243">
            <v>836</v>
          </cell>
        </row>
        <row r="244">
          <cell r="A244">
            <v>5171832</v>
          </cell>
          <cell r="B244">
            <v>5110009</v>
          </cell>
          <cell r="C244">
            <v>4410</v>
          </cell>
          <cell r="D244">
            <v>3506085</v>
          </cell>
          <cell r="E244">
            <v>251</v>
          </cell>
          <cell r="F244">
            <v>643</v>
          </cell>
          <cell r="G244">
            <v>126</v>
          </cell>
          <cell r="H244">
            <v>170</v>
          </cell>
          <cell r="I244">
            <v>193</v>
          </cell>
          <cell r="J244">
            <v>204</v>
          </cell>
          <cell r="K244">
            <v>204</v>
          </cell>
          <cell r="L244">
            <v>168</v>
          </cell>
          <cell r="M244">
            <v>203</v>
          </cell>
        </row>
        <row r="245">
          <cell r="A245">
            <v>5095448</v>
          </cell>
          <cell r="B245">
            <v>5071817</v>
          </cell>
          <cell r="C245">
            <v>4410</v>
          </cell>
          <cell r="D245" t="str">
            <v>70006220A</v>
          </cell>
          <cell r="E245">
            <v>33</v>
          </cell>
          <cell r="F245">
            <v>34</v>
          </cell>
          <cell r="G245">
            <v>44</v>
          </cell>
          <cell r="H245">
            <v>31</v>
          </cell>
          <cell r="I245">
            <v>40</v>
          </cell>
          <cell r="J245">
            <v>31</v>
          </cell>
          <cell r="K245">
            <v>38</v>
          </cell>
          <cell r="L245">
            <v>46</v>
          </cell>
          <cell r="M245">
            <v>24</v>
          </cell>
        </row>
        <row r="246">
          <cell r="A246">
            <v>5095462</v>
          </cell>
          <cell r="B246">
            <v>5071824</v>
          </cell>
          <cell r="C246">
            <v>4410</v>
          </cell>
          <cell r="D246">
            <v>5309091</v>
          </cell>
          <cell r="E246">
            <v>96</v>
          </cell>
          <cell r="F246">
            <v>69</v>
          </cell>
          <cell r="G246">
            <v>60</v>
          </cell>
          <cell r="H246">
            <v>66</v>
          </cell>
          <cell r="I246">
            <v>0</v>
          </cell>
          <cell r="J246">
            <v>59</v>
          </cell>
          <cell r="K246">
            <v>56</v>
          </cell>
          <cell r="L246">
            <v>52</v>
          </cell>
          <cell r="M246">
            <v>47</v>
          </cell>
        </row>
        <row r="247">
          <cell r="A247">
            <v>5180040</v>
          </cell>
          <cell r="B247">
            <v>5114113</v>
          </cell>
          <cell r="C247">
            <v>4410</v>
          </cell>
          <cell r="D247">
            <v>5316454</v>
          </cell>
          <cell r="E247">
            <v>340</v>
          </cell>
          <cell r="F247">
            <v>328</v>
          </cell>
          <cell r="G247">
            <v>341</v>
          </cell>
          <cell r="H247">
            <v>323</v>
          </cell>
          <cell r="I247">
            <v>366</v>
          </cell>
          <cell r="J247">
            <v>328</v>
          </cell>
          <cell r="K247">
            <v>317</v>
          </cell>
          <cell r="L247">
            <v>312</v>
          </cell>
          <cell r="M247">
            <v>332</v>
          </cell>
        </row>
        <row r="248">
          <cell r="A248">
            <v>5095598</v>
          </cell>
          <cell r="B248">
            <v>5071892</v>
          </cell>
          <cell r="C248">
            <v>4410</v>
          </cell>
          <cell r="D248">
            <v>16007652</v>
          </cell>
          <cell r="E248">
            <v>238</v>
          </cell>
          <cell r="F248">
            <v>208</v>
          </cell>
          <cell r="G248">
            <v>245</v>
          </cell>
          <cell r="H248">
            <v>207</v>
          </cell>
          <cell r="I248">
            <v>240</v>
          </cell>
          <cell r="J248">
            <v>247</v>
          </cell>
          <cell r="K248">
            <v>248</v>
          </cell>
          <cell r="L248">
            <v>283</v>
          </cell>
          <cell r="M248">
            <v>263</v>
          </cell>
        </row>
        <row r="249">
          <cell r="A249">
            <v>5095466</v>
          </cell>
          <cell r="B249">
            <v>5071826</v>
          </cell>
          <cell r="C249">
            <v>4410</v>
          </cell>
          <cell r="D249">
            <v>16007173</v>
          </cell>
          <cell r="E249">
            <v>379</v>
          </cell>
          <cell r="F249">
            <v>522</v>
          </cell>
          <cell r="G249">
            <v>381</v>
          </cell>
          <cell r="H249">
            <v>95</v>
          </cell>
          <cell r="I249">
            <v>274</v>
          </cell>
          <cell r="J249">
            <v>243</v>
          </cell>
          <cell r="K249">
            <v>227</v>
          </cell>
          <cell r="L249">
            <v>254</v>
          </cell>
          <cell r="M249">
            <v>251</v>
          </cell>
        </row>
        <row r="250">
          <cell r="A250">
            <v>5095540</v>
          </cell>
          <cell r="B250">
            <v>5071863</v>
          </cell>
          <cell r="C250">
            <v>4410</v>
          </cell>
          <cell r="D250">
            <v>10505241</v>
          </cell>
          <cell r="E250">
            <v>221</v>
          </cell>
          <cell r="F250">
            <v>243</v>
          </cell>
          <cell r="G250">
            <v>230</v>
          </cell>
          <cell r="H250">
            <v>205</v>
          </cell>
          <cell r="I250">
            <v>242</v>
          </cell>
          <cell r="J250">
            <v>260</v>
          </cell>
          <cell r="K250">
            <v>260</v>
          </cell>
          <cell r="L250">
            <v>259</v>
          </cell>
          <cell r="M250">
            <v>243</v>
          </cell>
        </row>
        <row r="251">
          <cell r="A251">
            <v>5095498</v>
          </cell>
          <cell r="B251">
            <v>5071842</v>
          </cell>
          <cell r="C251">
            <v>4410</v>
          </cell>
          <cell r="D251">
            <v>1881027</v>
          </cell>
          <cell r="E251">
            <v>300</v>
          </cell>
          <cell r="F251">
            <v>586</v>
          </cell>
          <cell r="G251">
            <v>156</v>
          </cell>
          <cell r="H251">
            <v>120</v>
          </cell>
          <cell r="I251">
            <v>390</v>
          </cell>
          <cell r="J251">
            <v>189</v>
          </cell>
          <cell r="K251">
            <v>197</v>
          </cell>
          <cell r="L251">
            <v>188</v>
          </cell>
          <cell r="M251">
            <v>200</v>
          </cell>
        </row>
        <row r="252">
          <cell r="A252">
            <v>5095602</v>
          </cell>
          <cell r="B252">
            <v>5071894</v>
          </cell>
          <cell r="C252">
            <v>4410</v>
          </cell>
          <cell r="D252">
            <v>734401</v>
          </cell>
          <cell r="E252">
            <v>175</v>
          </cell>
          <cell r="F252">
            <v>138</v>
          </cell>
          <cell r="G252">
            <v>163</v>
          </cell>
          <cell r="H252">
            <v>167</v>
          </cell>
          <cell r="I252">
            <v>193</v>
          </cell>
          <cell r="J252">
            <v>196</v>
          </cell>
          <cell r="K252">
            <v>211</v>
          </cell>
          <cell r="L252">
            <v>257</v>
          </cell>
          <cell r="M252">
            <v>203</v>
          </cell>
        </row>
        <row r="253">
          <cell r="A253">
            <v>5178306</v>
          </cell>
          <cell r="B253">
            <v>5113246</v>
          </cell>
          <cell r="C253">
            <v>4410</v>
          </cell>
          <cell r="D253">
            <v>1471915</v>
          </cell>
          <cell r="E253">
            <v>170</v>
          </cell>
          <cell r="F253">
            <v>118</v>
          </cell>
          <cell r="G253">
            <v>145</v>
          </cell>
          <cell r="H253">
            <v>128</v>
          </cell>
          <cell r="I253">
            <v>137</v>
          </cell>
          <cell r="J253">
            <v>138</v>
          </cell>
          <cell r="K253">
            <v>146</v>
          </cell>
          <cell r="L253">
            <v>143</v>
          </cell>
          <cell r="M253">
            <v>161</v>
          </cell>
        </row>
        <row r="254">
          <cell r="A254">
            <v>5067976</v>
          </cell>
          <cell r="B254">
            <v>5058081</v>
          </cell>
          <cell r="C254">
            <v>4410</v>
          </cell>
          <cell r="D254">
            <v>1876068</v>
          </cell>
          <cell r="E254">
            <v>217</v>
          </cell>
          <cell r="F254">
            <v>138</v>
          </cell>
          <cell r="G254">
            <v>111</v>
          </cell>
          <cell r="H254">
            <v>112</v>
          </cell>
          <cell r="I254">
            <v>116</v>
          </cell>
          <cell r="J254">
            <v>102</v>
          </cell>
          <cell r="K254">
            <v>119</v>
          </cell>
          <cell r="L254">
            <v>186</v>
          </cell>
          <cell r="M254">
            <v>178</v>
          </cell>
        </row>
        <row r="255">
          <cell r="A255">
            <v>5171722</v>
          </cell>
          <cell r="B255">
            <v>5109954</v>
          </cell>
          <cell r="C255">
            <v>4410</v>
          </cell>
          <cell r="D255">
            <v>1618666</v>
          </cell>
          <cell r="E255">
            <v>134</v>
          </cell>
          <cell r="F255">
            <v>113</v>
          </cell>
          <cell r="G255">
            <v>133</v>
          </cell>
          <cell r="H255">
            <v>215</v>
          </cell>
          <cell r="I255">
            <v>202</v>
          </cell>
          <cell r="J255">
            <v>190</v>
          </cell>
          <cell r="K255">
            <v>218</v>
          </cell>
          <cell r="L255">
            <v>227</v>
          </cell>
          <cell r="M255">
            <v>240</v>
          </cell>
        </row>
        <row r="256">
          <cell r="A256">
            <v>5171874</v>
          </cell>
          <cell r="B256">
            <v>5110030</v>
          </cell>
          <cell r="C256">
            <v>4410</v>
          </cell>
          <cell r="D256">
            <v>3741532</v>
          </cell>
          <cell r="E256">
            <v>310</v>
          </cell>
          <cell r="F256">
            <v>243</v>
          </cell>
          <cell r="G256">
            <v>258</v>
          </cell>
          <cell r="H256">
            <v>252</v>
          </cell>
          <cell r="I256">
            <v>264</v>
          </cell>
          <cell r="J256">
            <v>228</v>
          </cell>
          <cell r="K256">
            <v>258</v>
          </cell>
          <cell r="L256">
            <v>234</v>
          </cell>
          <cell r="M256">
            <v>248</v>
          </cell>
        </row>
        <row r="257">
          <cell r="A257">
            <v>5171854</v>
          </cell>
          <cell r="B257">
            <v>5110020</v>
          </cell>
          <cell r="C257">
            <v>4410</v>
          </cell>
          <cell r="D257">
            <v>6820464</v>
          </cell>
          <cell r="E257">
            <v>118</v>
          </cell>
          <cell r="F257">
            <v>103</v>
          </cell>
          <cell r="G257">
            <v>95</v>
          </cell>
          <cell r="H257">
            <v>95</v>
          </cell>
          <cell r="I257">
            <v>68</v>
          </cell>
          <cell r="J257">
            <v>74</v>
          </cell>
          <cell r="K257">
            <v>95</v>
          </cell>
          <cell r="L257">
            <v>102</v>
          </cell>
          <cell r="M257">
            <v>109</v>
          </cell>
        </row>
        <row r="258">
          <cell r="A258">
            <v>5171808</v>
          </cell>
          <cell r="B258">
            <v>5109997</v>
          </cell>
          <cell r="C258">
            <v>4410</v>
          </cell>
          <cell r="D258">
            <v>1751563</v>
          </cell>
          <cell r="E258">
            <v>88</v>
          </cell>
          <cell r="F258">
            <v>102</v>
          </cell>
          <cell r="G258">
            <v>129</v>
          </cell>
          <cell r="H258">
            <v>92</v>
          </cell>
          <cell r="I258">
            <v>8</v>
          </cell>
          <cell r="J258">
            <v>44</v>
          </cell>
          <cell r="K258">
            <v>152</v>
          </cell>
          <cell r="L258">
            <v>146</v>
          </cell>
          <cell r="M258">
            <v>155</v>
          </cell>
        </row>
        <row r="259">
          <cell r="A259">
            <v>5171702</v>
          </cell>
          <cell r="B259">
            <v>5109944</v>
          </cell>
          <cell r="C259">
            <v>4410</v>
          </cell>
          <cell r="D259">
            <v>1751603</v>
          </cell>
          <cell r="E259">
            <v>225</v>
          </cell>
          <cell r="F259">
            <v>192</v>
          </cell>
          <cell r="G259">
            <v>195</v>
          </cell>
          <cell r="H259">
            <v>174</v>
          </cell>
          <cell r="I259">
            <v>180</v>
          </cell>
          <cell r="J259">
            <v>136</v>
          </cell>
          <cell r="K259">
            <v>234</v>
          </cell>
          <cell r="L259">
            <v>240</v>
          </cell>
          <cell r="M259">
            <v>257</v>
          </cell>
        </row>
        <row r="260">
          <cell r="A260">
            <v>5180022</v>
          </cell>
          <cell r="B260">
            <v>5114104</v>
          </cell>
          <cell r="C260">
            <v>4410</v>
          </cell>
          <cell r="D260">
            <v>3730546</v>
          </cell>
          <cell r="E260">
            <v>152</v>
          </cell>
          <cell r="F260">
            <v>126</v>
          </cell>
          <cell r="G260">
            <v>119</v>
          </cell>
          <cell r="H260">
            <v>120</v>
          </cell>
          <cell r="I260">
            <v>133</v>
          </cell>
          <cell r="J260">
            <v>133</v>
          </cell>
          <cell r="K260">
            <v>143</v>
          </cell>
          <cell r="L260">
            <v>145</v>
          </cell>
          <cell r="M260">
            <v>149</v>
          </cell>
        </row>
        <row r="261">
          <cell r="A261">
            <v>5179920</v>
          </cell>
          <cell r="B261">
            <v>5114053</v>
          </cell>
          <cell r="C261">
            <v>4410</v>
          </cell>
          <cell r="D261">
            <v>1752678</v>
          </cell>
          <cell r="E261">
            <v>86</v>
          </cell>
          <cell r="F261">
            <v>4</v>
          </cell>
          <cell r="G261">
            <v>86</v>
          </cell>
          <cell r="H261">
            <v>180</v>
          </cell>
          <cell r="I261">
            <v>207</v>
          </cell>
          <cell r="J261">
            <v>70</v>
          </cell>
          <cell r="K261">
            <v>118</v>
          </cell>
          <cell r="L261">
            <v>138</v>
          </cell>
          <cell r="M261">
            <v>125</v>
          </cell>
        </row>
        <row r="262">
          <cell r="A262">
            <v>5095500</v>
          </cell>
          <cell r="B262">
            <v>5071843</v>
          </cell>
          <cell r="C262">
            <v>4410</v>
          </cell>
          <cell r="D262">
            <v>5077076</v>
          </cell>
          <cell r="E262">
            <v>15</v>
          </cell>
          <cell r="F262">
            <v>28</v>
          </cell>
          <cell r="G262">
            <v>16</v>
          </cell>
          <cell r="H262">
            <v>14</v>
          </cell>
          <cell r="I262">
            <v>18</v>
          </cell>
          <cell r="J262">
            <v>18</v>
          </cell>
          <cell r="K262">
            <v>17</v>
          </cell>
          <cell r="L262">
            <v>22</v>
          </cell>
          <cell r="M262">
            <v>20</v>
          </cell>
        </row>
        <row r="263">
          <cell r="A263">
            <v>5095542</v>
          </cell>
          <cell r="B263">
            <v>5071864</v>
          </cell>
          <cell r="C263">
            <v>4410</v>
          </cell>
          <cell r="D263">
            <v>1265689</v>
          </cell>
          <cell r="E263">
            <v>166</v>
          </cell>
          <cell r="F263">
            <v>141</v>
          </cell>
          <cell r="G263">
            <v>147</v>
          </cell>
          <cell r="H263">
            <v>196</v>
          </cell>
          <cell r="I263">
            <v>181</v>
          </cell>
          <cell r="J263">
            <v>167</v>
          </cell>
          <cell r="K263">
            <v>161</v>
          </cell>
          <cell r="L263">
            <v>214</v>
          </cell>
          <cell r="M263">
            <v>211</v>
          </cell>
        </row>
        <row r="264">
          <cell r="A264">
            <v>5171764</v>
          </cell>
          <cell r="B264">
            <v>5109975</v>
          </cell>
          <cell r="C264">
            <v>4410</v>
          </cell>
          <cell r="D264">
            <v>3730067</v>
          </cell>
          <cell r="E264">
            <v>148</v>
          </cell>
          <cell r="F264">
            <v>126</v>
          </cell>
          <cell r="G264">
            <v>130</v>
          </cell>
          <cell r="H264">
            <v>114</v>
          </cell>
          <cell r="I264">
            <v>111</v>
          </cell>
          <cell r="J264">
            <v>111</v>
          </cell>
          <cell r="K264">
            <v>115</v>
          </cell>
          <cell r="L264">
            <v>186</v>
          </cell>
          <cell r="M264">
            <v>227</v>
          </cell>
        </row>
        <row r="265">
          <cell r="A265">
            <v>5171592</v>
          </cell>
          <cell r="B265">
            <v>5109889</v>
          </cell>
          <cell r="C265">
            <v>4410</v>
          </cell>
          <cell r="D265">
            <v>3727076</v>
          </cell>
          <cell r="E265">
            <v>210</v>
          </cell>
          <cell r="F265">
            <v>172</v>
          </cell>
          <cell r="G265">
            <v>154</v>
          </cell>
          <cell r="H265">
            <v>160</v>
          </cell>
          <cell r="I265">
            <v>133</v>
          </cell>
          <cell r="J265">
            <v>185</v>
          </cell>
          <cell r="K265">
            <v>158</v>
          </cell>
          <cell r="L265">
            <v>157</v>
          </cell>
          <cell r="M265">
            <v>198</v>
          </cell>
        </row>
        <row r="266">
          <cell r="A266">
            <v>5095642</v>
          </cell>
          <cell r="B266">
            <v>5071914</v>
          </cell>
          <cell r="C266">
            <v>4410</v>
          </cell>
          <cell r="D266">
            <v>3041029</v>
          </cell>
          <cell r="E266">
            <v>65</v>
          </cell>
          <cell r="F266">
            <v>7</v>
          </cell>
          <cell r="G266">
            <v>28</v>
          </cell>
          <cell r="H266">
            <v>16</v>
          </cell>
          <cell r="I266">
            <v>9</v>
          </cell>
          <cell r="J266">
            <v>9</v>
          </cell>
          <cell r="K266">
            <v>6</v>
          </cell>
          <cell r="L266">
            <v>125</v>
          </cell>
          <cell r="M266">
            <v>86</v>
          </cell>
        </row>
        <row r="267">
          <cell r="A267">
            <v>5095456</v>
          </cell>
          <cell r="B267">
            <v>5071821</v>
          </cell>
          <cell r="C267">
            <v>4410</v>
          </cell>
          <cell r="D267">
            <v>7688441</v>
          </cell>
          <cell r="E267">
            <v>184</v>
          </cell>
          <cell r="F267">
            <v>132</v>
          </cell>
          <cell r="G267">
            <v>146</v>
          </cell>
          <cell r="H267">
            <v>135</v>
          </cell>
          <cell r="I267">
            <v>147</v>
          </cell>
          <cell r="J267">
            <v>131</v>
          </cell>
          <cell r="K267">
            <v>121</v>
          </cell>
          <cell r="L267">
            <v>132</v>
          </cell>
          <cell r="M267">
            <v>81</v>
          </cell>
        </row>
        <row r="268">
          <cell r="A268">
            <v>5171918</v>
          </cell>
          <cell r="B268">
            <v>5110052</v>
          </cell>
          <cell r="C268">
            <v>4410</v>
          </cell>
          <cell r="D268">
            <v>7103078</v>
          </cell>
          <cell r="E268">
            <v>177</v>
          </cell>
          <cell r="F268">
            <v>155</v>
          </cell>
          <cell r="G268">
            <v>163</v>
          </cell>
          <cell r="H268">
            <v>155</v>
          </cell>
          <cell r="I268">
            <v>158</v>
          </cell>
          <cell r="J268">
            <v>146</v>
          </cell>
          <cell r="K268">
            <v>167</v>
          </cell>
          <cell r="L268">
            <v>175</v>
          </cell>
          <cell r="M268">
            <v>180</v>
          </cell>
        </row>
        <row r="269">
          <cell r="A269">
            <v>5171896</v>
          </cell>
          <cell r="B269">
            <v>5110041</v>
          </cell>
          <cell r="C269">
            <v>4410</v>
          </cell>
          <cell r="D269">
            <v>7314013</v>
          </cell>
          <cell r="E269">
            <v>145</v>
          </cell>
          <cell r="F269">
            <v>126</v>
          </cell>
          <cell r="G269">
            <v>124</v>
          </cell>
          <cell r="H269">
            <v>125</v>
          </cell>
          <cell r="I269">
            <v>127</v>
          </cell>
          <cell r="J269">
            <v>109</v>
          </cell>
          <cell r="K269">
            <v>102</v>
          </cell>
          <cell r="L269">
            <v>109</v>
          </cell>
          <cell r="M269">
            <v>137</v>
          </cell>
        </row>
        <row r="270">
          <cell r="A270">
            <v>5171658</v>
          </cell>
          <cell r="B270">
            <v>5109922</v>
          </cell>
          <cell r="C270">
            <v>4410</v>
          </cell>
          <cell r="D270">
            <v>7117315</v>
          </cell>
          <cell r="E270">
            <v>135</v>
          </cell>
          <cell r="F270">
            <v>218</v>
          </cell>
          <cell r="G270">
            <v>148</v>
          </cell>
          <cell r="H270">
            <v>168</v>
          </cell>
          <cell r="I270">
            <v>175</v>
          </cell>
          <cell r="J270">
            <v>159</v>
          </cell>
          <cell r="K270">
            <v>192</v>
          </cell>
          <cell r="L270">
            <v>240</v>
          </cell>
          <cell r="M270">
            <v>512</v>
          </cell>
        </row>
        <row r="271">
          <cell r="A271">
            <v>5179940</v>
          </cell>
          <cell r="B271">
            <v>5114063</v>
          </cell>
          <cell r="C271">
            <v>4410</v>
          </cell>
          <cell r="D271">
            <v>7287842</v>
          </cell>
          <cell r="E271">
            <v>125</v>
          </cell>
          <cell r="F271">
            <v>94</v>
          </cell>
          <cell r="G271">
            <v>117</v>
          </cell>
          <cell r="H271">
            <v>126</v>
          </cell>
          <cell r="I271">
            <v>96</v>
          </cell>
          <cell r="J271">
            <v>103</v>
          </cell>
          <cell r="K271">
            <v>96</v>
          </cell>
          <cell r="L271">
            <v>90</v>
          </cell>
          <cell r="M271">
            <v>102</v>
          </cell>
        </row>
        <row r="272">
          <cell r="A272">
            <v>5058190</v>
          </cell>
          <cell r="B272">
            <v>5053188</v>
          </cell>
          <cell r="C272">
            <v>4410</v>
          </cell>
          <cell r="D272">
            <v>7687145</v>
          </cell>
          <cell r="E272">
            <v>77</v>
          </cell>
          <cell r="F272">
            <v>78</v>
          </cell>
          <cell r="G272">
            <v>86</v>
          </cell>
          <cell r="H272">
            <v>90</v>
          </cell>
          <cell r="I272">
            <v>82</v>
          </cell>
          <cell r="J272">
            <v>31</v>
          </cell>
          <cell r="K272">
            <v>112</v>
          </cell>
          <cell r="L272">
            <v>102</v>
          </cell>
          <cell r="M272">
            <v>117</v>
          </cell>
        </row>
        <row r="273">
          <cell r="A273">
            <v>5171636</v>
          </cell>
          <cell r="B273">
            <v>5109911</v>
          </cell>
          <cell r="C273">
            <v>4410</v>
          </cell>
          <cell r="D273">
            <v>7116337</v>
          </cell>
          <cell r="E273">
            <v>177</v>
          </cell>
          <cell r="F273">
            <v>184</v>
          </cell>
          <cell r="G273">
            <v>193</v>
          </cell>
          <cell r="H273">
            <v>193</v>
          </cell>
          <cell r="I273">
            <v>228</v>
          </cell>
          <cell r="J273">
            <v>182</v>
          </cell>
          <cell r="K273">
            <v>185</v>
          </cell>
          <cell r="L273">
            <v>168</v>
          </cell>
          <cell r="M273">
            <v>0</v>
          </cell>
        </row>
        <row r="274">
          <cell r="A274">
            <v>5179982</v>
          </cell>
          <cell r="B274">
            <v>5114084</v>
          </cell>
          <cell r="C274">
            <v>4410</v>
          </cell>
          <cell r="D274">
            <v>15960559</v>
          </cell>
          <cell r="E274">
            <v>254</v>
          </cell>
          <cell r="F274">
            <v>211</v>
          </cell>
          <cell r="G274">
            <v>217</v>
          </cell>
          <cell r="H274">
            <v>218</v>
          </cell>
          <cell r="I274">
            <v>220</v>
          </cell>
          <cell r="J274">
            <v>216</v>
          </cell>
          <cell r="K274">
            <v>223</v>
          </cell>
          <cell r="L274">
            <v>213</v>
          </cell>
          <cell r="M274">
            <v>224</v>
          </cell>
        </row>
        <row r="275">
          <cell r="A275">
            <v>5171744</v>
          </cell>
          <cell r="B275">
            <v>5109965</v>
          </cell>
          <cell r="C275">
            <v>4410</v>
          </cell>
          <cell r="D275">
            <v>18492333</v>
          </cell>
          <cell r="E275">
            <v>219</v>
          </cell>
          <cell r="F275">
            <v>158</v>
          </cell>
          <cell r="G275">
            <v>22</v>
          </cell>
          <cell r="H275">
            <v>29</v>
          </cell>
          <cell r="I275">
            <v>46</v>
          </cell>
          <cell r="J275">
            <v>17</v>
          </cell>
          <cell r="K275">
            <v>36</v>
          </cell>
          <cell r="L275">
            <v>174</v>
          </cell>
          <cell r="M275">
            <v>117</v>
          </cell>
        </row>
        <row r="276">
          <cell r="A276">
            <v>5179962</v>
          </cell>
          <cell r="B276">
            <v>5114074</v>
          </cell>
          <cell r="C276">
            <v>4410</v>
          </cell>
          <cell r="D276">
            <v>15960510</v>
          </cell>
          <cell r="E276">
            <v>214</v>
          </cell>
          <cell r="F276">
            <v>174</v>
          </cell>
          <cell r="G276">
            <v>177</v>
          </cell>
          <cell r="H276">
            <v>176</v>
          </cell>
          <cell r="I276">
            <v>209</v>
          </cell>
          <cell r="J276">
            <v>195</v>
          </cell>
          <cell r="K276">
            <v>218</v>
          </cell>
          <cell r="L276">
            <v>212</v>
          </cell>
          <cell r="M276">
            <v>233</v>
          </cell>
        </row>
        <row r="277">
          <cell r="A277">
            <v>5095454</v>
          </cell>
          <cell r="B277">
            <v>5071820</v>
          </cell>
          <cell r="C277">
            <v>4410</v>
          </cell>
          <cell r="D277">
            <v>444601</v>
          </cell>
          <cell r="E277">
            <v>224</v>
          </cell>
          <cell r="F277">
            <v>191</v>
          </cell>
          <cell r="G277">
            <v>240</v>
          </cell>
          <cell r="H277">
            <v>197</v>
          </cell>
          <cell r="I277">
            <v>156</v>
          </cell>
          <cell r="J277">
            <v>154</v>
          </cell>
          <cell r="K277">
            <v>107</v>
          </cell>
          <cell r="L277">
            <v>135</v>
          </cell>
          <cell r="M277">
            <v>124</v>
          </cell>
        </row>
        <row r="278">
          <cell r="A278">
            <v>5095478</v>
          </cell>
          <cell r="B278">
            <v>5071832</v>
          </cell>
          <cell r="C278">
            <v>4410</v>
          </cell>
          <cell r="D278">
            <v>3091663</v>
          </cell>
          <cell r="E278">
            <v>537</v>
          </cell>
          <cell r="F278">
            <v>402</v>
          </cell>
          <cell r="G278">
            <v>450</v>
          </cell>
          <cell r="H278">
            <v>477</v>
          </cell>
          <cell r="I278">
            <v>476</v>
          </cell>
          <cell r="J278">
            <v>1441</v>
          </cell>
          <cell r="K278">
            <v>642</v>
          </cell>
          <cell r="L278">
            <v>686</v>
          </cell>
          <cell r="M278">
            <v>845</v>
          </cell>
        </row>
        <row r="279">
          <cell r="A279">
            <v>5062618</v>
          </cell>
          <cell r="B279">
            <v>5055402</v>
          </cell>
          <cell r="C279">
            <v>4410</v>
          </cell>
          <cell r="D279">
            <v>3355427</v>
          </cell>
          <cell r="E279">
            <v>172</v>
          </cell>
          <cell r="F279">
            <v>972</v>
          </cell>
          <cell r="G279">
            <v>282</v>
          </cell>
          <cell r="H279">
            <v>160</v>
          </cell>
          <cell r="I279">
            <v>464</v>
          </cell>
          <cell r="J279">
            <v>182</v>
          </cell>
          <cell r="K279">
            <v>173</v>
          </cell>
          <cell r="L279">
            <v>153</v>
          </cell>
          <cell r="M279">
            <v>300</v>
          </cell>
        </row>
        <row r="280">
          <cell r="A280">
            <v>5070050</v>
          </cell>
          <cell r="B280">
            <v>5059118</v>
          </cell>
          <cell r="C280">
            <v>4410</v>
          </cell>
          <cell r="E280">
            <v>172</v>
          </cell>
          <cell r="F280">
            <v>143</v>
          </cell>
          <cell r="G280">
            <v>157</v>
          </cell>
          <cell r="H280">
            <v>149</v>
          </cell>
          <cell r="I280">
            <v>207</v>
          </cell>
          <cell r="J280">
            <v>189</v>
          </cell>
          <cell r="K280">
            <v>181</v>
          </cell>
          <cell r="L280">
            <v>183</v>
          </cell>
          <cell r="M280">
            <v>179</v>
          </cell>
        </row>
        <row r="281">
          <cell r="A281">
            <v>5095624</v>
          </cell>
          <cell r="B281">
            <v>5071905</v>
          </cell>
          <cell r="C281">
            <v>4410</v>
          </cell>
          <cell r="E281">
            <v>331</v>
          </cell>
          <cell r="F281">
            <v>275</v>
          </cell>
          <cell r="G281">
            <v>305</v>
          </cell>
          <cell r="H281">
            <v>266</v>
          </cell>
          <cell r="I281">
            <v>323</v>
          </cell>
          <cell r="J281">
            <v>294</v>
          </cell>
          <cell r="K281">
            <v>285</v>
          </cell>
          <cell r="L281">
            <v>294</v>
          </cell>
          <cell r="M281">
            <v>285</v>
          </cell>
        </row>
        <row r="282">
          <cell r="A282">
            <v>5054002</v>
          </cell>
          <cell r="B282">
            <v>5051094</v>
          </cell>
          <cell r="C282">
            <v>4410</v>
          </cell>
          <cell r="E282">
            <v>172</v>
          </cell>
          <cell r="F282">
            <v>143</v>
          </cell>
          <cell r="G282">
            <v>157</v>
          </cell>
          <cell r="H282">
            <v>149</v>
          </cell>
          <cell r="I282">
            <v>207</v>
          </cell>
          <cell r="J282">
            <v>189</v>
          </cell>
          <cell r="K282">
            <v>181</v>
          </cell>
          <cell r="L282">
            <v>183</v>
          </cell>
          <cell r="M282">
            <v>179</v>
          </cell>
        </row>
        <row r="283">
          <cell r="A283">
            <v>5095494</v>
          </cell>
          <cell r="B283">
            <v>5071840</v>
          </cell>
          <cell r="C283">
            <v>4410</v>
          </cell>
          <cell r="D283">
            <v>3642570</v>
          </cell>
          <cell r="E283">
            <v>67</v>
          </cell>
          <cell r="F283">
            <v>136</v>
          </cell>
          <cell r="G283">
            <v>124</v>
          </cell>
          <cell r="H283">
            <v>177</v>
          </cell>
          <cell r="I283">
            <v>234</v>
          </cell>
          <cell r="J283">
            <v>41</v>
          </cell>
          <cell r="K283">
            <v>124</v>
          </cell>
          <cell r="L283">
            <v>35</v>
          </cell>
          <cell r="M283">
            <v>144</v>
          </cell>
        </row>
        <row r="284">
          <cell r="A284">
            <v>5095490</v>
          </cell>
          <cell r="B284">
            <v>5071838</v>
          </cell>
          <cell r="C284">
            <v>4410</v>
          </cell>
          <cell r="D284">
            <v>3219396</v>
          </cell>
          <cell r="E284">
            <v>262</v>
          </cell>
          <cell r="F284">
            <v>195</v>
          </cell>
          <cell r="G284">
            <v>171</v>
          </cell>
          <cell r="H284">
            <v>241</v>
          </cell>
          <cell r="I284">
            <v>263</v>
          </cell>
          <cell r="J284">
            <v>235</v>
          </cell>
          <cell r="K284">
            <v>217</v>
          </cell>
          <cell r="L284">
            <v>173</v>
          </cell>
          <cell r="M284">
            <v>432</v>
          </cell>
        </row>
        <row r="285">
          <cell r="A285">
            <v>5095564</v>
          </cell>
          <cell r="B285">
            <v>5071875</v>
          </cell>
          <cell r="C285">
            <v>4410</v>
          </cell>
          <cell r="D285">
            <v>3362099</v>
          </cell>
          <cell r="E285">
            <v>28</v>
          </cell>
          <cell r="F285">
            <v>19</v>
          </cell>
          <cell r="G285">
            <v>22</v>
          </cell>
          <cell r="H285">
            <v>28</v>
          </cell>
          <cell r="I285">
            <v>18</v>
          </cell>
          <cell r="J285">
            <v>14</v>
          </cell>
          <cell r="K285">
            <v>70</v>
          </cell>
          <cell r="L285">
            <v>62</v>
          </cell>
          <cell r="M285">
            <v>60</v>
          </cell>
        </row>
        <row r="286">
          <cell r="A286">
            <v>5095502</v>
          </cell>
          <cell r="B286">
            <v>5071844</v>
          </cell>
          <cell r="C286">
            <v>4410</v>
          </cell>
          <cell r="D286">
            <v>3642500</v>
          </cell>
          <cell r="E286">
            <v>327</v>
          </cell>
          <cell r="F286">
            <v>256</v>
          </cell>
          <cell r="G286">
            <v>320</v>
          </cell>
          <cell r="H286">
            <v>263</v>
          </cell>
          <cell r="I286">
            <v>273</v>
          </cell>
          <cell r="J286">
            <v>239</v>
          </cell>
          <cell r="K286">
            <v>266</v>
          </cell>
          <cell r="L286">
            <v>272</v>
          </cell>
          <cell r="M286">
            <v>263</v>
          </cell>
        </row>
        <row r="287">
          <cell r="A287">
            <v>5095628</v>
          </cell>
          <cell r="B287">
            <v>5071907</v>
          </cell>
          <cell r="C287">
            <v>4410</v>
          </cell>
          <cell r="D287">
            <v>3642624</v>
          </cell>
          <cell r="E287">
            <v>269</v>
          </cell>
          <cell r="F287">
            <v>165</v>
          </cell>
          <cell r="G287">
            <v>190</v>
          </cell>
          <cell r="H287">
            <v>152</v>
          </cell>
          <cell r="I287">
            <v>256</v>
          </cell>
          <cell r="J287">
            <v>219</v>
          </cell>
          <cell r="K287">
            <v>685</v>
          </cell>
          <cell r="L287">
            <v>350</v>
          </cell>
          <cell r="M287">
            <v>310</v>
          </cell>
        </row>
        <row r="288">
          <cell r="A288">
            <v>5095626</v>
          </cell>
          <cell r="B288">
            <v>5071906</v>
          </cell>
          <cell r="C288">
            <v>4410</v>
          </cell>
          <cell r="D288">
            <v>3362908</v>
          </cell>
          <cell r="E288">
            <v>238</v>
          </cell>
          <cell r="F288">
            <v>157</v>
          </cell>
          <cell r="G288">
            <v>201</v>
          </cell>
          <cell r="H288">
            <v>189</v>
          </cell>
          <cell r="I288">
            <v>186</v>
          </cell>
          <cell r="J288">
            <v>328</v>
          </cell>
          <cell r="K288">
            <v>300</v>
          </cell>
          <cell r="L288">
            <v>331</v>
          </cell>
          <cell r="M288">
            <v>286</v>
          </cell>
        </row>
        <row r="289">
          <cell r="A289">
            <v>5095560</v>
          </cell>
          <cell r="B289">
            <v>5071873</v>
          </cell>
          <cell r="C289">
            <v>4410</v>
          </cell>
          <cell r="D289">
            <v>70005300</v>
          </cell>
          <cell r="E289">
            <v>62</v>
          </cell>
          <cell r="F289">
            <v>34</v>
          </cell>
          <cell r="G289">
            <v>17</v>
          </cell>
          <cell r="H289">
            <v>49</v>
          </cell>
          <cell r="I289">
            <v>60</v>
          </cell>
          <cell r="J289">
            <v>61</v>
          </cell>
          <cell r="K289">
            <v>45</v>
          </cell>
          <cell r="L289">
            <v>17</v>
          </cell>
          <cell r="M289">
            <v>40</v>
          </cell>
        </row>
        <row r="290">
          <cell r="A290">
            <v>5095612</v>
          </cell>
          <cell r="B290">
            <v>5071899</v>
          </cell>
          <cell r="C290">
            <v>4410</v>
          </cell>
          <cell r="D290">
            <v>70000034</v>
          </cell>
          <cell r="E290">
            <v>263</v>
          </cell>
          <cell r="F290">
            <v>164</v>
          </cell>
          <cell r="G290">
            <v>217</v>
          </cell>
          <cell r="H290">
            <v>190</v>
          </cell>
          <cell r="I290">
            <v>194</v>
          </cell>
          <cell r="J290">
            <v>186</v>
          </cell>
          <cell r="K290">
            <v>192</v>
          </cell>
          <cell r="L290">
            <v>277</v>
          </cell>
          <cell r="M290">
            <v>280</v>
          </cell>
        </row>
        <row r="291">
          <cell r="A291">
            <v>5095558</v>
          </cell>
          <cell r="B291">
            <v>5071872</v>
          </cell>
          <cell r="C291">
            <v>4410</v>
          </cell>
          <cell r="D291">
            <v>5344497</v>
          </cell>
          <cell r="E291">
            <v>289</v>
          </cell>
          <cell r="F291">
            <v>251</v>
          </cell>
          <cell r="G291">
            <v>287</v>
          </cell>
          <cell r="H291">
            <v>262</v>
          </cell>
          <cell r="I291">
            <v>279</v>
          </cell>
          <cell r="J291">
            <v>223</v>
          </cell>
          <cell r="K291">
            <v>166</v>
          </cell>
          <cell r="L291">
            <v>173</v>
          </cell>
          <cell r="M291">
            <v>168</v>
          </cell>
        </row>
        <row r="292">
          <cell r="A292">
            <v>5095592</v>
          </cell>
          <cell r="B292">
            <v>5071889</v>
          </cell>
          <cell r="C292">
            <v>4410</v>
          </cell>
          <cell r="D292">
            <v>1691912</v>
          </cell>
          <cell r="E292">
            <v>233</v>
          </cell>
          <cell r="F292">
            <v>190</v>
          </cell>
          <cell r="G292">
            <v>228</v>
          </cell>
          <cell r="H292">
            <v>200</v>
          </cell>
          <cell r="I292">
            <v>205</v>
          </cell>
          <cell r="J292">
            <v>213</v>
          </cell>
          <cell r="K292">
            <v>207</v>
          </cell>
          <cell r="L292">
            <v>235</v>
          </cell>
          <cell r="M292">
            <v>198</v>
          </cell>
        </row>
        <row r="293">
          <cell r="A293">
            <v>5095610</v>
          </cell>
          <cell r="B293">
            <v>5071898</v>
          </cell>
          <cell r="C293">
            <v>4410</v>
          </cell>
          <cell r="D293">
            <v>1472025</v>
          </cell>
          <cell r="E293">
            <v>194</v>
          </cell>
          <cell r="F293">
            <v>206</v>
          </cell>
          <cell r="G293">
            <v>203</v>
          </cell>
          <cell r="H293">
            <v>219</v>
          </cell>
          <cell r="I293">
            <v>234</v>
          </cell>
          <cell r="J293">
            <v>164</v>
          </cell>
          <cell r="K293">
            <v>87</v>
          </cell>
          <cell r="L293">
            <v>127</v>
          </cell>
          <cell r="M293">
            <v>81</v>
          </cell>
        </row>
        <row r="294">
          <cell r="A294">
            <v>5095552</v>
          </cell>
          <cell r="B294">
            <v>5071869</v>
          </cell>
          <cell r="C294">
            <v>4410</v>
          </cell>
          <cell r="D294">
            <v>709537</v>
          </cell>
          <cell r="E294">
            <v>216</v>
          </cell>
          <cell r="F294">
            <v>126</v>
          </cell>
          <cell r="G294">
            <v>196</v>
          </cell>
          <cell r="H294">
            <v>212</v>
          </cell>
          <cell r="I294">
            <v>197</v>
          </cell>
          <cell r="J294">
            <v>168</v>
          </cell>
          <cell r="K294">
            <v>169</v>
          </cell>
          <cell r="L294">
            <v>238</v>
          </cell>
          <cell r="M294">
            <v>281</v>
          </cell>
        </row>
        <row r="295">
          <cell r="A295">
            <v>5095488</v>
          </cell>
          <cell r="B295">
            <v>5071837</v>
          </cell>
          <cell r="C295">
            <v>4410</v>
          </cell>
          <cell r="D295">
            <v>706378</v>
          </cell>
          <cell r="E295">
            <v>397</v>
          </cell>
          <cell r="F295">
            <v>367</v>
          </cell>
          <cell r="G295">
            <v>639</v>
          </cell>
          <cell r="H295">
            <v>499</v>
          </cell>
          <cell r="I295">
            <v>387</v>
          </cell>
          <cell r="J295">
            <v>356</v>
          </cell>
          <cell r="K295">
            <v>327</v>
          </cell>
          <cell r="L295">
            <v>590</v>
          </cell>
          <cell r="M295">
            <v>1066</v>
          </cell>
        </row>
        <row r="296">
          <cell r="A296">
            <v>5095562</v>
          </cell>
          <cell r="B296">
            <v>5071874</v>
          </cell>
          <cell r="C296">
            <v>4410</v>
          </cell>
          <cell r="D296">
            <v>451902</v>
          </cell>
          <cell r="E296">
            <v>170</v>
          </cell>
          <cell r="F296">
            <v>380</v>
          </cell>
          <cell r="G296">
            <v>134</v>
          </cell>
          <cell r="H296">
            <v>167</v>
          </cell>
          <cell r="I296">
            <v>143</v>
          </cell>
          <cell r="J296">
            <v>227</v>
          </cell>
          <cell r="K296">
            <v>158</v>
          </cell>
          <cell r="L296">
            <v>291</v>
          </cell>
          <cell r="M296">
            <v>361</v>
          </cell>
        </row>
        <row r="297">
          <cell r="A297">
            <v>5095506</v>
          </cell>
          <cell r="B297">
            <v>5071846</v>
          </cell>
          <cell r="C297">
            <v>4410</v>
          </cell>
          <cell r="D297">
            <v>2955974</v>
          </cell>
          <cell r="E297">
            <v>187</v>
          </cell>
          <cell r="F297">
            <v>170</v>
          </cell>
          <cell r="G297">
            <v>183</v>
          </cell>
          <cell r="H297">
            <v>146</v>
          </cell>
          <cell r="I297">
            <v>157</v>
          </cell>
          <cell r="J297">
            <v>159</v>
          </cell>
          <cell r="K297">
            <v>157</v>
          </cell>
          <cell r="L297">
            <v>170</v>
          </cell>
          <cell r="M297">
            <v>157</v>
          </cell>
        </row>
        <row r="298">
          <cell r="A298">
            <v>5095460</v>
          </cell>
          <cell r="B298">
            <v>5071823</v>
          </cell>
          <cell r="C298">
            <v>4410</v>
          </cell>
          <cell r="D298">
            <v>3361122</v>
          </cell>
          <cell r="E298">
            <v>200</v>
          </cell>
          <cell r="F298">
            <v>140</v>
          </cell>
          <cell r="G298">
            <v>179</v>
          </cell>
          <cell r="H298">
            <v>165</v>
          </cell>
          <cell r="I298">
            <v>197</v>
          </cell>
          <cell r="J298">
            <v>173</v>
          </cell>
          <cell r="K298">
            <v>179</v>
          </cell>
          <cell r="L298">
            <v>168</v>
          </cell>
          <cell r="M298">
            <v>165</v>
          </cell>
        </row>
        <row r="299">
          <cell r="A299">
            <v>5095508</v>
          </cell>
          <cell r="B299">
            <v>5071847</v>
          </cell>
          <cell r="C299">
            <v>4410</v>
          </cell>
          <cell r="D299">
            <v>7273405</v>
          </cell>
          <cell r="E299">
            <v>507</v>
          </cell>
          <cell r="F299">
            <v>400</v>
          </cell>
          <cell r="G299">
            <v>481</v>
          </cell>
          <cell r="H299">
            <v>435</v>
          </cell>
          <cell r="I299">
            <v>471</v>
          </cell>
          <cell r="J299">
            <v>461</v>
          </cell>
          <cell r="K299">
            <v>417</v>
          </cell>
          <cell r="L299">
            <v>508</v>
          </cell>
          <cell r="M299">
            <v>442</v>
          </cell>
        </row>
        <row r="300">
          <cell r="A300">
            <v>5095504</v>
          </cell>
          <cell r="B300">
            <v>5071845</v>
          </cell>
          <cell r="C300">
            <v>4410</v>
          </cell>
          <cell r="D300">
            <v>7294384</v>
          </cell>
          <cell r="E300">
            <v>213</v>
          </cell>
          <cell r="F300">
            <v>137</v>
          </cell>
          <cell r="G300">
            <v>162</v>
          </cell>
          <cell r="H300">
            <v>150</v>
          </cell>
          <cell r="I300">
            <v>229</v>
          </cell>
          <cell r="J300">
            <v>239</v>
          </cell>
          <cell r="K300">
            <v>221</v>
          </cell>
          <cell r="L300">
            <v>260</v>
          </cell>
          <cell r="M300">
            <v>247</v>
          </cell>
        </row>
        <row r="301">
          <cell r="A301">
            <v>5052896</v>
          </cell>
          <cell r="B301">
            <v>5050541</v>
          </cell>
          <cell r="C301">
            <v>4410</v>
          </cell>
          <cell r="D301">
            <v>7729108</v>
          </cell>
          <cell r="E301">
            <v>214</v>
          </cell>
          <cell r="F301">
            <v>177</v>
          </cell>
          <cell r="G301">
            <v>216</v>
          </cell>
          <cell r="H301">
            <v>198</v>
          </cell>
          <cell r="I301">
            <v>201</v>
          </cell>
          <cell r="J301">
            <v>198</v>
          </cell>
          <cell r="K301">
            <v>175</v>
          </cell>
          <cell r="L301">
            <v>208</v>
          </cell>
          <cell r="M301">
            <v>204</v>
          </cell>
        </row>
        <row r="302">
          <cell r="A302">
            <v>5095566</v>
          </cell>
          <cell r="B302">
            <v>5071876</v>
          </cell>
          <cell r="C302">
            <v>4410</v>
          </cell>
          <cell r="D302">
            <v>7147079</v>
          </cell>
          <cell r="E302">
            <v>307</v>
          </cell>
          <cell r="F302">
            <v>190</v>
          </cell>
          <cell r="G302">
            <v>258</v>
          </cell>
          <cell r="H302">
            <v>234</v>
          </cell>
          <cell r="I302">
            <v>256</v>
          </cell>
          <cell r="J302">
            <v>270</v>
          </cell>
          <cell r="K302">
            <v>285</v>
          </cell>
          <cell r="L302">
            <v>333</v>
          </cell>
          <cell r="M302">
            <v>126</v>
          </cell>
        </row>
        <row r="303">
          <cell r="A303">
            <v>5095594</v>
          </cell>
          <cell r="B303">
            <v>5071890</v>
          </cell>
          <cell r="C303">
            <v>4410</v>
          </cell>
          <cell r="D303">
            <v>6892934</v>
          </cell>
          <cell r="E303">
            <v>64</v>
          </cell>
          <cell r="F303">
            <v>57</v>
          </cell>
          <cell r="G303">
            <v>56</v>
          </cell>
          <cell r="H303">
            <v>57</v>
          </cell>
          <cell r="I303">
            <v>70</v>
          </cell>
          <cell r="J303">
            <v>66</v>
          </cell>
          <cell r="K303">
            <v>62</v>
          </cell>
          <cell r="L303">
            <v>92</v>
          </cell>
          <cell r="M303">
            <v>23</v>
          </cell>
        </row>
        <row r="304">
          <cell r="A304">
            <v>5179394</v>
          </cell>
          <cell r="B304">
            <v>5113790</v>
          </cell>
          <cell r="C304">
            <v>4410</v>
          </cell>
          <cell r="D304">
            <v>6824105</v>
          </cell>
          <cell r="E304">
            <v>202</v>
          </cell>
          <cell r="F304">
            <v>191</v>
          </cell>
          <cell r="G304">
            <v>189</v>
          </cell>
          <cell r="H304">
            <v>180</v>
          </cell>
          <cell r="I304">
            <v>216</v>
          </cell>
          <cell r="J304">
            <v>197</v>
          </cell>
          <cell r="K304">
            <v>200</v>
          </cell>
          <cell r="L304">
            <v>221</v>
          </cell>
          <cell r="M304">
            <v>231</v>
          </cell>
        </row>
        <row r="305">
          <cell r="A305">
            <v>5094966</v>
          </cell>
          <cell r="B305">
            <v>5071576</v>
          </cell>
          <cell r="C305">
            <v>4410</v>
          </cell>
          <cell r="E305">
            <v>240</v>
          </cell>
          <cell r="F305">
            <v>193</v>
          </cell>
          <cell r="G305">
            <v>213</v>
          </cell>
          <cell r="H305">
            <v>149</v>
          </cell>
          <cell r="I305">
            <v>207</v>
          </cell>
          <cell r="J305">
            <v>189</v>
          </cell>
          <cell r="K305">
            <v>181</v>
          </cell>
          <cell r="L305">
            <v>183</v>
          </cell>
          <cell r="M305">
            <v>179</v>
          </cell>
        </row>
        <row r="306">
          <cell r="A306">
            <v>5094982</v>
          </cell>
          <cell r="B306">
            <v>5071584</v>
          </cell>
          <cell r="C306">
            <v>4410</v>
          </cell>
          <cell r="D306">
            <v>5370405</v>
          </cell>
          <cell r="E306">
            <v>166</v>
          </cell>
          <cell r="F306">
            <v>95</v>
          </cell>
          <cell r="G306">
            <v>758</v>
          </cell>
          <cell r="H306">
            <v>112</v>
          </cell>
          <cell r="I306">
            <v>242</v>
          </cell>
          <cell r="J306">
            <v>233</v>
          </cell>
          <cell r="K306">
            <v>166</v>
          </cell>
          <cell r="L306">
            <v>492</v>
          </cell>
          <cell r="M306">
            <v>562</v>
          </cell>
        </row>
        <row r="307">
          <cell r="A307">
            <v>5069760</v>
          </cell>
          <cell r="B307">
            <v>5058973</v>
          </cell>
          <cell r="C307">
            <v>4410</v>
          </cell>
          <cell r="D307">
            <v>9018200</v>
          </cell>
          <cell r="E307">
            <v>273</v>
          </cell>
          <cell r="F307">
            <v>145</v>
          </cell>
          <cell r="G307">
            <v>257</v>
          </cell>
          <cell r="H307">
            <v>97</v>
          </cell>
          <cell r="I307">
            <v>223</v>
          </cell>
          <cell r="J307">
            <v>146</v>
          </cell>
          <cell r="K307">
            <v>192</v>
          </cell>
          <cell r="L307">
            <v>151</v>
          </cell>
          <cell r="M307">
            <v>157</v>
          </cell>
        </row>
        <row r="308">
          <cell r="A308">
            <v>5094976</v>
          </cell>
          <cell r="B308">
            <v>5071581</v>
          </cell>
          <cell r="C308">
            <v>4410</v>
          </cell>
          <cell r="D308">
            <v>3927041</v>
          </cell>
          <cell r="E308">
            <v>347</v>
          </cell>
          <cell r="F308">
            <v>291</v>
          </cell>
          <cell r="G308">
            <v>263</v>
          </cell>
          <cell r="H308">
            <v>241</v>
          </cell>
          <cell r="I308">
            <v>259</v>
          </cell>
          <cell r="J308">
            <v>201</v>
          </cell>
          <cell r="K308">
            <v>276</v>
          </cell>
          <cell r="L308">
            <v>286</v>
          </cell>
          <cell r="M308">
            <v>270</v>
          </cell>
        </row>
        <row r="309">
          <cell r="A309">
            <v>5094978</v>
          </cell>
          <cell r="B309">
            <v>5071582</v>
          </cell>
          <cell r="C309">
            <v>4410</v>
          </cell>
          <cell r="D309">
            <v>21989071</v>
          </cell>
          <cell r="E309">
            <v>89</v>
          </cell>
          <cell r="F309">
            <v>73</v>
          </cell>
          <cell r="G309">
            <v>67</v>
          </cell>
          <cell r="H309">
            <v>74</v>
          </cell>
          <cell r="I309">
            <v>81</v>
          </cell>
          <cell r="J309">
            <v>79</v>
          </cell>
          <cell r="K309">
            <v>62</v>
          </cell>
          <cell r="L309">
            <v>226</v>
          </cell>
          <cell r="M309">
            <v>101</v>
          </cell>
        </row>
        <row r="310">
          <cell r="A310">
            <v>5094964</v>
          </cell>
          <cell r="B310">
            <v>5071575</v>
          </cell>
          <cell r="C310">
            <v>4410</v>
          </cell>
          <cell r="D310">
            <v>3917</v>
          </cell>
          <cell r="E310">
            <v>64</v>
          </cell>
          <cell r="F310">
            <v>75</v>
          </cell>
          <cell r="G310">
            <v>0</v>
          </cell>
          <cell r="H310">
            <v>0</v>
          </cell>
          <cell r="I310">
            <v>0</v>
          </cell>
          <cell r="J310">
            <v>0</v>
          </cell>
          <cell r="K310">
            <v>0</v>
          </cell>
          <cell r="L310">
            <v>0</v>
          </cell>
          <cell r="M310">
            <v>0</v>
          </cell>
        </row>
        <row r="311">
          <cell r="A311">
            <v>5094972</v>
          </cell>
          <cell r="B311">
            <v>5071579</v>
          </cell>
          <cell r="C311">
            <v>4410</v>
          </cell>
          <cell r="D311">
            <v>2064257</v>
          </cell>
          <cell r="E311">
            <v>170</v>
          </cell>
          <cell r="F311">
            <v>124</v>
          </cell>
          <cell r="G311">
            <v>207</v>
          </cell>
          <cell r="H311">
            <v>154</v>
          </cell>
          <cell r="I311">
            <v>131</v>
          </cell>
          <cell r="J311">
            <v>129</v>
          </cell>
          <cell r="K311">
            <v>128</v>
          </cell>
          <cell r="L311">
            <v>161</v>
          </cell>
          <cell r="M311">
            <v>157</v>
          </cell>
        </row>
        <row r="312">
          <cell r="A312">
            <v>5094974</v>
          </cell>
          <cell r="B312">
            <v>5071580</v>
          </cell>
          <cell r="C312">
            <v>4410</v>
          </cell>
          <cell r="D312">
            <v>1692114</v>
          </cell>
          <cell r="E312">
            <v>183</v>
          </cell>
          <cell r="F312">
            <v>120</v>
          </cell>
          <cell r="G312">
            <v>129</v>
          </cell>
          <cell r="H312">
            <v>47</v>
          </cell>
          <cell r="I312">
            <v>203</v>
          </cell>
          <cell r="J312">
            <v>98</v>
          </cell>
          <cell r="K312">
            <v>120</v>
          </cell>
          <cell r="L312">
            <v>24</v>
          </cell>
          <cell r="M312">
            <v>192</v>
          </cell>
        </row>
        <row r="313">
          <cell r="A313">
            <v>5094980</v>
          </cell>
          <cell r="B313">
            <v>5071583</v>
          </cell>
          <cell r="C313">
            <v>4410</v>
          </cell>
          <cell r="D313">
            <v>1616725</v>
          </cell>
          <cell r="E313">
            <v>148</v>
          </cell>
          <cell r="F313">
            <v>80</v>
          </cell>
          <cell r="G313">
            <v>115</v>
          </cell>
          <cell r="H313">
            <v>87</v>
          </cell>
          <cell r="I313">
            <v>96</v>
          </cell>
          <cell r="J313">
            <v>90</v>
          </cell>
          <cell r="K313">
            <v>77</v>
          </cell>
          <cell r="L313">
            <v>91</v>
          </cell>
          <cell r="M313">
            <v>81</v>
          </cell>
        </row>
        <row r="314">
          <cell r="A314">
            <v>5094962</v>
          </cell>
          <cell r="B314">
            <v>5071574</v>
          </cell>
          <cell r="C314">
            <v>4410</v>
          </cell>
          <cell r="D314">
            <v>7097166</v>
          </cell>
          <cell r="E314">
            <v>164</v>
          </cell>
          <cell r="F314">
            <v>68</v>
          </cell>
          <cell r="G314">
            <v>87</v>
          </cell>
          <cell r="H314">
            <v>60</v>
          </cell>
          <cell r="I314">
            <v>109</v>
          </cell>
          <cell r="J314">
            <v>95</v>
          </cell>
          <cell r="K314">
            <v>150</v>
          </cell>
          <cell r="L314">
            <v>173</v>
          </cell>
          <cell r="M314">
            <v>134</v>
          </cell>
        </row>
        <row r="315">
          <cell r="A315">
            <v>5094968</v>
          </cell>
          <cell r="B315">
            <v>5071577</v>
          </cell>
          <cell r="C315">
            <v>4410</v>
          </cell>
          <cell r="D315">
            <v>16008266</v>
          </cell>
          <cell r="E315">
            <v>101</v>
          </cell>
          <cell r="F315">
            <v>62</v>
          </cell>
          <cell r="G315">
            <v>53</v>
          </cell>
          <cell r="H315">
            <v>58</v>
          </cell>
          <cell r="I315">
            <v>85</v>
          </cell>
          <cell r="J315">
            <v>87</v>
          </cell>
          <cell r="K315">
            <v>79</v>
          </cell>
          <cell r="L315">
            <v>96</v>
          </cell>
          <cell r="M315">
            <v>76</v>
          </cell>
        </row>
        <row r="316">
          <cell r="A316">
            <v>5177230</v>
          </cell>
          <cell r="B316">
            <v>5112708</v>
          </cell>
          <cell r="C316">
            <v>4410</v>
          </cell>
          <cell r="D316">
            <v>3649761</v>
          </cell>
          <cell r="E316">
            <v>268</v>
          </cell>
          <cell r="F316">
            <v>238</v>
          </cell>
          <cell r="G316">
            <v>230</v>
          </cell>
          <cell r="H316">
            <v>204</v>
          </cell>
          <cell r="I316">
            <v>267</v>
          </cell>
          <cell r="J316">
            <v>229</v>
          </cell>
          <cell r="K316">
            <v>244</v>
          </cell>
          <cell r="L316">
            <v>221</v>
          </cell>
          <cell r="M316">
            <v>236</v>
          </cell>
        </row>
        <row r="317">
          <cell r="A317">
            <v>5081360</v>
          </cell>
          <cell r="B317">
            <v>5064773</v>
          </cell>
          <cell r="C317">
            <v>4410</v>
          </cell>
          <cell r="D317">
            <v>32997887</v>
          </cell>
          <cell r="E317">
            <v>172</v>
          </cell>
          <cell r="F317">
            <v>152</v>
          </cell>
          <cell r="G317">
            <v>148</v>
          </cell>
          <cell r="H317">
            <v>144</v>
          </cell>
          <cell r="I317">
            <v>213</v>
          </cell>
          <cell r="J317">
            <v>183</v>
          </cell>
          <cell r="K317">
            <v>193</v>
          </cell>
          <cell r="L317">
            <v>172</v>
          </cell>
          <cell r="M317">
            <v>93</v>
          </cell>
        </row>
        <row r="318">
          <cell r="A318">
            <v>5176762</v>
          </cell>
          <cell r="B318">
            <v>5112474</v>
          </cell>
          <cell r="C318">
            <v>4410</v>
          </cell>
          <cell r="D318">
            <v>3508977</v>
          </cell>
          <cell r="E318">
            <v>246</v>
          </cell>
          <cell r="F318">
            <v>220</v>
          </cell>
          <cell r="G318">
            <v>211</v>
          </cell>
          <cell r="H318">
            <v>188</v>
          </cell>
          <cell r="I318">
            <v>245</v>
          </cell>
          <cell r="J318">
            <v>211</v>
          </cell>
          <cell r="K318">
            <v>309</v>
          </cell>
          <cell r="L318">
            <v>360</v>
          </cell>
          <cell r="M318">
            <v>418</v>
          </cell>
        </row>
        <row r="319">
          <cell r="A319">
            <v>5181106</v>
          </cell>
          <cell r="B319">
            <v>5114646</v>
          </cell>
          <cell r="C319">
            <v>4410</v>
          </cell>
          <cell r="D319">
            <v>31988253</v>
          </cell>
          <cell r="E319">
            <v>164</v>
          </cell>
          <cell r="F319">
            <v>398</v>
          </cell>
          <cell r="G319">
            <v>479</v>
          </cell>
          <cell r="H319">
            <v>287</v>
          </cell>
          <cell r="I319">
            <v>254</v>
          </cell>
          <cell r="J319">
            <v>724</v>
          </cell>
          <cell r="K319">
            <v>440</v>
          </cell>
          <cell r="L319">
            <v>642</v>
          </cell>
          <cell r="M319">
            <v>138</v>
          </cell>
        </row>
        <row r="320">
          <cell r="A320">
            <v>5180626</v>
          </cell>
          <cell r="B320">
            <v>5114406</v>
          </cell>
          <cell r="C320">
            <v>4410</v>
          </cell>
          <cell r="D320">
            <v>31116284</v>
          </cell>
          <cell r="E320">
            <v>330</v>
          </cell>
          <cell r="F320">
            <v>295</v>
          </cell>
          <cell r="G320">
            <v>284</v>
          </cell>
          <cell r="H320">
            <v>252</v>
          </cell>
          <cell r="I320">
            <v>658</v>
          </cell>
          <cell r="J320">
            <v>192</v>
          </cell>
          <cell r="K320">
            <v>150</v>
          </cell>
          <cell r="L320">
            <v>160</v>
          </cell>
          <cell r="M320">
            <v>193</v>
          </cell>
        </row>
        <row r="321">
          <cell r="A321">
            <v>5180470</v>
          </cell>
          <cell r="B321">
            <v>5114328</v>
          </cell>
          <cell r="C321">
            <v>4410</v>
          </cell>
          <cell r="D321">
            <v>1618051</v>
          </cell>
          <cell r="E321">
            <v>233</v>
          </cell>
          <cell r="F321">
            <v>404</v>
          </cell>
          <cell r="G321">
            <v>200</v>
          </cell>
          <cell r="H321">
            <v>254</v>
          </cell>
          <cell r="I321">
            <v>79</v>
          </cell>
          <cell r="J321">
            <v>72</v>
          </cell>
          <cell r="K321">
            <v>74</v>
          </cell>
          <cell r="L321">
            <v>79</v>
          </cell>
          <cell r="M321">
            <v>99</v>
          </cell>
        </row>
        <row r="322">
          <cell r="A322">
            <v>5180450</v>
          </cell>
          <cell r="B322">
            <v>5114318</v>
          </cell>
          <cell r="C322">
            <v>4410</v>
          </cell>
          <cell r="D322">
            <v>3506176</v>
          </cell>
          <cell r="E322">
            <v>233</v>
          </cell>
          <cell r="F322">
            <v>206</v>
          </cell>
          <cell r="G322">
            <v>572</v>
          </cell>
          <cell r="H322">
            <v>265</v>
          </cell>
          <cell r="I322">
            <v>287</v>
          </cell>
          <cell r="J322">
            <v>229</v>
          </cell>
          <cell r="K322">
            <v>240</v>
          </cell>
          <cell r="L322">
            <v>270</v>
          </cell>
          <cell r="M322">
            <v>313</v>
          </cell>
        </row>
        <row r="323">
          <cell r="A323">
            <v>5180396</v>
          </cell>
          <cell r="B323">
            <v>5114291</v>
          </cell>
          <cell r="C323">
            <v>4410</v>
          </cell>
          <cell r="D323">
            <v>1502200</v>
          </cell>
          <cell r="E323">
            <v>563</v>
          </cell>
          <cell r="F323">
            <v>225</v>
          </cell>
          <cell r="G323">
            <v>200</v>
          </cell>
          <cell r="H323">
            <v>190</v>
          </cell>
          <cell r="I323">
            <v>191</v>
          </cell>
          <cell r="J323">
            <v>193</v>
          </cell>
          <cell r="K323">
            <v>223</v>
          </cell>
          <cell r="L323">
            <v>218</v>
          </cell>
          <cell r="M323">
            <v>233</v>
          </cell>
        </row>
        <row r="324">
          <cell r="A324">
            <v>5180370</v>
          </cell>
          <cell r="B324">
            <v>5114278</v>
          </cell>
          <cell r="C324">
            <v>4410</v>
          </cell>
          <cell r="D324">
            <v>2961927</v>
          </cell>
          <cell r="E324">
            <v>272</v>
          </cell>
          <cell r="F324">
            <v>126</v>
          </cell>
          <cell r="G324">
            <v>140</v>
          </cell>
          <cell r="H324">
            <v>128</v>
          </cell>
          <cell r="I324">
            <v>130</v>
          </cell>
          <cell r="J324">
            <v>103</v>
          </cell>
          <cell r="K324">
            <v>150</v>
          </cell>
          <cell r="L324">
            <v>134</v>
          </cell>
          <cell r="M324">
            <v>161</v>
          </cell>
        </row>
        <row r="325">
          <cell r="A325">
            <v>5180608</v>
          </cell>
          <cell r="B325">
            <v>5114397</v>
          </cell>
          <cell r="C325">
            <v>4410</v>
          </cell>
          <cell r="D325">
            <v>1502201</v>
          </cell>
          <cell r="E325">
            <v>140</v>
          </cell>
          <cell r="F325">
            <v>112</v>
          </cell>
          <cell r="G325">
            <v>124</v>
          </cell>
          <cell r="H325">
            <v>80</v>
          </cell>
          <cell r="I325">
            <v>78</v>
          </cell>
          <cell r="J325">
            <v>68</v>
          </cell>
          <cell r="K325">
            <v>71</v>
          </cell>
          <cell r="L325">
            <v>77</v>
          </cell>
          <cell r="M325">
            <v>89</v>
          </cell>
        </row>
        <row r="326">
          <cell r="A326">
            <v>5180858</v>
          </cell>
          <cell r="B326">
            <v>5114522</v>
          </cell>
          <cell r="C326">
            <v>4410</v>
          </cell>
          <cell r="D326">
            <v>3361903</v>
          </cell>
          <cell r="E326">
            <v>150</v>
          </cell>
          <cell r="F326">
            <v>186</v>
          </cell>
          <cell r="G326">
            <v>189</v>
          </cell>
          <cell r="H326">
            <v>169</v>
          </cell>
          <cell r="I326">
            <v>181</v>
          </cell>
          <cell r="J326">
            <v>161</v>
          </cell>
          <cell r="K326">
            <v>400</v>
          </cell>
          <cell r="L326">
            <v>283</v>
          </cell>
          <cell r="M326">
            <v>356</v>
          </cell>
        </row>
        <row r="327">
          <cell r="A327">
            <v>5180666</v>
          </cell>
          <cell r="B327">
            <v>5114426</v>
          </cell>
          <cell r="C327">
            <v>4410</v>
          </cell>
          <cell r="D327">
            <v>6802311</v>
          </cell>
          <cell r="E327">
            <v>336</v>
          </cell>
          <cell r="F327">
            <v>305</v>
          </cell>
          <cell r="G327">
            <v>300</v>
          </cell>
          <cell r="H327">
            <v>314</v>
          </cell>
          <cell r="I327">
            <v>296</v>
          </cell>
          <cell r="J327">
            <v>303</v>
          </cell>
          <cell r="K327">
            <v>317</v>
          </cell>
          <cell r="L327">
            <v>314</v>
          </cell>
          <cell r="M327">
            <v>333</v>
          </cell>
        </row>
        <row r="328">
          <cell r="A328">
            <v>5180878</v>
          </cell>
          <cell r="B328">
            <v>5114532</v>
          </cell>
          <cell r="C328">
            <v>4410</v>
          </cell>
          <cell r="D328">
            <v>3365025</v>
          </cell>
          <cell r="E328">
            <v>213</v>
          </cell>
          <cell r="F328">
            <v>189</v>
          </cell>
          <cell r="G328">
            <v>213</v>
          </cell>
          <cell r="H328">
            <v>201</v>
          </cell>
          <cell r="I328">
            <v>209</v>
          </cell>
          <cell r="J328">
            <v>189</v>
          </cell>
          <cell r="K328">
            <v>196</v>
          </cell>
          <cell r="L328">
            <v>189</v>
          </cell>
          <cell r="M328">
            <v>188</v>
          </cell>
        </row>
        <row r="329">
          <cell r="A329">
            <v>5177206</v>
          </cell>
          <cell r="B329">
            <v>5112696</v>
          </cell>
          <cell r="C329">
            <v>4410</v>
          </cell>
          <cell r="D329">
            <v>7085157</v>
          </cell>
          <cell r="E329">
            <v>380</v>
          </cell>
          <cell r="F329">
            <v>286</v>
          </cell>
          <cell r="G329">
            <v>232</v>
          </cell>
          <cell r="H329">
            <v>213</v>
          </cell>
          <cell r="I329">
            <v>205</v>
          </cell>
          <cell r="J329">
            <v>187</v>
          </cell>
          <cell r="K329">
            <v>215</v>
          </cell>
          <cell r="L329">
            <v>206</v>
          </cell>
          <cell r="M329">
            <v>203</v>
          </cell>
        </row>
        <row r="330">
          <cell r="A330">
            <v>5180644</v>
          </cell>
          <cell r="B330">
            <v>5114415</v>
          </cell>
          <cell r="C330">
            <v>4410</v>
          </cell>
          <cell r="D330">
            <v>7116921</v>
          </cell>
          <cell r="E330">
            <v>236</v>
          </cell>
          <cell r="F330">
            <v>181</v>
          </cell>
          <cell r="G330">
            <v>177</v>
          </cell>
          <cell r="H330">
            <v>177</v>
          </cell>
          <cell r="I330">
            <v>208</v>
          </cell>
          <cell r="J330">
            <v>207</v>
          </cell>
          <cell r="K330">
            <v>121</v>
          </cell>
          <cell r="L330">
            <v>70</v>
          </cell>
          <cell r="M330">
            <v>88</v>
          </cell>
        </row>
        <row r="331">
          <cell r="A331">
            <v>5180896</v>
          </cell>
          <cell r="B331">
            <v>5114541</v>
          </cell>
          <cell r="C331">
            <v>4410</v>
          </cell>
          <cell r="D331">
            <v>7130475</v>
          </cell>
          <cell r="E331">
            <v>171</v>
          </cell>
          <cell r="F331">
            <v>127</v>
          </cell>
          <cell r="G331">
            <v>139</v>
          </cell>
          <cell r="H331">
            <v>131</v>
          </cell>
          <cell r="I331">
            <v>145</v>
          </cell>
          <cell r="J331">
            <v>137</v>
          </cell>
          <cell r="K331">
            <v>144</v>
          </cell>
          <cell r="L331">
            <v>179</v>
          </cell>
          <cell r="M331">
            <v>203</v>
          </cell>
        </row>
        <row r="332">
          <cell r="A332">
            <v>5180912</v>
          </cell>
          <cell r="B332">
            <v>5114549</v>
          </cell>
          <cell r="C332">
            <v>4410</v>
          </cell>
          <cell r="D332">
            <v>7726425</v>
          </cell>
          <cell r="E332">
            <v>186</v>
          </cell>
          <cell r="F332">
            <v>158</v>
          </cell>
          <cell r="G332">
            <v>159</v>
          </cell>
          <cell r="H332">
            <v>151</v>
          </cell>
          <cell r="I332">
            <v>172</v>
          </cell>
          <cell r="J332">
            <v>177</v>
          </cell>
          <cell r="K332">
            <v>170</v>
          </cell>
          <cell r="L332">
            <v>192</v>
          </cell>
          <cell r="M332">
            <v>224</v>
          </cell>
        </row>
        <row r="333">
          <cell r="A333">
            <v>5068022</v>
          </cell>
          <cell r="B333">
            <v>5058104</v>
          </cell>
          <cell r="C333">
            <v>4410</v>
          </cell>
          <cell r="D333">
            <v>7210433</v>
          </cell>
          <cell r="E333">
            <v>7</v>
          </cell>
          <cell r="F333">
            <v>5</v>
          </cell>
          <cell r="G333">
            <v>5</v>
          </cell>
          <cell r="H333">
            <v>4</v>
          </cell>
          <cell r="I333">
            <v>7</v>
          </cell>
          <cell r="J333">
            <v>0</v>
          </cell>
          <cell r="K333">
            <v>0</v>
          </cell>
          <cell r="L333">
            <v>6</v>
          </cell>
          <cell r="M333">
            <v>5</v>
          </cell>
        </row>
        <row r="334">
          <cell r="A334">
            <v>5180384</v>
          </cell>
          <cell r="B334">
            <v>5114285</v>
          </cell>
          <cell r="C334">
            <v>4410</v>
          </cell>
          <cell r="D334">
            <v>24556677</v>
          </cell>
          <cell r="E334">
            <v>141</v>
          </cell>
          <cell r="F334">
            <v>124</v>
          </cell>
          <cell r="G334">
            <v>128</v>
          </cell>
          <cell r="H334">
            <v>112</v>
          </cell>
          <cell r="I334">
            <v>105</v>
          </cell>
          <cell r="J334">
            <v>90</v>
          </cell>
          <cell r="K334">
            <v>94</v>
          </cell>
          <cell r="L334">
            <v>102</v>
          </cell>
          <cell r="M334">
            <v>132</v>
          </cell>
        </row>
        <row r="335">
          <cell r="A335">
            <v>5180430</v>
          </cell>
          <cell r="B335">
            <v>5114308</v>
          </cell>
          <cell r="C335">
            <v>4410</v>
          </cell>
          <cell r="D335">
            <v>24906166</v>
          </cell>
          <cell r="E335">
            <v>79</v>
          </cell>
          <cell r="F335">
            <v>77</v>
          </cell>
          <cell r="G335">
            <v>92</v>
          </cell>
          <cell r="H335">
            <v>63</v>
          </cell>
          <cell r="I335">
            <v>28</v>
          </cell>
          <cell r="J335">
            <v>55</v>
          </cell>
          <cell r="K335">
            <v>75</v>
          </cell>
          <cell r="L335">
            <v>110</v>
          </cell>
          <cell r="M335">
            <v>124</v>
          </cell>
        </row>
        <row r="336">
          <cell r="A336">
            <v>5181104</v>
          </cell>
          <cell r="B336">
            <v>5114645</v>
          </cell>
          <cell r="C336">
            <v>4410</v>
          </cell>
          <cell r="D336">
            <v>3333108</v>
          </cell>
          <cell r="E336">
            <v>269</v>
          </cell>
          <cell r="F336">
            <v>228</v>
          </cell>
          <cell r="G336">
            <v>238</v>
          </cell>
          <cell r="H336">
            <v>231</v>
          </cell>
          <cell r="I336">
            <v>221</v>
          </cell>
          <cell r="J336">
            <v>205</v>
          </cell>
          <cell r="K336">
            <v>214</v>
          </cell>
          <cell r="L336">
            <v>223</v>
          </cell>
          <cell r="M336">
            <v>224</v>
          </cell>
        </row>
        <row r="337">
          <cell r="A337">
            <v>5177768</v>
          </cell>
          <cell r="B337">
            <v>5112977</v>
          </cell>
          <cell r="C337">
            <v>4410</v>
          </cell>
          <cell r="D337">
            <v>18490467</v>
          </cell>
          <cell r="E337">
            <v>233</v>
          </cell>
          <cell r="F337">
            <v>206</v>
          </cell>
          <cell r="G337">
            <v>200</v>
          </cell>
          <cell r="H337">
            <v>189</v>
          </cell>
          <cell r="I337">
            <v>273</v>
          </cell>
          <cell r="J337">
            <v>237</v>
          </cell>
          <cell r="K337">
            <v>251</v>
          </cell>
          <cell r="L337">
            <v>224</v>
          </cell>
          <cell r="M337">
            <v>155</v>
          </cell>
        </row>
        <row r="338">
          <cell r="A338">
            <v>5177784</v>
          </cell>
          <cell r="B338">
            <v>5112985</v>
          </cell>
          <cell r="C338">
            <v>4410</v>
          </cell>
          <cell r="D338">
            <v>442290</v>
          </cell>
          <cell r="E338">
            <v>233</v>
          </cell>
          <cell r="F338">
            <v>206</v>
          </cell>
          <cell r="G338">
            <v>200</v>
          </cell>
          <cell r="H338">
            <v>189</v>
          </cell>
          <cell r="I338">
            <v>273</v>
          </cell>
          <cell r="J338">
            <v>237</v>
          </cell>
          <cell r="K338">
            <v>91</v>
          </cell>
          <cell r="L338">
            <v>56</v>
          </cell>
          <cell r="M338">
            <v>154</v>
          </cell>
        </row>
        <row r="339">
          <cell r="A339">
            <v>5177748</v>
          </cell>
          <cell r="B339">
            <v>5112967</v>
          </cell>
          <cell r="C339">
            <v>4410</v>
          </cell>
          <cell r="D339">
            <v>5386161</v>
          </cell>
          <cell r="E339">
            <v>205</v>
          </cell>
          <cell r="F339">
            <v>176</v>
          </cell>
          <cell r="G339">
            <v>193</v>
          </cell>
          <cell r="H339">
            <v>195</v>
          </cell>
          <cell r="I339">
            <v>180</v>
          </cell>
          <cell r="J339">
            <v>174</v>
          </cell>
          <cell r="K339">
            <v>206</v>
          </cell>
          <cell r="L339">
            <v>191</v>
          </cell>
          <cell r="M339">
            <v>206</v>
          </cell>
        </row>
        <row r="340">
          <cell r="A340">
            <v>5177704</v>
          </cell>
          <cell r="B340">
            <v>5112945</v>
          </cell>
          <cell r="C340">
            <v>4410</v>
          </cell>
          <cell r="D340">
            <v>3725827</v>
          </cell>
          <cell r="E340">
            <v>211</v>
          </cell>
          <cell r="F340">
            <v>193</v>
          </cell>
          <cell r="G340">
            <v>197</v>
          </cell>
          <cell r="H340">
            <v>153</v>
          </cell>
          <cell r="I340">
            <v>214</v>
          </cell>
          <cell r="J340">
            <v>204</v>
          </cell>
          <cell r="K340">
            <v>181</v>
          </cell>
          <cell r="L340">
            <v>169</v>
          </cell>
          <cell r="M340">
            <v>90</v>
          </cell>
        </row>
        <row r="341">
          <cell r="A341">
            <v>5177726</v>
          </cell>
          <cell r="B341">
            <v>5112956</v>
          </cell>
          <cell r="C341">
            <v>4410</v>
          </cell>
          <cell r="D341">
            <v>5316436</v>
          </cell>
          <cell r="E341">
            <v>12</v>
          </cell>
          <cell r="F341">
            <v>16</v>
          </cell>
          <cell r="G341">
            <v>9</v>
          </cell>
          <cell r="H341">
            <v>21</v>
          </cell>
          <cell r="I341">
            <v>11</v>
          </cell>
          <cell r="J341">
            <v>16</v>
          </cell>
          <cell r="K341">
            <v>20</v>
          </cell>
          <cell r="L341">
            <v>13</v>
          </cell>
          <cell r="M341">
            <v>11</v>
          </cell>
        </row>
        <row r="342">
          <cell r="A342">
            <v>5177848</v>
          </cell>
          <cell r="B342">
            <v>5113017</v>
          </cell>
          <cell r="C342">
            <v>4410</v>
          </cell>
          <cell r="E342">
            <v>172</v>
          </cell>
          <cell r="F342">
            <v>152</v>
          </cell>
          <cell r="G342">
            <v>148</v>
          </cell>
          <cell r="H342">
            <v>144</v>
          </cell>
          <cell r="I342">
            <v>213</v>
          </cell>
          <cell r="J342">
            <v>183</v>
          </cell>
          <cell r="K342">
            <v>193</v>
          </cell>
          <cell r="L342">
            <v>172</v>
          </cell>
          <cell r="M342">
            <v>184</v>
          </cell>
        </row>
        <row r="343">
          <cell r="A343">
            <v>5177986</v>
          </cell>
          <cell r="B343">
            <v>5113086</v>
          </cell>
          <cell r="C343">
            <v>4410</v>
          </cell>
          <cell r="D343">
            <v>32997408</v>
          </cell>
          <cell r="E343">
            <v>233</v>
          </cell>
          <cell r="F343">
            <v>206</v>
          </cell>
          <cell r="G343">
            <v>200</v>
          </cell>
          <cell r="H343">
            <v>189</v>
          </cell>
          <cell r="I343">
            <v>273</v>
          </cell>
          <cell r="J343">
            <v>237</v>
          </cell>
          <cell r="K343">
            <v>502</v>
          </cell>
          <cell r="L343">
            <v>55</v>
          </cell>
          <cell r="M343">
            <v>30</v>
          </cell>
        </row>
        <row r="344">
          <cell r="A344">
            <v>5178040</v>
          </cell>
          <cell r="B344">
            <v>5113113</v>
          </cell>
          <cell r="C344">
            <v>4410</v>
          </cell>
          <cell r="D344">
            <v>31116282</v>
          </cell>
          <cell r="E344">
            <v>22</v>
          </cell>
          <cell r="F344">
            <v>659</v>
          </cell>
          <cell r="G344">
            <v>599</v>
          </cell>
          <cell r="H344">
            <v>622</v>
          </cell>
          <cell r="I344">
            <v>496</v>
          </cell>
          <cell r="J344">
            <v>0</v>
          </cell>
          <cell r="K344">
            <v>399</v>
          </cell>
          <cell r="L344">
            <v>466</v>
          </cell>
          <cell r="M344">
            <v>545</v>
          </cell>
        </row>
        <row r="345">
          <cell r="A345">
            <v>5177948</v>
          </cell>
          <cell r="B345">
            <v>5113067</v>
          </cell>
          <cell r="C345">
            <v>4410</v>
          </cell>
          <cell r="D345">
            <v>31988623</v>
          </cell>
          <cell r="E345">
            <v>172</v>
          </cell>
          <cell r="F345">
            <v>152</v>
          </cell>
          <cell r="G345">
            <v>148</v>
          </cell>
          <cell r="H345">
            <v>144</v>
          </cell>
          <cell r="I345">
            <v>213</v>
          </cell>
          <cell r="J345">
            <v>15</v>
          </cell>
          <cell r="K345">
            <v>25</v>
          </cell>
          <cell r="L345">
            <v>53</v>
          </cell>
          <cell r="M345">
            <v>76</v>
          </cell>
        </row>
        <row r="346">
          <cell r="A346">
            <v>5177968</v>
          </cell>
          <cell r="B346">
            <v>5113077</v>
          </cell>
          <cell r="C346">
            <v>4410</v>
          </cell>
          <cell r="D346">
            <v>3726021</v>
          </cell>
          <cell r="E346">
            <v>143</v>
          </cell>
          <cell r="F346">
            <v>120</v>
          </cell>
          <cell r="G346">
            <v>126</v>
          </cell>
          <cell r="H346">
            <v>75</v>
          </cell>
          <cell r="I346">
            <v>83</v>
          </cell>
          <cell r="J346">
            <v>84</v>
          </cell>
          <cell r="K346">
            <v>101</v>
          </cell>
          <cell r="L346">
            <v>90</v>
          </cell>
          <cell r="M346">
            <v>83</v>
          </cell>
        </row>
        <row r="347">
          <cell r="A347">
            <v>5178036</v>
          </cell>
          <cell r="B347">
            <v>5113111</v>
          </cell>
          <cell r="C347">
            <v>4410</v>
          </cell>
          <cell r="D347">
            <v>1884965</v>
          </cell>
          <cell r="E347">
            <v>0</v>
          </cell>
          <cell r="F347">
            <v>0</v>
          </cell>
          <cell r="G347">
            <v>0</v>
          </cell>
          <cell r="H347">
            <v>0</v>
          </cell>
          <cell r="I347">
            <v>6</v>
          </cell>
          <cell r="J347">
            <v>307</v>
          </cell>
          <cell r="K347">
            <v>322</v>
          </cell>
          <cell r="L347">
            <v>359</v>
          </cell>
          <cell r="M347">
            <v>424</v>
          </cell>
        </row>
        <row r="348">
          <cell r="A348">
            <v>5178030</v>
          </cell>
          <cell r="B348">
            <v>5113108</v>
          </cell>
          <cell r="C348">
            <v>4410</v>
          </cell>
          <cell r="D348">
            <v>1691957</v>
          </cell>
          <cell r="E348">
            <v>159</v>
          </cell>
          <cell r="F348">
            <v>144</v>
          </cell>
          <cell r="G348">
            <v>140</v>
          </cell>
          <cell r="H348">
            <v>158</v>
          </cell>
          <cell r="I348">
            <v>150</v>
          </cell>
          <cell r="J348">
            <v>128</v>
          </cell>
          <cell r="K348">
            <v>262</v>
          </cell>
          <cell r="L348">
            <v>123</v>
          </cell>
          <cell r="M348">
            <v>149</v>
          </cell>
        </row>
        <row r="349">
          <cell r="A349">
            <v>5177928</v>
          </cell>
          <cell r="B349">
            <v>5113057</v>
          </cell>
          <cell r="C349">
            <v>4410</v>
          </cell>
          <cell r="D349">
            <v>1691955</v>
          </cell>
          <cell r="E349">
            <v>193</v>
          </cell>
          <cell r="F349">
            <v>126</v>
          </cell>
          <cell r="G349">
            <v>115</v>
          </cell>
          <cell r="H349">
            <v>107</v>
          </cell>
          <cell r="I349">
            <v>106</v>
          </cell>
          <cell r="J349">
            <v>102</v>
          </cell>
          <cell r="K349">
            <v>109</v>
          </cell>
          <cell r="L349">
            <v>96</v>
          </cell>
          <cell r="M349">
            <v>107</v>
          </cell>
        </row>
        <row r="350">
          <cell r="A350">
            <v>5178038</v>
          </cell>
          <cell r="B350">
            <v>5113112</v>
          </cell>
          <cell r="C350">
            <v>4410</v>
          </cell>
          <cell r="D350">
            <v>3730935</v>
          </cell>
          <cell r="E350">
            <v>164</v>
          </cell>
          <cell r="F350">
            <v>114</v>
          </cell>
          <cell r="G350">
            <v>125</v>
          </cell>
          <cell r="H350">
            <v>127</v>
          </cell>
          <cell r="I350">
            <v>112</v>
          </cell>
          <cell r="J350">
            <v>93</v>
          </cell>
          <cell r="K350">
            <v>106</v>
          </cell>
          <cell r="L350">
            <v>116</v>
          </cell>
          <cell r="M350">
            <v>121</v>
          </cell>
        </row>
        <row r="351">
          <cell r="A351">
            <v>5178034</v>
          </cell>
          <cell r="B351">
            <v>5113110</v>
          </cell>
          <cell r="C351">
            <v>4410</v>
          </cell>
          <cell r="D351">
            <v>6821997</v>
          </cell>
          <cell r="E351">
            <v>45</v>
          </cell>
          <cell r="F351">
            <v>42</v>
          </cell>
          <cell r="G351">
            <v>37</v>
          </cell>
          <cell r="H351">
            <v>34</v>
          </cell>
          <cell r="I351">
            <v>40</v>
          </cell>
          <cell r="J351">
            <v>39</v>
          </cell>
          <cell r="K351">
            <v>40</v>
          </cell>
          <cell r="L351">
            <v>39</v>
          </cell>
          <cell r="M351">
            <v>35</v>
          </cell>
        </row>
        <row r="352">
          <cell r="A352">
            <v>5177908</v>
          </cell>
          <cell r="B352">
            <v>5113047</v>
          </cell>
          <cell r="C352">
            <v>4410</v>
          </cell>
          <cell r="D352">
            <v>1751077</v>
          </cell>
          <cell r="E352">
            <v>176</v>
          </cell>
          <cell r="F352">
            <v>79</v>
          </cell>
          <cell r="G352">
            <v>74</v>
          </cell>
          <cell r="H352">
            <v>64</v>
          </cell>
          <cell r="I352">
            <v>181</v>
          </cell>
          <cell r="J352">
            <v>105</v>
          </cell>
          <cell r="K352">
            <v>131</v>
          </cell>
          <cell r="L352">
            <v>129</v>
          </cell>
          <cell r="M352">
            <v>126</v>
          </cell>
        </row>
        <row r="353">
          <cell r="A353">
            <v>5177870</v>
          </cell>
          <cell r="B353">
            <v>5113028</v>
          </cell>
          <cell r="C353">
            <v>4410</v>
          </cell>
          <cell r="D353">
            <v>6823621</v>
          </cell>
          <cell r="E353">
            <v>201</v>
          </cell>
          <cell r="F353">
            <v>176</v>
          </cell>
          <cell r="G353">
            <v>182</v>
          </cell>
          <cell r="H353">
            <v>174</v>
          </cell>
          <cell r="I353">
            <v>189</v>
          </cell>
          <cell r="J353">
            <v>170</v>
          </cell>
          <cell r="K353">
            <v>189</v>
          </cell>
          <cell r="L353">
            <v>175</v>
          </cell>
          <cell r="M353">
            <v>193</v>
          </cell>
        </row>
        <row r="354">
          <cell r="A354">
            <v>5069762</v>
          </cell>
          <cell r="B354">
            <v>5058974</v>
          </cell>
          <cell r="C354">
            <v>4410</v>
          </cell>
          <cell r="D354">
            <v>7210412</v>
          </cell>
          <cell r="E354">
            <v>0</v>
          </cell>
          <cell r="F354">
            <v>98</v>
          </cell>
          <cell r="G354">
            <v>59</v>
          </cell>
          <cell r="H354">
            <v>107</v>
          </cell>
          <cell r="I354">
            <v>122</v>
          </cell>
          <cell r="J354">
            <v>121</v>
          </cell>
          <cell r="K354">
            <v>132</v>
          </cell>
          <cell r="L354">
            <v>143</v>
          </cell>
          <cell r="M354">
            <v>141</v>
          </cell>
        </row>
        <row r="355">
          <cell r="A355">
            <v>5177826</v>
          </cell>
          <cell r="B355">
            <v>5113006</v>
          </cell>
          <cell r="C355">
            <v>4410</v>
          </cell>
          <cell r="D355">
            <v>7109083</v>
          </cell>
          <cell r="E355">
            <v>137</v>
          </cell>
          <cell r="F355">
            <v>106</v>
          </cell>
          <cell r="G355">
            <v>141</v>
          </cell>
          <cell r="H355">
            <v>163</v>
          </cell>
          <cell r="I355">
            <v>153</v>
          </cell>
          <cell r="J355">
            <v>127</v>
          </cell>
          <cell r="K355">
            <v>134</v>
          </cell>
          <cell r="L355">
            <v>131</v>
          </cell>
          <cell r="M355">
            <v>173</v>
          </cell>
        </row>
        <row r="356">
          <cell r="A356">
            <v>5178008</v>
          </cell>
          <cell r="B356">
            <v>5113097</v>
          </cell>
          <cell r="C356">
            <v>4410</v>
          </cell>
          <cell r="D356">
            <v>7117841</v>
          </cell>
          <cell r="E356">
            <v>211</v>
          </cell>
          <cell r="F356">
            <v>169</v>
          </cell>
          <cell r="G356">
            <v>166</v>
          </cell>
          <cell r="H356">
            <v>164</v>
          </cell>
          <cell r="I356">
            <v>170</v>
          </cell>
          <cell r="J356">
            <v>170</v>
          </cell>
          <cell r="K356">
            <v>192</v>
          </cell>
          <cell r="L356">
            <v>165</v>
          </cell>
          <cell r="M356">
            <v>173</v>
          </cell>
        </row>
        <row r="357">
          <cell r="A357">
            <v>5177888</v>
          </cell>
          <cell r="B357">
            <v>5113037</v>
          </cell>
          <cell r="C357">
            <v>4410</v>
          </cell>
          <cell r="D357">
            <v>15961098</v>
          </cell>
          <cell r="E357">
            <v>65</v>
          </cell>
          <cell r="F357">
            <v>132</v>
          </cell>
          <cell r="G357">
            <v>99</v>
          </cell>
          <cell r="H357">
            <v>83</v>
          </cell>
          <cell r="I357">
            <v>93</v>
          </cell>
          <cell r="J357">
            <v>79</v>
          </cell>
          <cell r="K357">
            <v>83</v>
          </cell>
          <cell r="L357">
            <v>85</v>
          </cell>
          <cell r="M357">
            <v>86</v>
          </cell>
        </row>
        <row r="358">
          <cell r="A358">
            <v>5177802</v>
          </cell>
          <cell r="B358">
            <v>5112994</v>
          </cell>
          <cell r="C358">
            <v>4410</v>
          </cell>
          <cell r="D358">
            <v>721946</v>
          </cell>
          <cell r="E358">
            <v>134</v>
          </cell>
          <cell r="F358">
            <v>120</v>
          </cell>
          <cell r="G358">
            <v>240</v>
          </cell>
          <cell r="H358">
            <v>137</v>
          </cell>
          <cell r="I358">
            <v>147</v>
          </cell>
          <cell r="J358">
            <v>129</v>
          </cell>
          <cell r="K358">
            <v>139</v>
          </cell>
          <cell r="L358">
            <v>137</v>
          </cell>
          <cell r="M358">
            <v>148</v>
          </cell>
        </row>
        <row r="359">
          <cell r="A359">
            <v>5178042</v>
          </cell>
          <cell r="B359">
            <v>5113114</v>
          </cell>
          <cell r="C359">
            <v>4410</v>
          </cell>
          <cell r="D359">
            <v>3515738</v>
          </cell>
          <cell r="E359">
            <v>170</v>
          </cell>
          <cell r="F359">
            <v>144</v>
          </cell>
          <cell r="G359">
            <v>152</v>
          </cell>
          <cell r="H359">
            <v>151</v>
          </cell>
          <cell r="I359">
            <v>196</v>
          </cell>
          <cell r="J359">
            <v>164</v>
          </cell>
          <cell r="K359">
            <v>184</v>
          </cell>
          <cell r="L359">
            <v>184</v>
          </cell>
          <cell r="M359">
            <v>218</v>
          </cell>
        </row>
        <row r="360">
          <cell r="A360">
            <v>5178282</v>
          </cell>
          <cell r="B360">
            <v>5113234</v>
          </cell>
          <cell r="C360">
            <v>4410</v>
          </cell>
          <cell r="D360">
            <v>70006480</v>
          </cell>
          <cell r="E360">
            <v>251</v>
          </cell>
          <cell r="F360">
            <v>225</v>
          </cell>
          <cell r="G360">
            <v>206</v>
          </cell>
          <cell r="H360">
            <v>212</v>
          </cell>
          <cell r="I360">
            <v>229</v>
          </cell>
          <cell r="J360">
            <v>218</v>
          </cell>
          <cell r="K360">
            <v>215</v>
          </cell>
          <cell r="L360">
            <v>241</v>
          </cell>
          <cell r="M360">
            <v>204</v>
          </cell>
        </row>
        <row r="361">
          <cell r="A361">
            <v>5178348</v>
          </cell>
          <cell r="B361">
            <v>5113267</v>
          </cell>
          <cell r="C361">
            <v>4410</v>
          </cell>
          <cell r="D361">
            <v>5308643</v>
          </cell>
          <cell r="E361">
            <v>101</v>
          </cell>
          <cell r="F361">
            <v>86</v>
          </cell>
          <cell r="G361">
            <v>80</v>
          </cell>
          <cell r="H361">
            <v>92</v>
          </cell>
          <cell r="I361">
            <v>99</v>
          </cell>
          <cell r="J361">
            <v>74</v>
          </cell>
          <cell r="K361">
            <v>90</v>
          </cell>
          <cell r="L361">
            <v>73</v>
          </cell>
          <cell r="M361">
            <v>81</v>
          </cell>
        </row>
        <row r="362">
          <cell r="A362">
            <v>5178370</v>
          </cell>
          <cell r="B362">
            <v>5113278</v>
          </cell>
          <cell r="C362">
            <v>4410</v>
          </cell>
          <cell r="D362">
            <v>15960556</v>
          </cell>
          <cell r="E362">
            <v>179</v>
          </cell>
          <cell r="F362">
            <v>141</v>
          </cell>
          <cell r="G362">
            <v>136</v>
          </cell>
          <cell r="H362">
            <v>160</v>
          </cell>
          <cell r="I362">
            <v>178</v>
          </cell>
          <cell r="J362">
            <v>150</v>
          </cell>
          <cell r="K362">
            <v>143</v>
          </cell>
          <cell r="L362">
            <v>130</v>
          </cell>
          <cell r="M362">
            <v>134</v>
          </cell>
        </row>
        <row r="363">
          <cell r="A363">
            <v>5178044</v>
          </cell>
          <cell r="B363">
            <v>5113115</v>
          </cell>
          <cell r="C363">
            <v>4410</v>
          </cell>
          <cell r="D363">
            <v>10274686</v>
          </cell>
          <cell r="E363">
            <v>336</v>
          </cell>
          <cell r="F363">
            <v>281</v>
          </cell>
          <cell r="G363">
            <v>262</v>
          </cell>
          <cell r="H363">
            <v>252</v>
          </cell>
          <cell r="I363">
            <v>250</v>
          </cell>
          <cell r="J363">
            <v>240</v>
          </cell>
          <cell r="K363">
            <v>248</v>
          </cell>
          <cell r="L363">
            <v>216</v>
          </cell>
          <cell r="M363">
            <v>275</v>
          </cell>
        </row>
        <row r="364">
          <cell r="A364">
            <v>5178062</v>
          </cell>
          <cell r="B364">
            <v>5113124</v>
          </cell>
          <cell r="C364">
            <v>4410</v>
          </cell>
          <cell r="D364">
            <v>1502241</v>
          </cell>
          <cell r="E364">
            <v>167</v>
          </cell>
          <cell r="F364">
            <v>306</v>
          </cell>
          <cell r="G364">
            <v>158</v>
          </cell>
          <cell r="H364">
            <v>165</v>
          </cell>
          <cell r="I364">
            <v>183</v>
          </cell>
          <cell r="J364">
            <v>172</v>
          </cell>
          <cell r="K364">
            <v>190</v>
          </cell>
          <cell r="L364">
            <v>174</v>
          </cell>
          <cell r="M364">
            <v>212</v>
          </cell>
        </row>
        <row r="365">
          <cell r="A365">
            <v>5178262</v>
          </cell>
          <cell r="B365">
            <v>5113224</v>
          </cell>
          <cell r="C365">
            <v>4410</v>
          </cell>
          <cell r="D365">
            <v>1618664</v>
          </cell>
          <cell r="E365">
            <v>157</v>
          </cell>
          <cell r="F365">
            <v>138</v>
          </cell>
          <cell r="G365">
            <v>142</v>
          </cell>
          <cell r="H365">
            <v>130</v>
          </cell>
          <cell r="I365">
            <v>144</v>
          </cell>
          <cell r="J365">
            <v>130</v>
          </cell>
          <cell r="K365">
            <v>144</v>
          </cell>
          <cell r="L365">
            <v>140</v>
          </cell>
          <cell r="M365">
            <v>159</v>
          </cell>
        </row>
        <row r="366">
          <cell r="A366">
            <v>5178240</v>
          </cell>
          <cell r="B366">
            <v>5113213</v>
          </cell>
          <cell r="C366">
            <v>4410</v>
          </cell>
          <cell r="D366">
            <v>1691952</v>
          </cell>
          <cell r="E366">
            <v>252</v>
          </cell>
          <cell r="F366">
            <v>214</v>
          </cell>
          <cell r="G366">
            <v>207</v>
          </cell>
          <cell r="H366">
            <v>211</v>
          </cell>
          <cell r="I366">
            <v>220</v>
          </cell>
          <cell r="J366">
            <v>187</v>
          </cell>
          <cell r="K366">
            <v>194</v>
          </cell>
          <cell r="L366">
            <v>197</v>
          </cell>
          <cell r="M366">
            <v>221</v>
          </cell>
        </row>
        <row r="367">
          <cell r="A367">
            <v>5178218</v>
          </cell>
          <cell r="B367">
            <v>5113202</v>
          </cell>
          <cell r="C367">
            <v>4410</v>
          </cell>
          <cell r="D367">
            <v>1691954</v>
          </cell>
          <cell r="E367">
            <v>162</v>
          </cell>
          <cell r="F367">
            <v>298</v>
          </cell>
          <cell r="G367">
            <v>135</v>
          </cell>
          <cell r="H367">
            <v>158</v>
          </cell>
          <cell r="I367">
            <v>203</v>
          </cell>
          <cell r="J367">
            <v>146</v>
          </cell>
          <cell r="K367">
            <v>166</v>
          </cell>
          <cell r="L367">
            <v>200</v>
          </cell>
          <cell r="M367">
            <v>176</v>
          </cell>
        </row>
        <row r="368">
          <cell r="A368">
            <v>5178412</v>
          </cell>
          <cell r="B368">
            <v>5113299</v>
          </cell>
          <cell r="C368">
            <v>4410</v>
          </cell>
          <cell r="D368">
            <v>3730226</v>
          </cell>
          <cell r="E368">
            <v>46</v>
          </cell>
          <cell r="F368">
            <v>42</v>
          </cell>
          <cell r="G368">
            <v>51</v>
          </cell>
          <cell r="H368">
            <v>54</v>
          </cell>
          <cell r="I368">
            <v>40</v>
          </cell>
          <cell r="J368">
            <v>50</v>
          </cell>
          <cell r="K368">
            <v>50</v>
          </cell>
          <cell r="L368">
            <v>48</v>
          </cell>
          <cell r="M368">
            <v>60</v>
          </cell>
        </row>
        <row r="369">
          <cell r="A369">
            <v>5178326</v>
          </cell>
          <cell r="B369">
            <v>5113256</v>
          </cell>
          <cell r="C369">
            <v>4410</v>
          </cell>
          <cell r="D369">
            <v>4746657</v>
          </cell>
          <cell r="E369">
            <v>32</v>
          </cell>
          <cell r="F369">
            <v>33</v>
          </cell>
          <cell r="G369">
            <v>36</v>
          </cell>
          <cell r="H369">
            <v>42</v>
          </cell>
          <cell r="I369">
            <v>0</v>
          </cell>
          <cell r="J369">
            <v>27</v>
          </cell>
          <cell r="K369">
            <v>29</v>
          </cell>
          <cell r="L369">
            <v>0</v>
          </cell>
          <cell r="M369">
            <v>23</v>
          </cell>
        </row>
        <row r="370">
          <cell r="A370">
            <v>5178046</v>
          </cell>
          <cell r="B370">
            <v>5113116</v>
          </cell>
          <cell r="C370">
            <v>4410</v>
          </cell>
          <cell r="D370">
            <v>6824559</v>
          </cell>
          <cell r="E370">
            <v>257</v>
          </cell>
          <cell r="F370">
            <v>235</v>
          </cell>
          <cell r="G370">
            <v>262</v>
          </cell>
          <cell r="H370">
            <v>260</v>
          </cell>
          <cell r="I370">
            <v>268</v>
          </cell>
          <cell r="J370">
            <v>260</v>
          </cell>
          <cell r="K370">
            <v>247</v>
          </cell>
          <cell r="L370">
            <v>236</v>
          </cell>
          <cell r="M370">
            <v>272</v>
          </cell>
        </row>
        <row r="371">
          <cell r="A371">
            <v>5178086</v>
          </cell>
          <cell r="B371">
            <v>5113136</v>
          </cell>
          <cell r="C371">
            <v>4410</v>
          </cell>
          <cell r="D371">
            <v>6825496</v>
          </cell>
          <cell r="E371">
            <v>324</v>
          </cell>
          <cell r="F371">
            <v>228</v>
          </cell>
          <cell r="G371">
            <v>167</v>
          </cell>
          <cell r="H371">
            <v>192</v>
          </cell>
          <cell r="I371">
            <v>218</v>
          </cell>
          <cell r="J371">
            <v>184</v>
          </cell>
          <cell r="K371">
            <v>223</v>
          </cell>
          <cell r="L371">
            <v>176</v>
          </cell>
          <cell r="M371">
            <v>239</v>
          </cell>
        </row>
        <row r="372">
          <cell r="A372">
            <v>5178152</v>
          </cell>
          <cell r="B372">
            <v>5113169</v>
          </cell>
          <cell r="C372">
            <v>4410</v>
          </cell>
          <cell r="D372">
            <v>6823193</v>
          </cell>
          <cell r="E372">
            <v>99</v>
          </cell>
          <cell r="F372">
            <v>81</v>
          </cell>
          <cell r="G372">
            <v>63</v>
          </cell>
          <cell r="H372">
            <v>51</v>
          </cell>
          <cell r="I372">
            <v>110</v>
          </cell>
          <cell r="J372">
            <v>128</v>
          </cell>
          <cell r="K372">
            <v>131</v>
          </cell>
          <cell r="L372">
            <v>197</v>
          </cell>
          <cell r="M372">
            <v>272</v>
          </cell>
        </row>
        <row r="373">
          <cell r="A373">
            <v>5178392</v>
          </cell>
          <cell r="B373">
            <v>5113289</v>
          </cell>
          <cell r="C373">
            <v>4410</v>
          </cell>
          <cell r="D373">
            <v>1752329</v>
          </cell>
          <cell r="E373">
            <v>234</v>
          </cell>
          <cell r="F373">
            <v>195</v>
          </cell>
          <cell r="G373">
            <v>181</v>
          </cell>
          <cell r="H373">
            <v>166</v>
          </cell>
          <cell r="I373">
            <v>142</v>
          </cell>
          <cell r="J373">
            <v>129</v>
          </cell>
          <cell r="K373">
            <v>99</v>
          </cell>
          <cell r="L373">
            <v>173</v>
          </cell>
          <cell r="M373">
            <v>160</v>
          </cell>
        </row>
        <row r="374">
          <cell r="A374">
            <v>5178196</v>
          </cell>
          <cell r="B374">
            <v>5113191</v>
          </cell>
          <cell r="C374">
            <v>4410</v>
          </cell>
          <cell r="D374">
            <v>6822154</v>
          </cell>
          <cell r="E374">
            <v>185</v>
          </cell>
          <cell r="F374">
            <v>148</v>
          </cell>
          <cell r="G374">
            <v>155</v>
          </cell>
          <cell r="H374">
            <v>175</v>
          </cell>
          <cell r="I374">
            <v>145</v>
          </cell>
          <cell r="J374">
            <v>152</v>
          </cell>
          <cell r="K374">
            <v>155</v>
          </cell>
          <cell r="L374">
            <v>151</v>
          </cell>
          <cell r="M374">
            <v>169</v>
          </cell>
        </row>
        <row r="375">
          <cell r="A375">
            <v>5178130</v>
          </cell>
          <cell r="B375">
            <v>5113158</v>
          </cell>
          <cell r="C375">
            <v>4410</v>
          </cell>
          <cell r="D375">
            <v>7129727</v>
          </cell>
          <cell r="E375">
            <v>225</v>
          </cell>
          <cell r="F375">
            <v>175</v>
          </cell>
          <cell r="G375">
            <v>224</v>
          </cell>
          <cell r="H375">
            <v>201</v>
          </cell>
          <cell r="I375">
            <v>214</v>
          </cell>
          <cell r="J375">
            <v>189</v>
          </cell>
          <cell r="K375">
            <v>188</v>
          </cell>
          <cell r="L375">
            <v>204</v>
          </cell>
          <cell r="M375">
            <v>204</v>
          </cell>
        </row>
        <row r="376">
          <cell r="A376">
            <v>5178108</v>
          </cell>
          <cell r="B376">
            <v>5113147</v>
          </cell>
          <cell r="C376">
            <v>4410</v>
          </cell>
          <cell r="D376">
            <v>7128926</v>
          </cell>
          <cell r="E376">
            <v>246</v>
          </cell>
          <cell r="F376">
            <v>174</v>
          </cell>
          <cell r="G376">
            <v>202</v>
          </cell>
          <cell r="H376">
            <v>192</v>
          </cell>
          <cell r="I376">
            <v>186</v>
          </cell>
          <cell r="J376">
            <v>161</v>
          </cell>
          <cell r="K376">
            <v>168</v>
          </cell>
          <cell r="L376">
            <v>180</v>
          </cell>
          <cell r="M376">
            <v>206</v>
          </cell>
        </row>
        <row r="377">
          <cell r="A377">
            <v>5178174</v>
          </cell>
          <cell r="B377">
            <v>5113180</v>
          </cell>
          <cell r="C377">
            <v>4410</v>
          </cell>
          <cell r="D377">
            <v>7315000</v>
          </cell>
          <cell r="E377">
            <v>126</v>
          </cell>
          <cell r="F377">
            <v>116</v>
          </cell>
          <cell r="G377">
            <v>118</v>
          </cell>
          <cell r="H377">
            <v>135</v>
          </cell>
          <cell r="I377">
            <v>156</v>
          </cell>
          <cell r="J377">
            <v>137</v>
          </cell>
          <cell r="K377">
            <v>150</v>
          </cell>
          <cell r="L377">
            <v>133</v>
          </cell>
          <cell r="M377">
            <v>154</v>
          </cell>
        </row>
        <row r="378">
          <cell r="A378">
            <v>5094944</v>
          </cell>
          <cell r="B378">
            <v>5071565</v>
          </cell>
          <cell r="C378">
            <v>4410</v>
          </cell>
          <cell r="D378">
            <v>3655509</v>
          </cell>
          <cell r="E378">
            <v>134</v>
          </cell>
          <cell r="F378">
            <v>104</v>
          </cell>
          <cell r="G378">
            <v>118</v>
          </cell>
          <cell r="H378">
            <v>103</v>
          </cell>
          <cell r="I378">
            <v>106</v>
          </cell>
          <cell r="J378">
            <v>89</v>
          </cell>
          <cell r="K378">
            <v>94</v>
          </cell>
          <cell r="L378">
            <v>102</v>
          </cell>
          <cell r="M378">
            <v>104</v>
          </cell>
        </row>
        <row r="379">
          <cell r="A379">
            <v>5094950</v>
          </cell>
          <cell r="B379">
            <v>5071568</v>
          </cell>
          <cell r="C379">
            <v>4410</v>
          </cell>
          <cell r="D379">
            <v>3655838</v>
          </cell>
          <cell r="E379">
            <v>266</v>
          </cell>
          <cell r="F379">
            <v>213</v>
          </cell>
          <cell r="G379">
            <v>236</v>
          </cell>
          <cell r="H379">
            <v>207</v>
          </cell>
          <cell r="I379">
            <v>250</v>
          </cell>
          <cell r="J379">
            <v>228</v>
          </cell>
          <cell r="K379">
            <v>221</v>
          </cell>
          <cell r="L379">
            <v>228</v>
          </cell>
          <cell r="M379">
            <v>221</v>
          </cell>
        </row>
        <row r="380">
          <cell r="A380">
            <v>5178642</v>
          </cell>
          <cell r="B380">
            <v>5113414</v>
          </cell>
          <cell r="C380">
            <v>4410</v>
          </cell>
          <cell r="D380">
            <v>3655723</v>
          </cell>
          <cell r="E380">
            <v>233</v>
          </cell>
          <cell r="F380">
            <v>206</v>
          </cell>
          <cell r="G380">
            <v>200</v>
          </cell>
          <cell r="H380">
            <v>189</v>
          </cell>
          <cell r="I380">
            <v>273</v>
          </cell>
          <cell r="J380">
            <v>183</v>
          </cell>
          <cell r="K380">
            <v>193</v>
          </cell>
          <cell r="L380">
            <v>172</v>
          </cell>
          <cell r="M380">
            <v>184</v>
          </cell>
        </row>
        <row r="381">
          <cell r="A381">
            <v>5178434</v>
          </cell>
          <cell r="B381">
            <v>5113310</v>
          </cell>
          <cell r="C381">
            <v>4410</v>
          </cell>
          <cell r="D381">
            <v>3645931</v>
          </cell>
          <cell r="E381">
            <v>233</v>
          </cell>
          <cell r="F381">
            <v>206</v>
          </cell>
          <cell r="G381">
            <v>200</v>
          </cell>
          <cell r="H381">
            <v>189</v>
          </cell>
          <cell r="I381">
            <v>273</v>
          </cell>
          <cell r="J381">
            <v>237</v>
          </cell>
          <cell r="K381">
            <v>251</v>
          </cell>
          <cell r="L381">
            <v>224</v>
          </cell>
          <cell r="M381">
            <v>242</v>
          </cell>
        </row>
        <row r="382">
          <cell r="A382">
            <v>5178512</v>
          </cell>
          <cell r="B382">
            <v>5113349</v>
          </cell>
          <cell r="C382">
            <v>4410</v>
          </cell>
          <cell r="D382">
            <v>7115989</v>
          </cell>
          <cell r="E382">
            <v>233</v>
          </cell>
          <cell r="F382">
            <v>206</v>
          </cell>
          <cell r="G382">
            <v>200</v>
          </cell>
          <cell r="H382">
            <v>189</v>
          </cell>
          <cell r="I382">
            <v>273</v>
          </cell>
          <cell r="J382">
            <v>237</v>
          </cell>
          <cell r="K382">
            <v>251</v>
          </cell>
          <cell r="L382">
            <v>224</v>
          </cell>
          <cell r="M382">
            <v>242</v>
          </cell>
        </row>
        <row r="383">
          <cell r="A383">
            <v>5178728</v>
          </cell>
          <cell r="B383">
            <v>5113457</v>
          </cell>
          <cell r="C383">
            <v>4410</v>
          </cell>
          <cell r="D383">
            <v>721614</v>
          </cell>
          <cell r="E383">
            <v>233</v>
          </cell>
          <cell r="F383">
            <v>206</v>
          </cell>
          <cell r="G383">
            <v>200</v>
          </cell>
          <cell r="H383">
            <v>144</v>
          </cell>
          <cell r="I383">
            <v>213</v>
          </cell>
          <cell r="J383">
            <v>183</v>
          </cell>
          <cell r="K383">
            <v>193</v>
          </cell>
          <cell r="L383">
            <v>172</v>
          </cell>
          <cell r="M383">
            <v>475</v>
          </cell>
        </row>
        <row r="384">
          <cell r="A384">
            <v>5178940</v>
          </cell>
          <cell r="B384">
            <v>5113563</v>
          </cell>
          <cell r="C384">
            <v>4410</v>
          </cell>
          <cell r="D384">
            <v>1691953</v>
          </cell>
          <cell r="E384">
            <v>466</v>
          </cell>
          <cell r="F384">
            <v>412</v>
          </cell>
          <cell r="G384">
            <v>200</v>
          </cell>
          <cell r="H384">
            <v>189</v>
          </cell>
          <cell r="I384">
            <v>273</v>
          </cell>
          <cell r="J384">
            <v>237</v>
          </cell>
          <cell r="K384">
            <v>251</v>
          </cell>
          <cell r="L384">
            <v>224</v>
          </cell>
          <cell r="M384">
            <v>216</v>
          </cell>
        </row>
        <row r="385">
          <cell r="A385">
            <v>5178830</v>
          </cell>
          <cell r="B385">
            <v>5113508</v>
          </cell>
          <cell r="C385">
            <v>4410</v>
          </cell>
          <cell r="D385">
            <v>7103282</v>
          </cell>
          <cell r="E385">
            <v>233</v>
          </cell>
          <cell r="F385">
            <v>206</v>
          </cell>
          <cell r="G385">
            <v>200</v>
          </cell>
          <cell r="H385">
            <v>144</v>
          </cell>
          <cell r="I385">
            <v>213</v>
          </cell>
          <cell r="J385">
            <v>183</v>
          </cell>
          <cell r="K385">
            <v>193</v>
          </cell>
          <cell r="L385">
            <v>172</v>
          </cell>
          <cell r="M385">
            <v>269</v>
          </cell>
        </row>
        <row r="386">
          <cell r="A386">
            <v>5178452</v>
          </cell>
          <cell r="B386">
            <v>5113319</v>
          </cell>
          <cell r="C386">
            <v>4410</v>
          </cell>
          <cell r="D386">
            <v>7314095</v>
          </cell>
          <cell r="E386">
            <v>233</v>
          </cell>
          <cell r="F386">
            <v>206</v>
          </cell>
          <cell r="G386">
            <v>200</v>
          </cell>
          <cell r="H386">
            <v>189</v>
          </cell>
          <cell r="I386">
            <v>273</v>
          </cell>
          <cell r="J386">
            <v>237</v>
          </cell>
          <cell r="K386">
            <v>251</v>
          </cell>
          <cell r="L386">
            <v>224</v>
          </cell>
          <cell r="M386">
            <v>128</v>
          </cell>
        </row>
        <row r="387">
          <cell r="A387">
            <v>5094960</v>
          </cell>
          <cell r="B387">
            <v>5071573</v>
          </cell>
          <cell r="C387">
            <v>4410</v>
          </cell>
          <cell r="D387">
            <v>3639899</v>
          </cell>
          <cell r="E387">
            <v>246</v>
          </cell>
          <cell r="F387">
            <v>130</v>
          </cell>
          <cell r="G387">
            <v>145</v>
          </cell>
          <cell r="H387">
            <v>104</v>
          </cell>
          <cell r="I387">
            <v>126</v>
          </cell>
          <cell r="J387">
            <v>93</v>
          </cell>
          <cell r="K387">
            <v>133</v>
          </cell>
          <cell r="L387">
            <v>698</v>
          </cell>
          <cell r="M387">
            <v>528</v>
          </cell>
        </row>
        <row r="388">
          <cell r="A388">
            <v>5178708</v>
          </cell>
          <cell r="B388">
            <v>5113447</v>
          </cell>
          <cell r="C388">
            <v>4410</v>
          </cell>
          <cell r="D388">
            <v>3367065</v>
          </cell>
          <cell r="E388">
            <v>1145</v>
          </cell>
          <cell r="F388">
            <v>307</v>
          </cell>
          <cell r="G388">
            <v>295</v>
          </cell>
          <cell r="H388">
            <v>339</v>
          </cell>
          <cell r="I388">
            <v>357</v>
          </cell>
          <cell r="J388">
            <v>314</v>
          </cell>
          <cell r="K388">
            <v>940</v>
          </cell>
          <cell r="L388">
            <v>1023</v>
          </cell>
          <cell r="M388">
            <v>1107</v>
          </cell>
        </row>
        <row r="389">
          <cell r="A389">
            <v>5178768</v>
          </cell>
          <cell r="B389">
            <v>5113477</v>
          </cell>
          <cell r="C389">
            <v>4410</v>
          </cell>
          <cell r="D389">
            <v>3526774</v>
          </cell>
          <cell r="E389">
            <v>92</v>
          </cell>
          <cell r="F389">
            <v>42</v>
          </cell>
          <cell r="G389">
            <v>69</v>
          </cell>
          <cell r="H389">
            <v>218</v>
          </cell>
          <cell r="I389">
            <v>251</v>
          </cell>
          <cell r="J389">
            <v>227</v>
          </cell>
          <cell r="K389">
            <v>213</v>
          </cell>
          <cell r="L389">
            <v>122</v>
          </cell>
          <cell r="M389">
            <v>126</v>
          </cell>
        </row>
        <row r="390">
          <cell r="A390">
            <v>5178554</v>
          </cell>
          <cell r="B390">
            <v>5113370</v>
          </cell>
          <cell r="C390">
            <v>4410</v>
          </cell>
          <cell r="D390">
            <v>3507294</v>
          </cell>
          <cell r="E390">
            <v>137</v>
          </cell>
          <cell r="F390">
            <v>124</v>
          </cell>
          <cell r="G390">
            <v>124</v>
          </cell>
          <cell r="H390">
            <v>161</v>
          </cell>
          <cell r="I390">
            <v>178</v>
          </cell>
          <cell r="J390">
            <v>147</v>
          </cell>
          <cell r="K390">
            <v>162</v>
          </cell>
          <cell r="L390">
            <v>151</v>
          </cell>
          <cell r="M390">
            <v>180</v>
          </cell>
        </row>
        <row r="391">
          <cell r="A391">
            <v>5178960</v>
          </cell>
          <cell r="B391">
            <v>5113573</v>
          </cell>
          <cell r="C391">
            <v>4410</v>
          </cell>
          <cell r="D391">
            <v>3201977</v>
          </cell>
          <cell r="E391">
            <v>121</v>
          </cell>
          <cell r="F391">
            <v>63</v>
          </cell>
          <cell r="G391">
            <v>136</v>
          </cell>
          <cell r="H391">
            <v>101</v>
          </cell>
          <cell r="I391">
            <v>129</v>
          </cell>
          <cell r="J391">
            <v>111</v>
          </cell>
          <cell r="K391">
            <v>0</v>
          </cell>
          <cell r="L391">
            <v>261</v>
          </cell>
          <cell r="M391">
            <v>189</v>
          </cell>
        </row>
        <row r="392">
          <cell r="A392">
            <v>5178872</v>
          </cell>
          <cell r="B392">
            <v>5113529</v>
          </cell>
          <cell r="C392">
            <v>4410</v>
          </cell>
          <cell r="D392">
            <v>7117671</v>
          </cell>
          <cell r="E392">
            <v>215</v>
          </cell>
          <cell r="F392">
            <v>186</v>
          </cell>
          <cell r="G392">
            <v>151</v>
          </cell>
          <cell r="H392">
            <v>156</v>
          </cell>
          <cell r="I392">
            <v>157</v>
          </cell>
          <cell r="J392">
            <v>176</v>
          </cell>
          <cell r="K392">
            <v>190</v>
          </cell>
          <cell r="L392">
            <v>196</v>
          </cell>
          <cell r="M392">
            <v>211</v>
          </cell>
        </row>
        <row r="393">
          <cell r="A393">
            <v>5094952</v>
          </cell>
          <cell r="B393">
            <v>5071569</v>
          </cell>
          <cell r="C393">
            <v>4410</v>
          </cell>
          <cell r="D393">
            <v>5317774</v>
          </cell>
          <cell r="E393">
            <v>108</v>
          </cell>
          <cell r="F393">
            <v>99</v>
          </cell>
          <cell r="G393">
            <v>76</v>
          </cell>
          <cell r="H393">
            <v>70</v>
          </cell>
          <cell r="I393">
            <v>67</v>
          </cell>
          <cell r="J393">
            <v>65</v>
          </cell>
          <cell r="K393">
            <v>68</v>
          </cell>
          <cell r="L393">
            <v>65</v>
          </cell>
          <cell r="M393">
            <v>66</v>
          </cell>
        </row>
        <row r="394">
          <cell r="A394">
            <v>5178686</v>
          </cell>
          <cell r="B394">
            <v>5113436</v>
          </cell>
          <cell r="C394">
            <v>4410</v>
          </cell>
          <cell r="D394">
            <v>5383914</v>
          </cell>
          <cell r="E394">
            <v>332</v>
          </cell>
          <cell r="F394">
            <v>267</v>
          </cell>
          <cell r="G394">
            <v>302</v>
          </cell>
          <cell r="H394">
            <v>235</v>
          </cell>
          <cell r="I394">
            <v>256</v>
          </cell>
          <cell r="J394">
            <v>245</v>
          </cell>
          <cell r="K394">
            <v>254</v>
          </cell>
          <cell r="L394">
            <v>272</v>
          </cell>
          <cell r="M394">
            <v>295</v>
          </cell>
        </row>
        <row r="395">
          <cell r="A395">
            <v>5178664</v>
          </cell>
          <cell r="B395">
            <v>5113425</v>
          </cell>
          <cell r="C395">
            <v>4410</v>
          </cell>
          <cell r="D395">
            <v>16007568</v>
          </cell>
          <cell r="E395">
            <v>261</v>
          </cell>
          <cell r="F395">
            <v>239</v>
          </cell>
          <cell r="G395">
            <v>226</v>
          </cell>
          <cell r="H395">
            <v>237</v>
          </cell>
          <cell r="I395">
            <v>237</v>
          </cell>
          <cell r="J395">
            <v>236</v>
          </cell>
          <cell r="K395">
            <v>37</v>
          </cell>
          <cell r="L395">
            <v>175</v>
          </cell>
          <cell r="M395">
            <v>210</v>
          </cell>
        </row>
        <row r="396">
          <cell r="A396">
            <v>5094958</v>
          </cell>
          <cell r="B396">
            <v>5071572</v>
          </cell>
          <cell r="C396">
            <v>4410</v>
          </cell>
          <cell r="D396">
            <v>10276205</v>
          </cell>
          <cell r="E396">
            <v>331</v>
          </cell>
          <cell r="F396">
            <v>538</v>
          </cell>
          <cell r="G396">
            <v>602</v>
          </cell>
          <cell r="H396">
            <v>180</v>
          </cell>
          <cell r="I396">
            <v>12</v>
          </cell>
          <cell r="J396">
            <v>21</v>
          </cell>
          <cell r="K396">
            <v>479</v>
          </cell>
          <cell r="L396">
            <v>678</v>
          </cell>
          <cell r="M396">
            <v>137</v>
          </cell>
        </row>
        <row r="397">
          <cell r="A397">
            <v>5178598</v>
          </cell>
          <cell r="B397">
            <v>5113392</v>
          </cell>
          <cell r="C397">
            <v>4410</v>
          </cell>
          <cell r="D397">
            <v>8913502</v>
          </cell>
          <cell r="E397">
            <v>163</v>
          </cell>
          <cell r="F397">
            <v>131</v>
          </cell>
          <cell r="G397">
            <v>132</v>
          </cell>
          <cell r="H397">
            <v>123</v>
          </cell>
          <cell r="I397">
            <v>128</v>
          </cell>
          <cell r="J397">
            <v>123</v>
          </cell>
          <cell r="K397">
            <v>142</v>
          </cell>
          <cell r="L397">
            <v>133</v>
          </cell>
          <cell r="M397">
            <v>129</v>
          </cell>
        </row>
        <row r="398">
          <cell r="A398">
            <v>5094942</v>
          </cell>
          <cell r="B398">
            <v>5071564</v>
          </cell>
          <cell r="C398">
            <v>4410</v>
          </cell>
          <cell r="D398">
            <v>34728294</v>
          </cell>
          <cell r="E398">
            <v>34</v>
          </cell>
          <cell r="F398">
            <v>87</v>
          </cell>
          <cell r="G398">
            <v>83</v>
          </cell>
          <cell r="H398">
            <v>39</v>
          </cell>
          <cell r="I398">
            <v>44</v>
          </cell>
          <cell r="J398">
            <v>34</v>
          </cell>
          <cell r="K398">
            <v>25</v>
          </cell>
          <cell r="L398">
            <v>27</v>
          </cell>
          <cell r="M398">
            <v>23</v>
          </cell>
        </row>
        <row r="399">
          <cell r="A399">
            <v>5178490</v>
          </cell>
          <cell r="B399">
            <v>5113338</v>
          </cell>
          <cell r="C399">
            <v>4410</v>
          </cell>
          <cell r="D399">
            <v>1876871</v>
          </cell>
          <cell r="E399">
            <v>218</v>
          </cell>
          <cell r="F399">
            <v>196</v>
          </cell>
          <cell r="G399">
            <v>193</v>
          </cell>
          <cell r="H399">
            <v>177</v>
          </cell>
          <cell r="I399">
            <v>191</v>
          </cell>
          <cell r="J399">
            <v>173</v>
          </cell>
          <cell r="K399">
            <v>191</v>
          </cell>
          <cell r="L399">
            <v>201</v>
          </cell>
          <cell r="M399">
            <v>225</v>
          </cell>
        </row>
        <row r="400">
          <cell r="A400">
            <v>5178748</v>
          </cell>
          <cell r="B400">
            <v>5113467</v>
          </cell>
          <cell r="C400">
            <v>4410</v>
          </cell>
          <cell r="D400">
            <v>1889908</v>
          </cell>
          <cell r="E400">
            <v>161</v>
          </cell>
          <cell r="F400">
            <v>67</v>
          </cell>
          <cell r="G400">
            <v>44</v>
          </cell>
          <cell r="H400">
            <v>48</v>
          </cell>
          <cell r="I400">
            <v>48</v>
          </cell>
          <cell r="J400">
            <v>48</v>
          </cell>
          <cell r="K400">
            <v>50</v>
          </cell>
          <cell r="L400">
            <v>98</v>
          </cell>
          <cell r="M400">
            <v>173</v>
          </cell>
        </row>
        <row r="401">
          <cell r="A401">
            <v>5178620</v>
          </cell>
          <cell r="B401">
            <v>5113403</v>
          </cell>
          <cell r="C401">
            <v>4410</v>
          </cell>
          <cell r="D401">
            <v>2951300</v>
          </cell>
          <cell r="E401">
            <v>169</v>
          </cell>
          <cell r="F401">
            <v>130</v>
          </cell>
          <cell r="G401">
            <v>98</v>
          </cell>
          <cell r="H401">
            <v>120</v>
          </cell>
          <cell r="I401">
            <v>131</v>
          </cell>
          <cell r="J401">
            <v>122</v>
          </cell>
          <cell r="K401">
            <v>106</v>
          </cell>
          <cell r="L401">
            <v>114</v>
          </cell>
          <cell r="M401">
            <v>97</v>
          </cell>
        </row>
        <row r="402">
          <cell r="A402">
            <v>5094934</v>
          </cell>
          <cell r="B402">
            <v>5071560</v>
          </cell>
          <cell r="C402">
            <v>4410</v>
          </cell>
          <cell r="D402">
            <v>1449661</v>
          </cell>
          <cell r="E402">
            <v>91</v>
          </cell>
          <cell r="F402">
            <v>74</v>
          </cell>
          <cell r="G402">
            <v>115</v>
          </cell>
          <cell r="H402">
            <v>132</v>
          </cell>
          <cell r="I402">
            <v>152</v>
          </cell>
          <cell r="J402">
            <v>120</v>
          </cell>
          <cell r="K402">
            <v>94</v>
          </cell>
          <cell r="L402">
            <v>107</v>
          </cell>
          <cell r="M402">
            <v>109</v>
          </cell>
        </row>
        <row r="403">
          <cell r="A403">
            <v>5094936</v>
          </cell>
          <cell r="B403">
            <v>5071561</v>
          </cell>
          <cell r="C403">
            <v>4410</v>
          </cell>
          <cell r="D403">
            <v>1692118</v>
          </cell>
          <cell r="E403">
            <v>314</v>
          </cell>
          <cell r="F403">
            <v>90</v>
          </cell>
          <cell r="G403">
            <v>207</v>
          </cell>
          <cell r="H403">
            <v>191</v>
          </cell>
          <cell r="I403">
            <v>202</v>
          </cell>
          <cell r="J403">
            <v>174</v>
          </cell>
          <cell r="K403">
            <v>233</v>
          </cell>
          <cell r="L403">
            <v>332</v>
          </cell>
          <cell r="M403">
            <v>320</v>
          </cell>
        </row>
        <row r="404">
          <cell r="A404">
            <v>5094954</v>
          </cell>
          <cell r="B404">
            <v>5071570</v>
          </cell>
          <cell r="C404">
            <v>4410</v>
          </cell>
          <cell r="D404">
            <v>2950688</v>
          </cell>
          <cell r="E404">
            <v>930</v>
          </cell>
          <cell r="F404">
            <v>725</v>
          </cell>
          <cell r="G404">
            <v>863</v>
          </cell>
          <cell r="H404">
            <v>809</v>
          </cell>
          <cell r="I404">
            <v>872</v>
          </cell>
          <cell r="J404">
            <v>703</v>
          </cell>
          <cell r="K404">
            <v>680</v>
          </cell>
          <cell r="L404">
            <v>741</v>
          </cell>
          <cell r="M404">
            <v>772</v>
          </cell>
        </row>
        <row r="405">
          <cell r="A405">
            <v>5178982</v>
          </cell>
          <cell r="B405">
            <v>5113584</v>
          </cell>
          <cell r="C405">
            <v>4410</v>
          </cell>
          <cell r="D405">
            <v>1789741</v>
          </cell>
          <cell r="E405">
            <v>188</v>
          </cell>
          <cell r="F405">
            <v>159</v>
          </cell>
          <cell r="G405">
            <v>105</v>
          </cell>
          <cell r="H405">
            <v>74</v>
          </cell>
          <cell r="I405">
            <v>74</v>
          </cell>
          <cell r="J405">
            <v>67</v>
          </cell>
          <cell r="K405">
            <v>72</v>
          </cell>
          <cell r="L405">
            <v>70</v>
          </cell>
          <cell r="M405">
            <v>97</v>
          </cell>
        </row>
        <row r="406">
          <cell r="A406">
            <v>5178894</v>
          </cell>
          <cell r="B406">
            <v>5113540</v>
          </cell>
          <cell r="C406">
            <v>4410</v>
          </cell>
          <cell r="D406">
            <v>1676015</v>
          </cell>
          <cell r="E406">
            <v>199</v>
          </cell>
          <cell r="F406">
            <v>356</v>
          </cell>
          <cell r="G406">
            <v>374</v>
          </cell>
          <cell r="H406">
            <v>154</v>
          </cell>
          <cell r="I406">
            <v>190</v>
          </cell>
          <cell r="J406">
            <v>173</v>
          </cell>
          <cell r="K406">
            <v>186</v>
          </cell>
          <cell r="L406">
            <v>182</v>
          </cell>
          <cell r="M406">
            <v>224</v>
          </cell>
        </row>
        <row r="407">
          <cell r="A407">
            <v>5178576</v>
          </cell>
          <cell r="B407">
            <v>5113381</v>
          </cell>
          <cell r="C407">
            <v>4410</v>
          </cell>
          <cell r="D407">
            <v>2953743</v>
          </cell>
          <cell r="E407">
            <v>225</v>
          </cell>
          <cell r="F407">
            <v>166</v>
          </cell>
          <cell r="G407">
            <v>190</v>
          </cell>
          <cell r="H407">
            <v>161</v>
          </cell>
          <cell r="I407">
            <v>210</v>
          </cell>
          <cell r="J407">
            <v>187</v>
          </cell>
          <cell r="K407">
            <v>209</v>
          </cell>
          <cell r="L407">
            <v>195</v>
          </cell>
          <cell r="M407">
            <v>448</v>
          </cell>
        </row>
        <row r="408">
          <cell r="A408">
            <v>5094956</v>
          </cell>
          <cell r="B408">
            <v>5071571</v>
          </cell>
          <cell r="C408">
            <v>4410</v>
          </cell>
          <cell r="D408">
            <v>1729120</v>
          </cell>
          <cell r="E408">
            <v>383</v>
          </cell>
          <cell r="F408">
            <v>279</v>
          </cell>
          <cell r="G408">
            <v>329</v>
          </cell>
          <cell r="H408">
            <v>311</v>
          </cell>
          <cell r="I408">
            <v>325</v>
          </cell>
          <cell r="J408">
            <v>261</v>
          </cell>
          <cell r="K408">
            <v>272</v>
          </cell>
          <cell r="L408">
            <v>283</v>
          </cell>
          <cell r="M408">
            <v>276</v>
          </cell>
        </row>
        <row r="409">
          <cell r="A409">
            <v>5178852</v>
          </cell>
          <cell r="B409">
            <v>5113519</v>
          </cell>
          <cell r="C409">
            <v>4410</v>
          </cell>
          <cell r="D409">
            <v>1751649</v>
          </cell>
          <cell r="E409">
            <v>232</v>
          </cell>
          <cell r="F409">
            <v>173</v>
          </cell>
          <cell r="G409">
            <v>134</v>
          </cell>
          <cell r="H409">
            <v>92</v>
          </cell>
          <cell r="I409">
            <v>127</v>
          </cell>
          <cell r="J409">
            <v>269</v>
          </cell>
          <cell r="K409">
            <v>138</v>
          </cell>
          <cell r="L409">
            <v>190</v>
          </cell>
          <cell r="M409">
            <v>178</v>
          </cell>
        </row>
        <row r="410">
          <cell r="A410">
            <v>5179004</v>
          </cell>
          <cell r="B410">
            <v>5113595</v>
          </cell>
          <cell r="C410">
            <v>4410</v>
          </cell>
          <cell r="D410">
            <v>6824002</v>
          </cell>
          <cell r="E410">
            <v>56</v>
          </cell>
          <cell r="F410">
            <v>29</v>
          </cell>
          <cell r="G410">
            <v>81</v>
          </cell>
          <cell r="H410">
            <v>109</v>
          </cell>
          <cell r="I410">
            <v>304</v>
          </cell>
          <cell r="J410">
            <v>91</v>
          </cell>
          <cell r="K410">
            <v>60</v>
          </cell>
          <cell r="L410">
            <v>15</v>
          </cell>
          <cell r="M410">
            <v>31</v>
          </cell>
        </row>
        <row r="411">
          <cell r="A411">
            <v>5178790</v>
          </cell>
          <cell r="B411">
            <v>5113488</v>
          </cell>
          <cell r="C411">
            <v>4410</v>
          </cell>
          <cell r="D411">
            <v>6823599</v>
          </cell>
          <cell r="E411">
            <v>106</v>
          </cell>
          <cell r="F411">
            <v>108</v>
          </cell>
          <cell r="G411">
            <v>93</v>
          </cell>
          <cell r="H411">
            <v>97</v>
          </cell>
          <cell r="I411">
            <v>104</v>
          </cell>
          <cell r="J411">
            <v>82</v>
          </cell>
          <cell r="K411">
            <v>109</v>
          </cell>
          <cell r="L411">
            <v>123</v>
          </cell>
          <cell r="M411">
            <v>101</v>
          </cell>
        </row>
        <row r="412">
          <cell r="A412">
            <v>5178472</v>
          </cell>
          <cell r="B412">
            <v>5113329</v>
          </cell>
          <cell r="C412">
            <v>4410</v>
          </cell>
          <cell r="D412">
            <v>7104687</v>
          </cell>
          <cell r="E412">
            <v>92</v>
          </cell>
          <cell r="F412">
            <v>81</v>
          </cell>
          <cell r="G412">
            <v>83</v>
          </cell>
          <cell r="H412">
            <v>87</v>
          </cell>
          <cell r="I412">
            <v>131</v>
          </cell>
          <cell r="J412">
            <v>121</v>
          </cell>
          <cell r="K412">
            <v>130</v>
          </cell>
          <cell r="L412">
            <v>126</v>
          </cell>
          <cell r="M412">
            <v>107</v>
          </cell>
        </row>
        <row r="413">
          <cell r="A413">
            <v>5094938</v>
          </cell>
          <cell r="B413">
            <v>5071562</v>
          </cell>
          <cell r="C413">
            <v>4410</v>
          </cell>
          <cell r="D413">
            <v>7727711</v>
          </cell>
          <cell r="E413">
            <v>256</v>
          </cell>
          <cell r="F413">
            <v>215</v>
          </cell>
          <cell r="G413">
            <v>238</v>
          </cell>
          <cell r="H413">
            <v>199</v>
          </cell>
          <cell r="I413">
            <v>211</v>
          </cell>
          <cell r="J413">
            <v>193</v>
          </cell>
          <cell r="K413">
            <v>202</v>
          </cell>
          <cell r="L413">
            <v>228</v>
          </cell>
          <cell r="M413">
            <v>211</v>
          </cell>
        </row>
        <row r="414">
          <cell r="A414">
            <v>5178812</v>
          </cell>
          <cell r="B414">
            <v>5113499</v>
          </cell>
          <cell r="C414">
            <v>4410</v>
          </cell>
          <cell r="D414">
            <v>7130291</v>
          </cell>
          <cell r="E414">
            <v>472</v>
          </cell>
          <cell r="F414">
            <v>432</v>
          </cell>
          <cell r="G414">
            <v>478</v>
          </cell>
          <cell r="H414">
            <v>463</v>
          </cell>
          <cell r="I414">
            <v>491</v>
          </cell>
          <cell r="J414">
            <v>410</v>
          </cell>
          <cell r="K414">
            <v>437</v>
          </cell>
          <cell r="L414">
            <v>605</v>
          </cell>
          <cell r="M414">
            <v>450</v>
          </cell>
        </row>
        <row r="415">
          <cell r="A415">
            <v>5178532</v>
          </cell>
          <cell r="B415">
            <v>5113359</v>
          </cell>
          <cell r="C415">
            <v>4410</v>
          </cell>
          <cell r="D415">
            <v>7104777</v>
          </cell>
          <cell r="E415">
            <v>507</v>
          </cell>
          <cell r="F415">
            <v>328</v>
          </cell>
          <cell r="G415">
            <v>235</v>
          </cell>
          <cell r="H415">
            <v>218</v>
          </cell>
          <cell r="I415">
            <v>196</v>
          </cell>
          <cell r="J415">
            <v>165</v>
          </cell>
          <cell r="K415">
            <v>159</v>
          </cell>
          <cell r="L415">
            <v>182</v>
          </cell>
          <cell r="M415">
            <v>205</v>
          </cell>
        </row>
        <row r="416">
          <cell r="A416">
            <v>5178914</v>
          </cell>
          <cell r="B416">
            <v>5113550</v>
          </cell>
          <cell r="C416">
            <v>4410</v>
          </cell>
          <cell r="D416">
            <v>70006355</v>
          </cell>
          <cell r="E416">
            <v>144</v>
          </cell>
          <cell r="F416">
            <v>123</v>
          </cell>
          <cell r="G416">
            <v>127</v>
          </cell>
          <cell r="H416">
            <v>142</v>
          </cell>
          <cell r="I416">
            <v>143</v>
          </cell>
          <cell r="J416">
            <v>134</v>
          </cell>
          <cell r="K416">
            <v>142</v>
          </cell>
          <cell r="L416">
            <v>159</v>
          </cell>
          <cell r="M416">
            <v>139</v>
          </cell>
        </row>
        <row r="417">
          <cell r="A417">
            <v>5094940</v>
          </cell>
          <cell r="B417">
            <v>5071563</v>
          </cell>
          <cell r="C417">
            <v>4410</v>
          </cell>
          <cell r="D417">
            <v>3656133</v>
          </cell>
          <cell r="E417">
            <v>224</v>
          </cell>
          <cell r="F417">
            <v>177</v>
          </cell>
          <cell r="G417">
            <v>207</v>
          </cell>
          <cell r="H417">
            <v>179</v>
          </cell>
          <cell r="I417">
            <v>196</v>
          </cell>
          <cell r="J417">
            <v>170</v>
          </cell>
          <cell r="K417">
            <v>167</v>
          </cell>
          <cell r="L417">
            <v>186</v>
          </cell>
          <cell r="M417">
            <v>173</v>
          </cell>
        </row>
        <row r="418">
          <cell r="A418">
            <v>5179386</v>
          </cell>
          <cell r="B418">
            <v>5113786</v>
          </cell>
          <cell r="C418">
            <v>4410</v>
          </cell>
          <cell r="E418">
            <v>231</v>
          </cell>
          <cell r="F418">
            <v>206</v>
          </cell>
          <cell r="G418">
            <v>198</v>
          </cell>
          <cell r="H418">
            <v>176</v>
          </cell>
          <cell r="I418">
            <v>229</v>
          </cell>
          <cell r="J418">
            <v>198</v>
          </cell>
          <cell r="K418">
            <v>211</v>
          </cell>
          <cell r="L418">
            <v>191</v>
          </cell>
          <cell r="M418">
            <v>203</v>
          </cell>
        </row>
        <row r="419">
          <cell r="A419">
            <v>5179370</v>
          </cell>
          <cell r="B419">
            <v>5113778</v>
          </cell>
          <cell r="C419">
            <v>4410</v>
          </cell>
          <cell r="E419">
            <v>246</v>
          </cell>
          <cell r="F419">
            <v>220</v>
          </cell>
          <cell r="G419">
            <v>211</v>
          </cell>
          <cell r="H419">
            <v>188</v>
          </cell>
          <cell r="I419">
            <v>245</v>
          </cell>
          <cell r="J419">
            <v>211</v>
          </cell>
          <cell r="K419">
            <v>225</v>
          </cell>
          <cell r="L419">
            <v>203</v>
          </cell>
          <cell r="M419">
            <v>217</v>
          </cell>
        </row>
        <row r="420">
          <cell r="A420">
            <v>5179382</v>
          </cell>
          <cell r="B420">
            <v>5113784</v>
          </cell>
          <cell r="C420">
            <v>4410</v>
          </cell>
          <cell r="D420">
            <v>3652567</v>
          </cell>
          <cell r="E420">
            <v>172</v>
          </cell>
          <cell r="F420">
            <v>152</v>
          </cell>
          <cell r="G420">
            <v>148</v>
          </cell>
          <cell r="H420">
            <v>144</v>
          </cell>
          <cell r="I420">
            <v>213</v>
          </cell>
          <cell r="J420">
            <v>183</v>
          </cell>
          <cell r="K420">
            <v>193</v>
          </cell>
          <cell r="L420">
            <v>172</v>
          </cell>
          <cell r="M420">
            <v>184</v>
          </cell>
        </row>
        <row r="421">
          <cell r="A421">
            <v>5179384</v>
          </cell>
          <cell r="B421">
            <v>5113785</v>
          </cell>
          <cell r="C421">
            <v>4410</v>
          </cell>
          <cell r="D421">
            <v>16009352</v>
          </cell>
          <cell r="E421">
            <v>233</v>
          </cell>
          <cell r="F421">
            <v>206</v>
          </cell>
          <cell r="G421">
            <v>200</v>
          </cell>
          <cell r="H421">
            <v>189</v>
          </cell>
          <cell r="I421">
            <v>273</v>
          </cell>
          <cell r="J421">
            <v>237</v>
          </cell>
          <cell r="K421">
            <v>251</v>
          </cell>
          <cell r="L421">
            <v>224</v>
          </cell>
          <cell r="M421">
            <v>149</v>
          </cell>
        </row>
        <row r="422">
          <cell r="A422">
            <v>5179090</v>
          </cell>
          <cell r="B422">
            <v>5113638</v>
          </cell>
          <cell r="C422">
            <v>4410</v>
          </cell>
          <cell r="D422">
            <v>6821038</v>
          </cell>
          <cell r="E422">
            <v>233</v>
          </cell>
          <cell r="F422">
            <v>206</v>
          </cell>
          <cell r="G422">
            <v>200</v>
          </cell>
          <cell r="H422">
            <v>189</v>
          </cell>
          <cell r="I422">
            <v>273</v>
          </cell>
          <cell r="J422">
            <v>212</v>
          </cell>
          <cell r="K422">
            <v>100</v>
          </cell>
          <cell r="L422">
            <v>103</v>
          </cell>
          <cell r="M422">
            <v>114</v>
          </cell>
        </row>
        <row r="423">
          <cell r="A423">
            <v>5179332</v>
          </cell>
          <cell r="B423">
            <v>5113759</v>
          </cell>
          <cell r="C423">
            <v>4410</v>
          </cell>
          <cell r="D423">
            <v>1502247</v>
          </cell>
          <cell r="E423">
            <v>342</v>
          </cell>
          <cell r="F423">
            <v>618</v>
          </cell>
          <cell r="G423">
            <v>330</v>
          </cell>
          <cell r="H423">
            <v>321</v>
          </cell>
          <cell r="I423">
            <v>341</v>
          </cell>
          <cell r="J423">
            <v>311</v>
          </cell>
          <cell r="K423">
            <v>313</v>
          </cell>
          <cell r="L423">
            <v>303</v>
          </cell>
          <cell r="M423">
            <v>328</v>
          </cell>
        </row>
        <row r="424">
          <cell r="A424">
            <v>5179112</v>
          </cell>
          <cell r="B424">
            <v>5113649</v>
          </cell>
          <cell r="C424">
            <v>4410</v>
          </cell>
          <cell r="D424">
            <v>2951262</v>
          </cell>
          <cell r="E424">
            <v>100</v>
          </cell>
          <cell r="F424">
            <v>82</v>
          </cell>
          <cell r="G424">
            <v>98</v>
          </cell>
          <cell r="H424">
            <v>90</v>
          </cell>
          <cell r="I424">
            <v>91</v>
          </cell>
          <cell r="J424">
            <v>86</v>
          </cell>
          <cell r="K424">
            <v>96</v>
          </cell>
          <cell r="L424">
            <v>100</v>
          </cell>
          <cell r="M424">
            <v>95</v>
          </cell>
        </row>
        <row r="425">
          <cell r="A425">
            <v>5179200</v>
          </cell>
          <cell r="B425">
            <v>5113693</v>
          </cell>
          <cell r="C425">
            <v>4410</v>
          </cell>
          <cell r="D425">
            <v>1692334</v>
          </cell>
          <cell r="E425">
            <v>268</v>
          </cell>
          <cell r="F425">
            <v>229</v>
          </cell>
          <cell r="G425">
            <v>255</v>
          </cell>
          <cell r="H425">
            <v>248</v>
          </cell>
          <cell r="I425">
            <v>232</v>
          </cell>
          <cell r="J425">
            <v>218</v>
          </cell>
          <cell r="K425">
            <v>224</v>
          </cell>
          <cell r="L425">
            <v>251</v>
          </cell>
          <cell r="M425">
            <v>288</v>
          </cell>
        </row>
        <row r="426">
          <cell r="A426">
            <v>5179046</v>
          </cell>
          <cell r="B426">
            <v>5113616</v>
          </cell>
          <cell r="C426">
            <v>4410</v>
          </cell>
          <cell r="D426">
            <v>6822055</v>
          </cell>
          <cell r="E426">
            <v>186</v>
          </cell>
          <cell r="F426">
            <v>156</v>
          </cell>
          <cell r="G426">
            <v>165</v>
          </cell>
          <cell r="H426">
            <v>166</v>
          </cell>
          <cell r="I426">
            <v>177</v>
          </cell>
          <cell r="J426">
            <v>171</v>
          </cell>
          <cell r="K426">
            <v>171</v>
          </cell>
          <cell r="L426">
            <v>164</v>
          </cell>
          <cell r="M426">
            <v>186</v>
          </cell>
        </row>
        <row r="427">
          <cell r="A427">
            <v>5179158</v>
          </cell>
          <cell r="B427">
            <v>5113672</v>
          </cell>
          <cell r="C427">
            <v>4410</v>
          </cell>
          <cell r="D427">
            <v>3741358</v>
          </cell>
          <cell r="E427">
            <v>185</v>
          </cell>
          <cell r="F427">
            <v>152</v>
          </cell>
          <cell r="G427">
            <v>153</v>
          </cell>
          <cell r="H427">
            <v>190</v>
          </cell>
          <cell r="I427">
            <v>180</v>
          </cell>
          <cell r="J427">
            <v>158</v>
          </cell>
          <cell r="K427">
            <v>68</v>
          </cell>
          <cell r="L427">
            <v>93</v>
          </cell>
          <cell r="M427">
            <v>101</v>
          </cell>
        </row>
        <row r="428">
          <cell r="A428">
            <v>5179222</v>
          </cell>
          <cell r="B428">
            <v>5113704</v>
          </cell>
          <cell r="C428">
            <v>4410</v>
          </cell>
          <cell r="D428">
            <v>6822409</v>
          </cell>
          <cell r="E428">
            <v>17</v>
          </cell>
          <cell r="F428">
            <v>48</v>
          </cell>
          <cell r="G428">
            <v>44</v>
          </cell>
          <cell r="H428">
            <v>10</v>
          </cell>
          <cell r="I428">
            <v>10</v>
          </cell>
          <cell r="J428">
            <v>16</v>
          </cell>
          <cell r="K428">
            <v>0</v>
          </cell>
          <cell r="L428">
            <v>25</v>
          </cell>
          <cell r="M428">
            <v>39</v>
          </cell>
        </row>
        <row r="429">
          <cell r="A429">
            <v>5179242</v>
          </cell>
          <cell r="B429">
            <v>5113714</v>
          </cell>
          <cell r="C429">
            <v>4410</v>
          </cell>
          <cell r="D429">
            <v>6822101</v>
          </cell>
          <cell r="E429">
            <v>0</v>
          </cell>
          <cell r="F429">
            <v>168</v>
          </cell>
          <cell r="G429">
            <v>164</v>
          </cell>
          <cell r="H429">
            <v>125</v>
          </cell>
          <cell r="I429">
            <v>170</v>
          </cell>
          <cell r="J429">
            <v>157</v>
          </cell>
          <cell r="K429">
            <v>162</v>
          </cell>
          <cell r="L429">
            <v>236</v>
          </cell>
          <cell r="M429">
            <v>228</v>
          </cell>
        </row>
        <row r="430">
          <cell r="A430">
            <v>5179258</v>
          </cell>
          <cell r="B430">
            <v>5113722</v>
          </cell>
          <cell r="C430">
            <v>4410</v>
          </cell>
          <cell r="D430">
            <v>1676014</v>
          </cell>
          <cell r="E430">
            <v>0</v>
          </cell>
          <cell r="F430">
            <v>74</v>
          </cell>
          <cell r="G430">
            <v>126</v>
          </cell>
          <cell r="H430">
            <v>121</v>
          </cell>
          <cell r="I430">
            <v>164</v>
          </cell>
          <cell r="J430">
            <v>217</v>
          </cell>
          <cell r="K430">
            <v>98</v>
          </cell>
          <cell r="L430">
            <v>176</v>
          </cell>
          <cell r="M430">
            <v>234</v>
          </cell>
        </row>
        <row r="431">
          <cell r="A431">
            <v>5179354</v>
          </cell>
          <cell r="B431">
            <v>5113770</v>
          </cell>
          <cell r="C431">
            <v>4410</v>
          </cell>
          <cell r="D431">
            <v>3729707</v>
          </cell>
          <cell r="E431">
            <v>247</v>
          </cell>
          <cell r="F431">
            <v>457</v>
          </cell>
          <cell r="G431">
            <v>212</v>
          </cell>
          <cell r="H431">
            <v>176</v>
          </cell>
          <cell r="I431">
            <v>189</v>
          </cell>
          <cell r="J431">
            <v>170</v>
          </cell>
          <cell r="K431">
            <v>172</v>
          </cell>
          <cell r="L431">
            <v>139</v>
          </cell>
          <cell r="M431">
            <v>64</v>
          </cell>
        </row>
        <row r="432">
          <cell r="A432">
            <v>5179390</v>
          </cell>
          <cell r="B432">
            <v>5113788</v>
          </cell>
          <cell r="C432">
            <v>4410</v>
          </cell>
          <cell r="D432">
            <v>3730069</v>
          </cell>
          <cell r="E432">
            <v>272</v>
          </cell>
          <cell r="F432">
            <v>238</v>
          </cell>
          <cell r="G432">
            <v>230</v>
          </cell>
          <cell r="H432">
            <v>236</v>
          </cell>
          <cell r="I432">
            <v>251</v>
          </cell>
          <cell r="J432">
            <v>211</v>
          </cell>
          <cell r="K432">
            <v>227</v>
          </cell>
          <cell r="L432">
            <v>206</v>
          </cell>
          <cell r="M432">
            <v>228</v>
          </cell>
        </row>
        <row r="433">
          <cell r="A433">
            <v>5179388</v>
          </cell>
          <cell r="B433">
            <v>5113787</v>
          </cell>
          <cell r="C433">
            <v>4410</v>
          </cell>
          <cell r="D433">
            <v>6824767</v>
          </cell>
          <cell r="E433">
            <v>204</v>
          </cell>
          <cell r="F433">
            <v>135</v>
          </cell>
          <cell r="G433">
            <v>144</v>
          </cell>
          <cell r="H433">
            <v>183</v>
          </cell>
          <cell r="I433">
            <v>188</v>
          </cell>
          <cell r="J433">
            <v>180</v>
          </cell>
          <cell r="K433">
            <v>168</v>
          </cell>
          <cell r="L433">
            <v>156</v>
          </cell>
          <cell r="M433">
            <v>158</v>
          </cell>
        </row>
        <row r="434">
          <cell r="A434">
            <v>5179068</v>
          </cell>
          <cell r="B434">
            <v>5113627</v>
          </cell>
          <cell r="C434">
            <v>4410</v>
          </cell>
          <cell r="D434">
            <v>6829489</v>
          </cell>
          <cell r="E434">
            <v>59</v>
          </cell>
          <cell r="F434">
            <v>46</v>
          </cell>
          <cell r="G434">
            <v>56</v>
          </cell>
          <cell r="H434">
            <v>56</v>
          </cell>
          <cell r="I434">
            <v>60</v>
          </cell>
          <cell r="J434">
            <v>54</v>
          </cell>
          <cell r="K434">
            <v>43</v>
          </cell>
          <cell r="L434">
            <v>35</v>
          </cell>
          <cell r="M434">
            <v>31</v>
          </cell>
        </row>
        <row r="435">
          <cell r="A435">
            <v>5179274</v>
          </cell>
          <cell r="B435">
            <v>5113730</v>
          </cell>
          <cell r="C435">
            <v>4410</v>
          </cell>
          <cell r="D435">
            <v>3729711</v>
          </cell>
          <cell r="E435">
            <v>152</v>
          </cell>
          <cell r="F435">
            <v>152</v>
          </cell>
          <cell r="G435">
            <v>164</v>
          </cell>
          <cell r="H435">
            <v>148</v>
          </cell>
          <cell r="I435">
            <v>145</v>
          </cell>
          <cell r="J435">
            <v>127</v>
          </cell>
          <cell r="K435">
            <v>145</v>
          </cell>
          <cell r="L435">
            <v>123</v>
          </cell>
          <cell r="M435">
            <v>138</v>
          </cell>
        </row>
        <row r="436">
          <cell r="A436">
            <v>5179292</v>
          </cell>
          <cell r="B436">
            <v>5113739</v>
          </cell>
          <cell r="C436">
            <v>4410</v>
          </cell>
          <cell r="D436">
            <v>6825066</v>
          </cell>
          <cell r="E436">
            <v>227</v>
          </cell>
          <cell r="F436">
            <v>161</v>
          </cell>
          <cell r="G436">
            <v>135</v>
          </cell>
          <cell r="H436">
            <v>106</v>
          </cell>
          <cell r="I436">
            <v>133</v>
          </cell>
          <cell r="J436">
            <v>111</v>
          </cell>
          <cell r="K436">
            <v>192</v>
          </cell>
          <cell r="L436">
            <v>169</v>
          </cell>
          <cell r="M436">
            <v>195</v>
          </cell>
        </row>
        <row r="437">
          <cell r="A437">
            <v>5179178</v>
          </cell>
          <cell r="B437">
            <v>5113682</v>
          </cell>
          <cell r="C437">
            <v>4410</v>
          </cell>
          <cell r="D437">
            <v>6427949</v>
          </cell>
          <cell r="E437">
            <v>64</v>
          </cell>
          <cell r="F437">
            <v>60</v>
          </cell>
          <cell r="G437">
            <v>71</v>
          </cell>
          <cell r="H437">
            <v>128</v>
          </cell>
          <cell r="I437">
            <v>141</v>
          </cell>
          <cell r="J437">
            <v>133</v>
          </cell>
          <cell r="K437">
            <v>146</v>
          </cell>
          <cell r="L437">
            <v>138</v>
          </cell>
          <cell r="M437">
            <v>152</v>
          </cell>
        </row>
        <row r="438">
          <cell r="A438">
            <v>5179134</v>
          </cell>
          <cell r="B438">
            <v>5113660</v>
          </cell>
          <cell r="C438">
            <v>4410</v>
          </cell>
          <cell r="D438">
            <v>7104762</v>
          </cell>
          <cell r="E438">
            <v>241</v>
          </cell>
          <cell r="F438">
            <v>190</v>
          </cell>
          <cell r="G438">
            <v>201</v>
          </cell>
          <cell r="H438">
            <v>209</v>
          </cell>
          <cell r="I438">
            <v>168</v>
          </cell>
          <cell r="J438">
            <v>165</v>
          </cell>
          <cell r="K438">
            <v>175</v>
          </cell>
          <cell r="L438">
            <v>192</v>
          </cell>
          <cell r="M438">
            <v>193</v>
          </cell>
        </row>
        <row r="439">
          <cell r="A439">
            <v>5179380</v>
          </cell>
          <cell r="B439">
            <v>5113783</v>
          </cell>
          <cell r="C439">
            <v>4410</v>
          </cell>
          <cell r="D439">
            <v>7128931</v>
          </cell>
          <cell r="E439">
            <v>171</v>
          </cell>
          <cell r="F439">
            <v>151</v>
          </cell>
          <cell r="G439">
            <v>180</v>
          </cell>
          <cell r="H439">
            <v>238</v>
          </cell>
          <cell r="I439">
            <v>240</v>
          </cell>
          <cell r="J439">
            <v>220</v>
          </cell>
          <cell r="K439">
            <v>230</v>
          </cell>
          <cell r="L439">
            <v>222</v>
          </cell>
          <cell r="M439">
            <v>187</v>
          </cell>
        </row>
        <row r="440">
          <cell r="A440">
            <v>5179378</v>
          </cell>
          <cell r="B440">
            <v>5113782</v>
          </cell>
          <cell r="C440">
            <v>4410</v>
          </cell>
          <cell r="D440">
            <v>7314725</v>
          </cell>
          <cell r="E440">
            <v>219</v>
          </cell>
          <cell r="F440">
            <v>175</v>
          </cell>
          <cell r="G440">
            <v>175</v>
          </cell>
          <cell r="H440">
            <v>233</v>
          </cell>
          <cell r="I440">
            <v>243</v>
          </cell>
          <cell r="J440">
            <v>225</v>
          </cell>
          <cell r="K440">
            <v>247</v>
          </cell>
          <cell r="L440">
            <v>237</v>
          </cell>
          <cell r="M440">
            <v>262</v>
          </cell>
        </row>
        <row r="441">
          <cell r="A441">
            <v>5179310</v>
          </cell>
          <cell r="B441">
            <v>5113748</v>
          </cell>
          <cell r="C441">
            <v>4410</v>
          </cell>
          <cell r="D441">
            <v>3355246</v>
          </cell>
          <cell r="E441">
            <v>312</v>
          </cell>
          <cell r="F441">
            <v>79</v>
          </cell>
          <cell r="G441">
            <v>234</v>
          </cell>
          <cell r="H441">
            <v>208</v>
          </cell>
          <cell r="I441">
            <v>221</v>
          </cell>
          <cell r="J441">
            <v>200</v>
          </cell>
          <cell r="K441">
            <v>228</v>
          </cell>
          <cell r="L441">
            <v>225</v>
          </cell>
          <cell r="M441">
            <v>249</v>
          </cell>
        </row>
        <row r="442">
          <cell r="A442">
            <v>5179514</v>
          </cell>
          <cell r="B442">
            <v>5113850</v>
          </cell>
          <cell r="C442">
            <v>4410</v>
          </cell>
          <cell r="E442">
            <v>172</v>
          </cell>
          <cell r="F442">
            <v>152</v>
          </cell>
          <cell r="G442">
            <v>148</v>
          </cell>
          <cell r="H442">
            <v>144</v>
          </cell>
          <cell r="I442">
            <v>213</v>
          </cell>
          <cell r="J442">
            <v>183</v>
          </cell>
          <cell r="K442">
            <v>193</v>
          </cell>
          <cell r="L442">
            <v>172</v>
          </cell>
          <cell r="M442">
            <v>184</v>
          </cell>
        </row>
        <row r="443">
          <cell r="A443">
            <v>5179456</v>
          </cell>
          <cell r="B443">
            <v>5113821</v>
          </cell>
          <cell r="C443">
            <v>4410</v>
          </cell>
          <cell r="D443">
            <v>3353310</v>
          </cell>
          <cell r="E443">
            <v>259</v>
          </cell>
          <cell r="F443">
            <v>172</v>
          </cell>
          <cell r="G443">
            <v>180</v>
          </cell>
          <cell r="H443">
            <v>144</v>
          </cell>
          <cell r="I443">
            <v>140</v>
          </cell>
          <cell r="J443">
            <v>129</v>
          </cell>
          <cell r="K443">
            <v>156</v>
          </cell>
          <cell r="L443">
            <v>162</v>
          </cell>
          <cell r="M443">
            <v>192</v>
          </cell>
        </row>
        <row r="444">
          <cell r="A444">
            <v>5179658</v>
          </cell>
          <cell r="B444">
            <v>5113922</v>
          </cell>
          <cell r="C444">
            <v>4410</v>
          </cell>
          <cell r="D444">
            <v>1751036</v>
          </cell>
          <cell r="E444">
            <v>202</v>
          </cell>
          <cell r="F444">
            <v>278</v>
          </cell>
          <cell r="G444">
            <v>197</v>
          </cell>
          <cell r="H444">
            <v>115</v>
          </cell>
          <cell r="I444">
            <v>120</v>
          </cell>
          <cell r="J444">
            <v>102</v>
          </cell>
          <cell r="K444">
            <v>98</v>
          </cell>
          <cell r="L444">
            <v>74</v>
          </cell>
          <cell r="M444">
            <v>77</v>
          </cell>
        </row>
        <row r="445">
          <cell r="A445">
            <v>5179638</v>
          </cell>
          <cell r="B445">
            <v>5113912</v>
          </cell>
          <cell r="C445">
            <v>4410</v>
          </cell>
          <cell r="D445">
            <v>6829266</v>
          </cell>
          <cell r="E445">
            <v>314</v>
          </cell>
          <cell r="F445">
            <v>196</v>
          </cell>
          <cell r="G445">
            <v>234</v>
          </cell>
          <cell r="H445">
            <v>221</v>
          </cell>
          <cell r="I445">
            <v>229</v>
          </cell>
          <cell r="J445">
            <v>218</v>
          </cell>
          <cell r="K445">
            <v>138</v>
          </cell>
          <cell r="L445">
            <v>300</v>
          </cell>
          <cell r="M445">
            <v>245</v>
          </cell>
        </row>
        <row r="446">
          <cell r="A446">
            <v>5179596</v>
          </cell>
          <cell r="B446">
            <v>5113891</v>
          </cell>
          <cell r="C446">
            <v>4410</v>
          </cell>
          <cell r="D446">
            <v>6824305</v>
          </cell>
          <cell r="E446">
            <v>136</v>
          </cell>
          <cell r="F446">
            <v>124</v>
          </cell>
          <cell r="G446">
            <v>107</v>
          </cell>
          <cell r="H446">
            <v>129</v>
          </cell>
          <cell r="I446">
            <v>151</v>
          </cell>
          <cell r="J446">
            <v>105</v>
          </cell>
          <cell r="K446">
            <v>99</v>
          </cell>
          <cell r="L446">
            <v>124</v>
          </cell>
          <cell r="M446">
            <v>152</v>
          </cell>
        </row>
        <row r="447">
          <cell r="A447">
            <v>5179554</v>
          </cell>
          <cell r="B447">
            <v>5113870</v>
          </cell>
          <cell r="C447">
            <v>4410</v>
          </cell>
          <cell r="D447">
            <v>6824322</v>
          </cell>
          <cell r="E447">
            <v>190</v>
          </cell>
          <cell r="F447">
            <v>165</v>
          </cell>
          <cell r="G447">
            <v>166</v>
          </cell>
          <cell r="H447">
            <v>163</v>
          </cell>
          <cell r="I447">
            <v>175</v>
          </cell>
          <cell r="J447">
            <v>160</v>
          </cell>
          <cell r="K447">
            <v>195</v>
          </cell>
          <cell r="L447">
            <v>191</v>
          </cell>
          <cell r="M447">
            <v>188</v>
          </cell>
        </row>
        <row r="448">
          <cell r="A448">
            <v>5179696</v>
          </cell>
          <cell r="B448">
            <v>5113941</v>
          </cell>
          <cell r="C448">
            <v>4410</v>
          </cell>
          <cell r="D448">
            <v>3741427</v>
          </cell>
          <cell r="E448">
            <v>260</v>
          </cell>
          <cell r="F448">
            <v>145</v>
          </cell>
          <cell r="G448">
            <v>107</v>
          </cell>
          <cell r="H448">
            <v>125</v>
          </cell>
          <cell r="I448">
            <v>129</v>
          </cell>
          <cell r="J448">
            <v>175</v>
          </cell>
          <cell r="K448">
            <v>278</v>
          </cell>
          <cell r="L448">
            <v>187</v>
          </cell>
          <cell r="M448">
            <v>82</v>
          </cell>
        </row>
        <row r="449">
          <cell r="A449">
            <v>5179676</v>
          </cell>
          <cell r="B449">
            <v>5113931</v>
          </cell>
          <cell r="C449">
            <v>4410</v>
          </cell>
          <cell r="D449">
            <v>6822122</v>
          </cell>
          <cell r="E449">
            <v>30</v>
          </cell>
          <cell r="F449">
            <v>82</v>
          </cell>
          <cell r="G449">
            <v>76</v>
          </cell>
          <cell r="H449">
            <v>99</v>
          </cell>
          <cell r="I449">
            <v>57</v>
          </cell>
          <cell r="J449">
            <v>75</v>
          </cell>
          <cell r="K449">
            <v>76</v>
          </cell>
          <cell r="L449">
            <v>75</v>
          </cell>
          <cell r="M449">
            <v>76</v>
          </cell>
        </row>
        <row r="450">
          <cell r="A450">
            <v>5179574</v>
          </cell>
          <cell r="B450">
            <v>5113880</v>
          </cell>
          <cell r="C450">
            <v>4410</v>
          </cell>
          <cell r="D450">
            <v>6822441</v>
          </cell>
          <cell r="E450">
            <v>149</v>
          </cell>
          <cell r="F450">
            <v>120</v>
          </cell>
          <cell r="G450">
            <v>123</v>
          </cell>
          <cell r="H450">
            <v>110</v>
          </cell>
          <cell r="I450">
            <v>120</v>
          </cell>
          <cell r="J450">
            <v>90</v>
          </cell>
          <cell r="K450">
            <v>85</v>
          </cell>
          <cell r="L450">
            <v>144</v>
          </cell>
          <cell r="M450">
            <v>145</v>
          </cell>
        </row>
        <row r="451">
          <cell r="A451">
            <v>5179472</v>
          </cell>
          <cell r="B451">
            <v>5113829</v>
          </cell>
          <cell r="C451">
            <v>4410</v>
          </cell>
          <cell r="D451">
            <v>6824725</v>
          </cell>
          <cell r="E451">
            <v>237</v>
          </cell>
          <cell r="F451">
            <v>225</v>
          </cell>
          <cell r="G451">
            <v>452</v>
          </cell>
          <cell r="H451">
            <v>216</v>
          </cell>
          <cell r="I451">
            <v>218</v>
          </cell>
          <cell r="J451">
            <v>211</v>
          </cell>
          <cell r="K451">
            <v>221</v>
          </cell>
          <cell r="L451">
            <v>173</v>
          </cell>
          <cell r="M451">
            <v>239</v>
          </cell>
        </row>
        <row r="452">
          <cell r="A452">
            <v>5179436</v>
          </cell>
          <cell r="B452">
            <v>5113811</v>
          </cell>
          <cell r="C452">
            <v>4410</v>
          </cell>
          <cell r="D452">
            <v>7299050</v>
          </cell>
          <cell r="E452">
            <v>288</v>
          </cell>
          <cell r="F452">
            <v>117</v>
          </cell>
          <cell r="G452">
            <v>239</v>
          </cell>
          <cell r="H452">
            <v>185</v>
          </cell>
          <cell r="I452">
            <v>136</v>
          </cell>
          <cell r="J452">
            <v>213</v>
          </cell>
          <cell r="K452">
            <v>226</v>
          </cell>
          <cell r="L452">
            <v>233</v>
          </cell>
          <cell r="M452">
            <v>251</v>
          </cell>
        </row>
        <row r="453">
          <cell r="A453">
            <v>5179616</v>
          </cell>
          <cell r="B453">
            <v>5113901</v>
          </cell>
          <cell r="C453">
            <v>4410</v>
          </cell>
          <cell r="D453">
            <v>7103154</v>
          </cell>
          <cell r="E453">
            <v>188</v>
          </cell>
          <cell r="F453">
            <v>178</v>
          </cell>
          <cell r="G453">
            <v>175</v>
          </cell>
          <cell r="H453">
            <v>162</v>
          </cell>
          <cell r="I453">
            <v>147</v>
          </cell>
          <cell r="J453">
            <v>126</v>
          </cell>
          <cell r="K453">
            <v>137</v>
          </cell>
          <cell r="L453">
            <v>128</v>
          </cell>
          <cell r="M453">
            <v>154</v>
          </cell>
        </row>
        <row r="454">
          <cell r="A454">
            <v>5179416</v>
          </cell>
          <cell r="B454">
            <v>5113801</v>
          </cell>
          <cell r="C454">
            <v>4410</v>
          </cell>
          <cell r="D454">
            <v>15961103</v>
          </cell>
          <cell r="E454">
            <v>206</v>
          </cell>
          <cell r="F454">
            <v>154</v>
          </cell>
          <cell r="G454">
            <v>173</v>
          </cell>
          <cell r="H454">
            <v>167</v>
          </cell>
          <cell r="I454">
            <v>169</v>
          </cell>
          <cell r="J454">
            <v>184</v>
          </cell>
          <cell r="K454">
            <v>186</v>
          </cell>
          <cell r="L454">
            <v>187</v>
          </cell>
          <cell r="M454">
            <v>170</v>
          </cell>
        </row>
        <row r="455">
          <cell r="A455">
            <v>5179836</v>
          </cell>
          <cell r="B455">
            <v>5114011</v>
          </cell>
          <cell r="C455">
            <v>4410</v>
          </cell>
          <cell r="E455">
            <v>172</v>
          </cell>
          <cell r="F455">
            <v>152</v>
          </cell>
          <cell r="G455">
            <v>148</v>
          </cell>
          <cell r="H455">
            <v>144</v>
          </cell>
          <cell r="I455">
            <v>213</v>
          </cell>
          <cell r="J455">
            <v>183</v>
          </cell>
          <cell r="K455">
            <v>193</v>
          </cell>
          <cell r="L455">
            <v>172</v>
          </cell>
          <cell r="M455">
            <v>184</v>
          </cell>
        </row>
        <row r="456">
          <cell r="A456">
            <v>5175380</v>
          </cell>
          <cell r="B456">
            <v>5111783</v>
          </cell>
          <cell r="C456">
            <v>4410</v>
          </cell>
          <cell r="D456">
            <v>3649102</v>
          </cell>
          <cell r="E456">
            <v>239</v>
          </cell>
          <cell r="F456">
            <v>200</v>
          </cell>
          <cell r="G456">
            <v>223</v>
          </cell>
          <cell r="H456">
            <v>259</v>
          </cell>
          <cell r="I456">
            <v>291</v>
          </cell>
          <cell r="J456">
            <v>250</v>
          </cell>
          <cell r="K456">
            <v>253</v>
          </cell>
          <cell r="L456">
            <v>241</v>
          </cell>
          <cell r="M456">
            <v>253</v>
          </cell>
        </row>
        <row r="457">
          <cell r="A457">
            <v>5179716</v>
          </cell>
          <cell r="B457">
            <v>5113951</v>
          </cell>
          <cell r="C457">
            <v>4410</v>
          </cell>
          <cell r="D457">
            <v>3652839</v>
          </cell>
          <cell r="E457">
            <v>279</v>
          </cell>
          <cell r="F457">
            <v>248</v>
          </cell>
          <cell r="G457">
            <v>241</v>
          </cell>
          <cell r="H457">
            <v>233</v>
          </cell>
          <cell r="I457">
            <v>253</v>
          </cell>
          <cell r="J457">
            <v>232</v>
          </cell>
          <cell r="K457">
            <v>235</v>
          </cell>
          <cell r="L457">
            <v>218</v>
          </cell>
          <cell r="M457">
            <v>240</v>
          </cell>
        </row>
        <row r="458">
          <cell r="A458">
            <v>5181132</v>
          </cell>
          <cell r="B458">
            <v>5114659</v>
          </cell>
          <cell r="C458">
            <v>4410</v>
          </cell>
          <cell r="D458">
            <v>33001804</v>
          </cell>
          <cell r="E458">
            <v>172</v>
          </cell>
          <cell r="F458">
            <v>152</v>
          </cell>
          <cell r="G458">
            <v>148</v>
          </cell>
          <cell r="H458">
            <v>144</v>
          </cell>
          <cell r="I458">
            <v>213</v>
          </cell>
          <cell r="J458">
            <v>183</v>
          </cell>
          <cell r="K458">
            <v>193</v>
          </cell>
          <cell r="L458">
            <v>172</v>
          </cell>
          <cell r="M458">
            <v>184</v>
          </cell>
        </row>
        <row r="459">
          <cell r="A459">
            <v>5181130</v>
          </cell>
          <cell r="B459">
            <v>5114658</v>
          </cell>
          <cell r="C459">
            <v>4410</v>
          </cell>
          <cell r="D459">
            <v>31993465</v>
          </cell>
          <cell r="E459">
            <v>48</v>
          </cell>
          <cell r="F459">
            <v>59</v>
          </cell>
          <cell r="G459">
            <v>53</v>
          </cell>
          <cell r="H459">
            <v>52</v>
          </cell>
          <cell r="I459">
            <v>17</v>
          </cell>
          <cell r="J459">
            <v>43</v>
          </cell>
          <cell r="K459">
            <v>36</v>
          </cell>
          <cell r="L459">
            <v>39</v>
          </cell>
          <cell r="M459">
            <v>41</v>
          </cell>
        </row>
        <row r="460">
          <cell r="A460">
            <v>5179776</v>
          </cell>
          <cell r="B460">
            <v>5113981</v>
          </cell>
          <cell r="C460">
            <v>4410</v>
          </cell>
          <cell r="D460">
            <v>3741336</v>
          </cell>
          <cell r="E460">
            <v>233</v>
          </cell>
          <cell r="F460">
            <v>206</v>
          </cell>
          <cell r="G460">
            <v>200</v>
          </cell>
          <cell r="H460">
            <v>189</v>
          </cell>
          <cell r="I460">
            <v>273</v>
          </cell>
          <cell r="J460">
            <v>237</v>
          </cell>
          <cell r="K460">
            <v>251</v>
          </cell>
          <cell r="L460">
            <v>448</v>
          </cell>
          <cell r="M460">
            <v>136</v>
          </cell>
        </row>
        <row r="461">
          <cell r="A461">
            <v>5179756</v>
          </cell>
          <cell r="B461">
            <v>5113971</v>
          </cell>
          <cell r="C461">
            <v>4410</v>
          </cell>
          <cell r="D461">
            <v>31991508</v>
          </cell>
          <cell r="E461">
            <v>433</v>
          </cell>
          <cell r="F461">
            <v>447</v>
          </cell>
          <cell r="G461">
            <v>518</v>
          </cell>
          <cell r="H461">
            <v>289</v>
          </cell>
          <cell r="I461">
            <v>306</v>
          </cell>
          <cell r="J461">
            <v>291</v>
          </cell>
          <cell r="K461">
            <v>389</v>
          </cell>
          <cell r="L461">
            <v>527</v>
          </cell>
          <cell r="M461">
            <v>404</v>
          </cell>
        </row>
        <row r="462">
          <cell r="A462">
            <v>5179816</v>
          </cell>
          <cell r="B462">
            <v>5114001</v>
          </cell>
          <cell r="C462">
            <v>4410</v>
          </cell>
          <cell r="D462">
            <v>15960499</v>
          </cell>
          <cell r="E462">
            <v>50</v>
          </cell>
          <cell r="F462">
            <v>60</v>
          </cell>
          <cell r="G462">
            <v>65</v>
          </cell>
          <cell r="H462">
            <v>203</v>
          </cell>
          <cell r="I462">
            <v>195</v>
          </cell>
          <cell r="J462">
            <v>196</v>
          </cell>
          <cell r="K462">
            <v>169</v>
          </cell>
          <cell r="L462">
            <v>166</v>
          </cell>
          <cell r="M462">
            <v>167</v>
          </cell>
        </row>
        <row r="463">
          <cell r="A463">
            <v>5175446</v>
          </cell>
          <cell r="B463">
            <v>5111816</v>
          </cell>
          <cell r="C463">
            <v>4410</v>
          </cell>
          <cell r="D463">
            <v>156186</v>
          </cell>
          <cell r="E463">
            <v>73</v>
          </cell>
          <cell r="F463">
            <v>51</v>
          </cell>
          <cell r="G463">
            <v>47</v>
          </cell>
          <cell r="H463">
            <v>52</v>
          </cell>
          <cell r="I463">
            <v>61</v>
          </cell>
          <cell r="J463">
            <v>48</v>
          </cell>
          <cell r="K463">
            <v>48</v>
          </cell>
          <cell r="L463">
            <v>57</v>
          </cell>
          <cell r="M463">
            <v>58</v>
          </cell>
        </row>
        <row r="464">
          <cell r="A464">
            <v>5175360</v>
          </cell>
          <cell r="B464">
            <v>5111773</v>
          </cell>
          <cell r="C464">
            <v>4410</v>
          </cell>
          <cell r="D464">
            <v>156183</v>
          </cell>
          <cell r="E464">
            <v>229</v>
          </cell>
          <cell r="F464">
            <v>293</v>
          </cell>
          <cell r="G464">
            <v>320</v>
          </cell>
          <cell r="H464">
            <v>284</v>
          </cell>
          <cell r="I464">
            <v>354</v>
          </cell>
          <cell r="J464">
            <v>213</v>
          </cell>
          <cell r="K464">
            <v>288</v>
          </cell>
          <cell r="L464">
            <v>287</v>
          </cell>
          <cell r="M464">
            <v>352</v>
          </cell>
        </row>
        <row r="465">
          <cell r="A465">
            <v>5181122</v>
          </cell>
          <cell r="B465">
            <v>5114654</v>
          </cell>
          <cell r="C465">
            <v>4410</v>
          </cell>
          <cell r="D465">
            <v>355558</v>
          </cell>
          <cell r="E465">
            <v>681</v>
          </cell>
          <cell r="F465">
            <v>593</v>
          </cell>
          <cell r="G465">
            <v>639</v>
          </cell>
          <cell r="H465">
            <v>578</v>
          </cell>
          <cell r="I465">
            <v>572</v>
          </cell>
          <cell r="J465">
            <v>514</v>
          </cell>
          <cell r="K465">
            <v>490</v>
          </cell>
          <cell r="L465">
            <v>459</v>
          </cell>
          <cell r="M465">
            <v>356</v>
          </cell>
        </row>
        <row r="466">
          <cell r="A466">
            <v>5179736</v>
          </cell>
          <cell r="B466">
            <v>5113961</v>
          </cell>
          <cell r="C466">
            <v>4410</v>
          </cell>
          <cell r="D466">
            <v>16007907</v>
          </cell>
          <cell r="E466">
            <v>230</v>
          </cell>
          <cell r="F466">
            <v>193</v>
          </cell>
          <cell r="G466">
            <v>208</v>
          </cell>
          <cell r="H466">
            <v>210</v>
          </cell>
          <cell r="I466">
            <v>223</v>
          </cell>
          <cell r="J466">
            <v>173</v>
          </cell>
          <cell r="K466">
            <v>191</v>
          </cell>
          <cell r="L466">
            <v>201</v>
          </cell>
          <cell r="M466">
            <v>235</v>
          </cell>
        </row>
        <row r="467">
          <cell r="A467">
            <v>5179396</v>
          </cell>
          <cell r="B467">
            <v>5113791</v>
          </cell>
          <cell r="C467">
            <v>4410</v>
          </cell>
          <cell r="D467">
            <v>1910723</v>
          </cell>
          <cell r="E467">
            <v>282</v>
          </cell>
          <cell r="F467">
            <v>184</v>
          </cell>
          <cell r="G467">
            <v>240</v>
          </cell>
          <cell r="H467">
            <v>218</v>
          </cell>
          <cell r="I467">
            <v>198</v>
          </cell>
          <cell r="J467">
            <v>168</v>
          </cell>
          <cell r="K467">
            <v>148</v>
          </cell>
          <cell r="L467">
            <v>126</v>
          </cell>
          <cell r="M467">
            <v>131</v>
          </cell>
        </row>
        <row r="468">
          <cell r="A468">
            <v>5175424</v>
          </cell>
          <cell r="B468">
            <v>5111805</v>
          </cell>
          <cell r="C468">
            <v>4410</v>
          </cell>
          <cell r="D468">
            <v>1911907</v>
          </cell>
          <cell r="E468">
            <v>173</v>
          </cell>
          <cell r="F468">
            <v>152</v>
          </cell>
          <cell r="G468">
            <v>154</v>
          </cell>
          <cell r="H468">
            <v>150</v>
          </cell>
          <cell r="I468">
            <v>150</v>
          </cell>
          <cell r="J468">
            <v>142</v>
          </cell>
          <cell r="K468">
            <v>159</v>
          </cell>
          <cell r="L468">
            <v>151</v>
          </cell>
          <cell r="M468">
            <v>166</v>
          </cell>
        </row>
        <row r="469">
          <cell r="A469">
            <v>5181110</v>
          </cell>
          <cell r="B469">
            <v>5114648</v>
          </cell>
          <cell r="C469">
            <v>4410</v>
          </cell>
          <cell r="D469">
            <v>1535571</v>
          </cell>
          <cell r="E469">
            <v>260</v>
          </cell>
          <cell r="F469">
            <v>226</v>
          </cell>
          <cell r="G469">
            <v>217</v>
          </cell>
          <cell r="H469">
            <v>224</v>
          </cell>
          <cell r="I469">
            <v>236</v>
          </cell>
          <cell r="J469">
            <v>238</v>
          </cell>
          <cell r="K469">
            <v>227</v>
          </cell>
          <cell r="L469">
            <v>229</v>
          </cell>
          <cell r="M469">
            <v>183</v>
          </cell>
        </row>
        <row r="470">
          <cell r="A470">
            <v>5181116</v>
          </cell>
          <cell r="B470">
            <v>5114651</v>
          </cell>
          <cell r="C470">
            <v>4410</v>
          </cell>
          <cell r="D470">
            <v>2962692</v>
          </cell>
          <cell r="E470">
            <v>121</v>
          </cell>
          <cell r="F470">
            <v>181</v>
          </cell>
          <cell r="G470">
            <v>210</v>
          </cell>
          <cell r="H470">
            <v>172</v>
          </cell>
          <cell r="I470">
            <v>185</v>
          </cell>
          <cell r="J470">
            <v>166</v>
          </cell>
          <cell r="K470">
            <v>164</v>
          </cell>
          <cell r="L470">
            <v>175</v>
          </cell>
          <cell r="M470">
            <v>188</v>
          </cell>
        </row>
        <row r="471">
          <cell r="A471">
            <v>5179400</v>
          </cell>
          <cell r="B471">
            <v>5113793</v>
          </cell>
          <cell r="C471">
            <v>4410</v>
          </cell>
          <cell r="D471">
            <v>1753308</v>
          </cell>
          <cell r="E471">
            <v>237</v>
          </cell>
          <cell r="F471">
            <v>183</v>
          </cell>
          <cell r="G471">
            <v>220</v>
          </cell>
          <cell r="H471">
            <v>214</v>
          </cell>
          <cell r="I471">
            <v>291</v>
          </cell>
          <cell r="J471">
            <v>282</v>
          </cell>
          <cell r="K471">
            <v>323</v>
          </cell>
          <cell r="L471">
            <v>337</v>
          </cell>
          <cell r="M471">
            <v>367</v>
          </cell>
        </row>
        <row r="472">
          <cell r="A472">
            <v>5175298</v>
          </cell>
          <cell r="B472">
            <v>5111742</v>
          </cell>
          <cell r="C472">
            <v>4410</v>
          </cell>
          <cell r="D472">
            <v>3730356</v>
          </cell>
          <cell r="E472">
            <v>305</v>
          </cell>
          <cell r="F472">
            <v>267</v>
          </cell>
          <cell r="G472">
            <v>274</v>
          </cell>
          <cell r="H472">
            <v>268</v>
          </cell>
          <cell r="I472">
            <v>271</v>
          </cell>
          <cell r="J472">
            <v>280</v>
          </cell>
          <cell r="K472">
            <v>232</v>
          </cell>
          <cell r="L472">
            <v>149</v>
          </cell>
          <cell r="M472">
            <v>203</v>
          </cell>
        </row>
        <row r="473">
          <cell r="A473">
            <v>5179398</v>
          </cell>
          <cell r="B473">
            <v>5113792</v>
          </cell>
          <cell r="C473">
            <v>4410</v>
          </cell>
          <cell r="D473">
            <v>6823869</v>
          </cell>
          <cell r="E473">
            <v>218</v>
          </cell>
          <cell r="F473">
            <v>182</v>
          </cell>
          <cell r="G473">
            <v>188</v>
          </cell>
          <cell r="H473">
            <v>178</v>
          </cell>
          <cell r="I473">
            <v>195</v>
          </cell>
          <cell r="J473">
            <v>176</v>
          </cell>
          <cell r="K473">
            <v>174</v>
          </cell>
          <cell r="L473">
            <v>172</v>
          </cell>
          <cell r="M473">
            <v>212</v>
          </cell>
        </row>
        <row r="474">
          <cell r="A474">
            <v>5179402</v>
          </cell>
          <cell r="B474">
            <v>5113794</v>
          </cell>
          <cell r="C474">
            <v>4410</v>
          </cell>
          <cell r="D474">
            <v>3725850</v>
          </cell>
          <cell r="E474">
            <v>151</v>
          </cell>
          <cell r="F474">
            <v>128</v>
          </cell>
          <cell r="G474">
            <v>123</v>
          </cell>
          <cell r="H474">
            <v>121</v>
          </cell>
          <cell r="I474">
            <v>138</v>
          </cell>
          <cell r="J474">
            <v>136</v>
          </cell>
          <cell r="K474">
            <v>141</v>
          </cell>
          <cell r="L474">
            <v>117</v>
          </cell>
          <cell r="M474">
            <v>152</v>
          </cell>
        </row>
        <row r="475">
          <cell r="A475">
            <v>5179858</v>
          </cell>
          <cell r="B475">
            <v>5114022</v>
          </cell>
          <cell r="C475">
            <v>4410</v>
          </cell>
          <cell r="D475">
            <v>6821123</v>
          </cell>
          <cell r="E475">
            <v>135</v>
          </cell>
          <cell r="F475">
            <v>158</v>
          </cell>
          <cell r="G475">
            <v>123</v>
          </cell>
          <cell r="H475">
            <v>151</v>
          </cell>
          <cell r="I475">
            <v>160</v>
          </cell>
          <cell r="J475">
            <v>140</v>
          </cell>
          <cell r="K475">
            <v>132</v>
          </cell>
          <cell r="L475">
            <v>139</v>
          </cell>
          <cell r="M475">
            <v>148</v>
          </cell>
        </row>
        <row r="476">
          <cell r="A476">
            <v>5179880</v>
          </cell>
          <cell r="B476">
            <v>5114033</v>
          </cell>
          <cell r="C476">
            <v>4410</v>
          </cell>
          <cell r="D476">
            <v>6823343</v>
          </cell>
          <cell r="E476">
            <v>87</v>
          </cell>
          <cell r="F476">
            <v>87</v>
          </cell>
          <cell r="G476">
            <v>79</v>
          </cell>
          <cell r="H476">
            <v>82</v>
          </cell>
          <cell r="I476">
            <v>79</v>
          </cell>
          <cell r="J476">
            <v>68</v>
          </cell>
          <cell r="K476">
            <v>71</v>
          </cell>
          <cell r="L476">
            <v>70</v>
          </cell>
          <cell r="M476">
            <v>46</v>
          </cell>
        </row>
        <row r="477">
          <cell r="A477">
            <v>5175340</v>
          </cell>
          <cell r="B477">
            <v>5111763</v>
          </cell>
          <cell r="C477">
            <v>4410</v>
          </cell>
          <cell r="D477">
            <v>6829406</v>
          </cell>
          <cell r="E477">
            <v>141</v>
          </cell>
          <cell r="F477">
            <v>110</v>
          </cell>
          <cell r="G477">
            <v>123</v>
          </cell>
          <cell r="H477">
            <v>299</v>
          </cell>
          <cell r="I477">
            <v>286</v>
          </cell>
          <cell r="J477">
            <v>806</v>
          </cell>
          <cell r="K477">
            <v>233</v>
          </cell>
          <cell r="L477">
            <v>249</v>
          </cell>
          <cell r="M477">
            <v>306</v>
          </cell>
        </row>
        <row r="478">
          <cell r="A478">
            <v>5175318</v>
          </cell>
          <cell r="B478">
            <v>5111752</v>
          </cell>
          <cell r="C478">
            <v>4410</v>
          </cell>
          <cell r="D478">
            <v>1751648</v>
          </cell>
          <cell r="E478">
            <v>257</v>
          </cell>
          <cell r="F478">
            <v>224</v>
          </cell>
          <cell r="G478">
            <v>201</v>
          </cell>
          <cell r="H478">
            <v>210</v>
          </cell>
          <cell r="I478">
            <v>206</v>
          </cell>
          <cell r="J478">
            <v>172</v>
          </cell>
          <cell r="K478">
            <v>184</v>
          </cell>
          <cell r="L478">
            <v>206</v>
          </cell>
          <cell r="M478">
            <v>223</v>
          </cell>
        </row>
        <row r="479">
          <cell r="A479">
            <v>5181126</v>
          </cell>
          <cell r="B479">
            <v>5114656</v>
          </cell>
          <cell r="C479">
            <v>4410</v>
          </cell>
          <cell r="D479">
            <v>3314066</v>
          </cell>
          <cell r="E479">
            <v>223</v>
          </cell>
          <cell r="F479">
            <v>189</v>
          </cell>
          <cell r="G479">
            <v>199</v>
          </cell>
          <cell r="H479">
            <v>179</v>
          </cell>
          <cell r="I479">
            <v>199</v>
          </cell>
          <cell r="J479">
            <v>186</v>
          </cell>
          <cell r="K479">
            <v>201</v>
          </cell>
          <cell r="L479">
            <v>190</v>
          </cell>
          <cell r="M479">
            <v>202</v>
          </cell>
        </row>
        <row r="480">
          <cell r="A480">
            <v>5181112</v>
          </cell>
          <cell r="B480">
            <v>5114649</v>
          </cell>
          <cell r="C480">
            <v>4410</v>
          </cell>
          <cell r="D480">
            <v>3304967</v>
          </cell>
          <cell r="E480">
            <v>89</v>
          </cell>
          <cell r="F480">
            <v>90</v>
          </cell>
          <cell r="G480">
            <v>68</v>
          </cell>
          <cell r="H480">
            <v>79</v>
          </cell>
          <cell r="I480">
            <v>84</v>
          </cell>
          <cell r="J480">
            <v>90</v>
          </cell>
          <cell r="K480">
            <v>86</v>
          </cell>
          <cell r="L480">
            <v>87</v>
          </cell>
          <cell r="M480">
            <v>121</v>
          </cell>
        </row>
        <row r="481">
          <cell r="A481">
            <v>5095622</v>
          </cell>
          <cell r="B481">
            <v>5071904</v>
          </cell>
          <cell r="C481">
            <v>4410</v>
          </cell>
          <cell r="D481">
            <v>7146519</v>
          </cell>
          <cell r="E481">
            <v>125</v>
          </cell>
          <cell r="F481">
            <v>86</v>
          </cell>
          <cell r="G481">
            <v>75</v>
          </cell>
          <cell r="H481">
            <v>106</v>
          </cell>
          <cell r="I481">
            <v>120</v>
          </cell>
          <cell r="J481">
            <v>119</v>
          </cell>
          <cell r="K481">
            <v>20</v>
          </cell>
          <cell r="L481">
            <v>89</v>
          </cell>
          <cell r="M481">
            <v>85</v>
          </cell>
        </row>
        <row r="482">
          <cell r="A482">
            <v>5179796</v>
          </cell>
          <cell r="B482">
            <v>5113991</v>
          </cell>
          <cell r="C482">
            <v>4410</v>
          </cell>
          <cell r="D482">
            <v>7130334</v>
          </cell>
          <cell r="E482">
            <v>107</v>
          </cell>
          <cell r="F482">
            <v>137</v>
          </cell>
          <cell r="G482">
            <v>228</v>
          </cell>
          <cell r="H482">
            <v>269</v>
          </cell>
          <cell r="I482">
            <v>609</v>
          </cell>
          <cell r="J482">
            <v>84</v>
          </cell>
          <cell r="K482">
            <v>75</v>
          </cell>
          <cell r="L482">
            <v>91</v>
          </cell>
          <cell r="M482">
            <v>103</v>
          </cell>
        </row>
        <row r="483">
          <cell r="A483">
            <v>5175402</v>
          </cell>
          <cell r="B483">
            <v>5111794</v>
          </cell>
          <cell r="C483">
            <v>4410</v>
          </cell>
          <cell r="D483">
            <v>7116786</v>
          </cell>
          <cell r="E483">
            <v>217</v>
          </cell>
          <cell r="F483">
            <v>177</v>
          </cell>
          <cell r="G483">
            <v>169</v>
          </cell>
          <cell r="H483">
            <v>189</v>
          </cell>
          <cell r="I483">
            <v>187</v>
          </cell>
          <cell r="J483">
            <v>168</v>
          </cell>
          <cell r="K483">
            <v>177</v>
          </cell>
          <cell r="L483">
            <v>173</v>
          </cell>
          <cell r="M483">
            <v>192</v>
          </cell>
        </row>
        <row r="484">
          <cell r="A484">
            <v>5181108</v>
          </cell>
          <cell r="B484">
            <v>5114647</v>
          </cell>
          <cell r="C484">
            <v>4410</v>
          </cell>
          <cell r="D484">
            <v>7118154</v>
          </cell>
          <cell r="E484">
            <v>226</v>
          </cell>
          <cell r="F484">
            <v>206</v>
          </cell>
          <cell r="G484">
            <v>199</v>
          </cell>
          <cell r="H484">
            <v>189</v>
          </cell>
          <cell r="I484">
            <v>205</v>
          </cell>
          <cell r="J484">
            <v>179</v>
          </cell>
          <cell r="K484">
            <v>194</v>
          </cell>
          <cell r="L484">
            <v>191</v>
          </cell>
          <cell r="M484">
            <v>205</v>
          </cell>
        </row>
        <row r="485">
          <cell r="A485">
            <v>5181124</v>
          </cell>
          <cell r="B485">
            <v>5114655</v>
          </cell>
          <cell r="C485">
            <v>4410</v>
          </cell>
          <cell r="D485">
            <v>7116084</v>
          </cell>
          <cell r="E485">
            <v>51</v>
          </cell>
          <cell r="F485">
            <v>0</v>
          </cell>
          <cell r="G485">
            <v>0</v>
          </cell>
          <cell r="H485">
            <v>299</v>
          </cell>
          <cell r="I485">
            <v>446</v>
          </cell>
          <cell r="J485">
            <v>376</v>
          </cell>
          <cell r="K485">
            <v>352</v>
          </cell>
          <cell r="L485">
            <v>331</v>
          </cell>
          <cell r="M485">
            <v>355</v>
          </cell>
        </row>
        <row r="486">
          <cell r="A486">
            <v>5181114</v>
          </cell>
          <cell r="B486">
            <v>5114650</v>
          </cell>
          <cell r="C486">
            <v>4410</v>
          </cell>
          <cell r="D486">
            <v>7117927</v>
          </cell>
          <cell r="E486">
            <v>277</v>
          </cell>
          <cell r="F486">
            <v>243</v>
          </cell>
          <cell r="G486">
            <v>255</v>
          </cell>
          <cell r="H486">
            <v>248</v>
          </cell>
          <cell r="I486">
            <v>271</v>
          </cell>
          <cell r="J486">
            <v>228</v>
          </cell>
          <cell r="K486">
            <v>269</v>
          </cell>
          <cell r="L486">
            <v>225</v>
          </cell>
          <cell r="M486">
            <v>243</v>
          </cell>
        </row>
        <row r="487">
          <cell r="A487">
            <v>5181128</v>
          </cell>
          <cell r="B487">
            <v>5114657</v>
          </cell>
          <cell r="C487">
            <v>4410</v>
          </cell>
          <cell r="D487">
            <v>443766</v>
          </cell>
          <cell r="E487">
            <v>179</v>
          </cell>
          <cell r="F487">
            <v>167</v>
          </cell>
          <cell r="G487">
            <v>158</v>
          </cell>
          <cell r="H487">
            <v>168</v>
          </cell>
          <cell r="I487">
            <v>155</v>
          </cell>
          <cell r="J487">
            <v>150</v>
          </cell>
          <cell r="K487">
            <v>149</v>
          </cell>
          <cell r="L487">
            <v>161</v>
          </cell>
          <cell r="M487">
            <v>183</v>
          </cell>
        </row>
        <row r="488">
          <cell r="A488">
            <v>5181120</v>
          </cell>
          <cell r="B488">
            <v>5114653</v>
          </cell>
          <cell r="C488">
            <v>4410</v>
          </cell>
          <cell r="D488">
            <v>721580</v>
          </cell>
          <cell r="E488">
            <v>185</v>
          </cell>
          <cell r="F488">
            <v>137</v>
          </cell>
          <cell r="G488">
            <v>149</v>
          </cell>
          <cell r="H488">
            <v>141</v>
          </cell>
          <cell r="I488">
            <v>150</v>
          </cell>
          <cell r="J488">
            <v>132</v>
          </cell>
          <cell r="K488">
            <v>132</v>
          </cell>
          <cell r="L488">
            <v>138</v>
          </cell>
          <cell r="M488">
            <v>144</v>
          </cell>
        </row>
        <row r="489">
          <cell r="A489">
            <v>5070046</v>
          </cell>
          <cell r="B489">
            <v>5059116</v>
          </cell>
          <cell r="C489">
            <v>4410</v>
          </cell>
          <cell r="E489">
            <v>172</v>
          </cell>
          <cell r="F489">
            <v>143</v>
          </cell>
          <cell r="G489">
            <v>157</v>
          </cell>
          <cell r="H489">
            <v>149</v>
          </cell>
          <cell r="I489">
            <v>207</v>
          </cell>
          <cell r="J489">
            <v>189</v>
          </cell>
          <cell r="K489">
            <v>181</v>
          </cell>
          <cell r="L489">
            <v>183</v>
          </cell>
          <cell r="M489">
            <v>179</v>
          </cell>
        </row>
        <row r="490">
          <cell r="A490">
            <v>5174896</v>
          </cell>
          <cell r="B490">
            <v>5111541</v>
          </cell>
          <cell r="C490">
            <v>4410</v>
          </cell>
          <cell r="E490">
            <v>353</v>
          </cell>
          <cell r="F490">
            <v>315</v>
          </cell>
          <cell r="G490">
            <v>303</v>
          </cell>
          <cell r="H490">
            <v>270</v>
          </cell>
          <cell r="I490">
            <v>352</v>
          </cell>
          <cell r="J490">
            <v>303</v>
          </cell>
          <cell r="K490">
            <v>323</v>
          </cell>
          <cell r="L490">
            <v>292</v>
          </cell>
          <cell r="M490">
            <v>312</v>
          </cell>
        </row>
        <row r="491">
          <cell r="A491">
            <v>5174998</v>
          </cell>
          <cell r="B491">
            <v>5111592</v>
          </cell>
          <cell r="C491">
            <v>4410</v>
          </cell>
          <cell r="F491">
            <v>612</v>
          </cell>
          <cell r="H491">
            <v>278</v>
          </cell>
          <cell r="I491">
            <v>247</v>
          </cell>
          <cell r="J491">
            <v>323</v>
          </cell>
          <cell r="K491">
            <v>277</v>
          </cell>
          <cell r="L491">
            <v>295</v>
          </cell>
          <cell r="M491">
            <v>267</v>
          </cell>
        </row>
        <row r="492">
          <cell r="A492">
            <v>5181150</v>
          </cell>
          <cell r="B492">
            <v>5114668</v>
          </cell>
          <cell r="C492">
            <v>4410</v>
          </cell>
          <cell r="D492">
            <v>33001592</v>
          </cell>
          <cell r="E492">
            <v>3389</v>
          </cell>
          <cell r="F492">
            <v>95</v>
          </cell>
          <cell r="G492">
            <v>116</v>
          </cell>
          <cell r="H492">
            <v>157</v>
          </cell>
          <cell r="I492">
            <v>33</v>
          </cell>
          <cell r="J492">
            <v>69</v>
          </cell>
          <cell r="K492">
            <v>70</v>
          </cell>
          <cell r="L492">
            <v>77</v>
          </cell>
          <cell r="M492">
            <v>88</v>
          </cell>
        </row>
        <row r="493">
          <cell r="A493">
            <v>5181148</v>
          </cell>
          <cell r="B493">
            <v>5114667</v>
          </cell>
          <cell r="C493">
            <v>4410</v>
          </cell>
          <cell r="D493">
            <v>33001697</v>
          </cell>
          <cell r="E493">
            <v>151</v>
          </cell>
          <cell r="F493">
            <v>30</v>
          </cell>
          <cell r="G493">
            <v>116</v>
          </cell>
          <cell r="H493">
            <v>112</v>
          </cell>
          <cell r="I493">
            <v>116</v>
          </cell>
          <cell r="J493">
            <v>105</v>
          </cell>
          <cell r="K493">
            <v>107</v>
          </cell>
          <cell r="L493">
            <v>92</v>
          </cell>
          <cell r="M493">
            <v>110</v>
          </cell>
        </row>
        <row r="494">
          <cell r="A494">
            <v>5181152</v>
          </cell>
          <cell r="B494">
            <v>5114669</v>
          </cell>
          <cell r="C494">
            <v>4410</v>
          </cell>
          <cell r="D494">
            <v>33001593</v>
          </cell>
          <cell r="E494">
            <v>53</v>
          </cell>
          <cell r="F494">
            <v>29</v>
          </cell>
          <cell r="G494">
            <v>72</v>
          </cell>
          <cell r="H494">
            <v>48</v>
          </cell>
          <cell r="I494">
            <v>57</v>
          </cell>
          <cell r="J494">
            <v>43</v>
          </cell>
          <cell r="K494">
            <v>41</v>
          </cell>
          <cell r="L494">
            <v>51</v>
          </cell>
          <cell r="M494">
            <v>54</v>
          </cell>
        </row>
        <row r="495">
          <cell r="A495">
            <v>5181162</v>
          </cell>
          <cell r="B495">
            <v>5114674</v>
          </cell>
          <cell r="C495">
            <v>4410</v>
          </cell>
          <cell r="D495">
            <v>33001588</v>
          </cell>
          <cell r="E495">
            <v>283</v>
          </cell>
          <cell r="F495">
            <v>253</v>
          </cell>
          <cell r="G495">
            <v>243</v>
          </cell>
          <cell r="H495">
            <v>216</v>
          </cell>
          <cell r="I495">
            <v>282</v>
          </cell>
          <cell r="J495">
            <v>243</v>
          </cell>
          <cell r="K495">
            <v>259</v>
          </cell>
          <cell r="L495">
            <v>234</v>
          </cell>
          <cell r="M495">
            <v>250</v>
          </cell>
        </row>
        <row r="496">
          <cell r="A496">
            <v>5181158</v>
          </cell>
          <cell r="B496">
            <v>5114672</v>
          </cell>
          <cell r="C496">
            <v>4410</v>
          </cell>
          <cell r="D496">
            <v>33001667</v>
          </cell>
          <cell r="E496">
            <v>133</v>
          </cell>
          <cell r="F496">
            <v>104</v>
          </cell>
          <cell r="G496">
            <v>93</v>
          </cell>
          <cell r="H496">
            <v>105</v>
          </cell>
          <cell r="I496">
            <v>110</v>
          </cell>
          <cell r="J496">
            <v>105</v>
          </cell>
          <cell r="K496">
            <v>103</v>
          </cell>
          <cell r="L496">
            <v>102</v>
          </cell>
          <cell r="M496">
            <v>105</v>
          </cell>
        </row>
        <row r="497">
          <cell r="A497">
            <v>5174954</v>
          </cell>
          <cell r="B497">
            <v>5111570</v>
          </cell>
          <cell r="C497">
            <v>4410</v>
          </cell>
          <cell r="D497">
            <v>3727095</v>
          </cell>
          <cell r="E497">
            <v>172</v>
          </cell>
          <cell r="F497">
            <v>152</v>
          </cell>
          <cell r="G497">
            <v>148</v>
          </cell>
          <cell r="H497">
            <v>144</v>
          </cell>
          <cell r="I497">
            <v>213</v>
          </cell>
          <cell r="J497">
            <v>183</v>
          </cell>
          <cell r="K497">
            <v>193</v>
          </cell>
          <cell r="L497">
            <v>155</v>
          </cell>
          <cell r="M497">
            <v>171</v>
          </cell>
        </row>
        <row r="498">
          <cell r="A498">
            <v>5175028</v>
          </cell>
          <cell r="B498">
            <v>5111607</v>
          </cell>
          <cell r="C498">
            <v>4410</v>
          </cell>
          <cell r="D498">
            <v>18492450</v>
          </cell>
          <cell r="E498">
            <v>172</v>
          </cell>
          <cell r="F498">
            <v>152</v>
          </cell>
          <cell r="G498">
            <v>148</v>
          </cell>
          <cell r="H498">
            <v>144</v>
          </cell>
          <cell r="I498">
            <v>213</v>
          </cell>
          <cell r="J498">
            <v>121</v>
          </cell>
          <cell r="K498">
            <v>165</v>
          </cell>
          <cell r="L498">
            <v>133</v>
          </cell>
          <cell r="M498">
            <v>149</v>
          </cell>
        </row>
        <row r="499">
          <cell r="A499">
            <v>5175148</v>
          </cell>
          <cell r="B499">
            <v>5111667</v>
          </cell>
          <cell r="C499">
            <v>4410</v>
          </cell>
          <cell r="D499">
            <v>3362761</v>
          </cell>
          <cell r="E499">
            <v>327</v>
          </cell>
          <cell r="F499">
            <v>105</v>
          </cell>
          <cell r="G499">
            <v>100</v>
          </cell>
          <cell r="H499">
            <v>214</v>
          </cell>
          <cell r="I499">
            <v>219</v>
          </cell>
          <cell r="J499">
            <v>161</v>
          </cell>
          <cell r="K499">
            <v>154</v>
          </cell>
          <cell r="L499">
            <v>122</v>
          </cell>
          <cell r="M499">
            <v>136</v>
          </cell>
        </row>
        <row r="500">
          <cell r="A500">
            <v>5174934</v>
          </cell>
          <cell r="B500">
            <v>5111560</v>
          </cell>
          <cell r="C500">
            <v>4410</v>
          </cell>
          <cell r="D500">
            <v>3361097</v>
          </cell>
          <cell r="E500">
            <v>138</v>
          </cell>
          <cell r="F500">
            <v>117</v>
          </cell>
          <cell r="G500">
            <v>112</v>
          </cell>
          <cell r="H500">
            <v>117</v>
          </cell>
          <cell r="I500">
            <v>122</v>
          </cell>
          <cell r="J500">
            <v>121</v>
          </cell>
          <cell r="K500">
            <v>149</v>
          </cell>
          <cell r="L500">
            <v>146</v>
          </cell>
          <cell r="M500">
            <v>165</v>
          </cell>
        </row>
        <row r="501">
          <cell r="A501">
            <v>5176422</v>
          </cell>
          <cell r="B501">
            <v>5112304</v>
          </cell>
          <cell r="C501">
            <v>4410</v>
          </cell>
          <cell r="D501">
            <v>156078</v>
          </cell>
          <cell r="E501">
            <v>93</v>
          </cell>
          <cell r="F501">
            <v>101</v>
          </cell>
          <cell r="G501">
            <v>109</v>
          </cell>
          <cell r="H501">
            <v>93</v>
          </cell>
          <cell r="I501">
            <v>101</v>
          </cell>
          <cell r="J501">
            <v>98</v>
          </cell>
          <cell r="K501">
            <v>95</v>
          </cell>
          <cell r="L501">
            <v>94</v>
          </cell>
          <cell r="M501">
            <v>101</v>
          </cell>
        </row>
        <row r="502">
          <cell r="A502">
            <v>5174992</v>
          </cell>
          <cell r="B502">
            <v>5111589</v>
          </cell>
          <cell r="C502">
            <v>4410</v>
          </cell>
          <cell r="D502">
            <v>156257</v>
          </cell>
          <cell r="E502">
            <v>206</v>
          </cell>
          <cell r="F502">
            <v>187</v>
          </cell>
          <cell r="G502">
            <v>185</v>
          </cell>
          <cell r="H502">
            <v>176</v>
          </cell>
          <cell r="I502">
            <v>201</v>
          </cell>
          <cell r="J502">
            <v>183</v>
          </cell>
          <cell r="K502">
            <v>196</v>
          </cell>
          <cell r="L502">
            <v>165</v>
          </cell>
          <cell r="M502">
            <v>201</v>
          </cell>
        </row>
        <row r="503">
          <cell r="A503">
            <v>5181168</v>
          </cell>
          <cell r="B503">
            <v>5114677</v>
          </cell>
          <cell r="C503">
            <v>4410</v>
          </cell>
          <cell r="D503">
            <v>2934728</v>
          </cell>
          <cell r="E503">
            <v>197</v>
          </cell>
          <cell r="F503">
            <v>178</v>
          </cell>
          <cell r="G503">
            <v>175</v>
          </cell>
          <cell r="H503">
            <v>176</v>
          </cell>
          <cell r="I503">
            <v>187</v>
          </cell>
          <cell r="J503">
            <v>0</v>
          </cell>
          <cell r="K503">
            <v>0</v>
          </cell>
          <cell r="L503">
            <v>0</v>
          </cell>
          <cell r="M503">
            <v>0</v>
          </cell>
        </row>
        <row r="504">
          <cell r="A504">
            <v>5174878</v>
          </cell>
          <cell r="B504">
            <v>5111532</v>
          </cell>
          <cell r="C504">
            <v>4410</v>
          </cell>
          <cell r="D504">
            <v>1502245</v>
          </cell>
          <cell r="E504">
            <v>161</v>
          </cell>
          <cell r="F504">
            <v>127</v>
          </cell>
          <cell r="G504">
            <v>152</v>
          </cell>
          <cell r="H504">
            <v>166</v>
          </cell>
          <cell r="I504">
            <v>172</v>
          </cell>
          <cell r="J504">
            <v>200</v>
          </cell>
          <cell r="K504">
            <v>265</v>
          </cell>
          <cell r="L504">
            <v>196</v>
          </cell>
          <cell r="M504">
            <v>226</v>
          </cell>
        </row>
        <row r="505">
          <cell r="A505">
            <v>5181156</v>
          </cell>
          <cell r="B505">
            <v>5114671</v>
          </cell>
          <cell r="C505">
            <v>4410</v>
          </cell>
          <cell r="D505">
            <v>1530244</v>
          </cell>
          <cell r="E505">
            <v>257</v>
          </cell>
          <cell r="F505">
            <v>202</v>
          </cell>
          <cell r="G505">
            <v>211</v>
          </cell>
          <cell r="H505">
            <v>199</v>
          </cell>
          <cell r="I505">
            <v>218</v>
          </cell>
          <cell r="J505">
            <v>218</v>
          </cell>
          <cell r="K505">
            <v>220</v>
          </cell>
          <cell r="L505">
            <v>195</v>
          </cell>
          <cell r="M505">
            <v>244</v>
          </cell>
        </row>
        <row r="506">
          <cell r="A506">
            <v>5175084</v>
          </cell>
          <cell r="B506">
            <v>5111635</v>
          </cell>
          <cell r="C506">
            <v>4410</v>
          </cell>
          <cell r="D506">
            <v>3741011</v>
          </cell>
          <cell r="E506">
            <v>180</v>
          </cell>
          <cell r="F506">
            <v>86</v>
          </cell>
          <cell r="G506">
            <v>132</v>
          </cell>
          <cell r="H506">
            <v>175</v>
          </cell>
          <cell r="I506">
            <v>252</v>
          </cell>
          <cell r="J506">
            <v>86</v>
          </cell>
          <cell r="K506">
            <v>128</v>
          </cell>
          <cell r="L506">
            <v>160</v>
          </cell>
          <cell r="M506">
            <v>131</v>
          </cell>
        </row>
        <row r="507">
          <cell r="A507">
            <v>5175014</v>
          </cell>
          <cell r="B507">
            <v>5111600</v>
          </cell>
          <cell r="C507">
            <v>4410</v>
          </cell>
          <cell r="D507">
            <v>3730354</v>
          </cell>
          <cell r="E507">
            <v>168</v>
          </cell>
          <cell r="F507">
            <v>124</v>
          </cell>
          <cell r="G507">
            <v>100</v>
          </cell>
          <cell r="H507">
            <v>120</v>
          </cell>
          <cell r="I507">
            <v>106</v>
          </cell>
          <cell r="J507">
            <v>114</v>
          </cell>
          <cell r="K507">
            <v>88</v>
          </cell>
          <cell r="L507">
            <v>126</v>
          </cell>
          <cell r="M507">
            <v>130</v>
          </cell>
        </row>
        <row r="508">
          <cell r="A508">
            <v>5175170</v>
          </cell>
          <cell r="B508">
            <v>5111678</v>
          </cell>
          <cell r="C508">
            <v>4410</v>
          </cell>
          <cell r="D508">
            <v>1752157</v>
          </cell>
          <cell r="E508">
            <v>190</v>
          </cell>
          <cell r="F508">
            <v>183</v>
          </cell>
          <cell r="G508">
            <v>165</v>
          </cell>
          <cell r="H508">
            <v>184</v>
          </cell>
          <cell r="I508">
            <v>137</v>
          </cell>
          <cell r="J508">
            <v>147</v>
          </cell>
          <cell r="K508">
            <v>174</v>
          </cell>
          <cell r="L508">
            <v>157</v>
          </cell>
          <cell r="M508">
            <v>101</v>
          </cell>
        </row>
        <row r="509">
          <cell r="A509">
            <v>5174916</v>
          </cell>
          <cell r="B509">
            <v>5111551</v>
          </cell>
          <cell r="C509">
            <v>4410</v>
          </cell>
          <cell r="D509">
            <v>6826732</v>
          </cell>
          <cell r="E509">
            <v>243</v>
          </cell>
          <cell r="F509">
            <v>253</v>
          </cell>
          <cell r="G509">
            <v>254</v>
          </cell>
          <cell r="H509">
            <v>237</v>
          </cell>
          <cell r="I509">
            <v>241</v>
          </cell>
          <cell r="J509">
            <v>229</v>
          </cell>
          <cell r="K509">
            <v>238</v>
          </cell>
          <cell r="L509">
            <v>240</v>
          </cell>
          <cell r="M509">
            <v>251</v>
          </cell>
        </row>
        <row r="510">
          <cell r="A510">
            <v>5174864</v>
          </cell>
          <cell r="B510">
            <v>5111525</v>
          </cell>
          <cell r="C510">
            <v>4410</v>
          </cell>
          <cell r="D510">
            <v>6827200</v>
          </cell>
          <cell r="E510">
            <v>333</v>
          </cell>
          <cell r="F510">
            <v>278</v>
          </cell>
          <cell r="G510">
            <v>343</v>
          </cell>
          <cell r="H510">
            <v>377</v>
          </cell>
          <cell r="I510">
            <v>341</v>
          </cell>
          <cell r="J510">
            <v>294</v>
          </cell>
          <cell r="K510">
            <v>295</v>
          </cell>
          <cell r="L510">
            <v>289</v>
          </cell>
          <cell r="M510">
            <v>325</v>
          </cell>
        </row>
        <row r="511">
          <cell r="A511">
            <v>5181166</v>
          </cell>
          <cell r="B511">
            <v>5114676</v>
          </cell>
          <cell r="C511">
            <v>4410</v>
          </cell>
          <cell r="D511">
            <v>2207229</v>
          </cell>
          <cell r="E511">
            <v>160</v>
          </cell>
          <cell r="F511">
            <v>102</v>
          </cell>
          <cell r="G511">
            <v>140</v>
          </cell>
          <cell r="H511">
            <v>123</v>
          </cell>
          <cell r="I511">
            <v>143</v>
          </cell>
          <cell r="J511">
            <v>163</v>
          </cell>
          <cell r="K511">
            <v>159</v>
          </cell>
          <cell r="L511">
            <v>171</v>
          </cell>
          <cell r="M511">
            <v>210</v>
          </cell>
        </row>
        <row r="512">
          <cell r="A512">
            <v>5181154</v>
          </cell>
          <cell r="B512">
            <v>5114670</v>
          </cell>
          <cell r="C512">
            <v>4410</v>
          </cell>
          <cell r="D512">
            <v>6313517</v>
          </cell>
          <cell r="E512">
            <v>91</v>
          </cell>
          <cell r="F512">
            <v>78</v>
          </cell>
          <cell r="G512">
            <v>90</v>
          </cell>
          <cell r="H512">
            <v>68</v>
          </cell>
          <cell r="I512">
            <v>94</v>
          </cell>
          <cell r="J512">
            <v>89</v>
          </cell>
          <cell r="K512">
            <v>112</v>
          </cell>
          <cell r="L512">
            <v>100</v>
          </cell>
          <cell r="M512">
            <v>97</v>
          </cell>
        </row>
        <row r="513">
          <cell r="A513">
            <v>5175192</v>
          </cell>
          <cell r="B513">
            <v>5111689</v>
          </cell>
          <cell r="C513">
            <v>4410</v>
          </cell>
          <cell r="D513">
            <v>6823609</v>
          </cell>
          <cell r="E513">
            <v>111</v>
          </cell>
          <cell r="F513">
            <v>83</v>
          </cell>
          <cell r="G513">
            <v>79</v>
          </cell>
          <cell r="H513">
            <v>83</v>
          </cell>
          <cell r="I513">
            <v>82</v>
          </cell>
          <cell r="J513">
            <v>78</v>
          </cell>
          <cell r="K513">
            <v>81</v>
          </cell>
          <cell r="L513">
            <v>83</v>
          </cell>
          <cell r="M513">
            <v>128</v>
          </cell>
        </row>
        <row r="514">
          <cell r="A514">
            <v>5175214</v>
          </cell>
          <cell r="B514">
            <v>5111700</v>
          </cell>
          <cell r="C514">
            <v>4410</v>
          </cell>
          <cell r="D514">
            <v>6820904</v>
          </cell>
          <cell r="E514">
            <v>117</v>
          </cell>
          <cell r="F514">
            <v>72</v>
          </cell>
          <cell r="G514">
            <v>65</v>
          </cell>
          <cell r="H514">
            <v>101</v>
          </cell>
          <cell r="I514">
            <v>125</v>
          </cell>
          <cell r="J514">
            <v>96</v>
          </cell>
          <cell r="K514">
            <v>109</v>
          </cell>
          <cell r="L514">
            <v>113</v>
          </cell>
          <cell r="M514">
            <v>129</v>
          </cell>
        </row>
        <row r="515">
          <cell r="A515">
            <v>5181174</v>
          </cell>
          <cell r="B515">
            <v>5114680</v>
          </cell>
          <cell r="C515">
            <v>4410</v>
          </cell>
          <cell r="D515">
            <v>2177224</v>
          </cell>
          <cell r="E515">
            <v>230</v>
          </cell>
          <cell r="F515">
            <v>9</v>
          </cell>
          <cell r="G515">
            <v>374</v>
          </cell>
          <cell r="H515">
            <v>196</v>
          </cell>
          <cell r="I515">
            <v>204</v>
          </cell>
          <cell r="J515">
            <v>374</v>
          </cell>
          <cell r="K515">
            <v>204</v>
          </cell>
          <cell r="L515">
            <v>221</v>
          </cell>
          <cell r="M515">
            <v>162</v>
          </cell>
        </row>
        <row r="516">
          <cell r="A516">
            <v>5181172</v>
          </cell>
          <cell r="B516">
            <v>5114679</v>
          </cell>
          <cell r="C516">
            <v>4410</v>
          </cell>
          <cell r="D516">
            <v>3361758</v>
          </cell>
          <cell r="E516">
            <v>182</v>
          </cell>
          <cell r="F516">
            <v>150</v>
          </cell>
          <cell r="G516">
            <v>222</v>
          </cell>
          <cell r="H516">
            <v>166</v>
          </cell>
          <cell r="I516">
            <v>162</v>
          </cell>
          <cell r="J516">
            <v>314</v>
          </cell>
          <cell r="K516">
            <v>185</v>
          </cell>
          <cell r="L516">
            <v>162</v>
          </cell>
          <cell r="M516">
            <v>202</v>
          </cell>
        </row>
        <row r="517">
          <cell r="A517">
            <v>5181164</v>
          </cell>
          <cell r="B517">
            <v>5114675</v>
          </cell>
          <cell r="C517">
            <v>4410</v>
          </cell>
          <cell r="D517">
            <v>2178270</v>
          </cell>
          <cell r="E517">
            <v>122</v>
          </cell>
          <cell r="F517">
            <v>109</v>
          </cell>
          <cell r="G517">
            <v>101</v>
          </cell>
          <cell r="H517">
            <v>91</v>
          </cell>
          <cell r="I517">
            <v>95</v>
          </cell>
          <cell r="J517">
            <v>100</v>
          </cell>
          <cell r="K517">
            <v>122</v>
          </cell>
          <cell r="L517">
            <v>104</v>
          </cell>
          <cell r="M517">
            <v>102</v>
          </cell>
        </row>
        <row r="518">
          <cell r="A518">
            <v>5175064</v>
          </cell>
          <cell r="B518">
            <v>5111625</v>
          </cell>
          <cell r="C518">
            <v>4410</v>
          </cell>
          <cell r="D518">
            <v>7314866</v>
          </cell>
          <cell r="E518">
            <v>154</v>
          </cell>
          <cell r="F518">
            <v>140</v>
          </cell>
          <cell r="G518">
            <v>168</v>
          </cell>
          <cell r="H518">
            <v>128</v>
          </cell>
          <cell r="I518">
            <v>138</v>
          </cell>
          <cell r="J518">
            <v>135</v>
          </cell>
          <cell r="K518">
            <v>175</v>
          </cell>
          <cell r="L518">
            <v>217</v>
          </cell>
          <cell r="M518">
            <v>175</v>
          </cell>
        </row>
        <row r="519">
          <cell r="A519">
            <v>5174972</v>
          </cell>
          <cell r="B519">
            <v>5111579</v>
          </cell>
          <cell r="C519">
            <v>4410</v>
          </cell>
          <cell r="D519">
            <v>7129741</v>
          </cell>
          <cell r="E519">
            <v>261</v>
          </cell>
          <cell r="F519">
            <v>228</v>
          </cell>
          <cell r="G519">
            <v>222</v>
          </cell>
          <cell r="H519">
            <v>182</v>
          </cell>
          <cell r="I519">
            <v>197</v>
          </cell>
          <cell r="J519">
            <v>167</v>
          </cell>
          <cell r="K519">
            <v>152</v>
          </cell>
          <cell r="L519">
            <v>121</v>
          </cell>
          <cell r="M519">
            <v>396</v>
          </cell>
        </row>
        <row r="520">
          <cell r="A520">
            <v>5175236</v>
          </cell>
          <cell r="B520">
            <v>5111711</v>
          </cell>
          <cell r="C520">
            <v>4410</v>
          </cell>
          <cell r="D520">
            <v>7129869</v>
          </cell>
          <cell r="E520">
            <v>110</v>
          </cell>
          <cell r="F520">
            <v>91</v>
          </cell>
          <cell r="G520">
            <v>119</v>
          </cell>
          <cell r="H520">
            <v>123</v>
          </cell>
          <cell r="I520">
            <v>132</v>
          </cell>
          <cell r="J520">
            <v>125</v>
          </cell>
          <cell r="K520">
            <v>150</v>
          </cell>
          <cell r="L520">
            <v>152</v>
          </cell>
          <cell r="M520">
            <v>181</v>
          </cell>
        </row>
        <row r="521">
          <cell r="A521">
            <v>5175106</v>
          </cell>
          <cell r="B521">
            <v>5111646</v>
          </cell>
          <cell r="C521">
            <v>4410</v>
          </cell>
          <cell r="D521">
            <v>7117821</v>
          </cell>
          <cell r="E521">
            <v>109</v>
          </cell>
          <cell r="F521">
            <v>96</v>
          </cell>
          <cell r="G521">
            <v>118</v>
          </cell>
          <cell r="H521">
            <v>102</v>
          </cell>
          <cell r="I521">
            <v>120</v>
          </cell>
          <cell r="J521">
            <v>77</v>
          </cell>
          <cell r="K521">
            <v>114</v>
          </cell>
          <cell r="L521">
            <v>81</v>
          </cell>
          <cell r="M521">
            <v>116</v>
          </cell>
        </row>
        <row r="522">
          <cell r="A522">
            <v>5175126</v>
          </cell>
          <cell r="B522">
            <v>5111656</v>
          </cell>
          <cell r="C522">
            <v>4410</v>
          </cell>
          <cell r="D522">
            <v>7129903</v>
          </cell>
          <cell r="E522">
            <v>235</v>
          </cell>
          <cell r="F522">
            <v>205</v>
          </cell>
          <cell r="G522">
            <v>193</v>
          </cell>
          <cell r="H522">
            <v>186</v>
          </cell>
          <cell r="I522">
            <v>201</v>
          </cell>
          <cell r="J522">
            <v>193</v>
          </cell>
          <cell r="K522">
            <v>199</v>
          </cell>
          <cell r="L522">
            <v>203</v>
          </cell>
          <cell r="M522">
            <v>204</v>
          </cell>
        </row>
        <row r="523">
          <cell r="A523">
            <v>5181144</v>
          </cell>
          <cell r="B523">
            <v>5114665</v>
          </cell>
          <cell r="C523">
            <v>4410</v>
          </cell>
          <cell r="D523">
            <v>7727099</v>
          </cell>
          <cell r="E523">
            <v>235</v>
          </cell>
          <cell r="F523">
            <v>342</v>
          </cell>
          <cell r="G523">
            <v>175</v>
          </cell>
          <cell r="H523">
            <v>299</v>
          </cell>
          <cell r="I523">
            <v>264</v>
          </cell>
          <cell r="J523">
            <v>214</v>
          </cell>
          <cell r="K523">
            <v>227</v>
          </cell>
          <cell r="L523">
            <v>219</v>
          </cell>
          <cell r="M523">
            <v>490</v>
          </cell>
        </row>
        <row r="524">
          <cell r="A524">
            <v>5181146</v>
          </cell>
          <cell r="B524">
            <v>5114666</v>
          </cell>
          <cell r="C524">
            <v>4410</v>
          </cell>
          <cell r="D524">
            <v>7128985</v>
          </cell>
          <cell r="E524">
            <v>278</v>
          </cell>
          <cell r="F524">
            <v>176</v>
          </cell>
          <cell r="G524">
            <v>204</v>
          </cell>
          <cell r="H524">
            <v>240</v>
          </cell>
          <cell r="I524">
            <v>225</v>
          </cell>
          <cell r="J524">
            <v>205</v>
          </cell>
          <cell r="K524">
            <v>241</v>
          </cell>
          <cell r="L524">
            <v>254</v>
          </cell>
          <cell r="M524">
            <v>224</v>
          </cell>
        </row>
        <row r="525">
          <cell r="A525">
            <v>5051536</v>
          </cell>
          <cell r="B525">
            <v>5049861</v>
          </cell>
          <cell r="C525">
            <v>4410</v>
          </cell>
          <cell r="D525">
            <v>7286434</v>
          </cell>
          <cell r="E525">
            <v>236</v>
          </cell>
          <cell r="F525">
            <v>237</v>
          </cell>
          <cell r="G525">
            <v>260</v>
          </cell>
          <cell r="H525">
            <v>223</v>
          </cell>
          <cell r="I525">
            <v>210</v>
          </cell>
          <cell r="J525">
            <v>197</v>
          </cell>
          <cell r="K525">
            <v>235</v>
          </cell>
          <cell r="L525">
            <v>237</v>
          </cell>
          <cell r="M525">
            <v>199</v>
          </cell>
        </row>
        <row r="526">
          <cell r="A526">
            <v>5181170</v>
          </cell>
          <cell r="B526">
            <v>5114678</v>
          </cell>
          <cell r="C526">
            <v>4410</v>
          </cell>
          <cell r="D526">
            <v>7117754</v>
          </cell>
          <cell r="E526">
            <v>160</v>
          </cell>
          <cell r="F526">
            <v>7</v>
          </cell>
          <cell r="G526">
            <v>273</v>
          </cell>
          <cell r="H526">
            <v>136</v>
          </cell>
          <cell r="I526">
            <v>104</v>
          </cell>
          <cell r="J526">
            <v>129</v>
          </cell>
          <cell r="K526">
            <v>168</v>
          </cell>
          <cell r="L526">
            <v>156</v>
          </cell>
          <cell r="M526">
            <v>121</v>
          </cell>
        </row>
        <row r="527">
          <cell r="A527">
            <v>5175042</v>
          </cell>
          <cell r="B527">
            <v>5111614</v>
          </cell>
          <cell r="C527">
            <v>4410</v>
          </cell>
          <cell r="D527">
            <v>18492543</v>
          </cell>
          <cell r="E527">
            <v>153</v>
          </cell>
          <cell r="F527">
            <v>131</v>
          </cell>
          <cell r="G527">
            <v>126</v>
          </cell>
          <cell r="H527">
            <v>131</v>
          </cell>
          <cell r="I527">
            <v>157</v>
          </cell>
          <cell r="J527">
            <v>156</v>
          </cell>
          <cell r="K527">
            <v>152</v>
          </cell>
          <cell r="L527">
            <v>154</v>
          </cell>
          <cell r="M527">
            <v>138</v>
          </cell>
        </row>
        <row r="528">
          <cell r="A528">
            <v>5174814</v>
          </cell>
          <cell r="B528">
            <v>5111500</v>
          </cell>
          <cell r="C528">
            <v>4410</v>
          </cell>
          <cell r="D528">
            <v>3648819</v>
          </cell>
          <cell r="E528">
            <v>233</v>
          </cell>
          <cell r="F528">
            <v>412</v>
          </cell>
          <cell r="G528">
            <v>200</v>
          </cell>
          <cell r="H528">
            <v>189</v>
          </cell>
          <cell r="I528">
            <v>273</v>
          </cell>
          <cell r="J528">
            <v>339</v>
          </cell>
          <cell r="K528">
            <v>159</v>
          </cell>
          <cell r="L528">
            <v>170</v>
          </cell>
          <cell r="M528">
            <v>178</v>
          </cell>
        </row>
        <row r="529">
          <cell r="A529">
            <v>5181194</v>
          </cell>
          <cell r="B529">
            <v>5114690</v>
          </cell>
          <cell r="C529">
            <v>4410</v>
          </cell>
          <cell r="D529">
            <v>31993432</v>
          </cell>
          <cell r="E529">
            <v>333</v>
          </cell>
          <cell r="F529">
            <v>237</v>
          </cell>
          <cell r="G529">
            <v>174</v>
          </cell>
          <cell r="H529">
            <v>101</v>
          </cell>
          <cell r="I529">
            <v>91</v>
          </cell>
          <cell r="J529">
            <v>187</v>
          </cell>
          <cell r="K529">
            <v>107</v>
          </cell>
          <cell r="L529">
            <v>88</v>
          </cell>
          <cell r="M529">
            <v>127</v>
          </cell>
        </row>
        <row r="530">
          <cell r="A530">
            <v>5181202</v>
          </cell>
          <cell r="B530">
            <v>5114694</v>
          </cell>
          <cell r="C530">
            <v>4410</v>
          </cell>
          <cell r="D530">
            <v>33001596</v>
          </cell>
          <cell r="E530">
            <v>190</v>
          </cell>
          <cell r="F530">
            <v>175</v>
          </cell>
          <cell r="G530">
            <v>139</v>
          </cell>
          <cell r="H530">
            <v>134</v>
          </cell>
          <cell r="I530">
            <v>51</v>
          </cell>
          <cell r="J530">
            <v>19</v>
          </cell>
          <cell r="K530">
            <v>105</v>
          </cell>
          <cell r="L530">
            <v>92</v>
          </cell>
          <cell r="M530">
            <v>91</v>
          </cell>
        </row>
        <row r="531">
          <cell r="A531">
            <v>5181186</v>
          </cell>
          <cell r="B531">
            <v>5114686</v>
          </cell>
          <cell r="C531">
            <v>4410</v>
          </cell>
          <cell r="D531">
            <v>33001601</v>
          </cell>
          <cell r="E531">
            <v>123</v>
          </cell>
          <cell r="F531">
            <v>107</v>
          </cell>
          <cell r="G531">
            <v>128</v>
          </cell>
          <cell r="H531">
            <v>98</v>
          </cell>
          <cell r="I531">
            <v>98</v>
          </cell>
          <cell r="J531">
            <v>131</v>
          </cell>
          <cell r="K531">
            <v>135</v>
          </cell>
          <cell r="L531">
            <v>109</v>
          </cell>
          <cell r="M531">
            <v>118</v>
          </cell>
        </row>
        <row r="532">
          <cell r="A532">
            <v>5181210</v>
          </cell>
          <cell r="B532">
            <v>5114698</v>
          </cell>
          <cell r="C532">
            <v>4410</v>
          </cell>
          <cell r="D532">
            <v>33001773</v>
          </cell>
          <cell r="E532">
            <v>22</v>
          </cell>
          <cell r="F532">
            <v>16</v>
          </cell>
          <cell r="G532">
            <v>22</v>
          </cell>
          <cell r="H532">
            <v>30</v>
          </cell>
          <cell r="I532">
            <v>32</v>
          </cell>
          <cell r="J532">
            <v>26</v>
          </cell>
          <cell r="K532">
            <v>31</v>
          </cell>
          <cell r="L532">
            <v>19</v>
          </cell>
          <cell r="M532">
            <v>27</v>
          </cell>
        </row>
        <row r="533">
          <cell r="A533">
            <v>5174714</v>
          </cell>
          <cell r="B533">
            <v>5111450</v>
          </cell>
          <cell r="C533">
            <v>4410</v>
          </cell>
          <cell r="D533">
            <v>33001188</v>
          </cell>
          <cell r="E533">
            <v>278</v>
          </cell>
          <cell r="F533">
            <v>227</v>
          </cell>
          <cell r="G533">
            <v>249</v>
          </cell>
          <cell r="H533">
            <v>132</v>
          </cell>
          <cell r="I533">
            <v>342</v>
          </cell>
          <cell r="J533">
            <v>206</v>
          </cell>
          <cell r="K533">
            <v>81</v>
          </cell>
          <cell r="L533">
            <v>194</v>
          </cell>
          <cell r="M533">
            <v>204</v>
          </cell>
        </row>
        <row r="534">
          <cell r="A534">
            <v>5174520</v>
          </cell>
          <cell r="B534">
            <v>5111353</v>
          </cell>
          <cell r="C534">
            <v>4410</v>
          </cell>
          <cell r="D534">
            <v>33001602</v>
          </cell>
          <cell r="E534">
            <v>185</v>
          </cell>
          <cell r="F534">
            <v>161</v>
          </cell>
          <cell r="G534">
            <v>150</v>
          </cell>
          <cell r="H534">
            <v>155</v>
          </cell>
          <cell r="I534">
            <v>154</v>
          </cell>
          <cell r="J534">
            <v>151</v>
          </cell>
          <cell r="K534">
            <v>167</v>
          </cell>
          <cell r="L534">
            <v>152</v>
          </cell>
          <cell r="M534">
            <v>157</v>
          </cell>
        </row>
        <row r="535">
          <cell r="A535">
            <v>5174632</v>
          </cell>
          <cell r="B535">
            <v>5111409</v>
          </cell>
          <cell r="C535">
            <v>4410</v>
          </cell>
          <cell r="D535">
            <v>33001169</v>
          </cell>
          <cell r="E535">
            <v>172</v>
          </cell>
          <cell r="F535">
            <v>132</v>
          </cell>
          <cell r="G535">
            <v>269</v>
          </cell>
          <cell r="H535">
            <v>19</v>
          </cell>
          <cell r="I535">
            <v>6</v>
          </cell>
          <cell r="J535">
            <v>75</v>
          </cell>
          <cell r="K535">
            <v>92</v>
          </cell>
          <cell r="L535">
            <v>72</v>
          </cell>
          <cell r="M535">
            <v>68</v>
          </cell>
        </row>
        <row r="536">
          <cell r="A536">
            <v>5181208</v>
          </cell>
          <cell r="B536">
            <v>5114697</v>
          </cell>
          <cell r="C536">
            <v>4410</v>
          </cell>
          <cell r="D536">
            <v>33001662</v>
          </cell>
          <cell r="E536">
            <v>40</v>
          </cell>
          <cell r="F536">
            <v>0</v>
          </cell>
          <cell r="G536">
            <v>0</v>
          </cell>
          <cell r="H536">
            <v>245</v>
          </cell>
          <cell r="I536">
            <v>87</v>
          </cell>
          <cell r="J536">
            <v>93</v>
          </cell>
          <cell r="K536">
            <v>310</v>
          </cell>
          <cell r="L536">
            <v>176</v>
          </cell>
          <cell r="M536">
            <v>128</v>
          </cell>
        </row>
        <row r="537">
          <cell r="A537">
            <v>5181200</v>
          </cell>
          <cell r="B537">
            <v>5114693</v>
          </cell>
          <cell r="C537">
            <v>4410</v>
          </cell>
          <cell r="D537">
            <v>31993387</v>
          </cell>
          <cell r="E537">
            <v>310</v>
          </cell>
          <cell r="F537">
            <v>247</v>
          </cell>
          <cell r="G537">
            <v>208</v>
          </cell>
          <cell r="H537">
            <v>249</v>
          </cell>
          <cell r="I537">
            <v>253</v>
          </cell>
          <cell r="J537">
            <v>434</v>
          </cell>
          <cell r="K537">
            <v>192</v>
          </cell>
          <cell r="L537">
            <v>188</v>
          </cell>
          <cell r="M537">
            <v>221</v>
          </cell>
        </row>
        <row r="538">
          <cell r="A538">
            <v>5174746</v>
          </cell>
          <cell r="B538">
            <v>5111466</v>
          </cell>
          <cell r="C538">
            <v>4410</v>
          </cell>
          <cell r="D538">
            <v>32998192</v>
          </cell>
          <cell r="E538">
            <v>257</v>
          </cell>
          <cell r="F538">
            <v>206</v>
          </cell>
          <cell r="G538">
            <v>213</v>
          </cell>
          <cell r="H538">
            <v>127</v>
          </cell>
          <cell r="I538">
            <v>362</v>
          </cell>
          <cell r="J538">
            <v>212</v>
          </cell>
          <cell r="K538">
            <v>221</v>
          </cell>
          <cell r="L538">
            <v>228</v>
          </cell>
          <cell r="M538">
            <v>231</v>
          </cell>
        </row>
        <row r="539">
          <cell r="A539">
            <v>5174766</v>
          </cell>
          <cell r="B539">
            <v>5111476</v>
          </cell>
          <cell r="C539">
            <v>4410</v>
          </cell>
          <cell r="D539">
            <v>156238</v>
          </cell>
          <cell r="E539">
            <v>233</v>
          </cell>
          <cell r="F539">
            <v>206</v>
          </cell>
          <cell r="G539">
            <v>200</v>
          </cell>
          <cell r="H539">
            <v>189</v>
          </cell>
          <cell r="I539">
            <v>273</v>
          </cell>
          <cell r="J539">
            <v>531</v>
          </cell>
          <cell r="K539">
            <v>205</v>
          </cell>
          <cell r="L539">
            <v>168</v>
          </cell>
          <cell r="M539">
            <v>165</v>
          </cell>
        </row>
        <row r="540">
          <cell r="A540">
            <v>5174744</v>
          </cell>
          <cell r="B540">
            <v>5111465</v>
          </cell>
          <cell r="C540">
            <v>4410</v>
          </cell>
          <cell r="D540">
            <v>31116437</v>
          </cell>
          <cell r="E540">
            <v>233</v>
          </cell>
          <cell r="F540">
            <v>206</v>
          </cell>
          <cell r="G540">
            <v>200</v>
          </cell>
          <cell r="H540">
            <v>189</v>
          </cell>
          <cell r="I540">
            <v>273</v>
          </cell>
          <cell r="J540">
            <v>331</v>
          </cell>
          <cell r="K540">
            <v>321</v>
          </cell>
          <cell r="L540">
            <v>230</v>
          </cell>
          <cell r="M540">
            <v>246</v>
          </cell>
        </row>
        <row r="541">
          <cell r="A541">
            <v>5181188</v>
          </cell>
          <cell r="B541">
            <v>5114687</v>
          </cell>
          <cell r="C541">
            <v>4410</v>
          </cell>
          <cell r="D541">
            <v>3361154</v>
          </cell>
          <cell r="E541">
            <v>58</v>
          </cell>
          <cell r="F541">
            <v>135</v>
          </cell>
          <cell r="G541">
            <v>103</v>
          </cell>
          <cell r="H541">
            <v>105</v>
          </cell>
          <cell r="I541">
            <v>192</v>
          </cell>
          <cell r="J541">
            <v>223</v>
          </cell>
          <cell r="K541">
            <v>248</v>
          </cell>
          <cell r="L541">
            <v>230</v>
          </cell>
          <cell r="M541">
            <v>216</v>
          </cell>
        </row>
        <row r="542">
          <cell r="A542">
            <v>5174748</v>
          </cell>
          <cell r="B542">
            <v>5111467</v>
          </cell>
          <cell r="C542">
            <v>4410</v>
          </cell>
          <cell r="D542">
            <v>3366079</v>
          </cell>
          <cell r="E542">
            <v>14</v>
          </cell>
          <cell r="F542">
            <v>61</v>
          </cell>
          <cell r="G542">
            <v>6</v>
          </cell>
          <cell r="H542">
            <v>32</v>
          </cell>
          <cell r="I542">
            <v>0</v>
          </cell>
          <cell r="J542">
            <v>0</v>
          </cell>
          <cell r="K542">
            <v>7</v>
          </cell>
          <cell r="L542">
            <v>34</v>
          </cell>
          <cell r="M542">
            <v>31</v>
          </cell>
        </row>
        <row r="543">
          <cell r="A543">
            <v>5174788</v>
          </cell>
          <cell r="B543">
            <v>5111487</v>
          </cell>
          <cell r="C543">
            <v>4410</v>
          </cell>
          <cell r="D543">
            <v>1472658</v>
          </cell>
          <cell r="E543">
            <v>233</v>
          </cell>
          <cell r="F543">
            <v>206</v>
          </cell>
          <cell r="G543">
            <v>200</v>
          </cell>
          <cell r="H543">
            <v>3</v>
          </cell>
          <cell r="I543">
            <v>0</v>
          </cell>
          <cell r="J543">
            <v>11</v>
          </cell>
          <cell r="K543">
            <v>47</v>
          </cell>
          <cell r="L543">
            <v>51</v>
          </cell>
          <cell r="M543">
            <v>59</v>
          </cell>
        </row>
        <row r="544">
          <cell r="A544">
            <v>5181216</v>
          </cell>
          <cell r="B544">
            <v>5114701</v>
          </cell>
          <cell r="C544">
            <v>4410</v>
          </cell>
          <cell r="D544">
            <v>10412047</v>
          </cell>
          <cell r="E544">
            <v>208</v>
          </cell>
          <cell r="F544">
            <v>180</v>
          </cell>
          <cell r="G544">
            <v>456</v>
          </cell>
          <cell r="H544">
            <v>108</v>
          </cell>
          <cell r="I544">
            <v>145</v>
          </cell>
          <cell r="J544">
            <v>90</v>
          </cell>
          <cell r="K544">
            <v>73</v>
          </cell>
          <cell r="L544">
            <v>100</v>
          </cell>
          <cell r="M544">
            <v>110</v>
          </cell>
        </row>
        <row r="545">
          <cell r="A545">
            <v>5095546</v>
          </cell>
          <cell r="B545">
            <v>5071866</v>
          </cell>
          <cell r="C545">
            <v>4410</v>
          </cell>
          <cell r="D545">
            <v>3352125</v>
          </cell>
          <cell r="E545">
            <v>437</v>
          </cell>
          <cell r="F545">
            <v>655</v>
          </cell>
          <cell r="G545">
            <v>355</v>
          </cell>
          <cell r="H545">
            <v>310</v>
          </cell>
          <cell r="I545">
            <v>151</v>
          </cell>
          <cell r="J545">
            <v>114</v>
          </cell>
          <cell r="K545">
            <v>109</v>
          </cell>
          <cell r="L545">
            <v>150</v>
          </cell>
          <cell r="M545">
            <v>121</v>
          </cell>
        </row>
        <row r="546">
          <cell r="A546">
            <v>5174740</v>
          </cell>
          <cell r="B546">
            <v>5111463</v>
          </cell>
          <cell r="C546">
            <v>4410</v>
          </cell>
          <cell r="D546">
            <v>10503444</v>
          </cell>
          <cell r="E546">
            <v>233</v>
          </cell>
          <cell r="F546">
            <v>1</v>
          </cell>
          <cell r="G546">
            <v>56</v>
          </cell>
          <cell r="H546">
            <v>130</v>
          </cell>
          <cell r="I546">
            <v>272</v>
          </cell>
          <cell r="J546">
            <v>117</v>
          </cell>
          <cell r="K546">
            <v>25</v>
          </cell>
          <cell r="L546">
            <v>33</v>
          </cell>
          <cell r="M546">
            <v>163</v>
          </cell>
        </row>
        <row r="547">
          <cell r="A547">
            <v>5095544</v>
          </cell>
          <cell r="B547">
            <v>5071865</v>
          </cell>
          <cell r="C547">
            <v>4410</v>
          </cell>
          <cell r="D547">
            <v>10505319</v>
          </cell>
          <cell r="E547">
            <v>172</v>
          </cell>
          <cell r="F547">
            <v>187</v>
          </cell>
          <cell r="G547">
            <v>183</v>
          </cell>
          <cell r="H547">
            <v>151</v>
          </cell>
          <cell r="I547">
            <v>149</v>
          </cell>
          <cell r="J547">
            <v>139</v>
          </cell>
          <cell r="K547">
            <v>118</v>
          </cell>
          <cell r="L547">
            <v>127</v>
          </cell>
          <cell r="M547">
            <v>135</v>
          </cell>
        </row>
        <row r="548">
          <cell r="A548">
            <v>5181192</v>
          </cell>
          <cell r="B548">
            <v>5114689</v>
          </cell>
          <cell r="C548">
            <v>4410</v>
          </cell>
          <cell r="D548">
            <v>5397879</v>
          </cell>
          <cell r="E548">
            <v>379</v>
          </cell>
          <cell r="F548">
            <v>327</v>
          </cell>
          <cell r="G548">
            <v>328</v>
          </cell>
          <cell r="H548">
            <v>307</v>
          </cell>
          <cell r="I548">
            <v>349</v>
          </cell>
          <cell r="J548">
            <v>325</v>
          </cell>
          <cell r="K548">
            <v>317</v>
          </cell>
          <cell r="L548">
            <v>304</v>
          </cell>
          <cell r="M548">
            <v>345</v>
          </cell>
        </row>
        <row r="549">
          <cell r="A549">
            <v>5174562</v>
          </cell>
          <cell r="B549">
            <v>5111374</v>
          </cell>
          <cell r="C549">
            <v>4410</v>
          </cell>
          <cell r="D549">
            <v>156269</v>
          </cell>
          <cell r="E549">
            <v>158</v>
          </cell>
          <cell r="F549">
            <v>132</v>
          </cell>
          <cell r="G549">
            <v>141</v>
          </cell>
          <cell r="H549">
            <v>120</v>
          </cell>
          <cell r="I549">
            <v>114</v>
          </cell>
          <cell r="J549">
            <v>89</v>
          </cell>
          <cell r="K549">
            <v>96</v>
          </cell>
          <cell r="L549">
            <v>103</v>
          </cell>
          <cell r="M549">
            <v>113</v>
          </cell>
        </row>
        <row r="550">
          <cell r="A550">
            <v>5181196</v>
          </cell>
          <cell r="B550">
            <v>5114691</v>
          </cell>
          <cell r="C550">
            <v>4410</v>
          </cell>
          <cell r="D550">
            <v>16007159</v>
          </cell>
          <cell r="E550">
            <v>176</v>
          </cell>
          <cell r="F550">
            <v>94</v>
          </cell>
          <cell r="G550">
            <v>145</v>
          </cell>
          <cell r="H550">
            <v>0</v>
          </cell>
          <cell r="I550">
            <v>64</v>
          </cell>
          <cell r="J550">
            <v>86</v>
          </cell>
          <cell r="K550">
            <v>127</v>
          </cell>
          <cell r="L550">
            <v>90</v>
          </cell>
          <cell r="M550">
            <v>85</v>
          </cell>
        </row>
        <row r="551">
          <cell r="A551">
            <v>5174500</v>
          </cell>
          <cell r="B551">
            <v>5111343</v>
          </cell>
          <cell r="C551">
            <v>4410</v>
          </cell>
          <cell r="D551">
            <v>2935810</v>
          </cell>
          <cell r="E551">
            <v>163</v>
          </cell>
          <cell r="F551">
            <v>127</v>
          </cell>
          <cell r="G551">
            <v>342</v>
          </cell>
          <cell r="H551">
            <v>193</v>
          </cell>
          <cell r="I551">
            <v>168</v>
          </cell>
          <cell r="J551">
            <v>144</v>
          </cell>
          <cell r="K551">
            <v>120</v>
          </cell>
          <cell r="L551">
            <v>159</v>
          </cell>
          <cell r="M551">
            <v>306</v>
          </cell>
        </row>
        <row r="552">
          <cell r="A552">
            <v>5174614</v>
          </cell>
          <cell r="B552">
            <v>5111400</v>
          </cell>
          <cell r="C552">
            <v>4410</v>
          </cell>
          <cell r="D552">
            <v>1618667</v>
          </cell>
          <cell r="E552">
            <v>105</v>
          </cell>
          <cell r="F552">
            <v>128</v>
          </cell>
          <cell r="G552">
            <v>139</v>
          </cell>
          <cell r="H552">
            <v>132</v>
          </cell>
          <cell r="I552">
            <v>86</v>
          </cell>
          <cell r="J552">
            <v>80</v>
          </cell>
          <cell r="K552">
            <v>73</v>
          </cell>
          <cell r="L552">
            <v>85</v>
          </cell>
          <cell r="M552">
            <v>149</v>
          </cell>
        </row>
        <row r="553">
          <cell r="A553">
            <v>5174730</v>
          </cell>
          <cell r="B553">
            <v>5111458</v>
          </cell>
          <cell r="C553">
            <v>4410</v>
          </cell>
          <cell r="D553">
            <v>1908798</v>
          </cell>
          <cell r="E553">
            <v>70</v>
          </cell>
          <cell r="F553">
            <v>39</v>
          </cell>
          <cell r="G553">
            <v>14</v>
          </cell>
          <cell r="H553">
            <v>11</v>
          </cell>
          <cell r="I553">
            <v>13</v>
          </cell>
          <cell r="J553">
            <v>8</v>
          </cell>
          <cell r="K553">
            <v>7</v>
          </cell>
          <cell r="L553">
            <v>13</v>
          </cell>
          <cell r="M553">
            <v>462</v>
          </cell>
        </row>
        <row r="554">
          <cell r="A554">
            <v>5174732</v>
          </cell>
          <cell r="B554">
            <v>5111459</v>
          </cell>
          <cell r="C554">
            <v>4410</v>
          </cell>
          <cell r="D554">
            <v>1618663</v>
          </cell>
          <cell r="E554">
            <v>228</v>
          </cell>
          <cell r="F554">
            <v>201</v>
          </cell>
          <cell r="G554">
            <v>209</v>
          </cell>
          <cell r="H554">
            <v>204</v>
          </cell>
          <cell r="I554">
            <v>214</v>
          </cell>
          <cell r="J554">
            <v>217</v>
          </cell>
          <cell r="K554">
            <v>217</v>
          </cell>
          <cell r="L554">
            <v>219</v>
          </cell>
          <cell r="M554">
            <v>233</v>
          </cell>
        </row>
        <row r="555">
          <cell r="A555">
            <v>5174750</v>
          </cell>
          <cell r="B555">
            <v>5111468</v>
          </cell>
          <cell r="C555">
            <v>4410</v>
          </cell>
          <cell r="D555">
            <v>1911856</v>
          </cell>
          <cell r="E555">
            <v>78</v>
          </cell>
          <cell r="F555">
            <v>52</v>
          </cell>
          <cell r="G555">
            <v>23</v>
          </cell>
          <cell r="H555">
            <v>53</v>
          </cell>
          <cell r="I555">
            <v>57</v>
          </cell>
          <cell r="J555">
            <v>57</v>
          </cell>
          <cell r="K555">
            <v>34</v>
          </cell>
          <cell r="L555">
            <v>14</v>
          </cell>
          <cell r="M555">
            <v>0</v>
          </cell>
        </row>
        <row r="556">
          <cell r="A556">
            <v>5174570</v>
          </cell>
          <cell r="B556">
            <v>5111378</v>
          </cell>
          <cell r="C556">
            <v>4410</v>
          </cell>
          <cell r="D556">
            <v>1617397</v>
          </cell>
          <cell r="E556">
            <v>153</v>
          </cell>
          <cell r="F556">
            <v>142</v>
          </cell>
          <cell r="G556">
            <v>129</v>
          </cell>
          <cell r="H556">
            <v>67</v>
          </cell>
          <cell r="I556">
            <v>53</v>
          </cell>
          <cell r="J556">
            <v>51</v>
          </cell>
          <cell r="K556">
            <v>50</v>
          </cell>
          <cell r="L556">
            <v>67</v>
          </cell>
          <cell r="M556">
            <v>71</v>
          </cell>
        </row>
        <row r="557">
          <cell r="A557">
            <v>5174834</v>
          </cell>
          <cell r="B557">
            <v>5111510</v>
          </cell>
          <cell r="C557">
            <v>4410</v>
          </cell>
          <cell r="D557">
            <v>1617687</v>
          </cell>
          <cell r="E557">
            <v>648</v>
          </cell>
          <cell r="F557">
            <v>507</v>
          </cell>
          <cell r="G557">
            <v>493</v>
          </cell>
          <cell r="H557">
            <v>472</v>
          </cell>
          <cell r="I557">
            <v>550</v>
          </cell>
          <cell r="J557">
            <v>489</v>
          </cell>
          <cell r="K557">
            <v>496</v>
          </cell>
          <cell r="L557">
            <v>495</v>
          </cell>
          <cell r="M557">
            <v>527</v>
          </cell>
        </row>
        <row r="558">
          <cell r="A558">
            <v>5072676</v>
          </cell>
          <cell r="B558">
            <v>5060431</v>
          </cell>
          <cell r="C558">
            <v>4410</v>
          </cell>
          <cell r="D558">
            <v>1692471</v>
          </cell>
          <cell r="E558">
            <v>278</v>
          </cell>
          <cell r="F558">
            <v>247</v>
          </cell>
          <cell r="G558">
            <v>270</v>
          </cell>
          <cell r="H558">
            <v>268</v>
          </cell>
          <cell r="I558">
            <v>263</v>
          </cell>
          <cell r="J558">
            <v>241</v>
          </cell>
          <cell r="K558">
            <v>239</v>
          </cell>
          <cell r="L558">
            <v>228</v>
          </cell>
          <cell r="M558">
            <v>311</v>
          </cell>
        </row>
        <row r="559">
          <cell r="A559">
            <v>5174728</v>
          </cell>
          <cell r="B559">
            <v>5111457</v>
          </cell>
          <cell r="C559">
            <v>4410</v>
          </cell>
          <cell r="D559">
            <v>70003617</v>
          </cell>
          <cell r="E559">
            <v>103</v>
          </cell>
          <cell r="F559">
            <v>102</v>
          </cell>
          <cell r="G559">
            <v>96</v>
          </cell>
          <cell r="H559">
            <v>116</v>
          </cell>
          <cell r="I559">
            <v>143</v>
          </cell>
          <cell r="J559">
            <v>111</v>
          </cell>
          <cell r="K559">
            <v>104</v>
          </cell>
          <cell r="L559">
            <v>104</v>
          </cell>
          <cell r="M559">
            <v>223</v>
          </cell>
        </row>
        <row r="560">
          <cell r="A560">
            <v>5174558</v>
          </cell>
          <cell r="B560">
            <v>5111372</v>
          </cell>
          <cell r="C560">
            <v>4410</v>
          </cell>
          <cell r="D560">
            <v>6821752</v>
          </cell>
          <cell r="E560">
            <v>223</v>
          </cell>
          <cell r="F560">
            <v>94</v>
          </cell>
          <cell r="G560">
            <v>74</v>
          </cell>
          <cell r="H560">
            <v>76</v>
          </cell>
          <cell r="I560">
            <v>80</v>
          </cell>
          <cell r="J560">
            <v>99</v>
          </cell>
          <cell r="K560">
            <v>112</v>
          </cell>
          <cell r="L560">
            <v>101</v>
          </cell>
          <cell r="M560">
            <v>174</v>
          </cell>
        </row>
        <row r="561">
          <cell r="A561">
            <v>5174556</v>
          </cell>
          <cell r="B561">
            <v>5111371</v>
          </cell>
          <cell r="C561">
            <v>4410</v>
          </cell>
          <cell r="D561">
            <v>3726725</v>
          </cell>
          <cell r="E561">
            <v>227</v>
          </cell>
          <cell r="F561">
            <v>199</v>
          </cell>
          <cell r="G561">
            <v>210</v>
          </cell>
          <cell r="H561">
            <v>203</v>
          </cell>
          <cell r="I561">
            <v>204</v>
          </cell>
          <cell r="J561">
            <v>164</v>
          </cell>
          <cell r="K561">
            <v>159</v>
          </cell>
          <cell r="L561">
            <v>150</v>
          </cell>
          <cell r="M561">
            <v>156</v>
          </cell>
        </row>
        <row r="562">
          <cell r="A562">
            <v>5174536</v>
          </cell>
          <cell r="B562">
            <v>5111361</v>
          </cell>
          <cell r="C562">
            <v>4410</v>
          </cell>
          <cell r="D562">
            <v>1616912</v>
          </cell>
          <cell r="E562">
            <v>163</v>
          </cell>
          <cell r="F562">
            <v>136</v>
          </cell>
          <cell r="G562">
            <v>112</v>
          </cell>
          <cell r="H562">
            <v>0</v>
          </cell>
          <cell r="I562">
            <v>48</v>
          </cell>
          <cell r="J562">
            <v>16</v>
          </cell>
          <cell r="K562">
            <v>20</v>
          </cell>
          <cell r="L562">
            <v>26</v>
          </cell>
          <cell r="M562">
            <v>81</v>
          </cell>
        </row>
        <row r="563">
          <cell r="A563">
            <v>5174654</v>
          </cell>
          <cell r="B563">
            <v>5111420</v>
          </cell>
          <cell r="C563">
            <v>4410</v>
          </cell>
          <cell r="D563">
            <v>3726685</v>
          </cell>
          <cell r="E563">
            <v>111</v>
          </cell>
          <cell r="F563">
            <v>94</v>
          </cell>
          <cell r="G563">
            <v>111</v>
          </cell>
          <cell r="H563">
            <v>147</v>
          </cell>
          <cell r="I563">
            <v>146</v>
          </cell>
          <cell r="J563">
            <v>137</v>
          </cell>
          <cell r="K563">
            <v>145</v>
          </cell>
          <cell r="L563">
            <v>140</v>
          </cell>
          <cell r="M563">
            <v>178</v>
          </cell>
        </row>
        <row r="564">
          <cell r="A564">
            <v>5181218</v>
          </cell>
          <cell r="B564">
            <v>5114702</v>
          </cell>
          <cell r="C564">
            <v>4410</v>
          </cell>
          <cell r="D564">
            <v>3726394</v>
          </cell>
          <cell r="E564">
            <v>56</v>
          </cell>
          <cell r="F564">
            <v>47</v>
          </cell>
          <cell r="G564">
            <v>104</v>
          </cell>
          <cell r="H564">
            <v>148</v>
          </cell>
          <cell r="I564">
            <v>90</v>
          </cell>
          <cell r="J564">
            <v>90</v>
          </cell>
          <cell r="K564">
            <v>83</v>
          </cell>
          <cell r="L564">
            <v>94</v>
          </cell>
          <cell r="M564">
            <v>111</v>
          </cell>
        </row>
        <row r="565">
          <cell r="A565">
            <v>5174742</v>
          </cell>
          <cell r="B565">
            <v>5111464</v>
          </cell>
          <cell r="C565">
            <v>4410</v>
          </cell>
          <cell r="D565">
            <v>7129712</v>
          </cell>
          <cell r="E565">
            <v>66</v>
          </cell>
          <cell r="F565">
            <v>63</v>
          </cell>
          <cell r="G565">
            <v>83</v>
          </cell>
          <cell r="H565">
            <v>73</v>
          </cell>
          <cell r="I565">
            <v>73</v>
          </cell>
          <cell r="J565">
            <v>70</v>
          </cell>
          <cell r="K565">
            <v>78</v>
          </cell>
          <cell r="L565">
            <v>78</v>
          </cell>
          <cell r="M565">
            <v>84</v>
          </cell>
        </row>
        <row r="566">
          <cell r="A566">
            <v>5095548</v>
          </cell>
          <cell r="B566">
            <v>5071867</v>
          </cell>
          <cell r="C566">
            <v>4410</v>
          </cell>
          <cell r="D566">
            <v>6894254</v>
          </cell>
          <cell r="E566">
            <v>73</v>
          </cell>
          <cell r="F566">
            <v>63</v>
          </cell>
          <cell r="G566">
            <v>62</v>
          </cell>
          <cell r="H566">
            <v>57</v>
          </cell>
          <cell r="I566">
            <v>145</v>
          </cell>
          <cell r="J566">
            <v>76</v>
          </cell>
          <cell r="K566">
            <v>230</v>
          </cell>
          <cell r="L566">
            <v>153</v>
          </cell>
          <cell r="M566">
            <v>122</v>
          </cell>
        </row>
        <row r="567">
          <cell r="A567">
            <v>5174592</v>
          </cell>
          <cell r="B567">
            <v>5111389</v>
          </cell>
          <cell r="C567">
            <v>4410</v>
          </cell>
          <cell r="D567">
            <v>7117911</v>
          </cell>
          <cell r="E567">
            <v>357</v>
          </cell>
          <cell r="F567">
            <v>330</v>
          </cell>
          <cell r="G567">
            <v>330</v>
          </cell>
          <cell r="H567">
            <v>313</v>
          </cell>
          <cell r="I567">
            <v>326</v>
          </cell>
          <cell r="J567">
            <v>313</v>
          </cell>
          <cell r="K567">
            <v>341</v>
          </cell>
          <cell r="L567">
            <v>311</v>
          </cell>
          <cell r="M567">
            <v>332</v>
          </cell>
        </row>
        <row r="568">
          <cell r="A568">
            <v>5174734</v>
          </cell>
          <cell r="B568">
            <v>5111460</v>
          </cell>
          <cell r="C568">
            <v>4410</v>
          </cell>
          <cell r="D568">
            <v>7729420</v>
          </cell>
          <cell r="E568">
            <v>205</v>
          </cell>
          <cell r="F568">
            <v>177</v>
          </cell>
          <cell r="G568">
            <v>182</v>
          </cell>
          <cell r="H568">
            <v>221</v>
          </cell>
          <cell r="I568">
            <v>214</v>
          </cell>
          <cell r="J568">
            <v>198</v>
          </cell>
          <cell r="K568">
            <v>202</v>
          </cell>
          <cell r="L568">
            <v>167</v>
          </cell>
          <cell r="M568">
            <v>189</v>
          </cell>
        </row>
        <row r="569">
          <cell r="A569">
            <v>5181190</v>
          </cell>
          <cell r="B569">
            <v>5114688</v>
          </cell>
          <cell r="C569">
            <v>4410</v>
          </cell>
          <cell r="D569">
            <v>15961073</v>
          </cell>
          <cell r="E569">
            <v>139</v>
          </cell>
          <cell r="F569">
            <v>141</v>
          </cell>
          <cell r="G569">
            <v>0</v>
          </cell>
          <cell r="H569">
            <v>120</v>
          </cell>
          <cell r="I569">
            <v>179</v>
          </cell>
          <cell r="J569">
            <v>104</v>
          </cell>
          <cell r="K569">
            <v>0</v>
          </cell>
          <cell r="L569">
            <v>166</v>
          </cell>
          <cell r="M569">
            <v>165</v>
          </cell>
        </row>
        <row r="570">
          <cell r="A570">
            <v>5181198</v>
          </cell>
          <cell r="B570">
            <v>5114692</v>
          </cell>
          <cell r="C570">
            <v>4410</v>
          </cell>
          <cell r="D570">
            <v>15960526</v>
          </cell>
          <cell r="E570">
            <v>80</v>
          </cell>
          <cell r="F570">
            <v>62</v>
          </cell>
          <cell r="G570">
            <v>45</v>
          </cell>
          <cell r="H570">
            <v>44</v>
          </cell>
          <cell r="I570">
            <v>39</v>
          </cell>
          <cell r="J570">
            <v>34</v>
          </cell>
          <cell r="K570">
            <v>34</v>
          </cell>
          <cell r="L570">
            <v>31</v>
          </cell>
          <cell r="M570">
            <v>39</v>
          </cell>
        </row>
        <row r="571">
          <cell r="A571">
            <v>5181214</v>
          </cell>
          <cell r="B571">
            <v>5114700</v>
          </cell>
          <cell r="C571">
            <v>4410</v>
          </cell>
          <cell r="D571">
            <v>6997086</v>
          </cell>
          <cell r="E571">
            <v>0</v>
          </cell>
          <cell r="F571">
            <v>0</v>
          </cell>
          <cell r="G571">
            <v>0</v>
          </cell>
          <cell r="H571">
            <v>50</v>
          </cell>
          <cell r="I571">
            <v>99</v>
          </cell>
          <cell r="J571">
            <v>74</v>
          </cell>
          <cell r="K571">
            <v>83</v>
          </cell>
          <cell r="L571">
            <v>75</v>
          </cell>
          <cell r="M571">
            <v>63</v>
          </cell>
        </row>
        <row r="572">
          <cell r="A572">
            <v>5174806</v>
          </cell>
          <cell r="B572">
            <v>5111496</v>
          </cell>
          <cell r="C572">
            <v>4410</v>
          </cell>
          <cell r="D572">
            <v>445011</v>
          </cell>
          <cell r="E572">
            <v>75</v>
          </cell>
          <cell r="F572">
            <v>56</v>
          </cell>
          <cell r="G572">
            <v>58</v>
          </cell>
          <cell r="H572">
            <v>59</v>
          </cell>
          <cell r="I572">
            <v>72</v>
          </cell>
          <cell r="J572">
            <v>43</v>
          </cell>
          <cell r="K572">
            <v>48</v>
          </cell>
          <cell r="L572">
            <v>64</v>
          </cell>
          <cell r="M572">
            <v>66</v>
          </cell>
        </row>
        <row r="573">
          <cell r="A573">
            <v>5181212</v>
          </cell>
          <cell r="B573">
            <v>5114699</v>
          </cell>
          <cell r="C573">
            <v>4410</v>
          </cell>
          <cell r="D573">
            <v>443767</v>
          </cell>
          <cell r="E573">
            <v>144</v>
          </cell>
          <cell r="F573">
            <v>123</v>
          </cell>
          <cell r="G573">
            <v>12</v>
          </cell>
          <cell r="H573">
            <v>142</v>
          </cell>
          <cell r="I573">
            <v>140</v>
          </cell>
          <cell r="J573">
            <v>128</v>
          </cell>
          <cell r="K573">
            <v>158</v>
          </cell>
          <cell r="L573">
            <v>182</v>
          </cell>
          <cell r="M573">
            <v>213</v>
          </cell>
        </row>
        <row r="574">
          <cell r="A574">
            <v>5174692</v>
          </cell>
          <cell r="B574">
            <v>5111439</v>
          </cell>
          <cell r="C574">
            <v>4410</v>
          </cell>
          <cell r="D574">
            <v>156092</v>
          </cell>
          <cell r="E574">
            <v>172</v>
          </cell>
          <cell r="F574">
            <v>152</v>
          </cell>
          <cell r="G574">
            <v>148</v>
          </cell>
          <cell r="H574">
            <v>144</v>
          </cell>
          <cell r="I574">
            <v>213</v>
          </cell>
          <cell r="J574">
            <v>183</v>
          </cell>
          <cell r="K574">
            <v>193</v>
          </cell>
          <cell r="L574">
            <v>172</v>
          </cell>
          <cell r="M574">
            <v>184</v>
          </cell>
        </row>
        <row r="575">
          <cell r="A575">
            <v>5174674</v>
          </cell>
          <cell r="B575">
            <v>5111430</v>
          </cell>
          <cell r="C575">
            <v>4410</v>
          </cell>
          <cell r="D575">
            <v>156074</v>
          </cell>
          <cell r="E575">
            <v>172</v>
          </cell>
          <cell r="F575">
            <v>152</v>
          </cell>
          <cell r="G575">
            <v>148</v>
          </cell>
          <cell r="H575">
            <v>144</v>
          </cell>
          <cell r="I575">
            <v>213</v>
          </cell>
          <cell r="J575">
            <v>183</v>
          </cell>
          <cell r="K575">
            <v>193</v>
          </cell>
          <cell r="L575">
            <v>172</v>
          </cell>
          <cell r="M575">
            <v>184</v>
          </cell>
        </row>
        <row r="576">
          <cell r="A576">
            <v>5181206</v>
          </cell>
          <cell r="B576">
            <v>5114696</v>
          </cell>
          <cell r="C576">
            <v>4410</v>
          </cell>
          <cell r="D576">
            <v>31993760</v>
          </cell>
          <cell r="E576">
            <v>99</v>
          </cell>
          <cell r="F576">
            <v>27</v>
          </cell>
          <cell r="G576">
            <v>26</v>
          </cell>
          <cell r="H576">
            <v>58</v>
          </cell>
          <cell r="I576">
            <v>26</v>
          </cell>
          <cell r="J576">
            <v>39</v>
          </cell>
          <cell r="K576">
            <v>35</v>
          </cell>
          <cell r="L576">
            <v>19</v>
          </cell>
          <cell r="M576">
            <v>34</v>
          </cell>
        </row>
        <row r="577">
          <cell r="A577">
            <v>5095596</v>
          </cell>
          <cell r="B577">
            <v>5071891</v>
          </cell>
          <cell r="C577">
            <v>4410</v>
          </cell>
          <cell r="E577">
            <v>172</v>
          </cell>
          <cell r="F577">
            <v>143</v>
          </cell>
          <cell r="H577">
            <v>157</v>
          </cell>
          <cell r="I577">
            <v>149</v>
          </cell>
          <cell r="J577">
            <v>207</v>
          </cell>
          <cell r="K577">
            <v>189</v>
          </cell>
          <cell r="L577">
            <v>181</v>
          </cell>
          <cell r="M577">
            <v>183</v>
          </cell>
        </row>
        <row r="578">
          <cell r="A578">
            <v>5174188</v>
          </cell>
          <cell r="B578">
            <v>5111187</v>
          </cell>
          <cell r="C578">
            <v>4410</v>
          </cell>
          <cell r="E578">
            <v>233</v>
          </cell>
          <cell r="F578">
            <v>206</v>
          </cell>
          <cell r="G578">
            <v>200</v>
          </cell>
          <cell r="H578">
            <v>189</v>
          </cell>
          <cell r="I578">
            <v>273</v>
          </cell>
          <cell r="J578">
            <v>237</v>
          </cell>
          <cell r="K578">
            <v>251</v>
          </cell>
          <cell r="L578">
            <v>224</v>
          </cell>
          <cell r="M578">
            <v>242</v>
          </cell>
        </row>
        <row r="579">
          <cell r="A579">
            <v>5181262</v>
          </cell>
          <cell r="B579">
            <v>5114724</v>
          </cell>
          <cell r="C579">
            <v>4410</v>
          </cell>
          <cell r="D579">
            <v>33001584</v>
          </cell>
          <cell r="E579">
            <v>430</v>
          </cell>
          <cell r="F579">
            <v>474</v>
          </cell>
          <cell r="G579">
            <v>427</v>
          </cell>
          <cell r="H579">
            <v>455</v>
          </cell>
          <cell r="I579">
            <v>434</v>
          </cell>
          <cell r="J579">
            <v>453</v>
          </cell>
          <cell r="K579">
            <v>584</v>
          </cell>
          <cell r="L579">
            <v>422</v>
          </cell>
          <cell r="M579">
            <v>470</v>
          </cell>
        </row>
        <row r="580">
          <cell r="A580">
            <v>5181260</v>
          </cell>
          <cell r="B580">
            <v>5114723</v>
          </cell>
          <cell r="C580">
            <v>4410</v>
          </cell>
          <cell r="D580">
            <v>33001792</v>
          </cell>
          <cell r="E580">
            <v>110</v>
          </cell>
          <cell r="F580">
            <v>95</v>
          </cell>
          <cell r="G580">
            <v>89</v>
          </cell>
          <cell r="H580">
            <v>87</v>
          </cell>
          <cell r="I580">
            <v>87</v>
          </cell>
          <cell r="J580">
            <v>84</v>
          </cell>
          <cell r="K580">
            <v>81</v>
          </cell>
          <cell r="L580">
            <v>66</v>
          </cell>
          <cell r="M580">
            <v>84</v>
          </cell>
        </row>
        <row r="581">
          <cell r="A581">
            <v>5181270</v>
          </cell>
          <cell r="B581">
            <v>5114728</v>
          </cell>
          <cell r="C581">
            <v>4410</v>
          </cell>
          <cell r="D581">
            <v>33001774</v>
          </cell>
          <cell r="E581">
            <v>83</v>
          </cell>
          <cell r="F581">
            <v>83</v>
          </cell>
          <cell r="G581">
            <v>86</v>
          </cell>
          <cell r="H581">
            <v>91</v>
          </cell>
          <cell r="I581">
            <v>85</v>
          </cell>
          <cell r="J581">
            <v>101</v>
          </cell>
          <cell r="K581">
            <v>112</v>
          </cell>
          <cell r="L581">
            <v>152</v>
          </cell>
          <cell r="M581">
            <v>106</v>
          </cell>
        </row>
        <row r="582">
          <cell r="A582">
            <v>5181236</v>
          </cell>
          <cell r="B582">
            <v>5114711</v>
          </cell>
          <cell r="C582">
            <v>4410</v>
          </cell>
          <cell r="D582">
            <v>33001663</v>
          </cell>
          <cell r="E582">
            <v>172</v>
          </cell>
          <cell r="F582">
            <v>124</v>
          </cell>
          <cell r="G582">
            <v>110</v>
          </cell>
          <cell r="H582">
            <v>119</v>
          </cell>
          <cell r="I582">
            <v>96</v>
          </cell>
          <cell r="J582">
            <v>96</v>
          </cell>
          <cell r="K582">
            <v>99</v>
          </cell>
          <cell r="L582">
            <v>126</v>
          </cell>
          <cell r="M582">
            <v>109</v>
          </cell>
        </row>
        <row r="583">
          <cell r="A583">
            <v>5174316</v>
          </cell>
          <cell r="B583">
            <v>5111251</v>
          </cell>
          <cell r="C583">
            <v>4410</v>
          </cell>
          <cell r="D583">
            <v>33001191</v>
          </cell>
          <cell r="E583">
            <v>263</v>
          </cell>
          <cell r="F583">
            <v>462</v>
          </cell>
          <cell r="G583">
            <v>450</v>
          </cell>
          <cell r="H583">
            <v>210</v>
          </cell>
          <cell r="I583">
            <v>226</v>
          </cell>
          <cell r="J583">
            <v>185</v>
          </cell>
          <cell r="K583">
            <v>64</v>
          </cell>
          <cell r="L583">
            <v>169</v>
          </cell>
          <cell r="M583">
            <v>183</v>
          </cell>
        </row>
        <row r="584">
          <cell r="A584">
            <v>5174226</v>
          </cell>
          <cell r="B584">
            <v>5111206</v>
          </cell>
          <cell r="C584">
            <v>4410</v>
          </cell>
          <cell r="D584">
            <v>33001570</v>
          </cell>
          <cell r="E584">
            <v>56</v>
          </cell>
          <cell r="F584">
            <v>109</v>
          </cell>
          <cell r="G584">
            <v>45</v>
          </cell>
          <cell r="H584">
            <v>96</v>
          </cell>
          <cell r="I584">
            <v>113</v>
          </cell>
          <cell r="J584">
            <v>51</v>
          </cell>
          <cell r="K584">
            <v>80</v>
          </cell>
          <cell r="L584">
            <v>77</v>
          </cell>
          <cell r="M584">
            <v>78</v>
          </cell>
        </row>
        <row r="585">
          <cell r="A585">
            <v>5174002</v>
          </cell>
          <cell r="B585">
            <v>5111094</v>
          </cell>
          <cell r="C585">
            <v>4410</v>
          </cell>
          <cell r="D585">
            <v>33001430</v>
          </cell>
          <cell r="E585">
            <v>10</v>
          </cell>
          <cell r="F585">
            <v>73</v>
          </cell>
          <cell r="G585">
            <v>60</v>
          </cell>
          <cell r="H585">
            <v>58</v>
          </cell>
          <cell r="I585">
            <v>71</v>
          </cell>
          <cell r="J585">
            <v>45</v>
          </cell>
          <cell r="K585">
            <v>54</v>
          </cell>
          <cell r="L585">
            <v>57</v>
          </cell>
          <cell r="M585">
            <v>58</v>
          </cell>
        </row>
        <row r="586">
          <cell r="A586">
            <v>5174258</v>
          </cell>
          <cell r="B586">
            <v>5111222</v>
          </cell>
          <cell r="C586">
            <v>4410</v>
          </cell>
          <cell r="D586">
            <v>33001417</v>
          </cell>
          <cell r="E586">
            <v>112</v>
          </cell>
          <cell r="F586">
            <v>111</v>
          </cell>
          <cell r="G586">
            <v>70</v>
          </cell>
          <cell r="H586">
            <v>83</v>
          </cell>
          <cell r="I586">
            <v>103</v>
          </cell>
          <cell r="J586">
            <v>99</v>
          </cell>
          <cell r="K586">
            <v>96</v>
          </cell>
          <cell r="L586">
            <v>107</v>
          </cell>
          <cell r="M586">
            <v>95</v>
          </cell>
        </row>
        <row r="587">
          <cell r="A587">
            <v>5174208</v>
          </cell>
          <cell r="B587">
            <v>5111197</v>
          </cell>
          <cell r="C587">
            <v>4410</v>
          </cell>
          <cell r="D587">
            <v>33001419</v>
          </cell>
          <cell r="E587">
            <v>291</v>
          </cell>
          <cell r="F587">
            <v>256</v>
          </cell>
          <cell r="G587">
            <v>271</v>
          </cell>
          <cell r="H587">
            <v>267</v>
          </cell>
          <cell r="I587">
            <v>289</v>
          </cell>
          <cell r="J587">
            <v>260</v>
          </cell>
          <cell r="K587">
            <v>274</v>
          </cell>
          <cell r="L587">
            <v>273</v>
          </cell>
          <cell r="M587">
            <v>277</v>
          </cell>
        </row>
        <row r="588">
          <cell r="A588">
            <v>5173818</v>
          </cell>
          <cell r="B588">
            <v>5111002</v>
          </cell>
          <cell r="C588">
            <v>4410</v>
          </cell>
          <cell r="D588">
            <v>31993648</v>
          </cell>
          <cell r="E588">
            <v>283</v>
          </cell>
          <cell r="F588">
            <v>221</v>
          </cell>
          <cell r="G588">
            <v>224</v>
          </cell>
          <cell r="H588">
            <v>190</v>
          </cell>
          <cell r="I588">
            <v>230</v>
          </cell>
          <cell r="J588">
            <v>210</v>
          </cell>
          <cell r="K588">
            <v>226</v>
          </cell>
          <cell r="L588">
            <v>215</v>
          </cell>
          <cell r="M588">
            <v>219</v>
          </cell>
        </row>
        <row r="589">
          <cell r="A589">
            <v>5173856</v>
          </cell>
          <cell r="B589">
            <v>5111021</v>
          </cell>
          <cell r="C589">
            <v>4410</v>
          </cell>
          <cell r="D589">
            <v>33001442</v>
          </cell>
          <cell r="E589">
            <v>294</v>
          </cell>
          <cell r="F589">
            <v>235</v>
          </cell>
          <cell r="G589">
            <v>305</v>
          </cell>
          <cell r="H589">
            <v>267</v>
          </cell>
          <cell r="I589">
            <v>284</v>
          </cell>
          <cell r="J589">
            <v>306</v>
          </cell>
          <cell r="K589">
            <v>310</v>
          </cell>
          <cell r="L589">
            <v>267</v>
          </cell>
          <cell r="M589">
            <v>295</v>
          </cell>
        </row>
        <row r="590">
          <cell r="A590">
            <v>5174356</v>
          </cell>
          <cell r="B590">
            <v>5111271</v>
          </cell>
          <cell r="C590">
            <v>4410</v>
          </cell>
          <cell r="D590">
            <v>33001425</v>
          </cell>
          <cell r="E590">
            <v>338</v>
          </cell>
          <cell r="F590">
            <v>300</v>
          </cell>
          <cell r="G590">
            <v>289</v>
          </cell>
          <cell r="H590">
            <v>257</v>
          </cell>
          <cell r="I590">
            <v>336</v>
          </cell>
          <cell r="J590">
            <v>289</v>
          </cell>
          <cell r="K590">
            <v>308</v>
          </cell>
          <cell r="L590">
            <v>278</v>
          </cell>
          <cell r="M590">
            <v>297</v>
          </cell>
        </row>
        <row r="591">
          <cell r="A591">
            <v>5173900</v>
          </cell>
          <cell r="B591">
            <v>5111043</v>
          </cell>
          <cell r="C591">
            <v>4410</v>
          </cell>
          <cell r="D591">
            <v>7220476</v>
          </cell>
          <cell r="E591">
            <v>295</v>
          </cell>
          <cell r="F591">
            <v>260</v>
          </cell>
          <cell r="G591">
            <v>250</v>
          </cell>
          <cell r="H591">
            <v>221</v>
          </cell>
          <cell r="I591">
            <v>289</v>
          </cell>
          <cell r="J591">
            <v>250</v>
          </cell>
          <cell r="K591">
            <v>266</v>
          </cell>
          <cell r="L591">
            <v>240</v>
          </cell>
          <cell r="M591">
            <v>675</v>
          </cell>
        </row>
        <row r="592">
          <cell r="A592">
            <v>5181242</v>
          </cell>
          <cell r="B592">
            <v>5114714</v>
          </cell>
          <cell r="C592">
            <v>4410</v>
          </cell>
          <cell r="D592">
            <v>32997359</v>
          </cell>
          <cell r="E592">
            <v>275</v>
          </cell>
          <cell r="F592">
            <v>14</v>
          </cell>
          <cell r="G592">
            <v>436</v>
          </cell>
          <cell r="H592">
            <v>227</v>
          </cell>
          <cell r="I592">
            <v>244</v>
          </cell>
          <cell r="J592">
            <v>466</v>
          </cell>
          <cell r="K592">
            <v>242</v>
          </cell>
          <cell r="L592">
            <v>205</v>
          </cell>
          <cell r="M592">
            <v>224</v>
          </cell>
        </row>
        <row r="593">
          <cell r="A593">
            <v>5181238</v>
          </cell>
          <cell r="B593">
            <v>5114712</v>
          </cell>
          <cell r="C593">
            <v>4410</v>
          </cell>
          <cell r="D593">
            <v>3651220</v>
          </cell>
          <cell r="E593">
            <v>122</v>
          </cell>
          <cell r="F593">
            <v>132</v>
          </cell>
          <cell r="G593">
            <v>120</v>
          </cell>
          <cell r="H593">
            <v>129</v>
          </cell>
          <cell r="I593">
            <v>133</v>
          </cell>
          <cell r="J593">
            <v>156</v>
          </cell>
          <cell r="K593">
            <v>138</v>
          </cell>
          <cell r="L593">
            <v>172</v>
          </cell>
          <cell r="M593">
            <v>233</v>
          </cell>
        </row>
        <row r="594">
          <cell r="A594">
            <v>5181256</v>
          </cell>
          <cell r="B594">
            <v>5114721</v>
          </cell>
          <cell r="C594">
            <v>4410</v>
          </cell>
          <cell r="D594">
            <v>3640514</v>
          </cell>
          <cell r="E594">
            <v>230</v>
          </cell>
          <cell r="F594">
            <v>110</v>
          </cell>
          <cell r="G594">
            <v>103</v>
          </cell>
          <cell r="H594">
            <v>110</v>
          </cell>
          <cell r="I594">
            <v>135</v>
          </cell>
          <cell r="J594">
            <v>117</v>
          </cell>
          <cell r="K594">
            <v>137</v>
          </cell>
          <cell r="L594">
            <v>135</v>
          </cell>
          <cell r="M594">
            <v>116</v>
          </cell>
        </row>
        <row r="595">
          <cell r="A595">
            <v>5174456</v>
          </cell>
          <cell r="B595">
            <v>5111321</v>
          </cell>
          <cell r="C595">
            <v>4410</v>
          </cell>
          <cell r="D595">
            <v>3214357</v>
          </cell>
          <cell r="E595">
            <v>887</v>
          </cell>
          <cell r="F595">
            <v>778</v>
          </cell>
          <cell r="G595">
            <v>832</v>
          </cell>
          <cell r="H595">
            <v>861</v>
          </cell>
          <cell r="I595">
            <v>930</v>
          </cell>
          <cell r="J595">
            <v>847</v>
          </cell>
          <cell r="K595">
            <v>1341</v>
          </cell>
          <cell r="L595">
            <v>1342</v>
          </cell>
          <cell r="M595">
            <v>1514</v>
          </cell>
        </row>
        <row r="596">
          <cell r="A596">
            <v>5174412</v>
          </cell>
          <cell r="B596">
            <v>5111299</v>
          </cell>
          <cell r="C596">
            <v>4410</v>
          </cell>
          <cell r="D596">
            <v>7728631</v>
          </cell>
          <cell r="E596">
            <v>172</v>
          </cell>
          <cell r="F596">
            <v>152</v>
          </cell>
          <cell r="G596">
            <v>148</v>
          </cell>
          <cell r="H596">
            <v>144</v>
          </cell>
          <cell r="I596">
            <v>213</v>
          </cell>
          <cell r="J596">
            <v>60</v>
          </cell>
          <cell r="K596">
            <v>80</v>
          </cell>
          <cell r="L596">
            <v>73</v>
          </cell>
          <cell r="M596">
            <v>95</v>
          </cell>
        </row>
        <row r="597">
          <cell r="A597">
            <v>5173838</v>
          </cell>
          <cell r="B597">
            <v>5111012</v>
          </cell>
          <cell r="C597">
            <v>4410</v>
          </cell>
          <cell r="D597">
            <v>3518882</v>
          </cell>
          <cell r="E597">
            <v>362</v>
          </cell>
          <cell r="F597">
            <v>393</v>
          </cell>
          <cell r="G597">
            <v>573</v>
          </cell>
          <cell r="H597">
            <v>474</v>
          </cell>
          <cell r="I597">
            <v>403</v>
          </cell>
          <cell r="J597">
            <v>333</v>
          </cell>
          <cell r="K597">
            <v>366</v>
          </cell>
          <cell r="L597">
            <v>324</v>
          </cell>
          <cell r="M597">
            <v>241</v>
          </cell>
        </row>
        <row r="598">
          <cell r="A598">
            <v>5174432</v>
          </cell>
          <cell r="B598">
            <v>5111309</v>
          </cell>
          <cell r="C598">
            <v>4410</v>
          </cell>
          <cell r="D598">
            <v>3524380</v>
          </cell>
          <cell r="E598">
            <v>317</v>
          </cell>
          <cell r="F598">
            <v>284</v>
          </cell>
          <cell r="G598">
            <v>273</v>
          </cell>
          <cell r="H598">
            <v>188</v>
          </cell>
          <cell r="I598">
            <v>229</v>
          </cell>
          <cell r="J598">
            <v>234</v>
          </cell>
          <cell r="K598">
            <v>293</v>
          </cell>
          <cell r="L598">
            <v>231</v>
          </cell>
          <cell r="M598">
            <v>253</v>
          </cell>
        </row>
        <row r="599">
          <cell r="A599">
            <v>5181258</v>
          </cell>
          <cell r="B599">
            <v>5114722</v>
          </cell>
          <cell r="C599">
            <v>4410</v>
          </cell>
          <cell r="D599">
            <v>10506665</v>
          </cell>
          <cell r="E599">
            <v>59</v>
          </cell>
          <cell r="F599">
            <v>159</v>
          </cell>
          <cell r="G599">
            <v>201</v>
          </cell>
          <cell r="H599">
            <v>138</v>
          </cell>
          <cell r="I599">
            <v>122</v>
          </cell>
          <cell r="J599">
            <v>154</v>
          </cell>
          <cell r="K599">
            <v>191</v>
          </cell>
          <cell r="L599">
            <v>145</v>
          </cell>
          <cell r="M599">
            <v>155</v>
          </cell>
        </row>
        <row r="600">
          <cell r="A600">
            <v>5174030</v>
          </cell>
          <cell r="B600">
            <v>5111108</v>
          </cell>
          <cell r="C600">
            <v>4410</v>
          </cell>
          <cell r="D600">
            <v>10505180</v>
          </cell>
          <cell r="E600">
            <v>240</v>
          </cell>
          <cell r="F600">
            <v>258</v>
          </cell>
          <cell r="G600">
            <v>170</v>
          </cell>
          <cell r="H600">
            <v>171</v>
          </cell>
          <cell r="I600">
            <v>189</v>
          </cell>
          <cell r="J600">
            <v>163</v>
          </cell>
          <cell r="K600">
            <v>166</v>
          </cell>
          <cell r="L600">
            <v>172</v>
          </cell>
          <cell r="M600">
            <v>207</v>
          </cell>
        </row>
        <row r="601">
          <cell r="A601">
            <v>5181268</v>
          </cell>
          <cell r="B601">
            <v>5114727</v>
          </cell>
          <cell r="C601">
            <v>4410</v>
          </cell>
          <cell r="D601">
            <v>2958357</v>
          </cell>
          <cell r="E601">
            <v>469</v>
          </cell>
          <cell r="F601">
            <v>166</v>
          </cell>
          <cell r="G601">
            <v>151</v>
          </cell>
          <cell r="H601">
            <v>130</v>
          </cell>
          <cell r="I601">
            <v>178</v>
          </cell>
          <cell r="J601">
            <v>164</v>
          </cell>
          <cell r="K601">
            <v>176</v>
          </cell>
          <cell r="L601">
            <v>159</v>
          </cell>
          <cell r="M601">
            <v>123</v>
          </cell>
        </row>
        <row r="602">
          <cell r="A602">
            <v>5181254</v>
          </cell>
          <cell r="B602">
            <v>5114720</v>
          </cell>
          <cell r="C602">
            <v>4410</v>
          </cell>
          <cell r="D602">
            <v>5308709</v>
          </cell>
          <cell r="E602">
            <v>50</v>
          </cell>
          <cell r="F602">
            <v>90</v>
          </cell>
          <cell r="G602">
            <v>73</v>
          </cell>
          <cell r="H602">
            <v>73</v>
          </cell>
          <cell r="I602">
            <v>121</v>
          </cell>
          <cell r="J602">
            <v>62</v>
          </cell>
          <cell r="K602">
            <v>60</v>
          </cell>
          <cell r="L602">
            <v>57</v>
          </cell>
          <cell r="M602">
            <v>79</v>
          </cell>
        </row>
        <row r="603">
          <cell r="A603">
            <v>5181240</v>
          </cell>
          <cell r="B603">
            <v>5114713</v>
          </cell>
          <cell r="C603">
            <v>4410</v>
          </cell>
          <cell r="D603">
            <v>10276316</v>
          </cell>
          <cell r="E603">
            <v>235</v>
          </cell>
          <cell r="F603">
            <v>187</v>
          </cell>
          <cell r="G603">
            <v>210</v>
          </cell>
          <cell r="H603">
            <v>199</v>
          </cell>
          <cell r="I603">
            <v>307</v>
          </cell>
          <cell r="J603">
            <v>200</v>
          </cell>
          <cell r="K603">
            <v>641</v>
          </cell>
          <cell r="L603">
            <v>860</v>
          </cell>
          <cell r="M603">
            <v>963</v>
          </cell>
        </row>
        <row r="604">
          <cell r="A604">
            <v>5174094</v>
          </cell>
          <cell r="B604">
            <v>5111140</v>
          </cell>
          <cell r="C604">
            <v>4410</v>
          </cell>
          <cell r="D604">
            <v>1692335</v>
          </cell>
          <cell r="E604">
            <v>128</v>
          </cell>
          <cell r="F604">
            <v>96</v>
          </cell>
          <cell r="G604">
            <v>83</v>
          </cell>
          <cell r="H604">
            <v>86</v>
          </cell>
          <cell r="I604">
            <v>88</v>
          </cell>
          <cell r="J604">
            <v>79</v>
          </cell>
          <cell r="K604">
            <v>109</v>
          </cell>
          <cell r="L604">
            <v>114</v>
          </cell>
          <cell r="M604">
            <v>134</v>
          </cell>
        </row>
        <row r="605">
          <cell r="A605">
            <v>5174392</v>
          </cell>
          <cell r="B605">
            <v>5111289</v>
          </cell>
          <cell r="C605">
            <v>4410</v>
          </cell>
          <cell r="D605">
            <v>1618670</v>
          </cell>
          <cell r="E605">
            <v>349</v>
          </cell>
          <cell r="F605">
            <v>578</v>
          </cell>
          <cell r="G605">
            <v>281</v>
          </cell>
          <cell r="H605">
            <v>276</v>
          </cell>
          <cell r="I605">
            <v>276</v>
          </cell>
          <cell r="J605">
            <v>235</v>
          </cell>
          <cell r="K605">
            <v>245</v>
          </cell>
          <cell r="L605">
            <v>231</v>
          </cell>
          <cell r="M605">
            <v>295</v>
          </cell>
        </row>
        <row r="606">
          <cell r="A606">
            <v>5181264</v>
          </cell>
          <cell r="B606">
            <v>5114725</v>
          </cell>
          <cell r="C606">
            <v>4410</v>
          </cell>
          <cell r="D606">
            <v>1618052</v>
          </cell>
          <cell r="E606">
            <v>290</v>
          </cell>
          <cell r="F606">
            <v>175</v>
          </cell>
          <cell r="G606">
            <v>187</v>
          </cell>
          <cell r="H606">
            <v>180</v>
          </cell>
          <cell r="I606">
            <v>187</v>
          </cell>
          <cell r="J606">
            <v>164</v>
          </cell>
          <cell r="K606">
            <v>191</v>
          </cell>
          <cell r="L606">
            <v>170</v>
          </cell>
          <cell r="M606">
            <v>192</v>
          </cell>
        </row>
        <row r="607">
          <cell r="A607">
            <v>5181248</v>
          </cell>
          <cell r="B607">
            <v>5114717</v>
          </cell>
          <cell r="C607">
            <v>4410</v>
          </cell>
          <cell r="D607">
            <v>1618050</v>
          </cell>
          <cell r="E607">
            <v>297</v>
          </cell>
          <cell r="F607">
            <v>233</v>
          </cell>
          <cell r="G607">
            <v>251</v>
          </cell>
          <cell r="H607">
            <v>390</v>
          </cell>
          <cell r="I607">
            <v>404</v>
          </cell>
          <cell r="J607">
            <v>257</v>
          </cell>
          <cell r="K607">
            <v>301</v>
          </cell>
          <cell r="L607">
            <v>446</v>
          </cell>
          <cell r="M607">
            <v>516</v>
          </cell>
        </row>
        <row r="608">
          <cell r="A608">
            <v>5181246</v>
          </cell>
          <cell r="B608">
            <v>5114716</v>
          </cell>
          <cell r="C608">
            <v>4410</v>
          </cell>
          <cell r="D608">
            <v>1910727</v>
          </cell>
          <cell r="E608">
            <v>184</v>
          </cell>
          <cell r="F608">
            <v>199</v>
          </cell>
          <cell r="G608">
            <v>160</v>
          </cell>
          <cell r="H608">
            <v>171</v>
          </cell>
          <cell r="I608">
            <v>186</v>
          </cell>
          <cell r="J608">
            <v>176</v>
          </cell>
          <cell r="K608">
            <v>203</v>
          </cell>
          <cell r="L608">
            <v>190</v>
          </cell>
          <cell r="M608">
            <v>195</v>
          </cell>
        </row>
        <row r="609">
          <cell r="A609">
            <v>5181278</v>
          </cell>
          <cell r="B609">
            <v>5114732</v>
          </cell>
          <cell r="C609">
            <v>4410</v>
          </cell>
          <cell r="D609">
            <v>1529861</v>
          </cell>
          <cell r="E609">
            <v>74</v>
          </cell>
          <cell r="F609">
            <v>97</v>
          </cell>
          <cell r="G609">
            <v>110</v>
          </cell>
          <cell r="H609">
            <v>36</v>
          </cell>
          <cell r="I609">
            <v>106</v>
          </cell>
          <cell r="J609">
            <v>67</v>
          </cell>
          <cell r="K609">
            <v>141</v>
          </cell>
          <cell r="L609">
            <v>83</v>
          </cell>
          <cell r="M609">
            <v>62</v>
          </cell>
        </row>
        <row r="610">
          <cell r="A610">
            <v>5181266</v>
          </cell>
          <cell r="B610">
            <v>5114726</v>
          </cell>
          <cell r="C610">
            <v>4410</v>
          </cell>
          <cell r="D610">
            <v>2953705</v>
          </cell>
          <cell r="E610">
            <v>158</v>
          </cell>
          <cell r="F610">
            <v>145</v>
          </cell>
          <cell r="G610">
            <v>178</v>
          </cell>
          <cell r="H610">
            <v>154</v>
          </cell>
          <cell r="I610">
            <v>140</v>
          </cell>
          <cell r="J610">
            <v>128</v>
          </cell>
          <cell r="K610">
            <v>117</v>
          </cell>
          <cell r="L610">
            <v>188</v>
          </cell>
          <cell r="M610">
            <v>203</v>
          </cell>
        </row>
        <row r="611">
          <cell r="A611">
            <v>5181252</v>
          </cell>
          <cell r="B611">
            <v>5114719</v>
          </cell>
          <cell r="C611">
            <v>4410</v>
          </cell>
          <cell r="D611">
            <v>1426101</v>
          </cell>
          <cell r="E611">
            <v>178</v>
          </cell>
          <cell r="F611">
            <v>125</v>
          </cell>
          <cell r="G611">
            <v>156</v>
          </cell>
          <cell r="H611">
            <v>136</v>
          </cell>
          <cell r="I611">
            <v>184</v>
          </cell>
          <cell r="J611">
            <v>180</v>
          </cell>
          <cell r="K611">
            <v>170</v>
          </cell>
          <cell r="L611">
            <v>150</v>
          </cell>
          <cell r="M611">
            <v>206</v>
          </cell>
        </row>
        <row r="612">
          <cell r="A612">
            <v>5174130</v>
          </cell>
          <cell r="B612">
            <v>5111158</v>
          </cell>
          <cell r="C612">
            <v>4410</v>
          </cell>
          <cell r="D612">
            <v>70000447</v>
          </cell>
          <cell r="E612">
            <v>123</v>
          </cell>
          <cell r="F612">
            <v>106</v>
          </cell>
          <cell r="G612">
            <v>92</v>
          </cell>
          <cell r="H612">
            <v>199</v>
          </cell>
          <cell r="I612">
            <v>153</v>
          </cell>
          <cell r="J612">
            <v>140</v>
          </cell>
          <cell r="K612">
            <v>133</v>
          </cell>
          <cell r="L612">
            <v>155</v>
          </cell>
          <cell r="M612">
            <v>138</v>
          </cell>
        </row>
        <row r="613">
          <cell r="A613">
            <v>5174244</v>
          </cell>
          <cell r="B613">
            <v>5111215</v>
          </cell>
          <cell r="C613">
            <v>4410</v>
          </cell>
          <cell r="D613">
            <v>70003621</v>
          </cell>
          <cell r="E613">
            <v>128</v>
          </cell>
          <cell r="F613">
            <v>93</v>
          </cell>
          <cell r="G613">
            <v>97</v>
          </cell>
          <cell r="H613">
            <v>78</v>
          </cell>
          <cell r="I613">
            <v>88</v>
          </cell>
          <cell r="J613">
            <v>66</v>
          </cell>
          <cell r="K613">
            <v>74</v>
          </cell>
          <cell r="L613">
            <v>90</v>
          </cell>
          <cell r="M613">
            <v>104</v>
          </cell>
        </row>
        <row r="614">
          <cell r="A614">
            <v>5174110</v>
          </cell>
          <cell r="B614">
            <v>5111148</v>
          </cell>
          <cell r="C614">
            <v>4410</v>
          </cell>
          <cell r="D614">
            <v>3729652</v>
          </cell>
          <cell r="E614">
            <v>65</v>
          </cell>
          <cell r="F614">
            <v>125</v>
          </cell>
          <cell r="G614">
            <v>129</v>
          </cell>
          <cell r="H614">
            <v>51</v>
          </cell>
          <cell r="I614">
            <v>22</v>
          </cell>
          <cell r="J614">
            <v>68</v>
          </cell>
          <cell r="K614">
            <v>78</v>
          </cell>
          <cell r="L614">
            <v>98</v>
          </cell>
          <cell r="M614">
            <v>105</v>
          </cell>
        </row>
        <row r="615">
          <cell r="A615">
            <v>5174072</v>
          </cell>
          <cell r="B615">
            <v>5111129</v>
          </cell>
          <cell r="C615">
            <v>4410</v>
          </cell>
          <cell r="D615">
            <v>3741059</v>
          </cell>
          <cell r="E615">
            <v>116</v>
          </cell>
          <cell r="F615">
            <v>121</v>
          </cell>
          <cell r="G615">
            <v>98</v>
          </cell>
          <cell r="H615">
            <v>59</v>
          </cell>
          <cell r="I615">
            <v>64</v>
          </cell>
          <cell r="J615">
            <v>47</v>
          </cell>
          <cell r="K615">
            <v>46</v>
          </cell>
          <cell r="L615">
            <v>52</v>
          </cell>
          <cell r="M615">
            <v>109</v>
          </cell>
        </row>
        <row r="616">
          <cell r="A616">
            <v>5174048</v>
          </cell>
          <cell r="B616">
            <v>5111117</v>
          </cell>
          <cell r="C616">
            <v>4410</v>
          </cell>
          <cell r="D616">
            <v>4746631</v>
          </cell>
          <cell r="E616">
            <v>105</v>
          </cell>
          <cell r="F616">
            <v>65</v>
          </cell>
          <cell r="G616">
            <v>58</v>
          </cell>
          <cell r="H616">
            <v>66</v>
          </cell>
          <cell r="I616">
            <v>94</v>
          </cell>
          <cell r="J616">
            <v>48</v>
          </cell>
          <cell r="K616">
            <v>83</v>
          </cell>
          <cell r="L616">
            <v>80</v>
          </cell>
          <cell r="M616">
            <v>57</v>
          </cell>
        </row>
        <row r="617">
          <cell r="A617">
            <v>5174278</v>
          </cell>
          <cell r="B617">
            <v>5111232</v>
          </cell>
          <cell r="C617">
            <v>4410</v>
          </cell>
          <cell r="D617">
            <v>6824939</v>
          </cell>
          <cell r="E617">
            <v>177</v>
          </cell>
          <cell r="F617">
            <v>89</v>
          </cell>
          <cell r="G617">
            <v>169</v>
          </cell>
          <cell r="H617">
            <v>223</v>
          </cell>
          <cell r="I617">
            <v>215</v>
          </cell>
          <cell r="J617">
            <v>147</v>
          </cell>
          <cell r="K617">
            <v>191</v>
          </cell>
          <cell r="L617">
            <v>193</v>
          </cell>
          <cell r="M617">
            <v>213</v>
          </cell>
        </row>
        <row r="618">
          <cell r="A618">
            <v>5173942</v>
          </cell>
          <cell r="B618">
            <v>5111064</v>
          </cell>
          <cell r="C618">
            <v>4410</v>
          </cell>
          <cell r="D618">
            <v>6822219</v>
          </cell>
          <cell r="E618">
            <v>345</v>
          </cell>
          <cell r="F618">
            <v>207</v>
          </cell>
          <cell r="G618">
            <v>135</v>
          </cell>
          <cell r="H618">
            <v>300</v>
          </cell>
          <cell r="I618">
            <v>206</v>
          </cell>
          <cell r="J618">
            <v>232</v>
          </cell>
          <cell r="K618">
            <v>204</v>
          </cell>
          <cell r="L618">
            <v>210</v>
          </cell>
          <cell r="M618">
            <v>212</v>
          </cell>
        </row>
        <row r="619">
          <cell r="A619">
            <v>5173922</v>
          </cell>
          <cell r="B619">
            <v>5111054</v>
          </cell>
          <cell r="C619">
            <v>4410</v>
          </cell>
          <cell r="D619">
            <v>3741354</v>
          </cell>
          <cell r="E619">
            <v>307</v>
          </cell>
          <cell r="F619">
            <v>536</v>
          </cell>
          <cell r="G619">
            <v>269</v>
          </cell>
          <cell r="H619">
            <v>249</v>
          </cell>
          <cell r="I619">
            <v>248</v>
          </cell>
          <cell r="J619">
            <v>219</v>
          </cell>
          <cell r="K619">
            <v>232</v>
          </cell>
          <cell r="L619">
            <v>212</v>
          </cell>
          <cell r="M619">
            <v>232</v>
          </cell>
        </row>
        <row r="620">
          <cell r="A620">
            <v>5174336</v>
          </cell>
          <cell r="B620">
            <v>5111261</v>
          </cell>
          <cell r="C620">
            <v>4410</v>
          </cell>
          <cell r="D620">
            <v>6823409</v>
          </cell>
          <cell r="E620">
            <v>164</v>
          </cell>
          <cell r="F620">
            <v>339</v>
          </cell>
          <cell r="G620">
            <v>134</v>
          </cell>
          <cell r="H620">
            <v>143</v>
          </cell>
          <cell r="I620">
            <v>136</v>
          </cell>
          <cell r="J620">
            <v>130</v>
          </cell>
          <cell r="K620">
            <v>147</v>
          </cell>
          <cell r="L620">
            <v>140</v>
          </cell>
          <cell r="M620">
            <v>388</v>
          </cell>
        </row>
        <row r="621">
          <cell r="A621">
            <v>5181276</v>
          </cell>
          <cell r="B621">
            <v>5114731</v>
          </cell>
          <cell r="C621">
            <v>4410</v>
          </cell>
          <cell r="D621">
            <v>3364526</v>
          </cell>
          <cell r="E621">
            <v>261</v>
          </cell>
          <cell r="F621">
            <v>210</v>
          </cell>
          <cell r="G621">
            <v>227</v>
          </cell>
          <cell r="H621">
            <v>231</v>
          </cell>
          <cell r="I621">
            <v>244</v>
          </cell>
          <cell r="J621">
            <v>248</v>
          </cell>
          <cell r="K621">
            <v>261</v>
          </cell>
          <cell r="L621">
            <v>227</v>
          </cell>
          <cell r="M621">
            <v>228</v>
          </cell>
        </row>
        <row r="622">
          <cell r="A622">
            <v>5181244</v>
          </cell>
          <cell r="B622">
            <v>5114715</v>
          </cell>
          <cell r="C622">
            <v>4410</v>
          </cell>
          <cell r="D622">
            <v>3308580</v>
          </cell>
          <cell r="E622">
            <v>193</v>
          </cell>
          <cell r="F622">
            <v>163</v>
          </cell>
          <cell r="G622">
            <v>175</v>
          </cell>
          <cell r="H622">
            <v>114</v>
          </cell>
          <cell r="I622">
            <v>29</v>
          </cell>
          <cell r="J622">
            <v>114</v>
          </cell>
          <cell r="K622">
            <v>123</v>
          </cell>
          <cell r="L622">
            <v>116</v>
          </cell>
          <cell r="M622">
            <v>132</v>
          </cell>
        </row>
        <row r="623">
          <cell r="A623">
            <v>5174010</v>
          </cell>
          <cell r="B623">
            <v>5111098</v>
          </cell>
          <cell r="C623">
            <v>4410</v>
          </cell>
          <cell r="D623">
            <v>3725286</v>
          </cell>
          <cell r="E623">
            <v>148</v>
          </cell>
          <cell r="F623">
            <v>64</v>
          </cell>
          <cell r="G623">
            <v>57</v>
          </cell>
          <cell r="H623">
            <v>57</v>
          </cell>
          <cell r="I623">
            <v>76</v>
          </cell>
          <cell r="J623">
            <v>51</v>
          </cell>
          <cell r="K623">
            <v>101</v>
          </cell>
          <cell r="L623">
            <v>152</v>
          </cell>
          <cell r="M623">
            <v>149</v>
          </cell>
        </row>
        <row r="624">
          <cell r="A624">
            <v>5173964</v>
          </cell>
          <cell r="B624">
            <v>5111075</v>
          </cell>
          <cell r="C624">
            <v>4410</v>
          </cell>
          <cell r="D624">
            <v>6825025</v>
          </cell>
          <cell r="E624">
            <v>221</v>
          </cell>
          <cell r="F624">
            <v>215</v>
          </cell>
          <cell r="G624">
            <v>189</v>
          </cell>
          <cell r="H624">
            <v>195</v>
          </cell>
          <cell r="I624">
            <v>193</v>
          </cell>
          <cell r="J624">
            <v>178</v>
          </cell>
          <cell r="K624">
            <v>209</v>
          </cell>
          <cell r="L624">
            <v>233</v>
          </cell>
          <cell r="M624">
            <v>263</v>
          </cell>
        </row>
        <row r="625">
          <cell r="A625">
            <v>5174298</v>
          </cell>
          <cell r="B625">
            <v>5111242</v>
          </cell>
          <cell r="C625">
            <v>4410</v>
          </cell>
          <cell r="D625">
            <v>6825279</v>
          </cell>
          <cell r="E625">
            <v>200</v>
          </cell>
          <cell r="F625">
            <v>156</v>
          </cell>
          <cell r="G625">
            <v>145</v>
          </cell>
          <cell r="H625">
            <v>81</v>
          </cell>
          <cell r="I625">
            <v>201</v>
          </cell>
          <cell r="J625">
            <v>215</v>
          </cell>
          <cell r="K625">
            <v>268</v>
          </cell>
          <cell r="L625">
            <v>256</v>
          </cell>
          <cell r="M625">
            <v>310</v>
          </cell>
        </row>
        <row r="626">
          <cell r="A626">
            <v>5173878</v>
          </cell>
          <cell r="B626">
            <v>5111032</v>
          </cell>
          <cell r="C626">
            <v>4410</v>
          </cell>
          <cell r="D626">
            <v>1751055</v>
          </cell>
          <cell r="E626">
            <v>0</v>
          </cell>
          <cell r="F626">
            <v>8</v>
          </cell>
          <cell r="G626">
            <v>171</v>
          </cell>
          <cell r="H626">
            <v>311</v>
          </cell>
          <cell r="I626">
            <v>254</v>
          </cell>
          <cell r="J626">
            <v>137</v>
          </cell>
          <cell r="K626">
            <v>94</v>
          </cell>
          <cell r="L626">
            <v>498</v>
          </cell>
          <cell r="M626">
            <v>168</v>
          </cell>
        </row>
        <row r="627">
          <cell r="A627">
            <v>5174372</v>
          </cell>
          <cell r="B627">
            <v>5111279</v>
          </cell>
          <cell r="C627">
            <v>4410</v>
          </cell>
          <cell r="D627">
            <v>6823844</v>
          </cell>
          <cell r="E627">
            <v>167</v>
          </cell>
          <cell r="F627">
            <v>132</v>
          </cell>
          <cell r="G627">
            <v>141</v>
          </cell>
          <cell r="H627">
            <v>143</v>
          </cell>
          <cell r="I627">
            <v>143</v>
          </cell>
          <cell r="J627">
            <v>125</v>
          </cell>
          <cell r="K627">
            <v>132</v>
          </cell>
          <cell r="L627">
            <v>122</v>
          </cell>
          <cell r="M627">
            <v>139</v>
          </cell>
        </row>
        <row r="628">
          <cell r="A628">
            <v>5181274</v>
          </cell>
          <cell r="B628">
            <v>5114730</v>
          </cell>
          <cell r="C628">
            <v>4410</v>
          </cell>
          <cell r="D628">
            <v>2197944</v>
          </cell>
          <cell r="E628">
            <v>198</v>
          </cell>
          <cell r="F628">
            <v>10</v>
          </cell>
          <cell r="G628">
            <v>314</v>
          </cell>
          <cell r="H628">
            <v>157</v>
          </cell>
          <cell r="I628">
            <v>163</v>
          </cell>
          <cell r="J628">
            <v>166</v>
          </cell>
          <cell r="K628">
            <v>164</v>
          </cell>
          <cell r="L628">
            <v>156</v>
          </cell>
          <cell r="M628">
            <v>234</v>
          </cell>
        </row>
        <row r="629">
          <cell r="A629">
            <v>5181272</v>
          </cell>
          <cell r="B629">
            <v>5114729</v>
          </cell>
          <cell r="C629">
            <v>4410</v>
          </cell>
          <cell r="D629">
            <v>6311924</v>
          </cell>
          <cell r="E629">
            <v>69</v>
          </cell>
          <cell r="F629">
            <v>56</v>
          </cell>
          <cell r="G629">
            <v>70</v>
          </cell>
          <cell r="H629">
            <v>86</v>
          </cell>
          <cell r="I629">
            <v>76</v>
          </cell>
          <cell r="J629">
            <v>47</v>
          </cell>
          <cell r="K629">
            <v>69</v>
          </cell>
          <cell r="L629">
            <v>96</v>
          </cell>
          <cell r="M629">
            <v>72</v>
          </cell>
        </row>
        <row r="630">
          <cell r="A630">
            <v>5181232</v>
          </cell>
          <cell r="B630">
            <v>5114709</v>
          </cell>
          <cell r="C630">
            <v>4410</v>
          </cell>
          <cell r="D630">
            <v>3360427</v>
          </cell>
          <cell r="E630">
            <v>166</v>
          </cell>
          <cell r="F630">
            <v>150</v>
          </cell>
          <cell r="G630">
            <v>151</v>
          </cell>
          <cell r="H630">
            <v>152</v>
          </cell>
          <cell r="I630">
            <v>162</v>
          </cell>
          <cell r="J630">
            <v>151</v>
          </cell>
          <cell r="K630">
            <v>159</v>
          </cell>
          <cell r="L630">
            <v>147</v>
          </cell>
          <cell r="M630">
            <v>164</v>
          </cell>
        </row>
        <row r="631">
          <cell r="A631">
            <v>5181234</v>
          </cell>
          <cell r="B631">
            <v>5114710</v>
          </cell>
          <cell r="C631">
            <v>4410</v>
          </cell>
          <cell r="D631">
            <v>3307993</v>
          </cell>
          <cell r="E631">
            <v>203</v>
          </cell>
          <cell r="F631">
            <v>175</v>
          </cell>
          <cell r="G631">
            <v>181</v>
          </cell>
          <cell r="H631">
            <v>186</v>
          </cell>
          <cell r="I631">
            <v>165</v>
          </cell>
          <cell r="J631">
            <v>76</v>
          </cell>
          <cell r="K631">
            <v>101</v>
          </cell>
          <cell r="L631">
            <v>232</v>
          </cell>
          <cell r="M631">
            <v>230</v>
          </cell>
        </row>
        <row r="632">
          <cell r="A632">
            <v>5173984</v>
          </cell>
          <cell r="B632">
            <v>5111085</v>
          </cell>
          <cell r="C632">
            <v>4410</v>
          </cell>
          <cell r="D632">
            <v>7117560</v>
          </cell>
          <cell r="E632">
            <v>197</v>
          </cell>
          <cell r="F632">
            <v>9</v>
          </cell>
          <cell r="G632">
            <v>141</v>
          </cell>
          <cell r="H632">
            <v>142</v>
          </cell>
          <cell r="I632">
            <v>153</v>
          </cell>
          <cell r="J632">
            <v>131</v>
          </cell>
          <cell r="K632">
            <v>123</v>
          </cell>
          <cell r="L632">
            <v>129</v>
          </cell>
          <cell r="M632">
            <v>123</v>
          </cell>
        </row>
        <row r="633">
          <cell r="A633">
            <v>5173796</v>
          </cell>
          <cell r="B633">
            <v>5110991</v>
          </cell>
          <cell r="C633">
            <v>4410</v>
          </cell>
          <cell r="D633">
            <v>7285185</v>
          </cell>
          <cell r="E633">
            <v>316</v>
          </cell>
          <cell r="F633">
            <v>289</v>
          </cell>
          <cell r="G633">
            <v>269</v>
          </cell>
          <cell r="H633">
            <v>303</v>
          </cell>
          <cell r="I633">
            <v>328</v>
          </cell>
          <cell r="J633">
            <v>269</v>
          </cell>
          <cell r="K633">
            <v>295</v>
          </cell>
          <cell r="L633">
            <v>285</v>
          </cell>
          <cell r="M633">
            <v>329</v>
          </cell>
        </row>
        <row r="634">
          <cell r="A634">
            <v>5173482</v>
          </cell>
          <cell r="B634">
            <v>5110834</v>
          </cell>
          <cell r="C634">
            <v>4410</v>
          </cell>
          <cell r="E634">
            <v>228</v>
          </cell>
          <cell r="F634">
            <v>203</v>
          </cell>
          <cell r="G634">
            <v>196</v>
          </cell>
          <cell r="H634">
            <v>174</v>
          </cell>
          <cell r="I634">
            <v>227</v>
          </cell>
          <cell r="J634">
            <v>195</v>
          </cell>
          <cell r="K634">
            <v>208</v>
          </cell>
          <cell r="L634">
            <v>188</v>
          </cell>
          <cell r="M634">
            <v>201</v>
          </cell>
        </row>
        <row r="635">
          <cell r="A635">
            <v>5173286</v>
          </cell>
          <cell r="B635">
            <v>5110736</v>
          </cell>
          <cell r="C635">
            <v>4410</v>
          </cell>
          <cell r="D635">
            <v>33001166</v>
          </cell>
          <cell r="E635">
            <v>527</v>
          </cell>
          <cell r="F635">
            <v>366</v>
          </cell>
          <cell r="G635">
            <v>470</v>
          </cell>
          <cell r="H635">
            <v>345</v>
          </cell>
          <cell r="I635">
            <v>385</v>
          </cell>
          <cell r="J635">
            <v>319</v>
          </cell>
          <cell r="K635">
            <v>328</v>
          </cell>
          <cell r="L635">
            <v>384</v>
          </cell>
          <cell r="M635">
            <v>378</v>
          </cell>
        </row>
        <row r="636">
          <cell r="A636">
            <v>5173666</v>
          </cell>
          <cell r="B636">
            <v>5110926</v>
          </cell>
          <cell r="C636">
            <v>4410</v>
          </cell>
          <cell r="D636">
            <v>33001650</v>
          </cell>
          <cell r="E636">
            <v>253</v>
          </cell>
          <cell r="F636">
            <v>226</v>
          </cell>
          <cell r="G636">
            <v>218</v>
          </cell>
          <cell r="H636">
            <v>193</v>
          </cell>
          <cell r="I636">
            <v>252</v>
          </cell>
          <cell r="J636">
            <v>217</v>
          </cell>
          <cell r="K636">
            <v>231</v>
          </cell>
          <cell r="L636">
            <v>209</v>
          </cell>
          <cell r="M636">
            <v>223</v>
          </cell>
        </row>
        <row r="637">
          <cell r="A637">
            <v>5173502</v>
          </cell>
          <cell r="B637">
            <v>5110844</v>
          </cell>
          <cell r="C637">
            <v>4410</v>
          </cell>
          <cell r="D637">
            <v>32998208</v>
          </cell>
          <cell r="E637">
            <v>134</v>
          </cell>
          <cell r="F637">
            <v>118</v>
          </cell>
          <cell r="G637">
            <v>111</v>
          </cell>
          <cell r="H637">
            <v>112</v>
          </cell>
          <cell r="I637">
            <v>110</v>
          </cell>
          <cell r="J637">
            <v>109</v>
          </cell>
          <cell r="K637">
            <v>115</v>
          </cell>
          <cell r="L637">
            <v>101</v>
          </cell>
          <cell r="M637">
            <v>111</v>
          </cell>
        </row>
        <row r="638">
          <cell r="A638">
            <v>5173542</v>
          </cell>
          <cell r="B638">
            <v>5110864</v>
          </cell>
          <cell r="C638">
            <v>4410</v>
          </cell>
          <cell r="D638">
            <v>33001540</v>
          </cell>
          <cell r="E638">
            <v>172</v>
          </cell>
          <cell r="F638">
            <v>152</v>
          </cell>
          <cell r="G638">
            <v>148</v>
          </cell>
          <cell r="H638">
            <v>144</v>
          </cell>
          <cell r="I638">
            <v>213</v>
          </cell>
          <cell r="J638">
            <v>183</v>
          </cell>
          <cell r="K638">
            <v>193</v>
          </cell>
          <cell r="L638">
            <v>172</v>
          </cell>
          <cell r="M638">
            <v>178</v>
          </cell>
        </row>
        <row r="639">
          <cell r="A639">
            <v>5181412</v>
          </cell>
          <cell r="B639">
            <v>5114799</v>
          </cell>
          <cell r="C639">
            <v>4410</v>
          </cell>
          <cell r="D639">
            <v>32998184</v>
          </cell>
          <cell r="E639">
            <v>51</v>
          </cell>
          <cell r="F639">
            <v>55</v>
          </cell>
          <cell r="G639">
            <v>63</v>
          </cell>
          <cell r="H639">
            <v>57</v>
          </cell>
          <cell r="I639">
            <v>57</v>
          </cell>
          <cell r="J639">
            <v>66</v>
          </cell>
          <cell r="K639">
            <v>73</v>
          </cell>
          <cell r="L639">
            <v>68</v>
          </cell>
          <cell r="M639">
            <v>60</v>
          </cell>
        </row>
        <row r="640">
          <cell r="A640">
            <v>5173520</v>
          </cell>
          <cell r="B640">
            <v>5110853</v>
          </cell>
          <cell r="C640">
            <v>4410</v>
          </cell>
          <cell r="D640">
            <v>32998171</v>
          </cell>
          <cell r="E640">
            <v>130</v>
          </cell>
          <cell r="F640">
            <v>440</v>
          </cell>
          <cell r="G640">
            <v>28</v>
          </cell>
          <cell r="H640">
            <v>135</v>
          </cell>
          <cell r="I640">
            <v>87</v>
          </cell>
          <cell r="J640">
            <v>189</v>
          </cell>
          <cell r="K640">
            <v>248</v>
          </cell>
          <cell r="L640">
            <v>109</v>
          </cell>
          <cell r="M640">
            <v>135</v>
          </cell>
        </row>
        <row r="641">
          <cell r="A641">
            <v>5181516</v>
          </cell>
          <cell r="B641">
            <v>5114851</v>
          </cell>
          <cell r="C641">
            <v>4410</v>
          </cell>
          <cell r="D641">
            <v>33001809</v>
          </cell>
          <cell r="E641">
            <v>864</v>
          </cell>
          <cell r="F641">
            <v>611</v>
          </cell>
          <cell r="G641">
            <v>524</v>
          </cell>
          <cell r="H641">
            <v>523</v>
          </cell>
          <cell r="I641">
            <v>546</v>
          </cell>
          <cell r="J641">
            <v>528</v>
          </cell>
          <cell r="K641">
            <v>533</v>
          </cell>
          <cell r="L641">
            <v>464</v>
          </cell>
          <cell r="M641">
            <v>369</v>
          </cell>
        </row>
        <row r="642">
          <cell r="A642">
            <v>5181336</v>
          </cell>
          <cell r="B642">
            <v>5114761</v>
          </cell>
          <cell r="C642">
            <v>4410</v>
          </cell>
          <cell r="D642">
            <v>32998193</v>
          </cell>
          <cell r="E642">
            <v>34</v>
          </cell>
          <cell r="F642">
            <v>29</v>
          </cell>
          <cell r="G642">
            <v>32</v>
          </cell>
          <cell r="H642">
            <v>26</v>
          </cell>
          <cell r="I642">
            <v>17</v>
          </cell>
          <cell r="J642">
            <v>13</v>
          </cell>
          <cell r="K642">
            <v>21</v>
          </cell>
          <cell r="L642">
            <v>10</v>
          </cell>
          <cell r="M642">
            <v>198</v>
          </cell>
        </row>
        <row r="643">
          <cell r="A643">
            <v>5181294</v>
          </cell>
          <cell r="B643">
            <v>5114740</v>
          </cell>
          <cell r="C643">
            <v>4410</v>
          </cell>
          <cell r="D643">
            <v>31993686</v>
          </cell>
          <cell r="E643">
            <v>86</v>
          </cell>
          <cell r="F643">
            <v>75</v>
          </cell>
          <cell r="G643">
            <v>74</v>
          </cell>
          <cell r="H643">
            <v>72</v>
          </cell>
          <cell r="I643">
            <v>70</v>
          </cell>
          <cell r="J643">
            <v>70</v>
          </cell>
          <cell r="K643">
            <v>74</v>
          </cell>
          <cell r="L643">
            <v>53</v>
          </cell>
          <cell r="M643">
            <v>189</v>
          </cell>
        </row>
        <row r="644">
          <cell r="A644">
            <v>5181288</v>
          </cell>
          <cell r="B644">
            <v>5114737</v>
          </cell>
          <cell r="C644">
            <v>4410</v>
          </cell>
          <cell r="D644">
            <v>33001589</v>
          </cell>
          <cell r="E644">
            <v>64</v>
          </cell>
          <cell r="F644">
            <v>69</v>
          </cell>
          <cell r="G644">
            <v>63</v>
          </cell>
          <cell r="H644">
            <v>90</v>
          </cell>
          <cell r="I644">
            <v>77</v>
          </cell>
          <cell r="J644">
            <v>74</v>
          </cell>
          <cell r="K644">
            <v>79</v>
          </cell>
          <cell r="L644">
            <v>80</v>
          </cell>
          <cell r="M644">
            <v>306</v>
          </cell>
        </row>
        <row r="645">
          <cell r="A645">
            <v>5181286</v>
          </cell>
          <cell r="B645">
            <v>5114736</v>
          </cell>
          <cell r="C645">
            <v>4410</v>
          </cell>
          <cell r="D645">
            <v>33001717</v>
          </cell>
          <cell r="E645">
            <v>169</v>
          </cell>
          <cell r="F645">
            <v>201</v>
          </cell>
          <cell r="G645">
            <v>183</v>
          </cell>
          <cell r="H645">
            <v>189</v>
          </cell>
          <cell r="I645">
            <v>207</v>
          </cell>
          <cell r="J645">
            <v>223</v>
          </cell>
          <cell r="K645">
            <v>227</v>
          </cell>
          <cell r="L645">
            <v>223</v>
          </cell>
          <cell r="M645">
            <v>282</v>
          </cell>
        </row>
        <row r="646">
          <cell r="A646">
            <v>5181538</v>
          </cell>
          <cell r="B646">
            <v>5114862</v>
          </cell>
          <cell r="C646">
            <v>4410</v>
          </cell>
          <cell r="D646">
            <v>33001546</v>
          </cell>
          <cell r="E646">
            <v>251</v>
          </cell>
          <cell r="F646">
            <v>210</v>
          </cell>
          <cell r="G646">
            <v>189</v>
          </cell>
          <cell r="H646">
            <v>250</v>
          </cell>
          <cell r="I646">
            <v>268</v>
          </cell>
          <cell r="J646">
            <v>324</v>
          </cell>
          <cell r="K646">
            <v>352</v>
          </cell>
          <cell r="L646">
            <v>321</v>
          </cell>
          <cell r="M646">
            <v>270</v>
          </cell>
        </row>
        <row r="647">
          <cell r="A647">
            <v>5181648</v>
          </cell>
          <cell r="B647">
            <v>5114917</v>
          </cell>
          <cell r="C647">
            <v>4410</v>
          </cell>
          <cell r="D647">
            <v>33001571</v>
          </cell>
          <cell r="E647">
            <v>271</v>
          </cell>
          <cell r="F647">
            <v>242</v>
          </cell>
          <cell r="G647">
            <v>234</v>
          </cell>
          <cell r="H647">
            <v>207</v>
          </cell>
          <cell r="I647">
            <v>270</v>
          </cell>
          <cell r="J647">
            <v>233</v>
          </cell>
          <cell r="K647">
            <v>248</v>
          </cell>
          <cell r="L647">
            <v>225</v>
          </cell>
          <cell r="M647">
            <v>146</v>
          </cell>
        </row>
        <row r="648">
          <cell r="A648">
            <v>5181300</v>
          </cell>
          <cell r="B648">
            <v>5114743</v>
          </cell>
          <cell r="C648">
            <v>4410</v>
          </cell>
          <cell r="D648">
            <v>33001744</v>
          </cell>
          <cell r="E648">
            <v>185</v>
          </cell>
          <cell r="F648">
            <v>169</v>
          </cell>
          <cell r="G648">
            <v>205</v>
          </cell>
          <cell r="H648">
            <v>42</v>
          </cell>
          <cell r="I648">
            <v>148</v>
          </cell>
          <cell r="J648">
            <v>140</v>
          </cell>
          <cell r="K648">
            <v>151</v>
          </cell>
          <cell r="L648">
            <v>134</v>
          </cell>
          <cell r="M648">
            <v>417</v>
          </cell>
        </row>
        <row r="649">
          <cell r="A649">
            <v>5181358</v>
          </cell>
          <cell r="B649">
            <v>5114772</v>
          </cell>
          <cell r="C649">
            <v>4410</v>
          </cell>
          <cell r="D649">
            <v>33001580</v>
          </cell>
          <cell r="E649">
            <v>240</v>
          </cell>
          <cell r="F649">
            <v>143</v>
          </cell>
          <cell r="G649">
            <v>105</v>
          </cell>
          <cell r="H649">
            <v>127</v>
          </cell>
          <cell r="I649">
            <v>136</v>
          </cell>
          <cell r="J649">
            <v>145</v>
          </cell>
          <cell r="K649">
            <v>78</v>
          </cell>
          <cell r="L649">
            <v>95</v>
          </cell>
          <cell r="M649">
            <v>294</v>
          </cell>
        </row>
        <row r="650">
          <cell r="A650">
            <v>5181296</v>
          </cell>
          <cell r="B650">
            <v>5114741</v>
          </cell>
          <cell r="C650">
            <v>4410</v>
          </cell>
          <cell r="D650">
            <v>33001562</v>
          </cell>
          <cell r="E650">
            <v>0</v>
          </cell>
          <cell r="F650">
            <v>0</v>
          </cell>
          <cell r="G650">
            <v>0</v>
          </cell>
          <cell r="H650">
            <v>0</v>
          </cell>
          <cell r="I650">
            <v>0</v>
          </cell>
          <cell r="J650">
            <v>0</v>
          </cell>
          <cell r="K650">
            <v>190</v>
          </cell>
          <cell r="L650">
            <v>30</v>
          </cell>
          <cell r="M650">
            <v>138</v>
          </cell>
        </row>
        <row r="651">
          <cell r="A651">
            <v>5181606</v>
          </cell>
          <cell r="B651">
            <v>5114896</v>
          </cell>
          <cell r="C651">
            <v>4410</v>
          </cell>
          <cell r="D651">
            <v>33001552</v>
          </cell>
          <cell r="E651">
            <v>178</v>
          </cell>
          <cell r="F651">
            <v>131</v>
          </cell>
          <cell r="G651">
            <v>162</v>
          </cell>
          <cell r="H651">
            <v>128</v>
          </cell>
          <cell r="I651">
            <v>156</v>
          </cell>
          <cell r="J651">
            <v>143</v>
          </cell>
          <cell r="K651">
            <v>131</v>
          </cell>
          <cell r="L651">
            <v>153</v>
          </cell>
          <cell r="M651">
            <v>99</v>
          </cell>
        </row>
        <row r="652">
          <cell r="A652">
            <v>5095496</v>
          </cell>
          <cell r="B652">
            <v>5071841</v>
          </cell>
          <cell r="C652">
            <v>4410</v>
          </cell>
          <cell r="D652">
            <v>31116243</v>
          </cell>
          <cell r="E652">
            <v>89</v>
          </cell>
          <cell r="F652">
            <v>65</v>
          </cell>
          <cell r="G652">
            <v>59</v>
          </cell>
          <cell r="H652">
            <v>53</v>
          </cell>
          <cell r="I652">
            <v>61</v>
          </cell>
          <cell r="J652">
            <v>66</v>
          </cell>
          <cell r="K652">
            <v>253</v>
          </cell>
          <cell r="L652">
            <v>233</v>
          </cell>
          <cell r="M652">
            <v>204</v>
          </cell>
        </row>
        <row r="653">
          <cell r="A653">
            <v>5181476</v>
          </cell>
          <cell r="B653">
            <v>5114831</v>
          </cell>
          <cell r="C653">
            <v>4410</v>
          </cell>
          <cell r="D653">
            <v>31991225</v>
          </cell>
          <cell r="E653">
            <v>225</v>
          </cell>
          <cell r="F653">
            <v>176</v>
          </cell>
          <cell r="G653">
            <v>155</v>
          </cell>
          <cell r="H653">
            <v>88</v>
          </cell>
          <cell r="I653">
            <v>170</v>
          </cell>
          <cell r="J653">
            <v>158</v>
          </cell>
          <cell r="K653">
            <v>165</v>
          </cell>
          <cell r="L653">
            <v>246</v>
          </cell>
          <cell r="M653">
            <v>227</v>
          </cell>
        </row>
        <row r="654">
          <cell r="A654">
            <v>5095536</v>
          </cell>
          <cell r="B654">
            <v>5071861</v>
          </cell>
          <cell r="C654">
            <v>4410</v>
          </cell>
          <cell r="D654">
            <v>3642153</v>
          </cell>
          <cell r="E654">
            <v>172</v>
          </cell>
          <cell r="F654">
            <v>143</v>
          </cell>
          <cell r="G654">
            <v>157</v>
          </cell>
          <cell r="H654">
            <v>149</v>
          </cell>
          <cell r="I654">
            <v>207</v>
          </cell>
          <cell r="J654">
            <v>189</v>
          </cell>
          <cell r="K654">
            <v>181</v>
          </cell>
          <cell r="L654">
            <v>191</v>
          </cell>
          <cell r="M654">
            <v>298</v>
          </cell>
        </row>
        <row r="655">
          <cell r="A655">
            <v>5095538</v>
          </cell>
          <cell r="B655">
            <v>5071862</v>
          </cell>
          <cell r="C655">
            <v>4410</v>
          </cell>
          <cell r="D655">
            <v>3642517</v>
          </cell>
          <cell r="E655">
            <v>172</v>
          </cell>
          <cell r="F655">
            <v>143</v>
          </cell>
          <cell r="G655">
            <v>157</v>
          </cell>
          <cell r="H655">
            <v>149</v>
          </cell>
          <cell r="I655">
            <v>207</v>
          </cell>
          <cell r="J655">
            <v>189</v>
          </cell>
          <cell r="K655">
            <v>181</v>
          </cell>
          <cell r="L655">
            <v>131</v>
          </cell>
          <cell r="M655">
            <v>142</v>
          </cell>
        </row>
        <row r="656">
          <cell r="A656">
            <v>5181432</v>
          </cell>
          <cell r="B656">
            <v>5114809</v>
          </cell>
          <cell r="C656">
            <v>4410</v>
          </cell>
          <cell r="D656">
            <v>3506182</v>
          </cell>
          <cell r="E656">
            <v>72</v>
          </cell>
          <cell r="F656">
            <v>74</v>
          </cell>
          <cell r="G656">
            <v>246</v>
          </cell>
          <cell r="H656">
            <v>162</v>
          </cell>
          <cell r="I656">
            <v>31</v>
          </cell>
          <cell r="J656">
            <v>92</v>
          </cell>
          <cell r="K656">
            <v>104</v>
          </cell>
          <cell r="L656">
            <v>100</v>
          </cell>
          <cell r="M656">
            <v>112</v>
          </cell>
        </row>
        <row r="657">
          <cell r="A657">
            <v>5173440</v>
          </cell>
          <cell r="B657">
            <v>5110813</v>
          </cell>
          <cell r="C657">
            <v>4410</v>
          </cell>
          <cell r="D657">
            <v>156305</v>
          </cell>
          <cell r="E657">
            <v>238</v>
          </cell>
          <cell r="F657">
            <v>176</v>
          </cell>
          <cell r="G657">
            <v>199</v>
          </cell>
          <cell r="H657">
            <v>220</v>
          </cell>
          <cell r="I657">
            <v>297</v>
          </cell>
          <cell r="J657">
            <v>363</v>
          </cell>
          <cell r="K657">
            <v>261</v>
          </cell>
          <cell r="L657">
            <v>219</v>
          </cell>
          <cell r="M657">
            <v>147</v>
          </cell>
        </row>
        <row r="658">
          <cell r="A658">
            <v>5173562</v>
          </cell>
          <cell r="B658">
            <v>5110874</v>
          </cell>
          <cell r="C658">
            <v>4410</v>
          </cell>
          <cell r="D658">
            <v>156268</v>
          </cell>
          <cell r="E658">
            <v>256</v>
          </cell>
          <cell r="F658">
            <v>207</v>
          </cell>
          <cell r="G658">
            <v>225</v>
          </cell>
          <cell r="H658">
            <v>223</v>
          </cell>
          <cell r="I658">
            <v>245</v>
          </cell>
          <cell r="J658">
            <v>219</v>
          </cell>
          <cell r="K658">
            <v>217</v>
          </cell>
          <cell r="L658">
            <v>221</v>
          </cell>
          <cell r="M658">
            <v>243</v>
          </cell>
        </row>
        <row r="659">
          <cell r="A659">
            <v>5173242</v>
          </cell>
          <cell r="B659">
            <v>5110714</v>
          </cell>
          <cell r="C659">
            <v>4410</v>
          </cell>
          <cell r="D659">
            <v>156202</v>
          </cell>
          <cell r="E659">
            <v>198</v>
          </cell>
          <cell r="F659">
            <v>186</v>
          </cell>
          <cell r="G659">
            <v>188</v>
          </cell>
          <cell r="H659">
            <v>178</v>
          </cell>
          <cell r="I659">
            <v>182</v>
          </cell>
          <cell r="J659">
            <v>172</v>
          </cell>
          <cell r="K659">
            <v>176</v>
          </cell>
          <cell r="L659">
            <v>168</v>
          </cell>
          <cell r="M659">
            <v>139</v>
          </cell>
        </row>
        <row r="660">
          <cell r="A660">
            <v>5173186</v>
          </cell>
          <cell r="B660">
            <v>5110686</v>
          </cell>
          <cell r="C660">
            <v>4410</v>
          </cell>
          <cell r="D660">
            <v>156244</v>
          </cell>
          <cell r="E660">
            <v>171</v>
          </cell>
          <cell r="F660">
            <v>149</v>
          </cell>
          <cell r="G660">
            <v>128</v>
          </cell>
          <cell r="H660">
            <v>141</v>
          </cell>
          <cell r="I660">
            <v>139</v>
          </cell>
          <cell r="J660">
            <v>123</v>
          </cell>
          <cell r="K660">
            <v>146</v>
          </cell>
          <cell r="L660">
            <v>134</v>
          </cell>
          <cell r="M660">
            <v>138</v>
          </cell>
        </row>
        <row r="661">
          <cell r="A661">
            <v>5181410</v>
          </cell>
          <cell r="B661">
            <v>5114798</v>
          </cell>
          <cell r="C661">
            <v>4410</v>
          </cell>
          <cell r="D661">
            <v>16005397</v>
          </cell>
          <cell r="E661">
            <v>430</v>
          </cell>
          <cell r="F661">
            <v>243</v>
          </cell>
          <cell r="G661">
            <v>248</v>
          </cell>
          <cell r="H661">
            <v>171</v>
          </cell>
          <cell r="I661">
            <v>216</v>
          </cell>
          <cell r="J661">
            <v>188</v>
          </cell>
          <cell r="K661">
            <v>241</v>
          </cell>
          <cell r="L661">
            <v>289</v>
          </cell>
          <cell r="M661">
            <v>384</v>
          </cell>
        </row>
        <row r="662">
          <cell r="A662">
            <v>5181314</v>
          </cell>
          <cell r="B662">
            <v>5114750</v>
          </cell>
          <cell r="C662">
            <v>4410</v>
          </cell>
          <cell r="D662">
            <v>10277319</v>
          </cell>
          <cell r="E662">
            <v>263</v>
          </cell>
          <cell r="F662">
            <v>578</v>
          </cell>
          <cell r="G662">
            <v>397</v>
          </cell>
          <cell r="H662">
            <v>155</v>
          </cell>
          <cell r="I662">
            <v>386</v>
          </cell>
          <cell r="J662">
            <v>358</v>
          </cell>
          <cell r="K662">
            <v>364</v>
          </cell>
          <cell r="L662">
            <v>351</v>
          </cell>
          <cell r="M662">
            <v>341</v>
          </cell>
        </row>
        <row r="663">
          <cell r="A663">
            <v>5181454</v>
          </cell>
          <cell r="B663">
            <v>5114820</v>
          </cell>
          <cell r="C663">
            <v>4410</v>
          </cell>
          <cell r="D663">
            <v>8669924</v>
          </cell>
          <cell r="E663">
            <v>144</v>
          </cell>
          <cell r="F663">
            <v>76</v>
          </cell>
          <cell r="G663">
            <v>177</v>
          </cell>
          <cell r="H663">
            <v>188</v>
          </cell>
          <cell r="I663">
            <v>39</v>
          </cell>
          <cell r="J663">
            <v>117</v>
          </cell>
          <cell r="K663">
            <v>126</v>
          </cell>
          <cell r="L663">
            <v>0</v>
          </cell>
          <cell r="M663">
            <v>286</v>
          </cell>
        </row>
        <row r="664">
          <cell r="A664">
            <v>5181304</v>
          </cell>
          <cell r="B664">
            <v>5114745</v>
          </cell>
          <cell r="C664">
            <v>4410</v>
          </cell>
          <cell r="D664">
            <v>7630648</v>
          </cell>
          <cell r="E664">
            <v>297</v>
          </cell>
          <cell r="F664">
            <v>195</v>
          </cell>
          <cell r="G664">
            <v>219</v>
          </cell>
          <cell r="H664">
            <v>273</v>
          </cell>
          <cell r="I664">
            <v>312</v>
          </cell>
          <cell r="J664">
            <v>271</v>
          </cell>
          <cell r="K664">
            <v>309</v>
          </cell>
          <cell r="L664">
            <v>286</v>
          </cell>
          <cell r="M664">
            <v>309</v>
          </cell>
        </row>
        <row r="665">
          <cell r="A665">
            <v>5173720</v>
          </cell>
          <cell r="B665">
            <v>5110953</v>
          </cell>
          <cell r="C665">
            <v>4410</v>
          </cell>
          <cell r="D665">
            <v>1618671</v>
          </cell>
          <cell r="E665">
            <v>252</v>
          </cell>
          <cell r="F665">
            <v>209</v>
          </cell>
          <cell r="G665">
            <v>230</v>
          </cell>
          <cell r="H665">
            <v>238</v>
          </cell>
          <cell r="I665">
            <v>258</v>
          </cell>
          <cell r="J665">
            <v>235</v>
          </cell>
          <cell r="K665">
            <v>238</v>
          </cell>
          <cell r="L665">
            <v>225</v>
          </cell>
          <cell r="M665">
            <v>315</v>
          </cell>
        </row>
        <row r="666">
          <cell r="A666">
            <v>5173702</v>
          </cell>
          <cell r="B666">
            <v>5110944</v>
          </cell>
          <cell r="C666">
            <v>4410</v>
          </cell>
          <cell r="D666">
            <v>1472654</v>
          </cell>
          <cell r="E666">
            <v>370</v>
          </cell>
          <cell r="F666">
            <v>244</v>
          </cell>
          <cell r="G666">
            <v>170</v>
          </cell>
          <cell r="H666">
            <v>254</v>
          </cell>
          <cell r="I666">
            <v>303</v>
          </cell>
          <cell r="J666">
            <v>264</v>
          </cell>
          <cell r="K666">
            <v>288</v>
          </cell>
          <cell r="L666">
            <v>280</v>
          </cell>
          <cell r="M666">
            <v>186</v>
          </cell>
        </row>
        <row r="667">
          <cell r="A667">
            <v>5173626</v>
          </cell>
          <cell r="B667">
            <v>5110906</v>
          </cell>
          <cell r="C667">
            <v>4410</v>
          </cell>
          <cell r="D667">
            <v>1691962</v>
          </cell>
          <cell r="E667">
            <v>389</v>
          </cell>
          <cell r="F667">
            <v>296</v>
          </cell>
          <cell r="G667">
            <v>280</v>
          </cell>
          <cell r="H667">
            <v>57</v>
          </cell>
          <cell r="I667">
            <v>81</v>
          </cell>
          <cell r="J667">
            <v>146</v>
          </cell>
          <cell r="K667">
            <v>153</v>
          </cell>
          <cell r="L667">
            <v>157</v>
          </cell>
          <cell r="M667">
            <v>203</v>
          </cell>
        </row>
        <row r="668">
          <cell r="A668">
            <v>5181582</v>
          </cell>
          <cell r="B668">
            <v>5114884</v>
          </cell>
          <cell r="C668">
            <v>4410</v>
          </cell>
          <cell r="D668">
            <v>1434947</v>
          </cell>
          <cell r="E668">
            <v>137</v>
          </cell>
          <cell r="F668">
            <v>172</v>
          </cell>
          <cell r="G668">
            <v>78</v>
          </cell>
          <cell r="H668">
            <v>79</v>
          </cell>
          <cell r="I668">
            <v>94</v>
          </cell>
          <cell r="J668">
            <v>88</v>
          </cell>
          <cell r="K668">
            <v>15</v>
          </cell>
          <cell r="L668">
            <v>6</v>
          </cell>
          <cell r="M668">
            <v>11</v>
          </cell>
        </row>
        <row r="669">
          <cell r="A669">
            <v>5181298</v>
          </cell>
          <cell r="B669">
            <v>5114742</v>
          </cell>
          <cell r="C669">
            <v>4410</v>
          </cell>
          <cell r="D669">
            <v>1836820</v>
          </cell>
          <cell r="E669">
            <v>96</v>
          </cell>
          <cell r="F669">
            <v>82</v>
          </cell>
          <cell r="G669">
            <v>80</v>
          </cell>
          <cell r="H669">
            <v>83</v>
          </cell>
          <cell r="I669">
            <v>105</v>
          </cell>
          <cell r="J669">
            <v>77</v>
          </cell>
          <cell r="K669">
            <v>116</v>
          </cell>
          <cell r="L669">
            <v>86</v>
          </cell>
          <cell r="M669">
            <v>105</v>
          </cell>
        </row>
        <row r="670">
          <cell r="A670">
            <v>5181376</v>
          </cell>
          <cell r="B670">
            <v>5114781</v>
          </cell>
          <cell r="C670">
            <v>4410</v>
          </cell>
          <cell r="D670">
            <v>1902077</v>
          </cell>
          <cell r="E670">
            <v>220</v>
          </cell>
          <cell r="F670">
            <v>164</v>
          </cell>
          <cell r="G670">
            <v>173</v>
          </cell>
          <cell r="H670">
            <v>189</v>
          </cell>
          <cell r="I670">
            <v>160</v>
          </cell>
          <cell r="J670">
            <v>161</v>
          </cell>
          <cell r="K670">
            <v>145</v>
          </cell>
          <cell r="L670">
            <v>170</v>
          </cell>
          <cell r="M670">
            <v>181</v>
          </cell>
        </row>
        <row r="671">
          <cell r="A671">
            <v>5181394</v>
          </cell>
          <cell r="B671">
            <v>5114790</v>
          </cell>
          <cell r="C671">
            <v>4410</v>
          </cell>
          <cell r="D671">
            <v>1891190</v>
          </cell>
          <cell r="E671">
            <v>332</v>
          </cell>
          <cell r="F671">
            <v>286</v>
          </cell>
          <cell r="G671">
            <v>301</v>
          </cell>
          <cell r="H671">
            <v>291</v>
          </cell>
          <cell r="I671">
            <v>335</v>
          </cell>
          <cell r="J671">
            <v>136</v>
          </cell>
          <cell r="K671">
            <v>313</v>
          </cell>
          <cell r="L671">
            <v>472</v>
          </cell>
          <cell r="M671">
            <v>262</v>
          </cell>
        </row>
        <row r="672">
          <cell r="A672">
            <v>5095534</v>
          </cell>
          <cell r="B672">
            <v>5071860</v>
          </cell>
          <cell r="C672">
            <v>4410</v>
          </cell>
          <cell r="D672">
            <v>1727781</v>
          </cell>
          <cell r="E672">
            <v>236</v>
          </cell>
          <cell r="F672">
            <v>192</v>
          </cell>
          <cell r="G672">
            <v>221</v>
          </cell>
          <cell r="H672">
            <v>217</v>
          </cell>
          <cell r="I672">
            <v>218</v>
          </cell>
          <cell r="J672">
            <v>196</v>
          </cell>
          <cell r="K672">
            <v>118</v>
          </cell>
          <cell r="L672">
            <v>168</v>
          </cell>
          <cell r="M672">
            <v>157</v>
          </cell>
        </row>
        <row r="673">
          <cell r="A673">
            <v>5173368</v>
          </cell>
          <cell r="B673">
            <v>5110777</v>
          </cell>
          <cell r="C673">
            <v>4410</v>
          </cell>
          <cell r="D673">
            <v>1730290</v>
          </cell>
          <cell r="E673">
            <v>159</v>
          </cell>
          <cell r="F673">
            <v>129</v>
          </cell>
          <cell r="G673">
            <v>146</v>
          </cell>
          <cell r="H673">
            <v>141</v>
          </cell>
          <cell r="I673">
            <v>142</v>
          </cell>
          <cell r="J673">
            <v>128</v>
          </cell>
          <cell r="K673">
            <v>140</v>
          </cell>
          <cell r="L673">
            <v>133</v>
          </cell>
          <cell r="M673">
            <v>113</v>
          </cell>
        </row>
        <row r="674">
          <cell r="A674">
            <v>5181560</v>
          </cell>
          <cell r="B674">
            <v>5114873</v>
          </cell>
          <cell r="C674">
            <v>4410</v>
          </cell>
          <cell r="D674">
            <v>1728889</v>
          </cell>
          <cell r="E674">
            <v>236</v>
          </cell>
          <cell r="F674">
            <v>192</v>
          </cell>
          <cell r="G674">
            <v>197</v>
          </cell>
          <cell r="H674">
            <v>188</v>
          </cell>
          <cell r="I674">
            <v>205</v>
          </cell>
          <cell r="J674">
            <v>224</v>
          </cell>
          <cell r="K674">
            <v>204</v>
          </cell>
          <cell r="L674">
            <v>165</v>
          </cell>
          <cell r="M674">
            <v>127</v>
          </cell>
        </row>
        <row r="675">
          <cell r="A675">
            <v>5173328</v>
          </cell>
          <cell r="B675">
            <v>5110757</v>
          </cell>
          <cell r="C675">
            <v>4410</v>
          </cell>
          <cell r="D675">
            <v>3730857</v>
          </cell>
          <cell r="E675">
            <v>161</v>
          </cell>
          <cell r="F675">
            <v>134</v>
          </cell>
          <cell r="G675">
            <v>280</v>
          </cell>
          <cell r="H675">
            <v>146</v>
          </cell>
          <cell r="I675">
            <v>157</v>
          </cell>
          <cell r="J675">
            <v>138</v>
          </cell>
          <cell r="K675">
            <v>144</v>
          </cell>
          <cell r="L675">
            <v>114</v>
          </cell>
          <cell r="M675">
            <v>137</v>
          </cell>
        </row>
        <row r="676">
          <cell r="A676">
            <v>5173404</v>
          </cell>
          <cell r="B676">
            <v>5110795</v>
          </cell>
          <cell r="C676">
            <v>4410</v>
          </cell>
          <cell r="D676">
            <v>6824296</v>
          </cell>
          <cell r="E676">
            <v>168</v>
          </cell>
          <cell r="F676">
            <v>161</v>
          </cell>
          <cell r="G676">
            <v>185</v>
          </cell>
          <cell r="H676">
            <v>144</v>
          </cell>
          <cell r="I676">
            <v>192</v>
          </cell>
          <cell r="J676">
            <v>156</v>
          </cell>
          <cell r="K676">
            <v>262</v>
          </cell>
          <cell r="L676">
            <v>172</v>
          </cell>
          <cell r="M676">
            <v>73</v>
          </cell>
        </row>
        <row r="677">
          <cell r="A677">
            <v>5173224</v>
          </cell>
          <cell r="B677">
            <v>5110705</v>
          </cell>
          <cell r="C677">
            <v>4410</v>
          </cell>
          <cell r="D677">
            <v>6822386</v>
          </cell>
          <cell r="E677">
            <v>140</v>
          </cell>
          <cell r="F677">
            <v>121</v>
          </cell>
          <cell r="G677">
            <v>121</v>
          </cell>
          <cell r="H677">
            <v>117</v>
          </cell>
          <cell r="I677">
            <v>128</v>
          </cell>
          <cell r="J677">
            <v>118</v>
          </cell>
          <cell r="K677">
            <v>126</v>
          </cell>
          <cell r="L677">
            <v>121</v>
          </cell>
          <cell r="M677">
            <v>136</v>
          </cell>
        </row>
        <row r="678">
          <cell r="A678">
            <v>5173422</v>
          </cell>
          <cell r="B678">
            <v>5110804</v>
          </cell>
          <cell r="C678">
            <v>4410</v>
          </cell>
          <cell r="D678">
            <v>6822495</v>
          </cell>
          <cell r="E678">
            <v>88</v>
          </cell>
          <cell r="F678">
            <v>77</v>
          </cell>
          <cell r="G678">
            <v>73</v>
          </cell>
          <cell r="H678">
            <v>78</v>
          </cell>
          <cell r="I678">
            <v>75</v>
          </cell>
          <cell r="J678">
            <v>67</v>
          </cell>
          <cell r="K678">
            <v>78</v>
          </cell>
          <cell r="L678">
            <v>72</v>
          </cell>
          <cell r="M678">
            <v>94</v>
          </cell>
        </row>
        <row r="679">
          <cell r="A679">
            <v>5173264</v>
          </cell>
          <cell r="B679">
            <v>5110725</v>
          </cell>
          <cell r="C679">
            <v>4410</v>
          </cell>
          <cell r="D679">
            <v>3726357</v>
          </cell>
          <cell r="E679">
            <v>197</v>
          </cell>
          <cell r="F679">
            <v>160</v>
          </cell>
          <cell r="G679">
            <v>172</v>
          </cell>
          <cell r="H679">
            <v>171</v>
          </cell>
          <cell r="I679">
            <v>181</v>
          </cell>
          <cell r="J679">
            <v>154</v>
          </cell>
          <cell r="K679">
            <v>166</v>
          </cell>
          <cell r="L679">
            <v>181</v>
          </cell>
          <cell r="M679">
            <v>197</v>
          </cell>
        </row>
        <row r="680">
          <cell r="A680">
            <v>5173688</v>
          </cell>
          <cell r="B680">
            <v>5110937</v>
          </cell>
          <cell r="C680">
            <v>4410</v>
          </cell>
          <cell r="D680">
            <v>1751188</v>
          </cell>
          <cell r="E680">
            <v>280</v>
          </cell>
          <cell r="F680">
            <v>259</v>
          </cell>
          <cell r="G680">
            <v>246</v>
          </cell>
          <cell r="H680">
            <v>267</v>
          </cell>
          <cell r="I680">
            <v>280</v>
          </cell>
          <cell r="J680">
            <v>247</v>
          </cell>
          <cell r="K680">
            <v>256</v>
          </cell>
          <cell r="L680">
            <v>252</v>
          </cell>
          <cell r="M680">
            <v>260</v>
          </cell>
        </row>
        <row r="681">
          <cell r="A681">
            <v>5173204</v>
          </cell>
          <cell r="B681">
            <v>5110695</v>
          </cell>
          <cell r="C681">
            <v>4410</v>
          </cell>
          <cell r="D681">
            <v>6823792</v>
          </cell>
          <cell r="E681">
            <v>235</v>
          </cell>
          <cell r="F681">
            <v>218</v>
          </cell>
          <cell r="G681">
            <v>205</v>
          </cell>
          <cell r="H681">
            <v>205</v>
          </cell>
          <cell r="I681">
            <v>189</v>
          </cell>
          <cell r="J681">
            <v>175</v>
          </cell>
          <cell r="K681">
            <v>193</v>
          </cell>
          <cell r="L681">
            <v>183</v>
          </cell>
          <cell r="M681">
            <v>219</v>
          </cell>
        </row>
        <row r="682">
          <cell r="A682">
            <v>5173386</v>
          </cell>
          <cell r="B682">
            <v>5110786</v>
          </cell>
          <cell r="C682">
            <v>4410</v>
          </cell>
          <cell r="D682">
            <v>3730277</v>
          </cell>
          <cell r="E682">
            <v>138</v>
          </cell>
          <cell r="F682">
            <v>117</v>
          </cell>
          <cell r="G682">
            <v>127</v>
          </cell>
          <cell r="H682">
            <v>123</v>
          </cell>
          <cell r="I682">
            <v>130</v>
          </cell>
          <cell r="J682">
            <v>121</v>
          </cell>
          <cell r="K682">
            <v>129</v>
          </cell>
          <cell r="L682">
            <v>117</v>
          </cell>
          <cell r="M682">
            <v>127</v>
          </cell>
        </row>
        <row r="683">
          <cell r="A683">
            <v>5173346</v>
          </cell>
          <cell r="B683">
            <v>5110766</v>
          </cell>
          <cell r="C683">
            <v>4410</v>
          </cell>
          <cell r="D683">
            <v>3729336</v>
          </cell>
          <cell r="E683">
            <v>166</v>
          </cell>
          <cell r="F683">
            <v>149</v>
          </cell>
          <cell r="G683">
            <v>147</v>
          </cell>
          <cell r="H683">
            <v>146</v>
          </cell>
          <cell r="I683">
            <v>149</v>
          </cell>
          <cell r="J683">
            <v>147</v>
          </cell>
          <cell r="K683">
            <v>155</v>
          </cell>
          <cell r="L683">
            <v>140</v>
          </cell>
          <cell r="M683">
            <v>173</v>
          </cell>
        </row>
        <row r="684">
          <cell r="A684">
            <v>5173306</v>
          </cell>
          <cell r="B684">
            <v>5110746</v>
          </cell>
          <cell r="C684">
            <v>4410</v>
          </cell>
          <cell r="D684">
            <v>1753006</v>
          </cell>
          <cell r="E684">
            <v>185</v>
          </cell>
          <cell r="F684">
            <v>105</v>
          </cell>
          <cell r="G684">
            <v>159</v>
          </cell>
          <cell r="H684">
            <v>126</v>
          </cell>
          <cell r="I684">
            <v>185</v>
          </cell>
          <cell r="J684">
            <v>209</v>
          </cell>
          <cell r="K684">
            <v>199</v>
          </cell>
          <cell r="L684">
            <v>180</v>
          </cell>
          <cell r="M684">
            <v>174</v>
          </cell>
        </row>
        <row r="685">
          <cell r="A685">
            <v>5173604</v>
          </cell>
          <cell r="B685">
            <v>5110895</v>
          </cell>
          <cell r="C685">
            <v>4410</v>
          </cell>
          <cell r="D685">
            <v>6821606</v>
          </cell>
          <cell r="E685">
            <v>178</v>
          </cell>
          <cell r="F685">
            <v>160</v>
          </cell>
          <cell r="G685">
            <v>169</v>
          </cell>
          <cell r="H685">
            <v>65</v>
          </cell>
          <cell r="I685">
            <v>201</v>
          </cell>
          <cell r="J685">
            <v>84</v>
          </cell>
          <cell r="K685">
            <v>147</v>
          </cell>
          <cell r="L685">
            <v>140</v>
          </cell>
          <cell r="M685">
            <v>151</v>
          </cell>
        </row>
        <row r="686">
          <cell r="A686">
            <v>5173738</v>
          </cell>
          <cell r="B686">
            <v>5110962</v>
          </cell>
          <cell r="C686">
            <v>4410</v>
          </cell>
          <cell r="D686">
            <v>6822901</v>
          </cell>
          <cell r="E686">
            <v>153</v>
          </cell>
          <cell r="F686">
            <v>130</v>
          </cell>
          <cell r="G686">
            <v>156</v>
          </cell>
          <cell r="H686">
            <v>148</v>
          </cell>
          <cell r="I686">
            <v>154</v>
          </cell>
          <cell r="J686">
            <v>145</v>
          </cell>
          <cell r="K686">
            <v>128</v>
          </cell>
          <cell r="L686">
            <v>183</v>
          </cell>
          <cell r="M686">
            <v>205</v>
          </cell>
        </row>
        <row r="687">
          <cell r="A687">
            <v>5173760</v>
          </cell>
          <cell r="B687">
            <v>5110973</v>
          </cell>
          <cell r="C687">
            <v>4410</v>
          </cell>
          <cell r="D687">
            <v>6822887</v>
          </cell>
          <cell r="E687">
            <v>219</v>
          </cell>
          <cell r="F687">
            <v>185</v>
          </cell>
          <cell r="G687">
            <v>157</v>
          </cell>
          <cell r="H687">
            <v>45</v>
          </cell>
          <cell r="I687">
            <v>33</v>
          </cell>
          <cell r="J687">
            <v>140</v>
          </cell>
          <cell r="K687">
            <v>153</v>
          </cell>
          <cell r="L687">
            <v>151</v>
          </cell>
          <cell r="M687">
            <v>156</v>
          </cell>
        </row>
        <row r="688">
          <cell r="A688">
            <v>5181692</v>
          </cell>
          <cell r="B688">
            <v>5114939</v>
          </cell>
          <cell r="C688">
            <v>4410</v>
          </cell>
          <cell r="D688">
            <v>3365973</v>
          </cell>
          <cell r="E688">
            <v>124</v>
          </cell>
          <cell r="F688">
            <v>99</v>
          </cell>
          <cell r="G688">
            <v>100</v>
          </cell>
          <cell r="H688">
            <v>93</v>
          </cell>
          <cell r="I688">
            <v>120</v>
          </cell>
          <cell r="J688">
            <v>113</v>
          </cell>
          <cell r="K688">
            <v>95</v>
          </cell>
          <cell r="L688">
            <v>89</v>
          </cell>
          <cell r="M688">
            <v>111</v>
          </cell>
        </row>
        <row r="689">
          <cell r="A689">
            <v>5181626</v>
          </cell>
          <cell r="B689">
            <v>5114906</v>
          </cell>
          <cell r="C689">
            <v>4410</v>
          </cell>
          <cell r="D689">
            <v>3306002</v>
          </cell>
          <cell r="E689">
            <v>210</v>
          </cell>
          <cell r="F689">
            <v>161</v>
          </cell>
          <cell r="G689">
            <v>176</v>
          </cell>
          <cell r="H689">
            <v>165</v>
          </cell>
          <cell r="I689">
            <v>184</v>
          </cell>
          <cell r="J689">
            <v>137</v>
          </cell>
          <cell r="K689">
            <v>142</v>
          </cell>
          <cell r="L689">
            <v>139</v>
          </cell>
          <cell r="M689">
            <v>144</v>
          </cell>
        </row>
        <row r="690">
          <cell r="A690">
            <v>5181496</v>
          </cell>
          <cell r="B690">
            <v>5114841</v>
          </cell>
          <cell r="C690">
            <v>4410</v>
          </cell>
          <cell r="D690">
            <v>2181128</v>
          </cell>
          <cell r="E690">
            <v>346</v>
          </cell>
          <cell r="F690">
            <v>280</v>
          </cell>
          <cell r="G690">
            <v>190</v>
          </cell>
          <cell r="H690">
            <v>169</v>
          </cell>
          <cell r="I690">
            <v>169</v>
          </cell>
          <cell r="J690">
            <v>159</v>
          </cell>
          <cell r="K690">
            <v>153</v>
          </cell>
          <cell r="L690">
            <v>146</v>
          </cell>
          <cell r="M690">
            <v>171</v>
          </cell>
        </row>
        <row r="691">
          <cell r="A691">
            <v>5173460</v>
          </cell>
          <cell r="B691">
            <v>5110823</v>
          </cell>
          <cell r="C691">
            <v>4410</v>
          </cell>
          <cell r="D691">
            <v>7314690</v>
          </cell>
          <cell r="E691">
            <v>74</v>
          </cell>
          <cell r="F691">
            <v>108</v>
          </cell>
          <cell r="G691">
            <v>90</v>
          </cell>
          <cell r="H691">
            <v>60</v>
          </cell>
          <cell r="I691">
            <v>47</v>
          </cell>
          <cell r="J691">
            <v>35</v>
          </cell>
          <cell r="K691">
            <v>69</v>
          </cell>
          <cell r="L691">
            <v>88</v>
          </cell>
          <cell r="M691">
            <v>80</v>
          </cell>
        </row>
        <row r="692">
          <cell r="A692">
            <v>5173174</v>
          </cell>
          <cell r="B692">
            <v>5110680</v>
          </cell>
          <cell r="C692">
            <v>4410</v>
          </cell>
          <cell r="D692">
            <v>7299924</v>
          </cell>
          <cell r="E692">
            <v>503</v>
          </cell>
          <cell r="F692">
            <v>341</v>
          </cell>
          <cell r="G692">
            <v>349</v>
          </cell>
          <cell r="H692">
            <v>303</v>
          </cell>
          <cell r="I692">
            <v>360</v>
          </cell>
          <cell r="J692">
            <v>287</v>
          </cell>
          <cell r="K692">
            <v>657</v>
          </cell>
          <cell r="L692">
            <v>621</v>
          </cell>
          <cell r="M692">
            <v>678</v>
          </cell>
        </row>
        <row r="693">
          <cell r="A693">
            <v>5173584</v>
          </cell>
          <cell r="B693">
            <v>5110885</v>
          </cell>
          <cell r="C693">
            <v>4410</v>
          </cell>
          <cell r="D693">
            <v>7117917</v>
          </cell>
          <cell r="E693">
            <v>125</v>
          </cell>
          <cell r="F693">
            <v>119</v>
          </cell>
          <cell r="G693">
            <v>136</v>
          </cell>
          <cell r="H693">
            <v>133</v>
          </cell>
          <cell r="I693">
            <v>147</v>
          </cell>
          <cell r="J693">
            <v>136</v>
          </cell>
          <cell r="K693">
            <v>153</v>
          </cell>
          <cell r="L693">
            <v>137</v>
          </cell>
          <cell r="M693">
            <v>144</v>
          </cell>
        </row>
        <row r="694">
          <cell r="A694">
            <v>5173648</v>
          </cell>
          <cell r="B694">
            <v>5110917</v>
          </cell>
          <cell r="C694">
            <v>4410</v>
          </cell>
          <cell r="D694">
            <v>7728031</v>
          </cell>
          <cell r="E694">
            <v>183</v>
          </cell>
          <cell r="F694">
            <v>157</v>
          </cell>
          <cell r="G694">
            <v>157</v>
          </cell>
          <cell r="H694">
            <v>170</v>
          </cell>
          <cell r="I694">
            <v>186</v>
          </cell>
          <cell r="J694">
            <v>167</v>
          </cell>
          <cell r="K694">
            <v>167</v>
          </cell>
          <cell r="L694">
            <v>170</v>
          </cell>
          <cell r="M694">
            <v>193</v>
          </cell>
        </row>
        <row r="695">
          <cell r="A695">
            <v>5181670</v>
          </cell>
          <cell r="B695">
            <v>5114928</v>
          </cell>
          <cell r="C695">
            <v>4410</v>
          </cell>
          <cell r="D695">
            <v>442302</v>
          </cell>
          <cell r="E695">
            <v>179</v>
          </cell>
          <cell r="F695">
            <v>7</v>
          </cell>
          <cell r="G695">
            <v>342</v>
          </cell>
          <cell r="H695">
            <v>208</v>
          </cell>
          <cell r="I695">
            <v>229</v>
          </cell>
          <cell r="J695">
            <v>209</v>
          </cell>
          <cell r="K695">
            <v>227</v>
          </cell>
          <cell r="L695">
            <v>218</v>
          </cell>
          <cell r="M695">
            <v>230</v>
          </cell>
        </row>
        <row r="696">
          <cell r="A696">
            <v>5181290</v>
          </cell>
          <cell r="B696">
            <v>5114738</v>
          </cell>
          <cell r="C696">
            <v>4410</v>
          </cell>
          <cell r="D696">
            <v>4172304</v>
          </cell>
          <cell r="E696">
            <v>202</v>
          </cell>
          <cell r="F696">
            <v>208</v>
          </cell>
          <cell r="G696">
            <v>246</v>
          </cell>
          <cell r="H696">
            <v>233</v>
          </cell>
          <cell r="I696">
            <v>260</v>
          </cell>
          <cell r="J696">
            <v>243</v>
          </cell>
          <cell r="K696">
            <v>303</v>
          </cell>
          <cell r="L696">
            <v>286</v>
          </cell>
          <cell r="M696">
            <v>317</v>
          </cell>
        </row>
        <row r="697">
          <cell r="A697">
            <v>5182094</v>
          </cell>
          <cell r="B697">
            <v>5115140</v>
          </cell>
          <cell r="C697">
            <v>4410</v>
          </cell>
          <cell r="E697">
            <v>303</v>
          </cell>
          <cell r="F697">
            <v>266</v>
          </cell>
          <cell r="G697">
            <v>254</v>
          </cell>
          <cell r="H697">
            <v>225</v>
          </cell>
          <cell r="I697">
            <v>295</v>
          </cell>
          <cell r="J697">
            <v>257</v>
          </cell>
          <cell r="K697">
            <v>272</v>
          </cell>
          <cell r="L697">
            <v>245</v>
          </cell>
          <cell r="M697">
            <v>262</v>
          </cell>
        </row>
        <row r="698">
          <cell r="A698">
            <v>5181862</v>
          </cell>
          <cell r="B698">
            <v>5115024</v>
          </cell>
          <cell r="C698">
            <v>4410</v>
          </cell>
          <cell r="E698">
            <v>172</v>
          </cell>
          <cell r="F698">
            <v>152</v>
          </cell>
          <cell r="G698">
            <v>148</v>
          </cell>
          <cell r="H698">
            <v>144</v>
          </cell>
          <cell r="I698">
            <v>213</v>
          </cell>
          <cell r="J698">
            <v>183</v>
          </cell>
          <cell r="K698">
            <v>193</v>
          </cell>
          <cell r="L698">
            <v>172</v>
          </cell>
          <cell r="M698">
            <v>184</v>
          </cell>
        </row>
        <row r="699">
          <cell r="A699">
            <v>5172472</v>
          </cell>
          <cell r="B699">
            <v>5110329</v>
          </cell>
          <cell r="C699">
            <v>4410</v>
          </cell>
          <cell r="E699">
            <v>233</v>
          </cell>
          <cell r="F699">
            <v>206</v>
          </cell>
          <cell r="G699">
            <v>200</v>
          </cell>
          <cell r="H699">
            <v>189</v>
          </cell>
          <cell r="I699">
            <v>273</v>
          </cell>
          <cell r="J699">
            <v>237</v>
          </cell>
          <cell r="K699">
            <v>251</v>
          </cell>
          <cell r="L699">
            <v>224</v>
          </cell>
          <cell r="M699">
            <v>242</v>
          </cell>
        </row>
        <row r="700">
          <cell r="A700">
            <v>5172642</v>
          </cell>
          <cell r="B700">
            <v>5110414</v>
          </cell>
          <cell r="C700">
            <v>4410</v>
          </cell>
          <cell r="D700">
            <v>33001415</v>
          </cell>
          <cell r="E700">
            <v>371</v>
          </cell>
          <cell r="F700">
            <v>261</v>
          </cell>
          <cell r="G700">
            <v>160</v>
          </cell>
          <cell r="H700">
            <v>2926</v>
          </cell>
          <cell r="I700">
            <v>281</v>
          </cell>
          <cell r="J700">
            <v>190</v>
          </cell>
          <cell r="K700">
            <v>478</v>
          </cell>
          <cell r="L700">
            <v>217</v>
          </cell>
          <cell r="M700">
            <v>302</v>
          </cell>
        </row>
        <row r="701">
          <cell r="A701">
            <v>5182318</v>
          </cell>
          <cell r="B701">
            <v>5115252</v>
          </cell>
          <cell r="C701">
            <v>4410</v>
          </cell>
          <cell r="D701">
            <v>33001547</v>
          </cell>
          <cell r="E701">
            <v>195</v>
          </cell>
          <cell r="F701">
            <v>4</v>
          </cell>
          <cell r="G701">
            <v>296</v>
          </cell>
          <cell r="H701">
            <v>116</v>
          </cell>
          <cell r="I701">
            <v>135</v>
          </cell>
          <cell r="J701">
            <v>189</v>
          </cell>
          <cell r="K701">
            <v>293</v>
          </cell>
          <cell r="L701">
            <v>256</v>
          </cell>
          <cell r="M701">
            <v>223</v>
          </cell>
        </row>
        <row r="702">
          <cell r="A702">
            <v>5172620</v>
          </cell>
          <cell r="B702">
            <v>5110403</v>
          </cell>
          <cell r="C702">
            <v>4410</v>
          </cell>
          <cell r="D702">
            <v>33001585</v>
          </cell>
          <cell r="E702">
            <v>306</v>
          </cell>
          <cell r="F702">
            <v>317</v>
          </cell>
          <cell r="G702">
            <v>141</v>
          </cell>
          <cell r="H702">
            <v>277</v>
          </cell>
          <cell r="I702">
            <v>284</v>
          </cell>
          <cell r="J702">
            <v>85</v>
          </cell>
          <cell r="K702">
            <v>79</v>
          </cell>
          <cell r="L702">
            <v>83</v>
          </cell>
          <cell r="M702">
            <v>161</v>
          </cell>
        </row>
        <row r="703">
          <cell r="A703">
            <v>5172560</v>
          </cell>
          <cell r="B703">
            <v>5110373</v>
          </cell>
          <cell r="C703">
            <v>4410</v>
          </cell>
          <cell r="D703">
            <v>33001174</v>
          </cell>
          <cell r="E703">
            <v>172</v>
          </cell>
          <cell r="F703">
            <v>152</v>
          </cell>
          <cell r="G703">
            <v>148</v>
          </cell>
          <cell r="H703">
            <v>144</v>
          </cell>
          <cell r="I703">
            <v>213</v>
          </cell>
          <cell r="J703">
            <v>226</v>
          </cell>
          <cell r="K703">
            <v>236</v>
          </cell>
          <cell r="L703">
            <v>253</v>
          </cell>
          <cell r="M703">
            <v>207</v>
          </cell>
        </row>
        <row r="704">
          <cell r="A704">
            <v>5182198</v>
          </cell>
          <cell r="B704">
            <v>5115192</v>
          </cell>
          <cell r="C704">
            <v>4410</v>
          </cell>
          <cell r="D704">
            <v>33001678</v>
          </cell>
          <cell r="E704">
            <v>263</v>
          </cell>
          <cell r="F704">
            <v>246</v>
          </cell>
          <cell r="G704">
            <v>244</v>
          </cell>
          <cell r="H704">
            <v>218</v>
          </cell>
          <cell r="I704">
            <v>230</v>
          </cell>
          <cell r="J704">
            <v>223</v>
          </cell>
          <cell r="K704">
            <v>235</v>
          </cell>
          <cell r="L704">
            <v>225</v>
          </cell>
          <cell r="M704">
            <v>233</v>
          </cell>
        </row>
        <row r="705">
          <cell r="A705">
            <v>5182222</v>
          </cell>
          <cell r="B705">
            <v>5115204</v>
          </cell>
          <cell r="C705">
            <v>4410</v>
          </cell>
          <cell r="D705">
            <v>33001590</v>
          </cell>
          <cell r="E705">
            <v>225</v>
          </cell>
          <cell r="F705">
            <v>207</v>
          </cell>
          <cell r="G705">
            <v>217</v>
          </cell>
          <cell r="H705">
            <v>199</v>
          </cell>
          <cell r="I705">
            <v>194</v>
          </cell>
          <cell r="J705">
            <v>175</v>
          </cell>
          <cell r="K705">
            <v>185</v>
          </cell>
          <cell r="L705">
            <v>169</v>
          </cell>
          <cell r="M705">
            <v>193</v>
          </cell>
        </row>
        <row r="706">
          <cell r="A706">
            <v>5182128</v>
          </cell>
          <cell r="B706">
            <v>5115157</v>
          </cell>
          <cell r="C706">
            <v>4410</v>
          </cell>
          <cell r="D706">
            <v>31993646</v>
          </cell>
          <cell r="E706">
            <v>256</v>
          </cell>
          <cell r="F706">
            <v>229</v>
          </cell>
          <cell r="G706">
            <v>221</v>
          </cell>
          <cell r="H706">
            <v>327</v>
          </cell>
          <cell r="I706">
            <v>253</v>
          </cell>
          <cell r="J706">
            <v>167</v>
          </cell>
          <cell r="K706">
            <v>167</v>
          </cell>
          <cell r="L706">
            <v>157</v>
          </cell>
          <cell r="M706">
            <v>354</v>
          </cell>
        </row>
        <row r="707">
          <cell r="A707">
            <v>5182010</v>
          </cell>
          <cell r="B707">
            <v>5115098</v>
          </cell>
          <cell r="C707">
            <v>4410</v>
          </cell>
          <cell r="D707">
            <v>33001793</v>
          </cell>
          <cell r="E707">
            <v>153</v>
          </cell>
          <cell r="F707">
            <v>102</v>
          </cell>
          <cell r="G707">
            <v>75</v>
          </cell>
          <cell r="H707">
            <v>84</v>
          </cell>
          <cell r="I707">
            <v>101</v>
          </cell>
          <cell r="J707">
            <v>101</v>
          </cell>
          <cell r="K707">
            <v>31</v>
          </cell>
          <cell r="L707">
            <v>77</v>
          </cell>
          <cell r="M707">
            <v>79</v>
          </cell>
        </row>
        <row r="708">
          <cell r="A708">
            <v>5172982</v>
          </cell>
          <cell r="B708">
            <v>5110584</v>
          </cell>
          <cell r="C708">
            <v>4410</v>
          </cell>
          <cell r="D708">
            <v>31993631</v>
          </cell>
          <cell r="E708">
            <v>241</v>
          </cell>
          <cell r="F708">
            <v>200</v>
          </cell>
          <cell r="G708">
            <v>199</v>
          </cell>
          <cell r="H708">
            <v>270</v>
          </cell>
          <cell r="I708">
            <v>179</v>
          </cell>
          <cell r="J708">
            <v>284</v>
          </cell>
          <cell r="K708">
            <v>304</v>
          </cell>
          <cell r="L708">
            <v>322</v>
          </cell>
          <cell r="M708">
            <v>264</v>
          </cell>
        </row>
        <row r="709">
          <cell r="A709">
            <v>5181948</v>
          </cell>
          <cell r="B709">
            <v>5115067</v>
          </cell>
          <cell r="C709">
            <v>4410</v>
          </cell>
          <cell r="D709">
            <v>2065978</v>
          </cell>
          <cell r="E709">
            <v>364</v>
          </cell>
          <cell r="F709">
            <v>191</v>
          </cell>
          <cell r="G709">
            <v>294</v>
          </cell>
          <cell r="H709">
            <v>322</v>
          </cell>
          <cell r="I709">
            <v>139</v>
          </cell>
          <cell r="J709">
            <v>199</v>
          </cell>
          <cell r="K709">
            <v>203</v>
          </cell>
          <cell r="L709">
            <v>210</v>
          </cell>
          <cell r="M709">
            <v>176</v>
          </cell>
        </row>
        <row r="710">
          <cell r="A710">
            <v>5172580</v>
          </cell>
          <cell r="B710">
            <v>5110383</v>
          </cell>
          <cell r="C710">
            <v>4410</v>
          </cell>
          <cell r="D710">
            <v>31116237</v>
          </cell>
          <cell r="E710">
            <v>135</v>
          </cell>
          <cell r="F710">
            <v>131</v>
          </cell>
          <cell r="G710">
            <v>122</v>
          </cell>
          <cell r="H710">
            <v>135</v>
          </cell>
          <cell r="I710">
            <v>155</v>
          </cell>
          <cell r="J710">
            <v>172</v>
          </cell>
          <cell r="K710">
            <v>165</v>
          </cell>
          <cell r="L710">
            <v>162</v>
          </cell>
          <cell r="M710">
            <v>211</v>
          </cell>
        </row>
        <row r="711">
          <cell r="A711">
            <v>5173116</v>
          </cell>
          <cell r="B711">
            <v>5110651</v>
          </cell>
          <cell r="C711">
            <v>4410</v>
          </cell>
          <cell r="D711">
            <v>31116238</v>
          </cell>
          <cell r="E711">
            <v>208</v>
          </cell>
          <cell r="F711">
            <v>236</v>
          </cell>
          <cell r="G711">
            <v>215</v>
          </cell>
          <cell r="H711">
            <v>176</v>
          </cell>
          <cell r="I711">
            <v>85</v>
          </cell>
          <cell r="J711">
            <v>161</v>
          </cell>
          <cell r="K711">
            <v>189</v>
          </cell>
          <cell r="L711">
            <v>200</v>
          </cell>
          <cell r="M711">
            <v>205</v>
          </cell>
        </row>
        <row r="712">
          <cell r="A712">
            <v>5181884</v>
          </cell>
          <cell r="B712">
            <v>5115035</v>
          </cell>
          <cell r="C712">
            <v>4410</v>
          </cell>
          <cell r="D712">
            <v>31116239</v>
          </cell>
          <cell r="E712">
            <v>172</v>
          </cell>
          <cell r="F712">
            <v>152</v>
          </cell>
          <cell r="G712">
            <v>302</v>
          </cell>
          <cell r="H712">
            <v>131</v>
          </cell>
          <cell r="I712">
            <v>276</v>
          </cell>
          <cell r="J712">
            <v>46</v>
          </cell>
          <cell r="K712">
            <v>12</v>
          </cell>
          <cell r="L712">
            <v>86</v>
          </cell>
          <cell r="M712">
            <v>88</v>
          </cell>
        </row>
        <row r="713">
          <cell r="A713">
            <v>5172942</v>
          </cell>
          <cell r="B713">
            <v>5110564</v>
          </cell>
          <cell r="C713">
            <v>4410</v>
          </cell>
          <cell r="D713">
            <v>31116245</v>
          </cell>
          <cell r="E713">
            <v>239</v>
          </cell>
          <cell r="F713">
            <v>213</v>
          </cell>
          <cell r="G713">
            <v>205</v>
          </cell>
          <cell r="H713">
            <v>182</v>
          </cell>
          <cell r="I713">
            <v>238</v>
          </cell>
          <cell r="J713">
            <v>256</v>
          </cell>
          <cell r="K713">
            <v>222</v>
          </cell>
          <cell r="L713">
            <v>169</v>
          </cell>
          <cell r="M713">
            <v>189</v>
          </cell>
        </row>
        <row r="714">
          <cell r="A714">
            <v>5172796</v>
          </cell>
          <cell r="B714">
            <v>5110491</v>
          </cell>
          <cell r="C714">
            <v>4410</v>
          </cell>
          <cell r="D714">
            <v>31116246</v>
          </cell>
          <cell r="E714">
            <v>233</v>
          </cell>
          <cell r="F714">
            <v>206</v>
          </cell>
          <cell r="G714">
            <v>200</v>
          </cell>
          <cell r="H714">
            <v>189</v>
          </cell>
          <cell r="I714">
            <v>273</v>
          </cell>
          <cell r="J714">
            <v>584</v>
          </cell>
          <cell r="K714">
            <v>740</v>
          </cell>
          <cell r="L714">
            <v>227</v>
          </cell>
          <cell r="M714">
            <v>363</v>
          </cell>
        </row>
        <row r="715">
          <cell r="A715">
            <v>5172860</v>
          </cell>
          <cell r="B715">
            <v>5110523</v>
          </cell>
          <cell r="C715">
            <v>4410</v>
          </cell>
          <cell r="D715">
            <v>31116248</v>
          </cell>
          <cell r="E715">
            <v>46</v>
          </cell>
          <cell r="F715">
            <v>88</v>
          </cell>
          <cell r="G715">
            <v>48</v>
          </cell>
          <cell r="H715">
            <v>49</v>
          </cell>
          <cell r="I715">
            <v>0</v>
          </cell>
          <cell r="J715">
            <v>78</v>
          </cell>
          <cell r="K715">
            <v>93</v>
          </cell>
          <cell r="L715">
            <v>89</v>
          </cell>
          <cell r="M715">
            <v>106</v>
          </cell>
        </row>
        <row r="716">
          <cell r="A716">
            <v>5182298</v>
          </cell>
          <cell r="B716">
            <v>5115242</v>
          </cell>
          <cell r="C716">
            <v>4410</v>
          </cell>
          <cell r="D716">
            <v>31988115</v>
          </cell>
          <cell r="E716">
            <v>60</v>
          </cell>
          <cell r="F716">
            <v>10</v>
          </cell>
          <cell r="G716">
            <v>132</v>
          </cell>
          <cell r="H716">
            <v>67</v>
          </cell>
          <cell r="I716">
            <v>75</v>
          </cell>
          <cell r="J716">
            <v>126</v>
          </cell>
          <cell r="K716">
            <v>160</v>
          </cell>
          <cell r="L716">
            <v>160</v>
          </cell>
          <cell r="M716">
            <v>176</v>
          </cell>
        </row>
        <row r="717">
          <cell r="A717">
            <v>5182276</v>
          </cell>
          <cell r="B717">
            <v>5115231</v>
          </cell>
          <cell r="C717">
            <v>4410</v>
          </cell>
          <cell r="D717">
            <v>31981290</v>
          </cell>
          <cell r="E717">
            <v>195</v>
          </cell>
          <cell r="F717">
            <v>163</v>
          </cell>
          <cell r="G717">
            <v>168</v>
          </cell>
          <cell r="H717">
            <v>160</v>
          </cell>
          <cell r="I717">
            <v>174</v>
          </cell>
          <cell r="J717">
            <v>222</v>
          </cell>
          <cell r="K717">
            <v>252</v>
          </cell>
          <cell r="L717">
            <v>248</v>
          </cell>
          <cell r="M717">
            <v>269</v>
          </cell>
        </row>
        <row r="718">
          <cell r="A718">
            <v>5172962</v>
          </cell>
          <cell r="B718">
            <v>5110574</v>
          </cell>
          <cell r="C718">
            <v>4410</v>
          </cell>
          <cell r="D718">
            <v>3519531</v>
          </cell>
          <cell r="E718">
            <v>0</v>
          </cell>
          <cell r="F718">
            <v>77</v>
          </cell>
          <cell r="G718">
            <v>0</v>
          </cell>
          <cell r="H718">
            <v>0</v>
          </cell>
          <cell r="I718">
            <v>553</v>
          </cell>
          <cell r="J718">
            <v>452</v>
          </cell>
          <cell r="K718">
            <v>301</v>
          </cell>
          <cell r="L718">
            <v>273</v>
          </cell>
          <cell r="M718">
            <v>174</v>
          </cell>
        </row>
        <row r="719">
          <cell r="A719">
            <v>5182112</v>
          </cell>
          <cell r="B719">
            <v>5115149</v>
          </cell>
          <cell r="C719">
            <v>4410</v>
          </cell>
          <cell r="D719">
            <v>1318592</v>
          </cell>
          <cell r="E719">
            <v>130</v>
          </cell>
          <cell r="F719">
            <v>101</v>
          </cell>
          <cell r="G719">
            <v>151</v>
          </cell>
          <cell r="H719">
            <v>359</v>
          </cell>
          <cell r="I719">
            <v>208</v>
          </cell>
          <cell r="J719">
            <v>253</v>
          </cell>
          <cell r="K719">
            <v>266</v>
          </cell>
          <cell r="L719">
            <v>260</v>
          </cell>
          <cell r="M719">
            <v>299</v>
          </cell>
        </row>
        <row r="720">
          <cell r="A720">
            <v>5182074</v>
          </cell>
          <cell r="B720">
            <v>5115130</v>
          </cell>
          <cell r="C720">
            <v>4410</v>
          </cell>
          <cell r="D720">
            <v>1608140</v>
          </cell>
          <cell r="E720">
            <v>94</v>
          </cell>
          <cell r="F720">
            <v>85</v>
          </cell>
          <cell r="G720">
            <v>54</v>
          </cell>
          <cell r="H720">
            <v>16</v>
          </cell>
          <cell r="I720">
            <v>17</v>
          </cell>
          <cell r="J720">
            <v>83</v>
          </cell>
          <cell r="K720">
            <v>224</v>
          </cell>
          <cell r="L720">
            <v>194</v>
          </cell>
          <cell r="M720">
            <v>173</v>
          </cell>
        </row>
        <row r="721">
          <cell r="A721">
            <v>5173134</v>
          </cell>
          <cell r="B721">
            <v>5110660</v>
          </cell>
          <cell r="C721">
            <v>4410</v>
          </cell>
          <cell r="D721">
            <v>3202137</v>
          </cell>
          <cell r="E721">
            <v>240</v>
          </cell>
          <cell r="F721">
            <v>220</v>
          </cell>
          <cell r="G721">
            <v>241</v>
          </cell>
          <cell r="H721">
            <v>258</v>
          </cell>
          <cell r="I721">
            <v>242</v>
          </cell>
          <cell r="J721">
            <v>257</v>
          </cell>
          <cell r="K721">
            <v>267</v>
          </cell>
          <cell r="L721">
            <v>208</v>
          </cell>
          <cell r="M721">
            <v>229</v>
          </cell>
        </row>
        <row r="722">
          <cell r="A722">
            <v>5172494</v>
          </cell>
          <cell r="B722">
            <v>5110340</v>
          </cell>
          <cell r="C722">
            <v>4410</v>
          </cell>
          <cell r="D722">
            <v>7095932</v>
          </cell>
          <cell r="E722">
            <v>227</v>
          </cell>
          <cell r="F722">
            <v>144</v>
          </cell>
          <cell r="G722">
            <v>202</v>
          </cell>
          <cell r="H722">
            <v>113</v>
          </cell>
          <cell r="I722">
            <v>193</v>
          </cell>
          <cell r="J722">
            <v>199</v>
          </cell>
          <cell r="K722">
            <v>149</v>
          </cell>
          <cell r="L722">
            <v>219</v>
          </cell>
          <cell r="M722">
            <v>161</v>
          </cell>
        </row>
        <row r="723">
          <cell r="A723">
            <v>5182142</v>
          </cell>
          <cell r="B723">
            <v>5115164</v>
          </cell>
          <cell r="C723">
            <v>4410</v>
          </cell>
          <cell r="D723">
            <v>652821</v>
          </cell>
          <cell r="E723">
            <v>234</v>
          </cell>
          <cell r="F723">
            <v>190</v>
          </cell>
          <cell r="G723">
            <v>172</v>
          </cell>
          <cell r="H723">
            <v>212</v>
          </cell>
          <cell r="I723">
            <v>206</v>
          </cell>
          <cell r="J723">
            <v>192</v>
          </cell>
          <cell r="K723">
            <v>203</v>
          </cell>
          <cell r="L723">
            <v>205</v>
          </cell>
          <cell r="M723">
            <v>179</v>
          </cell>
        </row>
        <row r="724">
          <cell r="A724">
            <v>5182242</v>
          </cell>
          <cell r="B724">
            <v>5115214</v>
          </cell>
          <cell r="C724">
            <v>4410</v>
          </cell>
          <cell r="D724">
            <v>16005733</v>
          </cell>
          <cell r="E724">
            <v>292</v>
          </cell>
          <cell r="F724">
            <v>193</v>
          </cell>
          <cell r="G724">
            <v>195</v>
          </cell>
          <cell r="H724">
            <v>210</v>
          </cell>
          <cell r="I724">
            <v>258</v>
          </cell>
          <cell r="J724">
            <v>131</v>
          </cell>
          <cell r="K724">
            <v>137</v>
          </cell>
          <cell r="L724">
            <v>145</v>
          </cell>
          <cell r="M724">
            <v>161</v>
          </cell>
        </row>
        <row r="725">
          <cell r="A725">
            <v>5182160</v>
          </cell>
          <cell r="B725">
            <v>5115173</v>
          </cell>
          <cell r="C725">
            <v>4410</v>
          </cell>
          <cell r="D725">
            <v>16006116</v>
          </cell>
          <cell r="E725">
            <v>211</v>
          </cell>
          <cell r="F725">
            <v>201</v>
          </cell>
          <cell r="G725">
            <v>219</v>
          </cell>
          <cell r="H725">
            <v>191</v>
          </cell>
          <cell r="I725">
            <v>197</v>
          </cell>
          <cell r="J725">
            <v>158</v>
          </cell>
          <cell r="K725">
            <v>201</v>
          </cell>
          <cell r="L725">
            <v>187</v>
          </cell>
          <cell r="M725">
            <v>169</v>
          </cell>
        </row>
        <row r="726">
          <cell r="A726">
            <v>5182032</v>
          </cell>
          <cell r="B726">
            <v>5115109</v>
          </cell>
          <cell r="C726">
            <v>4410</v>
          </cell>
          <cell r="D726">
            <v>9111051</v>
          </cell>
          <cell r="E726">
            <v>159</v>
          </cell>
          <cell r="F726">
            <v>279</v>
          </cell>
          <cell r="G726">
            <v>191</v>
          </cell>
          <cell r="H726">
            <v>221</v>
          </cell>
          <cell r="I726">
            <v>237</v>
          </cell>
          <cell r="J726">
            <v>230</v>
          </cell>
          <cell r="K726">
            <v>250</v>
          </cell>
          <cell r="L726">
            <v>287</v>
          </cell>
          <cell r="M726">
            <v>326</v>
          </cell>
        </row>
        <row r="727">
          <cell r="A727">
            <v>5182360</v>
          </cell>
          <cell r="B727">
            <v>5115273</v>
          </cell>
          <cell r="C727">
            <v>4410</v>
          </cell>
          <cell r="D727">
            <v>861966</v>
          </cell>
          <cell r="E727">
            <v>92</v>
          </cell>
          <cell r="F727">
            <v>89</v>
          </cell>
          <cell r="G727">
            <v>98</v>
          </cell>
          <cell r="H727">
            <v>21</v>
          </cell>
          <cell r="I727">
            <v>75</v>
          </cell>
          <cell r="J727">
            <v>70</v>
          </cell>
          <cell r="K727">
            <v>76</v>
          </cell>
          <cell r="L727">
            <v>67</v>
          </cell>
          <cell r="M727">
            <v>69</v>
          </cell>
        </row>
        <row r="728">
          <cell r="A728">
            <v>5181970</v>
          </cell>
          <cell r="B728">
            <v>5115078</v>
          </cell>
          <cell r="C728">
            <v>4410</v>
          </cell>
          <cell r="D728">
            <v>1837448</v>
          </cell>
          <cell r="E728">
            <v>188</v>
          </cell>
          <cell r="F728">
            <v>156</v>
          </cell>
          <cell r="G728">
            <v>167</v>
          </cell>
          <cell r="H728">
            <v>169</v>
          </cell>
          <cell r="I728">
            <v>163</v>
          </cell>
          <cell r="J728">
            <v>155</v>
          </cell>
          <cell r="K728">
            <v>189</v>
          </cell>
          <cell r="L728">
            <v>223</v>
          </cell>
          <cell r="M728">
            <v>212</v>
          </cell>
        </row>
        <row r="729">
          <cell r="A729">
            <v>5172710</v>
          </cell>
          <cell r="B729">
            <v>5110448</v>
          </cell>
          <cell r="C729">
            <v>4410</v>
          </cell>
          <cell r="D729">
            <v>70003616</v>
          </cell>
          <cell r="E729">
            <v>257</v>
          </cell>
          <cell r="F729">
            <v>235</v>
          </cell>
          <cell r="G729">
            <v>251</v>
          </cell>
          <cell r="H729">
            <v>238</v>
          </cell>
          <cell r="I729">
            <v>262</v>
          </cell>
          <cell r="J729">
            <v>248</v>
          </cell>
          <cell r="K729">
            <v>271</v>
          </cell>
          <cell r="L729">
            <v>313</v>
          </cell>
          <cell r="M729">
            <v>238</v>
          </cell>
        </row>
        <row r="730">
          <cell r="A730">
            <v>5172880</v>
          </cell>
          <cell r="B730">
            <v>5110533</v>
          </cell>
          <cell r="C730">
            <v>4410</v>
          </cell>
          <cell r="D730">
            <v>1752930</v>
          </cell>
          <cell r="E730">
            <v>176</v>
          </cell>
          <cell r="F730">
            <v>42</v>
          </cell>
          <cell r="G730">
            <v>156</v>
          </cell>
          <cell r="H730">
            <v>43</v>
          </cell>
          <cell r="I730">
            <v>256</v>
          </cell>
          <cell r="J730">
            <v>139</v>
          </cell>
          <cell r="K730">
            <v>330</v>
          </cell>
          <cell r="L730">
            <v>329</v>
          </cell>
          <cell r="M730">
            <v>336</v>
          </cell>
        </row>
        <row r="731">
          <cell r="A731">
            <v>5172838</v>
          </cell>
          <cell r="B731">
            <v>5110512</v>
          </cell>
          <cell r="C731">
            <v>4410</v>
          </cell>
          <cell r="D731">
            <v>3730363</v>
          </cell>
          <cell r="E731">
            <v>207</v>
          </cell>
          <cell r="F731">
            <v>178</v>
          </cell>
          <cell r="G731">
            <v>186</v>
          </cell>
          <cell r="H731">
            <v>186</v>
          </cell>
          <cell r="I731">
            <v>183</v>
          </cell>
          <cell r="J731">
            <v>166</v>
          </cell>
          <cell r="K731">
            <v>197</v>
          </cell>
          <cell r="L731">
            <v>179</v>
          </cell>
          <cell r="M731">
            <v>201</v>
          </cell>
        </row>
        <row r="732">
          <cell r="A732">
            <v>5172816</v>
          </cell>
          <cell r="B732">
            <v>5110501</v>
          </cell>
          <cell r="C732">
            <v>4410</v>
          </cell>
          <cell r="D732">
            <v>3730168</v>
          </cell>
          <cell r="E732">
            <v>139</v>
          </cell>
          <cell r="F732">
            <v>160</v>
          </cell>
          <cell r="G732">
            <v>127</v>
          </cell>
          <cell r="H732">
            <v>166</v>
          </cell>
          <cell r="I732">
            <v>157</v>
          </cell>
          <cell r="J732">
            <v>216</v>
          </cell>
          <cell r="K732">
            <v>163</v>
          </cell>
          <cell r="L732">
            <v>174</v>
          </cell>
          <cell r="M732">
            <v>189</v>
          </cell>
        </row>
        <row r="733">
          <cell r="A733">
            <v>5172776</v>
          </cell>
          <cell r="B733">
            <v>5110481</v>
          </cell>
          <cell r="C733">
            <v>4410</v>
          </cell>
          <cell r="D733">
            <v>3729805</v>
          </cell>
          <cell r="E733">
            <v>30</v>
          </cell>
          <cell r="F733">
            <v>33</v>
          </cell>
          <cell r="G733">
            <v>27</v>
          </cell>
          <cell r="H733">
            <v>37</v>
          </cell>
          <cell r="I733">
            <v>41</v>
          </cell>
          <cell r="J733">
            <v>38</v>
          </cell>
          <cell r="K733">
            <v>35</v>
          </cell>
          <cell r="L733">
            <v>36</v>
          </cell>
          <cell r="M733">
            <v>39</v>
          </cell>
        </row>
        <row r="734">
          <cell r="A734">
            <v>5172996</v>
          </cell>
          <cell r="B734">
            <v>5110591</v>
          </cell>
          <cell r="C734">
            <v>4410</v>
          </cell>
          <cell r="D734">
            <v>6824716</v>
          </cell>
          <cell r="E734">
            <v>161</v>
          </cell>
          <cell r="F734">
            <v>136</v>
          </cell>
          <cell r="G734">
            <v>154</v>
          </cell>
          <cell r="H734">
            <v>158</v>
          </cell>
          <cell r="I734">
            <v>141</v>
          </cell>
          <cell r="J734">
            <v>134</v>
          </cell>
          <cell r="K734">
            <v>141</v>
          </cell>
          <cell r="L734">
            <v>195</v>
          </cell>
          <cell r="M734">
            <v>284</v>
          </cell>
        </row>
        <row r="735">
          <cell r="A735">
            <v>5172600</v>
          </cell>
          <cell r="B735">
            <v>5110393</v>
          </cell>
          <cell r="C735">
            <v>4410</v>
          </cell>
          <cell r="D735">
            <v>6821987</v>
          </cell>
          <cell r="E735">
            <v>305</v>
          </cell>
          <cell r="F735">
            <v>260</v>
          </cell>
          <cell r="G735">
            <v>290</v>
          </cell>
          <cell r="H735">
            <v>289</v>
          </cell>
          <cell r="I735">
            <v>295</v>
          </cell>
          <cell r="J735">
            <v>295</v>
          </cell>
          <cell r="K735">
            <v>284</v>
          </cell>
          <cell r="L735">
            <v>237</v>
          </cell>
          <cell r="M735">
            <v>125</v>
          </cell>
        </row>
        <row r="736">
          <cell r="A736">
            <v>5182410</v>
          </cell>
          <cell r="B736">
            <v>5115298</v>
          </cell>
          <cell r="C736">
            <v>4410</v>
          </cell>
          <cell r="D736">
            <v>2970052</v>
          </cell>
          <cell r="E736">
            <v>143</v>
          </cell>
          <cell r="F736">
            <v>124</v>
          </cell>
          <cell r="G736">
            <v>124</v>
          </cell>
          <cell r="H736">
            <v>119</v>
          </cell>
          <cell r="I736">
            <v>123</v>
          </cell>
          <cell r="J736">
            <v>101</v>
          </cell>
          <cell r="K736">
            <v>52</v>
          </cell>
          <cell r="L736">
            <v>103</v>
          </cell>
          <cell r="M736">
            <v>125</v>
          </cell>
        </row>
        <row r="737">
          <cell r="A737">
            <v>5180294</v>
          </cell>
          <cell r="B737">
            <v>5114240</v>
          </cell>
          <cell r="C737">
            <v>4410</v>
          </cell>
          <cell r="D737">
            <v>6823182</v>
          </cell>
          <cell r="E737">
            <v>105</v>
          </cell>
          <cell r="F737">
            <v>83</v>
          </cell>
          <cell r="G737">
            <v>101</v>
          </cell>
          <cell r="H737">
            <v>88</v>
          </cell>
          <cell r="I737">
            <v>100</v>
          </cell>
          <cell r="J737">
            <v>90</v>
          </cell>
          <cell r="K737">
            <v>90</v>
          </cell>
          <cell r="L737">
            <v>76</v>
          </cell>
          <cell r="M737">
            <v>91</v>
          </cell>
        </row>
        <row r="738">
          <cell r="A738">
            <v>5172900</v>
          </cell>
          <cell r="B738">
            <v>5110543</v>
          </cell>
          <cell r="C738">
            <v>4410</v>
          </cell>
          <cell r="D738">
            <v>1751228</v>
          </cell>
          <cell r="E738">
            <v>118</v>
          </cell>
          <cell r="F738">
            <v>95</v>
          </cell>
          <cell r="G738">
            <v>102</v>
          </cell>
          <cell r="H738">
            <v>98</v>
          </cell>
          <cell r="I738">
            <v>128</v>
          </cell>
          <cell r="J738">
            <v>140</v>
          </cell>
          <cell r="K738">
            <v>149</v>
          </cell>
          <cell r="L738">
            <v>150</v>
          </cell>
          <cell r="M738">
            <v>143</v>
          </cell>
        </row>
        <row r="739">
          <cell r="A739">
            <v>5172922</v>
          </cell>
          <cell r="B739">
            <v>5110554</v>
          </cell>
          <cell r="C739">
            <v>4410</v>
          </cell>
          <cell r="D739">
            <v>6825380</v>
          </cell>
          <cell r="E739">
            <v>242</v>
          </cell>
          <cell r="F739">
            <v>424</v>
          </cell>
          <cell r="G739">
            <v>217</v>
          </cell>
          <cell r="H739">
            <v>145</v>
          </cell>
          <cell r="I739">
            <v>122</v>
          </cell>
          <cell r="J739">
            <v>171</v>
          </cell>
          <cell r="K739">
            <v>108</v>
          </cell>
          <cell r="L739">
            <v>163</v>
          </cell>
          <cell r="M739">
            <v>216</v>
          </cell>
        </row>
        <row r="740">
          <cell r="A740">
            <v>5173016</v>
          </cell>
          <cell r="B740">
            <v>5110601</v>
          </cell>
          <cell r="C740">
            <v>4410</v>
          </cell>
          <cell r="D740">
            <v>6822519</v>
          </cell>
          <cell r="E740">
            <v>303</v>
          </cell>
          <cell r="F740">
            <v>247</v>
          </cell>
          <cell r="G740">
            <v>260</v>
          </cell>
          <cell r="H740">
            <v>210</v>
          </cell>
          <cell r="I740">
            <v>319</v>
          </cell>
          <cell r="J740">
            <v>230</v>
          </cell>
          <cell r="K740">
            <v>252</v>
          </cell>
          <cell r="L740">
            <v>271</v>
          </cell>
          <cell r="M740">
            <v>253</v>
          </cell>
        </row>
        <row r="741">
          <cell r="A741">
            <v>5172754</v>
          </cell>
          <cell r="B741">
            <v>5110470</v>
          </cell>
          <cell r="C741">
            <v>4410</v>
          </cell>
          <cell r="D741">
            <v>6822047</v>
          </cell>
          <cell r="E741">
            <v>272</v>
          </cell>
          <cell r="F741">
            <v>291</v>
          </cell>
          <cell r="G741">
            <v>275</v>
          </cell>
          <cell r="H741">
            <v>262</v>
          </cell>
          <cell r="I741">
            <v>268</v>
          </cell>
          <cell r="J741">
            <v>248</v>
          </cell>
          <cell r="K741">
            <v>305</v>
          </cell>
          <cell r="L741">
            <v>277</v>
          </cell>
          <cell r="M741">
            <v>317</v>
          </cell>
        </row>
        <row r="742">
          <cell r="A742">
            <v>5172732</v>
          </cell>
          <cell r="B742">
            <v>5110459</v>
          </cell>
          <cell r="C742">
            <v>4410</v>
          </cell>
          <cell r="D742">
            <v>1751170</v>
          </cell>
          <cell r="E742">
            <v>264</v>
          </cell>
          <cell r="F742">
            <v>233</v>
          </cell>
          <cell r="G742">
            <v>144</v>
          </cell>
          <cell r="H742">
            <v>106</v>
          </cell>
          <cell r="I742">
            <v>113</v>
          </cell>
          <cell r="J742">
            <v>101</v>
          </cell>
          <cell r="K742">
            <v>105</v>
          </cell>
          <cell r="L742">
            <v>99</v>
          </cell>
          <cell r="M742">
            <v>96</v>
          </cell>
        </row>
        <row r="743">
          <cell r="A743">
            <v>5172538</v>
          </cell>
          <cell r="B743">
            <v>5110362</v>
          </cell>
          <cell r="C743">
            <v>4410</v>
          </cell>
          <cell r="D743">
            <v>3741192</v>
          </cell>
          <cell r="E743">
            <v>201</v>
          </cell>
          <cell r="F743">
            <v>117</v>
          </cell>
          <cell r="G743">
            <v>214</v>
          </cell>
          <cell r="H743">
            <v>143</v>
          </cell>
          <cell r="I743">
            <v>196</v>
          </cell>
          <cell r="J743">
            <v>238</v>
          </cell>
          <cell r="K743">
            <v>135</v>
          </cell>
          <cell r="L743">
            <v>170</v>
          </cell>
          <cell r="M743">
            <v>234</v>
          </cell>
        </row>
        <row r="744">
          <cell r="A744">
            <v>5172516</v>
          </cell>
          <cell r="B744">
            <v>5110351</v>
          </cell>
          <cell r="C744">
            <v>4410</v>
          </cell>
          <cell r="D744">
            <v>1751493</v>
          </cell>
          <cell r="E744">
            <v>79</v>
          </cell>
          <cell r="F744">
            <v>82</v>
          </cell>
          <cell r="G744">
            <v>10</v>
          </cell>
          <cell r="H744">
            <v>8</v>
          </cell>
          <cell r="I744">
            <v>80</v>
          </cell>
          <cell r="J744">
            <v>71</v>
          </cell>
          <cell r="K744">
            <v>56</v>
          </cell>
          <cell r="L744">
            <v>51</v>
          </cell>
          <cell r="M744">
            <v>47</v>
          </cell>
        </row>
        <row r="745">
          <cell r="A745">
            <v>5173098</v>
          </cell>
          <cell r="B745">
            <v>5110642</v>
          </cell>
          <cell r="C745">
            <v>4410</v>
          </cell>
          <cell r="D745">
            <v>6825296</v>
          </cell>
          <cell r="E745">
            <v>69</v>
          </cell>
          <cell r="F745">
            <v>61</v>
          </cell>
          <cell r="G745">
            <v>58</v>
          </cell>
          <cell r="H745">
            <v>58</v>
          </cell>
          <cell r="I745">
            <v>62</v>
          </cell>
          <cell r="J745">
            <v>53</v>
          </cell>
          <cell r="K745">
            <v>64</v>
          </cell>
          <cell r="L745">
            <v>58</v>
          </cell>
          <cell r="M745">
            <v>61</v>
          </cell>
        </row>
        <row r="746">
          <cell r="A746">
            <v>5182426</v>
          </cell>
          <cell r="B746">
            <v>5115306</v>
          </cell>
          <cell r="C746">
            <v>4410</v>
          </cell>
          <cell r="D746">
            <v>3304774</v>
          </cell>
          <cell r="E746">
            <v>198</v>
          </cell>
          <cell r="F746">
            <v>188</v>
          </cell>
          <cell r="G746">
            <v>220</v>
          </cell>
          <cell r="H746">
            <v>173</v>
          </cell>
          <cell r="I746">
            <v>234</v>
          </cell>
          <cell r="J746">
            <v>204</v>
          </cell>
          <cell r="K746">
            <v>221</v>
          </cell>
          <cell r="L746">
            <v>194</v>
          </cell>
          <cell r="M746">
            <v>199</v>
          </cell>
        </row>
        <row r="747">
          <cell r="A747">
            <v>5181818</v>
          </cell>
          <cell r="B747">
            <v>5115002</v>
          </cell>
          <cell r="C747">
            <v>4410</v>
          </cell>
          <cell r="D747">
            <v>3362898</v>
          </cell>
          <cell r="E747">
            <v>95</v>
          </cell>
          <cell r="F747">
            <v>94</v>
          </cell>
          <cell r="G747">
            <v>89</v>
          </cell>
          <cell r="H747">
            <v>38</v>
          </cell>
          <cell r="I747">
            <v>147</v>
          </cell>
          <cell r="J747">
            <v>93</v>
          </cell>
          <cell r="K747">
            <v>98</v>
          </cell>
          <cell r="L747">
            <v>87</v>
          </cell>
          <cell r="M747">
            <v>103</v>
          </cell>
        </row>
        <row r="748">
          <cell r="A748">
            <v>5181840</v>
          </cell>
          <cell r="B748">
            <v>5115013</v>
          </cell>
          <cell r="C748">
            <v>4410</v>
          </cell>
          <cell r="D748">
            <v>3362455</v>
          </cell>
          <cell r="E748">
            <v>297</v>
          </cell>
          <cell r="F748">
            <v>221</v>
          </cell>
          <cell r="G748">
            <v>79</v>
          </cell>
          <cell r="H748">
            <v>122</v>
          </cell>
          <cell r="I748">
            <v>106</v>
          </cell>
          <cell r="J748">
            <v>120</v>
          </cell>
          <cell r="K748">
            <v>115</v>
          </cell>
          <cell r="L748">
            <v>89</v>
          </cell>
          <cell r="M748">
            <v>134</v>
          </cell>
        </row>
        <row r="749">
          <cell r="A749">
            <v>5182388</v>
          </cell>
          <cell r="B749">
            <v>5115287</v>
          </cell>
          <cell r="C749">
            <v>4410</v>
          </cell>
          <cell r="D749">
            <v>1273624</v>
          </cell>
          <cell r="E749">
            <v>132</v>
          </cell>
          <cell r="F749">
            <v>135</v>
          </cell>
          <cell r="G749">
            <v>140</v>
          </cell>
          <cell r="H749">
            <v>143</v>
          </cell>
          <cell r="I749">
            <v>149</v>
          </cell>
          <cell r="J749">
            <v>136</v>
          </cell>
          <cell r="K749">
            <v>143</v>
          </cell>
          <cell r="L749">
            <v>130</v>
          </cell>
          <cell r="M749">
            <v>133</v>
          </cell>
        </row>
        <row r="750">
          <cell r="A750">
            <v>5182378</v>
          </cell>
          <cell r="B750">
            <v>5115282</v>
          </cell>
          <cell r="C750">
            <v>4410</v>
          </cell>
          <cell r="D750">
            <v>3741259</v>
          </cell>
          <cell r="E750">
            <v>162</v>
          </cell>
          <cell r="F750">
            <v>268</v>
          </cell>
          <cell r="G750">
            <v>284</v>
          </cell>
          <cell r="H750">
            <v>140</v>
          </cell>
          <cell r="I750">
            <v>149</v>
          </cell>
          <cell r="J750">
            <v>149</v>
          </cell>
          <cell r="K750">
            <v>151</v>
          </cell>
          <cell r="L750">
            <v>139</v>
          </cell>
          <cell r="M750">
            <v>148</v>
          </cell>
        </row>
        <row r="751">
          <cell r="A751">
            <v>5182260</v>
          </cell>
          <cell r="B751">
            <v>5115223</v>
          </cell>
          <cell r="C751">
            <v>4410</v>
          </cell>
          <cell r="D751">
            <v>2105087</v>
          </cell>
          <cell r="E751">
            <v>252</v>
          </cell>
          <cell r="F751">
            <v>186</v>
          </cell>
          <cell r="G751">
            <v>158</v>
          </cell>
          <cell r="H751">
            <v>153</v>
          </cell>
          <cell r="I751">
            <v>184</v>
          </cell>
          <cell r="J751">
            <v>189</v>
          </cell>
          <cell r="K751">
            <v>299</v>
          </cell>
          <cell r="L751">
            <v>289</v>
          </cell>
          <cell r="M751">
            <v>214</v>
          </cell>
        </row>
        <row r="752">
          <cell r="A752">
            <v>5182182</v>
          </cell>
          <cell r="B752">
            <v>5115184</v>
          </cell>
          <cell r="C752">
            <v>4410</v>
          </cell>
          <cell r="D752">
            <v>3303604</v>
          </cell>
          <cell r="E752">
            <v>310</v>
          </cell>
          <cell r="F752">
            <v>188</v>
          </cell>
          <cell r="G752">
            <v>210</v>
          </cell>
          <cell r="H752">
            <v>198</v>
          </cell>
          <cell r="I752">
            <v>202</v>
          </cell>
          <cell r="J752">
            <v>185</v>
          </cell>
          <cell r="K752">
            <v>193</v>
          </cell>
          <cell r="L752">
            <v>155</v>
          </cell>
          <cell r="M752">
            <v>148</v>
          </cell>
        </row>
        <row r="753">
          <cell r="A753">
            <v>5182054</v>
          </cell>
          <cell r="B753">
            <v>5115120</v>
          </cell>
          <cell r="C753">
            <v>4410</v>
          </cell>
          <cell r="D753">
            <v>4746782</v>
          </cell>
          <cell r="E753">
            <v>114</v>
          </cell>
          <cell r="F753">
            <v>121</v>
          </cell>
          <cell r="G753">
            <v>166</v>
          </cell>
          <cell r="H753">
            <v>92</v>
          </cell>
          <cell r="I753">
            <v>106</v>
          </cell>
          <cell r="J753">
            <v>117</v>
          </cell>
          <cell r="K753">
            <v>141</v>
          </cell>
          <cell r="L753">
            <v>144</v>
          </cell>
          <cell r="M753">
            <v>158</v>
          </cell>
        </row>
        <row r="754">
          <cell r="A754">
            <v>5182338</v>
          </cell>
          <cell r="B754">
            <v>5115262</v>
          </cell>
          <cell r="C754">
            <v>4410</v>
          </cell>
          <cell r="D754">
            <v>7115383</v>
          </cell>
          <cell r="E754">
            <v>76</v>
          </cell>
          <cell r="F754">
            <v>68</v>
          </cell>
          <cell r="G754">
            <v>65</v>
          </cell>
          <cell r="H754">
            <v>67</v>
          </cell>
          <cell r="I754">
            <v>65</v>
          </cell>
          <cell r="J754">
            <v>65</v>
          </cell>
          <cell r="K754">
            <v>33</v>
          </cell>
          <cell r="L754">
            <v>167</v>
          </cell>
          <cell r="M754">
            <v>142</v>
          </cell>
        </row>
        <row r="755">
          <cell r="A755">
            <v>5172688</v>
          </cell>
          <cell r="B755">
            <v>5110437</v>
          </cell>
          <cell r="C755">
            <v>4410</v>
          </cell>
          <cell r="D755">
            <v>7725828</v>
          </cell>
          <cell r="E755">
            <v>263</v>
          </cell>
          <cell r="F755">
            <v>242</v>
          </cell>
          <cell r="G755">
            <v>228</v>
          </cell>
          <cell r="H755">
            <v>218</v>
          </cell>
          <cell r="I755">
            <v>214</v>
          </cell>
          <cell r="J755">
            <v>209</v>
          </cell>
          <cell r="K755">
            <v>237</v>
          </cell>
          <cell r="L755">
            <v>291</v>
          </cell>
          <cell r="M755">
            <v>296</v>
          </cell>
        </row>
        <row r="756">
          <cell r="A756">
            <v>5172664</v>
          </cell>
          <cell r="B756">
            <v>5110425</v>
          </cell>
          <cell r="C756">
            <v>4410</v>
          </cell>
          <cell r="D756">
            <v>7729366</v>
          </cell>
          <cell r="E756">
            <v>79</v>
          </cell>
          <cell r="F756">
            <v>73</v>
          </cell>
          <cell r="G756">
            <v>81</v>
          </cell>
          <cell r="H756">
            <v>30</v>
          </cell>
          <cell r="I756">
            <v>64</v>
          </cell>
          <cell r="J756">
            <v>67</v>
          </cell>
          <cell r="K756">
            <v>52</v>
          </cell>
          <cell r="L756">
            <v>63</v>
          </cell>
          <cell r="M756">
            <v>101</v>
          </cell>
        </row>
        <row r="757">
          <cell r="A757">
            <v>5181904</v>
          </cell>
          <cell r="B757">
            <v>5115045</v>
          </cell>
          <cell r="C757">
            <v>4410</v>
          </cell>
          <cell r="D757">
            <v>18492532</v>
          </cell>
          <cell r="E757">
            <v>110</v>
          </cell>
          <cell r="F757">
            <v>80</v>
          </cell>
          <cell r="G757">
            <v>49</v>
          </cell>
          <cell r="H757">
            <v>43</v>
          </cell>
          <cell r="I757">
            <v>31</v>
          </cell>
          <cell r="J757">
            <v>60</v>
          </cell>
          <cell r="K757">
            <v>18</v>
          </cell>
          <cell r="L757">
            <v>20</v>
          </cell>
          <cell r="M757">
            <v>50</v>
          </cell>
        </row>
        <row r="758">
          <cell r="A758">
            <v>5173074</v>
          </cell>
          <cell r="B758">
            <v>5110630</v>
          </cell>
          <cell r="C758">
            <v>4410</v>
          </cell>
          <cell r="D758">
            <v>445012</v>
          </cell>
          <cell r="E758">
            <v>185</v>
          </cell>
          <cell r="F758">
            <v>253</v>
          </cell>
          <cell r="G758">
            <v>72</v>
          </cell>
          <cell r="H758">
            <v>143</v>
          </cell>
          <cell r="I758">
            <v>219</v>
          </cell>
          <cell r="J758">
            <v>251</v>
          </cell>
          <cell r="K758">
            <v>234</v>
          </cell>
          <cell r="L758">
            <v>215</v>
          </cell>
          <cell r="M758">
            <v>226</v>
          </cell>
        </row>
        <row r="759">
          <cell r="A759">
            <v>5181926</v>
          </cell>
          <cell r="B759">
            <v>5115056</v>
          </cell>
          <cell r="C759">
            <v>4410</v>
          </cell>
          <cell r="D759">
            <v>33001526</v>
          </cell>
          <cell r="E759">
            <v>112</v>
          </cell>
          <cell r="F759">
            <v>156</v>
          </cell>
          <cell r="G759">
            <v>88</v>
          </cell>
          <cell r="H759">
            <v>87</v>
          </cell>
          <cell r="I759">
            <v>104</v>
          </cell>
          <cell r="J759">
            <v>90</v>
          </cell>
          <cell r="K759">
            <v>0</v>
          </cell>
          <cell r="L759">
            <v>168</v>
          </cell>
          <cell r="M759">
            <v>91</v>
          </cell>
        </row>
        <row r="760">
          <cell r="A760">
            <v>5182574</v>
          </cell>
          <cell r="B760">
            <v>5115380</v>
          </cell>
          <cell r="C760">
            <v>4410</v>
          </cell>
          <cell r="E760">
            <v>233</v>
          </cell>
          <cell r="F760">
            <v>206</v>
          </cell>
          <cell r="G760">
            <v>200</v>
          </cell>
          <cell r="H760">
            <v>189</v>
          </cell>
          <cell r="I760">
            <v>273</v>
          </cell>
          <cell r="J760">
            <v>237</v>
          </cell>
          <cell r="K760">
            <v>251</v>
          </cell>
          <cell r="L760">
            <v>224</v>
          </cell>
          <cell r="M760">
            <v>242</v>
          </cell>
        </row>
        <row r="761">
          <cell r="A761">
            <v>5081362</v>
          </cell>
          <cell r="B761">
            <v>5064774</v>
          </cell>
          <cell r="C761">
            <v>4410</v>
          </cell>
          <cell r="E761">
            <v>144</v>
          </cell>
          <cell r="F761">
            <v>128</v>
          </cell>
          <cell r="G761">
            <v>124</v>
          </cell>
          <cell r="H761">
            <v>119</v>
          </cell>
          <cell r="I761">
            <v>175</v>
          </cell>
          <cell r="J761">
            <v>149</v>
          </cell>
          <cell r="K761">
            <v>157</v>
          </cell>
          <cell r="L761">
            <v>141</v>
          </cell>
          <cell r="M761">
            <v>151</v>
          </cell>
        </row>
        <row r="762">
          <cell r="A762">
            <v>5071492</v>
          </cell>
          <cell r="B762">
            <v>5059839</v>
          </cell>
          <cell r="C762">
            <v>4410</v>
          </cell>
          <cell r="E762">
            <v>504</v>
          </cell>
          <cell r="F762">
            <v>446</v>
          </cell>
          <cell r="G762">
            <v>432</v>
          </cell>
          <cell r="H762">
            <v>388</v>
          </cell>
          <cell r="I762">
            <v>504</v>
          </cell>
          <cell r="J762">
            <v>432</v>
          </cell>
          <cell r="K762">
            <v>460</v>
          </cell>
          <cell r="L762">
            <v>417</v>
          </cell>
          <cell r="M762">
            <v>432</v>
          </cell>
        </row>
        <row r="763">
          <cell r="A763">
            <v>5071468</v>
          </cell>
          <cell r="B763">
            <v>5059827</v>
          </cell>
          <cell r="C763">
            <v>4410</v>
          </cell>
          <cell r="E763">
            <v>504</v>
          </cell>
          <cell r="F763">
            <v>446</v>
          </cell>
          <cell r="G763">
            <v>432</v>
          </cell>
          <cell r="H763">
            <v>388</v>
          </cell>
          <cell r="I763">
            <v>504</v>
          </cell>
          <cell r="J763">
            <v>432</v>
          </cell>
          <cell r="K763">
            <v>460</v>
          </cell>
          <cell r="L763">
            <v>417</v>
          </cell>
          <cell r="M763">
            <v>432</v>
          </cell>
        </row>
        <row r="764">
          <cell r="A764">
            <v>5172260</v>
          </cell>
          <cell r="B764">
            <v>5110223</v>
          </cell>
          <cell r="C764">
            <v>4410</v>
          </cell>
          <cell r="E764">
            <v>233</v>
          </cell>
          <cell r="F764">
            <v>206</v>
          </cell>
          <cell r="G764">
            <v>200</v>
          </cell>
          <cell r="H764">
            <v>189</v>
          </cell>
          <cell r="I764">
            <v>273</v>
          </cell>
          <cell r="J764">
            <v>237</v>
          </cell>
          <cell r="K764">
            <v>251</v>
          </cell>
          <cell r="L764">
            <v>224</v>
          </cell>
          <cell r="M764">
            <v>242</v>
          </cell>
        </row>
        <row r="765">
          <cell r="A765">
            <v>5172042</v>
          </cell>
          <cell r="B765">
            <v>5110114</v>
          </cell>
          <cell r="C765">
            <v>4410</v>
          </cell>
          <cell r="D765">
            <v>31116244</v>
          </cell>
          <cell r="E765">
            <v>211</v>
          </cell>
          <cell r="F765">
            <v>184</v>
          </cell>
          <cell r="G765">
            <v>217</v>
          </cell>
          <cell r="H765">
            <v>224</v>
          </cell>
          <cell r="I765">
            <v>220</v>
          </cell>
          <cell r="J765">
            <v>181</v>
          </cell>
          <cell r="K765">
            <v>185</v>
          </cell>
          <cell r="L765">
            <v>180</v>
          </cell>
          <cell r="M765">
            <v>370</v>
          </cell>
        </row>
        <row r="766">
          <cell r="A766">
            <v>5182832</v>
          </cell>
          <cell r="B766">
            <v>5115509</v>
          </cell>
          <cell r="C766">
            <v>4410</v>
          </cell>
          <cell r="D766">
            <v>31988075</v>
          </cell>
          <cell r="E766">
            <v>292</v>
          </cell>
          <cell r="F766">
            <v>204</v>
          </cell>
          <cell r="G766">
            <v>262</v>
          </cell>
          <cell r="H766">
            <v>256</v>
          </cell>
          <cell r="I766">
            <v>474</v>
          </cell>
          <cell r="J766">
            <v>223</v>
          </cell>
          <cell r="K766">
            <v>382</v>
          </cell>
          <cell r="L766">
            <v>347</v>
          </cell>
          <cell r="M766">
            <v>365</v>
          </cell>
        </row>
        <row r="767">
          <cell r="A767">
            <v>5172386</v>
          </cell>
          <cell r="B767">
            <v>5110286</v>
          </cell>
          <cell r="C767">
            <v>4410</v>
          </cell>
          <cell r="D767">
            <v>31988142</v>
          </cell>
          <cell r="E767">
            <v>885</v>
          </cell>
          <cell r="F767">
            <v>716</v>
          </cell>
          <cell r="G767">
            <v>795</v>
          </cell>
          <cell r="H767">
            <v>773</v>
          </cell>
          <cell r="I767">
            <v>534</v>
          </cell>
          <cell r="J767">
            <v>926</v>
          </cell>
          <cell r="K767">
            <v>1058</v>
          </cell>
          <cell r="L767">
            <v>223</v>
          </cell>
          <cell r="M767">
            <v>345</v>
          </cell>
        </row>
        <row r="768">
          <cell r="A768">
            <v>5182980</v>
          </cell>
          <cell r="B768">
            <v>5115583</v>
          </cell>
          <cell r="C768">
            <v>4410</v>
          </cell>
          <cell r="D768">
            <v>31988297</v>
          </cell>
          <cell r="E768">
            <v>136</v>
          </cell>
          <cell r="F768">
            <v>120</v>
          </cell>
          <cell r="G768">
            <v>132</v>
          </cell>
          <cell r="H768">
            <v>153</v>
          </cell>
          <cell r="I768">
            <v>178</v>
          </cell>
          <cell r="J768">
            <v>120</v>
          </cell>
          <cell r="K768">
            <v>182</v>
          </cell>
          <cell r="L768">
            <v>165</v>
          </cell>
          <cell r="M768">
            <v>205</v>
          </cell>
        </row>
        <row r="769">
          <cell r="A769">
            <v>5172238</v>
          </cell>
          <cell r="B769">
            <v>5110212</v>
          </cell>
          <cell r="C769">
            <v>4410</v>
          </cell>
          <cell r="D769">
            <v>31988295</v>
          </cell>
          <cell r="E769">
            <v>233</v>
          </cell>
          <cell r="F769">
            <v>206</v>
          </cell>
          <cell r="G769">
            <v>200</v>
          </cell>
          <cell r="H769">
            <v>189</v>
          </cell>
          <cell r="I769">
            <v>273</v>
          </cell>
          <cell r="J769">
            <v>129</v>
          </cell>
          <cell r="K769">
            <v>128</v>
          </cell>
          <cell r="L769">
            <v>127</v>
          </cell>
          <cell r="M769">
            <v>125</v>
          </cell>
        </row>
        <row r="770">
          <cell r="A770">
            <v>5182958</v>
          </cell>
          <cell r="B770">
            <v>5115572</v>
          </cell>
          <cell r="C770">
            <v>4410</v>
          </cell>
          <cell r="D770">
            <v>7104363</v>
          </cell>
          <cell r="E770">
            <v>233</v>
          </cell>
          <cell r="F770">
            <v>304</v>
          </cell>
          <cell r="G770">
            <v>148</v>
          </cell>
          <cell r="H770">
            <v>144</v>
          </cell>
          <cell r="I770">
            <v>213</v>
          </cell>
          <cell r="J770">
            <v>150</v>
          </cell>
          <cell r="K770">
            <v>162</v>
          </cell>
          <cell r="L770">
            <v>186</v>
          </cell>
          <cell r="M770">
            <v>244</v>
          </cell>
        </row>
        <row r="771">
          <cell r="A771">
            <v>5183040</v>
          </cell>
          <cell r="B771">
            <v>5115613</v>
          </cell>
          <cell r="C771">
            <v>4410</v>
          </cell>
          <cell r="D771">
            <v>31116348</v>
          </cell>
          <cell r="E771">
            <v>176</v>
          </cell>
          <cell r="F771">
            <v>213</v>
          </cell>
          <cell r="G771">
            <v>215</v>
          </cell>
          <cell r="H771">
            <v>202</v>
          </cell>
          <cell r="I771">
            <v>208</v>
          </cell>
          <cell r="J771">
            <v>85</v>
          </cell>
          <cell r="K771">
            <v>96</v>
          </cell>
          <cell r="L771">
            <v>94</v>
          </cell>
          <cell r="M771">
            <v>96</v>
          </cell>
        </row>
        <row r="772">
          <cell r="A772">
            <v>5183062</v>
          </cell>
          <cell r="B772">
            <v>5115624</v>
          </cell>
          <cell r="C772">
            <v>4410</v>
          </cell>
          <cell r="D772">
            <v>3362593</v>
          </cell>
          <cell r="E772">
            <v>233</v>
          </cell>
          <cell r="F772">
            <v>206</v>
          </cell>
          <cell r="G772">
            <v>200</v>
          </cell>
          <cell r="H772">
            <v>189</v>
          </cell>
          <cell r="I772">
            <v>273</v>
          </cell>
          <cell r="J772">
            <v>211</v>
          </cell>
          <cell r="K772">
            <v>233</v>
          </cell>
          <cell r="L772">
            <v>221</v>
          </cell>
          <cell r="M772">
            <v>189</v>
          </cell>
        </row>
        <row r="773">
          <cell r="A773">
            <v>5182532</v>
          </cell>
          <cell r="B773">
            <v>5115359</v>
          </cell>
          <cell r="C773">
            <v>4410</v>
          </cell>
          <cell r="D773">
            <v>3219599</v>
          </cell>
          <cell r="E773">
            <v>346</v>
          </cell>
          <cell r="F773">
            <v>291</v>
          </cell>
          <cell r="G773">
            <v>299</v>
          </cell>
          <cell r="H773">
            <v>279</v>
          </cell>
          <cell r="I773">
            <v>312</v>
          </cell>
          <cell r="J773">
            <v>265</v>
          </cell>
          <cell r="K773">
            <v>334</v>
          </cell>
          <cell r="L773">
            <v>310</v>
          </cell>
          <cell r="M773">
            <v>334</v>
          </cell>
        </row>
        <row r="774">
          <cell r="A774">
            <v>5172106</v>
          </cell>
          <cell r="B774">
            <v>5110146</v>
          </cell>
          <cell r="C774">
            <v>4410</v>
          </cell>
          <cell r="D774">
            <v>31116327</v>
          </cell>
          <cell r="E774">
            <v>233</v>
          </cell>
          <cell r="F774">
            <v>206</v>
          </cell>
          <cell r="G774">
            <v>200</v>
          </cell>
          <cell r="H774">
            <v>189</v>
          </cell>
          <cell r="I774">
            <v>273</v>
          </cell>
          <cell r="J774">
            <v>159</v>
          </cell>
          <cell r="K774">
            <v>154</v>
          </cell>
          <cell r="L774">
            <v>188</v>
          </cell>
          <cell r="M774">
            <v>212</v>
          </cell>
        </row>
        <row r="775">
          <cell r="A775">
            <v>5182638</v>
          </cell>
          <cell r="B775">
            <v>5115412</v>
          </cell>
          <cell r="C775">
            <v>4410</v>
          </cell>
          <cell r="D775">
            <v>18492456</v>
          </cell>
          <cell r="E775">
            <v>233</v>
          </cell>
          <cell r="F775">
            <v>206</v>
          </cell>
          <cell r="G775">
            <v>200</v>
          </cell>
          <cell r="H775">
            <v>189</v>
          </cell>
          <cell r="I775">
            <v>273</v>
          </cell>
          <cell r="J775">
            <v>211</v>
          </cell>
          <cell r="K775">
            <v>201</v>
          </cell>
          <cell r="L775">
            <v>178</v>
          </cell>
          <cell r="M775">
            <v>206</v>
          </cell>
        </row>
        <row r="776">
          <cell r="A776">
            <v>5182894</v>
          </cell>
          <cell r="B776">
            <v>5115540</v>
          </cell>
          <cell r="C776">
            <v>4410</v>
          </cell>
          <cell r="D776">
            <v>16006045</v>
          </cell>
          <cell r="E776">
            <v>233</v>
          </cell>
          <cell r="F776">
            <v>206</v>
          </cell>
          <cell r="G776">
            <v>200</v>
          </cell>
          <cell r="H776">
            <v>189</v>
          </cell>
          <cell r="I776">
            <v>462</v>
          </cell>
          <cell r="J776">
            <v>209</v>
          </cell>
          <cell r="K776">
            <v>205</v>
          </cell>
          <cell r="L776">
            <v>163</v>
          </cell>
          <cell r="M776">
            <v>45</v>
          </cell>
        </row>
        <row r="777">
          <cell r="A777">
            <v>5172280</v>
          </cell>
          <cell r="B777">
            <v>5110233</v>
          </cell>
          <cell r="C777">
            <v>4410</v>
          </cell>
          <cell r="D777">
            <v>3361122</v>
          </cell>
          <cell r="E777">
            <v>323</v>
          </cell>
          <cell r="F777">
            <v>269</v>
          </cell>
          <cell r="G777">
            <v>349</v>
          </cell>
          <cell r="H777">
            <v>546</v>
          </cell>
          <cell r="I777">
            <v>689</v>
          </cell>
          <cell r="J777">
            <v>337</v>
          </cell>
          <cell r="K777">
            <v>267</v>
          </cell>
          <cell r="L777">
            <v>207</v>
          </cell>
          <cell r="M777">
            <v>446</v>
          </cell>
        </row>
        <row r="778">
          <cell r="A778">
            <v>5182616</v>
          </cell>
          <cell r="B778">
            <v>5115401</v>
          </cell>
          <cell r="C778">
            <v>4410</v>
          </cell>
          <cell r="D778">
            <v>3519601</v>
          </cell>
          <cell r="E778">
            <v>0</v>
          </cell>
          <cell r="F778">
            <v>0</v>
          </cell>
          <cell r="G778">
            <v>0</v>
          </cell>
          <cell r="H778">
            <v>53</v>
          </cell>
          <cell r="I778">
            <v>74</v>
          </cell>
          <cell r="J778">
            <v>63</v>
          </cell>
          <cell r="K778">
            <v>0</v>
          </cell>
          <cell r="L778">
            <v>0</v>
          </cell>
          <cell r="M778">
            <v>0</v>
          </cell>
        </row>
        <row r="779">
          <cell r="A779">
            <v>5172086</v>
          </cell>
          <cell r="B779">
            <v>5110136</v>
          </cell>
          <cell r="C779">
            <v>4410</v>
          </cell>
          <cell r="D779">
            <v>7116324</v>
          </cell>
          <cell r="E779">
            <v>233</v>
          </cell>
          <cell r="F779">
            <v>206</v>
          </cell>
          <cell r="G779">
            <v>156</v>
          </cell>
          <cell r="H779">
            <v>59</v>
          </cell>
          <cell r="I779">
            <v>71</v>
          </cell>
          <cell r="J779">
            <v>70</v>
          </cell>
          <cell r="K779">
            <v>66</v>
          </cell>
          <cell r="L779">
            <v>57</v>
          </cell>
          <cell r="M779">
            <v>62</v>
          </cell>
        </row>
        <row r="780">
          <cell r="A780">
            <v>5071472</v>
          </cell>
          <cell r="B780">
            <v>5059829</v>
          </cell>
          <cell r="C780">
            <v>4410</v>
          </cell>
          <cell r="D780">
            <v>10502784</v>
          </cell>
          <cell r="E780">
            <v>758</v>
          </cell>
          <cell r="F780">
            <v>671</v>
          </cell>
          <cell r="H780">
            <v>1301</v>
          </cell>
          <cell r="J780">
            <v>1343</v>
          </cell>
          <cell r="K780">
            <v>693</v>
          </cell>
          <cell r="L780">
            <v>628</v>
          </cell>
          <cell r="M780">
            <v>650</v>
          </cell>
        </row>
        <row r="781">
          <cell r="A781">
            <v>5182592</v>
          </cell>
          <cell r="B781">
            <v>5115389</v>
          </cell>
          <cell r="C781">
            <v>4410</v>
          </cell>
          <cell r="D781">
            <v>3214496</v>
          </cell>
          <cell r="E781">
            <v>824</v>
          </cell>
          <cell r="F781">
            <v>121</v>
          </cell>
          <cell r="G781">
            <v>366</v>
          </cell>
          <cell r="H781">
            <v>351</v>
          </cell>
          <cell r="I781">
            <v>363</v>
          </cell>
          <cell r="J781">
            <v>315</v>
          </cell>
          <cell r="K781">
            <v>324</v>
          </cell>
          <cell r="L781">
            <v>309</v>
          </cell>
          <cell r="M781">
            <v>313</v>
          </cell>
        </row>
        <row r="782">
          <cell r="A782">
            <v>5182936</v>
          </cell>
          <cell r="B782">
            <v>5115561</v>
          </cell>
          <cell r="C782">
            <v>4410</v>
          </cell>
          <cell r="D782">
            <v>721606</v>
          </cell>
          <cell r="E782">
            <v>233</v>
          </cell>
          <cell r="F782">
            <v>22</v>
          </cell>
          <cell r="G782">
            <v>136</v>
          </cell>
          <cell r="H782">
            <v>133</v>
          </cell>
          <cell r="I782">
            <v>125</v>
          </cell>
          <cell r="J782">
            <v>122</v>
          </cell>
          <cell r="K782">
            <v>123</v>
          </cell>
          <cell r="L782">
            <v>124</v>
          </cell>
          <cell r="M782">
            <v>122</v>
          </cell>
        </row>
        <row r="783">
          <cell r="A783">
            <v>5172150</v>
          </cell>
          <cell r="B783">
            <v>5110168</v>
          </cell>
          <cell r="C783">
            <v>4410</v>
          </cell>
          <cell r="D783">
            <v>10505264</v>
          </cell>
          <cell r="E783">
            <v>233</v>
          </cell>
          <cell r="F783">
            <v>190</v>
          </cell>
          <cell r="G783">
            <v>160</v>
          </cell>
          <cell r="H783">
            <v>166</v>
          </cell>
          <cell r="I783">
            <v>150</v>
          </cell>
          <cell r="J783">
            <v>158</v>
          </cell>
          <cell r="K783">
            <v>169</v>
          </cell>
          <cell r="L783">
            <v>191</v>
          </cell>
          <cell r="M783">
            <v>184</v>
          </cell>
        </row>
        <row r="784">
          <cell r="A784">
            <v>5182748</v>
          </cell>
          <cell r="B784">
            <v>5115467</v>
          </cell>
          <cell r="C784">
            <v>4410</v>
          </cell>
          <cell r="D784">
            <v>2962274</v>
          </cell>
          <cell r="E784">
            <v>100</v>
          </cell>
          <cell r="F784">
            <v>93</v>
          </cell>
          <cell r="G784">
            <v>93</v>
          </cell>
          <cell r="H784">
            <v>93</v>
          </cell>
          <cell r="I784">
            <v>92</v>
          </cell>
          <cell r="J784">
            <v>96</v>
          </cell>
          <cell r="K784">
            <v>102</v>
          </cell>
          <cell r="L784">
            <v>139</v>
          </cell>
          <cell r="M784">
            <v>132</v>
          </cell>
        </row>
        <row r="785">
          <cell r="A785">
            <v>5055390</v>
          </cell>
          <cell r="B785">
            <v>5051788</v>
          </cell>
          <cell r="C785">
            <v>4410</v>
          </cell>
          <cell r="D785">
            <v>7724923</v>
          </cell>
          <cell r="E785">
            <v>171</v>
          </cell>
          <cell r="F785">
            <v>106</v>
          </cell>
          <cell r="G785">
            <v>101</v>
          </cell>
          <cell r="H785">
            <v>143</v>
          </cell>
          <cell r="I785">
            <v>137</v>
          </cell>
          <cell r="J785">
            <v>79</v>
          </cell>
          <cell r="K785">
            <v>0</v>
          </cell>
          <cell r="L785">
            <v>81</v>
          </cell>
          <cell r="M785">
            <v>190</v>
          </cell>
        </row>
        <row r="786">
          <cell r="A786">
            <v>5183002</v>
          </cell>
          <cell r="B786">
            <v>5115594</v>
          </cell>
          <cell r="C786">
            <v>4410</v>
          </cell>
          <cell r="D786">
            <v>16008646</v>
          </cell>
          <cell r="E786">
            <v>293</v>
          </cell>
          <cell r="F786">
            <v>260</v>
          </cell>
          <cell r="G786">
            <v>203</v>
          </cell>
          <cell r="H786">
            <v>198</v>
          </cell>
          <cell r="I786">
            <v>210</v>
          </cell>
          <cell r="J786">
            <v>199</v>
          </cell>
          <cell r="K786">
            <v>236</v>
          </cell>
          <cell r="L786">
            <v>229</v>
          </cell>
          <cell r="M786">
            <v>222</v>
          </cell>
        </row>
        <row r="787">
          <cell r="A787">
            <v>5183020</v>
          </cell>
          <cell r="B787">
            <v>5115603</v>
          </cell>
          <cell r="C787">
            <v>4410</v>
          </cell>
          <cell r="D787">
            <v>70000669</v>
          </cell>
          <cell r="E787">
            <v>368</v>
          </cell>
          <cell r="F787">
            <v>307</v>
          </cell>
          <cell r="G787">
            <v>327</v>
          </cell>
          <cell r="H787">
            <v>404</v>
          </cell>
          <cell r="I787">
            <v>462</v>
          </cell>
          <cell r="J787">
            <v>456</v>
          </cell>
          <cell r="K787">
            <v>597</v>
          </cell>
          <cell r="L787">
            <v>609</v>
          </cell>
          <cell r="M787">
            <v>598</v>
          </cell>
        </row>
        <row r="788">
          <cell r="A788">
            <v>5172172</v>
          </cell>
          <cell r="B788">
            <v>5110179</v>
          </cell>
          <cell r="C788">
            <v>4410</v>
          </cell>
          <cell r="D788">
            <v>156204</v>
          </cell>
          <cell r="E788">
            <v>77</v>
          </cell>
          <cell r="F788">
            <v>100</v>
          </cell>
          <cell r="G788">
            <v>114</v>
          </cell>
          <cell r="H788">
            <v>35</v>
          </cell>
          <cell r="I788">
            <v>197</v>
          </cell>
          <cell r="J788">
            <v>101</v>
          </cell>
          <cell r="K788">
            <v>119</v>
          </cell>
          <cell r="L788">
            <v>99</v>
          </cell>
          <cell r="M788">
            <v>145</v>
          </cell>
        </row>
        <row r="789">
          <cell r="A789">
            <v>5182812</v>
          </cell>
          <cell r="B789">
            <v>5115499</v>
          </cell>
          <cell r="C789">
            <v>4410</v>
          </cell>
          <cell r="D789">
            <v>16006710</v>
          </cell>
          <cell r="E789">
            <v>158</v>
          </cell>
          <cell r="F789">
            <v>150</v>
          </cell>
          <cell r="G789">
            <v>135</v>
          </cell>
          <cell r="H789">
            <v>130</v>
          </cell>
          <cell r="I789">
            <v>149</v>
          </cell>
          <cell r="J789">
            <v>128</v>
          </cell>
          <cell r="K789">
            <v>157</v>
          </cell>
          <cell r="L789">
            <v>143</v>
          </cell>
          <cell r="M789">
            <v>150</v>
          </cell>
        </row>
        <row r="790">
          <cell r="A790">
            <v>5182726</v>
          </cell>
          <cell r="B790">
            <v>5115456</v>
          </cell>
          <cell r="C790">
            <v>4410</v>
          </cell>
          <cell r="D790">
            <v>16008713</v>
          </cell>
          <cell r="E790">
            <v>127</v>
          </cell>
          <cell r="F790">
            <v>95</v>
          </cell>
          <cell r="G790">
            <v>98</v>
          </cell>
          <cell r="H790">
            <v>179</v>
          </cell>
          <cell r="I790">
            <v>204</v>
          </cell>
          <cell r="J790">
            <v>184</v>
          </cell>
          <cell r="K790">
            <v>201</v>
          </cell>
          <cell r="L790">
            <v>195</v>
          </cell>
          <cell r="M790">
            <v>214</v>
          </cell>
        </row>
        <row r="791">
          <cell r="A791">
            <v>5182788</v>
          </cell>
          <cell r="B791">
            <v>5115487</v>
          </cell>
          <cell r="C791">
            <v>4410</v>
          </cell>
          <cell r="D791">
            <v>16008391</v>
          </cell>
          <cell r="E791">
            <v>0</v>
          </cell>
          <cell r="F791">
            <v>0</v>
          </cell>
          <cell r="G791">
            <v>0</v>
          </cell>
          <cell r="H791">
            <v>84</v>
          </cell>
          <cell r="I791">
            <v>21</v>
          </cell>
          <cell r="J791">
            <v>32</v>
          </cell>
          <cell r="K791">
            <v>5</v>
          </cell>
          <cell r="L791">
            <v>50</v>
          </cell>
          <cell r="M791">
            <v>83</v>
          </cell>
        </row>
        <row r="792">
          <cell r="A792">
            <v>5182654</v>
          </cell>
          <cell r="B792">
            <v>5115420</v>
          </cell>
          <cell r="C792">
            <v>4410</v>
          </cell>
          <cell r="D792">
            <v>1535017</v>
          </cell>
          <cell r="E792">
            <v>209</v>
          </cell>
          <cell r="F792">
            <v>127</v>
          </cell>
          <cell r="G792">
            <v>149</v>
          </cell>
          <cell r="H792">
            <v>156</v>
          </cell>
          <cell r="I792">
            <v>135</v>
          </cell>
          <cell r="J792">
            <v>129</v>
          </cell>
          <cell r="K792">
            <v>124</v>
          </cell>
          <cell r="L792">
            <v>96</v>
          </cell>
          <cell r="M792">
            <v>189</v>
          </cell>
        </row>
        <row r="793">
          <cell r="A793">
            <v>5182668</v>
          </cell>
          <cell r="B793">
            <v>5115427</v>
          </cell>
          <cell r="C793">
            <v>4410</v>
          </cell>
          <cell r="D793">
            <v>1618047</v>
          </cell>
          <cell r="E793">
            <v>187</v>
          </cell>
          <cell r="F793">
            <v>157</v>
          </cell>
          <cell r="G793">
            <v>124</v>
          </cell>
          <cell r="H793">
            <v>103</v>
          </cell>
          <cell r="I793">
            <v>114</v>
          </cell>
          <cell r="J793">
            <v>156</v>
          </cell>
          <cell r="K793">
            <v>153</v>
          </cell>
          <cell r="L793">
            <v>129</v>
          </cell>
          <cell r="M793">
            <v>145</v>
          </cell>
        </row>
        <row r="794">
          <cell r="A794">
            <v>5182706</v>
          </cell>
          <cell r="B794">
            <v>5115446</v>
          </cell>
          <cell r="C794">
            <v>4410</v>
          </cell>
          <cell r="D794">
            <v>1911852</v>
          </cell>
          <cell r="E794">
            <v>233</v>
          </cell>
          <cell r="F794">
            <v>194</v>
          </cell>
          <cell r="G794">
            <v>150</v>
          </cell>
          <cell r="H794">
            <v>199</v>
          </cell>
          <cell r="I794">
            <v>179</v>
          </cell>
          <cell r="J794">
            <v>164</v>
          </cell>
          <cell r="K794">
            <v>184</v>
          </cell>
          <cell r="L794">
            <v>157</v>
          </cell>
          <cell r="M794">
            <v>196</v>
          </cell>
        </row>
        <row r="795">
          <cell r="A795">
            <v>5072584</v>
          </cell>
          <cell r="B795">
            <v>5060385</v>
          </cell>
          <cell r="C795">
            <v>4410</v>
          </cell>
          <cell r="D795">
            <v>1877886</v>
          </cell>
          <cell r="E795">
            <v>40</v>
          </cell>
          <cell r="F795">
            <v>42</v>
          </cell>
          <cell r="G795">
            <v>46</v>
          </cell>
          <cell r="H795">
            <v>54</v>
          </cell>
          <cell r="I795">
            <v>41</v>
          </cell>
          <cell r="J795">
            <v>40</v>
          </cell>
          <cell r="K795">
            <v>45</v>
          </cell>
          <cell r="L795">
            <v>42</v>
          </cell>
          <cell r="M795">
            <v>0</v>
          </cell>
        </row>
        <row r="796">
          <cell r="A796">
            <v>5182916</v>
          </cell>
          <cell r="B796">
            <v>5115551</v>
          </cell>
          <cell r="C796">
            <v>4410</v>
          </cell>
          <cell r="D796">
            <v>70004106</v>
          </cell>
          <cell r="E796">
            <v>129</v>
          </cell>
          <cell r="F796">
            <v>85</v>
          </cell>
          <cell r="G796">
            <v>101</v>
          </cell>
          <cell r="H796">
            <v>90</v>
          </cell>
          <cell r="I796">
            <v>96</v>
          </cell>
          <cell r="J796">
            <v>34</v>
          </cell>
          <cell r="K796">
            <v>79</v>
          </cell>
          <cell r="L796">
            <v>93</v>
          </cell>
          <cell r="M796">
            <v>82</v>
          </cell>
        </row>
        <row r="797">
          <cell r="A797">
            <v>5172020</v>
          </cell>
          <cell r="B797">
            <v>5110103</v>
          </cell>
          <cell r="C797">
            <v>4410</v>
          </cell>
          <cell r="D797">
            <v>3730868</v>
          </cell>
          <cell r="E797">
            <v>39</v>
          </cell>
          <cell r="F797">
            <v>59</v>
          </cell>
          <cell r="G797">
            <v>79</v>
          </cell>
          <cell r="H797">
            <v>38</v>
          </cell>
          <cell r="I797">
            <v>171</v>
          </cell>
          <cell r="J797">
            <v>84</v>
          </cell>
          <cell r="K797">
            <v>69</v>
          </cell>
          <cell r="L797">
            <v>68</v>
          </cell>
          <cell r="M797">
            <v>108</v>
          </cell>
        </row>
        <row r="798">
          <cell r="A798">
            <v>5171956</v>
          </cell>
          <cell r="B798">
            <v>5110071</v>
          </cell>
          <cell r="C798">
            <v>4410</v>
          </cell>
          <cell r="D798">
            <v>3725885</v>
          </cell>
          <cell r="E798">
            <v>42</v>
          </cell>
          <cell r="F798">
            <v>32</v>
          </cell>
          <cell r="G798">
            <v>33</v>
          </cell>
          <cell r="H798">
            <v>37</v>
          </cell>
          <cell r="I798">
            <v>41</v>
          </cell>
          <cell r="J798">
            <v>25</v>
          </cell>
          <cell r="K798">
            <v>43</v>
          </cell>
          <cell r="L798">
            <v>38</v>
          </cell>
          <cell r="M798">
            <v>36</v>
          </cell>
        </row>
        <row r="799">
          <cell r="A799">
            <v>5171976</v>
          </cell>
          <cell r="B799">
            <v>5110081</v>
          </cell>
          <cell r="C799">
            <v>4410</v>
          </cell>
          <cell r="D799">
            <v>1751159</v>
          </cell>
          <cell r="E799">
            <v>30</v>
          </cell>
          <cell r="F799">
            <v>23</v>
          </cell>
          <cell r="G799">
            <v>20</v>
          </cell>
          <cell r="H799">
            <v>21</v>
          </cell>
          <cell r="I799">
            <v>22</v>
          </cell>
          <cell r="J799">
            <v>18</v>
          </cell>
          <cell r="K799">
            <v>17</v>
          </cell>
          <cell r="L799">
            <v>15</v>
          </cell>
          <cell r="M799">
            <v>31</v>
          </cell>
        </row>
        <row r="800">
          <cell r="A800">
            <v>5171998</v>
          </cell>
          <cell r="B800">
            <v>5110092</v>
          </cell>
          <cell r="C800">
            <v>4410</v>
          </cell>
          <cell r="D800">
            <v>3730699</v>
          </cell>
          <cell r="E800">
            <v>173</v>
          </cell>
          <cell r="F800">
            <v>160</v>
          </cell>
          <cell r="G800">
            <v>159</v>
          </cell>
          <cell r="H800">
            <v>154</v>
          </cell>
          <cell r="I800">
            <v>163</v>
          </cell>
          <cell r="J800">
            <v>145</v>
          </cell>
          <cell r="K800">
            <v>156</v>
          </cell>
          <cell r="L800">
            <v>147</v>
          </cell>
          <cell r="M800">
            <v>172</v>
          </cell>
        </row>
        <row r="801">
          <cell r="A801">
            <v>5172064</v>
          </cell>
          <cell r="B801">
            <v>5110125</v>
          </cell>
          <cell r="C801">
            <v>4410</v>
          </cell>
          <cell r="D801">
            <v>1752643</v>
          </cell>
          <cell r="E801">
            <v>162</v>
          </cell>
          <cell r="F801">
            <v>138</v>
          </cell>
          <cell r="G801">
            <v>120</v>
          </cell>
          <cell r="H801">
            <v>136</v>
          </cell>
          <cell r="I801">
            <v>133</v>
          </cell>
          <cell r="J801">
            <v>125</v>
          </cell>
          <cell r="K801">
            <v>135</v>
          </cell>
          <cell r="L801">
            <v>135</v>
          </cell>
          <cell r="M801">
            <v>142</v>
          </cell>
        </row>
        <row r="802">
          <cell r="A802">
            <v>5172128</v>
          </cell>
          <cell r="B802">
            <v>5110157</v>
          </cell>
          <cell r="C802">
            <v>4410</v>
          </cell>
          <cell r="D802">
            <v>6822805</v>
          </cell>
          <cell r="E802">
            <v>213</v>
          </cell>
          <cell r="F802">
            <v>171</v>
          </cell>
          <cell r="G802">
            <v>153</v>
          </cell>
          <cell r="H802">
            <v>180</v>
          </cell>
          <cell r="I802">
            <v>182</v>
          </cell>
          <cell r="J802">
            <v>159</v>
          </cell>
          <cell r="K802">
            <v>176</v>
          </cell>
          <cell r="L802">
            <v>171</v>
          </cell>
          <cell r="M802">
            <v>144</v>
          </cell>
        </row>
        <row r="803">
          <cell r="A803">
            <v>5172216</v>
          </cell>
          <cell r="B803">
            <v>5110201</v>
          </cell>
          <cell r="C803">
            <v>4410</v>
          </cell>
          <cell r="D803">
            <v>5826806</v>
          </cell>
          <cell r="E803">
            <v>134</v>
          </cell>
          <cell r="F803">
            <v>198</v>
          </cell>
          <cell r="G803">
            <v>139</v>
          </cell>
          <cell r="H803">
            <v>194</v>
          </cell>
          <cell r="I803">
            <v>116</v>
          </cell>
          <cell r="J803">
            <v>132</v>
          </cell>
          <cell r="K803">
            <v>118</v>
          </cell>
          <cell r="L803">
            <v>170</v>
          </cell>
          <cell r="M803">
            <v>127</v>
          </cell>
        </row>
        <row r="804">
          <cell r="A804">
            <v>5172324</v>
          </cell>
          <cell r="B804">
            <v>5110255</v>
          </cell>
          <cell r="C804">
            <v>4410</v>
          </cell>
          <cell r="D804">
            <v>6827554</v>
          </cell>
          <cell r="E804">
            <v>120</v>
          </cell>
          <cell r="F804">
            <v>146</v>
          </cell>
          <cell r="G804">
            <v>175</v>
          </cell>
          <cell r="H804">
            <v>178</v>
          </cell>
          <cell r="I804">
            <v>178</v>
          </cell>
          <cell r="J804">
            <v>160</v>
          </cell>
          <cell r="K804">
            <v>157</v>
          </cell>
          <cell r="L804">
            <v>156</v>
          </cell>
          <cell r="M804">
            <v>149</v>
          </cell>
        </row>
        <row r="805">
          <cell r="A805">
            <v>5182872</v>
          </cell>
          <cell r="B805">
            <v>5115529</v>
          </cell>
          <cell r="C805">
            <v>4410</v>
          </cell>
          <cell r="D805">
            <v>3365126</v>
          </cell>
          <cell r="E805">
            <v>123</v>
          </cell>
          <cell r="F805">
            <v>111</v>
          </cell>
          <cell r="G805">
            <v>113</v>
          </cell>
          <cell r="H805">
            <v>111</v>
          </cell>
          <cell r="I805">
            <v>116</v>
          </cell>
          <cell r="J805">
            <v>114</v>
          </cell>
          <cell r="K805">
            <v>113</v>
          </cell>
          <cell r="L805">
            <v>108</v>
          </cell>
          <cell r="M805">
            <v>123</v>
          </cell>
        </row>
        <row r="806">
          <cell r="A806">
            <v>5182552</v>
          </cell>
          <cell r="B806">
            <v>5115369</v>
          </cell>
          <cell r="C806">
            <v>4410</v>
          </cell>
          <cell r="D806">
            <v>1309442</v>
          </cell>
          <cell r="E806">
            <v>283</v>
          </cell>
          <cell r="F806">
            <v>210</v>
          </cell>
          <cell r="G806">
            <v>168</v>
          </cell>
          <cell r="H806">
            <v>211</v>
          </cell>
          <cell r="I806">
            <v>270</v>
          </cell>
          <cell r="J806">
            <v>210</v>
          </cell>
          <cell r="K806">
            <v>243</v>
          </cell>
          <cell r="L806">
            <v>253</v>
          </cell>
          <cell r="M806">
            <v>242</v>
          </cell>
        </row>
        <row r="807">
          <cell r="A807">
            <v>5095510</v>
          </cell>
          <cell r="B807">
            <v>5071848</v>
          </cell>
          <cell r="C807">
            <v>4410</v>
          </cell>
          <cell r="D807">
            <v>7094174</v>
          </cell>
          <cell r="E807">
            <v>260</v>
          </cell>
          <cell r="F807">
            <v>113</v>
          </cell>
          <cell r="G807">
            <v>46</v>
          </cell>
          <cell r="H807">
            <v>127</v>
          </cell>
          <cell r="I807">
            <v>118</v>
          </cell>
          <cell r="J807">
            <v>183</v>
          </cell>
          <cell r="K807">
            <v>258</v>
          </cell>
          <cell r="L807">
            <v>330</v>
          </cell>
          <cell r="M807">
            <v>314</v>
          </cell>
        </row>
        <row r="808">
          <cell r="A808">
            <v>5172194</v>
          </cell>
          <cell r="B808">
            <v>5110190</v>
          </cell>
          <cell r="C808">
            <v>4410</v>
          </cell>
          <cell r="D808">
            <v>7117735</v>
          </cell>
          <cell r="E808">
            <v>113</v>
          </cell>
          <cell r="F808">
            <v>56</v>
          </cell>
          <cell r="G808">
            <v>119</v>
          </cell>
          <cell r="H808">
            <v>103</v>
          </cell>
          <cell r="I808">
            <v>135</v>
          </cell>
          <cell r="J808">
            <v>157</v>
          </cell>
          <cell r="K808">
            <v>126</v>
          </cell>
          <cell r="L808">
            <v>156</v>
          </cell>
          <cell r="M808">
            <v>132</v>
          </cell>
        </row>
        <row r="809">
          <cell r="A809">
            <v>5182768</v>
          </cell>
          <cell r="B809">
            <v>5115477</v>
          </cell>
          <cell r="C809">
            <v>4410</v>
          </cell>
          <cell r="D809">
            <v>7316427</v>
          </cell>
          <cell r="E809">
            <v>275</v>
          </cell>
          <cell r="F809">
            <v>208</v>
          </cell>
          <cell r="G809">
            <v>240</v>
          </cell>
          <cell r="H809">
            <v>229</v>
          </cell>
          <cell r="I809">
            <v>247</v>
          </cell>
          <cell r="J809">
            <v>208</v>
          </cell>
          <cell r="K809">
            <v>216</v>
          </cell>
          <cell r="L809">
            <v>265</v>
          </cell>
          <cell r="M809">
            <v>223</v>
          </cell>
        </row>
        <row r="810">
          <cell r="A810">
            <v>5172302</v>
          </cell>
          <cell r="B810">
            <v>5110244</v>
          </cell>
          <cell r="C810">
            <v>4410</v>
          </cell>
          <cell r="D810">
            <v>445100</v>
          </cell>
          <cell r="E810">
            <v>200</v>
          </cell>
          <cell r="F810">
            <v>173</v>
          </cell>
          <cell r="G810">
            <v>158</v>
          </cell>
          <cell r="H810">
            <v>163</v>
          </cell>
          <cell r="I810">
            <v>164</v>
          </cell>
          <cell r="J810">
            <v>138</v>
          </cell>
          <cell r="K810">
            <v>145</v>
          </cell>
          <cell r="L810">
            <v>177</v>
          </cell>
          <cell r="M810">
            <v>212</v>
          </cell>
        </row>
        <row r="811">
          <cell r="A811">
            <v>5182684</v>
          </cell>
          <cell r="B811">
            <v>5115435</v>
          </cell>
          <cell r="C811">
            <v>4410</v>
          </cell>
          <cell r="D811">
            <v>719449</v>
          </cell>
          <cell r="E811">
            <v>175</v>
          </cell>
          <cell r="F811">
            <v>160</v>
          </cell>
          <cell r="G811">
            <v>140</v>
          </cell>
          <cell r="H811">
            <v>161</v>
          </cell>
          <cell r="I811">
            <v>157</v>
          </cell>
          <cell r="J811">
            <v>147</v>
          </cell>
          <cell r="K811">
            <v>139</v>
          </cell>
          <cell r="L811">
            <v>130</v>
          </cell>
          <cell r="M811">
            <v>178</v>
          </cell>
        </row>
        <row r="812">
          <cell r="A812">
            <v>5095458</v>
          </cell>
          <cell r="B812">
            <v>5071822</v>
          </cell>
          <cell r="C812">
            <v>4410</v>
          </cell>
          <cell r="D812">
            <v>4418976</v>
          </cell>
          <cell r="E812">
            <v>240</v>
          </cell>
          <cell r="F812">
            <v>185</v>
          </cell>
          <cell r="G812">
            <v>227</v>
          </cell>
          <cell r="H812">
            <v>186</v>
          </cell>
          <cell r="I812">
            <v>464</v>
          </cell>
          <cell r="J812">
            <v>221</v>
          </cell>
          <cell r="K812">
            <v>184</v>
          </cell>
          <cell r="L812">
            <v>199</v>
          </cell>
          <cell r="M812">
            <v>186</v>
          </cell>
        </row>
        <row r="813">
          <cell r="A813">
            <v>5172366</v>
          </cell>
          <cell r="B813">
            <v>5110276</v>
          </cell>
          <cell r="C813">
            <v>4410</v>
          </cell>
          <cell r="D813">
            <v>3507303</v>
          </cell>
          <cell r="E813">
            <v>288</v>
          </cell>
          <cell r="F813">
            <v>261</v>
          </cell>
          <cell r="G813">
            <v>137</v>
          </cell>
          <cell r="H813">
            <v>126</v>
          </cell>
          <cell r="I813">
            <v>147</v>
          </cell>
          <cell r="J813">
            <v>207</v>
          </cell>
          <cell r="K813">
            <v>239</v>
          </cell>
          <cell r="L813">
            <v>223</v>
          </cell>
          <cell r="M813">
            <v>230</v>
          </cell>
        </row>
        <row r="814">
          <cell r="A814">
            <v>5183156</v>
          </cell>
          <cell r="B814">
            <v>5115671</v>
          </cell>
          <cell r="C814">
            <v>4410</v>
          </cell>
          <cell r="E814">
            <v>315</v>
          </cell>
          <cell r="F814">
            <v>281</v>
          </cell>
          <cell r="G814">
            <v>270</v>
          </cell>
          <cell r="H814">
            <v>240</v>
          </cell>
          <cell r="I814">
            <v>313</v>
          </cell>
          <cell r="J814">
            <v>270</v>
          </cell>
          <cell r="K814">
            <v>288</v>
          </cell>
          <cell r="L814">
            <v>261</v>
          </cell>
          <cell r="M814">
            <v>277</v>
          </cell>
        </row>
        <row r="815">
          <cell r="A815">
            <v>5183250</v>
          </cell>
          <cell r="B815">
            <v>5115718</v>
          </cell>
          <cell r="C815">
            <v>4410</v>
          </cell>
          <cell r="D815">
            <v>3364064</v>
          </cell>
          <cell r="E815">
            <v>294</v>
          </cell>
          <cell r="F815">
            <v>263</v>
          </cell>
          <cell r="G815">
            <v>253</v>
          </cell>
          <cell r="H815">
            <v>225</v>
          </cell>
          <cell r="I815">
            <v>294</v>
          </cell>
          <cell r="J815">
            <v>92</v>
          </cell>
          <cell r="K815">
            <v>42</v>
          </cell>
          <cell r="L815">
            <v>22</v>
          </cell>
          <cell r="M815">
            <v>11</v>
          </cell>
        </row>
        <row r="816">
          <cell r="A816">
            <v>5183308</v>
          </cell>
          <cell r="B816">
            <v>5115747</v>
          </cell>
          <cell r="C816">
            <v>4410</v>
          </cell>
          <cell r="D816">
            <v>31988300</v>
          </cell>
          <cell r="E816">
            <v>96</v>
          </cell>
          <cell r="F816">
            <v>96</v>
          </cell>
          <cell r="G816">
            <v>112</v>
          </cell>
          <cell r="H816">
            <v>136</v>
          </cell>
          <cell r="I816">
            <v>53</v>
          </cell>
          <cell r="J816">
            <v>134</v>
          </cell>
          <cell r="K816">
            <v>151</v>
          </cell>
          <cell r="L816">
            <v>180</v>
          </cell>
          <cell r="M816">
            <v>211</v>
          </cell>
        </row>
        <row r="817">
          <cell r="A817">
            <v>5183176</v>
          </cell>
          <cell r="B817">
            <v>5115681</v>
          </cell>
          <cell r="C817">
            <v>4410</v>
          </cell>
          <cell r="D817">
            <v>31988296</v>
          </cell>
          <cell r="E817">
            <v>110</v>
          </cell>
          <cell r="F817">
            <v>75</v>
          </cell>
          <cell r="G817">
            <v>77</v>
          </cell>
          <cell r="H817">
            <v>73</v>
          </cell>
          <cell r="I817">
            <v>67</v>
          </cell>
          <cell r="J817">
            <v>67</v>
          </cell>
          <cell r="K817">
            <v>68</v>
          </cell>
          <cell r="L817">
            <v>67</v>
          </cell>
          <cell r="M817">
            <v>0</v>
          </cell>
        </row>
        <row r="818">
          <cell r="A818">
            <v>5183102</v>
          </cell>
          <cell r="B818">
            <v>5115644</v>
          </cell>
          <cell r="C818">
            <v>4410</v>
          </cell>
          <cell r="D818">
            <v>31988099</v>
          </cell>
          <cell r="E818">
            <v>230</v>
          </cell>
          <cell r="F818">
            <v>164</v>
          </cell>
          <cell r="G818">
            <v>164</v>
          </cell>
          <cell r="H818">
            <v>204</v>
          </cell>
          <cell r="I818">
            <v>167</v>
          </cell>
          <cell r="J818">
            <v>181</v>
          </cell>
          <cell r="K818">
            <v>216</v>
          </cell>
          <cell r="L818">
            <v>183</v>
          </cell>
          <cell r="M818">
            <v>186</v>
          </cell>
        </row>
        <row r="819">
          <cell r="A819">
            <v>5183120</v>
          </cell>
          <cell r="B819">
            <v>5115653</v>
          </cell>
          <cell r="C819">
            <v>4410</v>
          </cell>
          <cell r="D819">
            <v>355781</v>
          </cell>
          <cell r="E819">
            <v>240</v>
          </cell>
          <cell r="F819">
            <v>214</v>
          </cell>
          <cell r="G819">
            <v>206</v>
          </cell>
          <cell r="H819">
            <v>183</v>
          </cell>
          <cell r="I819">
            <v>239</v>
          </cell>
          <cell r="J819">
            <v>422</v>
          </cell>
          <cell r="K819">
            <v>267</v>
          </cell>
          <cell r="L819">
            <v>230</v>
          </cell>
          <cell r="M819">
            <v>227</v>
          </cell>
        </row>
        <row r="820">
          <cell r="A820">
            <v>5183360</v>
          </cell>
          <cell r="B820">
            <v>5115773</v>
          </cell>
          <cell r="C820">
            <v>4410</v>
          </cell>
          <cell r="D820">
            <v>31988301</v>
          </cell>
          <cell r="E820">
            <v>172</v>
          </cell>
          <cell r="F820">
            <v>152</v>
          </cell>
          <cell r="G820">
            <v>148</v>
          </cell>
          <cell r="H820">
            <v>144</v>
          </cell>
          <cell r="I820">
            <v>213</v>
          </cell>
          <cell r="J820">
            <v>187</v>
          </cell>
          <cell r="K820">
            <v>205</v>
          </cell>
          <cell r="L820">
            <v>237</v>
          </cell>
          <cell r="M820">
            <v>257</v>
          </cell>
        </row>
        <row r="821">
          <cell r="A821">
            <v>5183230</v>
          </cell>
          <cell r="B821">
            <v>5115708</v>
          </cell>
          <cell r="C821">
            <v>4410</v>
          </cell>
          <cell r="D821">
            <v>31988303</v>
          </cell>
          <cell r="E821">
            <v>78</v>
          </cell>
          <cell r="F821">
            <v>58</v>
          </cell>
          <cell r="G821">
            <v>61</v>
          </cell>
          <cell r="H821">
            <v>59</v>
          </cell>
          <cell r="I821">
            <v>63</v>
          </cell>
          <cell r="J821">
            <v>116</v>
          </cell>
          <cell r="K821">
            <v>143</v>
          </cell>
          <cell r="L821">
            <v>241</v>
          </cell>
          <cell r="M821">
            <v>271</v>
          </cell>
        </row>
        <row r="822">
          <cell r="A822">
            <v>5183270</v>
          </cell>
          <cell r="B822">
            <v>5115728</v>
          </cell>
          <cell r="C822">
            <v>4410</v>
          </cell>
          <cell r="D822">
            <v>7116236</v>
          </cell>
          <cell r="E822">
            <v>466</v>
          </cell>
          <cell r="F822">
            <v>403</v>
          </cell>
          <cell r="G822">
            <v>102</v>
          </cell>
          <cell r="H822">
            <v>128</v>
          </cell>
          <cell r="I822">
            <v>205</v>
          </cell>
          <cell r="J822">
            <v>115</v>
          </cell>
          <cell r="K822">
            <v>115</v>
          </cell>
          <cell r="L822">
            <v>109</v>
          </cell>
          <cell r="M822">
            <v>142</v>
          </cell>
        </row>
        <row r="823">
          <cell r="A823">
            <v>5081364</v>
          </cell>
          <cell r="B823">
            <v>5064775</v>
          </cell>
          <cell r="C823">
            <v>4410</v>
          </cell>
          <cell r="D823">
            <v>2964935</v>
          </cell>
          <cell r="E823">
            <v>185</v>
          </cell>
          <cell r="F823">
            <v>165</v>
          </cell>
          <cell r="G823">
            <v>151</v>
          </cell>
          <cell r="H823">
            <v>157</v>
          </cell>
          <cell r="I823">
            <v>146</v>
          </cell>
          <cell r="J823">
            <v>147</v>
          </cell>
          <cell r="K823">
            <v>158</v>
          </cell>
          <cell r="L823">
            <v>136</v>
          </cell>
          <cell r="M823">
            <v>164</v>
          </cell>
        </row>
        <row r="824">
          <cell r="A824">
            <v>5183290</v>
          </cell>
          <cell r="B824">
            <v>5115738</v>
          </cell>
          <cell r="C824">
            <v>4410</v>
          </cell>
          <cell r="D824">
            <v>1916086</v>
          </cell>
          <cell r="E824">
            <v>269</v>
          </cell>
          <cell r="F824">
            <v>270</v>
          </cell>
          <cell r="G824">
            <v>77</v>
          </cell>
          <cell r="H824">
            <v>13</v>
          </cell>
          <cell r="I824">
            <v>147</v>
          </cell>
          <cell r="J824">
            <v>0</v>
          </cell>
          <cell r="K824">
            <v>0</v>
          </cell>
          <cell r="L824">
            <v>147</v>
          </cell>
          <cell r="M824">
            <v>0</v>
          </cell>
        </row>
        <row r="825">
          <cell r="A825">
            <v>5183214</v>
          </cell>
          <cell r="B825">
            <v>5115700</v>
          </cell>
          <cell r="C825">
            <v>4410</v>
          </cell>
          <cell r="D825">
            <v>1618089</v>
          </cell>
          <cell r="E825">
            <v>251</v>
          </cell>
          <cell r="F825">
            <v>207</v>
          </cell>
          <cell r="G825">
            <v>214</v>
          </cell>
          <cell r="H825">
            <v>208</v>
          </cell>
          <cell r="I825">
            <v>223</v>
          </cell>
          <cell r="J825">
            <v>207</v>
          </cell>
          <cell r="K825">
            <v>254</v>
          </cell>
          <cell r="L825">
            <v>236</v>
          </cell>
          <cell r="M825">
            <v>230</v>
          </cell>
        </row>
        <row r="826">
          <cell r="A826">
            <v>5183344</v>
          </cell>
          <cell r="B826">
            <v>5115765</v>
          </cell>
          <cell r="C826">
            <v>4410</v>
          </cell>
          <cell r="D826">
            <v>3366163</v>
          </cell>
          <cell r="E826">
            <v>252</v>
          </cell>
          <cell r="F826">
            <v>228</v>
          </cell>
          <cell r="G826">
            <v>234</v>
          </cell>
          <cell r="H826">
            <v>214</v>
          </cell>
          <cell r="I826">
            <v>216</v>
          </cell>
          <cell r="J826">
            <v>205</v>
          </cell>
          <cell r="K826">
            <v>222</v>
          </cell>
          <cell r="L826">
            <v>216</v>
          </cell>
          <cell r="M826">
            <v>220</v>
          </cell>
        </row>
        <row r="827">
          <cell r="A827">
            <v>5183324</v>
          </cell>
          <cell r="B827">
            <v>5115755</v>
          </cell>
          <cell r="C827">
            <v>4410</v>
          </cell>
          <cell r="D827">
            <v>3361922</v>
          </cell>
          <cell r="E827">
            <v>265</v>
          </cell>
          <cell r="F827">
            <v>239</v>
          </cell>
          <cell r="G827">
            <v>234</v>
          </cell>
          <cell r="H827">
            <v>228</v>
          </cell>
          <cell r="I827">
            <v>234</v>
          </cell>
          <cell r="J827">
            <v>250</v>
          </cell>
          <cell r="K827">
            <v>297</v>
          </cell>
          <cell r="L827">
            <v>282</v>
          </cell>
          <cell r="M827">
            <v>325</v>
          </cell>
        </row>
        <row r="828">
          <cell r="A828">
            <v>5183198</v>
          </cell>
          <cell r="B828">
            <v>5115692</v>
          </cell>
          <cell r="C828">
            <v>4410</v>
          </cell>
          <cell r="D828">
            <v>4867375</v>
          </cell>
          <cell r="E828">
            <v>56</v>
          </cell>
          <cell r="F828">
            <v>48</v>
          </cell>
          <cell r="G828">
            <v>43</v>
          </cell>
          <cell r="H828">
            <v>43</v>
          </cell>
          <cell r="I828">
            <v>48</v>
          </cell>
          <cell r="J828">
            <v>47</v>
          </cell>
          <cell r="K828">
            <v>58</v>
          </cell>
          <cell r="L828">
            <v>54</v>
          </cell>
          <cell r="M828">
            <v>55</v>
          </cell>
        </row>
        <row r="829">
          <cell r="A829">
            <v>5183136</v>
          </cell>
          <cell r="B829">
            <v>5115661</v>
          </cell>
          <cell r="C829">
            <v>4410</v>
          </cell>
          <cell r="D829">
            <v>7085074</v>
          </cell>
          <cell r="E829">
            <v>233</v>
          </cell>
          <cell r="F829">
            <v>202</v>
          </cell>
          <cell r="G829">
            <v>228</v>
          </cell>
          <cell r="H829">
            <v>208</v>
          </cell>
          <cell r="I829">
            <v>214</v>
          </cell>
          <cell r="J829">
            <v>212</v>
          </cell>
          <cell r="K829">
            <v>236</v>
          </cell>
          <cell r="L829">
            <v>229</v>
          </cell>
          <cell r="M829">
            <v>265</v>
          </cell>
        </row>
        <row r="830">
          <cell r="A830">
            <v>5183682</v>
          </cell>
          <cell r="B830">
            <v>5115934</v>
          </cell>
          <cell r="C830">
            <v>4410</v>
          </cell>
          <cell r="D830">
            <v>2206823</v>
          </cell>
          <cell r="E830">
            <v>233</v>
          </cell>
          <cell r="F830">
            <v>206</v>
          </cell>
          <cell r="G830">
            <v>200</v>
          </cell>
          <cell r="H830">
            <v>189</v>
          </cell>
          <cell r="I830">
            <v>273</v>
          </cell>
          <cell r="J830">
            <v>237</v>
          </cell>
          <cell r="K830">
            <v>251</v>
          </cell>
          <cell r="L830">
            <v>227</v>
          </cell>
          <cell r="M830">
            <v>233</v>
          </cell>
        </row>
        <row r="831">
          <cell r="A831">
            <v>5164458</v>
          </cell>
          <cell r="B831">
            <v>5106322</v>
          </cell>
          <cell r="C831">
            <v>4410</v>
          </cell>
          <cell r="E831">
            <v>422</v>
          </cell>
          <cell r="F831">
            <v>200</v>
          </cell>
          <cell r="G831">
            <v>190</v>
          </cell>
          <cell r="H831">
            <v>168</v>
          </cell>
          <cell r="I831">
            <v>219</v>
          </cell>
          <cell r="J831">
            <v>186</v>
          </cell>
          <cell r="K831">
            <v>196</v>
          </cell>
          <cell r="L831">
            <v>181</v>
          </cell>
          <cell r="M831">
            <v>187</v>
          </cell>
        </row>
        <row r="832">
          <cell r="A832">
            <v>5164868</v>
          </cell>
          <cell r="B832">
            <v>5106527</v>
          </cell>
          <cell r="C832">
            <v>4410</v>
          </cell>
          <cell r="D832">
            <v>31988455</v>
          </cell>
          <cell r="E832">
            <v>318</v>
          </cell>
          <cell r="F832">
            <v>253</v>
          </cell>
          <cell r="G832">
            <v>259</v>
          </cell>
          <cell r="H832">
            <v>246</v>
          </cell>
          <cell r="I832">
            <v>260</v>
          </cell>
          <cell r="J832">
            <v>250</v>
          </cell>
          <cell r="K832">
            <v>255</v>
          </cell>
          <cell r="L832">
            <v>260</v>
          </cell>
          <cell r="M832">
            <v>226</v>
          </cell>
        </row>
        <row r="833">
          <cell r="A833">
            <v>5164450</v>
          </cell>
          <cell r="B833">
            <v>5106318</v>
          </cell>
          <cell r="C833">
            <v>4410</v>
          </cell>
          <cell r="D833">
            <v>31988464</v>
          </cell>
          <cell r="E833">
            <v>20</v>
          </cell>
          <cell r="F833">
            <v>20</v>
          </cell>
          <cell r="G833">
            <v>16</v>
          </cell>
          <cell r="H833">
            <v>19</v>
          </cell>
          <cell r="I833">
            <v>19</v>
          </cell>
          <cell r="J833">
            <v>268</v>
          </cell>
          <cell r="K833">
            <v>274</v>
          </cell>
          <cell r="L833">
            <v>207</v>
          </cell>
          <cell r="M833">
            <v>270</v>
          </cell>
        </row>
        <row r="834">
          <cell r="A834">
            <v>5095464</v>
          </cell>
          <cell r="B834">
            <v>5071825</v>
          </cell>
          <cell r="C834">
            <v>4410</v>
          </cell>
          <cell r="D834">
            <v>31988462</v>
          </cell>
          <cell r="E834">
            <v>85</v>
          </cell>
          <cell r="F834">
            <v>60</v>
          </cell>
          <cell r="G834">
            <v>63</v>
          </cell>
          <cell r="H834">
            <v>64</v>
          </cell>
          <cell r="I834">
            <v>58</v>
          </cell>
          <cell r="J834">
            <v>78</v>
          </cell>
          <cell r="K834">
            <v>94</v>
          </cell>
          <cell r="L834">
            <v>104</v>
          </cell>
          <cell r="M834">
            <v>90</v>
          </cell>
        </row>
        <row r="835">
          <cell r="A835">
            <v>5183574</v>
          </cell>
          <cell r="B835">
            <v>5115880</v>
          </cell>
          <cell r="C835">
            <v>4410</v>
          </cell>
          <cell r="D835">
            <v>31987891</v>
          </cell>
          <cell r="E835">
            <v>564</v>
          </cell>
          <cell r="F835">
            <v>189</v>
          </cell>
          <cell r="G835">
            <v>86</v>
          </cell>
          <cell r="H835">
            <v>75</v>
          </cell>
          <cell r="I835">
            <v>76</v>
          </cell>
          <cell r="J835">
            <v>254</v>
          </cell>
          <cell r="K835">
            <v>255</v>
          </cell>
          <cell r="L835">
            <v>300</v>
          </cell>
          <cell r="M835">
            <v>303</v>
          </cell>
        </row>
        <row r="836">
          <cell r="A836">
            <v>5183640</v>
          </cell>
          <cell r="B836">
            <v>5115913</v>
          </cell>
          <cell r="C836">
            <v>4410</v>
          </cell>
          <cell r="D836">
            <v>31987889</v>
          </cell>
          <cell r="E836">
            <v>233</v>
          </cell>
          <cell r="F836">
            <v>206</v>
          </cell>
          <cell r="G836">
            <v>200</v>
          </cell>
          <cell r="H836">
            <v>189</v>
          </cell>
          <cell r="I836">
            <v>273</v>
          </cell>
          <cell r="J836">
            <v>367</v>
          </cell>
          <cell r="K836">
            <v>250</v>
          </cell>
          <cell r="L836">
            <v>233</v>
          </cell>
          <cell r="M836">
            <v>256</v>
          </cell>
        </row>
        <row r="837">
          <cell r="A837">
            <v>5183552</v>
          </cell>
          <cell r="B837">
            <v>5115869</v>
          </cell>
          <cell r="C837">
            <v>4410</v>
          </cell>
          <cell r="D837">
            <v>31987892</v>
          </cell>
          <cell r="E837">
            <v>313</v>
          </cell>
          <cell r="F837">
            <v>169</v>
          </cell>
          <cell r="G837">
            <v>362</v>
          </cell>
          <cell r="H837">
            <v>168</v>
          </cell>
          <cell r="I837">
            <v>193</v>
          </cell>
          <cell r="J837">
            <v>320</v>
          </cell>
          <cell r="K837">
            <v>172</v>
          </cell>
          <cell r="L837">
            <v>159</v>
          </cell>
          <cell r="M837">
            <v>171</v>
          </cell>
        </row>
        <row r="838">
          <cell r="A838">
            <v>5183702</v>
          </cell>
          <cell r="B838">
            <v>5115944</v>
          </cell>
          <cell r="C838">
            <v>4410</v>
          </cell>
          <cell r="D838">
            <v>31987888</v>
          </cell>
          <cell r="E838">
            <v>208</v>
          </cell>
          <cell r="F838">
            <v>192</v>
          </cell>
          <cell r="G838">
            <v>187</v>
          </cell>
          <cell r="H838">
            <v>175</v>
          </cell>
          <cell r="I838">
            <v>194</v>
          </cell>
          <cell r="J838">
            <v>167</v>
          </cell>
          <cell r="K838">
            <v>201</v>
          </cell>
          <cell r="L838">
            <v>166</v>
          </cell>
          <cell r="M838">
            <v>184</v>
          </cell>
        </row>
        <row r="839">
          <cell r="A839">
            <v>5183470</v>
          </cell>
          <cell r="B839">
            <v>5115828</v>
          </cell>
          <cell r="C839">
            <v>4410</v>
          </cell>
          <cell r="D839">
            <v>3518719</v>
          </cell>
          <cell r="E839">
            <v>140</v>
          </cell>
          <cell r="F839">
            <v>97</v>
          </cell>
          <cell r="G839">
            <v>165</v>
          </cell>
          <cell r="H839">
            <v>385</v>
          </cell>
          <cell r="I839">
            <v>228</v>
          </cell>
          <cell r="J839">
            <v>206</v>
          </cell>
          <cell r="K839">
            <v>204</v>
          </cell>
          <cell r="L839">
            <v>201</v>
          </cell>
          <cell r="M839">
            <v>220</v>
          </cell>
        </row>
        <row r="840">
          <cell r="A840">
            <v>5164434</v>
          </cell>
          <cell r="B840">
            <v>5106310</v>
          </cell>
          <cell r="C840">
            <v>4410</v>
          </cell>
          <cell r="D840">
            <v>10506324</v>
          </cell>
          <cell r="E840">
            <v>120</v>
          </cell>
          <cell r="F840">
            <v>157</v>
          </cell>
          <cell r="G840">
            <v>176</v>
          </cell>
          <cell r="H840">
            <v>191</v>
          </cell>
          <cell r="I840">
            <v>220</v>
          </cell>
          <cell r="J840">
            <v>119</v>
          </cell>
          <cell r="K840">
            <v>0</v>
          </cell>
          <cell r="L840">
            <v>135</v>
          </cell>
          <cell r="M840">
            <v>138</v>
          </cell>
        </row>
        <row r="841">
          <cell r="A841">
            <v>5164466</v>
          </cell>
          <cell r="B841">
            <v>5106326</v>
          </cell>
          <cell r="C841">
            <v>4410</v>
          </cell>
          <cell r="D841">
            <v>10505261</v>
          </cell>
          <cell r="E841">
            <v>744</v>
          </cell>
          <cell r="F841">
            <v>647</v>
          </cell>
          <cell r="G841">
            <v>301</v>
          </cell>
          <cell r="H841">
            <v>208</v>
          </cell>
          <cell r="I841">
            <v>148</v>
          </cell>
          <cell r="J841">
            <v>251</v>
          </cell>
          <cell r="K841">
            <v>236</v>
          </cell>
          <cell r="L841">
            <v>248</v>
          </cell>
          <cell r="M841">
            <v>318</v>
          </cell>
        </row>
        <row r="842">
          <cell r="A842">
            <v>5183598</v>
          </cell>
          <cell r="B842">
            <v>5115892</v>
          </cell>
          <cell r="C842">
            <v>4410</v>
          </cell>
          <cell r="D842">
            <v>5561062</v>
          </cell>
          <cell r="E842">
            <v>168</v>
          </cell>
          <cell r="F842">
            <v>152</v>
          </cell>
          <cell r="G842">
            <v>99</v>
          </cell>
          <cell r="H842">
            <v>127</v>
          </cell>
          <cell r="I842">
            <v>172</v>
          </cell>
          <cell r="J842">
            <v>175</v>
          </cell>
          <cell r="K842">
            <v>187</v>
          </cell>
          <cell r="L842">
            <v>156</v>
          </cell>
          <cell r="M842">
            <v>172</v>
          </cell>
        </row>
        <row r="843">
          <cell r="A843">
            <v>5164448</v>
          </cell>
          <cell r="B843">
            <v>5106317</v>
          </cell>
          <cell r="C843">
            <v>4410</v>
          </cell>
          <cell r="D843">
            <v>157318</v>
          </cell>
          <cell r="E843">
            <v>106</v>
          </cell>
          <cell r="F843">
            <v>53</v>
          </cell>
          <cell r="G843">
            <v>47</v>
          </cell>
          <cell r="H843">
            <v>95</v>
          </cell>
          <cell r="I843">
            <v>110</v>
          </cell>
          <cell r="J843">
            <v>126</v>
          </cell>
          <cell r="K843">
            <v>111</v>
          </cell>
          <cell r="L843">
            <v>84</v>
          </cell>
          <cell r="M843">
            <v>36</v>
          </cell>
        </row>
        <row r="844">
          <cell r="A844">
            <v>5164462</v>
          </cell>
          <cell r="B844">
            <v>5106324</v>
          </cell>
          <cell r="C844">
            <v>4410</v>
          </cell>
          <cell r="D844">
            <v>157297</v>
          </cell>
          <cell r="E844">
            <v>226</v>
          </cell>
          <cell r="F844">
            <v>179</v>
          </cell>
          <cell r="G844">
            <v>196</v>
          </cell>
          <cell r="H844">
            <v>180</v>
          </cell>
          <cell r="I844">
            <v>190</v>
          </cell>
          <cell r="J844">
            <v>175</v>
          </cell>
          <cell r="K844">
            <v>187</v>
          </cell>
          <cell r="L844">
            <v>179</v>
          </cell>
          <cell r="M844">
            <v>211</v>
          </cell>
        </row>
        <row r="845">
          <cell r="A845">
            <v>5164460</v>
          </cell>
          <cell r="B845">
            <v>5106323</v>
          </cell>
          <cell r="C845">
            <v>4410</v>
          </cell>
          <cell r="D845">
            <v>157390</v>
          </cell>
          <cell r="E845">
            <v>137</v>
          </cell>
          <cell r="F845">
            <v>111</v>
          </cell>
          <cell r="G845">
            <v>119</v>
          </cell>
          <cell r="H845">
            <v>111</v>
          </cell>
          <cell r="I845">
            <v>111</v>
          </cell>
          <cell r="J845">
            <v>65</v>
          </cell>
          <cell r="K845">
            <v>76</v>
          </cell>
          <cell r="L845">
            <v>106</v>
          </cell>
          <cell r="M845">
            <v>91</v>
          </cell>
        </row>
        <row r="846">
          <cell r="A846">
            <v>5164452</v>
          </cell>
          <cell r="B846">
            <v>5106319</v>
          </cell>
          <cell r="C846">
            <v>4410</v>
          </cell>
          <cell r="D846">
            <v>156867</v>
          </cell>
          <cell r="E846">
            <v>117</v>
          </cell>
          <cell r="F846">
            <v>88</v>
          </cell>
          <cell r="G846">
            <v>78</v>
          </cell>
          <cell r="H846">
            <v>112</v>
          </cell>
          <cell r="I846">
            <v>106</v>
          </cell>
          <cell r="J846">
            <v>112</v>
          </cell>
          <cell r="K846">
            <v>114</v>
          </cell>
          <cell r="L846">
            <v>115</v>
          </cell>
          <cell r="M846">
            <v>119</v>
          </cell>
        </row>
        <row r="847">
          <cell r="A847">
            <v>5183782</v>
          </cell>
          <cell r="B847">
            <v>5115984</v>
          </cell>
          <cell r="C847">
            <v>4410</v>
          </cell>
          <cell r="D847">
            <v>1871768</v>
          </cell>
          <cell r="E847">
            <v>68</v>
          </cell>
          <cell r="F847">
            <v>60</v>
          </cell>
          <cell r="G847">
            <v>60</v>
          </cell>
          <cell r="H847">
            <v>61</v>
          </cell>
          <cell r="I847">
            <v>61</v>
          </cell>
          <cell r="J847">
            <v>125</v>
          </cell>
          <cell r="K847">
            <v>170</v>
          </cell>
          <cell r="L847">
            <v>106</v>
          </cell>
          <cell r="M847">
            <v>0</v>
          </cell>
        </row>
        <row r="848">
          <cell r="A848">
            <v>5183744</v>
          </cell>
          <cell r="B848">
            <v>5115965</v>
          </cell>
          <cell r="C848">
            <v>4410</v>
          </cell>
          <cell r="D848">
            <v>1502202</v>
          </cell>
          <cell r="E848">
            <v>0</v>
          </cell>
          <cell r="F848">
            <v>155</v>
          </cell>
          <cell r="G848">
            <v>261</v>
          </cell>
          <cell r="H848">
            <v>246</v>
          </cell>
          <cell r="I848">
            <v>270</v>
          </cell>
          <cell r="J848">
            <v>229</v>
          </cell>
          <cell r="K848">
            <v>230</v>
          </cell>
          <cell r="L848">
            <v>211</v>
          </cell>
          <cell r="M848">
            <v>224</v>
          </cell>
        </row>
        <row r="849">
          <cell r="A849">
            <v>5164468</v>
          </cell>
          <cell r="B849">
            <v>5106327</v>
          </cell>
          <cell r="C849">
            <v>4410</v>
          </cell>
          <cell r="D849">
            <v>1908888</v>
          </cell>
          <cell r="E849">
            <v>384</v>
          </cell>
          <cell r="F849">
            <v>274</v>
          </cell>
          <cell r="G849">
            <v>306</v>
          </cell>
          <cell r="H849">
            <v>309</v>
          </cell>
          <cell r="I849">
            <v>216</v>
          </cell>
          <cell r="J849">
            <v>170</v>
          </cell>
          <cell r="K849">
            <v>187</v>
          </cell>
          <cell r="L849">
            <v>190</v>
          </cell>
          <cell r="M849">
            <v>183</v>
          </cell>
        </row>
        <row r="850">
          <cell r="A850">
            <v>5183428</v>
          </cell>
          <cell r="B850">
            <v>5115807</v>
          </cell>
          <cell r="C850">
            <v>4410</v>
          </cell>
          <cell r="D850">
            <v>1836958</v>
          </cell>
          <cell r="E850">
            <v>143</v>
          </cell>
          <cell r="F850">
            <v>153</v>
          </cell>
          <cell r="G850">
            <v>115</v>
          </cell>
          <cell r="H850">
            <v>102</v>
          </cell>
          <cell r="I850">
            <v>169</v>
          </cell>
          <cell r="J850">
            <v>241</v>
          </cell>
          <cell r="K850">
            <v>285</v>
          </cell>
          <cell r="L850">
            <v>219</v>
          </cell>
          <cell r="M850">
            <v>141</v>
          </cell>
        </row>
        <row r="851">
          <cell r="A851">
            <v>5183488</v>
          </cell>
          <cell r="B851">
            <v>5115837</v>
          </cell>
          <cell r="C851">
            <v>4410</v>
          </cell>
          <cell r="D851">
            <v>1502206</v>
          </cell>
          <cell r="E851">
            <v>0</v>
          </cell>
          <cell r="F851">
            <v>0</v>
          </cell>
          <cell r="G851">
            <v>145</v>
          </cell>
          <cell r="H851">
            <v>54</v>
          </cell>
          <cell r="I851">
            <v>100</v>
          </cell>
          <cell r="J851">
            <v>96</v>
          </cell>
          <cell r="K851">
            <v>141</v>
          </cell>
          <cell r="L851">
            <v>143</v>
          </cell>
          <cell r="M851">
            <v>115</v>
          </cell>
        </row>
        <row r="852">
          <cell r="A852">
            <v>5183724</v>
          </cell>
          <cell r="B852">
            <v>5115955</v>
          </cell>
          <cell r="C852">
            <v>4410</v>
          </cell>
          <cell r="D852">
            <v>1728446</v>
          </cell>
          <cell r="E852">
            <v>36</v>
          </cell>
          <cell r="F852">
            <v>26</v>
          </cell>
          <cell r="G852">
            <v>27</v>
          </cell>
          <cell r="H852">
            <v>26</v>
          </cell>
          <cell r="I852">
            <v>192</v>
          </cell>
          <cell r="J852">
            <v>34</v>
          </cell>
          <cell r="K852">
            <v>6</v>
          </cell>
          <cell r="L852">
            <v>50</v>
          </cell>
          <cell r="M852">
            <v>57</v>
          </cell>
        </row>
        <row r="853">
          <cell r="A853">
            <v>5183510</v>
          </cell>
          <cell r="B853">
            <v>5115848</v>
          </cell>
          <cell r="C853">
            <v>4410</v>
          </cell>
          <cell r="D853">
            <v>1728445</v>
          </cell>
          <cell r="E853">
            <v>230</v>
          </cell>
          <cell r="F853">
            <v>86</v>
          </cell>
          <cell r="G853">
            <v>0</v>
          </cell>
          <cell r="H853">
            <v>0</v>
          </cell>
          <cell r="I853">
            <v>39</v>
          </cell>
          <cell r="J853">
            <v>100</v>
          </cell>
          <cell r="K853">
            <v>94</v>
          </cell>
          <cell r="L853">
            <v>70</v>
          </cell>
          <cell r="M853">
            <v>21</v>
          </cell>
        </row>
        <row r="854">
          <cell r="A854">
            <v>5183766</v>
          </cell>
          <cell r="B854">
            <v>5115976</v>
          </cell>
          <cell r="C854">
            <v>4410</v>
          </cell>
          <cell r="D854">
            <v>3362565</v>
          </cell>
          <cell r="E854">
            <v>244</v>
          </cell>
          <cell r="F854">
            <v>158</v>
          </cell>
          <cell r="G854">
            <v>210</v>
          </cell>
          <cell r="H854">
            <v>230</v>
          </cell>
          <cell r="I854">
            <v>226</v>
          </cell>
          <cell r="J854">
            <v>187</v>
          </cell>
          <cell r="K854">
            <v>215</v>
          </cell>
          <cell r="L854">
            <v>193</v>
          </cell>
          <cell r="M854">
            <v>199</v>
          </cell>
        </row>
        <row r="855">
          <cell r="A855">
            <v>5164856</v>
          </cell>
          <cell r="B855">
            <v>5106521</v>
          </cell>
          <cell r="C855">
            <v>4410</v>
          </cell>
          <cell r="D855">
            <v>6829643</v>
          </cell>
          <cell r="E855">
            <v>269</v>
          </cell>
          <cell r="F855">
            <v>228</v>
          </cell>
          <cell r="G855">
            <v>246</v>
          </cell>
          <cell r="H855">
            <v>243</v>
          </cell>
          <cell r="I855">
            <v>230</v>
          </cell>
          <cell r="J855">
            <v>196</v>
          </cell>
          <cell r="K855">
            <v>278</v>
          </cell>
          <cell r="L855">
            <v>257</v>
          </cell>
          <cell r="M855">
            <v>301</v>
          </cell>
        </row>
        <row r="856">
          <cell r="A856">
            <v>5164858</v>
          </cell>
          <cell r="B856">
            <v>5106522</v>
          </cell>
          <cell r="C856">
            <v>4410</v>
          </cell>
          <cell r="D856">
            <v>6824620</v>
          </cell>
          <cell r="E856">
            <v>242</v>
          </cell>
          <cell r="F856">
            <v>196</v>
          </cell>
          <cell r="G856">
            <v>217</v>
          </cell>
          <cell r="H856">
            <v>219</v>
          </cell>
          <cell r="I856">
            <v>216</v>
          </cell>
          <cell r="J856">
            <v>181</v>
          </cell>
          <cell r="K856">
            <v>242</v>
          </cell>
          <cell r="L856">
            <v>216</v>
          </cell>
          <cell r="M856">
            <v>210</v>
          </cell>
        </row>
        <row r="857">
          <cell r="A857">
            <v>5164860</v>
          </cell>
          <cell r="B857">
            <v>5106523</v>
          </cell>
          <cell r="C857">
            <v>4410</v>
          </cell>
          <cell r="D857">
            <v>6826641</v>
          </cell>
          <cell r="E857">
            <v>65</v>
          </cell>
          <cell r="F857">
            <v>66</v>
          </cell>
          <cell r="G857">
            <v>91</v>
          </cell>
          <cell r="H857">
            <v>293</v>
          </cell>
          <cell r="I857">
            <v>297</v>
          </cell>
          <cell r="J857">
            <v>232</v>
          </cell>
          <cell r="K857">
            <v>278</v>
          </cell>
          <cell r="L857">
            <v>244</v>
          </cell>
          <cell r="M857">
            <v>253</v>
          </cell>
        </row>
        <row r="858">
          <cell r="A858">
            <v>5164864</v>
          </cell>
          <cell r="B858">
            <v>5106525</v>
          </cell>
          <cell r="C858">
            <v>4410</v>
          </cell>
          <cell r="D858">
            <v>2184403</v>
          </cell>
          <cell r="E858">
            <v>162</v>
          </cell>
          <cell r="F858">
            <v>129</v>
          </cell>
          <cell r="G858">
            <v>199</v>
          </cell>
          <cell r="H858">
            <v>244</v>
          </cell>
          <cell r="I858">
            <v>231</v>
          </cell>
          <cell r="J858">
            <v>238</v>
          </cell>
          <cell r="K858">
            <v>275</v>
          </cell>
          <cell r="L858">
            <v>224</v>
          </cell>
          <cell r="M858">
            <v>243</v>
          </cell>
        </row>
        <row r="859">
          <cell r="A859">
            <v>5164456</v>
          </cell>
          <cell r="B859">
            <v>5106321</v>
          </cell>
          <cell r="C859">
            <v>4410</v>
          </cell>
          <cell r="D859">
            <v>6823783</v>
          </cell>
          <cell r="E859">
            <v>149</v>
          </cell>
          <cell r="F859">
            <v>129</v>
          </cell>
          <cell r="G859">
            <v>130</v>
          </cell>
          <cell r="H859">
            <v>141</v>
          </cell>
          <cell r="I859">
            <v>118</v>
          </cell>
          <cell r="J859">
            <v>68</v>
          </cell>
          <cell r="K859">
            <v>134</v>
          </cell>
          <cell r="L859">
            <v>144</v>
          </cell>
          <cell r="M859">
            <v>138</v>
          </cell>
        </row>
        <row r="860">
          <cell r="A860">
            <v>5183378</v>
          </cell>
          <cell r="B860">
            <v>5115782</v>
          </cell>
          <cell r="C860">
            <v>4410</v>
          </cell>
          <cell r="D860">
            <v>2181883</v>
          </cell>
          <cell r="E860">
            <v>48</v>
          </cell>
          <cell r="F860">
            <v>0</v>
          </cell>
          <cell r="G860">
            <v>28</v>
          </cell>
          <cell r="H860">
            <v>1</v>
          </cell>
          <cell r="I860">
            <v>22</v>
          </cell>
          <cell r="J860">
            <v>20</v>
          </cell>
          <cell r="K860">
            <v>0</v>
          </cell>
          <cell r="L860">
            <v>25</v>
          </cell>
          <cell r="M860">
            <v>108</v>
          </cell>
        </row>
        <row r="861">
          <cell r="A861">
            <v>5183390</v>
          </cell>
          <cell r="B861">
            <v>5115788</v>
          </cell>
          <cell r="C861">
            <v>4410</v>
          </cell>
          <cell r="D861">
            <v>7115437</v>
          </cell>
          <cell r="E861">
            <v>111</v>
          </cell>
          <cell r="F861">
            <v>97</v>
          </cell>
          <cell r="G861">
            <v>109</v>
          </cell>
          <cell r="H861">
            <v>109</v>
          </cell>
          <cell r="I861">
            <v>107</v>
          </cell>
          <cell r="J861">
            <v>98</v>
          </cell>
          <cell r="K861">
            <v>89</v>
          </cell>
          <cell r="L861">
            <v>117</v>
          </cell>
          <cell r="M861">
            <v>230</v>
          </cell>
        </row>
        <row r="862">
          <cell r="A862">
            <v>5183618</v>
          </cell>
          <cell r="B862">
            <v>5115902</v>
          </cell>
          <cell r="C862">
            <v>4410</v>
          </cell>
          <cell r="D862">
            <v>7104501</v>
          </cell>
          <cell r="E862">
            <v>383</v>
          </cell>
          <cell r="F862">
            <v>319</v>
          </cell>
          <cell r="G862">
            <v>332</v>
          </cell>
          <cell r="H862">
            <v>344</v>
          </cell>
          <cell r="I862">
            <v>357</v>
          </cell>
          <cell r="J862">
            <v>345</v>
          </cell>
          <cell r="K862">
            <v>357</v>
          </cell>
          <cell r="L862">
            <v>376</v>
          </cell>
          <cell r="M862">
            <v>340</v>
          </cell>
        </row>
        <row r="863">
          <cell r="A863">
            <v>5183532</v>
          </cell>
          <cell r="B863">
            <v>5115859</v>
          </cell>
          <cell r="C863">
            <v>4410</v>
          </cell>
          <cell r="D863">
            <v>7729310</v>
          </cell>
          <cell r="E863">
            <v>173</v>
          </cell>
          <cell r="F863">
            <v>178</v>
          </cell>
          <cell r="G863">
            <v>372</v>
          </cell>
          <cell r="H863">
            <v>230</v>
          </cell>
          <cell r="I863">
            <v>495</v>
          </cell>
          <cell r="J863">
            <v>211</v>
          </cell>
          <cell r="K863">
            <v>197</v>
          </cell>
          <cell r="L863">
            <v>193</v>
          </cell>
          <cell r="M863">
            <v>194</v>
          </cell>
        </row>
        <row r="864">
          <cell r="A864">
            <v>5164862</v>
          </cell>
          <cell r="B864">
            <v>5106524</v>
          </cell>
          <cell r="C864">
            <v>4410</v>
          </cell>
          <cell r="D864">
            <v>3526783</v>
          </cell>
          <cell r="E864">
            <v>194</v>
          </cell>
          <cell r="F864">
            <v>202</v>
          </cell>
          <cell r="G864">
            <v>31</v>
          </cell>
          <cell r="H864">
            <v>221</v>
          </cell>
          <cell r="I864">
            <v>330</v>
          </cell>
          <cell r="J864">
            <v>266</v>
          </cell>
          <cell r="K864">
            <v>281</v>
          </cell>
          <cell r="L864">
            <v>311</v>
          </cell>
          <cell r="M864">
            <v>328</v>
          </cell>
        </row>
        <row r="865">
          <cell r="A865">
            <v>5183410</v>
          </cell>
          <cell r="B865">
            <v>5115798</v>
          </cell>
          <cell r="C865">
            <v>4410</v>
          </cell>
          <cell r="D865">
            <v>443759</v>
          </cell>
          <cell r="E865">
            <v>141</v>
          </cell>
          <cell r="F865">
            <v>55</v>
          </cell>
          <cell r="G865">
            <v>34</v>
          </cell>
          <cell r="H865">
            <v>32</v>
          </cell>
          <cell r="I865">
            <v>88</v>
          </cell>
          <cell r="J865">
            <v>61</v>
          </cell>
          <cell r="K865">
            <v>53</v>
          </cell>
          <cell r="L865">
            <v>45</v>
          </cell>
          <cell r="M865">
            <v>84</v>
          </cell>
        </row>
        <row r="866">
          <cell r="A866">
            <v>5164446</v>
          </cell>
          <cell r="B866">
            <v>5106316</v>
          </cell>
          <cell r="C866">
            <v>4410</v>
          </cell>
          <cell r="D866">
            <v>2511582</v>
          </cell>
          <cell r="E866">
            <v>244</v>
          </cell>
          <cell r="F866">
            <v>203</v>
          </cell>
          <cell r="G866">
            <v>195</v>
          </cell>
          <cell r="H866">
            <v>222</v>
          </cell>
          <cell r="I866">
            <v>222</v>
          </cell>
          <cell r="J866">
            <v>196</v>
          </cell>
          <cell r="K866">
            <v>216</v>
          </cell>
          <cell r="L866">
            <v>217</v>
          </cell>
          <cell r="M866">
            <v>220</v>
          </cell>
        </row>
        <row r="867">
          <cell r="A867">
            <v>5164440</v>
          </cell>
          <cell r="B867">
            <v>5106313</v>
          </cell>
          <cell r="C867">
            <v>4410</v>
          </cell>
          <cell r="D867">
            <v>2511576</v>
          </cell>
          <cell r="E867">
            <v>237</v>
          </cell>
          <cell r="F867">
            <v>193</v>
          </cell>
          <cell r="G867">
            <v>191</v>
          </cell>
          <cell r="H867">
            <v>177</v>
          </cell>
          <cell r="I867">
            <v>162</v>
          </cell>
          <cell r="J867">
            <v>166</v>
          </cell>
          <cell r="K867">
            <v>253</v>
          </cell>
          <cell r="L867">
            <v>246</v>
          </cell>
          <cell r="M867">
            <v>230</v>
          </cell>
        </row>
        <row r="868">
          <cell r="A868">
            <v>5164430</v>
          </cell>
          <cell r="B868">
            <v>5106308</v>
          </cell>
          <cell r="C868">
            <v>4410</v>
          </cell>
          <cell r="D868">
            <v>2511577</v>
          </cell>
          <cell r="E868">
            <v>372</v>
          </cell>
          <cell r="F868">
            <v>363</v>
          </cell>
          <cell r="G868">
            <v>337</v>
          </cell>
          <cell r="H868">
            <v>360</v>
          </cell>
          <cell r="I868">
            <v>204</v>
          </cell>
          <cell r="J868">
            <v>122</v>
          </cell>
          <cell r="K868">
            <v>326</v>
          </cell>
          <cell r="L868">
            <v>350</v>
          </cell>
          <cell r="M868">
            <v>298</v>
          </cell>
        </row>
        <row r="869">
          <cell r="A869">
            <v>5164444</v>
          </cell>
          <cell r="B869">
            <v>5106315</v>
          </cell>
          <cell r="C869">
            <v>4410</v>
          </cell>
          <cell r="D869">
            <v>2511562</v>
          </cell>
          <cell r="E869">
            <v>255</v>
          </cell>
          <cell r="F869">
            <v>179</v>
          </cell>
          <cell r="G869">
            <v>209</v>
          </cell>
          <cell r="H869">
            <v>178</v>
          </cell>
          <cell r="I869">
            <v>209</v>
          </cell>
          <cell r="J869">
            <v>179</v>
          </cell>
          <cell r="K869">
            <v>166</v>
          </cell>
          <cell r="L869">
            <v>180</v>
          </cell>
          <cell r="M869">
            <v>182</v>
          </cell>
        </row>
        <row r="870">
          <cell r="A870">
            <v>5164442</v>
          </cell>
          <cell r="B870">
            <v>5106314</v>
          </cell>
          <cell r="C870">
            <v>4410</v>
          </cell>
          <cell r="D870">
            <v>2511570</v>
          </cell>
          <cell r="E870">
            <v>168</v>
          </cell>
          <cell r="F870">
            <v>135</v>
          </cell>
          <cell r="G870">
            <v>124</v>
          </cell>
          <cell r="H870">
            <v>166</v>
          </cell>
          <cell r="I870">
            <v>188</v>
          </cell>
          <cell r="J870">
            <v>138</v>
          </cell>
          <cell r="K870">
            <v>169</v>
          </cell>
          <cell r="L870">
            <v>170</v>
          </cell>
          <cell r="M870">
            <v>174</v>
          </cell>
        </row>
        <row r="871">
          <cell r="A871">
            <v>5164438</v>
          </cell>
          <cell r="B871">
            <v>5106312</v>
          </cell>
          <cell r="C871">
            <v>4410</v>
          </cell>
          <cell r="D871">
            <v>2510917</v>
          </cell>
          <cell r="E871">
            <v>433</v>
          </cell>
          <cell r="F871">
            <v>204</v>
          </cell>
          <cell r="G871">
            <v>84</v>
          </cell>
          <cell r="H871">
            <v>332</v>
          </cell>
          <cell r="I871">
            <v>281</v>
          </cell>
          <cell r="J871">
            <v>313</v>
          </cell>
          <cell r="K871">
            <v>381</v>
          </cell>
          <cell r="L871">
            <v>389</v>
          </cell>
          <cell r="M871">
            <v>450</v>
          </cell>
        </row>
        <row r="872">
          <cell r="A872">
            <v>5164436</v>
          </cell>
          <cell r="B872">
            <v>5106311</v>
          </cell>
          <cell r="C872">
            <v>4410</v>
          </cell>
          <cell r="D872">
            <v>2510931</v>
          </cell>
          <cell r="E872">
            <v>365</v>
          </cell>
          <cell r="F872">
            <v>277</v>
          </cell>
          <cell r="G872">
            <v>300</v>
          </cell>
          <cell r="H872">
            <v>289</v>
          </cell>
          <cell r="I872">
            <v>310</v>
          </cell>
          <cell r="J872">
            <v>252</v>
          </cell>
          <cell r="K872">
            <v>242</v>
          </cell>
          <cell r="L872">
            <v>216</v>
          </cell>
          <cell r="M872">
            <v>312</v>
          </cell>
        </row>
        <row r="873">
          <cell r="A873">
            <v>5164464</v>
          </cell>
          <cell r="B873">
            <v>5106325</v>
          </cell>
          <cell r="C873">
            <v>4410</v>
          </cell>
          <cell r="D873">
            <v>444027</v>
          </cell>
          <cell r="E873">
            <v>192</v>
          </cell>
          <cell r="F873">
            <v>73</v>
          </cell>
          <cell r="G873">
            <v>70</v>
          </cell>
          <cell r="H873">
            <v>90</v>
          </cell>
          <cell r="I873">
            <v>123</v>
          </cell>
          <cell r="J873">
            <v>123</v>
          </cell>
          <cell r="K873">
            <v>128</v>
          </cell>
          <cell r="L873">
            <v>182</v>
          </cell>
          <cell r="M873">
            <v>197</v>
          </cell>
        </row>
        <row r="874">
          <cell r="A874">
            <v>5183450</v>
          </cell>
          <cell r="B874">
            <v>5115818</v>
          </cell>
          <cell r="C874">
            <v>4410</v>
          </cell>
          <cell r="D874">
            <v>443779</v>
          </cell>
          <cell r="E874">
            <v>116</v>
          </cell>
          <cell r="F874">
            <v>94</v>
          </cell>
          <cell r="G874">
            <v>94</v>
          </cell>
          <cell r="H874">
            <v>94</v>
          </cell>
          <cell r="I874">
            <v>97</v>
          </cell>
          <cell r="J874">
            <v>88</v>
          </cell>
          <cell r="K874">
            <v>102</v>
          </cell>
          <cell r="L874">
            <v>95</v>
          </cell>
          <cell r="M874">
            <v>103</v>
          </cell>
        </row>
        <row r="875">
          <cell r="A875">
            <v>5183662</v>
          </cell>
          <cell r="B875">
            <v>5115924</v>
          </cell>
          <cell r="C875">
            <v>4410</v>
          </cell>
          <cell r="D875">
            <v>443778</v>
          </cell>
          <cell r="E875">
            <v>104</v>
          </cell>
          <cell r="F875">
            <v>107</v>
          </cell>
          <cell r="G875">
            <v>116</v>
          </cell>
          <cell r="H875">
            <v>115</v>
          </cell>
          <cell r="I875">
            <v>117</v>
          </cell>
          <cell r="J875">
            <v>189</v>
          </cell>
          <cell r="K875">
            <v>257</v>
          </cell>
          <cell r="L875">
            <v>220</v>
          </cell>
          <cell r="M875">
            <v>266</v>
          </cell>
        </row>
        <row r="876">
          <cell r="A876">
            <v>5184464</v>
          </cell>
          <cell r="B876">
            <v>5116325</v>
          </cell>
          <cell r="C876">
            <v>4410</v>
          </cell>
          <cell r="D876">
            <v>3651294</v>
          </cell>
          <cell r="E876">
            <v>142</v>
          </cell>
          <cell r="F876">
            <v>130</v>
          </cell>
          <cell r="G876">
            <v>120</v>
          </cell>
          <cell r="H876">
            <v>216</v>
          </cell>
          <cell r="I876">
            <v>260</v>
          </cell>
          <cell r="J876">
            <v>211</v>
          </cell>
          <cell r="K876">
            <v>186</v>
          </cell>
          <cell r="L876">
            <v>158</v>
          </cell>
          <cell r="M876">
            <v>183</v>
          </cell>
        </row>
        <row r="877">
          <cell r="A877">
            <v>5164840</v>
          </cell>
          <cell r="B877">
            <v>5106513</v>
          </cell>
          <cell r="C877">
            <v>4410</v>
          </cell>
          <cell r="D877">
            <v>32997471</v>
          </cell>
          <cell r="E877">
            <v>144</v>
          </cell>
          <cell r="F877">
            <v>77</v>
          </cell>
          <cell r="G877">
            <v>254</v>
          </cell>
          <cell r="H877">
            <v>98</v>
          </cell>
          <cell r="I877">
            <v>131</v>
          </cell>
          <cell r="J877">
            <v>167</v>
          </cell>
          <cell r="K877">
            <v>133</v>
          </cell>
          <cell r="L877">
            <v>232</v>
          </cell>
          <cell r="M877">
            <v>97</v>
          </cell>
        </row>
        <row r="878">
          <cell r="A878">
            <v>5164502</v>
          </cell>
          <cell r="B878">
            <v>5106344</v>
          </cell>
          <cell r="C878">
            <v>4410</v>
          </cell>
          <cell r="D878">
            <v>31981487</v>
          </cell>
          <cell r="E878">
            <v>32</v>
          </cell>
          <cell r="F878">
            <v>33</v>
          </cell>
          <cell r="G878">
            <v>145</v>
          </cell>
          <cell r="H878">
            <v>60</v>
          </cell>
          <cell r="I878">
            <v>75</v>
          </cell>
          <cell r="J878">
            <v>123</v>
          </cell>
          <cell r="K878">
            <v>168</v>
          </cell>
          <cell r="L878">
            <v>97</v>
          </cell>
          <cell r="M878">
            <v>141</v>
          </cell>
        </row>
        <row r="879">
          <cell r="A879">
            <v>5164488</v>
          </cell>
          <cell r="B879">
            <v>5106337</v>
          </cell>
          <cell r="C879">
            <v>4410</v>
          </cell>
          <cell r="D879">
            <v>31116222</v>
          </cell>
          <cell r="E879">
            <v>344</v>
          </cell>
          <cell r="F879">
            <v>152</v>
          </cell>
          <cell r="G879">
            <v>148</v>
          </cell>
          <cell r="H879">
            <v>144</v>
          </cell>
          <cell r="I879">
            <v>213</v>
          </cell>
          <cell r="J879">
            <v>164</v>
          </cell>
          <cell r="K879">
            <v>177</v>
          </cell>
          <cell r="L879">
            <v>176</v>
          </cell>
          <cell r="M879">
            <v>177</v>
          </cell>
        </row>
        <row r="880">
          <cell r="A880">
            <v>5164474</v>
          </cell>
          <cell r="B880">
            <v>5106330</v>
          </cell>
          <cell r="C880">
            <v>4410</v>
          </cell>
          <cell r="D880">
            <v>31116220</v>
          </cell>
          <cell r="E880">
            <v>84</v>
          </cell>
          <cell r="F880">
            <v>6</v>
          </cell>
          <cell r="G880">
            <v>9</v>
          </cell>
          <cell r="H880">
            <v>4</v>
          </cell>
          <cell r="I880">
            <v>9</v>
          </cell>
          <cell r="J880">
            <v>94</v>
          </cell>
          <cell r="K880">
            <v>35</v>
          </cell>
          <cell r="L880">
            <v>338</v>
          </cell>
          <cell r="M880">
            <v>230</v>
          </cell>
        </row>
        <row r="881">
          <cell r="A881">
            <v>5184036</v>
          </cell>
          <cell r="B881">
            <v>5116111</v>
          </cell>
          <cell r="C881">
            <v>4410</v>
          </cell>
          <cell r="D881">
            <v>31987902</v>
          </cell>
          <cell r="E881">
            <v>208</v>
          </cell>
          <cell r="F881">
            <v>186</v>
          </cell>
          <cell r="G881">
            <v>184</v>
          </cell>
          <cell r="H881">
            <v>190</v>
          </cell>
          <cell r="I881">
            <v>213</v>
          </cell>
          <cell r="J881">
            <v>186</v>
          </cell>
          <cell r="K881">
            <v>189</v>
          </cell>
          <cell r="L881">
            <v>199</v>
          </cell>
          <cell r="M881">
            <v>217</v>
          </cell>
        </row>
        <row r="882">
          <cell r="A882">
            <v>5164470</v>
          </cell>
          <cell r="B882">
            <v>5106328</v>
          </cell>
          <cell r="C882">
            <v>4410</v>
          </cell>
          <cell r="D882">
            <v>3519578</v>
          </cell>
          <cell r="E882">
            <v>287</v>
          </cell>
          <cell r="F882">
            <v>234</v>
          </cell>
          <cell r="G882">
            <v>111</v>
          </cell>
          <cell r="H882">
            <v>297</v>
          </cell>
          <cell r="I882">
            <v>220</v>
          </cell>
          <cell r="J882">
            <v>201</v>
          </cell>
          <cell r="K882">
            <v>240</v>
          </cell>
          <cell r="L882">
            <v>206</v>
          </cell>
          <cell r="M882">
            <v>210</v>
          </cell>
        </row>
        <row r="883">
          <cell r="A883">
            <v>5164428</v>
          </cell>
          <cell r="B883">
            <v>5106307</v>
          </cell>
          <cell r="C883">
            <v>4410</v>
          </cell>
          <cell r="D883">
            <v>3530549</v>
          </cell>
          <cell r="E883">
            <v>162</v>
          </cell>
          <cell r="F883">
            <v>137</v>
          </cell>
          <cell r="G883">
            <v>132</v>
          </cell>
          <cell r="H883">
            <v>230</v>
          </cell>
          <cell r="I883">
            <v>207</v>
          </cell>
          <cell r="J883">
            <v>158</v>
          </cell>
          <cell r="K883">
            <v>170</v>
          </cell>
          <cell r="L883">
            <v>176</v>
          </cell>
          <cell r="M883">
            <v>189</v>
          </cell>
        </row>
        <row r="884">
          <cell r="A884">
            <v>5164472</v>
          </cell>
          <cell r="B884">
            <v>5106329</v>
          </cell>
          <cell r="C884">
            <v>4410</v>
          </cell>
          <cell r="D884">
            <v>10409345</v>
          </cell>
          <cell r="E884">
            <v>220</v>
          </cell>
          <cell r="F884">
            <v>276</v>
          </cell>
          <cell r="G884">
            <v>185</v>
          </cell>
          <cell r="H884">
            <v>195</v>
          </cell>
          <cell r="I884">
            <v>213</v>
          </cell>
          <cell r="J884">
            <v>204</v>
          </cell>
          <cell r="K884">
            <v>200</v>
          </cell>
          <cell r="L884">
            <v>182</v>
          </cell>
          <cell r="M884">
            <v>186</v>
          </cell>
        </row>
        <row r="885">
          <cell r="A885">
            <v>5164486</v>
          </cell>
          <cell r="B885">
            <v>5106336</v>
          </cell>
          <cell r="C885">
            <v>4410</v>
          </cell>
          <cell r="D885">
            <v>1692062</v>
          </cell>
          <cell r="E885">
            <v>146</v>
          </cell>
          <cell r="F885">
            <v>0</v>
          </cell>
          <cell r="G885">
            <v>145</v>
          </cell>
          <cell r="H885">
            <v>146</v>
          </cell>
          <cell r="I885">
            <v>153</v>
          </cell>
          <cell r="J885">
            <v>135</v>
          </cell>
          <cell r="K885">
            <v>179</v>
          </cell>
          <cell r="L885">
            <v>68</v>
          </cell>
          <cell r="M885">
            <v>119</v>
          </cell>
        </row>
        <row r="886">
          <cell r="A886">
            <v>5164398</v>
          </cell>
          <cell r="B886">
            <v>5106292</v>
          </cell>
          <cell r="C886">
            <v>4410</v>
          </cell>
          <cell r="D886">
            <v>218322</v>
          </cell>
          <cell r="E886">
            <v>226</v>
          </cell>
          <cell r="F886">
            <v>195</v>
          </cell>
          <cell r="G886">
            <v>220</v>
          </cell>
          <cell r="H886">
            <v>223</v>
          </cell>
          <cell r="I886">
            <v>242</v>
          </cell>
          <cell r="J886">
            <v>224</v>
          </cell>
          <cell r="K886">
            <v>232</v>
          </cell>
          <cell r="L886">
            <v>212</v>
          </cell>
          <cell r="M886">
            <v>117</v>
          </cell>
        </row>
        <row r="887">
          <cell r="A887">
            <v>5164400</v>
          </cell>
          <cell r="B887">
            <v>5106293</v>
          </cell>
          <cell r="C887">
            <v>4410</v>
          </cell>
          <cell r="D887">
            <v>209721</v>
          </cell>
          <cell r="E887">
            <v>283</v>
          </cell>
          <cell r="F887">
            <v>250</v>
          </cell>
          <cell r="G887">
            <v>310</v>
          </cell>
          <cell r="H887">
            <v>196</v>
          </cell>
          <cell r="I887">
            <v>268</v>
          </cell>
          <cell r="J887">
            <v>211</v>
          </cell>
          <cell r="K887">
            <v>939</v>
          </cell>
          <cell r="L887">
            <v>201</v>
          </cell>
          <cell r="M887">
            <v>229</v>
          </cell>
        </row>
        <row r="888">
          <cell r="A888">
            <v>5164498</v>
          </cell>
          <cell r="B888">
            <v>5106342</v>
          </cell>
          <cell r="C888">
            <v>4410</v>
          </cell>
          <cell r="D888">
            <v>157302</v>
          </cell>
          <cell r="E888">
            <v>66</v>
          </cell>
          <cell r="F888">
            <v>35</v>
          </cell>
          <cell r="G888">
            <v>127</v>
          </cell>
          <cell r="H888">
            <v>184</v>
          </cell>
          <cell r="I888">
            <v>212</v>
          </cell>
          <cell r="J888">
            <v>197</v>
          </cell>
          <cell r="K888">
            <v>170</v>
          </cell>
          <cell r="L888">
            <v>148</v>
          </cell>
          <cell r="M888">
            <v>128</v>
          </cell>
        </row>
        <row r="889">
          <cell r="A889">
            <v>5164478</v>
          </cell>
          <cell r="B889">
            <v>5106332</v>
          </cell>
          <cell r="C889">
            <v>4410</v>
          </cell>
          <cell r="D889">
            <v>156841</v>
          </cell>
          <cell r="E889">
            <v>265</v>
          </cell>
          <cell r="F889">
            <v>209</v>
          </cell>
          <cell r="G889">
            <v>237</v>
          </cell>
          <cell r="H889">
            <v>226</v>
          </cell>
          <cell r="I889">
            <v>227</v>
          </cell>
          <cell r="J889">
            <v>223</v>
          </cell>
          <cell r="K889">
            <v>252</v>
          </cell>
          <cell r="L889">
            <v>257</v>
          </cell>
          <cell r="M889">
            <v>244</v>
          </cell>
        </row>
        <row r="890">
          <cell r="A890">
            <v>5183910</v>
          </cell>
          <cell r="B890">
            <v>5116048</v>
          </cell>
          <cell r="C890">
            <v>4410</v>
          </cell>
          <cell r="D890">
            <v>358969</v>
          </cell>
          <cell r="E890">
            <v>87</v>
          </cell>
          <cell r="F890">
            <v>109</v>
          </cell>
          <cell r="G890">
            <v>106</v>
          </cell>
          <cell r="H890">
            <v>213</v>
          </cell>
          <cell r="I890">
            <v>150</v>
          </cell>
          <cell r="J890">
            <v>178</v>
          </cell>
          <cell r="K890">
            <v>100</v>
          </cell>
          <cell r="L890">
            <v>125</v>
          </cell>
          <cell r="M890">
            <v>97</v>
          </cell>
        </row>
        <row r="891">
          <cell r="A891">
            <v>5184530</v>
          </cell>
          <cell r="B891">
            <v>5116358</v>
          </cell>
          <cell r="C891">
            <v>4410</v>
          </cell>
          <cell r="D891">
            <v>16008613</v>
          </cell>
          <cell r="E891">
            <v>341</v>
          </cell>
          <cell r="F891">
            <v>322</v>
          </cell>
          <cell r="G891">
            <v>298</v>
          </cell>
          <cell r="H891">
            <v>295</v>
          </cell>
          <cell r="I891">
            <v>300</v>
          </cell>
          <cell r="J891">
            <v>181</v>
          </cell>
          <cell r="K891">
            <v>0</v>
          </cell>
          <cell r="L891">
            <v>219</v>
          </cell>
          <cell r="M891">
            <v>219</v>
          </cell>
        </row>
        <row r="892">
          <cell r="A892">
            <v>5184040</v>
          </cell>
          <cell r="B892">
            <v>5116113</v>
          </cell>
          <cell r="C892">
            <v>4410</v>
          </cell>
          <cell r="D892">
            <v>16005829</v>
          </cell>
          <cell r="E892">
            <v>219</v>
          </cell>
          <cell r="F892">
            <v>204</v>
          </cell>
          <cell r="G892">
            <v>198</v>
          </cell>
          <cell r="H892">
            <v>189</v>
          </cell>
          <cell r="I892">
            <v>157</v>
          </cell>
          <cell r="J892">
            <v>137</v>
          </cell>
          <cell r="K892">
            <v>141</v>
          </cell>
          <cell r="L892">
            <v>132</v>
          </cell>
          <cell r="M892">
            <v>159</v>
          </cell>
        </row>
        <row r="893">
          <cell r="A893">
            <v>5164476</v>
          </cell>
          <cell r="B893">
            <v>5106331</v>
          </cell>
          <cell r="C893">
            <v>4410</v>
          </cell>
          <cell r="D893">
            <v>16005871</v>
          </cell>
          <cell r="E893">
            <v>229</v>
          </cell>
          <cell r="F893">
            <v>150</v>
          </cell>
          <cell r="G893">
            <v>226</v>
          </cell>
          <cell r="H893">
            <v>166</v>
          </cell>
          <cell r="I893">
            <v>149</v>
          </cell>
          <cell r="J893">
            <v>147</v>
          </cell>
          <cell r="K893">
            <v>156</v>
          </cell>
          <cell r="L893">
            <v>155</v>
          </cell>
          <cell r="M893">
            <v>152</v>
          </cell>
        </row>
        <row r="894">
          <cell r="A894">
            <v>5164846</v>
          </cell>
          <cell r="B894">
            <v>5106516</v>
          </cell>
          <cell r="C894">
            <v>4410</v>
          </cell>
          <cell r="D894">
            <v>31988589</v>
          </cell>
          <cell r="E894">
            <v>172</v>
          </cell>
          <cell r="F894">
            <v>152</v>
          </cell>
          <cell r="G894">
            <v>148</v>
          </cell>
          <cell r="H894">
            <v>144</v>
          </cell>
          <cell r="I894">
            <v>213</v>
          </cell>
          <cell r="J894">
            <v>68</v>
          </cell>
          <cell r="K894">
            <v>83</v>
          </cell>
          <cell r="L894">
            <v>77</v>
          </cell>
          <cell r="M894">
            <v>74</v>
          </cell>
        </row>
        <row r="895">
          <cell r="A895">
            <v>5164854</v>
          </cell>
          <cell r="B895">
            <v>5106520</v>
          </cell>
          <cell r="C895">
            <v>4410</v>
          </cell>
          <cell r="D895">
            <v>10279394</v>
          </cell>
          <cell r="E895">
            <v>420</v>
          </cell>
          <cell r="F895">
            <v>367</v>
          </cell>
          <cell r="G895">
            <v>315</v>
          </cell>
          <cell r="H895">
            <v>290</v>
          </cell>
          <cell r="I895">
            <v>291</v>
          </cell>
          <cell r="J895">
            <v>262</v>
          </cell>
          <cell r="K895">
            <v>284</v>
          </cell>
          <cell r="L895">
            <v>275</v>
          </cell>
          <cell r="M895">
            <v>276</v>
          </cell>
        </row>
        <row r="896">
          <cell r="A896">
            <v>5164480</v>
          </cell>
          <cell r="B896">
            <v>5106333</v>
          </cell>
          <cell r="C896">
            <v>4410</v>
          </cell>
          <cell r="D896">
            <v>1900725</v>
          </cell>
          <cell r="E896">
            <v>123</v>
          </cell>
          <cell r="F896">
            <v>43</v>
          </cell>
          <cell r="G896">
            <v>12</v>
          </cell>
          <cell r="H896">
            <v>19</v>
          </cell>
          <cell r="I896">
            <v>79</v>
          </cell>
          <cell r="J896">
            <v>0</v>
          </cell>
          <cell r="K896">
            <v>34</v>
          </cell>
          <cell r="L896">
            <v>8</v>
          </cell>
          <cell r="M896">
            <v>9</v>
          </cell>
        </row>
        <row r="897">
          <cell r="A897">
            <v>5184486</v>
          </cell>
          <cell r="B897">
            <v>5116336</v>
          </cell>
          <cell r="C897">
            <v>4410</v>
          </cell>
          <cell r="D897">
            <v>1616529</v>
          </cell>
          <cell r="E897">
            <v>193</v>
          </cell>
          <cell r="F897">
            <v>157</v>
          </cell>
          <cell r="G897">
            <v>174</v>
          </cell>
          <cell r="H897">
            <v>173</v>
          </cell>
          <cell r="I897">
            <v>189</v>
          </cell>
          <cell r="J897">
            <v>161</v>
          </cell>
          <cell r="K897">
            <v>175</v>
          </cell>
          <cell r="L897">
            <v>164</v>
          </cell>
          <cell r="M897">
            <v>194</v>
          </cell>
        </row>
        <row r="898">
          <cell r="A898">
            <v>5164484</v>
          </cell>
          <cell r="B898">
            <v>5106335</v>
          </cell>
          <cell r="C898">
            <v>4410</v>
          </cell>
          <cell r="D898">
            <v>1691804</v>
          </cell>
          <cell r="E898">
            <v>215</v>
          </cell>
          <cell r="F898">
            <v>174</v>
          </cell>
          <cell r="G898">
            <v>181</v>
          </cell>
          <cell r="H898">
            <v>195</v>
          </cell>
          <cell r="I898">
            <v>230</v>
          </cell>
          <cell r="J898">
            <v>198</v>
          </cell>
          <cell r="K898">
            <v>194</v>
          </cell>
          <cell r="L898">
            <v>184</v>
          </cell>
          <cell r="M898">
            <v>116</v>
          </cell>
        </row>
        <row r="899">
          <cell r="A899">
            <v>5164396</v>
          </cell>
          <cell r="B899">
            <v>5106291</v>
          </cell>
          <cell r="C899">
            <v>4410</v>
          </cell>
          <cell r="D899">
            <v>1691868</v>
          </cell>
          <cell r="E899">
            <v>223</v>
          </cell>
          <cell r="F899">
            <v>187</v>
          </cell>
          <cell r="G899">
            <v>193</v>
          </cell>
          <cell r="H899">
            <v>197</v>
          </cell>
          <cell r="I899">
            <v>196</v>
          </cell>
          <cell r="J899">
            <v>188</v>
          </cell>
          <cell r="K899">
            <v>500</v>
          </cell>
          <cell r="L899">
            <v>165</v>
          </cell>
          <cell r="M899">
            <v>150</v>
          </cell>
        </row>
        <row r="900">
          <cell r="A900">
            <v>5164482</v>
          </cell>
          <cell r="B900">
            <v>5106334</v>
          </cell>
          <cell r="C900">
            <v>4410</v>
          </cell>
          <cell r="D900">
            <v>1728799</v>
          </cell>
          <cell r="E900">
            <v>179</v>
          </cell>
          <cell r="F900">
            <v>162</v>
          </cell>
          <cell r="G900">
            <v>175</v>
          </cell>
          <cell r="H900">
            <v>180</v>
          </cell>
          <cell r="I900">
            <v>206</v>
          </cell>
          <cell r="J900">
            <v>180</v>
          </cell>
          <cell r="K900">
            <v>167</v>
          </cell>
          <cell r="L900">
            <v>186</v>
          </cell>
          <cell r="M900">
            <v>219</v>
          </cell>
        </row>
        <row r="901">
          <cell r="A901">
            <v>5184022</v>
          </cell>
          <cell r="B901">
            <v>5116104</v>
          </cell>
          <cell r="C901">
            <v>4410</v>
          </cell>
          <cell r="D901">
            <v>1730273</v>
          </cell>
          <cell r="E901">
            <v>189</v>
          </cell>
          <cell r="F901">
            <v>149</v>
          </cell>
          <cell r="G901">
            <v>163</v>
          </cell>
          <cell r="H901">
            <v>152</v>
          </cell>
          <cell r="I901">
            <v>161</v>
          </cell>
          <cell r="J901">
            <v>133</v>
          </cell>
          <cell r="K901">
            <v>135</v>
          </cell>
          <cell r="L901">
            <v>130</v>
          </cell>
          <cell r="M901">
            <v>134</v>
          </cell>
        </row>
        <row r="902">
          <cell r="A902">
            <v>5184508</v>
          </cell>
          <cell r="B902">
            <v>5116347</v>
          </cell>
          <cell r="C902">
            <v>4410</v>
          </cell>
          <cell r="D902">
            <v>3306160</v>
          </cell>
          <cell r="E902">
            <v>269</v>
          </cell>
          <cell r="F902">
            <v>184</v>
          </cell>
          <cell r="G902">
            <v>249</v>
          </cell>
          <cell r="H902">
            <v>202</v>
          </cell>
          <cell r="I902">
            <v>240</v>
          </cell>
          <cell r="J902">
            <v>442</v>
          </cell>
          <cell r="K902">
            <v>221</v>
          </cell>
          <cell r="L902">
            <v>191</v>
          </cell>
          <cell r="M902">
            <v>205</v>
          </cell>
        </row>
        <row r="903">
          <cell r="A903">
            <v>5183954</v>
          </cell>
          <cell r="B903">
            <v>5116070</v>
          </cell>
          <cell r="C903">
            <v>4410</v>
          </cell>
          <cell r="D903">
            <v>6826851</v>
          </cell>
          <cell r="E903">
            <v>214</v>
          </cell>
          <cell r="F903">
            <v>200</v>
          </cell>
          <cell r="G903">
            <v>206</v>
          </cell>
          <cell r="H903">
            <v>159</v>
          </cell>
          <cell r="I903">
            <v>163</v>
          </cell>
          <cell r="J903">
            <v>54</v>
          </cell>
          <cell r="K903">
            <v>170</v>
          </cell>
          <cell r="L903">
            <v>26</v>
          </cell>
          <cell r="M903">
            <v>228</v>
          </cell>
        </row>
        <row r="904">
          <cell r="A904">
            <v>5164830</v>
          </cell>
          <cell r="B904">
            <v>5106508</v>
          </cell>
          <cell r="C904">
            <v>4410</v>
          </cell>
          <cell r="D904">
            <v>2182722</v>
          </cell>
          <cell r="E904">
            <v>160</v>
          </cell>
          <cell r="F904">
            <v>122</v>
          </cell>
          <cell r="G904">
            <v>124</v>
          </cell>
          <cell r="H904">
            <v>128</v>
          </cell>
          <cell r="I904">
            <v>136</v>
          </cell>
          <cell r="J904">
            <v>113</v>
          </cell>
          <cell r="K904">
            <v>131</v>
          </cell>
          <cell r="L904">
            <v>136</v>
          </cell>
          <cell r="M904">
            <v>132</v>
          </cell>
        </row>
        <row r="905">
          <cell r="A905">
            <v>5164852</v>
          </cell>
          <cell r="B905">
            <v>5106519</v>
          </cell>
          <cell r="C905">
            <v>4410</v>
          </cell>
          <cell r="D905">
            <v>2101213</v>
          </cell>
          <cell r="E905">
            <v>333</v>
          </cell>
          <cell r="F905">
            <v>274</v>
          </cell>
          <cell r="G905">
            <v>302</v>
          </cell>
          <cell r="H905">
            <v>261</v>
          </cell>
          <cell r="I905">
            <v>297</v>
          </cell>
          <cell r="J905">
            <v>249</v>
          </cell>
          <cell r="K905">
            <v>270</v>
          </cell>
          <cell r="L905">
            <v>280</v>
          </cell>
          <cell r="M905">
            <v>290</v>
          </cell>
        </row>
        <row r="906">
          <cell r="A906">
            <v>5164834</v>
          </cell>
          <cell r="B906">
            <v>5106510</v>
          </cell>
          <cell r="C906">
            <v>4410</v>
          </cell>
          <cell r="D906">
            <v>2197971</v>
          </cell>
          <cell r="E906">
            <v>140</v>
          </cell>
          <cell r="F906">
            <v>254</v>
          </cell>
          <cell r="G906">
            <v>129</v>
          </cell>
          <cell r="H906">
            <v>106</v>
          </cell>
          <cell r="I906">
            <v>117</v>
          </cell>
          <cell r="J906">
            <v>112</v>
          </cell>
          <cell r="K906">
            <v>89</v>
          </cell>
          <cell r="L906">
            <v>142</v>
          </cell>
          <cell r="M906">
            <v>143</v>
          </cell>
        </row>
        <row r="907">
          <cell r="A907">
            <v>5164850</v>
          </cell>
          <cell r="B907">
            <v>5106518</v>
          </cell>
          <cell r="C907">
            <v>4410</v>
          </cell>
          <cell r="D907">
            <v>2196750</v>
          </cell>
          <cell r="E907">
            <v>375</v>
          </cell>
          <cell r="F907">
            <v>283</v>
          </cell>
          <cell r="G907">
            <v>290</v>
          </cell>
          <cell r="H907">
            <v>289</v>
          </cell>
          <cell r="I907">
            <v>330</v>
          </cell>
          <cell r="J907">
            <v>287</v>
          </cell>
          <cell r="K907">
            <v>309</v>
          </cell>
          <cell r="L907">
            <v>295</v>
          </cell>
          <cell r="M907">
            <v>305</v>
          </cell>
        </row>
        <row r="908">
          <cell r="A908">
            <v>5164492</v>
          </cell>
          <cell r="B908">
            <v>5106339</v>
          </cell>
          <cell r="C908">
            <v>4410</v>
          </cell>
          <cell r="D908">
            <v>1752876</v>
          </cell>
          <cell r="E908">
            <v>215</v>
          </cell>
          <cell r="F908">
            <v>195</v>
          </cell>
          <cell r="G908">
            <v>221</v>
          </cell>
          <cell r="H908">
            <v>194</v>
          </cell>
          <cell r="I908">
            <v>175</v>
          </cell>
          <cell r="J908">
            <v>147</v>
          </cell>
          <cell r="K908">
            <v>183</v>
          </cell>
          <cell r="L908">
            <v>179</v>
          </cell>
          <cell r="M908">
            <v>191</v>
          </cell>
        </row>
        <row r="909">
          <cell r="A909">
            <v>5184034</v>
          </cell>
          <cell r="B909">
            <v>5116110</v>
          </cell>
          <cell r="C909">
            <v>4410</v>
          </cell>
          <cell r="D909">
            <v>3360635</v>
          </cell>
          <cell r="E909">
            <v>329</v>
          </cell>
          <cell r="F909">
            <v>265</v>
          </cell>
          <cell r="G909">
            <v>299</v>
          </cell>
          <cell r="H909">
            <v>286</v>
          </cell>
          <cell r="I909">
            <v>307</v>
          </cell>
          <cell r="J909">
            <v>261</v>
          </cell>
          <cell r="K909">
            <v>295</v>
          </cell>
          <cell r="L909">
            <v>235</v>
          </cell>
          <cell r="M909">
            <v>351</v>
          </cell>
        </row>
        <row r="910">
          <cell r="A910">
            <v>5184038</v>
          </cell>
          <cell r="B910">
            <v>5116112</v>
          </cell>
          <cell r="C910">
            <v>4410</v>
          </cell>
          <cell r="D910">
            <v>3366515</v>
          </cell>
          <cell r="E910">
            <v>177</v>
          </cell>
          <cell r="F910">
            <v>153</v>
          </cell>
          <cell r="G910">
            <v>162</v>
          </cell>
          <cell r="H910">
            <v>157</v>
          </cell>
          <cell r="I910">
            <v>158</v>
          </cell>
          <cell r="J910">
            <v>149</v>
          </cell>
          <cell r="K910">
            <v>162</v>
          </cell>
          <cell r="L910">
            <v>167</v>
          </cell>
          <cell r="M910">
            <v>170</v>
          </cell>
        </row>
        <row r="911">
          <cell r="A911">
            <v>5184066</v>
          </cell>
          <cell r="B911">
            <v>5116126</v>
          </cell>
          <cell r="C911">
            <v>4410</v>
          </cell>
          <cell r="D911">
            <v>2206650</v>
          </cell>
          <cell r="E911">
            <v>218</v>
          </cell>
          <cell r="F911">
            <v>148</v>
          </cell>
          <cell r="G911">
            <v>152</v>
          </cell>
          <cell r="H911">
            <v>170</v>
          </cell>
          <cell r="I911">
            <v>175</v>
          </cell>
          <cell r="J911">
            <v>142</v>
          </cell>
          <cell r="K911">
            <v>126</v>
          </cell>
          <cell r="L911">
            <v>112</v>
          </cell>
          <cell r="M911">
            <v>119</v>
          </cell>
        </row>
        <row r="912">
          <cell r="A912">
            <v>5183998</v>
          </cell>
          <cell r="B912">
            <v>5116092</v>
          </cell>
          <cell r="C912">
            <v>4410</v>
          </cell>
          <cell r="D912">
            <v>7285289</v>
          </cell>
          <cell r="E912">
            <v>106</v>
          </cell>
          <cell r="F912">
            <v>104</v>
          </cell>
          <cell r="G912">
            <v>192</v>
          </cell>
          <cell r="H912">
            <v>108</v>
          </cell>
          <cell r="I912">
            <v>107</v>
          </cell>
          <cell r="J912">
            <v>92</v>
          </cell>
          <cell r="K912">
            <v>89</v>
          </cell>
          <cell r="L912">
            <v>74</v>
          </cell>
          <cell r="M912">
            <v>90</v>
          </cell>
        </row>
        <row r="913">
          <cell r="A913">
            <v>5164836</v>
          </cell>
          <cell r="B913">
            <v>5106511</v>
          </cell>
          <cell r="C913">
            <v>4410</v>
          </cell>
          <cell r="D913">
            <v>7286761</v>
          </cell>
          <cell r="E913">
            <v>134</v>
          </cell>
          <cell r="F913">
            <v>107</v>
          </cell>
          <cell r="G913">
            <v>118</v>
          </cell>
          <cell r="H913">
            <v>106</v>
          </cell>
          <cell r="I913">
            <v>103</v>
          </cell>
          <cell r="J913">
            <v>114</v>
          </cell>
          <cell r="K913">
            <v>119</v>
          </cell>
          <cell r="L913">
            <v>105</v>
          </cell>
          <cell r="M913">
            <v>108</v>
          </cell>
        </row>
        <row r="914">
          <cell r="A914">
            <v>5164848</v>
          </cell>
          <cell r="B914">
            <v>5106517</v>
          </cell>
          <cell r="C914">
            <v>4410</v>
          </cell>
          <cell r="D914">
            <v>7286813</v>
          </cell>
          <cell r="E914">
            <v>306</v>
          </cell>
          <cell r="F914">
            <v>478</v>
          </cell>
          <cell r="G914">
            <v>257</v>
          </cell>
          <cell r="H914">
            <v>172</v>
          </cell>
          <cell r="I914">
            <v>134</v>
          </cell>
          <cell r="J914">
            <v>128</v>
          </cell>
          <cell r="K914">
            <v>128</v>
          </cell>
          <cell r="L914">
            <v>120</v>
          </cell>
          <cell r="M914">
            <v>209</v>
          </cell>
        </row>
        <row r="915">
          <cell r="A915">
            <v>5164838</v>
          </cell>
          <cell r="B915">
            <v>5106512</v>
          </cell>
          <cell r="C915">
            <v>4410</v>
          </cell>
          <cell r="D915">
            <v>7286515</v>
          </cell>
          <cell r="E915">
            <v>221</v>
          </cell>
          <cell r="F915">
            <v>174</v>
          </cell>
          <cell r="G915">
            <v>163</v>
          </cell>
          <cell r="H915">
            <v>164</v>
          </cell>
          <cell r="I915">
            <v>177</v>
          </cell>
          <cell r="J915">
            <v>169</v>
          </cell>
          <cell r="K915">
            <v>182</v>
          </cell>
          <cell r="L915">
            <v>172</v>
          </cell>
          <cell r="M915">
            <v>214</v>
          </cell>
        </row>
        <row r="916">
          <cell r="A916">
            <v>5164500</v>
          </cell>
          <cell r="B916">
            <v>5106343</v>
          </cell>
          <cell r="C916">
            <v>4410</v>
          </cell>
          <cell r="D916">
            <v>7285279</v>
          </cell>
          <cell r="E916">
            <v>293</v>
          </cell>
          <cell r="F916">
            <v>335</v>
          </cell>
          <cell r="G916">
            <v>401</v>
          </cell>
          <cell r="H916">
            <v>335</v>
          </cell>
          <cell r="I916">
            <v>365</v>
          </cell>
          <cell r="J916">
            <v>325</v>
          </cell>
          <cell r="K916">
            <v>358</v>
          </cell>
          <cell r="L916">
            <v>361</v>
          </cell>
          <cell r="M916">
            <v>365</v>
          </cell>
        </row>
        <row r="917">
          <cell r="A917">
            <v>5184044</v>
          </cell>
          <cell r="B917">
            <v>5116115</v>
          </cell>
          <cell r="C917">
            <v>4410</v>
          </cell>
          <cell r="D917">
            <v>7725827</v>
          </cell>
          <cell r="E917">
            <v>150</v>
          </cell>
          <cell r="F917">
            <v>114</v>
          </cell>
          <cell r="G917">
            <v>134</v>
          </cell>
          <cell r="H917">
            <v>126</v>
          </cell>
          <cell r="I917">
            <v>123</v>
          </cell>
          <cell r="J917">
            <v>146</v>
          </cell>
          <cell r="K917">
            <v>156</v>
          </cell>
          <cell r="L917">
            <v>133</v>
          </cell>
          <cell r="M917">
            <v>127</v>
          </cell>
        </row>
        <row r="918">
          <cell r="A918">
            <v>5164842</v>
          </cell>
          <cell r="B918">
            <v>5106514</v>
          </cell>
          <cell r="C918">
            <v>4410</v>
          </cell>
          <cell r="D918">
            <v>18490459</v>
          </cell>
          <cell r="E918">
            <v>314</v>
          </cell>
          <cell r="F918">
            <v>248</v>
          </cell>
          <cell r="G918">
            <v>271</v>
          </cell>
          <cell r="H918">
            <v>254</v>
          </cell>
          <cell r="I918">
            <v>279</v>
          </cell>
          <cell r="J918">
            <v>285</v>
          </cell>
          <cell r="K918">
            <v>306</v>
          </cell>
          <cell r="L918">
            <v>290</v>
          </cell>
          <cell r="M918">
            <v>288</v>
          </cell>
        </row>
        <row r="919">
          <cell r="A919">
            <v>5164494</v>
          </cell>
          <cell r="B919">
            <v>5106340</v>
          </cell>
          <cell r="C919">
            <v>4410</v>
          </cell>
          <cell r="D919">
            <v>15961978</v>
          </cell>
          <cell r="E919">
            <v>283</v>
          </cell>
          <cell r="F919">
            <v>253</v>
          </cell>
          <cell r="G919">
            <v>266</v>
          </cell>
          <cell r="H919">
            <v>242</v>
          </cell>
          <cell r="I919">
            <v>279</v>
          </cell>
          <cell r="J919">
            <v>234</v>
          </cell>
          <cell r="K919">
            <v>272</v>
          </cell>
          <cell r="L919">
            <v>253</v>
          </cell>
          <cell r="M919">
            <v>230</v>
          </cell>
        </row>
        <row r="920">
          <cell r="A920">
            <v>5164414</v>
          </cell>
          <cell r="B920">
            <v>5106300</v>
          </cell>
          <cell r="C920">
            <v>4410</v>
          </cell>
          <cell r="D920">
            <v>2511585</v>
          </cell>
          <cell r="E920">
            <v>157</v>
          </cell>
          <cell r="F920">
            <v>128</v>
          </cell>
          <cell r="G920">
            <v>138</v>
          </cell>
          <cell r="H920">
            <v>133</v>
          </cell>
          <cell r="I920">
            <v>134</v>
          </cell>
          <cell r="J920">
            <v>120</v>
          </cell>
          <cell r="K920">
            <v>130</v>
          </cell>
          <cell r="L920">
            <v>118</v>
          </cell>
          <cell r="M920">
            <v>129</v>
          </cell>
        </row>
        <row r="921">
          <cell r="A921">
            <v>5164412</v>
          </cell>
          <cell r="B921">
            <v>5106299</v>
          </cell>
          <cell r="C921">
            <v>4410</v>
          </cell>
          <cell r="D921">
            <v>2511559</v>
          </cell>
          <cell r="E921">
            <v>94</v>
          </cell>
          <cell r="F921">
            <v>114</v>
          </cell>
          <cell r="G921">
            <v>117</v>
          </cell>
          <cell r="H921">
            <v>80</v>
          </cell>
          <cell r="I921">
            <v>121</v>
          </cell>
          <cell r="J921">
            <v>110</v>
          </cell>
          <cell r="K921">
            <v>113</v>
          </cell>
          <cell r="L921">
            <v>103</v>
          </cell>
          <cell r="M921">
            <v>89</v>
          </cell>
        </row>
        <row r="922">
          <cell r="A922">
            <v>5164408</v>
          </cell>
          <cell r="B922">
            <v>5106297</v>
          </cell>
          <cell r="C922">
            <v>4410</v>
          </cell>
          <cell r="D922">
            <v>2511596</v>
          </cell>
          <cell r="E922">
            <v>246</v>
          </cell>
          <cell r="F922">
            <v>212</v>
          </cell>
          <cell r="G922">
            <v>217</v>
          </cell>
          <cell r="H922">
            <v>222</v>
          </cell>
          <cell r="I922">
            <v>233</v>
          </cell>
          <cell r="J922">
            <v>218</v>
          </cell>
          <cell r="K922">
            <v>229</v>
          </cell>
          <cell r="L922">
            <v>213</v>
          </cell>
          <cell r="M922">
            <v>210</v>
          </cell>
        </row>
        <row r="923">
          <cell r="A923">
            <v>5164416</v>
          </cell>
          <cell r="B923">
            <v>5106301</v>
          </cell>
          <cell r="C923">
            <v>4410</v>
          </cell>
          <cell r="D923">
            <v>2511578</v>
          </cell>
          <cell r="E923">
            <v>165</v>
          </cell>
          <cell r="F923">
            <v>133</v>
          </cell>
          <cell r="G923">
            <v>89</v>
          </cell>
          <cell r="H923">
            <v>129</v>
          </cell>
          <cell r="I923">
            <v>126</v>
          </cell>
          <cell r="J923">
            <v>201</v>
          </cell>
          <cell r="K923">
            <v>116</v>
          </cell>
          <cell r="L923">
            <v>101</v>
          </cell>
          <cell r="M923">
            <v>108</v>
          </cell>
        </row>
        <row r="924">
          <cell r="A924">
            <v>5164418</v>
          </cell>
          <cell r="B924">
            <v>5106302</v>
          </cell>
          <cell r="C924">
            <v>4410</v>
          </cell>
          <cell r="D924">
            <v>2511603</v>
          </cell>
          <cell r="E924">
            <v>238</v>
          </cell>
          <cell r="F924">
            <v>209</v>
          </cell>
          <cell r="G924">
            <v>212</v>
          </cell>
          <cell r="H924">
            <v>225</v>
          </cell>
          <cell r="I924">
            <v>137</v>
          </cell>
          <cell r="J924">
            <v>201</v>
          </cell>
          <cell r="K924">
            <v>206</v>
          </cell>
          <cell r="L924">
            <v>199</v>
          </cell>
          <cell r="M924">
            <v>202</v>
          </cell>
        </row>
        <row r="925">
          <cell r="A925">
            <v>5164402</v>
          </cell>
          <cell r="B925">
            <v>5106294</v>
          </cell>
          <cell r="C925">
            <v>4410</v>
          </cell>
          <cell r="D925">
            <v>2511592</v>
          </cell>
          <cell r="E925">
            <v>254</v>
          </cell>
          <cell r="F925">
            <v>219</v>
          </cell>
          <cell r="G925">
            <v>203</v>
          </cell>
          <cell r="H925">
            <v>248</v>
          </cell>
          <cell r="I925">
            <v>251</v>
          </cell>
          <cell r="J925">
            <v>84</v>
          </cell>
          <cell r="K925">
            <v>163</v>
          </cell>
          <cell r="L925">
            <v>187</v>
          </cell>
          <cell r="M925">
            <v>213</v>
          </cell>
        </row>
        <row r="926">
          <cell r="A926">
            <v>5164406</v>
          </cell>
          <cell r="B926">
            <v>5106296</v>
          </cell>
          <cell r="C926">
            <v>4410</v>
          </cell>
          <cell r="D926">
            <v>2511575</v>
          </cell>
          <cell r="E926">
            <v>311</v>
          </cell>
          <cell r="F926">
            <v>274</v>
          </cell>
          <cell r="G926">
            <v>259</v>
          </cell>
          <cell r="H926">
            <v>256</v>
          </cell>
          <cell r="I926">
            <v>253</v>
          </cell>
          <cell r="J926">
            <v>90</v>
          </cell>
          <cell r="K926">
            <v>287</v>
          </cell>
          <cell r="L926">
            <v>271</v>
          </cell>
          <cell r="M926">
            <v>258</v>
          </cell>
        </row>
        <row r="927">
          <cell r="A927">
            <v>5164404</v>
          </cell>
          <cell r="B927">
            <v>5106295</v>
          </cell>
          <cell r="C927">
            <v>4410</v>
          </cell>
          <cell r="D927">
            <v>2511573</v>
          </cell>
          <cell r="E927">
            <v>77</v>
          </cell>
          <cell r="F927">
            <v>30</v>
          </cell>
          <cell r="G927">
            <v>52</v>
          </cell>
          <cell r="H927">
            <v>67</v>
          </cell>
          <cell r="I927">
            <v>77</v>
          </cell>
          <cell r="J927">
            <v>87</v>
          </cell>
          <cell r="K927">
            <v>92</v>
          </cell>
          <cell r="L927">
            <v>100</v>
          </cell>
          <cell r="M927">
            <v>113</v>
          </cell>
        </row>
        <row r="928">
          <cell r="A928">
            <v>5164420</v>
          </cell>
          <cell r="B928">
            <v>5106303</v>
          </cell>
          <cell r="C928">
            <v>4410</v>
          </cell>
          <cell r="D928">
            <v>2511600</v>
          </cell>
          <cell r="E928">
            <v>242</v>
          </cell>
          <cell r="F928">
            <v>184</v>
          </cell>
          <cell r="G928">
            <v>199</v>
          </cell>
          <cell r="H928">
            <v>201</v>
          </cell>
          <cell r="I928">
            <v>236</v>
          </cell>
          <cell r="J928">
            <v>190</v>
          </cell>
          <cell r="K928">
            <v>207</v>
          </cell>
          <cell r="L928">
            <v>200</v>
          </cell>
          <cell r="M928">
            <v>191</v>
          </cell>
        </row>
        <row r="929">
          <cell r="A929">
            <v>5164422</v>
          </cell>
          <cell r="B929">
            <v>5106304</v>
          </cell>
          <cell r="C929">
            <v>4410</v>
          </cell>
          <cell r="D929">
            <v>2511565</v>
          </cell>
          <cell r="E929">
            <v>293</v>
          </cell>
          <cell r="F929">
            <v>130</v>
          </cell>
          <cell r="G929">
            <v>170</v>
          </cell>
          <cell r="H929">
            <v>245</v>
          </cell>
          <cell r="I929">
            <v>18</v>
          </cell>
          <cell r="J929">
            <v>214</v>
          </cell>
          <cell r="K929">
            <v>83</v>
          </cell>
          <cell r="L929">
            <v>154</v>
          </cell>
          <cell r="M929">
            <v>81</v>
          </cell>
        </row>
        <row r="930">
          <cell r="A930">
            <v>5164424</v>
          </cell>
          <cell r="B930">
            <v>5106305</v>
          </cell>
          <cell r="C930">
            <v>4410</v>
          </cell>
          <cell r="D930">
            <v>2511593</v>
          </cell>
          <cell r="E930">
            <v>142</v>
          </cell>
          <cell r="F930">
            <v>115</v>
          </cell>
          <cell r="G930">
            <v>97</v>
          </cell>
          <cell r="H930">
            <v>104</v>
          </cell>
          <cell r="I930">
            <v>107</v>
          </cell>
          <cell r="J930">
            <v>88</v>
          </cell>
          <cell r="K930">
            <v>82</v>
          </cell>
          <cell r="L930">
            <v>82</v>
          </cell>
          <cell r="M930">
            <v>113</v>
          </cell>
        </row>
        <row r="931">
          <cell r="A931">
            <v>5164426</v>
          </cell>
          <cell r="B931">
            <v>5106306</v>
          </cell>
          <cell r="C931">
            <v>4410</v>
          </cell>
          <cell r="D931">
            <v>2511574</v>
          </cell>
          <cell r="E931">
            <v>194</v>
          </cell>
          <cell r="F931">
            <v>164</v>
          </cell>
          <cell r="G931">
            <v>165</v>
          </cell>
          <cell r="H931">
            <v>158</v>
          </cell>
          <cell r="I931">
            <v>171</v>
          </cell>
          <cell r="J931">
            <v>149</v>
          </cell>
          <cell r="K931">
            <v>173</v>
          </cell>
          <cell r="L931">
            <v>162</v>
          </cell>
          <cell r="M931">
            <v>165</v>
          </cell>
        </row>
        <row r="932">
          <cell r="A932">
            <v>5183976</v>
          </cell>
          <cell r="B932">
            <v>5116081</v>
          </cell>
          <cell r="C932">
            <v>4410</v>
          </cell>
          <cell r="D932">
            <v>443758</v>
          </cell>
          <cell r="E932">
            <v>390</v>
          </cell>
          <cell r="F932">
            <v>305</v>
          </cell>
          <cell r="G932">
            <v>339</v>
          </cell>
          <cell r="H932">
            <v>321</v>
          </cell>
          <cell r="I932">
            <v>333</v>
          </cell>
          <cell r="J932">
            <v>319</v>
          </cell>
          <cell r="K932">
            <v>332</v>
          </cell>
          <cell r="L932">
            <v>319</v>
          </cell>
          <cell r="M932">
            <v>327</v>
          </cell>
        </row>
        <row r="933">
          <cell r="A933">
            <v>5183932</v>
          </cell>
          <cell r="B933">
            <v>5116059</v>
          </cell>
          <cell r="C933">
            <v>4410</v>
          </cell>
          <cell r="D933">
            <v>3954342</v>
          </cell>
          <cell r="E933">
            <v>428</v>
          </cell>
          <cell r="F933">
            <v>275</v>
          </cell>
          <cell r="G933">
            <v>250</v>
          </cell>
          <cell r="H933">
            <v>270</v>
          </cell>
          <cell r="I933">
            <v>275</v>
          </cell>
          <cell r="J933">
            <v>530</v>
          </cell>
          <cell r="K933">
            <v>179</v>
          </cell>
          <cell r="L933">
            <v>285</v>
          </cell>
          <cell r="M933">
            <v>171</v>
          </cell>
        </row>
        <row r="934">
          <cell r="A934">
            <v>5164380</v>
          </cell>
          <cell r="B934">
            <v>5106283</v>
          </cell>
          <cell r="C934">
            <v>4410</v>
          </cell>
          <cell r="D934">
            <v>3642290</v>
          </cell>
          <cell r="E934">
            <v>61</v>
          </cell>
          <cell r="F934">
            <v>46</v>
          </cell>
          <cell r="G934">
            <v>189</v>
          </cell>
          <cell r="H934">
            <v>730</v>
          </cell>
          <cell r="I934">
            <v>591</v>
          </cell>
          <cell r="J934">
            <v>299</v>
          </cell>
          <cell r="K934">
            <v>326</v>
          </cell>
          <cell r="L934">
            <v>524</v>
          </cell>
          <cell r="M934">
            <v>485</v>
          </cell>
        </row>
        <row r="935">
          <cell r="A935">
            <v>5164386</v>
          </cell>
          <cell r="B935">
            <v>5106286</v>
          </cell>
          <cell r="C935">
            <v>4410</v>
          </cell>
          <cell r="D935">
            <v>3642235</v>
          </cell>
          <cell r="E935">
            <v>235</v>
          </cell>
          <cell r="F935">
            <v>172</v>
          </cell>
          <cell r="G935">
            <v>177</v>
          </cell>
          <cell r="H935">
            <v>184</v>
          </cell>
          <cell r="I935">
            <v>190</v>
          </cell>
          <cell r="J935">
            <v>309</v>
          </cell>
          <cell r="K935">
            <v>75</v>
          </cell>
          <cell r="L935">
            <v>227</v>
          </cell>
          <cell r="M935">
            <v>204</v>
          </cell>
        </row>
        <row r="936">
          <cell r="A936">
            <v>5164824</v>
          </cell>
          <cell r="B936">
            <v>5106505</v>
          </cell>
          <cell r="C936">
            <v>4410</v>
          </cell>
          <cell r="D936">
            <v>3530671</v>
          </cell>
          <cell r="E936">
            <v>170</v>
          </cell>
          <cell r="F936">
            <v>150</v>
          </cell>
          <cell r="G936">
            <v>0</v>
          </cell>
          <cell r="H936">
            <v>0</v>
          </cell>
          <cell r="I936">
            <v>368</v>
          </cell>
          <cell r="J936">
            <v>296</v>
          </cell>
          <cell r="K936">
            <v>268</v>
          </cell>
          <cell r="L936">
            <v>278</v>
          </cell>
          <cell r="M936">
            <v>85</v>
          </cell>
        </row>
        <row r="937">
          <cell r="A937">
            <v>5164516</v>
          </cell>
          <cell r="B937">
            <v>5106351</v>
          </cell>
          <cell r="C937">
            <v>4410</v>
          </cell>
          <cell r="D937">
            <v>31987898</v>
          </cell>
          <cell r="E937">
            <v>233</v>
          </cell>
          <cell r="F937">
            <v>164</v>
          </cell>
          <cell r="G937">
            <v>180</v>
          </cell>
          <cell r="H937">
            <v>197</v>
          </cell>
          <cell r="I937">
            <v>181</v>
          </cell>
          <cell r="J937">
            <v>215</v>
          </cell>
          <cell r="K937">
            <v>193</v>
          </cell>
          <cell r="L937">
            <v>203</v>
          </cell>
          <cell r="M937">
            <v>196</v>
          </cell>
        </row>
        <row r="938">
          <cell r="A938">
            <v>5164358</v>
          </cell>
          <cell r="B938">
            <v>5106272</v>
          </cell>
          <cell r="C938">
            <v>4410</v>
          </cell>
          <cell r="D938">
            <v>31987899</v>
          </cell>
          <cell r="E938">
            <v>270</v>
          </cell>
          <cell r="F938">
            <v>80</v>
          </cell>
          <cell r="G938">
            <v>77</v>
          </cell>
          <cell r="H938">
            <v>73</v>
          </cell>
          <cell r="I938">
            <v>72</v>
          </cell>
          <cell r="J938">
            <v>20</v>
          </cell>
          <cell r="K938">
            <v>45</v>
          </cell>
          <cell r="L938">
            <v>54</v>
          </cell>
          <cell r="M938">
            <v>48</v>
          </cell>
        </row>
        <row r="939">
          <cell r="A939">
            <v>5164510</v>
          </cell>
          <cell r="B939">
            <v>5106348</v>
          </cell>
          <cell r="C939">
            <v>4410</v>
          </cell>
          <cell r="D939">
            <v>3530677</v>
          </cell>
          <cell r="E939">
            <v>160</v>
          </cell>
          <cell r="F939">
            <v>136</v>
          </cell>
          <cell r="G939">
            <v>136</v>
          </cell>
          <cell r="H939">
            <v>211</v>
          </cell>
          <cell r="I939">
            <v>213</v>
          </cell>
          <cell r="J939">
            <v>222</v>
          </cell>
          <cell r="K939">
            <v>223</v>
          </cell>
          <cell r="L939">
            <v>218</v>
          </cell>
          <cell r="M939">
            <v>262</v>
          </cell>
        </row>
        <row r="940">
          <cell r="A940">
            <v>5164394</v>
          </cell>
          <cell r="B940">
            <v>5106290</v>
          </cell>
          <cell r="C940">
            <v>4410</v>
          </cell>
          <cell r="D940">
            <v>31987897</v>
          </cell>
          <cell r="E940">
            <v>1317</v>
          </cell>
          <cell r="F940">
            <v>1097</v>
          </cell>
          <cell r="G940">
            <v>1089</v>
          </cell>
          <cell r="H940">
            <v>1094</v>
          </cell>
          <cell r="I940">
            <v>1144</v>
          </cell>
          <cell r="J940">
            <v>977</v>
          </cell>
          <cell r="K940">
            <v>1072</v>
          </cell>
          <cell r="L940">
            <v>1041</v>
          </cell>
          <cell r="M940">
            <v>1130</v>
          </cell>
        </row>
        <row r="941">
          <cell r="A941">
            <v>5164376</v>
          </cell>
          <cell r="B941">
            <v>5106281</v>
          </cell>
          <cell r="C941">
            <v>4410</v>
          </cell>
          <cell r="D941">
            <v>3530654</v>
          </cell>
          <cell r="E941">
            <v>233</v>
          </cell>
          <cell r="F941">
            <v>206</v>
          </cell>
          <cell r="G941">
            <v>200</v>
          </cell>
          <cell r="H941">
            <v>189</v>
          </cell>
          <cell r="I941">
            <v>437</v>
          </cell>
          <cell r="J941">
            <v>130</v>
          </cell>
          <cell r="K941">
            <v>130</v>
          </cell>
          <cell r="L941">
            <v>128</v>
          </cell>
          <cell r="M941">
            <v>292</v>
          </cell>
        </row>
        <row r="942">
          <cell r="A942">
            <v>5164384</v>
          </cell>
          <cell r="B942">
            <v>5106285</v>
          </cell>
          <cell r="C942">
            <v>4410</v>
          </cell>
          <cell r="D942">
            <v>3360953</v>
          </cell>
          <cell r="E942">
            <v>92</v>
          </cell>
          <cell r="F942">
            <v>68</v>
          </cell>
          <cell r="G942">
            <v>68</v>
          </cell>
          <cell r="H942">
            <v>84</v>
          </cell>
          <cell r="I942">
            <v>186</v>
          </cell>
          <cell r="J942">
            <v>370</v>
          </cell>
          <cell r="K942">
            <v>597</v>
          </cell>
          <cell r="L942">
            <v>193</v>
          </cell>
          <cell r="M942">
            <v>201</v>
          </cell>
        </row>
        <row r="943">
          <cell r="A943">
            <v>5164390</v>
          </cell>
          <cell r="B943">
            <v>5106288</v>
          </cell>
          <cell r="C943">
            <v>4410</v>
          </cell>
          <cell r="D943">
            <v>3524660</v>
          </cell>
          <cell r="E943">
            <v>100</v>
          </cell>
          <cell r="F943">
            <v>37</v>
          </cell>
          <cell r="G943">
            <v>50</v>
          </cell>
          <cell r="H943">
            <v>111</v>
          </cell>
          <cell r="I943">
            <v>37</v>
          </cell>
          <cell r="J943">
            <v>43</v>
          </cell>
          <cell r="K943">
            <v>51</v>
          </cell>
          <cell r="L943">
            <v>79</v>
          </cell>
          <cell r="M943">
            <v>71</v>
          </cell>
        </row>
        <row r="944">
          <cell r="A944">
            <v>5164378</v>
          </cell>
          <cell r="B944">
            <v>5106282</v>
          </cell>
          <cell r="C944">
            <v>4410</v>
          </cell>
          <cell r="D944">
            <v>3530649</v>
          </cell>
          <cell r="E944">
            <v>50</v>
          </cell>
          <cell r="F944">
            <v>46</v>
          </cell>
          <cell r="G944">
            <v>45</v>
          </cell>
          <cell r="H944">
            <v>80</v>
          </cell>
          <cell r="I944">
            <v>81</v>
          </cell>
          <cell r="J944">
            <v>73</v>
          </cell>
          <cell r="K944">
            <v>76</v>
          </cell>
          <cell r="L944">
            <v>87</v>
          </cell>
          <cell r="M944">
            <v>100</v>
          </cell>
        </row>
        <row r="945">
          <cell r="A945">
            <v>5164816</v>
          </cell>
          <cell r="B945">
            <v>5106501</v>
          </cell>
          <cell r="C945">
            <v>4410</v>
          </cell>
          <cell r="D945">
            <v>3530486</v>
          </cell>
          <cell r="E945">
            <v>0</v>
          </cell>
          <cell r="F945">
            <v>0</v>
          </cell>
          <cell r="G945">
            <v>95</v>
          </cell>
          <cell r="H945">
            <v>121</v>
          </cell>
          <cell r="I945">
            <v>140</v>
          </cell>
          <cell r="J945">
            <v>137</v>
          </cell>
          <cell r="K945">
            <v>139</v>
          </cell>
          <cell r="L945">
            <v>142</v>
          </cell>
          <cell r="M945">
            <v>173</v>
          </cell>
        </row>
        <row r="946">
          <cell r="A946">
            <v>5164514</v>
          </cell>
          <cell r="B946">
            <v>5106350</v>
          </cell>
          <cell r="C946">
            <v>4410</v>
          </cell>
          <cell r="D946">
            <v>3530672</v>
          </cell>
          <cell r="E946">
            <v>297</v>
          </cell>
          <cell r="F946">
            <v>252</v>
          </cell>
          <cell r="G946">
            <v>248</v>
          </cell>
          <cell r="H946">
            <v>102</v>
          </cell>
          <cell r="I946">
            <v>169</v>
          </cell>
          <cell r="J946">
            <v>172</v>
          </cell>
          <cell r="K946">
            <v>197</v>
          </cell>
          <cell r="L946">
            <v>201</v>
          </cell>
          <cell r="M946">
            <v>225</v>
          </cell>
        </row>
        <row r="947">
          <cell r="A947">
            <v>5164360</v>
          </cell>
          <cell r="B947">
            <v>5106273</v>
          </cell>
          <cell r="C947">
            <v>4410</v>
          </cell>
          <cell r="D947">
            <v>3530648</v>
          </cell>
          <cell r="E947">
            <v>171</v>
          </cell>
          <cell r="F947">
            <v>105</v>
          </cell>
          <cell r="G947">
            <v>182</v>
          </cell>
          <cell r="H947">
            <v>115</v>
          </cell>
          <cell r="I947">
            <v>90</v>
          </cell>
          <cell r="J947">
            <v>98</v>
          </cell>
          <cell r="K947">
            <v>100</v>
          </cell>
          <cell r="L947">
            <v>105</v>
          </cell>
          <cell r="M947">
            <v>72</v>
          </cell>
        </row>
        <row r="948">
          <cell r="A948">
            <v>5164526</v>
          </cell>
          <cell r="B948">
            <v>5106356</v>
          </cell>
          <cell r="C948">
            <v>4410</v>
          </cell>
          <cell r="D948">
            <v>3530684</v>
          </cell>
          <cell r="E948">
            <v>250</v>
          </cell>
          <cell r="F948">
            <v>223</v>
          </cell>
          <cell r="G948">
            <v>215</v>
          </cell>
          <cell r="H948">
            <v>96</v>
          </cell>
          <cell r="I948">
            <v>152</v>
          </cell>
          <cell r="J948">
            <v>113</v>
          </cell>
          <cell r="K948">
            <v>196</v>
          </cell>
          <cell r="L948">
            <v>252</v>
          </cell>
          <cell r="M948">
            <v>130</v>
          </cell>
        </row>
        <row r="949">
          <cell r="A949">
            <v>5164372</v>
          </cell>
          <cell r="B949">
            <v>5106279</v>
          </cell>
          <cell r="C949">
            <v>4410</v>
          </cell>
          <cell r="D949">
            <v>3530674</v>
          </cell>
          <cell r="E949">
            <v>42</v>
          </cell>
          <cell r="F949">
            <v>30</v>
          </cell>
          <cell r="G949">
            <v>27</v>
          </cell>
          <cell r="H949">
            <v>35</v>
          </cell>
          <cell r="I949">
            <v>40</v>
          </cell>
          <cell r="J949">
            <v>28</v>
          </cell>
          <cell r="K949">
            <v>21</v>
          </cell>
          <cell r="L949">
            <v>16</v>
          </cell>
          <cell r="M949">
            <v>22</v>
          </cell>
        </row>
        <row r="950">
          <cell r="A950">
            <v>5164362</v>
          </cell>
          <cell r="B950">
            <v>5106274</v>
          </cell>
          <cell r="C950">
            <v>4410</v>
          </cell>
          <cell r="D950">
            <v>3530629</v>
          </cell>
          <cell r="E950">
            <v>186</v>
          </cell>
          <cell r="F950">
            <v>298</v>
          </cell>
          <cell r="G950">
            <v>129</v>
          </cell>
          <cell r="H950">
            <v>176</v>
          </cell>
          <cell r="I950">
            <v>88</v>
          </cell>
          <cell r="J950">
            <v>79</v>
          </cell>
          <cell r="K950">
            <v>126</v>
          </cell>
          <cell r="L950">
            <v>163</v>
          </cell>
          <cell r="M950">
            <v>118</v>
          </cell>
        </row>
        <row r="951">
          <cell r="A951">
            <v>5164374</v>
          </cell>
          <cell r="B951">
            <v>5106280</v>
          </cell>
          <cell r="C951">
            <v>4410</v>
          </cell>
          <cell r="D951">
            <v>3518794</v>
          </cell>
          <cell r="E951">
            <v>145</v>
          </cell>
          <cell r="F951">
            <v>118</v>
          </cell>
          <cell r="G951">
            <v>127</v>
          </cell>
          <cell r="H951">
            <v>124</v>
          </cell>
          <cell r="I951">
            <v>82</v>
          </cell>
          <cell r="J951">
            <v>88</v>
          </cell>
          <cell r="K951">
            <v>64</v>
          </cell>
          <cell r="L951">
            <v>64</v>
          </cell>
          <cell r="M951">
            <v>69</v>
          </cell>
        </row>
        <row r="952">
          <cell r="A952">
            <v>5164356</v>
          </cell>
          <cell r="B952">
            <v>5106271</v>
          </cell>
          <cell r="C952">
            <v>4410</v>
          </cell>
          <cell r="D952">
            <v>3525071</v>
          </cell>
          <cell r="E952">
            <v>162</v>
          </cell>
          <cell r="F952">
            <v>291</v>
          </cell>
          <cell r="G952">
            <v>189</v>
          </cell>
          <cell r="H952">
            <v>163</v>
          </cell>
          <cell r="I952">
            <v>168</v>
          </cell>
          <cell r="J952">
            <v>153</v>
          </cell>
          <cell r="K952">
            <v>161</v>
          </cell>
          <cell r="L952">
            <v>133</v>
          </cell>
          <cell r="M952">
            <v>155</v>
          </cell>
        </row>
        <row r="953">
          <cell r="A953">
            <v>5164382</v>
          </cell>
          <cell r="B953">
            <v>5106284</v>
          </cell>
          <cell r="C953">
            <v>4410</v>
          </cell>
          <cell r="D953">
            <v>3530655</v>
          </cell>
          <cell r="E953">
            <v>218</v>
          </cell>
          <cell r="F953">
            <v>169</v>
          </cell>
          <cell r="G953">
            <v>190</v>
          </cell>
          <cell r="H953">
            <v>104</v>
          </cell>
          <cell r="I953">
            <v>119</v>
          </cell>
          <cell r="J953">
            <v>118</v>
          </cell>
          <cell r="K953">
            <v>131</v>
          </cell>
          <cell r="L953">
            <v>137</v>
          </cell>
          <cell r="M953">
            <v>182</v>
          </cell>
        </row>
        <row r="954">
          <cell r="A954">
            <v>5164508</v>
          </cell>
          <cell r="B954">
            <v>5106347</v>
          </cell>
          <cell r="C954">
            <v>4410</v>
          </cell>
          <cell r="D954">
            <v>3530658</v>
          </cell>
          <cell r="E954">
            <v>93</v>
          </cell>
          <cell r="F954">
            <v>66</v>
          </cell>
          <cell r="G954">
            <v>67</v>
          </cell>
          <cell r="H954">
            <v>336</v>
          </cell>
          <cell r="I954">
            <v>87</v>
          </cell>
          <cell r="J954">
            <v>83</v>
          </cell>
          <cell r="K954">
            <v>68</v>
          </cell>
          <cell r="L954">
            <v>118</v>
          </cell>
          <cell r="M954">
            <v>107</v>
          </cell>
        </row>
        <row r="955">
          <cell r="A955">
            <v>5164350</v>
          </cell>
          <cell r="B955">
            <v>5106268</v>
          </cell>
          <cell r="C955">
            <v>4410</v>
          </cell>
          <cell r="D955">
            <v>3524674</v>
          </cell>
          <cell r="E955">
            <v>94</v>
          </cell>
          <cell r="F955">
            <v>80</v>
          </cell>
          <cell r="G955">
            <v>83</v>
          </cell>
          <cell r="H955">
            <v>264</v>
          </cell>
          <cell r="I955">
            <v>65</v>
          </cell>
          <cell r="J955">
            <v>72</v>
          </cell>
          <cell r="K955">
            <v>56</v>
          </cell>
          <cell r="L955">
            <v>77</v>
          </cell>
          <cell r="M955">
            <v>73</v>
          </cell>
        </row>
        <row r="956">
          <cell r="A956">
            <v>5164820</v>
          </cell>
          <cell r="B956">
            <v>5106503</v>
          </cell>
          <cell r="C956">
            <v>4410</v>
          </cell>
          <cell r="D956">
            <v>3530466</v>
          </cell>
          <cell r="E956">
            <v>240</v>
          </cell>
          <cell r="F956">
            <v>212</v>
          </cell>
          <cell r="G956">
            <v>205</v>
          </cell>
          <cell r="H956">
            <v>92</v>
          </cell>
          <cell r="I956">
            <v>43</v>
          </cell>
          <cell r="J956">
            <v>45</v>
          </cell>
          <cell r="K956">
            <v>48</v>
          </cell>
          <cell r="L956">
            <v>46</v>
          </cell>
          <cell r="M956">
            <v>32</v>
          </cell>
        </row>
        <row r="957">
          <cell r="A957">
            <v>5164782</v>
          </cell>
          <cell r="B957">
            <v>5106484</v>
          </cell>
          <cell r="C957">
            <v>4410</v>
          </cell>
          <cell r="D957">
            <v>3521494</v>
          </cell>
          <cell r="E957">
            <v>48</v>
          </cell>
          <cell r="F957">
            <v>63</v>
          </cell>
          <cell r="G957">
            <v>112</v>
          </cell>
          <cell r="H957">
            <v>194</v>
          </cell>
          <cell r="I957">
            <v>118</v>
          </cell>
          <cell r="J957">
            <v>92</v>
          </cell>
          <cell r="K957">
            <v>124</v>
          </cell>
          <cell r="L957">
            <v>114</v>
          </cell>
          <cell r="M957">
            <v>116</v>
          </cell>
        </row>
        <row r="958">
          <cell r="A958">
            <v>5164520</v>
          </cell>
          <cell r="B958">
            <v>5106353</v>
          </cell>
          <cell r="C958">
            <v>4410</v>
          </cell>
          <cell r="D958">
            <v>3506132</v>
          </cell>
          <cell r="E958">
            <v>138</v>
          </cell>
          <cell r="F958">
            <v>325</v>
          </cell>
          <cell r="G958">
            <v>209</v>
          </cell>
          <cell r="H958">
            <v>188</v>
          </cell>
          <cell r="I958">
            <v>402</v>
          </cell>
          <cell r="J958">
            <v>175</v>
          </cell>
          <cell r="K958">
            <v>172</v>
          </cell>
          <cell r="L958">
            <v>179</v>
          </cell>
          <cell r="M958">
            <v>170</v>
          </cell>
        </row>
        <row r="959">
          <cell r="A959">
            <v>5164518</v>
          </cell>
          <cell r="B959">
            <v>5106352</v>
          </cell>
          <cell r="C959">
            <v>4410</v>
          </cell>
          <cell r="D959">
            <v>10505681</v>
          </cell>
          <cell r="E959">
            <v>73</v>
          </cell>
          <cell r="F959">
            <v>479</v>
          </cell>
          <cell r="G959">
            <v>131</v>
          </cell>
          <cell r="H959">
            <v>131</v>
          </cell>
          <cell r="I959">
            <v>81</v>
          </cell>
          <cell r="J959">
            <v>66</v>
          </cell>
          <cell r="K959">
            <v>62</v>
          </cell>
          <cell r="L959">
            <v>80</v>
          </cell>
          <cell r="M959">
            <v>89</v>
          </cell>
        </row>
        <row r="960">
          <cell r="A960">
            <v>5164392</v>
          </cell>
          <cell r="B960">
            <v>5106289</v>
          </cell>
          <cell r="C960">
            <v>4410</v>
          </cell>
          <cell r="D960">
            <v>1910779</v>
          </cell>
          <cell r="E960">
            <v>359</v>
          </cell>
          <cell r="F960">
            <v>269</v>
          </cell>
          <cell r="G960">
            <v>204</v>
          </cell>
          <cell r="H960">
            <v>113</v>
          </cell>
          <cell r="I960">
            <v>284</v>
          </cell>
          <cell r="J960">
            <v>210</v>
          </cell>
          <cell r="K960">
            <v>169</v>
          </cell>
          <cell r="L960">
            <v>8</v>
          </cell>
          <cell r="M960">
            <v>12</v>
          </cell>
        </row>
        <row r="961">
          <cell r="A961">
            <v>5164368</v>
          </cell>
          <cell r="B961">
            <v>5106277</v>
          </cell>
          <cell r="C961">
            <v>4410</v>
          </cell>
          <cell r="D961">
            <v>1692057</v>
          </cell>
          <cell r="E961">
            <v>319</v>
          </cell>
          <cell r="F961">
            <v>340</v>
          </cell>
          <cell r="G961">
            <v>246</v>
          </cell>
          <cell r="H961">
            <v>203</v>
          </cell>
          <cell r="I961">
            <v>210</v>
          </cell>
          <cell r="J961">
            <v>196</v>
          </cell>
          <cell r="K961">
            <v>64</v>
          </cell>
          <cell r="L961">
            <v>170</v>
          </cell>
          <cell r="M961">
            <v>201</v>
          </cell>
        </row>
        <row r="962">
          <cell r="A962">
            <v>5164512</v>
          </cell>
          <cell r="B962">
            <v>5106349</v>
          </cell>
          <cell r="C962">
            <v>4410</v>
          </cell>
          <cell r="D962">
            <v>31987894</v>
          </cell>
          <cell r="E962">
            <v>270</v>
          </cell>
          <cell r="F962">
            <v>241</v>
          </cell>
          <cell r="G962">
            <v>233</v>
          </cell>
          <cell r="H962">
            <v>206</v>
          </cell>
          <cell r="I962">
            <v>269</v>
          </cell>
          <cell r="J962">
            <v>408</v>
          </cell>
          <cell r="K962">
            <v>277</v>
          </cell>
          <cell r="L962">
            <v>256</v>
          </cell>
          <cell r="M962">
            <v>270</v>
          </cell>
        </row>
        <row r="963">
          <cell r="A963">
            <v>5164822</v>
          </cell>
          <cell r="B963">
            <v>5106504</v>
          </cell>
          <cell r="C963">
            <v>4410</v>
          </cell>
          <cell r="D963">
            <v>10277558</v>
          </cell>
          <cell r="E963">
            <v>100</v>
          </cell>
          <cell r="F963">
            <v>92</v>
          </cell>
          <cell r="G963">
            <v>188</v>
          </cell>
          <cell r="H963">
            <v>175</v>
          </cell>
          <cell r="I963">
            <v>89</v>
          </cell>
          <cell r="J963">
            <v>88</v>
          </cell>
          <cell r="K963">
            <v>92</v>
          </cell>
          <cell r="L963">
            <v>85</v>
          </cell>
          <cell r="M963">
            <v>85</v>
          </cell>
        </row>
        <row r="964">
          <cell r="A964">
            <v>5164504</v>
          </cell>
          <cell r="B964">
            <v>5106345</v>
          </cell>
          <cell r="C964">
            <v>4410</v>
          </cell>
          <cell r="D964">
            <v>1691800</v>
          </cell>
          <cell r="E964">
            <v>98</v>
          </cell>
          <cell r="F964">
            <v>95</v>
          </cell>
          <cell r="G964">
            <v>108</v>
          </cell>
          <cell r="H964">
            <v>103</v>
          </cell>
          <cell r="I964">
            <v>113</v>
          </cell>
          <cell r="J964">
            <v>114</v>
          </cell>
          <cell r="K964">
            <v>121</v>
          </cell>
          <cell r="L964">
            <v>135</v>
          </cell>
          <cell r="M964">
            <v>117</v>
          </cell>
        </row>
        <row r="965">
          <cell r="A965">
            <v>5164506</v>
          </cell>
          <cell r="B965">
            <v>5106346</v>
          </cell>
          <cell r="C965">
            <v>4410</v>
          </cell>
          <cell r="D965">
            <v>1905863</v>
          </cell>
          <cell r="E965">
            <v>0</v>
          </cell>
          <cell r="F965">
            <v>0</v>
          </cell>
          <cell r="G965">
            <v>0</v>
          </cell>
          <cell r="H965">
            <v>0</v>
          </cell>
          <cell r="I965">
            <v>0</v>
          </cell>
          <cell r="J965">
            <v>233</v>
          </cell>
          <cell r="K965">
            <v>40</v>
          </cell>
          <cell r="L965">
            <v>43</v>
          </cell>
          <cell r="M965">
            <v>80</v>
          </cell>
        </row>
        <row r="966">
          <cell r="A966">
            <v>5164818</v>
          </cell>
          <cell r="B966">
            <v>5106502</v>
          </cell>
          <cell r="C966">
            <v>4410</v>
          </cell>
          <cell r="D966">
            <v>1501560</v>
          </cell>
          <cell r="E966">
            <v>121</v>
          </cell>
          <cell r="F966">
            <v>95</v>
          </cell>
          <cell r="G966">
            <v>106</v>
          </cell>
          <cell r="H966">
            <v>97</v>
          </cell>
          <cell r="I966">
            <v>90</v>
          </cell>
          <cell r="J966">
            <v>98</v>
          </cell>
          <cell r="K966">
            <v>103</v>
          </cell>
          <cell r="L966">
            <v>105</v>
          </cell>
          <cell r="M966">
            <v>90</v>
          </cell>
        </row>
        <row r="967">
          <cell r="A967">
            <v>5164354</v>
          </cell>
          <cell r="B967">
            <v>5106270</v>
          </cell>
          <cell r="C967">
            <v>4410</v>
          </cell>
          <cell r="D967">
            <v>1840042</v>
          </cell>
          <cell r="E967">
            <v>62</v>
          </cell>
          <cell r="F967">
            <v>14</v>
          </cell>
          <cell r="G967">
            <v>25</v>
          </cell>
          <cell r="H967">
            <v>90</v>
          </cell>
          <cell r="I967">
            <v>71</v>
          </cell>
          <cell r="J967">
            <v>70</v>
          </cell>
          <cell r="K967">
            <v>69</v>
          </cell>
          <cell r="L967">
            <v>88</v>
          </cell>
          <cell r="M967">
            <v>84</v>
          </cell>
        </row>
        <row r="968">
          <cell r="A968">
            <v>5164524</v>
          </cell>
          <cell r="B968">
            <v>5106355</v>
          </cell>
          <cell r="C968">
            <v>4410</v>
          </cell>
          <cell r="D968">
            <v>7286891</v>
          </cell>
          <cell r="E968">
            <v>108</v>
          </cell>
          <cell r="F968">
            <v>88</v>
          </cell>
          <cell r="G968">
            <v>95</v>
          </cell>
          <cell r="H968">
            <v>140</v>
          </cell>
          <cell r="I968">
            <v>174</v>
          </cell>
          <cell r="J968">
            <v>160</v>
          </cell>
          <cell r="K968">
            <v>165</v>
          </cell>
          <cell r="L968">
            <v>267</v>
          </cell>
          <cell r="M968">
            <v>255</v>
          </cell>
        </row>
        <row r="969">
          <cell r="A969">
            <v>5164828</v>
          </cell>
          <cell r="B969">
            <v>5106507</v>
          </cell>
          <cell r="C969">
            <v>4410</v>
          </cell>
          <cell r="D969">
            <v>7288592</v>
          </cell>
          <cell r="E969">
            <v>712</v>
          </cell>
          <cell r="F969">
            <v>570</v>
          </cell>
          <cell r="G969">
            <v>616</v>
          </cell>
          <cell r="H969">
            <v>757</v>
          </cell>
          <cell r="I969">
            <v>775</v>
          </cell>
          <cell r="J969">
            <v>710</v>
          </cell>
          <cell r="K969">
            <v>735</v>
          </cell>
          <cell r="L969">
            <v>683</v>
          </cell>
          <cell r="M969">
            <v>706</v>
          </cell>
        </row>
        <row r="970">
          <cell r="A970">
            <v>5164826</v>
          </cell>
          <cell r="B970">
            <v>5106506</v>
          </cell>
          <cell r="C970">
            <v>4410</v>
          </cell>
          <cell r="D970">
            <v>7314557</v>
          </cell>
          <cell r="E970">
            <v>110</v>
          </cell>
          <cell r="F970">
            <v>86</v>
          </cell>
          <cell r="G970">
            <v>117</v>
          </cell>
          <cell r="H970">
            <v>123</v>
          </cell>
          <cell r="I970">
            <v>156</v>
          </cell>
          <cell r="J970">
            <v>132</v>
          </cell>
          <cell r="K970">
            <v>141</v>
          </cell>
          <cell r="L970">
            <v>148</v>
          </cell>
          <cell r="M970">
            <v>149</v>
          </cell>
        </row>
        <row r="971">
          <cell r="A971">
            <v>5164522</v>
          </cell>
          <cell r="B971">
            <v>5106354</v>
          </cell>
          <cell r="C971">
            <v>4410</v>
          </cell>
          <cell r="D971">
            <v>18490468</v>
          </cell>
          <cell r="E971">
            <v>226</v>
          </cell>
          <cell r="F971">
            <v>173</v>
          </cell>
          <cell r="G971">
            <v>190</v>
          </cell>
          <cell r="H971">
            <v>178</v>
          </cell>
          <cell r="I971">
            <v>172</v>
          </cell>
          <cell r="J971">
            <v>191</v>
          </cell>
          <cell r="K971">
            <v>192</v>
          </cell>
          <cell r="L971">
            <v>214</v>
          </cell>
          <cell r="M971">
            <v>188</v>
          </cell>
        </row>
        <row r="972">
          <cell r="A972">
            <v>5164370</v>
          </cell>
          <cell r="B972">
            <v>5106278</v>
          </cell>
          <cell r="C972">
            <v>4410</v>
          </cell>
          <cell r="D972">
            <v>18492531</v>
          </cell>
          <cell r="E972">
            <v>134</v>
          </cell>
          <cell r="F972">
            <v>71</v>
          </cell>
          <cell r="G972">
            <v>102</v>
          </cell>
          <cell r="H972">
            <v>73</v>
          </cell>
          <cell r="I972">
            <v>68</v>
          </cell>
          <cell r="J972">
            <v>61</v>
          </cell>
          <cell r="K972">
            <v>63</v>
          </cell>
          <cell r="L972">
            <v>80</v>
          </cell>
          <cell r="M972">
            <v>73</v>
          </cell>
        </row>
        <row r="973">
          <cell r="A973">
            <v>5184278</v>
          </cell>
          <cell r="B973">
            <v>5116232</v>
          </cell>
          <cell r="C973">
            <v>4410</v>
          </cell>
          <cell r="D973">
            <v>31981477</v>
          </cell>
          <cell r="E973">
            <v>172</v>
          </cell>
          <cell r="F973">
            <v>152</v>
          </cell>
          <cell r="G973">
            <v>148</v>
          </cell>
          <cell r="H973">
            <v>144</v>
          </cell>
          <cell r="I973">
            <v>213</v>
          </cell>
          <cell r="J973">
            <v>129</v>
          </cell>
          <cell r="K973">
            <v>126</v>
          </cell>
          <cell r="L973">
            <v>48</v>
          </cell>
          <cell r="M973">
            <v>15</v>
          </cell>
        </row>
        <row r="974">
          <cell r="A974">
            <v>5164322</v>
          </cell>
          <cell r="B974">
            <v>5106254</v>
          </cell>
          <cell r="C974">
            <v>4410</v>
          </cell>
          <cell r="D974">
            <v>1320359</v>
          </cell>
          <cell r="E974">
            <v>599</v>
          </cell>
          <cell r="F974">
            <v>713</v>
          </cell>
          <cell r="G974">
            <v>743</v>
          </cell>
          <cell r="H974">
            <v>335</v>
          </cell>
          <cell r="I974">
            <v>105</v>
          </cell>
          <cell r="J974">
            <v>142</v>
          </cell>
          <cell r="K974">
            <v>115</v>
          </cell>
          <cell r="L974">
            <v>132</v>
          </cell>
          <cell r="M974">
            <v>128</v>
          </cell>
        </row>
        <row r="975">
          <cell r="A975">
            <v>5164336</v>
          </cell>
          <cell r="B975">
            <v>5106261</v>
          </cell>
          <cell r="C975">
            <v>4410</v>
          </cell>
          <cell r="D975">
            <v>3524447</v>
          </cell>
          <cell r="E975">
            <v>188</v>
          </cell>
          <cell r="F975">
            <v>382</v>
          </cell>
          <cell r="G975">
            <v>145</v>
          </cell>
          <cell r="H975">
            <v>422</v>
          </cell>
          <cell r="I975">
            <v>337</v>
          </cell>
          <cell r="J975">
            <v>288</v>
          </cell>
          <cell r="K975">
            <v>129</v>
          </cell>
          <cell r="L975">
            <v>105</v>
          </cell>
          <cell r="M975">
            <v>87</v>
          </cell>
        </row>
        <row r="976">
          <cell r="A976">
            <v>5164326</v>
          </cell>
          <cell r="B976">
            <v>5106256</v>
          </cell>
          <cell r="C976">
            <v>4410</v>
          </cell>
          <cell r="D976">
            <v>3524645</v>
          </cell>
          <cell r="E976">
            <v>146</v>
          </cell>
          <cell r="F976">
            <v>143</v>
          </cell>
          <cell r="G976">
            <v>133</v>
          </cell>
          <cell r="H976">
            <v>246</v>
          </cell>
          <cell r="I976">
            <v>119</v>
          </cell>
          <cell r="J976">
            <v>118</v>
          </cell>
          <cell r="K976">
            <v>124</v>
          </cell>
          <cell r="L976">
            <v>128</v>
          </cell>
          <cell r="M976">
            <v>140</v>
          </cell>
        </row>
        <row r="977">
          <cell r="A977">
            <v>5164324</v>
          </cell>
          <cell r="B977">
            <v>5106255</v>
          </cell>
          <cell r="C977">
            <v>4410</v>
          </cell>
          <cell r="D977">
            <v>3524663</v>
          </cell>
          <cell r="E977">
            <v>151</v>
          </cell>
          <cell r="F977">
            <v>119</v>
          </cell>
          <cell r="G977">
            <v>123</v>
          </cell>
          <cell r="H977">
            <v>355</v>
          </cell>
          <cell r="I977">
            <v>114</v>
          </cell>
          <cell r="J977">
            <v>103</v>
          </cell>
          <cell r="K977">
            <v>90</v>
          </cell>
          <cell r="L977">
            <v>107</v>
          </cell>
          <cell r="M977">
            <v>120</v>
          </cell>
        </row>
        <row r="978">
          <cell r="A978">
            <v>5164340</v>
          </cell>
          <cell r="B978">
            <v>5106263</v>
          </cell>
          <cell r="C978">
            <v>4410</v>
          </cell>
          <cell r="D978">
            <v>3524586</v>
          </cell>
          <cell r="E978">
            <v>172</v>
          </cell>
          <cell r="F978">
            <v>152</v>
          </cell>
          <cell r="G978">
            <v>148</v>
          </cell>
          <cell r="H978">
            <v>137</v>
          </cell>
          <cell r="I978">
            <v>131</v>
          </cell>
          <cell r="J978">
            <v>133</v>
          </cell>
          <cell r="K978">
            <v>125</v>
          </cell>
          <cell r="L978">
            <v>165</v>
          </cell>
          <cell r="M978">
            <v>127</v>
          </cell>
        </row>
        <row r="979">
          <cell r="A979">
            <v>5164338</v>
          </cell>
          <cell r="B979">
            <v>5106262</v>
          </cell>
          <cell r="C979">
            <v>4410</v>
          </cell>
          <cell r="D979">
            <v>3524602</v>
          </cell>
          <cell r="E979">
            <v>163</v>
          </cell>
          <cell r="F979">
            <v>99</v>
          </cell>
          <cell r="G979">
            <v>136</v>
          </cell>
          <cell r="H979">
            <v>233</v>
          </cell>
          <cell r="I979">
            <v>236</v>
          </cell>
          <cell r="J979">
            <v>247</v>
          </cell>
          <cell r="K979">
            <v>271</v>
          </cell>
          <cell r="L979">
            <v>251</v>
          </cell>
          <cell r="M979">
            <v>302</v>
          </cell>
        </row>
        <row r="980">
          <cell r="A980">
            <v>5164346</v>
          </cell>
          <cell r="B980">
            <v>5106266</v>
          </cell>
          <cell r="C980">
            <v>4410</v>
          </cell>
          <cell r="D980">
            <v>3524665</v>
          </cell>
          <cell r="E980">
            <v>198</v>
          </cell>
          <cell r="F980">
            <v>138</v>
          </cell>
          <cell r="G980">
            <v>153</v>
          </cell>
          <cell r="H980">
            <v>123</v>
          </cell>
          <cell r="I980">
            <v>113</v>
          </cell>
          <cell r="J980">
            <v>99</v>
          </cell>
          <cell r="K980">
            <v>105</v>
          </cell>
          <cell r="L980">
            <v>104</v>
          </cell>
          <cell r="M980">
            <v>182</v>
          </cell>
        </row>
        <row r="981">
          <cell r="A981">
            <v>5164328</v>
          </cell>
          <cell r="B981">
            <v>5106257</v>
          </cell>
          <cell r="C981">
            <v>4410</v>
          </cell>
          <cell r="D981">
            <v>3524647</v>
          </cell>
          <cell r="E981">
            <v>241</v>
          </cell>
          <cell r="F981">
            <v>215</v>
          </cell>
          <cell r="G981">
            <v>208</v>
          </cell>
          <cell r="H981">
            <v>204</v>
          </cell>
          <cell r="I981">
            <v>217</v>
          </cell>
          <cell r="J981">
            <v>201</v>
          </cell>
          <cell r="K981">
            <v>221</v>
          </cell>
          <cell r="L981">
            <v>208</v>
          </cell>
          <cell r="M981">
            <v>216</v>
          </cell>
        </row>
        <row r="982">
          <cell r="A982">
            <v>5164330</v>
          </cell>
          <cell r="B982">
            <v>5106258</v>
          </cell>
          <cell r="C982">
            <v>4410</v>
          </cell>
          <cell r="D982">
            <v>3524581</v>
          </cell>
          <cell r="E982">
            <v>66</v>
          </cell>
          <cell r="F982">
            <v>56</v>
          </cell>
          <cell r="G982">
            <v>48</v>
          </cell>
          <cell r="H982">
            <v>156</v>
          </cell>
          <cell r="I982">
            <v>174</v>
          </cell>
          <cell r="J982">
            <v>154</v>
          </cell>
          <cell r="K982">
            <v>155</v>
          </cell>
          <cell r="L982">
            <v>138</v>
          </cell>
          <cell r="M982">
            <v>161</v>
          </cell>
        </row>
        <row r="983">
          <cell r="A983">
            <v>5164332</v>
          </cell>
          <cell r="B983">
            <v>5106259</v>
          </cell>
          <cell r="C983">
            <v>4410</v>
          </cell>
          <cell r="D983">
            <v>3524448</v>
          </cell>
          <cell r="E983">
            <v>194</v>
          </cell>
          <cell r="F983">
            <v>163</v>
          </cell>
          <cell r="G983">
            <v>125</v>
          </cell>
          <cell r="H983">
            <v>105</v>
          </cell>
          <cell r="I983">
            <v>157</v>
          </cell>
          <cell r="J983">
            <v>118</v>
          </cell>
          <cell r="K983">
            <v>129</v>
          </cell>
          <cell r="L983">
            <v>148</v>
          </cell>
          <cell r="M983">
            <v>103</v>
          </cell>
        </row>
        <row r="984">
          <cell r="A984">
            <v>5164344</v>
          </cell>
          <cell r="B984">
            <v>5106265</v>
          </cell>
          <cell r="C984">
            <v>4410</v>
          </cell>
          <cell r="D984">
            <v>3524464</v>
          </cell>
          <cell r="E984">
            <v>138</v>
          </cell>
          <cell r="F984">
            <v>115</v>
          </cell>
          <cell r="G984">
            <v>119</v>
          </cell>
          <cell r="H984">
            <v>302</v>
          </cell>
          <cell r="I984">
            <v>548</v>
          </cell>
          <cell r="J984">
            <v>242</v>
          </cell>
          <cell r="K984">
            <v>245</v>
          </cell>
          <cell r="L984">
            <v>255</v>
          </cell>
          <cell r="M984">
            <v>280</v>
          </cell>
        </row>
        <row r="985">
          <cell r="A985">
            <v>5164540</v>
          </cell>
          <cell r="B985">
            <v>5106363</v>
          </cell>
          <cell r="C985">
            <v>4410</v>
          </cell>
          <cell r="D985">
            <v>3524446</v>
          </cell>
          <cell r="E985">
            <v>304</v>
          </cell>
          <cell r="F985">
            <v>180</v>
          </cell>
          <cell r="G985">
            <v>236</v>
          </cell>
          <cell r="H985">
            <v>143</v>
          </cell>
          <cell r="I985">
            <v>137</v>
          </cell>
          <cell r="J985">
            <v>192</v>
          </cell>
          <cell r="K985">
            <v>206</v>
          </cell>
          <cell r="L985">
            <v>189</v>
          </cell>
          <cell r="M985">
            <v>205</v>
          </cell>
        </row>
        <row r="986">
          <cell r="A986">
            <v>5071984</v>
          </cell>
          <cell r="B986">
            <v>5060085</v>
          </cell>
          <cell r="C986">
            <v>4410</v>
          </cell>
          <cell r="D986">
            <v>1692913</v>
          </cell>
          <cell r="E986">
            <v>683</v>
          </cell>
          <cell r="F986">
            <v>262</v>
          </cell>
          <cell r="G986">
            <v>126</v>
          </cell>
          <cell r="H986">
            <v>135</v>
          </cell>
          <cell r="I986">
            <v>148</v>
          </cell>
          <cell r="J986">
            <v>155</v>
          </cell>
          <cell r="K986">
            <v>185</v>
          </cell>
          <cell r="L986">
            <v>208</v>
          </cell>
          <cell r="M986">
            <v>406</v>
          </cell>
        </row>
        <row r="987">
          <cell r="A987">
            <v>5164528</v>
          </cell>
          <cell r="B987">
            <v>5106357</v>
          </cell>
          <cell r="C987">
            <v>4410</v>
          </cell>
          <cell r="D987">
            <v>70000569</v>
          </cell>
          <cell r="E987">
            <v>37</v>
          </cell>
          <cell r="F987">
            <v>35</v>
          </cell>
          <cell r="G987">
            <v>55</v>
          </cell>
          <cell r="H987">
            <v>49</v>
          </cell>
          <cell r="I987">
            <v>50</v>
          </cell>
          <cell r="J987">
            <v>53</v>
          </cell>
          <cell r="K987">
            <v>53</v>
          </cell>
          <cell r="L987">
            <v>74</v>
          </cell>
          <cell r="M987">
            <v>66</v>
          </cell>
        </row>
        <row r="988">
          <cell r="A988">
            <v>5164530</v>
          </cell>
          <cell r="B988">
            <v>5106358</v>
          </cell>
          <cell r="C988">
            <v>4410</v>
          </cell>
          <cell r="D988">
            <v>70005187</v>
          </cell>
          <cell r="E988">
            <v>177</v>
          </cell>
          <cell r="F988">
            <v>104</v>
          </cell>
          <cell r="G988">
            <v>166</v>
          </cell>
          <cell r="H988">
            <v>217</v>
          </cell>
          <cell r="I988">
            <v>192</v>
          </cell>
          <cell r="J988">
            <v>109</v>
          </cell>
          <cell r="K988">
            <v>118</v>
          </cell>
          <cell r="L988">
            <v>115</v>
          </cell>
          <cell r="M988">
            <v>89</v>
          </cell>
        </row>
        <row r="989">
          <cell r="A989">
            <v>5164534</v>
          </cell>
          <cell r="B989">
            <v>5106360</v>
          </cell>
          <cell r="C989">
            <v>4410</v>
          </cell>
          <cell r="D989">
            <v>156345</v>
          </cell>
          <cell r="E989">
            <v>132</v>
          </cell>
          <cell r="F989">
            <v>105</v>
          </cell>
          <cell r="G989">
            <v>106</v>
          </cell>
          <cell r="H989">
            <v>107</v>
          </cell>
          <cell r="I989">
            <v>135</v>
          </cell>
          <cell r="J989">
            <v>130</v>
          </cell>
          <cell r="K989">
            <v>124</v>
          </cell>
          <cell r="L989">
            <v>149</v>
          </cell>
          <cell r="M989">
            <v>145</v>
          </cell>
        </row>
        <row r="990">
          <cell r="A990">
            <v>5164348</v>
          </cell>
          <cell r="B990">
            <v>5106267</v>
          </cell>
          <cell r="C990">
            <v>4410</v>
          </cell>
          <cell r="D990">
            <v>10275683</v>
          </cell>
          <cell r="E990">
            <v>771</v>
          </cell>
          <cell r="F990">
            <v>571</v>
          </cell>
          <cell r="G990">
            <v>617</v>
          </cell>
          <cell r="H990">
            <v>604</v>
          </cell>
          <cell r="I990">
            <v>652</v>
          </cell>
          <cell r="J990">
            <v>586</v>
          </cell>
          <cell r="K990">
            <v>634</v>
          </cell>
          <cell r="L990">
            <v>692</v>
          </cell>
          <cell r="M990">
            <v>808</v>
          </cell>
        </row>
        <row r="991">
          <cell r="A991">
            <v>5164532</v>
          </cell>
          <cell r="B991">
            <v>5106359</v>
          </cell>
          <cell r="C991">
            <v>4410</v>
          </cell>
          <cell r="D991">
            <v>1691801</v>
          </cell>
          <cell r="E991">
            <v>51</v>
          </cell>
          <cell r="F991">
            <v>47</v>
          </cell>
          <cell r="G991">
            <v>0</v>
          </cell>
          <cell r="H991">
            <v>29</v>
          </cell>
          <cell r="I991">
            <v>171</v>
          </cell>
          <cell r="J991">
            <v>149</v>
          </cell>
          <cell r="K991">
            <v>138</v>
          </cell>
          <cell r="L991">
            <v>160</v>
          </cell>
          <cell r="M991">
            <v>150</v>
          </cell>
        </row>
        <row r="992">
          <cell r="A992">
            <v>5164536</v>
          </cell>
          <cell r="B992">
            <v>5106361</v>
          </cell>
          <cell r="C992">
            <v>4410</v>
          </cell>
          <cell r="D992">
            <v>1691870</v>
          </cell>
          <cell r="E992">
            <v>95</v>
          </cell>
          <cell r="F992">
            <v>61</v>
          </cell>
          <cell r="G992">
            <v>68</v>
          </cell>
          <cell r="H992">
            <v>56</v>
          </cell>
          <cell r="I992">
            <v>64</v>
          </cell>
          <cell r="J992">
            <v>62</v>
          </cell>
          <cell r="K992">
            <v>65</v>
          </cell>
          <cell r="L992">
            <v>67</v>
          </cell>
          <cell r="M992">
            <v>67</v>
          </cell>
        </row>
        <row r="993">
          <cell r="A993">
            <v>5164334</v>
          </cell>
          <cell r="B993">
            <v>5106260</v>
          </cell>
          <cell r="C993">
            <v>4410</v>
          </cell>
          <cell r="D993">
            <v>444202</v>
          </cell>
          <cell r="E993">
            <v>97</v>
          </cell>
          <cell r="F993">
            <v>94</v>
          </cell>
          <cell r="G993">
            <v>81</v>
          </cell>
          <cell r="H993">
            <v>149</v>
          </cell>
          <cell r="I993">
            <v>250</v>
          </cell>
          <cell r="J993">
            <v>208</v>
          </cell>
          <cell r="K993">
            <v>237</v>
          </cell>
          <cell r="L993">
            <v>259</v>
          </cell>
          <cell r="M993">
            <v>272</v>
          </cell>
        </row>
        <row r="994">
          <cell r="A994">
            <v>5077372</v>
          </cell>
          <cell r="B994">
            <v>5062779</v>
          </cell>
          <cell r="C994">
            <v>4410</v>
          </cell>
          <cell r="D994">
            <v>2951353</v>
          </cell>
          <cell r="E994">
            <v>138</v>
          </cell>
          <cell r="F994">
            <v>120</v>
          </cell>
          <cell r="G994">
            <v>167</v>
          </cell>
          <cell r="H994">
            <v>217</v>
          </cell>
          <cell r="I994">
            <v>257</v>
          </cell>
          <cell r="J994">
            <v>226</v>
          </cell>
          <cell r="K994">
            <v>161</v>
          </cell>
          <cell r="L994">
            <v>153</v>
          </cell>
          <cell r="M994">
            <v>124</v>
          </cell>
        </row>
        <row r="995">
          <cell r="A995">
            <v>5072320</v>
          </cell>
          <cell r="B995">
            <v>5060253</v>
          </cell>
          <cell r="C995">
            <v>4410</v>
          </cell>
          <cell r="D995">
            <v>1693320</v>
          </cell>
          <cell r="E995">
            <v>139</v>
          </cell>
          <cell r="F995">
            <v>70</v>
          </cell>
          <cell r="G995">
            <v>247</v>
          </cell>
          <cell r="H995">
            <v>213</v>
          </cell>
          <cell r="I995">
            <v>220</v>
          </cell>
          <cell r="J995">
            <v>178</v>
          </cell>
          <cell r="K995">
            <v>331</v>
          </cell>
          <cell r="L995">
            <v>229</v>
          </cell>
          <cell r="M995">
            <v>359</v>
          </cell>
        </row>
        <row r="996">
          <cell r="A996">
            <v>5164174</v>
          </cell>
          <cell r="B996">
            <v>5106180</v>
          </cell>
          <cell r="C996">
            <v>4410</v>
          </cell>
          <cell r="D996">
            <v>210751</v>
          </cell>
          <cell r="E996">
            <v>122</v>
          </cell>
          <cell r="F996">
            <v>120</v>
          </cell>
          <cell r="G996">
            <v>138</v>
          </cell>
          <cell r="H996">
            <v>19</v>
          </cell>
          <cell r="I996">
            <v>119</v>
          </cell>
          <cell r="J996">
            <v>108</v>
          </cell>
          <cell r="K996">
            <v>107</v>
          </cell>
          <cell r="L996">
            <v>96</v>
          </cell>
          <cell r="M996">
            <v>0</v>
          </cell>
        </row>
        <row r="997">
          <cell r="A997">
            <v>5164186</v>
          </cell>
          <cell r="B997">
            <v>5106186</v>
          </cell>
          <cell r="C997">
            <v>4410</v>
          </cell>
          <cell r="D997">
            <v>219291</v>
          </cell>
          <cell r="E997">
            <v>257</v>
          </cell>
          <cell r="F997">
            <v>205</v>
          </cell>
          <cell r="G997">
            <v>249</v>
          </cell>
          <cell r="H997">
            <v>207</v>
          </cell>
          <cell r="I997">
            <v>200</v>
          </cell>
          <cell r="J997">
            <v>198</v>
          </cell>
          <cell r="K997">
            <v>191</v>
          </cell>
          <cell r="L997">
            <v>218</v>
          </cell>
          <cell r="M997">
            <v>224</v>
          </cell>
        </row>
        <row r="998">
          <cell r="A998">
            <v>5075980</v>
          </cell>
          <cell r="B998">
            <v>5062083</v>
          </cell>
          <cell r="C998">
            <v>4410</v>
          </cell>
          <cell r="D998">
            <v>10275001</v>
          </cell>
          <cell r="E998">
            <v>44</v>
          </cell>
          <cell r="F998">
            <v>44</v>
          </cell>
          <cell r="G998">
            <v>53</v>
          </cell>
          <cell r="H998">
            <v>53</v>
          </cell>
          <cell r="I998">
            <v>42</v>
          </cell>
          <cell r="J998">
            <v>40</v>
          </cell>
          <cell r="K998">
            <v>42</v>
          </cell>
          <cell r="L998">
            <v>39</v>
          </cell>
          <cell r="M998">
            <v>44</v>
          </cell>
        </row>
        <row r="999">
          <cell r="A999">
            <v>5164176</v>
          </cell>
          <cell r="B999">
            <v>5106181</v>
          </cell>
          <cell r="C999">
            <v>4410</v>
          </cell>
          <cell r="D999">
            <v>1911743</v>
          </cell>
          <cell r="E999">
            <v>166</v>
          </cell>
          <cell r="F999">
            <v>170</v>
          </cell>
          <cell r="G999">
            <v>115</v>
          </cell>
          <cell r="H999">
            <v>122</v>
          </cell>
          <cell r="I999">
            <v>170</v>
          </cell>
          <cell r="J999">
            <v>125</v>
          </cell>
          <cell r="K999">
            <v>127</v>
          </cell>
          <cell r="L999">
            <v>110</v>
          </cell>
          <cell r="M999">
            <v>135</v>
          </cell>
        </row>
        <row r="1000">
          <cell r="A1000">
            <v>5164188</v>
          </cell>
          <cell r="B1000">
            <v>5106187</v>
          </cell>
          <cell r="C1000">
            <v>4410</v>
          </cell>
          <cell r="D1000">
            <v>7102593</v>
          </cell>
          <cell r="E1000">
            <v>119</v>
          </cell>
          <cell r="F1000">
            <v>0</v>
          </cell>
          <cell r="G1000">
            <v>186</v>
          </cell>
          <cell r="H1000">
            <v>73</v>
          </cell>
          <cell r="I1000">
            <v>210</v>
          </cell>
          <cell r="J1000">
            <v>229</v>
          </cell>
          <cell r="K1000">
            <v>248</v>
          </cell>
          <cell r="L1000">
            <v>171</v>
          </cell>
          <cell r="M1000">
            <v>183</v>
          </cell>
        </row>
        <row r="1001">
          <cell r="A1001">
            <v>6049965</v>
          </cell>
          <cell r="B1001">
            <v>5901484</v>
          </cell>
          <cell r="C1001">
            <v>4410</v>
          </cell>
          <cell r="D1001">
            <v>3364065</v>
          </cell>
          <cell r="L1001">
            <v>184</v>
          </cell>
          <cell r="M1001">
            <v>162</v>
          </cell>
        </row>
        <row r="1002">
          <cell r="A1002">
            <v>6031512</v>
          </cell>
          <cell r="B1002">
            <v>5895400</v>
          </cell>
          <cell r="C1002">
            <v>4410</v>
          </cell>
          <cell r="D1002">
            <v>31988422</v>
          </cell>
          <cell r="K1002">
            <v>65</v>
          </cell>
          <cell r="L1002">
            <v>70</v>
          </cell>
          <cell r="M1002">
            <v>96</v>
          </cell>
        </row>
        <row r="1003">
          <cell r="A1003">
            <v>5972120</v>
          </cell>
          <cell r="B1003">
            <v>5880600</v>
          </cell>
          <cell r="C1003">
            <v>4410</v>
          </cell>
          <cell r="D1003">
            <v>10406970</v>
          </cell>
          <cell r="H1003">
            <v>51</v>
          </cell>
          <cell r="I1003">
            <v>58</v>
          </cell>
          <cell r="J1003">
            <v>53</v>
          </cell>
          <cell r="K1003">
            <v>54</v>
          </cell>
          <cell r="L1003">
            <v>52</v>
          </cell>
          <cell r="M1003">
            <v>57</v>
          </cell>
        </row>
        <row r="1004">
          <cell r="A1004">
            <v>5446730</v>
          </cell>
          <cell r="B1004">
            <v>5366452</v>
          </cell>
          <cell r="C1004">
            <v>4410</v>
          </cell>
          <cell r="D1004">
            <v>3196633</v>
          </cell>
          <cell r="H1004">
            <v>1748</v>
          </cell>
          <cell r="I1004">
            <v>768</v>
          </cell>
          <cell r="J1004">
            <v>720</v>
          </cell>
          <cell r="K1004">
            <v>768</v>
          </cell>
          <cell r="L1004">
            <v>696</v>
          </cell>
          <cell r="M1004">
            <v>0</v>
          </cell>
        </row>
        <row r="1005">
          <cell r="A1005">
            <v>5190124</v>
          </cell>
          <cell r="B1005">
            <v>5119155</v>
          </cell>
          <cell r="C1005">
            <v>4410</v>
          </cell>
          <cell r="D1005">
            <v>10245780</v>
          </cell>
          <cell r="E1005">
            <v>1700</v>
          </cell>
          <cell r="F1005">
            <v>4008</v>
          </cell>
          <cell r="G1005">
            <v>4178</v>
          </cell>
          <cell r="H1005">
            <v>3482</v>
          </cell>
          <cell r="I1005">
            <v>4139</v>
          </cell>
          <cell r="J1005">
            <v>3887</v>
          </cell>
          <cell r="K1005">
            <v>4305</v>
          </cell>
          <cell r="L1005">
            <v>2482</v>
          </cell>
          <cell r="M1005">
            <v>1281</v>
          </cell>
        </row>
        <row r="1006">
          <cell r="A1006">
            <v>5186012</v>
          </cell>
          <cell r="B1006">
            <v>5117099</v>
          </cell>
          <cell r="C1006">
            <v>4410</v>
          </cell>
          <cell r="D1006">
            <v>32998053</v>
          </cell>
          <cell r="E1006">
            <v>233</v>
          </cell>
          <cell r="F1006">
            <v>206</v>
          </cell>
          <cell r="G1006">
            <v>200</v>
          </cell>
          <cell r="H1006">
            <v>189</v>
          </cell>
          <cell r="I1006">
            <v>273</v>
          </cell>
          <cell r="J1006">
            <v>794</v>
          </cell>
          <cell r="K1006">
            <v>0</v>
          </cell>
          <cell r="L1006">
            <v>186</v>
          </cell>
          <cell r="M1006">
            <v>2349</v>
          </cell>
        </row>
        <row r="1007">
          <cell r="A1007">
            <v>5186004</v>
          </cell>
          <cell r="B1007">
            <v>5117095</v>
          </cell>
          <cell r="C1007">
            <v>4410</v>
          </cell>
          <cell r="D1007">
            <v>31981484</v>
          </cell>
          <cell r="E1007">
            <v>265</v>
          </cell>
          <cell r="F1007">
            <v>280</v>
          </cell>
          <cell r="G1007">
            <v>153</v>
          </cell>
          <cell r="H1007">
            <v>147</v>
          </cell>
          <cell r="I1007">
            <v>159</v>
          </cell>
          <cell r="J1007">
            <v>145</v>
          </cell>
          <cell r="K1007">
            <v>164</v>
          </cell>
          <cell r="L1007">
            <v>164</v>
          </cell>
          <cell r="M1007">
            <v>196</v>
          </cell>
        </row>
        <row r="1008">
          <cell r="A1008">
            <v>5186002</v>
          </cell>
          <cell r="B1008">
            <v>5117094</v>
          </cell>
          <cell r="C1008">
            <v>4410</v>
          </cell>
          <cell r="D1008">
            <v>3305173</v>
          </cell>
          <cell r="E1008">
            <v>17</v>
          </cell>
          <cell r="F1008">
            <v>79</v>
          </cell>
          <cell r="G1008">
            <v>69</v>
          </cell>
          <cell r="H1008">
            <v>59</v>
          </cell>
          <cell r="I1008">
            <v>113</v>
          </cell>
          <cell r="J1008">
            <v>83</v>
          </cell>
          <cell r="K1008">
            <v>123</v>
          </cell>
          <cell r="L1008">
            <v>112</v>
          </cell>
          <cell r="M1008">
            <v>133</v>
          </cell>
        </row>
        <row r="1009">
          <cell r="A1009">
            <v>5186000</v>
          </cell>
          <cell r="B1009">
            <v>5117093</v>
          </cell>
          <cell r="C1009">
            <v>4410</v>
          </cell>
          <cell r="D1009">
            <v>31981483</v>
          </cell>
          <cell r="E1009">
            <v>217</v>
          </cell>
          <cell r="F1009">
            <v>166</v>
          </cell>
          <cell r="G1009">
            <v>190</v>
          </cell>
          <cell r="H1009">
            <v>177</v>
          </cell>
          <cell r="I1009">
            <v>193</v>
          </cell>
          <cell r="J1009">
            <v>168</v>
          </cell>
          <cell r="K1009">
            <v>182</v>
          </cell>
          <cell r="L1009">
            <v>169</v>
          </cell>
          <cell r="M1009">
            <v>195</v>
          </cell>
        </row>
        <row r="1010">
          <cell r="A1010">
            <v>5185996</v>
          </cell>
          <cell r="B1010">
            <v>5117091</v>
          </cell>
          <cell r="C1010">
            <v>4410</v>
          </cell>
          <cell r="D1010">
            <v>719410</v>
          </cell>
          <cell r="E1010">
            <v>184</v>
          </cell>
          <cell r="F1010">
            <v>264</v>
          </cell>
          <cell r="G1010">
            <v>147</v>
          </cell>
          <cell r="H1010">
            <v>155</v>
          </cell>
          <cell r="I1010">
            <v>163</v>
          </cell>
          <cell r="J1010">
            <v>148</v>
          </cell>
          <cell r="K1010">
            <v>162</v>
          </cell>
          <cell r="L1010">
            <v>154</v>
          </cell>
          <cell r="M1010">
            <v>145</v>
          </cell>
        </row>
        <row r="1011">
          <cell r="A1011">
            <v>5185994</v>
          </cell>
          <cell r="B1011">
            <v>5117090</v>
          </cell>
          <cell r="C1011">
            <v>4410</v>
          </cell>
          <cell r="D1011">
            <v>1501756</v>
          </cell>
          <cell r="E1011">
            <v>128</v>
          </cell>
          <cell r="F1011">
            <v>100</v>
          </cell>
          <cell r="G1011">
            <v>108</v>
          </cell>
          <cell r="H1011">
            <v>104</v>
          </cell>
          <cell r="I1011">
            <v>109</v>
          </cell>
          <cell r="J1011">
            <v>96</v>
          </cell>
          <cell r="K1011">
            <v>108</v>
          </cell>
          <cell r="L1011">
            <v>100</v>
          </cell>
          <cell r="M1011">
            <v>119</v>
          </cell>
        </row>
        <row r="1012">
          <cell r="A1012">
            <v>5185992</v>
          </cell>
          <cell r="B1012">
            <v>5117089</v>
          </cell>
          <cell r="C1012">
            <v>4410</v>
          </cell>
          <cell r="D1012">
            <v>3354961</v>
          </cell>
          <cell r="E1012">
            <v>233</v>
          </cell>
          <cell r="F1012">
            <v>142</v>
          </cell>
          <cell r="G1012">
            <v>98</v>
          </cell>
          <cell r="H1012">
            <v>76</v>
          </cell>
          <cell r="I1012">
            <v>92</v>
          </cell>
          <cell r="J1012">
            <v>85</v>
          </cell>
          <cell r="K1012">
            <v>100</v>
          </cell>
          <cell r="L1012">
            <v>86</v>
          </cell>
          <cell r="M1012">
            <v>107</v>
          </cell>
        </row>
        <row r="1013">
          <cell r="A1013">
            <v>5185990</v>
          </cell>
          <cell r="B1013">
            <v>5117088</v>
          </cell>
          <cell r="C1013">
            <v>4410</v>
          </cell>
          <cell r="D1013">
            <v>443765</v>
          </cell>
          <cell r="E1013">
            <v>138</v>
          </cell>
          <cell r="F1013">
            <v>89</v>
          </cell>
          <cell r="G1013">
            <v>113</v>
          </cell>
          <cell r="H1013">
            <v>232</v>
          </cell>
          <cell r="I1013">
            <v>118</v>
          </cell>
          <cell r="J1013">
            <v>131</v>
          </cell>
          <cell r="K1013">
            <v>137</v>
          </cell>
          <cell r="L1013">
            <v>175</v>
          </cell>
          <cell r="M1013">
            <v>108</v>
          </cell>
        </row>
        <row r="1014">
          <cell r="A1014">
            <v>5185988</v>
          </cell>
          <cell r="B1014">
            <v>5117087</v>
          </cell>
          <cell r="C1014">
            <v>4410</v>
          </cell>
          <cell r="D1014">
            <v>16005934</v>
          </cell>
          <cell r="E1014">
            <v>429</v>
          </cell>
          <cell r="F1014">
            <v>266</v>
          </cell>
          <cell r="G1014">
            <v>333</v>
          </cell>
          <cell r="H1014">
            <v>247</v>
          </cell>
          <cell r="I1014">
            <v>190</v>
          </cell>
          <cell r="J1014">
            <v>398</v>
          </cell>
          <cell r="K1014">
            <v>523</v>
          </cell>
          <cell r="L1014">
            <v>507</v>
          </cell>
          <cell r="M1014">
            <v>662</v>
          </cell>
        </row>
        <row r="1015">
          <cell r="A1015">
            <v>5185986</v>
          </cell>
          <cell r="B1015">
            <v>5117086</v>
          </cell>
          <cell r="C1015">
            <v>4410</v>
          </cell>
          <cell r="D1015">
            <v>7728784</v>
          </cell>
          <cell r="E1015">
            <v>233</v>
          </cell>
          <cell r="F1015">
            <v>206</v>
          </cell>
          <cell r="G1015">
            <v>200</v>
          </cell>
          <cell r="H1015">
            <v>189</v>
          </cell>
          <cell r="I1015">
            <v>273</v>
          </cell>
          <cell r="J1015">
            <v>769</v>
          </cell>
          <cell r="K1015">
            <v>268</v>
          </cell>
          <cell r="L1015">
            <v>273</v>
          </cell>
          <cell r="M1015">
            <v>364</v>
          </cell>
        </row>
        <row r="1016">
          <cell r="A1016">
            <v>5185984</v>
          </cell>
          <cell r="B1016">
            <v>5117085</v>
          </cell>
          <cell r="C1016">
            <v>4410</v>
          </cell>
          <cell r="D1016">
            <v>16008570</v>
          </cell>
          <cell r="E1016">
            <v>285</v>
          </cell>
          <cell r="F1016">
            <v>208</v>
          </cell>
          <cell r="G1016">
            <v>194</v>
          </cell>
          <cell r="H1016">
            <v>184</v>
          </cell>
          <cell r="I1016">
            <v>206</v>
          </cell>
          <cell r="J1016">
            <v>202</v>
          </cell>
          <cell r="K1016">
            <v>215</v>
          </cell>
          <cell r="L1016">
            <v>216</v>
          </cell>
          <cell r="M1016">
            <v>229</v>
          </cell>
        </row>
        <row r="1017">
          <cell r="A1017">
            <v>5185982</v>
          </cell>
          <cell r="B1017">
            <v>5117084</v>
          </cell>
          <cell r="C1017">
            <v>4410</v>
          </cell>
          <cell r="D1017">
            <v>1728413</v>
          </cell>
          <cell r="E1017">
            <v>204</v>
          </cell>
          <cell r="F1017">
            <v>172</v>
          </cell>
          <cell r="G1017">
            <v>169</v>
          </cell>
          <cell r="H1017">
            <v>141</v>
          </cell>
          <cell r="I1017">
            <v>155</v>
          </cell>
          <cell r="J1017">
            <v>155</v>
          </cell>
          <cell r="K1017">
            <v>166</v>
          </cell>
          <cell r="L1017">
            <v>141</v>
          </cell>
          <cell r="M1017">
            <v>168</v>
          </cell>
        </row>
        <row r="1018">
          <cell r="A1018">
            <v>5185972</v>
          </cell>
          <cell r="B1018">
            <v>5117079</v>
          </cell>
          <cell r="C1018">
            <v>4410</v>
          </cell>
          <cell r="D1018">
            <v>7300070</v>
          </cell>
          <cell r="E1018">
            <v>153</v>
          </cell>
          <cell r="F1018">
            <v>175</v>
          </cell>
          <cell r="G1018">
            <v>198</v>
          </cell>
          <cell r="H1018">
            <v>348</v>
          </cell>
          <cell r="I1018">
            <v>369</v>
          </cell>
          <cell r="J1018">
            <v>116</v>
          </cell>
          <cell r="K1018">
            <v>231</v>
          </cell>
          <cell r="L1018">
            <v>225</v>
          </cell>
          <cell r="M1018">
            <v>252</v>
          </cell>
        </row>
        <row r="1019">
          <cell r="A1019">
            <v>5185952</v>
          </cell>
          <cell r="B1019">
            <v>5117069</v>
          </cell>
          <cell r="C1019">
            <v>4410</v>
          </cell>
          <cell r="D1019">
            <v>2209161</v>
          </cell>
          <cell r="E1019">
            <v>312</v>
          </cell>
          <cell r="F1019">
            <v>186</v>
          </cell>
          <cell r="G1019">
            <v>191</v>
          </cell>
          <cell r="H1019">
            <v>169</v>
          </cell>
          <cell r="I1019">
            <v>215</v>
          </cell>
          <cell r="J1019">
            <v>284</v>
          </cell>
          <cell r="K1019">
            <v>393</v>
          </cell>
          <cell r="L1019">
            <v>300</v>
          </cell>
          <cell r="M1019">
            <v>357</v>
          </cell>
        </row>
        <row r="1020">
          <cell r="A1020">
            <v>5185932</v>
          </cell>
          <cell r="B1020">
            <v>5117059</v>
          </cell>
          <cell r="C1020">
            <v>4410</v>
          </cell>
          <cell r="D1020">
            <v>1426635</v>
          </cell>
          <cell r="E1020">
            <v>443</v>
          </cell>
          <cell r="F1020">
            <v>413</v>
          </cell>
          <cell r="G1020">
            <v>284</v>
          </cell>
          <cell r="H1020">
            <v>345</v>
          </cell>
          <cell r="I1020">
            <v>351</v>
          </cell>
          <cell r="J1020">
            <v>307</v>
          </cell>
          <cell r="K1020">
            <v>331</v>
          </cell>
          <cell r="L1020">
            <v>340</v>
          </cell>
          <cell r="M1020">
            <v>377</v>
          </cell>
        </row>
        <row r="1021">
          <cell r="A1021">
            <v>5185914</v>
          </cell>
          <cell r="B1021">
            <v>5117050</v>
          </cell>
          <cell r="C1021">
            <v>4410</v>
          </cell>
          <cell r="D1021">
            <v>31981481</v>
          </cell>
          <cell r="E1021">
            <v>233</v>
          </cell>
          <cell r="F1021">
            <v>206</v>
          </cell>
          <cell r="G1021">
            <v>200</v>
          </cell>
          <cell r="H1021">
            <v>189</v>
          </cell>
          <cell r="I1021">
            <v>273</v>
          </cell>
          <cell r="J1021">
            <v>168</v>
          </cell>
          <cell r="K1021">
            <v>171</v>
          </cell>
          <cell r="L1021">
            <v>155</v>
          </cell>
          <cell r="M1021">
            <v>192</v>
          </cell>
        </row>
        <row r="1022">
          <cell r="A1022">
            <v>5185892</v>
          </cell>
          <cell r="B1022">
            <v>5117039</v>
          </cell>
          <cell r="C1022">
            <v>4410</v>
          </cell>
          <cell r="D1022">
            <v>3530449</v>
          </cell>
          <cell r="E1022">
            <v>207</v>
          </cell>
          <cell r="F1022">
            <v>278</v>
          </cell>
          <cell r="G1022">
            <v>256</v>
          </cell>
          <cell r="H1022">
            <v>122</v>
          </cell>
          <cell r="I1022">
            <v>115</v>
          </cell>
          <cell r="J1022">
            <v>117</v>
          </cell>
          <cell r="K1022">
            <v>112</v>
          </cell>
          <cell r="L1022">
            <v>112</v>
          </cell>
          <cell r="M1022">
            <v>110</v>
          </cell>
        </row>
        <row r="1023">
          <cell r="A1023">
            <v>5185876</v>
          </cell>
          <cell r="B1023">
            <v>5117031</v>
          </cell>
          <cell r="C1023">
            <v>4410</v>
          </cell>
          <cell r="D1023">
            <v>1693467</v>
          </cell>
          <cell r="E1023">
            <v>681</v>
          </cell>
          <cell r="F1023">
            <v>551</v>
          </cell>
          <cell r="G1023">
            <v>484</v>
          </cell>
          <cell r="H1023">
            <v>412</v>
          </cell>
          <cell r="I1023">
            <v>429</v>
          </cell>
          <cell r="J1023">
            <v>371</v>
          </cell>
          <cell r="K1023">
            <v>397</v>
          </cell>
          <cell r="L1023">
            <v>351</v>
          </cell>
          <cell r="M1023">
            <v>357</v>
          </cell>
        </row>
        <row r="1024">
          <cell r="A1024">
            <v>5185862</v>
          </cell>
          <cell r="B1024">
            <v>5117024</v>
          </cell>
          <cell r="C1024">
            <v>4410</v>
          </cell>
          <cell r="D1024">
            <v>3306267</v>
          </cell>
          <cell r="E1024">
            <v>124</v>
          </cell>
          <cell r="F1024">
            <v>115</v>
          </cell>
          <cell r="G1024">
            <v>114</v>
          </cell>
          <cell r="H1024">
            <v>118</v>
          </cell>
          <cell r="I1024">
            <v>117</v>
          </cell>
          <cell r="J1024">
            <v>103</v>
          </cell>
          <cell r="K1024">
            <v>135</v>
          </cell>
          <cell r="L1024">
            <v>129</v>
          </cell>
          <cell r="M1024">
            <v>140</v>
          </cell>
        </row>
        <row r="1025">
          <cell r="A1025">
            <v>5185848</v>
          </cell>
          <cell r="B1025">
            <v>5117017</v>
          </cell>
          <cell r="C1025">
            <v>4410</v>
          </cell>
          <cell r="D1025">
            <v>2065758</v>
          </cell>
          <cell r="E1025">
            <v>321</v>
          </cell>
          <cell r="F1025">
            <v>271</v>
          </cell>
          <cell r="G1025">
            <v>276</v>
          </cell>
          <cell r="H1025">
            <v>236</v>
          </cell>
          <cell r="I1025">
            <v>264</v>
          </cell>
          <cell r="J1025">
            <v>243</v>
          </cell>
          <cell r="K1025">
            <v>238</v>
          </cell>
          <cell r="L1025">
            <v>184</v>
          </cell>
          <cell r="M1025">
            <v>240</v>
          </cell>
        </row>
        <row r="1026">
          <cell r="A1026">
            <v>5185828</v>
          </cell>
          <cell r="B1026">
            <v>5117007</v>
          </cell>
          <cell r="C1026">
            <v>4410</v>
          </cell>
          <cell r="D1026">
            <v>31981479</v>
          </cell>
          <cell r="E1026">
            <v>107</v>
          </cell>
          <cell r="F1026">
            <v>58</v>
          </cell>
          <cell r="G1026">
            <v>40</v>
          </cell>
          <cell r="H1026">
            <v>34</v>
          </cell>
          <cell r="I1026">
            <v>45</v>
          </cell>
          <cell r="J1026">
            <v>190</v>
          </cell>
          <cell r="K1026">
            <v>183</v>
          </cell>
          <cell r="L1026">
            <v>135</v>
          </cell>
          <cell r="M1026">
            <v>105</v>
          </cell>
        </row>
        <row r="1027">
          <cell r="A1027">
            <v>5185810</v>
          </cell>
          <cell r="B1027">
            <v>5116998</v>
          </cell>
          <cell r="C1027">
            <v>4410</v>
          </cell>
          <cell r="D1027">
            <v>7094103</v>
          </cell>
          <cell r="E1027">
            <v>79</v>
          </cell>
          <cell r="F1027">
            <v>148</v>
          </cell>
          <cell r="G1027">
            <v>68</v>
          </cell>
          <cell r="H1027">
            <v>69</v>
          </cell>
          <cell r="I1027">
            <v>126</v>
          </cell>
          <cell r="J1027">
            <v>116</v>
          </cell>
          <cell r="K1027">
            <v>338</v>
          </cell>
          <cell r="L1027">
            <v>187</v>
          </cell>
          <cell r="M1027">
            <v>203</v>
          </cell>
        </row>
        <row r="1028">
          <cell r="A1028">
            <v>5185790</v>
          </cell>
          <cell r="B1028">
            <v>5116988</v>
          </cell>
          <cell r="C1028">
            <v>4410</v>
          </cell>
          <cell r="D1028">
            <v>10505262</v>
          </cell>
          <cell r="E1028">
            <v>547</v>
          </cell>
          <cell r="F1028">
            <v>217</v>
          </cell>
          <cell r="G1028">
            <v>179</v>
          </cell>
          <cell r="H1028">
            <v>162</v>
          </cell>
          <cell r="I1028">
            <v>174</v>
          </cell>
          <cell r="J1028">
            <v>158</v>
          </cell>
          <cell r="K1028">
            <v>165</v>
          </cell>
          <cell r="L1028">
            <v>146</v>
          </cell>
          <cell r="M1028">
            <v>150</v>
          </cell>
        </row>
        <row r="1029">
          <cell r="A1029">
            <v>5185770</v>
          </cell>
          <cell r="B1029">
            <v>5116978</v>
          </cell>
          <cell r="C1029">
            <v>4410</v>
          </cell>
          <cell r="D1029">
            <v>31988559</v>
          </cell>
          <cell r="E1029">
            <v>233</v>
          </cell>
          <cell r="F1029">
            <v>206</v>
          </cell>
          <cell r="G1029">
            <v>200</v>
          </cell>
          <cell r="H1029">
            <v>189</v>
          </cell>
          <cell r="I1029">
            <v>273</v>
          </cell>
          <cell r="J1029">
            <v>175</v>
          </cell>
          <cell r="K1029">
            <v>179</v>
          </cell>
          <cell r="L1029">
            <v>196</v>
          </cell>
          <cell r="M1029">
            <v>209</v>
          </cell>
        </row>
        <row r="1030">
          <cell r="A1030">
            <v>5185750</v>
          </cell>
          <cell r="B1030">
            <v>5116968</v>
          </cell>
          <cell r="C1030">
            <v>4410</v>
          </cell>
          <cell r="D1030">
            <v>1885109</v>
          </cell>
          <cell r="E1030">
            <v>280</v>
          </cell>
          <cell r="F1030">
            <v>216</v>
          </cell>
          <cell r="G1030">
            <v>215</v>
          </cell>
          <cell r="H1030">
            <v>227</v>
          </cell>
          <cell r="I1030">
            <v>243</v>
          </cell>
          <cell r="J1030">
            <v>230</v>
          </cell>
          <cell r="K1030">
            <v>242</v>
          </cell>
          <cell r="L1030">
            <v>224</v>
          </cell>
          <cell r="M1030">
            <v>215</v>
          </cell>
        </row>
        <row r="1031">
          <cell r="A1031">
            <v>5185728</v>
          </cell>
          <cell r="B1031">
            <v>5116957</v>
          </cell>
          <cell r="C1031">
            <v>4410</v>
          </cell>
          <cell r="D1031">
            <v>3524629</v>
          </cell>
          <cell r="E1031">
            <v>110</v>
          </cell>
          <cell r="F1031">
            <v>92</v>
          </cell>
          <cell r="G1031">
            <v>120</v>
          </cell>
          <cell r="H1031">
            <v>359</v>
          </cell>
          <cell r="I1031">
            <v>279</v>
          </cell>
          <cell r="J1031">
            <v>260</v>
          </cell>
          <cell r="K1031">
            <v>318</v>
          </cell>
          <cell r="L1031">
            <v>298</v>
          </cell>
          <cell r="M1031">
            <v>342</v>
          </cell>
        </row>
        <row r="1032">
          <cell r="A1032">
            <v>5185708</v>
          </cell>
          <cell r="B1032">
            <v>5116947</v>
          </cell>
          <cell r="C1032">
            <v>4410</v>
          </cell>
          <cell r="D1032">
            <v>5311518</v>
          </cell>
          <cell r="E1032">
            <v>233</v>
          </cell>
          <cell r="F1032">
            <v>206</v>
          </cell>
          <cell r="G1032">
            <v>200</v>
          </cell>
          <cell r="H1032">
            <v>189</v>
          </cell>
          <cell r="I1032">
            <v>273</v>
          </cell>
          <cell r="J1032">
            <v>237</v>
          </cell>
          <cell r="K1032">
            <v>251</v>
          </cell>
          <cell r="L1032">
            <v>224</v>
          </cell>
          <cell r="M1032">
            <v>497</v>
          </cell>
        </row>
        <row r="1033">
          <cell r="A1033">
            <v>5185690</v>
          </cell>
          <cell r="B1033">
            <v>5116938</v>
          </cell>
          <cell r="C1033">
            <v>4410</v>
          </cell>
          <cell r="D1033">
            <v>3506033</v>
          </cell>
          <cell r="E1033">
            <v>233</v>
          </cell>
          <cell r="F1033">
            <v>72</v>
          </cell>
          <cell r="G1033">
            <v>24</v>
          </cell>
          <cell r="H1033">
            <v>157</v>
          </cell>
          <cell r="I1033">
            <v>192</v>
          </cell>
          <cell r="J1033">
            <v>180</v>
          </cell>
          <cell r="K1033">
            <v>190</v>
          </cell>
          <cell r="L1033">
            <v>169</v>
          </cell>
          <cell r="M1033">
            <v>182</v>
          </cell>
        </row>
        <row r="1034">
          <cell r="A1034">
            <v>5185674</v>
          </cell>
          <cell r="B1034">
            <v>5116930</v>
          </cell>
          <cell r="C1034">
            <v>4410</v>
          </cell>
          <cell r="D1034">
            <v>6809405</v>
          </cell>
          <cell r="E1034">
            <v>328</v>
          </cell>
          <cell r="F1034">
            <v>476</v>
          </cell>
          <cell r="G1034">
            <v>84</v>
          </cell>
          <cell r="H1034">
            <v>203</v>
          </cell>
          <cell r="I1034">
            <v>194</v>
          </cell>
          <cell r="J1034">
            <v>248</v>
          </cell>
          <cell r="K1034">
            <v>307</v>
          </cell>
          <cell r="L1034">
            <v>198</v>
          </cell>
          <cell r="M1034">
            <v>204</v>
          </cell>
        </row>
        <row r="1035">
          <cell r="A1035">
            <v>5185654</v>
          </cell>
          <cell r="B1035">
            <v>5116920</v>
          </cell>
          <cell r="C1035">
            <v>4410</v>
          </cell>
          <cell r="D1035">
            <v>31116351</v>
          </cell>
          <cell r="E1035">
            <v>47</v>
          </cell>
          <cell r="F1035">
            <v>51</v>
          </cell>
          <cell r="G1035">
            <v>48</v>
          </cell>
          <cell r="H1035">
            <v>72</v>
          </cell>
          <cell r="I1035">
            <v>80</v>
          </cell>
          <cell r="J1035">
            <v>99</v>
          </cell>
          <cell r="K1035">
            <v>107</v>
          </cell>
          <cell r="L1035">
            <v>105</v>
          </cell>
          <cell r="M1035">
            <v>105</v>
          </cell>
        </row>
        <row r="1036">
          <cell r="A1036">
            <v>5185636</v>
          </cell>
          <cell r="B1036">
            <v>5116911</v>
          </cell>
          <cell r="C1036">
            <v>4410</v>
          </cell>
          <cell r="D1036">
            <v>31116263</v>
          </cell>
          <cell r="E1036">
            <v>166</v>
          </cell>
          <cell r="F1036">
            <v>92</v>
          </cell>
          <cell r="G1036">
            <v>42</v>
          </cell>
          <cell r="H1036">
            <v>35</v>
          </cell>
          <cell r="I1036">
            <v>62</v>
          </cell>
          <cell r="J1036">
            <v>70</v>
          </cell>
          <cell r="K1036">
            <v>36</v>
          </cell>
          <cell r="L1036">
            <v>10</v>
          </cell>
          <cell r="M1036">
            <v>21</v>
          </cell>
        </row>
        <row r="1037">
          <cell r="A1037">
            <v>5185614</v>
          </cell>
          <cell r="B1037">
            <v>5116900</v>
          </cell>
          <cell r="C1037">
            <v>4410</v>
          </cell>
          <cell r="D1037">
            <v>16008552</v>
          </cell>
          <cell r="E1037">
            <v>94</v>
          </cell>
          <cell r="F1037">
            <v>80</v>
          </cell>
          <cell r="G1037">
            <v>80</v>
          </cell>
          <cell r="H1037">
            <v>79</v>
          </cell>
          <cell r="I1037">
            <v>83</v>
          </cell>
          <cell r="J1037">
            <v>84</v>
          </cell>
          <cell r="K1037">
            <v>92</v>
          </cell>
          <cell r="L1037">
            <v>85</v>
          </cell>
          <cell r="M1037">
            <v>102</v>
          </cell>
        </row>
        <row r="1038">
          <cell r="A1038">
            <v>5185592</v>
          </cell>
          <cell r="B1038">
            <v>5116889</v>
          </cell>
          <cell r="C1038">
            <v>4410</v>
          </cell>
          <cell r="D1038">
            <v>31116265</v>
          </cell>
          <cell r="E1038">
            <v>279</v>
          </cell>
          <cell r="F1038">
            <v>247</v>
          </cell>
          <cell r="G1038">
            <v>249</v>
          </cell>
          <cell r="H1038">
            <v>241</v>
          </cell>
          <cell r="I1038">
            <v>201</v>
          </cell>
          <cell r="J1038">
            <v>242</v>
          </cell>
          <cell r="K1038">
            <v>282</v>
          </cell>
          <cell r="L1038">
            <v>240</v>
          </cell>
          <cell r="M1038">
            <v>276</v>
          </cell>
        </row>
        <row r="1039">
          <cell r="A1039">
            <v>5185570</v>
          </cell>
          <cell r="B1039">
            <v>5116878</v>
          </cell>
          <cell r="C1039">
            <v>4410</v>
          </cell>
          <cell r="D1039">
            <v>1693465</v>
          </cell>
          <cell r="E1039">
            <v>51</v>
          </cell>
          <cell r="F1039">
            <v>217</v>
          </cell>
          <cell r="G1039">
            <v>199</v>
          </cell>
          <cell r="H1039">
            <v>224</v>
          </cell>
          <cell r="I1039">
            <v>230</v>
          </cell>
          <cell r="J1039">
            <v>198</v>
          </cell>
          <cell r="K1039">
            <v>203</v>
          </cell>
          <cell r="L1039">
            <v>170</v>
          </cell>
          <cell r="M1039">
            <v>166</v>
          </cell>
        </row>
        <row r="1040">
          <cell r="A1040">
            <v>5185546</v>
          </cell>
          <cell r="B1040">
            <v>5116866</v>
          </cell>
          <cell r="C1040">
            <v>4410</v>
          </cell>
          <cell r="D1040">
            <v>1728404</v>
          </cell>
          <cell r="E1040">
            <v>111</v>
          </cell>
          <cell r="F1040">
            <v>91</v>
          </cell>
          <cell r="G1040">
            <v>91</v>
          </cell>
          <cell r="H1040">
            <v>129</v>
          </cell>
          <cell r="I1040">
            <v>53</v>
          </cell>
          <cell r="J1040">
            <v>44</v>
          </cell>
          <cell r="K1040">
            <v>43</v>
          </cell>
          <cell r="L1040">
            <v>46</v>
          </cell>
          <cell r="M1040">
            <v>41</v>
          </cell>
        </row>
        <row r="1041">
          <cell r="A1041">
            <v>5185524</v>
          </cell>
          <cell r="B1041">
            <v>5116855</v>
          </cell>
          <cell r="C1041">
            <v>4410</v>
          </cell>
          <cell r="D1041">
            <v>31116262</v>
          </cell>
          <cell r="E1041">
            <v>107</v>
          </cell>
          <cell r="F1041">
            <v>93</v>
          </cell>
          <cell r="G1041">
            <v>96</v>
          </cell>
          <cell r="H1041">
            <v>92</v>
          </cell>
          <cell r="I1041">
            <v>90</v>
          </cell>
          <cell r="J1041">
            <v>77</v>
          </cell>
          <cell r="K1041">
            <v>103</v>
          </cell>
          <cell r="L1041">
            <v>109</v>
          </cell>
          <cell r="M1041">
            <v>118</v>
          </cell>
        </row>
        <row r="1042">
          <cell r="A1042">
            <v>5185504</v>
          </cell>
          <cell r="B1042">
            <v>5116845</v>
          </cell>
          <cell r="C1042">
            <v>4410</v>
          </cell>
          <cell r="D1042">
            <v>16005842</v>
          </cell>
          <cell r="E1042">
            <v>223</v>
          </cell>
          <cell r="F1042">
            <v>177</v>
          </cell>
          <cell r="G1042">
            <v>184</v>
          </cell>
          <cell r="H1042">
            <v>181</v>
          </cell>
          <cell r="I1042">
            <v>215</v>
          </cell>
          <cell r="J1042">
            <v>138</v>
          </cell>
          <cell r="K1042">
            <v>204</v>
          </cell>
          <cell r="L1042">
            <v>195</v>
          </cell>
          <cell r="M1042">
            <v>196</v>
          </cell>
        </row>
        <row r="1043">
          <cell r="A1043">
            <v>5185482</v>
          </cell>
          <cell r="B1043">
            <v>5116834</v>
          </cell>
          <cell r="C1043">
            <v>4410</v>
          </cell>
          <cell r="D1043">
            <v>3305920</v>
          </cell>
          <cell r="E1043">
            <v>113</v>
          </cell>
          <cell r="F1043">
            <v>102</v>
          </cell>
          <cell r="G1043">
            <v>110</v>
          </cell>
          <cell r="H1043">
            <v>107</v>
          </cell>
          <cell r="I1043">
            <v>99</v>
          </cell>
          <cell r="J1043">
            <v>86</v>
          </cell>
          <cell r="K1043">
            <v>101</v>
          </cell>
          <cell r="L1043">
            <v>36</v>
          </cell>
          <cell r="M1043">
            <v>100</v>
          </cell>
        </row>
        <row r="1044">
          <cell r="A1044">
            <v>5185462</v>
          </cell>
          <cell r="B1044">
            <v>5116824</v>
          </cell>
          <cell r="C1044">
            <v>4410</v>
          </cell>
          <cell r="D1044">
            <v>31116352</v>
          </cell>
          <cell r="E1044">
            <v>230</v>
          </cell>
          <cell r="F1044">
            <v>87</v>
          </cell>
          <cell r="G1044">
            <v>0</v>
          </cell>
          <cell r="H1044">
            <v>0</v>
          </cell>
          <cell r="I1044">
            <v>0</v>
          </cell>
          <cell r="J1044">
            <v>123</v>
          </cell>
          <cell r="K1044">
            <v>127</v>
          </cell>
          <cell r="L1044">
            <v>111</v>
          </cell>
          <cell r="M1044">
            <v>66</v>
          </cell>
        </row>
        <row r="1045">
          <cell r="A1045">
            <v>5185440</v>
          </cell>
          <cell r="B1045">
            <v>5116813</v>
          </cell>
          <cell r="C1045">
            <v>4410</v>
          </cell>
          <cell r="D1045">
            <v>3360908</v>
          </cell>
          <cell r="E1045">
            <v>119</v>
          </cell>
          <cell r="F1045">
            <v>19</v>
          </cell>
          <cell r="G1045">
            <v>29</v>
          </cell>
          <cell r="H1045">
            <v>20</v>
          </cell>
          <cell r="I1045">
            <v>106</v>
          </cell>
          <cell r="J1045">
            <v>61</v>
          </cell>
          <cell r="K1045">
            <v>121</v>
          </cell>
          <cell r="L1045">
            <v>16</v>
          </cell>
          <cell r="M1045">
            <v>4</v>
          </cell>
        </row>
        <row r="1046">
          <cell r="A1046">
            <v>5185418</v>
          </cell>
          <cell r="B1046">
            <v>5116802</v>
          </cell>
          <cell r="C1046">
            <v>4410</v>
          </cell>
          <cell r="D1046">
            <v>443756</v>
          </cell>
          <cell r="E1046">
            <v>94</v>
          </cell>
          <cell r="F1046">
            <v>135</v>
          </cell>
          <cell r="G1046">
            <v>79</v>
          </cell>
          <cell r="H1046">
            <v>113</v>
          </cell>
          <cell r="I1046">
            <v>190</v>
          </cell>
          <cell r="J1046">
            <v>330</v>
          </cell>
          <cell r="K1046">
            <v>338</v>
          </cell>
          <cell r="L1046">
            <v>324</v>
          </cell>
          <cell r="M1046">
            <v>326</v>
          </cell>
        </row>
        <row r="1047">
          <cell r="A1047">
            <v>5185396</v>
          </cell>
          <cell r="B1047">
            <v>5116791</v>
          </cell>
          <cell r="C1047">
            <v>4410</v>
          </cell>
          <cell r="D1047">
            <v>7686575</v>
          </cell>
          <cell r="E1047">
            <v>233</v>
          </cell>
          <cell r="F1047">
            <v>206</v>
          </cell>
          <cell r="G1047">
            <v>200</v>
          </cell>
          <cell r="H1047">
            <v>189</v>
          </cell>
          <cell r="I1047">
            <v>273</v>
          </cell>
          <cell r="J1047">
            <v>251</v>
          </cell>
          <cell r="K1047">
            <v>297</v>
          </cell>
          <cell r="L1047">
            <v>281</v>
          </cell>
          <cell r="M1047">
            <v>297</v>
          </cell>
        </row>
        <row r="1048">
          <cell r="A1048">
            <v>5185374</v>
          </cell>
          <cell r="B1048">
            <v>5116780</v>
          </cell>
          <cell r="C1048">
            <v>4410</v>
          </cell>
          <cell r="D1048">
            <v>7118079</v>
          </cell>
          <cell r="E1048">
            <v>247</v>
          </cell>
          <cell r="F1048">
            <v>139</v>
          </cell>
          <cell r="G1048">
            <v>206</v>
          </cell>
          <cell r="H1048">
            <v>199</v>
          </cell>
          <cell r="I1048">
            <v>203</v>
          </cell>
          <cell r="J1048">
            <v>0</v>
          </cell>
          <cell r="K1048">
            <v>0</v>
          </cell>
          <cell r="L1048">
            <v>98</v>
          </cell>
          <cell r="M1048">
            <v>57</v>
          </cell>
        </row>
        <row r="1049">
          <cell r="A1049">
            <v>5185352</v>
          </cell>
          <cell r="B1049">
            <v>5116769</v>
          </cell>
          <cell r="C1049">
            <v>4410</v>
          </cell>
          <cell r="D1049">
            <v>1693201</v>
          </cell>
          <cell r="E1049">
            <v>93</v>
          </cell>
          <cell r="F1049">
            <v>102</v>
          </cell>
          <cell r="G1049">
            <v>98</v>
          </cell>
          <cell r="H1049">
            <v>50</v>
          </cell>
          <cell r="I1049">
            <v>60</v>
          </cell>
          <cell r="J1049">
            <v>50</v>
          </cell>
          <cell r="K1049">
            <v>55</v>
          </cell>
          <cell r="L1049">
            <v>51</v>
          </cell>
          <cell r="M1049">
            <v>68</v>
          </cell>
        </row>
        <row r="1050">
          <cell r="A1050">
            <v>5185328</v>
          </cell>
          <cell r="B1050">
            <v>5116757</v>
          </cell>
          <cell r="C1050">
            <v>4410</v>
          </cell>
          <cell r="D1050">
            <v>7116771</v>
          </cell>
          <cell r="E1050">
            <v>116</v>
          </cell>
          <cell r="F1050">
            <v>212</v>
          </cell>
          <cell r="G1050">
            <v>106</v>
          </cell>
          <cell r="H1050">
            <v>110</v>
          </cell>
          <cell r="I1050">
            <v>105</v>
          </cell>
          <cell r="J1050">
            <v>148</v>
          </cell>
          <cell r="K1050">
            <v>136</v>
          </cell>
          <cell r="L1050">
            <v>126</v>
          </cell>
          <cell r="M1050">
            <v>87</v>
          </cell>
        </row>
        <row r="1051">
          <cell r="A1051">
            <v>5185306</v>
          </cell>
          <cell r="B1051">
            <v>5116746</v>
          </cell>
          <cell r="C1051">
            <v>4410</v>
          </cell>
          <cell r="D1051">
            <v>1692063</v>
          </cell>
          <cell r="E1051">
            <v>84</v>
          </cell>
          <cell r="F1051">
            <v>66</v>
          </cell>
          <cell r="G1051">
            <v>83</v>
          </cell>
          <cell r="H1051">
            <v>231</v>
          </cell>
          <cell r="I1051">
            <v>145</v>
          </cell>
          <cell r="J1051">
            <v>152</v>
          </cell>
          <cell r="K1051">
            <v>151</v>
          </cell>
          <cell r="L1051">
            <v>97</v>
          </cell>
          <cell r="M1051">
            <v>86</v>
          </cell>
        </row>
        <row r="1052">
          <cell r="A1052">
            <v>5185284</v>
          </cell>
          <cell r="B1052">
            <v>5116735</v>
          </cell>
          <cell r="C1052">
            <v>4410</v>
          </cell>
          <cell r="D1052">
            <v>358844</v>
          </cell>
          <cell r="E1052">
            <v>102</v>
          </cell>
          <cell r="F1052">
            <v>74</v>
          </cell>
          <cell r="G1052">
            <v>71</v>
          </cell>
          <cell r="H1052">
            <v>55</v>
          </cell>
          <cell r="I1052">
            <v>177</v>
          </cell>
          <cell r="J1052">
            <v>85</v>
          </cell>
          <cell r="K1052">
            <v>0</v>
          </cell>
          <cell r="L1052">
            <v>16</v>
          </cell>
          <cell r="M1052">
            <v>59</v>
          </cell>
        </row>
        <row r="1053">
          <cell r="A1053">
            <v>5185262</v>
          </cell>
          <cell r="B1053">
            <v>5116724</v>
          </cell>
          <cell r="C1053">
            <v>4410</v>
          </cell>
          <cell r="D1053">
            <v>355467</v>
          </cell>
          <cell r="E1053">
            <v>267</v>
          </cell>
          <cell r="F1053">
            <v>236</v>
          </cell>
          <cell r="G1053">
            <v>228</v>
          </cell>
          <cell r="H1053">
            <v>202</v>
          </cell>
          <cell r="I1053">
            <v>264</v>
          </cell>
          <cell r="J1053">
            <v>227</v>
          </cell>
          <cell r="K1053">
            <v>242</v>
          </cell>
          <cell r="L1053">
            <v>219</v>
          </cell>
          <cell r="M1053">
            <v>234</v>
          </cell>
        </row>
        <row r="1054">
          <cell r="A1054">
            <v>5185240</v>
          </cell>
          <cell r="B1054">
            <v>5116713</v>
          </cell>
          <cell r="C1054">
            <v>4410</v>
          </cell>
          <cell r="D1054">
            <v>2100191</v>
          </cell>
          <cell r="E1054">
            <v>181</v>
          </cell>
          <cell r="F1054">
            <v>190</v>
          </cell>
          <cell r="G1054">
            <v>131</v>
          </cell>
          <cell r="H1054">
            <v>237</v>
          </cell>
          <cell r="I1054">
            <v>205</v>
          </cell>
          <cell r="J1054">
            <v>186</v>
          </cell>
          <cell r="K1054">
            <v>140</v>
          </cell>
          <cell r="L1054">
            <v>152</v>
          </cell>
          <cell r="M1054">
            <v>188</v>
          </cell>
        </row>
        <row r="1055">
          <cell r="A1055">
            <v>5185218</v>
          </cell>
          <cell r="B1055">
            <v>5116702</v>
          </cell>
          <cell r="C1055">
            <v>4410</v>
          </cell>
          <cell r="D1055">
            <v>6820883</v>
          </cell>
          <cell r="E1055">
            <v>120</v>
          </cell>
          <cell r="F1055">
            <v>83</v>
          </cell>
          <cell r="G1055">
            <v>148</v>
          </cell>
          <cell r="H1055">
            <v>51</v>
          </cell>
          <cell r="I1055">
            <v>81</v>
          </cell>
          <cell r="J1055">
            <v>109</v>
          </cell>
          <cell r="K1055">
            <v>76</v>
          </cell>
          <cell r="L1055">
            <v>76</v>
          </cell>
          <cell r="M1055">
            <v>123</v>
          </cell>
        </row>
        <row r="1056">
          <cell r="A1056">
            <v>5185196</v>
          </cell>
          <cell r="B1056">
            <v>5116691</v>
          </cell>
          <cell r="C1056">
            <v>4410</v>
          </cell>
          <cell r="D1056">
            <v>10408060</v>
          </cell>
          <cell r="E1056">
            <v>270</v>
          </cell>
          <cell r="F1056">
            <v>241</v>
          </cell>
          <cell r="G1056">
            <v>233</v>
          </cell>
          <cell r="H1056">
            <v>403</v>
          </cell>
          <cell r="I1056">
            <v>286</v>
          </cell>
          <cell r="J1056">
            <v>269</v>
          </cell>
          <cell r="K1056">
            <v>206</v>
          </cell>
          <cell r="L1056">
            <v>194</v>
          </cell>
          <cell r="M1056">
            <v>222</v>
          </cell>
        </row>
        <row r="1057">
          <cell r="A1057">
            <v>5185174</v>
          </cell>
          <cell r="B1057">
            <v>5116680</v>
          </cell>
          <cell r="C1057">
            <v>4410</v>
          </cell>
          <cell r="D1057">
            <v>5312879</v>
          </cell>
          <cell r="E1057">
            <v>234</v>
          </cell>
          <cell r="F1057">
            <v>176</v>
          </cell>
          <cell r="G1057">
            <v>192</v>
          </cell>
          <cell r="H1057">
            <v>188</v>
          </cell>
          <cell r="I1057">
            <v>188</v>
          </cell>
          <cell r="J1057">
            <v>194</v>
          </cell>
          <cell r="K1057">
            <v>205</v>
          </cell>
          <cell r="L1057">
            <v>221</v>
          </cell>
          <cell r="M1057">
            <v>230</v>
          </cell>
        </row>
        <row r="1058">
          <cell r="A1058">
            <v>5185152</v>
          </cell>
          <cell r="B1058">
            <v>5116669</v>
          </cell>
          <cell r="C1058">
            <v>4410</v>
          </cell>
          <cell r="D1058">
            <v>3362950</v>
          </cell>
          <cell r="E1058">
            <v>269</v>
          </cell>
          <cell r="F1058">
            <v>287</v>
          </cell>
          <cell r="G1058">
            <v>306</v>
          </cell>
          <cell r="H1058">
            <v>319</v>
          </cell>
          <cell r="I1058">
            <v>277</v>
          </cell>
          <cell r="J1058">
            <v>380</v>
          </cell>
          <cell r="K1058">
            <v>175</v>
          </cell>
          <cell r="L1058">
            <v>185</v>
          </cell>
          <cell r="M1058">
            <v>220</v>
          </cell>
        </row>
        <row r="1059">
          <cell r="A1059">
            <v>5185130</v>
          </cell>
          <cell r="B1059">
            <v>5116658</v>
          </cell>
          <cell r="C1059">
            <v>4410</v>
          </cell>
          <cell r="D1059">
            <v>7686572</v>
          </cell>
          <cell r="E1059">
            <v>294</v>
          </cell>
          <cell r="F1059">
            <v>261</v>
          </cell>
          <cell r="G1059">
            <v>346</v>
          </cell>
          <cell r="H1059">
            <v>484</v>
          </cell>
          <cell r="I1059">
            <v>426</v>
          </cell>
          <cell r="J1059">
            <v>384</v>
          </cell>
          <cell r="K1059">
            <v>369</v>
          </cell>
          <cell r="L1059">
            <v>363</v>
          </cell>
          <cell r="M1059">
            <v>365</v>
          </cell>
        </row>
        <row r="1060">
          <cell r="A1060">
            <v>5185106</v>
          </cell>
          <cell r="B1060">
            <v>5116646</v>
          </cell>
          <cell r="C1060">
            <v>4410</v>
          </cell>
          <cell r="D1060">
            <v>3363561</v>
          </cell>
          <cell r="E1060">
            <v>0</v>
          </cell>
          <cell r="F1060">
            <v>0</v>
          </cell>
          <cell r="G1060">
            <v>182</v>
          </cell>
          <cell r="H1060">
            <v>121</v>
          </cell>
          <cell r="I1060">
            <v>140</v>
          </cell>
          <cell r="J1060">
            <v>129</v>
          </cell>
          <cell r="K1060">
            <v>113</v>
          </cell>
          <cell r="L1060">
            <v>99</v>
          </cell>
          <cell r="M1060">
            <v>111</v>
          </cell>
        </row>
        <row r="1061">
          <cell r="A1061">
            <v>5185084</v>
          </cell>
          <cell r="B1061">
            <v>5116635</v>
          </cell>
          <cell r="C1061">
            <v>4410</v>
          </cell>
          <cell r="D1061">
            <v>1310406</v>
          </cell>
          <cell r="E1061">
            <v>61</v>
          </cell>
          <cell r="F1061">
            <v>25</v>
          </cell>
          <cell r="G1061">
            <v>44</v>
          </cell>
          <cell r="H1061">
            <v>72</v>
          </cell>
          <cell r="I1061">
            <v>10</v>
          </cell>
          <cell r="J1061">
            <v>66</v>
          </cell>
          <cell r="K1061">
            <v>90</v>
          </cell>
          <cell r="L1061">
            <v>77</v>
          </cell>
          <cell r="M1061">
            <v>68</v>
          </cell>
        </row>
        <row r="1062">
          <cell r="A1062">
            <v>5185066</v>
          </cell>
          <cell r="B1062">
            <v>5116626</v>
          </cell>
          <cell r="C1062">
            <v>4410</v>
          </cell>
          <cell r="D1062">
            <v>7686571</v>
          </cell>
          <cell r="E1062">
            <v>203</v>
          </cell>
          <cell r="F1062">
            <v>182</v>
          </cell>
          <cell r="G1062">
            <v>215</v>
          </cell>
          <cell r="H1062">
            <v>178</v>
          </cell>
          <cell r="I1062">
            <v>124</v>
          </cell>
          <cell r="J1062">
            <v>162</v>
          </cell>
          <cell r="K1062">
            <v>179</v>
          </cell>
          <cell r="L1062">
            <v>142</v>
          </cell>
          <cell r="M1062">
            <v>199</v>
          </cell>
        </row>
        <row r="1063">
          <cell r="A1063">
            <v>5185026</v>
          </cell>
          <cell r="B1063">
            <v>5116606</v>
          </cell>
          <cell r="C1063">
            <v>4410</v>
          </cell>
          <cell r="D1063">
            <v>16008562</v>
          </cell>
          <cell r="E1063">
            <v>252</v>
          </cell>
          <cell r="F1063">
            <v>208</v>
          </cell>
          <cell r="G1063">
            <v>206</v>
          </cell>
          <cell r="H1063">
            <v>212</v>
          </cell>
          <cell r="I1063">
            <v>253</v>
          </cell>
          <cell r="J1063">
            <v>246</v>
          </cell>
          <cell r="K1063">
            <v>241</v>
          </cell>
          <cell r="L1063">
            <v>202</v>
          </cell>
          <cell r="M1063">
            <v>244</v>
          </cell>
        </row>
        <row r="1064">
          <cell r="A1064">
            <v>5185004</v>
          </cell>
          <cell r="B1064">
            <v>5116595</v>
          </cell>
          <cell r="C1064">
            <v>4410</v>
          </cell>
          <cell r="D1064">
            <v>1319489</v>
          </cell>
          <cell r="F1064">
            <v>683</v>
          </cell>
          <cell r="H1064">
            <v>368</v>
          </cell>
          <cell r="I1064">
            <v>343</v>
          </cell>
          <cell r="J1064">
            <v>290</v>
          </cell>
          <cell r="K1064">
            <v>283</v>
          </cell>
          <cell r="L1064">
            <v>307</v>
          </cell>
          <cell r="M1064">
            <v>317</v>
          </cell>
        </row>
        <row r="1065">
          <cell r="A1065">
            <v>5184986</v>
          </cell>
          <cell r="B1065">
            <v>5116586</v>
          </cell>
          <cell r="C1065">
            <v>4410</v>
          </cell>
          <cell r="D1065">
            <v>31116353</v>
          </cell>
          <cell r="E1065">
            <v>246</v>
          </cell>
          <cell r="F1065">
            <v>220</v>
          </cell>
          <cell r="G1065">
            <v>211</v>
          </cell>
          <cell r="H1065">
            <v>188</v>
          </cell>
          <cell r="I1065">
            <v>245</v>
          </cell>
          <cell r="J1065">
            <v>143</v>
          </cell>
          <cell r="K1065">
            <v>181</v>
          </cell>
          <cell r="L1065">
            <v>164</v>
          </cell>
          <cell r="M1065">
            <v>168</v>
          </cell>
        </row>
        <row r="1066">
          <cell r="A1066">
            <v>5184968</v>
          </cell>
          <cell r="B1066">
            <v>5116577</v>
          </cell>
          <cell r="C1066">
            <v>4410</v>
          </cell>
          <cell r="D1066">
            <v>7686858</v>
          </cell>
          <cell r="E1066">
            <v>151</v>
          </cell>
          <cell r="F1066">
            <v>59</v>
          </cell>
          <cell r="G1066">
            <v>80</v>
          </cell>
          <cell r="H1066">
            <v>46</v>
          </cell>
          <cell r="I1066">
            <v>41</v>
          </cell>
          <cell r="J1066">
            <v>114</v>
          </cell>
          <cell r="K1066">
            <v>86</v>
          </cell>
          <cell r="L1066">
            <v>104</v>
          </cell>
          <cell r="M1066">
            <v>92</v>
          </cell>
        </row>
        <row r="1067">
          <cell r="A1067">
            <v>5184946</v>
          </cell>
          <cell r="B1067">
            <v>5116566</v>
          </cell>
          <cell r="C1067">
            <v>4410</v>
          </cell>
          <cell r="D1067">
            <v>3362106</v>
          </cell>
          <cell r="E1067">
            <v>233</v>
          </cell>
          <cell r="F1067">
            <v>206</v>
          </cell>
          <cell r="G1067">
            <v>200</v>
          </cell>
          <cell r="H1067">
            <v>189</v>
          </cell>
          <cell r="I1067">
            <v>273</v>
          </cell>
          <cell r="J1067">
            <v>84</v>
          </cell>
          <cell r="K1067">
            <v>58</v>
          </cell>
          <cell r="L1067">
            <v>21</v>
          </cell>
          <cell r="M1067">
            <v>29</v>
          </cell>
        </row>
        <row r="1068">
          <cell r="A1068">
            <v>5184926</v>
          </cell>
          <cell r="B1068">
            <v>5116556</v>
          </cell>
          <cell r="C1068">
            <v>4410</v>
          </cell>
          <cell r="D1068">
            <v>18492468</v>
          </cell>
          <cell r="E1068">
            <v>233</v>
          </cell>
          <cell r="F1068">
            <v>206</v>
          </cell>
          <cell r="G1068">
            <v>200</v>
          </cell>
          <cell r="H1068">
            <v>189</v>
          </cell>
          <cell r="I1068">
            <v>273</v>
          </cell>
          <cell r="J1068">
            <v>312</v>
          </cell>
          <cell r="K1068">
            <v>241</v>
          </cell>
          <cell r="L1068">
            <v>223</v>
          </cell>
          <cell r="M1068">
            <v>244</v>
          </cell>
        </row>
        <row r="1069">
          <cell r="A1069">
            <v>5184902</v>
          </cell>
          <cell r="B1069">
            <v>5116544</v>
          </cell>
          <cell r="C1069">
            <v>4410</v>
          </cell>
          <cell r="D1069">
            <v>31116355</v>
          </cell>
          <cell r="E1069">
            <v>142</v>
          </cell>
          <cell r="F1069">
            <v>127</v>
          </cell>
          <cell r="G1069">
            <v>133</v>
          </cell>
          <cell r="H1069">
            <v>128</v>
          </cell>
          <cell r="I1069">
            <v>130</v>
          </cell>
          <cell r="J1069">
            <v>133</v>
          </cell>
          <cell r="K1069">
            <v>173</v>
          </cell>
          <cell r="L1069">
            <v>176</v>
          </cell>
          <cell r="M1069">
            <v>190</v>
          </cell>
        </row>
        <row r="1070">
          <cell r="A1070">
            <v>5184884</v>
          </cell>
          <cell r="B1070">
            <v>5116535</v>
          </cell>
          <cell r="C1070">
            <v>4410</v>
          </cell>
          <cell r="D1070">
            <v>2181834</v>
          </cell>
          <cell r="E1070">
            <v>235</v>
          </cell>
          <cell r="F1070">
            <v>195</v>
          </cell>
          <cell r="G1070">
            <v>193</v>
          </cell>
          <cell r="H1070">
            <v>183</v>
          </cell>
          <cell r="I1070">
            <v>204</v>
          </cell>
          <cell r="J1070">
            <v>193</v>
          </cell>
          <cell r="K1070">
            <v>188</v>
          </cell>
          <cell r="L1070">
            <v>30</v>
          </cell>
          <cell r="M1070">
            <v>23</v>
          </cell>
        </row>
        <row r="1071">
          <cell r="A1071">
            <v>5184864</v>
          </cell>
          <cell r="B1071">
            <v>5116525</v>
          </cell>
          <cell r="C1071">
            <v>4410</v>
          </cell>
          <cell r="D1071">
            <v>31987826</v>
          </cell>
          <cell r="E1071">
            <v>317</v>
          </cell>
          <cell r="F1071">
            <v>284</v>
          </cell>
          <cell r="G1071">
            <v>273</v>
          </cell>
          <cell r="H1071">
            <v>243</v>
          </cell>
          <cell r="I1071">
            <v>317</v>
          </cell>
          <cell r="J1071">
            <v>272</v>
          </cell>
          <cell r="K1071">
            <v>290</v>
          </cell>
          <cell r="L1071">
            <v>263</v>
          </cell>
          <cell r="M1071">
            <v>0</v>
          </cell>
        </row>
        <row r="1072">
          <cell r="A1072">
            <v>5184862</v>
          </cell>
          <cell r="B1072">
            <v>5116524</v>
          </cell>
          <cell r="C1072">
            <v>4410</v>
          </cell>
          <cell r="D1072">
            <v>220614</v>
          </cell>
          <cell r="E1072">
            <v>212</v>
          </cell>
          <cell r="F1072">
            <v>155</v>
          </cell>
          <cell r="G1072">
            <v>119</v>
          </cell>
          <cell r="H1072">
            <v>31</v>
          </cell>
          <cell r="I1072">
            <v>111</v>
          </cell>
          <cell r="J1072">
            <v>30</v>
          </cell>
          <cell r="K1072">
            <v>112</v>
          </cell>
          <cell r="L1072">
            <v>87</v>
          </cell>
          <cell r="M1072">
            <v>83</v>
          </cell>
        </row>
        <row r="1073">
          <cell r="A1073">
            <v>5184860</v>
          </cell>
          <cell r="B1073">
            <v>5116523</v>
          </cell>
          <cell r="C1073">
            <v>4410</v>
          </cell>
          <cell r="D1073">
            <v>31987825</v>
          </cell>
          <cell r="E1073">
            <v>208</v>
          </cell>
          <cell r="F1073">
            <v>187</v>
          </cell>
          <cell r="G1073">
            <v>180</v>
          </cell>
          <cell r="H1073">
            <v>160</v>
          </cell>
          <cell r="I1073">
            <v>208</v>
          </cell>
          <cell r="J1073">
            <v>81</v>
          </cell>
          <cell r="K1073">
            <v>67</v>
          </cell>
          <cell r="L1073">
            <v>66</v>
          </cell>
          <cell r="M1073">
            <v>64</v>
          </cell>
        </row>
        <row r="1074">
          <cell r="A1074">
            <v>5184858</v>
          </cell>
          <cell r="B1074">
            <v>5116522</v>
          </cell>
          <cell r="C1074">
            <v>4410</v>
          </cell>
          <cell r="D1074">
            <v>31116349</v>
          </cell>
          <cell r="E1074">
            <v>270</v>
          </cell>
          <cell r="F1074">
            <v>189</v>
          </cell>
          <cell r="G1074">
            <v>189</v>
          </cell>
          <cell r="H1074">
            <v>242</v>
          </cell>
          <cell r="I1074">
            <v>166</v>
          </cell>
          <cell r="J1074">
            <v>147</v>
          </cell>
          <cell r="K1074">
            <v>203</v>
          </cell>
          <cell r="L1074">
            <v>216</v>
          </cell>
          <cell r="M1074">
            <v>370</v>
          </cell>
        </row>
        <row r="1075">
          <cell r="A1075">
            <v>5184856</v>
          </cell>
          <cell r="B1075">
            <v>5116521</v>
          </cell>
          <cell r="C1075">
            <v>4410</v>
          </cell>
          <cell r="D1075">
            <v>8913226</v>
          </cell>
          <cell r="E1075">
            <v>113</v>
          </cell>
          <cell r="F1075">
            <v>90</v>
          </cell>
          <cell r="G1075">
            <v>81</v>
          </cell>
          <cell r="H1075">
            <v>83</v>
          </cell>
          <cell r="I1075">
            <v>81</v>
          </cell>
          <cell r="J1075">
            <v>83</v>
          </cell>
          <cell r="K1075">
            <v>96</v>
          </cell>
          <cell r="L1075">
            <v>86</v>
          </cell>
          <cell r="M1075">
            <v>93</v>
          </cell>
        </row>
        <row r="1076">
          <cell r="A1076">
            <v>5184854</v>
          </cell>
          <cell r="B1076">
            <v>5116520</v>
          </cell>
          <cell r="C1076">
            <v>4410</v>
          </cell>
          <cell r="D1076">
            <v>1794892</v>
          </cell>
          <cell r="E1076">
            <v>189</v>
          </cell>
          <cell r="F1076">
            <v>707</v>
          </cell>
          <cell r="G1076">
            <v>132</v>
          </cell>
          <cell r="H1076">
            <v>108</v>
          </cell>
          <cell r="I1076">
            <v>153</v>
          </cell>
          <cell r="J1076">
            <v>101</v>
          </cell>
          <cell r="K1076">
            <v>126</v>
          </cell>
          <cell r="L1076">
            <v>181</v>
          </cell>
          <cell r="M1076">
            <v>170</v>
          </cell>
        </row>
        <row r="1077">
          <cell r="A1077">
            <v>5184852</v>
          </cell>
          <cell r="B1077">
            <v>5116519</v>
          </cell>
          <cell r="C1077">
            <v>4410</v>
          </cell>
          <cell r="D1077">
            <v>1836825</v>
          </cell>
          <cell r="E1077">
            <v>204</v>
          </cell>
          <cell r="F1077">
            <v>254</v>
          </cell>
          <cell r="G1077">
            <v>173</v>
          </cell>
          <cell r="H1077">
            <v>142</v>
          </cell>
          <cell r="I1077">
            <v>171</v>
          </cell>
          <cell r="J1077">
            <v>154</v>
          </cell>
          <cell r="K1077">
            <v>176</v>
          </cell>
          <cell r="L1077">
            <v>161</v>
          </cell>
          <cell r="M1077">
            <v>196</v>
          </cell>
        </row>
        <row r="1078">
          <cell r="A1078">
            <v>5184848</v>
          </cell>
          <cell r="B1078">
            <v>5116517</v>
          </cell>
          <cell r="C1078">
            <v>4410</v>
          </cell>
          <cell r="D1078">
            <v>31116345</v>
          </cell>
          <cell r="E1078">
            <v>172</v>
          </cell>
          <cell r="F1078">
            <v>152</v>
          </cell>
          <cell r="G1078">
            <v>148</v>
          </cell>
          <cell r="H1078">
            <v>144</v>
          </cell>
          <cell r="I1078">
            <v>213</v>
          </cell>
          <cell r="J1078">
            <v>228</v>
          </cell>
          <cell r="K1078">
            <v>218</v>
          </cell>
          <cell r="L1078">
            <v>206</v>
          </cell>
          <cell r="M1078">
            <v>268</v>
          </cell>
        </row>
        <row r="1079">
          <cell r="A1079">
            <v>5184846</v>
          </cell>
          <cell r="B1079">
            <v>5116516</v>
          </cell>
          <cell r="C1079">
            <v>4410</v>
          </cell>
          <cell r="D1079">
            <v>1501752</v>
          </cell>
          <cell r="E1079">
            <v>285</v>
          </cell>
          <cell r="F1079">
            <v>482</v>
          </cell>
          <cell r="G1079">
            <v>192</v>
          </cell>
          <cell r="H1079">
            <v>158</v>
          </cell>
          <cell r="I1079">
            <v>119</v>
          </cell>
          <cell r="J1079">
            <v>104</v>
          </cell>
          <cell r="K1079">
            <v>113</v>
          </cell>
          <cell r="L1079">
            <v>94</v>
          </cell>
          <cell r="M1079">
            <v>192</v>
          </cell>
        </row>
        <row r="1080">
          <cell r="A1080">
            <v>5184836</v>
          </cell>
          <cell r="B1080">
            <v>5116511</v>
          </cell>
          <cell r="C1080">
            <v>4410</v>
          </cell>
          <cell r="D1080">
            <v>3360634</v>
          </cell>
          <cell r="E1080">
            <v>230</v>
          </cell>
          <cell r="F1080">
            <v>203</v>
          </cell>
          <cell r="G1080">
            <v>173</v>
          </cell>
          <cell r="H1080">
            <v>234</v>
          </cell>
          <cell r="I1080">
            <v>159</v>
          </cell>
          <cell r="J1080">
            <v>211</v>
          </cell>
          <cell r="K1080">
            <v>66</v>
          </cell>
          <cell r="L1080">
            <v>164</v>
          </cell>
          <cell r="M1080">
            <v>171</v>
          </cell>
        </row>
        <row r="1081">
          <cell r="A1081">
            <v>5184834</v>
          </cell>
          <cell r="B1081">
            <v>5116510</v>
          </cell>
          <cell r="C1081">
            <v>4410</v>
          </cell>
          <cell r="D1081">
            <v>7314435</v>
          </cell>
          <cell r="E1081">
            <v>96</v>
          </cell>
          <cell r="F1081">
            <v>71</v>
          </cell>
          <cell r="G1081">
            <v>94</v>
          </cell>
          <cell r="H1081">
            <v>205</v>
          </cell>
          <cell r="I1081">
            <v>202</v>
          </cell>
          <cell r="J1081">
            <v>144</v>
          </cell>
          <cell r="K1081">
            <v>139</v>
          </cell>
          <cell r="L1081">
            <v>150</v>
          </cell>
          <cell r="M1081">
            <v>182</v>
          </cell>
        </row>
        <row r="1082">
          <cell r="A1082">
            <v>5184832</v>
          </cell>
          <cell r="B1082">
            <v>5116509</v>
          </cell>
          <cell r="C1082">
            <v>4410</v>
          </cell>
          <cell r="D1082">
            <v>3524475</v>
          </cell>
          <cell r="E1082">
            <v>45</v>
          </cell>
          <cell r="F1082">
            <v>37</v>
          </cell>
          <cell r="G1082">
            <v>90</v>
          </cell>
          <cell r="H1082">
            <v>157</v>
          </cell>
          <cell r="I1082">
            <v>281</v>
          </cell>
          <cell r="J1082">
            <v>182</v>
          </cell>
          <cell r="K1082">
            <v>203</v>
          </cell>
          <cell r="L1082">
            <v>200</v>
          </cell>
          <cell r="M1082">
            <v>232</v>
          </cell>
        </row>
        <row r="1083">
          <cell r="A1083">
            <v>5184812</v>
          </cell>
          <cell r="B1083">
            <v>5116499</v>
          </cell>
          <cell r="C1083">
            <v>4410</v>
          </cell>
          <cell r="D1083">
            <v>459093</v>
          </cell>
          <cell r="E1083">
            <v>235</v>
          </cell>
          <cell r="F1083">
            <v>116</v>
          </cell>
          <cell r="G1083">
            <v>56</v>
          </cell>
          <cell r="H1083">
            <v>151</v>
          </cell>
          <cell r="I1083">
            <v>160</v>
          </cell>
          <cell r="J1083">
            <v>145</v>
          </cell>
          <cell r="K1083">
            <v>181</v>
          </cell>
          <cell r="L1083">
            <v>143</v>
          </cell>
          <cell r="M1083">
            <v>153</v>
          </cell>
        </row>
        <row r="1084">
          <cell r="A1084">
            <v>5184810</v>
          </cell>
          <cell r="B1084">
            <v>5116498</v>
          </cell>
          <cell r="C1084">
            <v>4410</v>
          </cell>
          <cell r="D1084">
            <v>3524472</v>
          </cell>
          <cell r="E1084">
            <v>386</v>
          </cell>
          <cell r="F1084">
            <v>266</v>
          </cell>
          <cell r="G1084">
            <v>390</v>
          </cell>
          <cell r="H1084">
            <v>200</v>
          </cell>
          <cell r="I1084">
            <v>231</v>
          </cell>
          <cell r="J1084">
            <v>222</v>
          </cell>
          <cell r="K1084">
            <v>231</v>
          </cell>
          <cell r="L1084">
            <v>221</v>
          </cell>
          <cell r="M1084">
            <v>227</v>
          </cell>
        </row>
        <row r="1085">
          <cell r="A1085">
            <v>5184808</v>
          </cell>
          <cell r="B1085">
            <v>5116497</v>
          </cell>
          <cell r="C1085">
            <v>4410</v>
          </cell>
          <cell r="D1085">
            <v>3230279</v>
          </cell>
          <cell r="E1085">
            <v>233</v>
          </cell>
          <cell r="F1085">
            <v>206</v>
          </cell>
          <cell r="G1085">
            <v>200</v>
          </cell>
          <cell r="H1085">
            <v>79</v>
          </cell>
          <cell r="I1085">
            <v>92</v>
          </cell>
          <cell r="J1085">
            <v>83</v>
          </cell>
          <cell r="K1085">
            <v>90</v>
          </cell>
          <cell r="L1085">
            <v>89</v>
          </cell>
          <cell r="M1085">
            <v>91</v>
          </cell>
        </row>
        <row r="1086">
          <cell r="A1086">
            <v>5184804</v>
          </cell>
          <cell r="B1086">
            <v>5116495</v>
          </cell>
          <cell r="C1086">
            <v>4410</v>
          </cell>
          <cell r="D1086">
            <v>3524476</v>
          </cell>
          <cell r="E1086">
            <v>233</v>
          </cell>
          <cell r="F1086">
            <v>206</v>
          </cell>
          <cell r="G1086">
            <v>400</v>
          </cell>
          <cell r="H1086">
            <v>74</v>
          </cell>
          <cell r="I1086">
            <v>127</v>
          </cell>
          <cell r="J1086">
            <v>119</v>
          </cell>
          <cell r="K1086">
            <v>117</v>
          </cell>
          <cell r="L1086">
            <v>141</v>
          </cell>
          <cell r="M1086">
            <v>143</v>
          </cell>
        </row>
        <row r="1087">
          <cell r="A1087">
            <v>5184794</v>
          </cell>
          <cell r="B1087">
            <v>5116490</v>
          </cell>
          <cell r="C1087">
            <v>4410</v>
          </cell>
          <cell r="D1087">
            <v>1618087</v>
          </cell>
          <cell r="E1087">
            <v>466</v>
          </cell>
          <cell r="F1087">
            <v>362</v>
          </cell>
          <cell r="G1087">
            <v>339</v>
          </cell>
          <cell r="H1087">
            <v>275</v>
          </cell>
          <cell r="I1087">
            <v>267</v>
          </cell>
          <cell r="J1087">
            <v>173</v>
          </cell>
          <cell r="K1087">
            <v>163</v>
          </cell>
          <cell r="L1087">
            <v>155</v>
          </cell>
          <cell r="M1087">
            <v>165</v>
          </cell>
        </row>
        <row r="1088">
          <cell r="A1088">
            <v>5184792</v>
          </cell>
          <cell r="B1088">
            <v>5116489</v>
          </cell>
          <cell r="C1088">
            <v>4410</v>
          </cell>
          <cell r="D1088">
            <v>7286810</v>
          </cell>
          <cell r="E1088">
            <v>0</v>
          </cell>
          <cell r="F1088">
            <v>4</v>
          </cell>
          <cell r="G1088">
            <v>247</v>
          </cell>
          <cell r="H1088">
            <v>227</v>
          </cell>
          <cell r="I1088">
            <v>235</v>
          </cell>
          <cell r="J1088">
            <v>119</v>
          </cell>
          <cell r="K1088">
            <v>5</v>
          </cell>
          <cell r="L1088">
            <v>4</v>
          </cell>
          <cell r="M1088">
            <v>148</v>
          </cell>
        </row>
        <row r="1089">
          <cell r="A1089">
            <v>5184790</v>
          </cell>
          <cell r="B1089">
            <v>5116488</v>
          </cell>
          <cell r="C1089">
            <v>4410</v>
          </cell>
          <cell r="D1089">
            <v>7287537</v>
          </cell>
          <cell r="E1089">
            <v>595</v>
          </cell>
          <cell r="F1089">
            <v>520</v>
          </cell>
          <cell r="G1089">
            <v>538</v>
          </cell>
          <cell r="H1089">
            <v>543</v>
          </cell>
          <cell r="I1089">
            <v>507</v>
          </cell>
          <cell r="J1089">
            <v>485</v>
          </cell>
          <cell r="K1089">
            <v>521</v>
          </cell>
          <cell r="L1089">
            <v>502</v>
          </cell>
          <cell r="M1089">
            <v>568</v>
          </cell>
        </row>
        <row r="1090">
          <cell r="A1090">
            <v>5184788</v>
          </cell>
          <cell r="B1090">
            <v>5116487</v>
          </cell>
          <cell r="C1090">
            <v>4410</v>
          </cell>
          <cell r="D1090">
            <v>3307854</v>
          </cell>
          <cell r="E1090">
            <v>160</v>
          </cell>
          <cell r="F1090">
            <v>15</v>
          </cell>
          <cell r="G1090">
            <v>311</v>
          </cell>
          <cell r="H1090">
            <v>747</v>
          </cell>
          <cell r="I1090">
            <v>203</v>
          </cell>
          <cell r="J1090">
            <v>276</v>
          </cell>
          <cell r="K1090">
            <v>307</v>
          </cell>
          <cell r="L1090">
            <v>286</v>
          </cell>
          <cell r="M1090">
            <v>298</v>
          </cell>
        </row>
        <row r="1091">
          <cell r="A1091">
            <v>5184786</v>
          </cell>
          <cell r="B1091">
            <v>5116486</v>
          </cell>
          <cell r="C1091">
            <v>4410</v>
          </cell>
          <cell r="D1091">
            <v>1618094</v>
          </cell>
          <cell r="E1091">
            <v>272</v>
          </cell>
          <cell r="F1091">
            <v>219</v>
          </cell>
          <cell r="G1091">
            <v>227</v>
          </cell>
          <cell r="H1091">
            <v>224</v>
          </cell>
          <cell r="I1091">
            <v>250</v>
          </cell>
          <cell r="J1091">
            <v>237</v>
          </cell>
          <cell r="K1091">
            <v>232</v>
          </cell>
          <cell r="L1091">
            <v>260</v>
          </cell>
          <cell r="M1091">
            <v>309</v>
          </cell>
        </row>
        <row r="1092">
          <cell r="A1092">
            <v>5184782</v>
          </cell>
          <cell r="B1092">
            <v>5116484</v>
          </cell>
          <cell r="C1092">
            <v>4410</v>
          </cell>
          <cell r="D1092">
            <v>6825956</v>
          </cell>
          <cell r="E1092">
            <v>56</v>
          </cell>
          <cell r="F1092">
            <v>29</v>
          </cell>
          <cell r="G1092">
            <v>98</v>
          </cell>
          <cell r="H1092">
            <v>80</v>
          </cell>
          <cell r="I1092">
            <v>63</v>
          </cell>
          <cell r="J1092">
            <v>63</v>
          </cell>
          <cell r="K1092">
            <v>118</v>
          </cell>
          <cell r="L1092">
            <v>128</v>
          </cell>
          <cell r="M1092">
            <v>123</v>
          </cell>
        </row>
        <row r="1093">
          <cell r="A1093">
            <v>5184780</v>
          </cell>
          <cell r="B1093">
            <v>5116483</v>
          </cell>
          <cell r="C1093">
            <v>4410</v>
          </cell>
          <cell r="D1093">
            <v>1502203</v>
          </cell>
          <cell r="E1093">
            <v>154</v>
          </cell>
          <cell r="F1093">
            <v>128</v>
          </cell>
          <cell r="G1093">
            <v>133</v>
          </cell>
          <cell r="H1093">
            <v>119</v>
          </cell>
          <cell r="I1093">
            <v>139</v>
          </cell>
          <cell r="J1093">
            <v>118</v>
          </cell>
          <cell r="K1093">
            <v>119</v>
          </cell>
          <cell r="L1093">
            <v>131</v>
          </cell>
          <cell r="M1093">
            <v>148</v>
          </cell>
        </row>
        <row r="1094">
          <cell r="A1094">
            <v>5184778</v>
          </cell>
          <cell r="B1094">
            <v>5116482</v>
          </cell>
          <cell r="C1094">
            <v>4410</v>
          </cell>
          <cell r="D1094">
            <v>1693106</v>
          </cell>
          <cell r="E1094">
            <v>334</v>
          </cell>
          <cell r="F1094">
            <v>232</v>
          </cell>
          <cell r="G1094">
            <v>536</v>
          </cell>
          <cell r="H1094">
            <v>225</v>
          </cell>
          <cell r="I1094">
            <v>269</v>
          </cell>
          <cell r="J1094">
            <v>233</v>
          </cell>
          <cell r="K1094">
            <v>262</v>
          </cell>
          <cell r="L1094">
            <v>259</v>
          </cell>
          <cell r="M1094">
            <v>296</v>
          </cell>
        </row>
        <row r="1095">
          <cell r="A1095">
            <v>5184776</v>
          </cell>
          <cell r="B1095">
            <v>5116481</v>
          </cell>
          <cell r="C1095">
            <v>4410</v>
          </cell>
          <cell r="D1095">
            <v>31116356</v>
          </cell>
          <cell r="E1095">
            <v>217</v>
          </cell>
          <cell r="F1095">
            <v>164</v>
          </cell>
          <cell r="G1095">
            <v>184</v>
          </cell>
          <cell r="H1095">
            <v>174</v>
          </cell>
          <cell r="I1095">
            <v>193</v>
          </cell>
          <cell r="J1095">
            <v>148</v>
          </cell>
          <cell r="K1095">
            <v>160</v>
          </cell>
          <cell r="L1095">
            <v>147</v>
          </cell>
          <cell r="M1095">
            <v>158</v>
          </cell>
        </row>
        <row r="1096">
          <cell r="A1096">
            <v>5184774</v>
          </cell>
          <cell r="B1096">
            <v>5116480</v>
          </cell>
          <cell r="C1096">
            <v>4410</v>
          </cell>
          <cell r="D1096">
            <v>31116347</v>
          </cell>
          <cell r="E1096">
            <v>52</v>
          </cell>
          <cell r="F1096">
            <v>49</v>
          </cell>
          <cell r="G1096">
            <v>46</v>
          </cell>
          <cell r="H1096">
            <v>50</v>
          </cell>
          <cell r="I1096">
            <v>49</v>
          </cell>
          <cell r="J1096">
            <v>150</v>
          </cell>
          <cell r="K1096">
            <v>75</v>
          </cell>
          <cell r="L1096">
            <v>82</v>
          </cell>
          <cell r="M1096">
            <v>78</v>
          </cell>
        </row>
        <row r="1097">
          <cell r="A1097">
            <v>5184772</v>
          </cell>
          <cell r="B1097">
            <v>5116479</v>
          </cell>
          <cell r="C1097">
            <v>4410</v>
          </cell>
          <cell r="D1097">
            <v>31981406</v>
          </cell>
          <cell r="E1097">
            <v>172</v>
          </cell>
          <cell r="F1097">
            <v>152</v>
          </cell>
          <cell r="G1097">
            <v>148</v>
          </cell>
          <cell r="H1097">
            <v>144</v>
          </cell>
          <cell r="I1097">
            <v>213</v>
          </cell>
          <cell r="J1097">
            <v>130</v>
          </cell>
          <cell r="K1097">
            <v>87</v>
          </cell>
          <cell r="L1097">
            <v>111</v>
          </cell>
          <cell r="M1097">
            <v>97</v>
          </cell>
        </row>
        <row r="1098">
          <cell r="A1098">
            <v>5184770</v>
          </cell>
          <cell r="B1098">
            <v>5116478</v>
          </cell>
          <cell r="C1098">
            <v>4410</v>
          </cell>
          <cell r="D1098">
            <v>31116350</v>
          </cell>
          <cell r="E1098">
            <v>330</v>
          </cell>
          <cell r="F1098">
            <v>208</v>
          </cell>
          <cell r="G1098">
            <v>237</v>
          </cell>
          <cell r="H1098">
            <v>242</v>
          </cell>
          <cell r="I1098">
            <v>264</v>
          </cell>
          <cell r="J1098">
            <v>273</v>
          </cell>
          <cell r="K1098">
            <v>265</v>
          </cell>
          <cell r="L1098">
            <v>225</v>
          </cell>
          <cell r="M1098">
            <v>120</v>
          </cell>
        </row>
        <row r="1099">
          <cell r="A1099">
            <v>5184768</v>
          </cell>
          <cell r="B1099">
            <v>5116477</v>
          </cell>
          <cell r="C1099">
            <v>4410</v>
          </cell>
          <cell r="D1099">
            <v>221240</v>
          </cell>
          <cell r="E1099">
            <v>119</v>
          </cell>
          <cell r="F1099">
            <v>110</v>
          </cell>
          <cell r="G1099">
            <v>101</v>
          </cell>
          <cell r="H1099">
            <v>109</v>
          </cell>
          <cell r="I1099">
            <v>81</v>
          </cell>
          <cell r="J1099">
            <v>186</v>
          </cell>
          <cell r="K1099">
            <v>260</v>
          </cell>
          <cell r="L1099">
            <v>217</v>
          </cell>
          <cell r="M1099">
            <v>204</v>
          </cell>
        </row>
        <row r="1100">
          <cell r="A1100">
            <v>5184766</v>
          </cell>
          <cell r="B1100">
            <v>5116476</v>
          </cell>
          <cell r="C1100">
            <v>4410</v>
          </cell>
          <cell r="D1100">
            <v>2933768</v>
          </cell>
          <cell r="E1100">
            <v>155</v>
          </cell>
          <cell r="F1100">
            <v>153</v>
          </cell>
          <cell r="G1100">
            <v>142</v>
          </cell>
          <cell r="H1100">
            <v>138</v>
          </cell>
          <cell r="I1100">
            <v>270</v>
          </cell>
          <cell r="J1100">
            <v>121</v>
          </cell>
          <cell r="K1100">
            <v>156</v>
          </cell>
          <cell r="L1100">
            <v>102</v>
          </cell>
          <cell r="M1100">
            <v>253</v>
          </cell>
        </row>
        <row r="1101">
          <cell r="A1101">
            <v>5184762</v>
          </cell>
          <cell r="B1101">
            <v>5116474</v>
          </cell>
          <cell r="C1101">
            <v>4410</v>
          </cell>
          <cell r="D1101">
            <v>3219510</v>
          </cell>
          <cell r="E1101">
            <v>172</v>
          </cell>
          <cell r="F1101">
            <v>152</v>
          </cell>
          <cell r="G1101">
            <v>148</v>
          </cell>
          <cell r="H1101">
            <v>144</v>
          </cell>
          <cell r="I1101">
            <v>213</v>
          </cell>
          <cell r="J1101">
            <v>185</v>
          </cell>
          <cell r="K1101">
            <v>198</v>
          </cell>
          <cell r="L1101">
            <v>187</v>
          </cell>
          <cell r="M1101">
            <v>155</v>
          </cell>
        </row>
        <row r="1102">
          <cell r="A1102">
            <v>5184760</v>
          </cell>
          <cell r="B1102">
            <v>5116473</v>
          </cell>
          <cell r="C1102">
            <v>4410</v>
          </cell>
          <cell r="D1102">
            <v>5309470</v>
          </cell>
          <cell r="E1102">
            <v>233</v>
          </cell>
          <cell r="F1102">
            <v>206</v>
          </cell>
          <cell r="G1102">
            <v>200</v>
          </cell>
          <cell r="H1102">
            <v>189</v>
          </cell>
          <cell r="I1102">
            <v>473</v>
          </cell>
          <cell r="J1102">
            <v>151</v>
          </cell>
          <cell r="K1102">
            <v>165</v>
          </cell>
          <cell r="L1102">
            <v>141</v>
          </cell>
          <cell r="M1102">
            <v>157</v>
          </cell>
        </row>
        <row r="1103">
          <cell r="A1103">
            <v>5184758</v>
          </cell>
          <cell r="B1103">
            <v>5116472</v>
          </cell>
          <cell r="C1103">
            <v>4410</v>
          </cell>
          <cell r="D1103">
            <v>2509541</v>
          </cell>
          <cell r="E1103">
            <v>42</v>
          </cell>
          <cell r="F1103">
            <v>40</v>
          </cell>
          <cell r="G1103">
            <v>58</v>
          </cell>
          <cell r="H1103">
            <v>61</v>
          </cell>
          <cell r="I1103">
            <v>50</v>
          </cell>
          <cell r="J1103">
            <v>71</v>
          </cell>
          <cell r="K1103">
            <v>76</v>
          </cell>
          <cell r="L1103">
            <v>65</v>
          </cell>
          <cell r="M1103">
            <v>57</v>
          </cell>
        </row>
        <row r="1104">
          <cell r="A1104">
            <v>5184736</v>
          </cell>
          <cell r="B1104">
            <v>5116461</v>
          </cell>
          <cell r="C1104">
            <v>4410</v>
          </cell>
          <cell r="D1104">
            <v>8702988</v>
          </cell>
          <cell r="E1104">
            <v>367</v>
          </cell>
          <cell r="F1104">
            <v>306</v>
          </cell>
          <cell r="G1104">
            <v>326</v>
          </cell>
          <cell r="H1104">
            <v>327</v>
          </cell>
          <cell r="I1104">
            <v>331</v>
          </cell>
          <cell r="J1104">
            <v>300</v>
          </cell>
          <cell r="K1104">
            <v>322</v>
          </cell>
          <cell r="L1104">
            <v>302</v>
          </cell>
          <cell r="M1104">
            <v>334</v>
          </cell>
        </row>
        <row r="1105">
          <cell r="A1105">
            <v>5184734</v>
          </cell>
          <cell r="B1105">
            <v>5116460</v>
          </cell>
          <cell r="C1105">
            <v>4410</v>
          </cell>
          <cell r="D1105">
            <v>3505766</v>
          </cell>
          <cell r="E1105">
            <v>476</v>
          </cell>
          <cell r="F1105">
            <v>356</v>
          </cell>
          <cell r="G1105">
            <v>235</v>
          </cell>
          <cell r="H1105">
            <v>351</v>
          </cell>
          <cell r="I1105">
            <v>414</v>
          </cell>
          <cell r="J1105">
            <v>411</v>
          </cell>
          <cell r="K1105">
            <v>422</v>
          </cell>
          <cell r="L1105">
            <v>424</v>
          </cell>
          <cell r="M1105">
            <v>407</v>
          </cell>
        </row>
        <row r="1106">
          <cell r="A1106">
            <v>5184732</v>
          </cell>
          <cell r="B1106">
            <v>5116459</v>
          </cell>
          <cell r="C1106">
            <v>4410</v>
          </cell>
          <cell r="D1106">
            <v>33001175</v>
          </cell>
          <cell r="E1106">
            <v>110</v>
          </cell>
          <cell r="F1106">
            <v>84</v>
          </cell>
          <cell r="G1106">
            <v>60</v>
          </cell>
          <cell r="H1106">
            <v>52</v>
          </cell>
          <cell r="I1106">
            <v>36</v>
          </cell>
          <cell r="J1106">
            <v>31</v>
          </cell>
          <cell r="K1106">
            <v>47</v>
          </cell>
          <cell r="L1106">
            <v>41</v>
          </cell>
          <cell r="M1106">
            <v>53</v>
          </cell>
        </row>
        <row r="1107">
          <cell r="A1107">
            <v>5184730</v>
          </cell>
          <cell r="B1107">
            <v>5116458</v>
          </cell>
          <cell r="C1107">
            <v>4410</v>
          </cell>
          <cell r="D1107">
            <v>31987896</v>
          </cell>
          <cell r="E1107">
            <v>90</v>
          </cell>
          <cell r="F1107">
            <v>126</v>
          </cell>
          <cell r="G1107">
            <v>133</v>
          </cell>
          <cell r="H1107">
            <v>137</v>
          </cell>
          <cell r="I1107">
            <v>149</v>
          </cell>
          <cell r="J1107">
            <v>133</v>
          </cell>
          <cell r="K1107">
            <v>77</v>
          </cell>
          <cell r="L1107">
            <v>77</v>
          </cell>
          <cell r="M1107">
            <v>78</v>
          </cell>
        </row>
        <row r="1108">
          <cell r="A1108">
            <v>6077518</v>
          </cell>
          <cell r="B1108">
            <v>5908054</v>
          </cell>
          <cell r="C1108">
            <v>4410</v>
          </cell>
          <cell r="D1108">
            <v>32997655</v>
          </cell>
          <cell r="M1108">
            <v>38</v>
          </cell>
        </row>
        <row r="1109">
          <cell r="A1109">
            <v>6042025</v>
          </cell>
          <cell r="B1109">
            <v>5899703</v>
          </cell>
          <cell r="C1109">
            <v>4410</v>
          </cell>
          <cell r="D1109">
            <v>31991407</v>
          </cell>
          <cell r="L1109">
            <v>141</v>
          </cell>
          <cell r="M1109">
            <v>176</v>
          </cell>
        </row>
        <row r="1110">
          <cell r="A1110">
            <v>6030163</v>
          </cell>
          <cell r="B1110">
            <v>5894848</v>
          </cell>
          <cell r="C1110">
            <v>4410</v>
          </cell>
          <cell r="D1110">
            <v>31987893</v>
          </cell>
          <cell r="J1110">
            <v>94</v>
          </cell>
          <cell r="K1110">
            <v>143</v>
          </cell>
          <cell r="L1110">
            <v>335</v>
          </cell>
          <cell r="M1110">
            <v>86</v>
          </cell>
        </row>
        <row r="1111">
          <cell r="A1111">
            <v>6030018</v>
          </cell>
          <cell r="B1111">
            <v>5894788</v>
          </cell>
          <cell r="C1111">
            <v>4410</v>
          </cell>
          <cell r="D1111">
            <v>31987827</v>
          </cell>
          <cell r="J1111">
            <v>59</v>
          </cell>
          <cell r="K1111">
            <v>100</v>
          </cell>
          <cell r="L1111">
            <v>79</v>
          </cell>
          <cell r="M1111">
            <v>91</v>
          </cell>
        </row>
        <row r="1112">
          <cell r="A1112">
            <v>6030013</v>
          </cell>
          <cell r="B1112">
            <v>5894786</v>
          </cell>
          <cell r="C1112">
            <v>4410</v>
          </cell>
          <cell r="D1112">
            <v>31981478</v>
          </cell>
          <cell r="J1112">
            <v>55</v>
          </cell>
          <cell r="K1112">
            <v>82</v>
          </cell>
          <cell r="L1112">
            <v>50</v>
          </cell>
          <cell r="M1112">
            <v>19</v>
          </cell>
        </row>
        <row r="1113">
          <cell r="A1113">
            <v>5972091</v>
          </cell>
          <cell r="B1113">
            <v>5880585</v>
          </cell>
          <cell r="C1113">
            <v>4410</v>
          </cell>
          <cell r="D1113">
            <v>10412412</v>
          </cell>
          <cell r="H1113">
            <v>48</v>
          </cell>
          <cell r="I1113">
            <v>69</v>
          </cell>
          <cell r="J1113">
            <v>70</v>
          </cell>
          <cell r="K1113">
            <v>86</v>
          </cell>
          <cell r="L1113">
            <v>70</v>
          </cell>
          <cell r="M1113">
            <v>83</v>
          </cell>
        </row>
        <row r="1114">
          <cell r="A1114">
            <v>5966009</v>
          </cell>
          <cell r="B1114">
            <v>5879985</v>
          </cell>
          <cell r="C1114">
            <v>4410</v>
          </cell>
          <cell r="D1114">
            <v>8904436</v>
          </cell>
          <cell r="H1114">
            <v>146</v>
          </cell>
          <cell r="I1114">
            <v>137</v>
          </cell>
          <cell r="J1114">
            <v>153</v>
          </cell>
          <cell r="K1114">
            <v>139</v>
          </cell>
          <cell r="L1114">
            <v>144</v>
          </cell>
          <cell r="M1114">
            <v>152</v>
          </cell>
        </row>
        <row r="1115">
          <cell r="A1115">
            <v>5184844</v>
          </cell>
          <cell r="B1115">
            <v>5116515</v>
          </cell>
          <cell r="C1115">
            <v>4410</v>
          </cell>
          <cell r="D1115">
            <v>6811636</v>
          </cell>
          <cell r="E1115">
            <v>284</v>
          </cell>
          <cell r="F1115">
            <v>235</v>
          </cell>
          <cell r="G1115">
            <v>159</v>
          </cell>
          <cell r="H1115">
            <v>144</v>
          </cell>
          <cell r="I1115">
            <v>149</v>
          </cell>
          <cell r="J1115">
            <v>141</v>
          </cell>
          <cell r="K1115">
            <v>162</v>
          </cell>
          <cell r="L1115">
            <v>166</v>
          </cell>
          <cell r="M1115">
            <v>155</v>
          </cell>
        </row>
        <row r="1116">
          <cell r="A1116">
            <v>5184842</v>
          </cell>
          <cell r="B1116">
            <v>5116514</v>
          </cell>
          <cell r="C1116">
            <v>4410</v>
          </cell>
          <cell r="D1116">
            <v>31116354</v>
          </cell>
          <cell r="E1116">
            <v>190</v>
          </cell>
          <cell r="F1116">
            <v>312</v>
          </cell>
          <cell r="G1116">
            <v>197</v>
          </cell>
          <cell r="H1116">
            <v>213</v>
          </cell>
          <cell r="I1116">
            <v>145</v>
          </cell>
          <cell r="J1116">
            <v>171</v>
          </cell>
          <cell r="K1116">
            <v>190</v>
          </cell>
          <cell r="L1116">
            <v>180</v>
          </cell>
          <cell r="M1116">
            <v>206</v>
          </cell>
        </row>
        <row r="1117">
          <cell r="A1117">
            <v>5184840</v>
          </cell>
          <cell r="B1117">
            <v>5116513</v>
          </cell>
          <cell r="C1117">
            <v>4410</v>
          </cell>
          <cell r="D1117">
            <v>6803673</v>
          </cell>
          <cell r="E1117">
            <v>213</v>
          </cell>
          <cell r="F1117">
            <v>179</v>
          </cell>
          <cell r="G1117">
            <v>210</v>
          </cell>
          <cell r="H1117">
            <v>204</v>
          </cell>
          <cell r="I1117">
            <v>191</v>
          </cell>
          <cell r="J1117">
            <v>202</v>
          </cell>
          <cell r="K1117">
            <v>213</v>
          </cell>
          <cell r="L1117">
            <v>212</v>
          </cell>
          <cell r="M1117">
            <v>233</v>
          </cell>
        </row>
        <row r="1118">
          <cell r="A1118">
            <v>5184838</v>
          </cell>
          <cell r="B1118">
            <v>5116512</v>
          </cell>
          <cell r="C1118">
            <v>4410</v>
          </cell>
          <cell r="D1118">
            <v>1618088</v>
          </cell>
          <cell r="E1118">
            <v>115</v>
          </cell>
          <cell r="F1118">
            <v>110</v>
          </cell>
          <cell r="G1118">
            <v>98</v>
          </cell>
          <cell r="H1118">
            <v>108</v>
          </cell>
          <cell r="I1118">
            <v>101</v>
          </cell>
          <cell r="J1118">
            <v>109</v>
          </cell>
          <cell r="K1118">
            <v>103</v>
          </cell>
          <cell r="L1118">
            <v>104</v>
          </cell>
          <cell r="M1118">
            <v>103</v>
          </cell>
        </row>
        <row r="1119">
          <cell r="A1119">
            <v>5184830</v>
          </cell>
          <cell r="B1119">
            <v>5116508</v>
          </cell>
          <cell r="C1119">
            <v>4410</v>
          </cell>
          <cell r="D1119">
            <v>1616835</v>
          </cell>
          <cell r="E1119">
            <v>222</v>
          </cell>
          <cell r="F1119">
            <v>188</v>
          </cell>
          <cell r="G1119">
            <v>187</v>
          </cell>
          <cell r="H1119">
            <v>186</v>
          </cell>
          <cell r="I1119">
            <v>230</v>
          </cell>
          <cell r="J1119">
            <v>210</v>
          </cell>
          <cell r="K1119">
            <v>208</v>
          </cell>
          <cell r="L1119">
            <v>197</v>
          </cell>
          <cell r="M1119">
            <v>26</v>
          </cell>
        </row>
        <row r="1120">
          <cell r="A1120">
            <v>5184826</v>
          </cell>
          <cell r="B1120">
            <v>5116506</v>
          </cell>
          <cell r="C1120">
            <v>4410</v>
          </cell>
          <cell r="D1120">
            <v>31981474</v>
          </cell>
          <cell r="E1120">
            <v>172</v>
          </cell>
          <cell r="F1120">
            <v>152</v>
          </cell>
          <cell r="G1120">
            <v>148</v>
          </cell>
          <cell r="H1120">
            <v>144</v>
          </cell>
          <cell r="I1120">
            <v>213</v>
          </cell>
          <cell r="J1120">
            <v>117</v>
          </cell>
          <cell r="K1120">
            <v>109</v>
          </cell>
          <cell r="L1120">
            <v>109</v>
          </cell>
          <cell r="M1120">
            <v>103</v>
          </cell>
        </row>
        <row r="1121">
          <cell r="A1121">
            <v>5184824</v>
          </cell>
          <cell r="B1121">
            <v>5116505</v>
          </cell>
          <cell r="C1121">
            <v>4410</v>
          </cell>
          <cell r="D1121">
            <v>7686181</v>
          </cell>
          <cell r="E1121">
            <v>276</v>
          </cell>
          <cell r="F1121">
            <v>242</v>
          </cell>
          <cell r="G1121">
            <v>507</v>
          </cell>
          <cell r="H1121">
            <v>236</v>
          </cell>
          <cell r="I1121">
            <v>229</v>
          </cell>
          <cell r="J1121">
            <v>215</v>
          </cell>
          <cell r="K1121">
            <v>213</v>
          </cell>
          <cell r="L1121">
            <v>199</v>
          </cell>
          <cell r="M1121">
            <v>207</v>
          </cell>
        </row>
        <row r="1122">
          <cell r="A1122">
            <v>5184822</v>
          </cell>
          <cell r="B1122">
            <v>5116504</v>
          </cell>
          <cell r="C1122">
            <v>4410</v>
          </cell>
          <cell r="D1122">
            <v>1529858</v>
          </cell>
          <cell r="E1122">
            <v>69</v>
          </cell>
          <cell r="F1122">
            <v>85</v>
          </cell>
          <cell r="G1122">
            <v>113</v>
          </cell>
          <cell r="H1122">
            <v>135</v>
          </cell>
          <cell r="I1122">
            <v>89</v>
          </cell>
          <cell r="J1122">
            <v>101</v>
          </cell>
          <cell r="K1122">
            <v>109</v>
          </cell>
          <cell r="L1122">
            <v>97</v>
          </cell>
          <cell r="M1122">
            <v>114</v>
          </cell>
        </row>
        <row r="1123">
          <cell r="A1123">
            <v>5184820</v>
          </cell>
          <cell r="B1123">
            <v>5116503</v>
          </cell>
          <cell r="C1123">
            <v>4410</v>
          </cell>
          <cell r="D1123">
            <v>3360163</v>
          </cell>
          <cell r="E1123">
            <v>162</v>
          </cell>
          <cell r="F1123">
            <v>129</v>
          </cell>
          <cell r="G1123">
            <v>98</v>
          </cell>
          <cell r="H1123">
            <v>114</v>
          </cell>
          <cell r="I1123">
            <v>169</v>
          </cell>
          <cell r="J1123">
            <v>229</v>
          </cell>
          <cell r="K1123">
            <v>235</v>
          </cell>
          <cell r="L1123">
            <v>200</v>
          </cell>
          <cell r="M1123">
            <v>217</v>
          </cell>
        </row>
        <row r="1124">
          <cell r="A1124">
            <v>5184818</v>
          </cell>
          <cell r="B1124">
            <v>5116502</v>
          </cell>
          <cell r="C1124">
            <v>4410</v>
          </cell>
          <cell r="D1124">
            <v>3377365</v>
          </cell>
          <cell r="E1124">
            <v>117</v>
          </cell>
          <cell r="F1124">
            <v>120</v>
          </cell>
          <cell r="G1124">
            <v>602</v>
          </cell>
          <cell r="H1124">
            <v>154</v>
          </cell>
          <cell r="I1124">
            <v>144</v>
          </cell>
          <cell r="J1124">
            <v>170</v>
          </cell>
          <cell r="K1124">
            <v>230</v>
          </cell>
          <cell r="L1124">
            <v>192</v>
          </cell>
          <cell r="M1124">
            <v>232</v>
          </cell>
        </row>
        <row r="1125">
          <cell r="A1125">
            <v>5184816</v>
          </cell>
          <cell r="B1125">
            <v>5116501</v>
          </cell>
          <cell r="C1125">
            <v>4410</v>
          </cell>
          <cell r="D1125">
            <v>4748060</v>
          </cell>
          <cell r="E1125">
            <v>213</v>
          </cell>
          <cell r="F1125">
            <v>177</v>
          </cell>
          <cell r="G1125">
            <v>198</v>
          </cell>
          <cell r="H1125">
            <v>487</v>
          </cell>
          <cell r="I1125">
            <v>227</v>
          </cell>
          <cell r="J1125">
            <v>83</v>
          </cell>
          <cell r="K1125">
            <v>320</v>
          </cell>
          <cell r="L1125">
            <v>383</v>
          </cell>
          <cell r="M1125">
            <v>263</v>
          </cell>
        </row>
        <row r="1126">
          <cell r="A1126">
            <v>5184814</v>
          </cell>
          <cell r="B1126">
            <v>5116500</v>
          </cell>
          <cell r="C1126">
            <v>4410</v>
          </cell>
          <cell r="D1126">
            <v>31981476</v>
          </cell>
          <cell r="E1126">
            <v>324</v>
          </cell>
          <cell r="F1126">
            <v>248</v>
          </cell>
          <cell r="G1126">
            <v>182</v>
          </cell>
          <cell r="H1126">
            <v>246</v>
          </cell>
          <cell r="I1126">
            <v>218</v>
          </cell>
          <cell r="J1126">
            <v>194</v>
          </cell>
          <cell r="K1126">
            <v>212</v>
          </cell>
          <cell r="L1126">
            <v>224</v>
          </cell>
          <cell r="M1126">
            <v>283</v>
          </cell>
        </row>
        <row r="1127">
          <cell r="A1127">
            <v>5184802</v>
          </cell>
          <cell r="B1127">
            <v>5116494</v>
          </cell>
          <cell r="C1127">
            <v>4410</v>
          </cell>
          <cell r="D1127">
            <v>438640</v>
          </cell>
          <cell r="E1127">
            <v>172</v>
          </cell>
          <cell r="F1127">
            <v>304</v>
          </cell>
          <cell r="G1127">
            <v>137</v>
          </cell>
          <cell r="H1127">
            <v>112</v>
          </cell>
          <cell r="I1127">
            <v>127</v>
          </cell>
          <cell r="J1127">
            <v>90</v>
          </cell>
          <cell r="K1127">
            <v>131</v>
          </cell>
          <cell r="L1127">
            <v>119</v>
          </cell>
          <cell r="M1127">
            <v>127</v>
          </cell>
        </row>
        <row r="1128">
          <cell r="A1128">
            <v>5184800</v>
          </cell>
          <cell r="B1128">
            <v>5116493</v>
          </cell>
          <cell r="C1128">
            <v>4410</v>
          </cell>
          <cell r="D1128">
            <v>7729410</v>
          </cell>
          <cell r="E1128">
            <v>159</v>
          </cell>
          <cell r="F1128">
            <v>332</v>
          </cell>
          <cell r="G1128">
            <v>151</v>
          </cell>
          <cell r="H1128">
            <v>259</v>
          </cell>
          <cell r="I1128">
            <v>175</v>
          </cell>
          <cell r="J1128">
            <v>233</v>
          </cell>
          <cell r="K1128">
            <v>306</v>
          </cell>
          <cell r="L1128">
            <v>179</v>
          </cell>
          <cell r="M1128">
            <v>221</v>
          </cell>
        </row>
        <row r="1129">
          <cell r="A1129">
            <v>5184798</v>
          </cell>
          <cell r="B1129">
            <v>5116492</v>
          </cell>
          <cell r="C1129">
            <v>4410</v>
          </cell>
          <cell r="D1129">
            <v>3352177</v>
          </cell>
          <cell r="E1129">
            <v>423</v>
          </cell>
          <cell r="F1129">
            <v>78</v>
          </cell>
          <cell r="G1129">
            <v>187</v>
          </cell>
          <cell r="H1129">
            <v>167</v>
          </cell>
          <cell r="I1129">
            <v>173</v>
          </cell>
          <cell r="J1129">
            <v>132</v>
          </cell>
          <cell r="K1129">
            <v>164</v>
          </cell>
          <cell r="L1129">
            <v>140</v>
          </cell>
          <cell r="M1129">
            <v>219</v>
          </cell>
        </row>
        <row r="1130">
          <cell r="A1130">
            <v>5184796</v>
          </cell>
          <cell r="B1130">
            <v>5116491</v>
          </cell>
          <cell r="C1130">
            <v>4410</v>
          </cell>
          <cell r="D1130">
            <v>443777</v>
          </cell>
          <cell r="E1130">
            <v>165</v>
          </cell>
          <cell r="F1130">
            <v>120</v>
          </cell>
          <cell r="G1130">
            <v>124</v>
          </cell>
          <cell r="H1130">
            <v>109</v>
          </cell>
          <cell r="I1130">
            <v>178</v>
          </cell>
          <cell r="J1130">
            <v>175</v>
          </cell>
          <cell r="K1130">
            <v>203</v>
          </cell>
          <cell r="L1130">
            <v>197</v>
          </cell>
          <cell r="M1130">
            <v>214</v>
          </cell>
        </row>
        <row r="1131">
          <cell r="A1131">
            <v>5184754</v>
          </cell>
          <cell r="B1131">
            <v>5116470</v>
          </cell>
          <cell r="C1131">
            <v>4410</v>
          </cell>
          <cell r="D1131">
            <v>1837447</v>
          </cell>
          <cell r="E1131">
            <v>57</v>
          </cell>
          <cell r="F1131">
            <v>41</v>
          </cell>
          <cell r="G1131">
            <v>49</v>
          </cell>
          <cell r="H1131">
            <v>40</v>
          </cell>
          <cell r="I1131">
            <v>50</v>
          </cell>
          <cell r="J1131">
            <v>122</v>
          </cell>
          <cell r="K1131">
            <v>118</v>
          </cell>
          <cell r="L1131">
            <v>86</v>
          </cell>
          <cell r="M1131">
            <v>75</v>
          </cell>
        </row>
        <row r="1132">
          <cell r="A1132">
            <v>5184752</v>
          </cell>
          <cell r="B1132">
            <v>5116469</v>
          </cell>
          <cell r="C1132">
            <v>4410</v>
          </cell>
          <cell r="D1132">
            <v>1529859</v>
          </cell>
          <cell r="E1132">
            <v>178</v>
          </cell>
          <cell r="F1132">
            <v>177</v>
          </cell>
          <cell r="G1132">
            <v>175</v>
          </cell>
          <cell r="H1132">
            <v>106</v>
          </cell>
          <cell r="I1132">
            <v>164</v>
          </cell>
          <cell r="J1132">
            <v>173</v>
          </cell>
          <cell r="K1132">
            <v>157</v>
          </cell>
          <cell r="L1132">
            <v>136</v>
          </cell>
          <cell r="M1132">
            <v>13</v>
          </cell>
        </row>
        <row r="1133">
          <cell r="A1133">
            <v>5184750</v>
          </cell>
          <cell r="B1133">
            <v>5116468</v>
          </cell>
          <cell r="C1133">
            <v>4410</v>
          </cell>
          <cell r="D1133">
            <v>7296045</v>
          </cell>
          <cell r="E1133">
            <v>181</v>
          </cell>
          <cell r="F1133">
            <v>162</v>
          </cell>
          <cell r="G1133">
            <v>161</v>
          </cell>
          <cell r="H1133">
            <v>149</v>
          </cell>
          <cell r="I1133">
            <v>168</v>
          </cell>
          <cell r="J1133">
            <v>144</v>
          </cell>
          <cell r="K1133">
            <v>159</v>
          </cell>
          <cell r="L1133">
            <v>154</v>
          </cell>
          <cell r="M1133">
            <v>159</v>
          </cell>
        </row>
        <row r="1134">
          <cell r="A1134">
            <v>5184748</v>
          </cell>
          <cell r="B1134">
            <v>5116467</v>
          </cell>
          <cell r="C1134">
            <v>4410</v>
          </cell>
          <cell r="D1134">
            <v>18492597</v>
          </cell>
          <cell r="E1134">
            <v>257</v>
          </cell>
          <cell r="F1134">
            <v>209</v>
          </cell>
          <cell r="G1134">
            <v>266</v>
          </cell>
          <cell r="H1134">
            <v>211</v>
          </cell>
          <cell r="I1134">
            <v>212</v>
          </cell>
          <cell r="J1134">
            <v>186</v>
          </cell>
          <cell r="K1134">
            <v>187</v>
          </cell>
          <cell r="L1134">
            <v>222</v>
          </cell>
          <cell r="M1134">
            <v>236</v>
          </cell>
        </row>
        <row r="1135">
          <cell r="A1135">
            <v>5184746</v>
          </cell>
          <cell r="B1135">
            <v>5116466</v>
          </cell>
          <cell r="C1135">
            <v>4410</v>
          </cell>
          <cell r="D1135">
            <v>10505202</v>
          </cell>
          <cell r="E1135">
            <v>129</v>
          </cell>
          <cell r="F1135">
            <v>117</v>
          </cell>
          <cell r="G1135">
            <v>123</v>
          </cell>
          <cell r="H1135">
            <v>110</v>
          </cell>
          <cell r="I1135">
            <v>121</v>
          </cell>
          <cell r="J1135">
            <v>109</v>
          </cell>
          <cell r="K1135">
            <v>114</v>
          </cell>
          <cell r="L1135">
            <v>103</v>
          </cell>
          <cell r="M1135">
            <v>83</v>
          </cell>
        </row>
        <row r="1136">
          <cell r="A1136">
            <v>5184744</v>
          </cell>
          <cell r="B1136">
            <v>5116465</v>
          </cell>
          <cell r="C1136">
            <v>4410</v>
          </cell>
          <cell r="D1136">
            <v>357094</v>
          </cell>
          <cell r="E1136">
            <v>233</v>
          </cell>
          <cell r="F1136">
            <v>206</v>
          </cell>
          <cell r="G1136">
            <v>200</v>
          </cell>
          <cell r="H1136">
            <v>189</v>
          </cell>
          <cell r="I1136">
            <v>273</v>
          </cell>
          <cell r="J1136">
            <v>126</v>
          </cell>
          <cell r="K1136">
            <v>98</v>
          </cell>
          <cell r="L1136">
            <v>114</v>
          </cell>
          <cell r="M1136">
            <v>113</v>
          </cell>
        </row>
        <row r="1137">
          <cell r="A1137">
            <v>5184740</v>
          </cell>
          <cell r="B1137">
            <v>5116463</v>
          </cell>
          <cell r="C1137">
            <v>4410</v>
          </cell>
          <cell r="D1137">
            <v>31981475</v>
          </cell>
          <cell r="E1137">
            <v>184</v>
          </cell>
          <cell r="F1137">
            <v>176</v>
          </cell>
          <cell r="G1137">
            <v>188</v>
          </cell>
          <cell r="H1137">
            <v>194</v>
          </cell>
          <cell r="I1137">
            <v>199</v>
          </cell>
          <cell r="J1137">
            <v>209</v>
          </cell>
          <cell r="K1137">
            <v>229</v>
          </cell>
          <cell r="L1137">
            <v>213</v>
          </cell>
          <cell r="M1137">
            <v>227</v>
          </cell>
        </row>
        <row r="1138">
          <cell r="A1138">
            <v>5184738</v>
          </cell>
          <cell r="B1138">
            <v>5116462</v>
          </cell>
          <cell r="C1138">
            <v>4410</v>
          </cell>
          <cell r="D1138">
            <v>1792863</v>
          </cell>
          <cell r="E1138">
            <v>95</v>
          </cell>
          <cell r="F1138">
            <v>101</v>
          </cell>
          <cell r="G1138">
            <v>75</v>
          </cell>
          <cell r="H1138">
            <v>88</v>
          </cell>
          <cell r="I1138">
            <v>66</v>
          </cell>
          <cell r="J1138">
            <v>80</v>
          </cell>
          <cell r="K1138">
            <v>100</v>
          </cell>
          <cell r="L1138">
            <v>117</v>
          </cell>
          <cell r="M1138">
            <v>145</v>
          </cell>
        </row>
        <row r="1139">
          <cell r="A1139">
            <v>5184728</v>
          </cell>
          <cell r="B1139">
            <v>5116457</v>
          </cell>
          <cell r="C1139">
            <v>4410</v>
          </cell>
          <cell r="D1139">
            <v>7128933</v>
          </cell>
          <cell r="E1139">
            <v>313</v>
          </cell>
          <cell r="F1139">
            <v>272</v>
          </cell>
          <cell r="G1139">
            <v>265</v>
          </cell>
          <cell r="H1139">
            <v>243</v>
          </cell>
          <cell r="I1139">
            <v>243</v>
          </cell>
          <cell r="J1139">
            <v>232</v>
          </cell>
          <cell r="K1139">
            <v>246</v>
          </cell>
          <cell r="L1139">
            <v>251</v>
          </cell>
          <cell r="M1139">
            <v>370</v>
          </cell>
        </row>
        <row r="1140">
          <cell r="A1140">
            <v>5184726</v>
          </cell>
          <cell r="B1140">
            <v>5116456</v>
          </cell>
          <cell r="C1140">
            <v>4410</v>
          </cell>
          <cell r="D1140">
            <v>353515</v>
          </cell>
          <cell r="E1140">
            <v>77</v>
          </cell>
          <cell r="F1140">
            <v>65</v>
          </cell>
          <cell r="G1140">
            <v>74</v>
          </cell>
          <cell r="H1140">
            <v>69</v>
          </cell>
          <cell r="I1140">
            <v>68</v>
          </cell>
          <cell r="J1140">
            <v>62</v>
          </cell>
          <cell r="K1140">
            <v>75</v>
          </cell>
          <cell r="L1140">
            <v>64</v>
          </cell>
          <cell r="M1140">
            <v>73</v>
          </cell>
        </row>
        <row r="1141">
          <cell r="A1141">
            <v>5184724</v>
          </cell>
          <cell r="B1141">
            <v>5116455</v>
          </cell>
          <cell r="C1141">
            <v>4410</v>
          </cell>
          <cell r="D1141">
            <v>7314300</v>
          </cell>
          <cell r="E1141">
            <v>28</v>
          </cell>
          <cell r="F1141">
            <v>107</v>
          </cell>
          <cell r="G1141">
            <v>178</v>
          </cell>
          <cell r="H1141">
            <v>182</v>
          </cell>
          <cell r="I1141">
            <v>130</v>
          </cell>
          <cell r="J1141">
            <v>127</v>
          </cell>
          <cell r="K1141">
            <v>149</v>
          </cell>
          <cell r="L1141">
            <v>69</v>
          </cell>
          <cell r="M1141">
            <v>0</v>
          </cell>
        </row>
        <row r="1142">
          <cell r="A1142">
            <v>5184722</v>
          </cell>
          <cell r="B1142">
            <v>5116454</v>
          </cell>
          <cell r="C1142">
            <v>4410</v>
          </cell>
          <cell r="D1142">
            <v>7104608</v>
          </cell>
          <cell r="E1142">
            <v>268</v>
          </cell>
          <cell r="F1142">
            <v>239</v>
          </cell>
          <cell r="G1142">
            <v>230</v>
          </cell>
          <cell r="H1142">
            <v>220</v>
          </cell>
          <cell r="I1142">
            <v>232</v>
          </cell>
          <cell r="J1142">
            <v>208</v>
          </cell>
          <cell r="K1142">
            <v>218</v>
          </cell>
          <cell r="L1142">
            <v>236</v>
          </cell>
          <cell r="M1142">
            <v>250</v>
          </cell>
        </row>
        <row r="1143">
          <cell r="A1143">
            <v>5184720</v>
          </cell>
          <cell r="B1143">
            <v>5116453</v>
          </cell>
          <cell r="C1143">
            <v>4410</v>
          </cell>
          <cell r="D1143">
            <v>415692</v>
          </cell>
          <cell r="E1143">
            <v>103</v>
          </cell>
          <cell r="F1143">
            <v>69</v>
          </cell>
          <cell r="G1143">
            <v>97</v>
          </cell>
          <cell r="H1143">
            <v>85</v>
          </cell>
          <cell r="I1143">
            <v>80</v>
          </cell>
          <cell r="J1143">
            <v>101</v>
          </cell>
          <cell r="K1143">
            <v>98</v>
          </cell>
          <cell r="L1143">
            <v>94</v>
          </cell>
          <cell r="M1143">
            <v>115</v>
          </cell>
        </row>
        <row r="1144">
          <cell r="A1144">
            <v>5184718</v>
          </cell>
          <cell r="B1144">
            <v>5116452</v>
          </cell>
          <cell r="C1144">
            <v>4410</v>
          </cell>
          <cell r="D1144">
            <v>31987901</v>
          </cell>
          <cell r="E1144">
            <v>119</v>
          </cell>
          <cell r="F1144">
            <v>118</v>
          </cell>
          <cell r="G1144">
            <v>12</v>
          </cell>
          <cell r="H1144">
            <v>88</v>
          </cell>
          <cell r="I1144">
            <v>222</v>
          </cell>
          <cell r="J1144">
            <v>201</v>
          </cell>
          <cell r="K1144">
            <v>211</v>
          </cell>
          <cell r="L1144">
            <v>200</v>
          </cell>
          <cell r="M1144">
            <v>209</v>
          </cell>
        </row>
        <row r="1145">
          <cell r="A1145">
            <v>5184716</v>
          </cell>
          <cell r="B1145">
            <v>5116451</v>
          </cell>
          <cell r="C1145">
            <v>4410</v>
          </cell>
          <cell r="D1145">
            <v>16008499</v>
          </cell>
          <cell r="E1145">
            <v>254</v>
          </cell>
          <cell r="F1145">
            <v>161</v>
          </cell>
          <cell r="G1145">
            <v>152</v>
          </cell>
          <cell r="H1145">
            <v>140</v>
          </cell>
          <cell r="I1145">
            <v>131</v>
          </cell>
          <cell r="J1145">
            <v>133</v>
          </cell>
          <cell r="K1145">
            <v>159</v>
          </cell>
          <cell r="L1145">
            <v>171</v>
          </cell>
          <cell r="M1145">
            <v>176</v>
          </cell>
        </row>
        <row r="1146">
          <cell r="A1146">
            <v>5184710</v>
          </cell>
          <cell r="B1146">
            <v>5116448</v>
          </cell>
          <cell r="C1146">
            <v>4410</v>
          </cell>
          <cell r="D1146">
            <v>6311860</v>
          </cell>
          <cell r="E1146">
            <v>190</v>
          </cell>
          <cell r="F1146">
            <v>149</v>
          </cell>
          <cell r="G1146">
            <v>210</v>
          </cell>
          <cell r="H1146">
            <v>275</v>
          </cell>
          <cell r="I1146">
            <v>207</v>
          </cell>
          <cell r="J1146">
            <v>219</v>
          </cell>
          <cell r="K1146">
            <v>295</v>
          </cell>
          <cell r="L1146">
            <v>288</v>
          </cell>
          <cell r="M1146">
            <v>325</v>
          </cell>
        </row>
        <row r="1147">
          <cell r="A1147">
            <v>5184690</v>
          </cell>
          <cell r="B1147">
            <v>5116438</v>
          </cell>
          <cell r="C1147">
            <v>4410</v>
          </cell>
          <cell r="D1147">
            <v>7685463</v>
          </cell>
          <cell r="E1147">
            <v>112</v>
          </cell>
          <cell r="F1147">
            <v>94</v>
          </cell>
          <cell r="G1147">
            <v>80</v>
          </cell>
          <cell r="H1147">
            <v>91</v>
          </cell>
          <cell r="I1147">
            <v>72</v>
          </cell>
          <cell r="J1147">
            <v>90</v>
          </cell>
          <cell r="K1147">
            <v>80</v>
          </cell>
          <cell r="L1147">
            <v>99</v>
          </cell>
          <cell r="M1147">
            <v>108</v>
          </cell>
        </row>
        <row r="1148">
          <cell r="A1148">
            <v>5184668</v>
          </cell>
          <cell r="B1148">
            <v>5116427</v>
          </cell>
          <cell r="C1148">
            <v>4410</v>
          </cell>
          <cell r="D1148">
            <v>3668131</v>
          </cell>
          <cell r="E1148">
            <v>268</v>
          </cell>
          <cell r="F1148">
            <v>206</v>
          </cell>
          <cell r="G1148">
            <v>402</v>
          </cell>
          <cell r="H1148">
            <v>175</v>
          </cell>
          <cell r="I1148">
            <v>173</v>
          </cell>
          <cell r="J1148">
            <v>165</v>
          </cell>
          <cell r="K1148">
            <v>201</v>
          </cell>
          <cell r="L1148">
            <v>171</v>
          </cell>
          <cell r="M1148">
            <v>174</v>
          </cell>
        </row>
        <row r="1149">
          <cell r="A1149">
            <v>5184646</v>
          </cell>
          <cell r="B1149">
            <v>5116416</v>
          </cell>
          <cell r="C1149">
            <v>4410</v>
          </cell>
          <cell r="D1149">
            <v>31987904</v>
          </cell>
          <cell r="E1149">
            <v>211</v>
          </cell>
          <cell r="F1149">
            <v>188</v>
          </cell>
          <cell r="G1149">
            <v>181</v>
          </cell>
          <cell r="H1149">
            <v>161</v>
          </cell>
          <cell r="I1149">
            <v>210</v>
          </cell>
          <cell r="J1149">
            <v>106</v>
          </cell>
          <cell r="K1149">
            <v>117</v>
          </cell>
          <cell r="L1149">
            <v>119</v>
          </cell>
          <cell r="M1149">
            <v>173</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 FORMULARIO DE PRESUPUESTO"/>
      <sheetName val="B - FORM_DETALLES"/>
      <sheetName val="C - CENTROS DE COSTO Y GASTOS"/>
      <sheetName val="Download Adaytum "/>
    </sheetNames>
    <sheetDataSet>
      <sheetData sheetId="0" refreshError="1"/>
      <sheetData sheetId="1" refreshError="1"/>
      <sheetData sheetId="2" refreshError="1">
        <row r="5">
          <cell r="A5" t="str">
            <v>CODE</v>
          </cell>
          <cell r="B5" t="str">
            <v>DESCRIPTION</v>
          </cell>
        </row>
        <row r="6">
          <cell r="A6" t="str">
            <v>EO015EAA</v>
          </cell>
          <cell r="B6" t="str">
            <v>TRACTOR CAT D6-H   #01</v>
          </cell>
        </row>
        <row r="7">
          <cell r="A7" t="str">
            <v>EO015EAB</v>
          </cell>
          <cell r="B7" t="str">
            <v>TRACTOR CAT D6-H   #02</v>
          </cell>
        </row>
        <row r="8">
          <cell r="A8" t="str">
            <v>EO015EAC</v>
          </cell>
          <cell r="B8" t="str">
            <v>TRACTOR CAT D10-N #11</v>
          </cell>
        </row>
        <row r="9">
          <cell r="A9" t="str">
            <v>EO015EAD</v>
          </cell>
          <cell r="B9" t="str">
            <v>TRACTOR CAT D10-N #12</v>
          </cell>
        </row>
        <row r="10">
          <cell r="A10" t="str">
            <v>EO015EAE</v>
          </cell>
          <cell r="B10" t="str">
            <v>TRACTOR CAT D10-N #13</v>
          </cell>
        </row>
        <row r="11">
          <cell r="A11" t="str">
            <v>EO015EAF</v>
          </cell>
          <cell r="B11" t="str">
            <v>TRACTOR CAT D1O-N #14</v>
          </cell>
        </row>
        <row r="12">
          <cell r="A12" t="str">
            <v>EO015EAG</v>
          </cell>
          <cell r="B12" t="str">
            <v>TRACTOR CAT D10-N #15</v>
          </cell>
        </row>
        <row r="13">
          <cell r="A13" t="str">
            <v>EO015EAH</v>
          </cell>
          <cell r="B13" t="str">
            <v>TRACTOR CAT D10-R #16</v>
          </cell>
        </row>
        <row r="14">
          <cell r="A14" t="str">
            <v>EO015MAA</v>
          </cell>
          <cell r="B14" t="str">
            <v>TRACTOR CAT D6-H   #01</v>
          </cell>
        </row>
        <row r="15">
          <cell r="A15" t="str">
            <v>EO015MAB</v>
          </cell>
          <cell r="B15" t="str">
            <v>TRACTOR CAT D6-H   #02</v>
          </cell>
        </row>
        <row r="16">
          <cell r="A16" t="str">
            <v>EO015MAC</v>
          </cell>
          <cell r="B16" t="str">
            <v>TRACTOR CAT D10-N #11</v>
          </cell>
        </row>
        <row r="17">
          <cell r="A17" t="str">
            <v>EO015MAD</v>
          </cell>
          <cell r="B17" t="str">
            <v>TRACTOR CAT D10-N #12</v>
          </cell>
        </row>
        <row r="18">
          <cell r="A18" t="str">
            <v>EO015MAE</v>
          </cell>
          <cell r="B18" t="str">
            <v>TRACTOR CAT D10-N #13</v>
          </cell>
        </row>
        <row r="19">
          <cell r="A19" t="str">
            <v>EO015MAF</v>
          </cell>
          <cell r="B19" t="str">
            <v>TRACTOR CAT D1O-N #14</v>
          </cell>
        </row>
        <row r="20">
          <cell r="A20" t="str">
            <v>EO015MAG</v>
          </cell>
          <cell r="B20" t="str">
            <v>TRACTOR CAT D10-N #15</v>
          </cell>
        </row>
        <row r="21">
          <cell r="A21" t="str">
            <v>EO015MAH</v>
          </cell>
          <cell r="B21" t="str">
            <v>TRACTOR CAT D10-R #16</v>
          </cell>
        </row>
        <row r="22">
          <cell r="A22" t="str">
            <v>EO016EBB</v>
          </cell>
          <cell r="B22" t="str">
            <v>TRACTOR CAT 824-C #102</v>
          </cell>
        </row>
        <row r="23">
          <cell r="A23" t="str">
            <v>EO016EBD</v>
          </cell>
          <cell r="B23" t="str">
            <v>TRACTOR CAT.824.OREGANAL</v>
          </cell>
        </row>
        <row r="24">
          <cell r="A24" t="str">
            <v>EO016MBB</v>
          </cell>
          <cell r="B24" t="str">
            <v>TRACTOR CAT 824-C #102</v>
          </cell>
        </row>
        <row r="25">
          <cell r="A25" t="str">
            <v>EO016MBD</v>
          </cell>
          <cell r="B25" t="str">
            <v>TRACTOR CAT.824.OREGANAL</v>
          </cell>
        </row>
        <row r="26">
          <cell r="A26" t="str">
            <v>EO021ECA</v>
          </cell>
          <cell r="B26" t="str">
            <v>TALADRO IR DM50 #01</v>
          </cell>
        </row>
        <row r="27">
          <cell r="A27" t="str">
            <v>EO021ECB</v>
          </cell>
          <cell r="B27" t="str">
            <v>TALADRO IR DM50 #02</v>
          </cell>
        </row>
        <row r="28">
          <cell r="A28" t="str">
            <v>EO021ECC</v>
          </cell>
          <cell r="B28" t="str">
            <v>TALADRO IR DM50 #03</v>
          </cell>
        </row>
        <row r="29">
          <cell r="A29" t="str">
            <v>EO021ECD</v>
          </cell>
          <cell r="B29" t="str">
            <v>PLANTA MUESTREADORA</v>
          </cell>
        </row>
        <row r="30">
          <cell r="A30" t="str">
            <v>EO021MCA</v>
          </cell>
          <cell r="B30" t="str">
            <v>TALADRO IR DM50 #01</v>
          </cell>
        </row>
        <row r="31">
          <cell r="A31" t="str">
            <v>EO021MCB</v>
          </cell>
          <cell r="B31" t="str">
            <v>TALADRO IR DM50 #02</v>
          </cell>
        </row>
        <row r="32">
          <cell r="A32" t="str">
            <v>EO021MCC</v>
          </cell>
          <cell r="B32" t="str">
            <v>TALADRO IR DM50 #03</v>
          </cell>
        </row>
        <row r="33">
          <cell r="A33" t="str">
            <v>EO021MCD</v>
          </cell>
          <cell r="B33" t="str">
            <v>PLANTA MUESTREADORA</v>
          </cell>
        </row>
        <row r="34">
          <cell r="A34" t="str">
            <v>EO026EDA</v>
          </cell>
          <cell r="B34" t="str">
            <v>PALA DEMAG 285 #032</v>
          </cell>
        </row>
        <row r="35">
          <cell r="A35" t="str">
            <v>EO026EDB</v>
          </cell>
          <cell r="B35" t="str">
            <v>PALA DEMAG 285 #033</v>
          </cell>
        </row>
        <row r="36">
          <cell r="A36" t="str">
            <v>EO026EDC</v>
          </cell>
          <cell r="B36" t="str">
            <v>PALA DEMAG 285 #034</v>
          </cell>
        </row>
        <row r="37">
          <cell r="A37" t="str">
            <v>EO026EDD</v>
          </cell>
          <cell r="B37" t="str">
            <v>PALA DEMAG 285 #035</v>
          </cell>
        </row>
        <row r="38">
          <cell r="A38" t="str">
            <v>EO026EDE</v>
          </cell>
          <cell r="B38" t="str">
            <v>PALA CAT 375 #061</v>
          </cell>
        </row>
        <row r="39">
          <cell r="A39" t="str">
            <v>EO026EDF</v>
          </cell>
          <cell r="B39" t="str">
            <v>PALA DEMAG 285 #031</v>
          </cell>
        </row>
        <row r="40">
          <cell r="A40" t="str">
            <v>EO026EDG</v>
          </cell>
          <cell r="B40" t="str">
            <v>PALA O&amp;K RH-30(OREGANAL)</v>
          </cell>
        </row>
        <row r="41">
          <cell r="A41" t="str">
            <v>EO026MDA</v>
          </cell>
          <cell r="B41" t="str">
            <v>PALA DEMAG 285 #032</v>
          </cell>
        </row>
        <row r="42">
          <cell r="A42" t="str">
            <v>EO026MDB</v>
          </cell>
          <cell r="B42" t="str">
            <v>PALA DEMAG 285 #033</v>
          </cell>
        </row>
        <row r="43">
          <cell r="A43" t="str">
            <v>EO026MDC</v>
          </cell>
          <cell r="B43" t="str">
            <v>PALA DEMAG 285 #034</v>
          </cell>
        </row>
        <row r="44">
          <cell r="A44" t="str">
            <v>EO026MDD</v>
          </cell>
          <cell r="B44" t="str">
            <v>PALA DEMAG 285 #035</v>
          </cell>
        </row>
        <row r="45">
          <cell r="A45" t="str">
            <v>EO026MDE</v>
          </cell>
          <cell r="B45" t="str">
            <v>PALA CAT 375 #061</v>
          </cell>
        </row>
        <row r="46">
          <cell r="A46" t="str">
            <v>EO026MDF</v>
          </cell>
          <cell r="B46" t="str">
            <v>PALA DEMAG 285 #031</v>
          </cell>
        </row>
        <row r="47">
          <cell r="A47" t="str">
            <v>EO026MDG</v>
          </cell>
          <cell r="B47" t="str">
            <v>PALA O&amp;K RH-30(OREGANAL)</v>
          </cell>
        </row>
        <row r="48">
          <cell r="A48" t="str">
            <v>EO028EEA</v>
          </cell>
          <cell r="B48" t="str">
            <v>CARGADOR 988 F #025</v>
          </cell>
        </row>
        <row r="49">
          <cell r="A49" t="str">
            <v>EO028EEB</v>
          </cell>
          <cell r="B49" t="str">
            <v>CARGADOR 992 D #031</v>
          </cell>
        </row>
        <row r="50">
          <cell r="A50" t="str">
            <v>EO028EEC</v>
          </cell>
          <cell r="B50" t="str">
            <v>CARGADOR 992 D #032</v>
          </cell>
        </row>
        <row r="51">
          <cell r="A51" t="str">
            <v>EO028MEA</v>
          </cell>
          <cell r="B51" t="str">
            <v>CARGADOR 988 F #025</v>
          </cell>
        </row>
        <row r="52">
          <cell r="A52" t="str">
            <v>EO028MEB</v>
          </cell>
          <cell r="B52" t="str">
            <v>CARGADOR 992 D #031</v>
          </cell>
        </row>
        <row r="53">
          <cell r="A53" t="str">
            <v>EO028MEC</v>
          </cell>
          <cell r="B53" t="str">
            <v>CARGADOR 992 D #032</v>
          </cell>
        </row>
        <row r="54">
          <cell r="A54" t="str">
            <v>EO030EFA</v>
          </cell>
          <cell r="B54" t="str">
            <v>MOTONIVElADORA CAT 16 G MO030</v>
          </cell>
        </row>
        <row r="55">
          <cell r="A55" t="str">
            <v>EO030EFC</v>
          </cell>
          <cell r="B55" t="str">
            <v>MOTONIVELADORA CAT 12G #002</v>
          </cell>
        </row>
        <row r="56">
          <cell r="A56" t="str">
            <v>EO030EFD</v>
          </cell>
          <cell r="B56" t="str">
            <v>MOTONIVELADORA CAT 16G #031</v>
          </cell>
        </row>
        <row r="57">
          <cell r="A57" t="str">
            <v>EO030EFE</v>
          </cell>
          <cell r="B57" t="str">
            <v>MOTONIVELADORA CAT 16H #032</v>
          </cell>
        </row>
        <row r="58">
          <cell r="A58" t="str">
            <v>EO030EFF</v>
          </cell>
          <cell r="B58" t="str">
            <v>MOTONIVELADORA CAT 16H #033</v>
          </cell>
        </row>
        <row r="59">
          <cell r="A59" t="str">
            <v>EO030MFC</v>
          </cell>
          <cell r="B59" t="str">
            <v>MOTONIVELADORA CAT 12G #002</v>
          </cell>
        </row>
        <row r="60">
          <cell r="A60" t="str">
            <v>EO030MFD</v>
          </cell>
          <cell r="B60" t="str">
            <v>MOTONIVELADORA CAT 16G #031</v>
          </cell>
        </row>
        <row r="61">
          <cell r="A61" t="str">
            <v>EO030MFE</v>
          </cell>
          <cell r="B61" t="str">
            <v>MOTONIVELADORA CAT 16H #032</v>
          </cell>
        </row>
        <row r="62">
          <cell r="A62" t="str">
            <v>EO030MFF</v>
          </cell>
          <cell r="B62" t="str">
            <v>MOTONIVELADORA CAT 16H #033</v>
          </cell>
        </row>
        <row r="63">
          <cell r="A63" t="str">
            <v>EO041EGA</v>
          </cell>
          <cell r="B63" t="str">
            <v>MOTOBOMBA CAT 831</v>
          </cell>
        </row>
        <row r="64">
          <cell r="A64" t="str">
            <v>EO041EGB</v>
          </cell>
          <cell r="B64" t="str">
            <v>MOTOBOMBA CAT 832</v>
          </cell>
        </row>
        <row r="65">
          <cell r="A65" t="str">
            <v>EO041EGC</v>
          </cell>
          <cell r="B65" t="str">
            <v>MOTOBOMBA CAT 833</v>
          </cell>
        </row>
        <row r="66">
          <cell r="A66" t="str">
            <v>EO041EGD</v>
          </cell>
          <cell r="B66" t="str">
            <v>MOTOBOMBA HAZLETON</v>
          </cell>
        </row>
        <row r="67">
          <cell r="A67" t="str">
            <v>EO041EGE</v>
          </cell>
          <cell r="B67" t="str">
            <v>MOTOBOMBA HAZLETON MH002</v>
          </cell>
        </row>
        <row r="68">
          <cell r="A68" t="str">
            <v>EO041EGF</v>
          </cell>
          <cell r="B68" t="str">
            <v>BOMBAS LEGRA BL01/BL02</v>
          </cell>
        </row>
        <row r="69">
          <cell r="A69" t="str">
            <v>EO041EGG</v>
          </cell>
          <cell r="B69" t="str">
            <v>ELECTRO BOMBAS EB'S</v>
          </cell>
        </row>
        <row r="70">
          <cell r="A70" t="str">
            <v>EO041MGA</v>
          </cell>
          <cell r="B70" t="str">
            <v>MOTOBOMBA CAT 831</v>
          </cell>
        </row>
        <row r="71">
          <cell r="A71" t="str">
            <v>EO041MGB</v>
          </cell>
          <cell r="B71" t="str">
            <v>MOTOBOMBA CAT 832</v>
          </cell>
        </row>
        <row r="72">
          <cell r="A72" t="str">
            <v>EO041MGC</v>
          </cell>
          <cell r="B72" t="str">
            <v>MOTOBOMBA CAT 833</v>
          </cell>
        </row>
        <row r="73">
          <cell r="A73" t="str">
            <v>EO041MGD</v>
          </cell>
          <cell r="B73" t="str">
            <v>MOTOBOMBA HAZLETON</v>
          </cell>
        </row>
        <row r="74">
          <cell r="A74" t="str">
            <v>EO041MGF</v>
          </cell>
          <cell r="B74" t="str">
            <v>BOMBAS LEGRA BL01/BL02</v>
          </cell>
        </row>
        <row r="75">
          <cell r="A75" t="str">
            <v>EO041MGG</v>
          </cell>
          <cell r="B75" t="str">
            <v>ELECTRO BOMBAS EB'S</v>
          </cell>
        </row>
        <row r="76">
          <cell r="A76" t="str">
            <v>EO051EHA</v>
          </cell>
          <cell r="B76" t="str">
            <v>PALA LIEBHERR 994 #01</v>
          </cell>
        </row>
        <row r="77">
          <cell r="A77" t="str">
            <v>EO051EHC</v>
          </cell>
          <cell r="B77" t="str">
            <v>PALA LIEBHERR 994 #02</v>
          </cell>
        </row>
        <row r="78">
          <cell r="A78" t="str">
            <v>EO051EHD</v>
          </cell>
          <cell r="B78" t="str">
            <v>PALA LIEBHERR 974 #12</v>
          </cell>
        </row>
        <row r="79">
          <cell r="A79" t="str">
            <v>EO051MHA</v>
          </cell>
          <cell r="B79" t="str">
            <v>PALA LIEBHERR 994 #01</v>
          </cell>
        </row>
        <row r="80">
          <cell r="A80" t="str">
            <v>EO051MHC</v>
          </cell>
          <cell r="B80" t="str">
            <v>PALA LIEBHERR 994 #02</v>
          </cell>
        </row>
        <row r="81">
          <cell r="A81" t="str">
            <v>EO051MHD</v>
          </cell>
          <cell r="B81" t="str">
            <v>PALA LIEBHERR 974 #12</v>
          </cell>
        </row>
        <row r="82">
          <cell r="A82" t="str">
            <v>EO057EIA</v>
          </cell>
          <cell r="B82" t="str">
            <v>CAMION INTERNACIONAL #1</v>
          </cell>
        </row>
        <row r="83">
          <cell r="A83" t="str">
            <v>EO057EIB</v>
          </cell>
          <cell r="B83" t="str">
            <v>CAMION  INTERNATIONAL # 2</v>
          </cell>
        </row>
        <row r="84">
          <cell r="A84" t="str">
            <v>EO057EIC</v>
          </cell>
          <cell r="B84" t="str">
            <v>CAMION CAT 777 C #031</v>
          </cell>
        </row>
        <row r="85">
          <cell r="A85" t="str">
            <v>EO057EID</v>
          </cell>
          <cell r="B85" t="str">
            <v>CAMION CAT 777 C #032</v>
          </cell>
        </row>
        <row r="86">
          <cell r="A86" t="str">
            <v>EO057EIE</v>
          </cell>
          <cell r="B86" t="str">
            <v>CAMION CAT 777 C #033</v>
          </cell>
        </row>
        <row r="87">
          <cell r="A87" t="str">
            <v>EO057EIF</v>
          </cell>
          <cell r="B87" t="str">
            <v>CAMION INTERNATIONAL 03</v>
          </cell>
        </row>
        <row r="88">
          <cell r="A88" t="str">
            <v>EO057EIG</v>
          </cell>
          <cell r="B88" t="str">
            <v>CAMION INTERNATIONAL #4</v>
          </cell>
        </row>
        <row r="89">
          <cell r="A89" t="str">
            <v>EO057EIH</v>
          </cell>
          <cell r="B89" t="str">
            <v>CAMION INTERNATIONAL # 5</v>
          </cell>
        </row>
        <row r="90">
          <cell r="A90" t="str">
            <v>EO057EII</v>
          </cell>
          <cell r="B90" t="str">
            <v>CAMION INTERNATIONAL #6</v>
          </cell>
        </row>
        <row r="91">
          <cell r="A91" t="str">
            <v>EO057EIJ</v>
          </cell>
          <cell r="B91" t="str">
            <v>CAMION INTERNATIONAL 10</v>
          </cell>
        </row>
        <row r="92">
          <cell r="A92" t="str">
            <v>EO057MIA</v>
          </cell>
          <cell r="B92" t="str">
            <v>CAMION  INTERNATIONAL # 1</v>
          </cell>
        </row>
        <row r="93">
          <cell r="A93" t="str">
            <v>EO057MIB</v>
          </cell>
          <cell r="B93" t="str">
            <v>CAMION  INTERNATIONAL # 2</v>
          </cell>
        </row>
        <row r="94">
          <cell r="A94" t="str">
            <v>EO057MIC</v>
          </cell>
          <cell r="B94" t="str">
            <v>CAMION CAT 777 C #031</v>
          </cell>
        </row>
        <row r="95">
          <cell r="A95" t="str">
            <v>EO057MID</v>
          </cell>
          <cell r="B95" t="str">
            <v>CAMION CAT 777 C #032</v>
          </cell>
        </row>
        <row r="96">
          <cell r="A96" t="str">
            <v>EO057MIE</v>
          </cell>
          <cell r="B96" t="str">
            <v>CAMION CAT 777 C #033</v>
          </cell>
        </row>
        <row r="97">
          <cell r="A97" t="str">
            <v>EO057MIF</v>
          </cell>
          <cell r="B97" t="str">
            <v>CAMION INTERNATIONAL #3</v>
          </cell>
        </row>
        <row r="98">
          <cell r="A98" t="str">
            <v>EO057MIG</v>
          </cell>
          <cell r="B98" t="str">
            <v>CAMION INTERNATIONAL #4</v>
          </cell>
        </row>
        <row r="99">
          <cell r="A99" t="str">
            <v>EO057MIH</v>
          </cell>
          <cell r="B99" t="str">
            <v>CAMION INTERNATIONAL #5</v>
          </cell>
        </row>
        <row r="100">
          <cell r="A100" t="str">
            <v>EO057MII</v>
          </cell>
          <cell r="B100" t="str">
            <v>CAMION INTERNATIONAL #6</v>
          </cell>
        </row>
        <row r="101">
          <cell r="A101" t="str">
            <v>EO057MIJ</v>
          </cell>
          <cell r="B101" t="str">
            <v>CAMION INTERNATIONAL #7</v>
          </cell>
        </row>
        <row r="102">
          <cell r="A102" t="str">
            <v>EO058EJA</v>
          </cell>
          <cell r="B102" t="str">
            <v>CAMION CAT 793 B #101</v>
          </cell>
        </row>
        <row r="103">
          <cell r="A103" t="str">
            <v>EO058EJB</v>
          </cell>
          <cell r="B103" t="str">
            <v>CAMION CAT 793 B #102</v>
          </cell>
        </row>
        <row r="104">
          <cell r="A104" t="str">
            <v>EO058EJC</v>
          </cell>
          <cell r="B104" t="str">
            <v>CAMION CAT 793 B #103</v>
          </cell>
        </row>
        <row r="105">
          <cell r="A105" t="str">
            <v>EO058EJD</v>
          </cell>
          <cell r="B105" t="str">
            <v>CAMION CAT 793 B #104</v>
          </cell>
        </row>
        <row r="106">
          <cell r="A106" t="str">
            <v>EO058EJE</v>
          </cell>
          <cell r="B106" t="str">
            <v>CAMION CAT 793 B #105</v>
          </cell>
        </row>
        <row r="107">
          <cell r="A107" t="str">
            <v>EO058EJF</v>
          </cell>
          <cell r="B107" t="str">
            <v>CAMION CAT 793 B #106</v>
          </cell>
        </row>
        <row r="108">
          <cell r="A108" t="str">
            <v>EO058EJG</v>
          </cell>
          <cell r="B108" t="str">
            <v>CAMION CAT 793 B #107</v>
          </cell>
        </row>
        <row r="109">
          <cell r="A109" t="str">
            <v>EO058EJH</v>
          </cell>
          <cell r="B109" t="str">
            <v>CAMION CAT 793 B #108</v>
          </cell>
        </row>
        <row r="110">
          <cell r="A110" t="str">
            <v>EO058EJI</v>
          </cell>
          <cell r="B110" t="str">
            <v>CAMION CAT 793 B #109</v>
          </cell>
        </row>
        <row r="111">
          <cell r="A111" t="str">
            <v>EO058EJJ</v>
          </cell>
          <cell r="B111" t="str">
            <v>CAMION CAT 793 B #110</v>
          </cell>
        </row>
        <row r="112">
          <cell r="A112" t="str">
            <v>EO058EJK</v>
          </cell>
          <cell r="B112" t="str">
            <v>CAMION CAT 793 B #111</v>
          </cell>
        </row>
        <row r="113">
          <cell r="A113" t="str">
            <v>EO058EJL</v>
          </cell>
          <cell r="B113" t="str">
            <v>CAMION CAT 793 B #112</v>
          </cell>
        </row>
        <row r="114">
          <cell r="A114" t="str">
            <v>EO058EJM</v>
          </cell>
          <cell r="B114" t="str">
            <v>CAMION CAT 793 B #113</v>
          </cell>
        </row>
        <row r="115">
          <cell r="A115" t="str">
            <v>EO058EJN</v>
          </cell>
          <cell r="B115" t="str">
            <v>CAMION CAT 793 B #114</v>
          </cell>
        </row>
        <row r="116">
          <cell r="A116" t="str">
            <v>EO058EJO</v>
          </cell>
          <cell r="B116" t="str">
            <v>CAMION CAT 793 B #115</v>
          </cell>
        </row>
        <row r="117">
          <cell r="A117" t="str">
            <v>EO058EJP</v>
          </cell>
          <cell r="B117" t="str">
            <v>CAMION CAT 793 B #116</v>
          </cell>
        </row>
        <row r="118">
          <cell r="A118" t="str">
            <v>EO058EJQ</v>
          </cell>
          <cell r="B118" t="str">
            <v>CAMION CAT 793 B #117</v>
          </cell>
        </row>
        <row r="119">
          <cell r="A119" t="str">
            <v>EO058EJR</v>
          </cell>
          <cell r="B119" t="str">
            <v>CAMION CAT 793 B #118</v>
          </cell>
        </row>
        <row r="120">
          <cell r="A120" t="str">
            <v>EO058EJS</v>
          </cell>
          <cell r="B120" t="str">
            <v>CAMION CAT 793 B #119</v>
          </cell>
        </row>
        <row r="121">
          <cell r="A121" t="str">
            <v>EO058EJT</v>
          </cell>
          <cell r="B121" t="str">
            <v>CAMION CAT 793 B #120</v>
          </cell>
        </row>
        <row r="122">
          <cell r="A122" t="str">
            <v>EO058MJA</v>
          </cell>
          <cell r="B122" t="str">
            <v>CAMION CAT 793 B #101</v>
          </cell>
        </row>
        <row r="123">
          <cell r="A123" t="str">
            <v>EO058MJB</v>
          </cell>
          <cell r="B123" t="str">
            <v>CAMION CAT 793 B #102</v>
          </cell>
        </row>
        <row r="124">
          <cell r="A124" t="str">
            <v>EO058MJC</v>
          </cell>
          <cell r="B124" t="str">
            <v>CAMION CAT 793 B #103</v>
          </cell>
        </row>
        <row r="125">
          <cell r="A125" t="str">
            <v>EO058MJD</v>
          </cell>
          <cell r="B125" t="str">
            <v>CAMION CAT 793 B #104</v>
          </cell>
        </row>
        <row r="126">
          <cell r="A126" t="str">
            <v>EO058MJE</v>
          </cell>
          <cell r="B126" t="str">
            <v>CAMION CAT 793 B #105</v>
          </cell>
        </row>
        <row r="127">
          <cell r="A127" t="str">
            <v>EO058MJF</v>
          </cell>
          <cell r="B127" t="str">
            <v>CAMION CAT 793 B #106</v>
          </cell>
        </row>
        <row r="128">
          <cell r="A128" t="str">
            <v>EO058MJG</v>
          </cell>
          <cell r="B128" t="str">
            <v>CAMION CAT 793 B #107</v>
          </cell>
        </row>
        <row r="129">
          <cell r="A129" t="str">
            <v>EO058MJH</v>
          </cell>
          <cell r="B129" t="str">
            <v>CAMION CAT 793 B #108</v>
          </cell>
        </row>
        <row r="130">
          <cell r="A130" t="str">
            <v>EO058MJI</v>
          </cell>
          <cell r="B130" t="str">
            <v>CAMION CAT 793 B #109</v>
          </cell>
        </row>
        <row r="131">
          <cell r="A131" t="str">
            <v>EO058MJJ</v>
          </cell>
          <cell r="B131" t="str">
            <v>CAMION CAT 793 B #110</v>
          </cell>
        </row>
        <row r="132">
          <cell r="A132" t="str">
            <v>EO058MJK</v>
          </cell>
          <cell r="B132" t="str">
            <v>CAMION CAT 793 B #111</v>
          </cell>
        </row>
        <row r="133">
          <cell r="A133" t="str">
            <v>EO058MJL</v>
          </cell>
          <cell r="B133" t="str">
            <v>CAMION CAT 793 B #112</v>
          </cell>
        </row>
        <row r="134">
          <cell r="A134" t="str">
            <v>EO058MJM</v>
          </cell>
          <cell r="B134" t="str">
            <v>CAMION CAT 793 B #113</v>
          </cell>
        </row>
        <row r="135">
          <cell r="A135" t="str">
            <v>EO058MJN</v>
          </cell>
          <cell r="B135" t="str">
            <v>CAMION CAT 793 B #114</v>
          </cell>
        </row>
        <row r="136">
          <cell r="A136" t="str">
            <v>EO058MJO</v>
          </cell>
          <cell r="B136" t="str">
            <v>CAMION CAT 793 B #115</v>
          </cell>
        </row>
        <row r="137">
          <cell r="A137" t="str">
            <v>EO058MJP</v>
          </cell>
          <cell r="B137" t="str">
            <v>CAMION CAT 793 B #116</v>
          </cell>
        </row>
        <row r="138">
          <cell r="A138" t="str">
            <v>EO058MJQ</v>
          </cell>
          <cell r="B138" t="str">
            <v>CAMION CAT 793 B #117</v>
          </cell>
        </row>
        <row r="139">
          <cell r="A139" t="str">
            <v>EO058MJR</v>
          </cell>
          <cell r="B139" t="str">
            <v>CAMION CAT 793 B #118</v>
          </cell>
        </row>
        <row r="140">
          <cell r="A140" t="str">
            <v>EO058MJS</v>
          </cell>
          <cell r="B140" t="str">
            <v>CAMION CAT 793 B #119</v>
          </cell>
        </row>
        <row r="141">
          <cell r="A141" t="str">
            <v>EO058MJT</v>
          </cell>
          <cell r="B141" t="str">
            <v>CAMION CAT 793 B #120</v>
          </cell>
        </row>
        <row r="142">
          <cell r="A142" t="str">
            <v>EO060EKB</v>
          </cell>
          <cell r="B142" t="str">
            <v>BALLENA 777C 4XJ01090</v>
          </cell>
        </row>
        <row r="143">
          <cell r="A143" t="str">
            <v>EO060EKC</v>
          </cell>
          <cell r="B143" t="str">
            <v>BALLENA 777C 4X01084</v>
          </cell>
        </row>
        <row r="144">
          <cell r="A144" t="str">
            <v>EO060EKD</v>
          </cell>
          <cell r="B144" t="str">
            <v>BALLENA 777C 4XNUEVA</v>
          </cell>
        </row>
        <row r="145">
          <cell r="A145" t="str">
            <v>EO060MKB</v>
          </cell>
          <cell r="B145" t="str">
            <v>BALLENA 777C 4XJ01090</v>
          </cell>
        </row>
        <row r="146">
          <cell r="A146" t="str">
            <v>EO060MKC</v>
          </cell>
          <cell r="B146" t="str">
            <v>BALLENA 777C 4X01084</v>
          </cell>
        </row>
        <row r="147">
          <cell r="A147" t="str">
            <v>EO060MKD</v>
          </cell>
          <cell r="B147" t="str">
            <v>BALLENA 777C 4XNUEVA</v>
          </cell>
        </row>
        <row r="148">
          <cell r="A148" t="str">
            <v>EO090E90</v>
          </cell>
          <cell r="B148" t="str">
            <v>MARC DISCOUNT</v>
          </cell>
        </row>
        <row r="149">
          <cell r="A149" t="str">
            <v>EO200ETA</v>
          </cell>
          <cell r="B149" t="str">
            <v>MANTENIMIENTO EQ. PESADO</v>
          </cell>
        </row>
        <row r="150">
          <cell r="A150" t="str">
            <v>EO200ETC</v>
          </cell>
          <cell r="B150" t="str">
            <v>MANTENIMIENTO PLANTAS Y ELECTR</v>
          </cell>
        </row>
        <row r="151">
          <cell r="A151" t="str">
            <v>EO200MQA</v>
          </cell>
          <cell r="B151" t="str">
            <v>GERENCIA DE PRODUCCION</v>
          </cell>
        </row>
        <row r="152">
          <cell r="A152" t="str">
            <v>EO200MQB</v>
          </cell>
          <cell r="B152" t="str">
            <v>OPERACIONES MINERAS</v>
          </cell>
        </row>
        <row r="153">
          <cell r="A153" t="str">
            <v>EO200MQD</v>
          </cell>
          <cell r="B153" t="str">
            <v>PERFORACION VOLADURA</v>
          </cell>
        </row>
        <row r="154">
          <cell r="A154" t="str">
            <v>EO200MQT</v>
          </cell>
          <cell r="B154" t="str">
            <v>SERVICIOS  MINA</v>
          </cell>
        </row>
        <row r="155">
          <cell r="A155" t="str">
            <v>EO233ELA</v>
          </cell>
          <cell r="B155" t="str">
            <v>PLANTA ILUMINACION #1</v>
          </cell>
        </row>
        <row r="156">
          <cell r="A156" t="str">
            <v>EO233ELB</v>
          </cell>
          <cell r="B156" t="str">
            <v>PLANTA ILUMINACION #2</v>
          </cell>
        </row>
        <row r="157">
          <cell r="A157" t="str">
            <v>EO233ELC</v>
          </cell>
          <cell r="B157" t="str">
            <v>PLANTA ILUMINACION #3</v>
          </cell>
        </row>
        <row r="158">
          <cell r="A158" t="str">
            <v>EO233ELD</v>
          </cell>
          <cell r="B158" t="str">
            <v>PLANTA ILUMINACION #4</v>
          </cell>
        </row>
        <row r="159">
          <cell r="A159" t="str">
            <v>EO233ELE</v>
          </cell>
          <cell r="B159" t="str">
            <v>PLANTA ILUMINACION #5</v>
          </cell>
        </row>
        <row r="160">
          <cell r="A160" t="str">
            <v>EO233ELF</v>
          </cell>
          <cell r="B160" t="str">
            <v>PLANTA ILUMINACION #6</v>
          </cell>
        </row>
        <row r="161">
          <cell r="A161" t="str">
            <v>EO233ELG</v>
          </cell>
          <cell r="B161" t="str">
            <v>PLANTA ILUMINACION #7</v>
          </cell>
        </row>
        <row r="162">
          <cell r="A162" t="str">
            <v>EO233ELH</v>
          </cell>
          <cell r="B162" t="str">
            <v>PLANTA ILUMINACION #8</v>
          </cell>
        </row>
        <row r="163">
          <cell r="A163" t="str">
            <v>EO233ELI</v>
          </cell>
          <cell r="B163" t="str">
            <v>PLANTA ELECTRICA 3512</v>
          </cell>
        </row>
        <row r="164">
          <cell r="A164" t="str">
            <v>EO233ELJ</v>
          </cell>
          <cell r="B164" t="str">
            <v>PLANTA ELECTRICA 3306</v>
          </cell>
        </row>
        <row r="165">
          <cell r="A165" t="str">
            <v>EO233ELK</v>
          </cell>
          <cell r="B165" t="str">
            <v>PLANTA GENERADORA CIUDADELA PG</v>
          </cell>
        </row>
        <row r="166">
          <cell r="A166" t="str">
            <v>EO233ELL</v>
          </cell>
          <cell r="B166" t="str">
            <v>PLANTA GENERADORA OREGANAL</v>
          </cell>
        </row>
        <row r="167">
          <cell r="A167" t="str">
            <v>EO233ELN</v>
          </cell>
          <cell r="B167" t="str">
            <v>COMPRESOR INGERS.RAND(TALLER)</v>
          </cell>
        </row>
        <row r="168">
          <cell r="A168" t="str">
            <v>EO248EMA</v>
          </cell>
          <cell r="B168" t="str">
            <v>GRUA GROVE 47019</v>
          </cell>
        </row>
        <row r="169">
          <cell r="A169" t="str">
            <v>EO248EMB</v>
          </cell>
          <cell r="B169" t="str">
            <v>VEHICULO COMBUSTIBLE  #01</v>
          </cell>
        </row>
        <row r="170">
          <cell r="A170" t="str">
            <v>EO248EMC</v>
          </cell>
          <cell r="B170" t="str">
            <v>VEHICULO COMBUSTIBLE  #02</v>
          </cell>
        </row>
        <row r="171">
          <cell r="A171" t="str">
            <v>EO248EMD</v>
          </cell>
          <cell r="B171" t="str">
            <v>VEHICULO LUBRICANTES   #11</v>
          </cell>
        </row>
        <row r="172">
          <cell r="A172" t="str">
            <v>EO248EME</v>
          </cell>
          <cell r="B172" t="str">
            <v>VEHICULO LUBRICANTES   #12</v>
          </cell>
        </row>
        <row r="173">
          <cell r="A173" t="str">
            <v>EO248EMF</v>
          </cell>
          <cell r="B173" t="str">
            <v>VEHICULO DE LAVADO #21</v>
          </cell>
        </row>
        <row r="174">
          <cell r="A174" t="str">
            <v>EO248EMG</v>
          </cell>
          <cell r="B174" t="str">
            <v>MOTOSOLDADOR 8401 #01</v>
          </cell>
        </row>
        <row r="175">
          <cell r="A175" t="str">
            <v>EO248EMH</v>
          </cell>
          <cell r="B175" t="str">
            <v>MOTOSOLDADOR 8402 #02</v>
          </cell>
        </row>
        <row r="176">
          <cell r="A176" t="str">
            <v>EO248EMI</v>
          </cell>
          <cell r="B176" t="str">
            <v>MOTOSOLDADOR  #03</v>
          </cell>
        </row>
        <row r="177">
          <cell r="A177" t="str">
            <v>EO248EMJ</v>
          </cell>
          <cell r="B177" t="str">
            <v>MOTOSOLDADOR  #04</v>
          </cell>
        </row>
        <row r="178">
          <cell r="A178" t="str">
            <v>EO248EMK</v>
          </cell>
          <cell r="B178" t="str">
            <v>MONTACARGAS CAT 980 C</v>
          </cell>
        </row>
        <row r="179">
          <cell r="A179" t="str">
            <v>EO248EML</v>
          </cell>
          <cell r="B179" t="str">
            <v>LLANTERO  CAT 980 C</v>
          </cell>
        </row>
        <row r="180">
          <cell r="A180" t="str">
            <v>EO248EMM</v>
          </cell>
          <cell r="B180" t="str">
            <v>COMPRESOR INGERSOLL RAND</v>
          </cell>
        </row>
        <row r="181">
          <cell r="A181" t="str">
            <v>EO248EMN</v>
          </cell>
          <cell r="B181" t="str">
            <v>COMPRESOR INGERSOLL RAND</v>
          </cell>
        </row>
        <row r="182">
          <cell r="A182" t="str">
            <v>EO248EMO</v>
          </cell>
          <cell r="B182" t="str">
            <v>VEHICULO GRUA KODIAK MT041</v>
          </cell>
        </row>
        <row r="183">
          <cell r="A183" t="str">
            <v>EO248EMP</v>
          </cell>
          <cell r="B183" t="str">
            <v>MOTOSOLDADOR MS05</v>
          </cell>
        </row>
        <row r="184">
          <cell r="A184" t="str">
            <v>EO248EMQ</v>
          </cell>
          <cell r="B184" t="str">
            <v>HERRAMIENTAS TALLER</v>
          </cell>
        </row>
        <row r="185">
          <cell r="A185" t="str">
            <v>EO248EMR</v>
          </cell>
          <cell r="B185" t="str">
            <v>CAMION DE LUBRICACION CAT 769</v>
          </cell>
        </row>
        <row r="186">
          <cell r="A186" t="str">
            <v>EP061CNA</v>
          </cell>
          <cell r="B186" t="str">
            <v>EUCLID # 1</v>
          </cell>
        </row>
        <row r="187">
          <cell r="A187" t="str">
            <v>EP061CNB</v>
          </cell>
          <cell r="B187" t="str">
            <v>EUCLID # 2</v>
          </cell>
        </row>
        <row r="188">
          <cell r="A188" t="str">
            <v>EP061CNC</v>
          </cell>
          <cell r="B188" t="str">
            <v>EUCLID # 3</v>
          </cell>
        </row>
        <row r="189">
          <cell r="A189" t="str">
            <v>EP061ENA</v>
          </cell>
          <cell r="B189" t="str">
            <v>EUCLID # 1</v>
          </cell>
        </row>
        <row r="190">
          <cell r="A190" t="str">
            <v>EP061ENB</v>
          </cell>
          <cell r="B190" t="str">
            <v>EUCLID # 2</v>
          </cell>
        </row>
        <row r="191">
          <cell r="A191" t="str">
            <v>EP061ENC</v>
          </cell>
          <cell r="B191" t="str">
            <v>EUCLID # 3</v>
          </cell>
        </row>
        <row r="192">
          <cell r="A192" t="str">
            <v>EP460COA</v>
          </cell>
          <cell r="B192" t="str">
            <v>PLANTA MOVIL #01</v>
          </cell>
        </row>
        <row r="193">
          <cell r="A193" t="str">
            <v>EP460COB</v>
          </cell>
          <cell r="B193" t="str">
            <v>PLANTA MOVIL #02</v>
          </cell>
        </row>
        <row r="194">
          <cell r="A194" t="str">
            <v>EP460COC</v>
          </cell>
          <cell r="B194" t="str">
            <v>PLANTA MOVIL #04</v>
          </cell>
        </row>
        <row r="195">
          <cell r="A195" t="str">
            <v>EP460EOA</v>
          </cell>
          <cell r="B195" t="str">
            <v>PLANTA MOVIL #01</v>
          </cell>
        </row>
        <row r="196">
          <cell r="A196" t="str">
            <v>EP460EOB</v>
          </cell>
          <cell r="B196" t="str">
            <v>PLANTA MOVIL #02</v>
          </cell>
        </row>
        <row r="197">
          <cell r="A197" t="str">
            <v>EP460EOC</v>
          </cell>
          <cell r="B197" t="str">
            <v>PLANTA MOVIL #04</v>
          </cell>
        </row>
        <row r="198">
          <cell r="A198" t="str">
            <v>EP489CPA</v>
          </cell>
          <cell r="B198" t="str">
            <v>CARCADOR 988 F #021</v>
          </cell>
        </row>
        <row r="199">
          <cell r="A199" t="str">
            <v>EP489CPB</v>
          </cell>
          <cell r="B199" t="str">
            <v>CARGADOR 988 F #022</v>
          </cell>
        </row>
        <row r="200">
          <cell r="A200" t="str">
            <v>EP489CPC</v>
          </cell>
          <cell r="B200" t="str">
            <v>CARGADOR 988 F #023</v>
          </cell>
        </row>
        <row r="201">
          <cell r="A201" t="str">
            <v>EP489CPD</v>
          </cell>
          <cell r="B201" t="str">
            <v>CARGADOR 988 F #024</v>
          </cell>
        </row>
        <row r="202">
          <cell r="A202" t="str">
            <v>EP489EPA</v>
          </cell>
          <cell r="B202" t="str">
            <v>CARGADOR 988 F #021</v>
          </cell>
        </row>
        <row r="203">
          <cell r="A203" t="str">
            <v>EP489EPB</v>
          </cell>
          <cell r="B203" t="str">
            <v>CARGADOR 988 F #022</v>
          </cell>
        </row>
        <row r="204">
          <cell r="A204" t="str">
            <v>EP489EPC</v>
          </cell>
          <cell r="B204" t="str">
            <v>CARGADOR 988 F #023</v>
          </cell>
        </row>
        <row r="205">
          <cell r="A205" t="str">
            <v>EP489EPD</v>
          </cell>
          <cell r="B205" t="str">
            <v>CARGADOR 988 F #024</v>
          </cell>
        </row>
        <row r="206">
          <cell r="A206" t="str">
            <v>ER900X20</v>
          </cell>
          <cell r="B206" t="str">
            <v>EXPORTACION  DE  CARBON</v>
          </cell>
        </row>
        <row r="207">
          <cell r="A207" t="str">
            <v>ES500SUC</v>
          </cell>
          <cell r="B207" t="str">
            <v>SERVICIOS GENERALES</v>
          </cell>
        </row>
        <row r="208">
          <cell r="A208" t="str">
            <v>ES800AUB</v>
          </cell>
          <cell r="B208" t="str">
            <v>GERENCIA ADMINISTRATIVA</v>
          </cell>
        </row>
        <row r="209">
          <cell r="A209" t="str">
            <v>ES800AUP</v>
          </cell>
          <cell r="B209" t="str">
            <v>STATIONARY</v>
          </cell>
        </row>
        <row r="210">
          <cell r="A210" t="str">
            <v>ES800AZA</v>
          </cell>
          <cell r="B210" t="str">
            <v>SISTEMAS Y TELECOMUNICACIONES</v>
          </cell>
        </row>
        <row r="211">
          <cell r="A211" t="str">
            <v>ES800PUX</v>
          </cell>
          <cell r="B211" t="str">
            <v>RECURSOS HUMANOS</v>
          </cell>
        </row>
        <row r="212">
          <cell r="A212" t="str">
            <v>ES822AVA</v>
          </cell>
          <cell r="B212" t="str">
            <v>CONTABILIDAD MINA</v>
          </cell>
        </row>
        <row r="213">
          <cell r="A213" t="str">
            <v>ES826S30</v>
          </cell>
          <cell r="B213" t="str">
            <v>SALUD OCUPACIONAL</v>
          </cell>
        </row>
        <row r="214">
          <cell r="A214" t="str">
            <v>ES826S31</v>
          </cell>
          <cell r="B214" t="str">
            <v>PROGRAMA AMIGOS / NOSA</v>
          </cell>
        </row>
        <row r="215">
          <cell r="A215" t="str">
            <v>ES828U36</v>
          </cell>
          <cell r="B215" t="str">
            <v>INGENIERIA AMBIENTAL</v>
          </cell>
        </row>
        <row r="216">
          <cell r="A216" t="str">
            <v>ES828U37</v>
          </cell>
          <cell r="B216" t="str">
            <v>ENVIRONMENTAL MONITORING</v>
          </cell>
        </row>
        <row r="217">
          <cell r="A217" t="str">
            <v>ES828U38</v>
          </cell>
          <cell r="B217" t="str">
            <v>REHABILITATION</v>
          </cell>
        </row>
        <row r="218">
          <cell r="A218" t="str">
            <v>ES828U39</v>
          </cell>
          <cell r="B218" t="str">
            <v>GESTION AMBIENTAL</v>
          </cell>
        </row>
        <row r="219">
          <cell r="A219" t="str">
            <v>ES832USA</v>
          </cell>
          <cell r="B219" t="str">
            <v>GEOLOGIA</v>
          </cell>
        </row>
        <row r="220">
          <cell r="A220" t="str">
            <v>ES833U10</v>
          </cell>
          <cell r="B220" t="str">
            <v>CONTROL DE CALIDAD</v>
          </cell>
        </row>
        <row r="221">
          <cell r="A221" t="str">
            <v>ES851A25</v>
          </cell>
          <cell r="B221" t="str">
            <v>GERENCIA GENERAL</v>
          </cell>
        </row>
        <row r="222">
          <cell r="A222" t="str">
            <v>ES854URA</v>
          </cell>
          <cell r="B222" t="str">
            <v>GERENCIA DE SERVICIOS TECNICOS</v>
          </cell>
        </row>
        <row r="223">
          <cell r="A223" t="str">
            <v>ES854URC</v>
          </cell>
          <cell r="B223" t="str">
            <v>PLANEACION A CORTO PLAZO</v>
          </cell>
        </row>
        <row r="224">
          <cell r="A224" t="str">
            <v>ES859U07</v>
          </cell>
          <cell r="B224" t="str">
            <v>TOPOGRAFIA</v>
          </cell>
        </row>
        <row r="225">
          <cell r="A225" t="str">
            <v>ES861U35</v>
          </cell>
          <cell r="B225" t="str">
            <v>SEGURIDAD INDUSTRIAL</v>
          </cell>
        </row>
        <row r="226">
          <cell r="A226" t="str">
            <v>ES861ZYA</v>
          </cell>
          <cell r="B226" t="str">
            <v>PROTECCION INDUSTRIAL MINA</v>
          </cell>
        </row>
        <row r="227">
          <cell r="A227" t="str">
            <v>ES861ZYC</v>
          </cell>
          <cell r="B227" t="str">
            <v>PROTECCION INDUSTRIAL PROYECTO SUR</v>
          </cell>
        </row>
        <row r="228">
          <cell r="A228" t="str">
            <v>ES863A05</v>
          </cell>
          <cell r="B228" t="str">
            <v>PLANTA Y CONTROL INVENTARIOS</v>
          </cell>
        </row>
        <row r="229">
          <cell r="A229" t="str">
            <v>ES863A40</v>
          </cell>
          <cell r="B229" t="str">
            <v>ALMACEN Y COMPRAS</v>
          </cell>
        </row>
        <row r="230">
          <cell r="A230" t="str">
            <v>ET501SWB</v>
          </cell>
          <cell r="B230" t="str">
            <v>PERFORACION</v>
          </cell>
        </row>
        <row r="231">
          <cell r="A231" t="str">
            <v>ET510SXB</v>
          </cell>
          <cell r="B231" t="str">
            <v>GEOLOGIA BARRANQUILLA</v>
          </cell>
        </row>
        <row r="232">
          <cell r="A232" t="str">
            <v>ET510SXE</v>
          </cell>
          <cell r="B232" t="str">
            <v>PLANEACION A LARGO PLAZO</v>
          </cell>
        </row>
        <row r="233">
          <cell r="A233" t="str">
            <v>ET515S17</v>
          </cell>
          <cell r="B233" t="str">
            <v>CONTROL DE PROYECTO</v>
          </cell>
        </row>
        <row r="234">
          <cell r="A234" t="str">
            <v>ET800AUA</v>
          </cell>
          <cell r="B234" t="str">
            <v>GERENCIA  BARRANQUILLA</v>
          </cell>
        </row>
        <row r="235">
          <cell r="A235" t="str">
            <v>ET800AUC</v>
          </cell>
          <cell r="B235" t="str">
            <v>SERVICIOS GENERALES BARRANQUIL</v>
          </cell>
        </row>
        <row r="236">
          <cell r="A236" t="str">
            <v>ET800AUD</v>
          </cell>
          <cell r="B236" t="str">
            <v>OFICINA BOGOTA</v>
          </cell>
        </row>
        <row r="237">
          <cell r="A237" t="str">
            <v>ET800AUE</v>
          </cell>
          <cell r="B237" t="str">
            <v>LEGAL ( JURIDICA )</v>
          </cell>
        </row>
        <row r="238">
          <cell r="A238" t="str">
            <v>ET800AUL</v>
          </cell>
          <cell r="B238" t="str">
            <v>TRAINING</v>
          </cell>
        </row>
        <row r="239">
          <cell r="A239" t="str">
            <v>ET800AUP</v>
          </cell>
          <cell r="B239" t="str">
            <v>STATIONERY</v>
          </cell>
        </row>
        <row r="240">
          <cell r="A240" t="str">
            <v>ET800AUZ</v>
          </cell>
          <cell r="B240" t="str">
            <v>GERENCIA COMERCIAL CZN</v>
          </cell>
        </row>
        <row r="241">
          <cell r="A241" t="str">
            <v>ET800PUW</v>
          </cell>
          <cell r="B241" t="str">
            <v>RELACIONES PUBLICAS</v>
          </cell>
        </row>
        <row r="242">
          <cell r="A242" t="str">
            <v>ET800XUY</v>
          </cell>
          <cell r="B242" t="str">
            <v>COMISION UTILIZACION PUERTO</v>
          </cell>
        </row>
        <row r="243">
          <cell r="A243" t="str">
            <v>ET800XUZ</v>
          </cell>
          <cell r="B243" t="str">
            <v>GERENCIA COMERCIAL</v>
          </cell>
        </row>
        <row r="244">
          <cell r="A244" t="str">
            <v>ET822AVB</v>
          </cell>
          <cell r="B244" t="str">
            <v>FINANCIERA/CONTABILIDAD</v>
          </cell>
        </row>
        <row r="245">
          <cell r="A245" t="str">
            <v>ET861ZYB</v>
          </cell>
          <cell r="B245" t="str">
            <v>PROTECCION INDUSTRIAL BARRANQ.</v>
          </cell>
        </row>
        <row r="246">
          <cell r="A246" t="str">
            <v>ET863A40</v>
          </cell>
          <cell r="B246" t="str">
            <v>COMPRAS Y SUMINISTROS</v>
          </cell>
        </row>
        <row r="247">
          <cell r="A247" t="str">
            <v>ET876AZB</v>
          </cell>
          <cell r="B247" t="str">
            <v>SISTEMAS BARRANQUILLA</v>
          </cell>
        </row>
        <row r="248">
          <cell r="A248" t="str">
            <v>EY800A50</v>
          </cell>
          <cell r="B248" t="str">
            <v>TRANSPORTE DE CARBON</v>
          </cell>
        </row>
      </sheetData>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Control"/>
      <sheetName val="New Acc Trans"/>
      <sheetName val="invoice control"/>
      <sheetName val=" mts drilled &amp; invoices"/>
      <sheetName val="details for unit price"/>
      <sheetName val="summary unit price"/>
      <sheetName val="for accounting"/>
      <sheetName val="cost codes"/>
      <sheetName val="Sheet1"/>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 val="EquipData"/>
      <sheetName val="Title"/>
      <sheetName val="ProjectParameters"/>
      <sheetName val="C - CENTROS DE COSTO Y GASTOS"/>
    </sheetNames>
    <sheetDataSet>
      <sheetData sheetId="0"/>
      <sheetData sheetId="1"/>
      <sheetData sheetId="2"/>
      <sheetData sheetId="3"/>
      <sheetData sheetId="4"/>
      <sheetData sheetId="5"/>
      <sheetData sheetId="6"/>
      <sheetData sheetId="7" refreshError="1">
        <row r="2">
          <cell r="B2" t="str">
            <v>C5101</v>
          </cell>
          <cell r="C2" t="str">
            <v>C51 DRILLING</v>
          </cell>
          <cell r="D2" t="str">
            <v>C510 Drilling</v>
          </cell>
          <cell r="E2" t="str">
            <v>Coal Quality/Core Drilling</v>
          </cell>
          <cell r="F2" t="str">
            <v>Core Drilling</v>
          </cell>
        </row>
        <row r="3">
          <cell r="B3" t="str">
            <v>C5102</v>
          </cell>
          <cell r="C3" t="str">
            <v>C51 DRILLING</v>
          </cell>
          <cell r="D3" t="str">
            <v>C510 Drilling</v>
          </cell>
          <cell r="E3" t="str">
            <v>Structure/Non Core Drilling</v>
          </cell>
          <cell r="F3" t="str">
            <v>Open Drilling</v>
          </cell>
        </row>
        <row r="4">
          <cell r="B4" t="str">
            <v>C5111</v>
          </cell>
          <cell r="C4" t="str">
            <v>C51 DRILLING</v>
          </cell>
          <cell r="D4" t="str">
            <v>C511 Drilling Support</v>
          </cell>
          <cell r="E4" t="str">
            <v>Casing</v>
          </cell>
          <cell r="F4" t="str">
            <v>Casing</v>
          </cell>
        </row>
        <row r="5">
          <cell r="B5" t="str">
            <v>C5112</v>
          </cell>
          <cell r="C5" t="str">
            <v>C51 DRILLING</v>
          </cell>
          <cell r="D5" t="str">
            <v>C511 Drilling Support</v>
          </cell>
          <cell r="E5" t="str">
            <v>Drill Rig Moves</v>
          </cell>
          <cell r="F5" t="str">
            <v>Drill Rig Moves</v>
          </cell>
        </row>
        <row r="6">
          <cell r="B6" t="str">
            <v>C5113</v>
          </cell>
          <cell r="C6" t="str">
            <v>C51 DRILLING</v>
          </cell>
          <cell r="D6" t="str">
            <v>C511 Drilling Support</v>
          </cell>
          <cell r="E6" t="str">
            <v>Drill Rig Mobilisation/Demobilisation- Core</v>
          </cell>
          <cell r="F6" t="str">
            <v>Core Drilling Mobilization</v>
          </cell>
        </row>
        <row r="7">
          <cell r="B7" t="str">
            <v>C5114</v>
          </cell>
          <cell r="C7" t="str">
            <v>C51 DRILLING</v>
          </cell>
          <cell r="D7" t="str">
            <v>C511 Drilling Support</v>
          </cell>
          <cell r="E7" t="str">
            <v>Drill Rig Mobilisation/Demobilisation - Non Core</v>
          </cell>
          <cell r="F7" t="str">
            <v>Open Drilling Mobilization</v>
          </cell>
        </row>
        <row r="8">
          <cell r="B8" t="str">
            <v>C5115</v>
          </cell>
          <cell r="C8" t="str">
            <v>C51 DRILLING</v>
          </cell>
          <cell r="D8" t="str">
            <v>C511 Drilling Support</v>
          </cell>
          <cell r="E8" t="str">
            <v>Drill Site Preparation</v>
          </cell>
          <cell r="F8" t="str">
            <v>Mud Pools</v>
          </cell>
        </row>
        <row r="9">
          <cell r="B9" t="str">
            <v>C5116</v>
          </cell>
          <cell r="C9" t="str">
            <v>C51 DRILLING</v>
          </cell>
          <cell r="D9" t="str">
            <v>C511 Drilling Support</v>
          </cell>
          <cell r="E9" t="str">
            <v>Drill Site Preparation</v>
          </cell>
          <cell r="F9" t="str">
            <v>Other Prep Costs</v>
          </cell>
        </row>
        <row r="10">
          <cell r="B10" t="str">
            <v>C5201</v>
          </cell>
          <cell r="C10" t="str">
            <v>C52 GEOLOGICAL</v>
          </cell>
          <cell r="D10" t="str">
            <v>C520 Geol. Supervision &amp; Reporting</v>
          </cell>
          <cell r="E10" t="str">
            <v>Project Geologists (Local)</v>
          </cell>
          <cell r="F10" t="str">
            <v>Local Geologists</v>
          </cell>
        </row>
        <row r="11">
          <cell r="B11" t="str">
            <v>C5202</v>
          </cell>
          <cell r="C11" t="str">
            <v>C52 GEOLOGICAL</v>
          </cell>
          <cell r="D11" t="str">
            <v>C520 Geol. Supervision &amp; Reporting</v>
          </cell>
          <cell r="E11" t="str">
            <v>Supervising Geologist (Expat)</v>
          </cell>
          <cell r="F11" t="str">
            <v>Expat Geologist</v>
          </cell>
        </row>
        <row r="12">
          <cell r="B12" t="str">
            <v>C5203</v>
          </cell>
          <cell r="C12" t="str">
            <v>C52 GEOLOGICAL</v>
          </cell>
          <cell r="D12" t="str">
            <v>C520 Geol. Supervision &amp; Reporting</v>
          </cell>
          <cell r="E12" t="str">
            <v>Computer Geologist</v>
          </cell>
          <cell r="F12" t="str">
            <v>Computer Geologist</v>
          </cell>
        </row>
        <row r="13">
          <cell r="B13" t="str">
            <v>C5204</v>
          </cell>
          <cell r="C13" t="str">
            <v>C52 GEOLOGICAL</v>
          </cell>
          <cell r="D13" t="str">
            <v>C520 Geol. Supervision &amp; Reporting</v>
          </cell>
          <cell r="E13" t="str">
            <v>Project Management MBGS</v>
          </cell>
          <cell r="F13" t="str">
            <v>MBGS Management</v>
          </cell>
        </row>
        <row r="14">
          <cell r="B14" t="str">
            <v>C5205</v>
          </cell>
          <cell r="C14" t="str">
            <v>C52 GEOLOGICAL</v>
          </cell>
          <cell r="D14" t="str">
            <v>C520 Geol. Supervision &amp; Reporting</v>
          </cell>
          <cell r="E14" t="str">
            <v>Report</v>
          </cell>
          <cell r="F14" t="str">
            <v>Report</v>
          </cell>
        </row>
        <row r="15">
          <cell r="B15" t="str">
            <v>C5206</v>
          </cell>
          <cell r="C15" t="str">
            <v>C52 GEOLOGICAL</v>
          </cell>
          <cell r="D15" t="str">
            <v>C520 Geol. Supervision &amp; Reporting</v>
          </cell>
          <cell r="E15" t="str">
            <v>Computer Geologist &amp; Report</v>
          </cell>
          <cell r="F15" t="str">
            <v>Computer Geologist &amp; Report</v>
          </cell>
        </row>
        <row r="16">
          <cell r="B16" t="str">
            <v>C5211</v>
          </cell>
          <cell r="C16" t="str">
            <v>C52 GEOLOGICAL</v>
          </cell>
          <cell r="D16" t="str">
            <v>C521 Geological Supplies</v>
          </cell>
          <cell r="E16" t="str">
            <v>Core Shed &amp; Core Racks</v>
          </cell>
          <cell r="F16" t="str">
            <v>Core Racks</v>
          </cell>
        </row>
        <row r="17">
          <cell r="B17" t="str">
            <v>C5212</v>
          </cell>
          <cell r="C17" t="str">
            <v>C52 GEOLOGICAL</v>
          </cell>
          <cell r="D17" t="str">
            <v>C521 Geological Supplies</v>
          </cell>
          <cell r="E17" t="str">
            <v>Refrigerator</v>
          </cell>
          <cell r="F17" t="str">
            <v>Refrigerator</v>
          </cell>
        </row>
        <row r="18">
          <cell r="B18" t="str">
            <v>C5213</v>
          </cell>
          <cell r="C18" t="str">
            <v>C52 GEOLOGICAL</v>
          </cell>
          <cell r="D18" t="str">
            <v>C521 Geological Supplies</v>
          </cell>
          <cell r="E18" t="str">
            <v>Field Supplies/Sampling Materials</v>
          </cell>
          <cell r="F18" t="str">
            <v>Sampling &amp; Drilling Supplies</v>
          </cell>
        </row>
        <row r="19">
          <cell r="B19" t="str">
            <v>C5214</v>
          </cell>
          <cell r="C19" t="str">
            <v>C52 GEOLOGICAL</v>
          </cell>
          <cell r="D19" t="str">
            <v>C521 Geological Supplies</v>
          </cell>
          <cell r="E19" t="str">
            <v>Core Boxes</v>
          </cell>
          <cell r="F19" t="str">
            <v>Core Boxes</v>
          </cell>
        </row>
        <row r="20">
          <cell r="B20" t="str">
            <v>C5215</v>
          </cell>
          <cell r="C20" t="str">
            <v>C52 GEOLOGICAL</v>
          </cell>
          <cell r="D20" t="str">
            <v>C521 Geological Supplies</v>
          </cell>
          <cell r="E20" t="str">
            <v>Portable Toilets</v>
          </cell>
          <cell r="F20" t="str">
            <v>Portable Toilets</v>
          </cell>
        </row>
        <row r="21">
          <cell r="B21" t="str">
            <v>C5216</v>
          </cell>
          <cell r="C21" t="str">
            <v>C52 GEOLOGICAL</v>
          </cell>
          <cell r="D21" t="str">
            <v>C521 Geological Supplies</v>
          </cell>
          <cell r="E21" t="str">
            <v>Core Shed &amp; Core Racks</v>
          </cell>
          <cell r="F21" t="str">
            <v>Core Shed</v>
          </cell>
        </row>
        <row r="22">
          <cell r="B22" t="str">
            <v>C531</v>
          </cell>
          <cell r="C22" t="str">
            <v>C53 GEOPHYSICAL</v>
          </cell>
          <cell r="D22" t="str">
            <v>C530 Down Hole Logging</v>
          </cell>
          <cell r="E22" t="str">
            <v>Century Training</v>
          </cell>
          <cell r="F22" t="str">
            <v>Expat E-logging Engineer</v>
          </cell>
        </row>
        <row r="23">
          <cell r="B23" t="str">
            <v>C532</v>
          </cell>
          <cell r="C23" t="str">
            <v>C53 GEOPHYSICAL</v>
          </cell>
          <cell r="D23" t="str">
            <v>C530 Down Hole Logging</v>
          </cell>
          <cell r="E23" t="str">
            <v>Logging Engineer (Local)</v>
          </cell>
          <cell r="F23" t="str">
            <v>E-logging Tech</v>
          </cell>
        </row>
        <row r="24">
          <cell r="B24" t="str">
            <v>C533</v>
          </cell>
          <cell r="C24" t="str">
            <v>C53 GEOPHYSICAL</v>
          </cell>
          <cell r="D24" t="str">
            <v>C530 Down Hole Logging</v>
          </cell>
          <cell r="E24" t="str">
            <v>Tools &amp; Spare parts</v>
          </cell>
          <cell r="F24" t="str">
            <v>Tools &amp; Spare parts</v>
          </cell>
        </row>
        <row r="25">
          <cell r="B25" t="str">
            <v>C534</v>
          </cell>
          <cell r="C25" t="str">
            <v>C53 GEOPHYSICAL</v>
          </cell>
          <cell r="D25" t="str">
            <v>C530 Down Hole Logging</v>
          </cell>
          <cell r="E25" t="str">
            <v>Radioactive Materials Permit</v>
          </cell>
          <cell r="F25" t="str">
            <v>Monitoring Services</v>
          </cell>
        </row>
        <row r="26">
          <cell r="B26" t="str">
            <v>C535</v>
          </cell>
          <cell r="C26" t="str">
            <v>C53 GEOPHYSICAL</v>
          </cell>
          <cell r="D26" t="str">
            <v>C530 Down Hole Logging</v>
          </cell>
          <cell r="E26" t="str">
            <v>Radioactive Materials Permit</v>
          </cell>
          <cell r="F26" t="str">
            <v>Training</v>
          </cell>
        </row>
        <row r="27">
          <cell r="B27" t="str">
            <v>C541</v>
          </cell>
          <cell r="C27" t="str">
            <v>C54 COAL QUALITY</v>
          </cell>
          <cell r="D27" t="str">
            <v>C540 COAL QUALITY</v>
          </cell>
          <cell r="E27" t="str">
            <v>Raw Coal Analyses</v>
          </cell>
          <cell r="F27" t="str">
            <v>QC Test</v>
          </cell>
        </row>
        <row r="28">
          <cell r="B28" t="str">
            <v>C551</v>
          </cell>
          <cell r="C28" t="str">
            <v>C55 GROUNDWATER STUDIES</v>
          </cell>
          <cell r="D28" t="str">
            <v>C550 GROUNDWATER STUDIES</v>
          </cell>
          <cell r="E28" t="str">
            <v>Piezometer Supplies</v>
          </cell>
          <cell r="F28" t="str">
            <v>Piezometer Supplies</v>
          </cell>
        </row>
        <row r="29">
          <cell r="B29" t="str">
            <v>C552</v>
          </cell>
          <cell r="C29" t="str">
            <v>C55 GROUNDWATER STUDIES</v>
          </cell>
          <cell r="D29" t="str">
            <v>C550 GROUNDWATER STUDIES</v>
          </cell>
          <cell r="E29" t="str">
            <v>Drilling for piezometers</v>
          </cell>
          <cell r="F29" t="str">
            <v>Drilling for Piezometers</v>
          </cell>
        </row>
        <row r="30">
          <cell r="B30" t="str">
            <v>C561</v>
          </cell>
          <cell r="C30" t="str">
            <v>C56 FIELD SUPPORT</v>
          </cell>
          <cell r="D30" t="str">
            <v>C560 Field Support</v>
          </cell>
          <cell r="E30" t="str">
            <v>4WD Hire/Fuel</v>
          </cell>
          <cell r="F30" t="str">
            <v>4WD Hire/Fuel</v>
          </cell>
        </row>
        <row r="31">
          <cell r="B31" t="str">
            <v>C562</v>
          </cell>
          <cell r="C31" t="str">
            <v>C56 FIELD SUPPORT</v>
          </cell>
          <cell r="D31" t="str">
            <v>C560 Field Support</v>
          </cell>
          <cell r="E31" t="str">
            <v>Travel and other Expenses in Colombia</v>
          </cell>
          <cell r="F31" t="str">
            <v>Travel and Other Expenses (Expat)</v>
          </cell>
        </row>
        <row r="32">
          <cell r="B32" t="str">
            <v>C563</v>
          </cell>
          <cell r="C32" t="str">
            <v>C56 FIELD SUPPORT</v>
          </cell>
          <cell r="D32" t="str">
            <v>C560 Field Support</v>
          </cell>
          <cell r="E32" t="str">
            <v>Travel and other Expenses</v>
          </cell>
          <cell r="F32" t="str">
            <v>Traveling MBGS</v>
          </cell>
        </row>
        <row r="33">
          <cell r="B33" t="str">
            <v>C571</v>
          </cell>
          <cell r="C33" t="str">
            <v>C57 SUNDRIES</v>
          </cell>
          <cell r="D33" t="str">
            <v>C570 SUNDRIES</v>
          </cell>
          <cell r="E33" t="str">
            <v>SUNDRIES</v>
          </cell>
          <cell r="F33" t="str">
            <v>SUNDRIES</v>
          </cell>
        </row>
        <row r="34">
          <cell r="B34" t="str">
            <v>C572</v>
          </cell>
          <cell r="C34" t="str">
            <v>C57 SUNDRIES</v>
          </cell>
          <cell r="D34" t="str">
            <v>C570 SUNDRIES</v>
          </cell>
          <cell r="E34" t="str">
            <v>SUNDRIES (original budget distributed on other items)</v>
          </cell>
          <cell r="F34" t="str">
            <v>SUNDRIES (original budget distributed on other items)</v>
          </cell>
        </row>
        <row r="35">
          <cell r="B35" t="str">
            <v>C5811</v>
          </cell>
          <cell r="C35" t="str">
            <v>C58 Geotech &amp; Hydro Consultant</v>
          </cell>
          <cell r="D35" t="str">
            <v>C581 Geotechnical</v>
          </cell>
          <cell r="E35" t="str">
            <v>Sampling Costs/ Drilling</v>
          </cell>
          <cell r="F35" t="str">
            <v>Sampling Costs/ Drilling</v>
          </cell>
        </row>
        <row r="36">
          <cell r="B36" t="str">
            <v>C5812</v>
          </cell>
          <cell r="C36" t="str">
            <v>C58 Geotech &amp; Hydro Consultant</v>
          </cell>
          <cell r="D36" t="str">
            <v>C581 Geotechnical</v>
          </cell>
          <cell r="E36" t="str">
            <v>Tests Costs</v>
          </cell>
          <cell r="F36" t="str">
            <v>Tests Costs</v>
          </cell>
        </row>
        <row r="37">
          <cell r="B37" t="str">
            <v>C5813</v>
          </cell>
          <cell r="C37" t="str">
            <v>C58 Geotech &amp; Hydro Consultant</v>
          </cell>
          <cell r="D37" t="str">
            <v>C581 Geotechnical</v>
          </cell>
          <cell r="E37" t="str">
            <v>Geotech Engineer</v>
          </cell>
          <cell r="F37" t="str">
            <v>Geotech Engineer</v>
          </cell>
        </row>
        <row r="38">
          <cell r="B38" t="str">
            <v>C5814</v>
          </cell>
          <cell r="C38" t="str">
            <v>C58 Geotech &amp; Hydro Consultant</v>
          </cell>
          <cell r="D38" t="str">
            <v>C581 Geotechnical</v>
          </cell>
          <cell r="E38" t="str">
            <v>Trenching</v>
          </cell>
          <cell r="F38" t="str">
            <v>Trenching</v>
          </cell>
        </row>
        <row r="39">
          <cell r="B39" t="str">
            <v>C5815</v>
          </cell>
          <cell r="C39" t="str">
            <v>C58 Geotech &amp; Hydro Consultant</v>
          </cell>
          <cell r="D39" t="str">
            <v>C581 Geotechnical</v>
          </cell>
          <cell r="E39" t="str">
            <v>Other Costs</v>
          </cell>
          <cell r="F39" t="str">
            <v>Other Costs</v>
          </cell>
        </row>
        <row r="40">
          <cell r="B40" t="str">
            <v>C5821</v>
          </cell>
          <cell r="C40" t="str">
            <v>C58 Geotech &amp; Hydro Consultant</v>
          </cell>
          <cell r="D40" t="str">
            <v>C582 Hydrology</v>
          </cell>
          <cell r="E40" t="str">
            <v>Hydrology Engineer</v>
          </cell>
          <cell r="F40" t="str">
            <v>Hydrology Engineer</v>
          </cell>
        </row>
        <row r="41">
          <cell r="B41" t="str">
            <v>C5822</v>
          </cell>
          <cell r="C41" t="str">
            <v>C58 Geotech &amp; Hydro Consultant</v>
          </cell>
          <cell r="D41" t="str">
            <v>C582 Hydrology</v>
          </cell>
          <cell r="E41" t="str">
            <v>Hydrology Data</v>
          </cell>
          <cell r="F41" t="str">
            <v>Hydrology Data</v>
          </cell>
        </row>
        <row r="42">
          <cell r="B42" t="str">
            <v>C5823</v>
          </cell>
          <cell r="C42" t="str">
            <v>C58 Geotech &amp; Hydro Consultant</v>
          </cell>
          <cell r="D42" t="str">
            <v>C582 Hydrology</v>
          </cell>
          <cell r="E42" t="str">
            <v>Other Costs</v>
          </cell>
          <cell r="F42" t="str">
            <v>Other Costs</v>
          </cell>
        </row>
        <row r="43">
          <cell r="B43" t="str">
            <v>C5831</v>
          </cell>
          <cell r="C43" t="str">
            <v>C58 Geotech &amp; Hydro Consultant</v>
          </cell>
          <cell r="D43" t="str">
            <v>C583 Hydrogeology</v>
          </cell>
          <cell r="E43" t="str">
            <v>Hydrogeology Engineer</v>
          </cell>
          <cell r="F43" t="str">
            <v>Hydrogeology Engineer</v>
          </cell>
        </row>
        <row r="44">
          <cell r="B44" t="str">
            <v>C5833</v>
          </cell>
          <cell r="C44" t="str">
            <v>C58 Geotech &amp; Hydro Consultant</v>
          </cell>
          <cell r="D44" t="str">
            <v>C583 Hydrogeology</v>
          </cell>
          <cell r="E44" t="str">
            <v>Pumping Tests</v>
          </cell>
          <cell r="F44" t="str">
            <v>Pumping Test</v>
          </cell>
        </row>
        <row r="45">
          <cell r="B45" t="str">
            <v>C5841</v>
          </cell>
          <cell r="C45" t="str">
            <v>C58 Geotech &amp; Hydro Consultant</v>
          </cell>
          <cell r="D45" t="str">
            <v>C584 Water Management</v>
          </cell>
          <cell r="E45" t="str">
            <v>Hidraulics/Hidrology Engineers</v>
          </cell>
          <cell r="F45" t="str">
            <v>Hidraulics/Hidrology Engineers</v>
          </cell>
        </row>
        <row r="46">
          <cell r="B46" t="str">
            <v>C5842</v>
          </cell>
          <cell r="C46" t="str">
            <v>C58 Geotech &amp; Hydro Consultant</v>
          </cell>
          <cell r="D46" t="str">
            <v>C584 Water Management</v>
          </cell>
          <cell r="E46" t="str">
            <v>Water Quality Tests</v>
          </cell>
          <cell r="F46" t="str">
            <v>Water Quality Tests</v>
          </cell>
        </row>
        <row r="47">
          <cell r="B47" t="str">
            <v>C5881</v>
          </cell>
          <cell r="C47" t="str">
            <v>C58 Geotech &amp; Hydro Consultant</v>
          </cell>
          <cell r="D47" t="str">
            <v>C588 Prodeco Suport</v>
          </cell>
          <cell r="E47" t="str">
            <v>Food and Lodge at camp</v>
          </cell>
          <cell r="F47" t="str">
            <v>Food and Lodge at camp</v>
          </cell>
        </row>
        <row r="48">
          <cell r="B48" t="str">
            <v>C5882</v>
          </cell>
          <cell r="C48" t="str">
            <v>C58 Geotech &amp; Hydro Consultant</v>
          </cell>
          <cell r="D48" t="str">
            <v>C588 Prodeco Suport</v>
          </cell>
          <cell r="E48" t="str">
            <v>4WD Hire/Fuel</v>
          </cell>
          <cell r="F48" t="str">
            <v>4WD Hire/Fuel</v>
          </cell>
        </row>
        <row r="49">
          <cell r="B49" t="str">
            <v>C5883</v>
          </cell>
          <cell r="C49" t="str">
            <v>C58 Geotech &amp; Hydro Consultant</v>
          </cell>
          <cell r="D49" t="str">
            <v>C588 Prodeco Suport</v>
          </cell>
          <cell r="E49" t="str">
            <v>Other Expenses</v>
          </cell>
          <cell r="F49" t="str">
            <v>Other Expenses</v>
          </cell>
        </row>
        <row r="50">
          <cell r="B50" t="str">
            <v>C5891</v>
          </cell>
          <cell r="C50" t="str">
            <v>C58 Geotech &amp; Hydro Consultant</v>
          </cell>
          <cell r="D50" t="str">
            <v>C589 Global Project</v>
          </cell>
          <cell r="E50" t="str">
            <v>Report Copies</v>
          </cell>
          <cell r="F50" t="str">
            <v>Report Copies</v>
          </cell>
        </row>
        <row r="51">
          <cell r="B51" t="str">
            <v>C5893</v>
          </cell>
          <cell r="C51" t="str">
            <v>C58 Geotech &amp; Hydro Consultant</v>
          </cell>
          <cell r="D51" t="str">
            <v>C589 Global Project</v>
          </cell>
          <cell r="E51" t="str">
            <v>Management Fees</v>
          </cell>
          <cell r="F51" t="str">
            <v>Management Fees</v>
          </cell>
        </row>
        <row r="52">
          <cell r="B52" t="str">
            <v>C5894</v>
          </cell>
          <cell r="C52" t="str">
            <v>C58 Geotech &amp; Hydro Consultant</v>
          </cell>
          <cell r="D52" t="str">
            <v>C589 Global Project</v>
          </cell>
          <cell r="E52" t="str">
            <v>Travel Expenses</v>
          </cell>
          <cell r="F52" t="str">
            <v>Travel Expenses</v>
          </cell>
        </row>
        <row r="53">
          <cell r="B53" t="str">
            <v>C5895</v>
          </cell>
          <cell r="C53" t="str">
            <v>C58 Geotech &amp; Hydro Consultant</v>
          </cell>
          <cell r="D53" t="str">
            <v>C589 Global Project</v>
          </cell>
          <cell r="E53" t="str">
            <v>Telephone</v>
          </cell>
          <cell r="F53" t="str">
            <v>Telephone</v>
          </cell>
        </row>
        <row r="54">
          <cell r="B54" t="str">
            <v>C5896</v>
          </cell>
          <cell r="C54" t="str">
            <v>C58 Geotech &amp; Hydro Consultant</v>
          </cell>
          <cell r="D54" t="str">
            <v>C589 Global Project</v>
          </cell>
          <cell r="E54" t="str">
            <v>Other Expenses</v>
          </cell>
          <cell r="F54" t="str">
            <v>Other Expenses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iseño"/>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SSUMPTIONS"/>
      <sheetName val="Input EcModel"/>
      <sheetName val="New Template"/>
      <sheetName val="INPUT_TEMP"/>
      <sheetName val="W_REV"/>
      <sheetName val="NOM_IS&amp;BS_PESO"/>
      <sheetName val="W_OPEX"/>
      <sheetName val="W_CAPEX"/>
      <sheetName val="W_FUND"/>
      <sheetName val="W_EQUITY"/>
      <sheetName val="W_TAX_DEP"/>
      <sheetName val="W_TAX"/>
      <sheetName val="NOMINAL_CF_PESO"/>
      <sheetName val="NOM_IS&amp;BS_US$"/>
      <sheetName val="NOM_CF_US$"/>
      <sheetName val="REAL_CF_US$"/>
      <sheetName val="SUMMARY"/>
      <sheetName val="PresentationJan02"/>
      <sheetName val="Chart - Real cashflow"/>
      <sheetName val="Chart_Direct_per_BCM"/>
      <sheetName val="Chart_Indiect_BCM"/>
      <sheetName val="Chart_Cost_per_ton"/>
      <sheetName val="Manpower"/>
      <sheetName val="Chart_Staff_prod"/>
      <sheetName val="Funding Sens"/>
      <sheetName val="NAME_RANGES"/>
      <sheetName val="Cuentas"/>
      <sheetName val="Budget Assumptions"/>
      <sheetName val="Mine Hours"/>
    </sheetNames>
    <sheetDataSet>
      <sheetData sheetId="0" refreshError="1"/>
      <sheetData sheetId="1" refreshError="1">
        <row r="6">
          <cell r="H6">
            <v>1</v>
          </cell>
          <cell r="I6">
            <v>2</v>
          </cell>
          <cell r="J6">
            <v>3</v>
          </cell>
          <cell r="K6">
            <v>4</v>
          </cell>
          <cell r="L6">
            <v>5</v>
          </cell>
          <cell r="M6">
            <v>6</v>
          </cell>
          <cell r="N6">
            <v>7</v>
          </cell>
          <cell r="O6">
            <v>8</v>
          </cell>
          <cell r="P6">
            <v>9</v>
          </cell>
          <cell r="Q6">
            <v>10</v>
          </cell>
          <cell r="R6">
            <v>11</v>
          </cell>
          <cell r="S6">
            <v>12</v>
          </cell>
          <cell r="T6">
            <v>13</v>
          </cell>
          <cell r="U6">
            <v>14</v>
          </cell>
          <cell r="V6">
            <v>15</v>
          </cell>
          <cell r="W6">
            <v>16</v>
          </cell>
          <cell r="X6">
            <v>17</v>
          </cell>
          <cell r="Y6">
            <v>18</v>
          </cell>
          <cell r="Z6">
            <v>19</v>
          </cell>
          <cell r="AA6">
            <v>20</v>
          </cell>
          <cell r="AB6">
            <v>21</v>
          </cell>
          <cell r="AC6">
            <v>22</v>
          </cell>
          <cell r="AD6">
            <v>23</v>
          </cell>
          <cell r="AE6">
            <v>24</v>
          </cell>
          <cell r="AF6">
            <v>25</v>
          </cell>
          <cell r="AG6">
            <v>26</v>
          </cell>
          <cell r="AH6">
            <v>27</v>
          </cell>
          <cell r="AI6">
            <v>28</v>
          </cell>
          <cell r="AJ6">
            <v>29</v>
          </cell>
          <cell r="AK6">
            <v>30</v>
          </cell>
          <cell r="AL6">
            <v>31</v>
          </cell>
          <cell r="AM6">
            <v>32</v>
          </cell>
          <cell r="AN6">
            <v>33</v>
          </cell>
          <cell r="AO6">
            <v>34</v>
          </cell>
          <cell r="AP6">
            <v>35</v>
          </cell>
        </row>
        <row r="7">
          <cell r="H7">
            <v>2001</v>
          </cell>
          <cell r="I7">
            <v>2002</v>
          </cell>
          <cell r="J7">
            <v>2003</v>
          </cell>
          <cell r="K7">
            <v>2004</v>
          </cell>
          <cell r="L7">
            <v>2005</v>
          </cell>
          <cell r="M7">
            <v>2006</v>
          </cell>
          <cell r="N7">
            <v>2007</v>
          </cell>
          <cell r="O7">
            <v>2008</v>
          </cell>
          <cell r="P7">
            <v>2009</v>
          </cell>
          <cell r="Q7">
            <v>2010</v>
          </cell>
          <cell r="R7">
            <v>2011</v>
          </cell>
          <cell r="S7">
            <v>2012</v>
          </cell>
          <cell r="T7">
            <v>2013</v>
          </cell>
          <cell r="U7">
            <v>2014</v>
          </cell>
          <cell r="V7">
            <v>2015</v>
          </cell>
          <cell r="W7">
            <v>2016</v>
          </cell>
          <cell r="X7">
            <v>2017</v>
          </cell>
          <cell r="Y7">
            <v>2018</v>
          </cell>
          <cell r="Z7">
            <v>2019</v>
          </cell>
          <cell r="AA7">
            <v>2020</v>
          </cell>
          <cell r="AB7">
            <v>2021</v>
          </cell>
          <cell r="AC7">
            <v>2022</v>
          </cell>
          <cell r="AD7">
            <v>2023</v>
          </cell>
          <cell r="AE7">
            <v>2024</v>
          </cell>
          <cell r="AF7">
            <v>2025</v>
          </cell>
          <cell r="AG7">
            <v>2026</v>
          </cell>
          <cell r="AH7">
            <v>2027</v>
          </cell>
          <cell r="AI7">
            <v>2028</v>
          </cell>
          <cell r="AJ7">
            <v>2029</v>
          </cell>
          <cell r="AK7">
            <v>2030</v>
          </cell>
          <cell r="AL7">
            <v>2031</v>
          </cell>
          <cell r="AM7">
            <v>2032</v>
          </cell>
          <cell r="AN7">
            <v>2033</v>
          </cell>
          <cell r="AO7">
            <v>2034</v>
          </cell>
          <cell r="AP7">
            <v>2035</v>
          </cell>
        </row>
      </sheetData>
      <sheetData sheetId="2" refreshError="1"/>
      <sheetData sheetId="3" refreshError="1"/>
      <sheetData sheetId="4" refreshError="1"/>
      <sheetData sheetId="5" refreshError="1">
        <row r="115">
          <cell r="H115">
            <v>0</v>
          </cell>
          <cell r="I115">
            <v>1206811.3162431244</v>
          </cell>
          <cell r="J115">
            <v>1590961.4604705418</v>
          </cell>
          <cell r="K115">
            <v>1730575.9564541497</v>
          </cell>
          <cell r="L115">
            <v>2142682.256418678</v>
          </cell>
          <cell r="M115">
            <v>2331224.9058954678</v>
          </cell>
          <cell r="N115">
            <v>2527412.2357362211</v>
          </cell>
          <cell r="O115">
            <v>2782518.5932018678</v>
          </cell>
          <cell r="P115">
            <v>2990274.6542298207</v>
          </cell>
          <cell r="Q115">
            <v>3255224.9335835539</v>
          </cell>
          <cell r="R115">
            <v>3543863.9346611197</v>
          </cell>
          <cell r="S115">
            <v>3857892.2832937399</v>
          </cell>
          <cell r="T115">
            <v>4210360.3970687324</v>
          </cell>
          <cell r="U115">
            <v>4577346.5782707063</v>
          </cell>
          <cell r="V115">
            <v>4980025.8478291696</v>
          </cell>
          <cell r="W115">
            <v>5417191.7475218112</v>
          </cell>
          <cell r="X115">
            <v>5905662.3185034748</v>
          </cell>
          <cell r="Y115">
            <v>6447098.6326881014</v>
          </cell>
          <cell r="Z115">
            <v>7045903.5760849994</v>
          </cell>
          <cell r="AA115">
            <v>7698227.6157233259</v>
          </cell>
          <cell r="AB115">
            <v>8420931.9875317588</v>
          </cell>
          <cell r="AC115">
            <v>9154929.3827340007</v>
          </cell>
          <cell r="AD115">
            <v>9950027.8819846939</v>
          </cell>
          <cell r="AE115">
            <v>10877630.038753988</v>
          </cell>
          <cell r="AF115">
            <v>11856187.62579206</v>
          </cell>
          <cell r="AG115">
            <v>12920325.71476049</v>
          </cell>
          <cell r="AH115">
            <v>13917885.430683093</v>
          </cell>
          <cell r="AI115">
            <v>15074425.760493625</v>
          </cell>
          <cell r="AJ115">
            <v>16137978.734628152</v>
          </cell>
          <cell r="AK115">
            <v>17468548.02603187</v>
          </cell>
          <cell r="AL115">
            <v>18989981.072840311</v>
          </cell>
          <cell r="AM115">
            <v>20617869.364584539</v>
          </cell>
          <cell r="AN115">
            <v>22498179.187074836</v>
          </cell>
          <cell r="AO115">
            <v>0</v>
          </cell>
          <cell r="AP115">
            <v>0</v>
          </cell>
        </row>
      </sheetData>
      <sheetData sheetId="6" refreshError="1"/>
      <sheetData sheetId="7" refreshError="1">
        <row r="220">
          <cell r="H220">
            <v>0</v>
          </cell>
          <cell r="I220">
            <v>79473.272158005973</v>
          </cell>
          <cell r="J220">
            <v>121159.24741547462</v>
          </cell>
          <cell r="K220">
            <v>138831.25320728825</v>
          </cell>
          <cell r="L220">
            <v>165785.77467879959</v>
          </cell>
          <cell r="M220">
            <v>190917.92305694884</v>
          </cell>
          <cell r="N220">
            <v>258001.33070891688</v>
          </cell>
          <cell r="O220">
            <v>235593.58128829021</v>
          </cell>
          <cell r="P220">
            <v>252745.9023023271</v>
          </cell>
          <cell r="Q220">
            <v>272046.60475126794</v>
          </cell>
          <cell r="R220">
            <v>296168.84630370059</v>
          </cell>
          <cell r="S220">
            <v>337381.95546043792</v>
          </cell>
          <cell r="T220">
            <v>378853.58366595773</v>
          </cell>
          <cell r="U220">
            <v>382371.67366648669</v>
          </cell>
          <cell r="V220">
            <v>416149.47135807847</v>
          </cell>
          <cell r="W220">
            <v>453541.60725573817</v>
          </cell>
          <cell r="X220">
            <v>494872.80641763937</v>
          </cell>
          <cell r="Y220">
            <v>590402.78496183048</v>
          </cell>
          <cell r="Z220">
            <v>647534.24416291888</v>
          </cell>
          <cell r="AA220">
            <v>621931.53193357016</v>
          </cell>
          <cell r="AB220">
            <v>707285.33604189672</v>
          </cell>
          <cell r="AC220">
            <v>768894.70777026401</v>
          </cell>
          <cell r="AD220">
            <v>836491.10380335024</v>
          </cell>
          <cell r="AE220">
            <v>915637.66825006052</v>
          </cell>
          <cell r="AF220">
            <v>988202.51676026243</v>
          </cell>
          <cell r="AG220">
            <v>1083453.4019695069</v>
          </cell>
          <cell r="AH220">
            <v>1149532.5247207507</v>
          </cell>
          <cell r="AI220">
            <v>1306621.9229090856</v>
          </cell>
          <cell r="AJ220">
            <v>1337347.2573900749</v>
          </cell>
          <cell r="AK220">
            <v>1373160.5080485593</v>
          </cell>
          <cell r="AL220">
            <v>1504272.9953725506</v>
          </cell>
          <cell r="AM220">
            <v>1634544.1738149791</v>
          </cell>
          <cell r="AN220">
            <v>1843317.4860387689</v>
          </cell>
          <cell r="AO220">
            <v>122151.15189286045</v>
          </cell>
          <cell r="AP220">
            <v>-65782.221973186271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Equipo"/>
      <sheetName val="materiales"/>
      <sheetName val="otros"/>
      <sheetName val="LOCALIZACION ESTRUCTURAS"/>
      <sheetName val="LOCALIZACION CARRETERAS"/>
      <sheetName val="200.1"/>
      <sheetName val="200.2"/>
      <sheetName val="201.1P"/>
      <sheetName val="201.2P ciclopeo"/>
      <sheetName val="201.2.1P reforzado"/>
      <sheetName val="201.3P"/>
      <sheetName val="201.4"/>
      <sheetName val="201.5"/>
      <sheetName val="201.7"/>
      <sheetName val="201.8"/>
      <sheetName val="201.9"/>
      <sheetName val="201.9P"/>
      <sheetName val="201.10"/>
      <sheetName val="201.11"/>
      <sheetName val="201.12"/>
      <sheetName val="201.13 Y 201.17"/>
      <sheetName val="REMOCION SERVICIOS EX."/>
      <sheetName val="201.14"/>
      <sheetName val="201.15"/>
      <sheetName val="201.16"/>
      <sheetName val="201.18"/>
      <sheetName val="201.19"/>
      <sheetName val="201.20"/>
      <sheetName val="201.21"/>
      <sheetName val="201.22"/>
      <sheetName val="210.1.1"/>
      <sheetName val="210.1.2"/>
      <sheetName val="210.2.1"/>
      <sheetName val="210.2 OTRA"/>
      <sheetName val="210.2 .3"/>
      <sheetName val="210.2.2"/>
      <sheetName val="210.2.4"/>
      <sheetName val="211.1"/>
      <sheetName val="220.1"/>
      <sheetName val="221.1"/>
      <sheetName val="221.2"/>
      <sheetName val="225P"/>
      <sheetName val="230.1"/>
      <sheetName val="230.2"/>
      <sheetName val="231.1"/>
      <sheetName val="232.1"/>
      <sheetName val="234.1"/>
      <sheetName val="310.1"/>
      <sheetName val="311.1"/>
      <sheetName val="311P1"/>
      <sheetName val="311P2"/>
      <sheetName val="311P3"/>
      <sheetName val="312.1"/>
      <sheetName val="312.2"/>
      <sheetName val="312.3"/>
      <sheetName val="312.4"/>
      <sheetName val="320.1"/>
      <sheetName val="320.1P1"/>
      <sheetName val="320.1P2"/>
      <sheetName val="320.2"/>
      <sheetName val="330.1"/>
      <sheetName val="330.2"/>
      <sheetName val="340.1"/>
      <sheetName val="340.2"/>
      <sheetName val="340.3"/>
      <sheetName val="341.1"/>
      <sheetName val="341.2"/>
      <sheetName val="342.1"/>
      <sheetName val="342.1P"/>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P"/>
      <sheetName val="450.P1 COMPRADA"/>
      <sheetName val="450.1"/>
      <sheetName val="450.1P COMPRADA"/>
      <sheetName val="450.2"/>
      <sheetName val="450.2P COMPRADA"/>
      <sheetName val="450.3"/>
      <sheetName val="450.3P COMPRADA"/>
      <sheetName val="450.4"/>
      <sheetName val="450.5"/>
      <sheetName val="450.6"/>
      <sheetName val="450.7"/>
      <sheetName val="450.8"/>
      <sheetName val="450.9"/>
      <sheetName val="451.1"/>
      <sheetName val="451.1P COMPRADA"/>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0.1P"/>
      <sheetName val="461.1"/>
      <sheetName val="461.2"/>
      <sheetName val="462.1P"/>
      <sheetName val="462.1"/>
      <sheetName val="462.1.1"/>
      <sheetName val="462.4P"/>
      <sheetName val="462.2"/>
      <sheetName val="464.1"/>
      <sheetName val="464.2"/>
      <sheetName val="464.3"/>
      <sheetName val="464.4"/>
      <sheetName val="465.1"/>
      <sheetName val="466.1"/>
      <sheetName val="466.2"/>
      <sheetName val="500.1"/>
      <sheetName val="500.1 P"/>
      <sheetName val="501.1"/>
      <sheetName val="510.1"/>
      <sheetName val="510P1"/>
      <sheetName val="510P2"/>
      <sheetName val="510P3"/>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MORTERO 1,3"/>
      <sheetName val="631P BOLSACRETO"/>
      <sheetName val="632.1"/>
      <sheetName val="632P"/>
      <sheetName val="640.1"/>
      <sheetName val="640.2"/>
      <sheetName val="640.3"/>
      <sheetName val="641.1"/>
      <sheetName val="641.2"/>
      <sheetName val="641P ANCLAJES"/>
      <sheetName val="642.1"/>
      <sheetName val="642.2"/>
      <sheetName val="642P1 JUNTAS"/>
      <sheetName val="642P2 JUNTAS"/>
      <sheetName val="642P3 JUNTAS"/>
      <sheetName val="650.1"/>
      <sheetName val="650.2"/>
      <sheetName val="650.3"/>
      <sheetName val="650.3 OTRO"/>
      <sheetName val="650.4"/>
      <sheetName val="660.1"/>
      <sheetName val="660.2"/>
      <sheetName val="660.3"/>
      <sheetName val="661.1"/>
      <sheetName val="661 TIPO 2"/>
      <sheetName val="661 OTRO"/>
      <sheetName val="662.1"/>
      <sheetName val="662.2"/>
      <sheetName val="670.1"/>
      <sheetName val="670.2"/>
      <sheetName val="671.1"/>
      <sheetName val="671.2"/>
      <sheetName val="672.1"/>
      <sheetName val="673.2"/>
      <sheetName val="673.1"/>
      <sheetName val="673.3"/>
      <sheetName val="674.1"/>
      <sheetName val="674.2"/>
      <sheetName val="680.1"/>
      <sheetName val="680.2"/>
      <sheetName val="680.3"/>
      <sheetName val="680P"/>
      <sheetName val="681.1"/>
      <sheetName val="682"/>
      <sheetName val="682.1"/>
      <sheetName val="690.1"/>
      <sheetName val="700.1"/>
      <sheetName val="700.2"/>
      <sheetName val="700.3"/>
      <sheetName val="700.4"/>
      <sheetName val="700P BANDAS SONORAS "/>
      <sheetName val="701"/>
      <sheetName val="710.1"/>
      <sheetName val="710.2"/>
      <sheetName val="710.3"/>
      <sheetName val="710.4"/>
      <sheetName val="710.5"/>
      <sheetName val="720.1"/>
      <sheetName val="730.1"/>
      <sheetName val="730.2"/>
      <sheetName val="730.3"/>
      <sheetName val="731.1"/>
      <sheetName val="740.1"/>
      <sheetName val="741.1"/>
      <sheetName val="800.1"/>
      <sheetName val="800.2"/>
      <sheetName val="800.3"/>
      <sheetName val="800.4"/>
      <sheetName val="800P"/>
      <sheetName val="801.1"/>
      <sheetName val="801.2"/>
      <sheetName val="801.3"/>
      <sheetName val="801.4"/>
      <sheetName val="801.5"/>
      <sheetName val="801.6"/>
      <sheetName val="801.7"/>
      <sheetName val="810.1"/>
      <sheetName val="810.1P"/>
      <sheetName val="810.2"/>
      <sheetName val="815P"/>
      <sheetName val="900.1"/>
      <sheetName val="900.2"/>
      <sheetName val="900.3"/>
      <sheetName val="Afirmado"/>
      <sheetName val="Hoja1"/>
    </sheetNames>
    <sheetDataSet>
      <sheetData sheetId="0"/>
      <sheetData sheetId="1">
        <row r="1">
          <cell r="A1" t="str">
            <v>GRUPO</v>
          </cell>
          <cell r="D1">
            <v>2</v>
          </cell>
        </row>
        <row r="2">
          <cell r="A2" t="str">
            <v>Administrador</v>
          </cell>
          <cell r="D2" t="str">
            <v>CONSORCIO INCIVIAS 2010</v>
          </cell>
        </row>
        <row r="3">
          <cell r="A3">
            <v>4305</v>
          </cell>
          <cell r="D3" t="str">
            <v>Via Ibague - Mariquita (PR 0+0000 - PR 105+0193)</v>
          </cell>
        </row>
        <row r="4">
          <cell r="A4">
            <v>5007</v>
          </cell>
        </row>
        <row r="7">
          <cell r="A7" t="str">
            <v>ITEM DE PAGO</v>
          </cell>
          <cell r="B7" t="str">
            <v>ESP. GRAL.</v>
          </cell>
          <cell r="C7" t="str">
            <v>ESP. PART.</v>
          </cell>
          <cell r="D7" t="str">
            <v>DESCRIPCION</v>
          </cell>
          <cell r="E7" t="str">
            <v xml:space="preserve">UNIDAD </v>
          </cell>
          <cell r="F7" t="str">
            <v>COSTO TOTAL</v>
          </cell>
          <cell r="G7" t="str">
            <v>CODIGO CUBS</v>
          </cell>
          <cell r="H7" t="str">
            <v>CODIGO CUBS</v>
          </cell>
          <cell r="I7" t="str">
            <v>NOTAS</v>
          </cell>
        </row>
        <row r="8">
          <cell r="A8" t="str">
            <v>200P1</v>
          </cell>
          <cell r="B8" t="str">
            <v>200-07</v>
          </cell>
          <cell r="D8" t="str">
            <v>LOCALIZACION ESTRUCTURAS</v>
          </cell>
          <cell r="E8" t="str">
            <v>M²</v>
          </cell>
          <cell r="F8">
            <v>1600</v>
          </cell>
          <cell r="H8" t="str">
            <v>3.6.1.1.1 </v>
          </cell>
        </row>
        <row r="9">
          <cell r="A9" t="str">
            <v>200P2</v>
          </cell>
          <cell r="B9" t="str">
            <v>200-07</v>
          </cell>
          <cell r="D9" t="str">
            <v>LOCALIZACION CARRETERAS</v>
          </cell>
          <cell r="E9" t="str">
            <v>ML</v>
          </cell>
          <cell r="F9">
            <v>1738</v>
          </cell>
          <cell r="H9" t="str">
            <v> 3.6.1.1.2 </v>
          </cell>
        </row>
        <row r="10">
          <cell r="A10" t="str">
            <v>200.1</v>
          </cell>
          <cell r="B10" t="str">
            <v>200-07</v>
          </cell>
          <cell r="D10" t="str">
            <v xml:space="preserve"> DESMONTE Y LIMPIEZA EN BOSQUE           </v>
          </cell>
          <cell r="E10" t="str">
            <v xml:space="preserve"> HA</v>
          </cell>
          <cell r="F10">
            <v>2060387</v>
          </cell>
          <cell r="G10" t="str">
            <v>3.6.1.2.2</v>
          </cell>
          <cell r="H10" t="str">
            <v>3.6.1.2.1</v>
          </cell>
        </row>
        <row r="11">
          <cell r="A11" t="str">
            <v>200.2</v>
          </cell>
          <cell r="B11" t="str">
            <v>200-07</v>
          </cell>
          <cell r="D11" t="str">
            <v xml:space="preserve">DESMONTE Y LIMPIEZA EN ZONAS NO BOSCOSAS           </v>
          </cell>
          <cell r="E11" t="str">
            <v xml:space="preserve"> HA</v>
          </cell>
          <cell r="F11">
            <v>1072816.5391666668</v>
          </cell>
          <cell r="G11" t="str">
            <v>3.6.1.2.4</v>
          </cell>
          <cell r="H11" t="str">
            <v>3.6.1.2.3</v>
          </cell>
        </row>
        <row r="12">
          <cell r="A12" t="str">
            <v>201.1P Y 201.5P</v>
          </cell>
          <cell r="B12" t="str">
            <v>201-07</v>
          </cell>
          <cell r="C12" t="str">
            <v>201-07P</v>
          </cell>
          <cell r="D12" t="str">
            <v>DEMOLICIÓN DE EDIFICACIONES.</v>
          </cell>
          <cell r="E12" t="str">
            <v>M²</v>
          </cell>
          <cell r="F12">
            <v>7034</v>
          </cell>
          <cell r="H12" t="e">
            <v>#N/A</v>
          </cell>
          <cell r="I12" t="str">
            <v>ITEMS DE DEMOLICION EN DIFERENTES UNIDADES</v>
          </cell>
        </row>
        <row r="13">
          <cell r="A13" t="str">
            <v>201.7</v>
          </cell>
          <cell r="B13" t="str">
            <v>201-07</v>
          </cell>
          <cell r="D13" t="str">
            <v>DEMOLICION DE ESTRUCTURAS</v>
          </cell>
          <cell r="E13" t="str">
            <v>M³</v>
          </cell>
          <cell r="F13">
            <v>68654</v>
          </cell>
          <cell r="G13" t="str">
            <v>3.2.1.3.5</v>
          </cell>
          <cell r="H13" t="str">
            <v xml:space="preserve">3.6.1.3.13  </v>
          </cell>
          <cell r="I13" t="str">
            <v>POR LO CUAL SE REGISTRAN COMO PARTICULARES</v>
          </cell>
        </row>
        <row r="14">
          <cell r="A14" t="str">
            <v>201.2P</v>
          </cell>
          <cell r="B14" t="str">
            <v>201-07</v>
          </cell>
          <cell r="C14" t="str">
            <v>201-07P</v>
          </cell>
          <cell r="D14" t="str">
            <v>DEMOLICION DE ESTRUCTURAS (CONCRETO CICLOPEO)</v>
          </cell>
          <cell r="E14" t="str">
            <v>M³</v>
          </cell>
          <cell r="F14">
            <v>70578</v>
          </cell>
          <cell r="G14" t="str">
            <v>3.6.1.3.14</v>
          </cell>
          <cell r="H14" t="str">
            <v>3.6.1.3.11</v>
          </cell>
        </row>
        <row r="15">
          <cell r="A15" t="str">
            <v>201.2.1P</v>
          </cell>
          <cell r="B15" t="str">
            <v>201-07</v>
          </cell>
          <cell r="C15" t="str">
            <v>201-07P</v>
          </cell>
          <cell r="D15" t="str">
            <v>DEMOLICION DE ESTRUCTURAS (CONCRETO REFORZADO)</v>
          </cell>
          <cell r="E15" t="str">
            <v>M³</v>
          </cell>
          <cell r="F15">
            <v>90718</v>
          </cell>
          <cell r="G15" t="str">
            <v>3.6.1.3.14</v>
          </cell>
          <cell r="H15" t="e">
            <v>#N/A</v>
          </cell>
        </row>
        <row r="16">
          <cell r="A16" t="str">
            <v>201.9P</v>
          </cell>
          <cell r="B16" t="str">
            <v>201-07</v>
          </cell>
          <cell r="C16" t="str">
            <v>201-07P</v>
          </cell>
          <cell r="D16" t="str">
            <v xml:space="preserve">DEMOLICION PISOS, ANDENES Y BORDILLOS DE CONCRETO.  </v>
          </cell>
          <cell r="E16" t="str">
            <v>M³</v>
          </cell>
          <cell r="F16">
            <v>37559</v>
          </cell>
          <cell r="G16" t="str">
            <v>3.6.1.3.38</v>
          </cell>
          <cell r="H16" t="e">
            <v>#N/A</v>
          </cell>
        </row>
        <row r="17">
          <cell r="A17" t="str">
            <v>201.3P</v>
          </cell>
          <cell r="B17" t="str">
            <v>201-07</v>
          </cell>
          <cell r="C17" t="str">
            <v>201-07P</v>
          </cell>
          <cell r="D17" t="str">
            <v>DEMOLICION DE PAVIMENTOS RIGIDOS</v>
          </cell>
          <cell r="E17" t="str">
            <v>M³</v>
          </cell>
          <cell r="F17">
            <v>57494</v>
          </cell>
          <cell r="H17" t="str">
            <v>3.6.1.3.15</v>
          </cell>
        </row>
        <row r="18">
          <cell r="A18" t="str">
            <v>201.4</v>
          </cell>
          <cell r="B18" t="str">
            <v>201-07</v>
          </cell>
          <cell r="C18" t="str">
            <v>201-07P</v>
          </cell>
          <cell r="D18" t="str">
            <v xml:space="preserve">DEMOLICION DE OBSTACULOS.   </v>
          </cell>
          <cell r="E18" t="str">
            <v>M³</v>
          </cell>
          <cell r="F18">
            <v>16619</v>
          </cell>
          <cell r="H18" t="str">
            <v>3.6.1.3.14</v>
          </cell>
        </row>
        <row r="19">
          <cell r="A19" t="str">
            <v>201.5</v>
          </cell>
          <cell r="D19" t="str">
            <v>DEMOLICIÓN DE EDIFICACIONES.</v>
          </cell>
          <cell r="E19" t="str">
            <v>U</v>
          </cell>
          <cell r="F19">
            <v>7034</v>
          </cell>
          <cell r="H19" t="str">
            <v>3.3.1.1</v>
          </cell>
        </row>
        <row r="20">
          <cell r="A20" t="str">
            <v>201.8</v>
          </cell>
          <cell r="D20" t="str">
            <v>DEMOLICION DE PAVIMENTOS RIGIDOS.</v>
          </cell>
          <cell r="E20" t="str">
            <v>M²</v>
          </cell>
          <cell r="F20">
            <v>16018</v>
          </cell>
          <cell r="H20" t="str">
            <v>3.6.1.3.15</v>
          </cell>
        </row>
        <row r="21">
          <cell r="A21" t="str">
            <v>201.9</v>
          </cell>
          <cell r="D21" t="str">
            <v xml:space="preserve">DEMOLICION PISOS Y ANDENES DE CONCRETO.  </v>
          </cell>
          <cell r="E21" t="str">
            <v>M²</v>
          </cell>
          <cell r="F21">
            <v>13921</v>
          </cell>
          <cell r="H21" t="str">
            <v>3.6.1.3.33</v>
          </cell>
        </row>
        <row r="22">
          <cell r="A22" t="str">
            <v>201.10</v>
          </cell>
          <cell r="D22" t="str">
            <v>DEMOLICION DE BORDILLOS DE CONCRETO</v>
          </cell>
          <cell r="E22" t="str">
            <v>ML</v>
          </cell>
          <cell r="F22">
            <v>8865</v>
          </cell>
          <cell r="H22" t="str">
            <v>3.6.1.3.35</v>
          </cell>
        </row>
        <row r="23">
          <cell r="A23" t="str">
            <v>201.11</v>
          </cell>
          <cell r="B23" t="str">
            <v>201-07</v>
          </cell>
          <cell r="C23" t="str">
            <v>201-07P</v>
          </cell>
          <cell r="D23" t="str">
            <v xml:space="preserve">DESMONTAJE Y TRASLADO DE ESTRUCTURAS METALICAS. </v>
          </cell>
          <cell r="E23" t="str">
            <v>KG</v>
          </cell>
          <cell r="F23">
            <v>4881</v>
          </cell>
          <cell r="H23" t="str">
            <v>3.6.1.3</v>
          </cell>
        </row>
        <row r="24">
          <cell r="A24" t="str">
            <v>201.12</v>
          </cell>
          <cell r="B24" t="str">
            <v>201-07</v>
          </cell>
          <cell r="C24" t="str">
            <v>201-07P</v>
          </cell>
          <cell r="D24" t="str">
            <v xml:space="preserve">REMOCION DE ESPECIES VEGETALES    </v>
          </cell>
          <cell r="E24" t="str">
            <v>U</v>
          </cell>
          <cell r="F24">
            <v>347417</v>
          </cell>
          <cell r="G24" t="str">
            <v>3.6.1.3.47</v>
          </cell>
          <cell r="H24" t="str">
            <v>3.6.1.3.47</v>
          </cell>
        </row>
        <row r="25">
          <cell r="A25" t="str">
            <v>201.13 Y 201.17</v>
          </cell>
          <cell r="B25" t="str">
            <v>201-07</v>
          </cell>
          <cell r="D25" t="str">
            <v>REMOCION DE OBSTACULOS</v>
          </cell>
          <cell r="E25" t="str">
            <v>U Y ML</v>
          </cell>
          <cell r="F25">
            <v>55620</v>
          </cell>
          <cell r="H25" t="e">
            <v>#N/A</v>
          </cell>
        </row>
        <row r="26">
          <cell r="B26" t="str">
            <v>201-07</v>
          </cell>
          <cell r="D26" t="str">
            <v xml:space="preserve">REMOCION SERVICIOS EXISTENTES    </v>
          </cell>
          <cell r="E26" t="str">
            <v>U</v>
          </cell>
          <cell r="F26">
            <v>0</v>
          </cell>
          <cell r="H26" t="e">
            <v>#N/A</v>
          </cell>
          <cell r="I26" t="str">
            <v>NO INCLUIDO EN ESPECIFICACIONES 2007</v>
          </cell>
        </row>
        <row r="27">
          <cell r="A27" t="str">
            <v>201.14</v>
          </cell>
          <cell r="B27" t="str">
            <v>201-07</v>
          </cell>
          <cell r="D27" t="str">
            <v xml:space="preserve">REMOCION DUCTOS DE SERVICIOS EXISTENTES </v>
          </cell>
          <cell r="E27" t="str">
            <v>ML</v>
          </cell>
          <cell r="F27">
            <v>0</v>
          </cell>
          <cell r="G27" t="str">
            <v>3.6.1.3.10</v>
          </cell>
          <cell r="H27" t="str">
            <v>3.6.1.3.9</v>
          </cell>
        </row>
        <row r="28">
          <cell r="A28" t="str">
            <v>201.15</v>
          </cell>
          <cell r="B28" t="str">
            <v>201-07</v>
          </cell>
          <cell r="D28" t="str">
            <v>REMOCION DE ALCANTARILLAS</v>
          </cell>
          <cell r="E28" t="str">
            <v>ML</v>
          </cell>
          <cell r="F28">
            <v>46848</v>
          </cell>
          <cell r="G28" t="str">
            <v>3.2.1.9.38</v>
          </cell>
          <cell r="H28" t="str">
            <v>3.6.1.3</v>
          </cell>
        </row>
        <row r="29">
          <cell r="A29" t="str">
            <v>201.16</v>
          </cell>
          <cell r="B29" t="str">
            <v>201-07</v>
          </cell>
          <cell r="D29" t="str">
            <v xml:space="preserve">REMOCION DE CERCAS DE ALAMBRE       </v>
          </cell>
          <cell r="E29" t="str">
            <v>ML</v>
          </cell>
          <cell r="F29">
            <v>12206</v>
          </cell>
          <cell r="H29" t="str">
            <v>3.6.1.3</v>
          </cell>
        </row>
        <row r="30">
          <cell r="A30" t="str">
            <v>201.18</v>
          </cell>
          <cell r="B30" t="str">
            <v>201-07</v>
          </cell>
          <cell r="D30" t="str">
            <v xml:space="preserve">TRASLADO DE POSTES. </v>
          </cell>
          <cell r="E30" t="str">
            <v>UN</v>
          </cell>
          <cell r="F30">
            <v>4881</v>
          </cell>
          <cell r="H30" t="str">
            <v>3.6.1.3.1</v>
          </cell>
        </row>
        <row r="31">
          <cell r="A31" t="str">
            <v>201.19</v>
          </cell>
          <cell r="B31" t="str">
            <v>201-07</v>
          </cell>
          <cell r="D31" t="str">
            <v xml:space="preserve">TRASLADO DE TORRES. </v>
          </cell>
          <cell r="E31" t="str">
            <v>UN</v>
          </cell>
          <cell r="F31">
            <v>4881</v>
          </cell>
          <cell r="H31" t="str">
            <v>3.6.1.3</v>
          </cell>
        </row>
        <row r="32">
          <cell r="A32" t="str">
            <v>201.2</v>
          </cell>
          <cell r="B32" t="str">
            <v>201-07</v>
          </cell>
          <cell r="D32" t="str">
            <v>REMOCION DE RIELES</v>
          </cell>
          <cell r="E32" t="str">
            <v>ML</v>
          </cell>
          <cell r="F32">
            <v>46848</v>
          </cell>
          <cell r="H32" t="str">
            <v>3.6.1.3.11</v>
          </cell>
        </row>
        <row r="33">
          <cell r="A33" t="str">
            <v>201.21</v>
          </cell>
          <cell r="B33" t="str">
            <v>201-07</v>
          </cell>
          <cell r="D33" t="str">
            <v>REMOCION DE DEFENSAS METALICAS</v>
          </cell>
          <cell r="E33" t="str">
            <v>ML</v>
          </cell>
          <cell r="F33">
            <v>46848</v>
          </cell>
          <cell r="H33" t="str">
            <v>3.6.1.3</v>
          </cell>
        </row>
        <row r="34">
          <cell r="A34" t="str">
            <v>201.22</v>
          </cell>
          <cell r="B34" t="str">
            <v>201-07</v>
          </cell>
          <cell r="D34" t="str">
            <v>REMOCION DE BARRERAS DE SEGURIDAD</v>
          </cell>
          <cell r="E34" t="str">
            <v>ML</v>
          </cell>
          <cell r="F34">
            <v>46848</v>
          </cell>
          <cell r="H34" t="str">
            <v>3.6.1.3.13</v>
          </cell>
        </row>
        <row r="35">
          <cell r="A35" t="str">
            <v>210.1.1</v>
          </cell>
          <cell r="B35" t="str">
            <v>210-07</v>
          </cell>
          <cell r="D35" t="str">
            <v>EXCAVACIÓN EN MATERIAL COMÚN DE LA EXPLANACIÓN Y CANALES</v>
          </cell>
          <cell r="E35" t="str">
            <v>M³</v>
          </cell>
          <cell r="F35">
            <v>4165</v>
          </cell>
          <cell r="G35" t="str">
            <v>3.6.2.1.1</v>
          </cell>
          <cell r="H35" t="str">
            <v xml:space="preserve">3.6.2.1.1 </v>
          </cell>
          <cell r="I35" t="str">
            <v>EXCAVACIÓN EN MATERIAL COMÚN DE LA EXPLANACIÓN Y CANALES</v>
          </cell>
        </row>
        <row r="36">
          <cell r="A36" t="str">
            <v>210.1.2</v>
          </cell>
          <cell r="B36" t="str">
            <v>210-07</v>
          </cell>
          <cell r="D36" t="str">
            <v>EXCAVACION SIN CLASIFICAR DE PRESTAMOS</v>
          </cell>
          <cell r="E36" t="str">
            <v>M³</v>
          </cell>
          <cell r="F36">
            <v>3408</v>
          </cell>
          <cell r="H36" t="str">
            <v>3.6.2.1.3 </v>
          </cell>
        </row>
        <row r="37">
          <cell r="A37" t="str">
            <v>210.2.1</v>
          </cell>
          <cell r="B37" t="str">
            <v>210-07</v>
          </cell>
          <cell r="D37" t="str">
            <v>EXCAVACION EN ROCA DE LA EXPLANACION Y CANALES</v>
          </cell>
          <cell r="E37" t="str">
            <v>M³</v>
          </cell>
          <cell r="F37">
            <v>12426</v>
          </cell>
          <cell r="G37" t="str">
            <v>3.6.2.1.3</v>
          </cell>
          <cell r="H37" t="str">
            <v>3.6.2.1.3</v>
          </cell>
        </row>
        <row r="38">
          <cell r="A38" t="str">
            <v>210.2.2</v>
          </cell>
          <cell r="B38" t="str">
            <v>210-07</v>
          </cell>
          <cell r="D38" t="str">
            <v xml:space="preserve">EXCAVACION EN MATERIAL COMUN DE LA EXPLANACION Y CANALES </v>
          </cell>
          <cell r="E38" t="str">
            <v>M³</v>
          </cell>
          <cell r="F38">
            <v>3748</v>
          </cell>
          <cell r="G38" t="str">
            <v>3.6.2.1.5</v>
          </cell>
          <cell r="H38" t="str">
            <v>3.6.2.1.5</v>
          </cell>
        </row>
        <row r="39">
          <cell r="A39" t="str">
            <v>210.2.3</v>
          </cell>
          <cell r="B39" t="str">
            <v>210-07</v>
          </cell>
          <cell r="D39" t="str">
            <v>EXCAVACION EN ROCA DE PRESTAMOS</v>
          </cell>
          <cell r="E39" t="str">
            <v>M³</v>
          </cell>
          <cell r="F39">
            <v>9874</v>
          </cell>
          <cell r="H39" t="str">
            <v>3.6.2.1.5</v>
          </cell>
        </row>
        <row r="40">
          <cell r="A40" t="str">
            <v>210.2.4</v>
          </cell>
          <cell r="B40" t="str">
            <v>210-07</v>
          </cell>
          <cell r="D40" t="str">
            <v>EXCAVACION EN MATERIAL COMUN DE PRESTAMOS</v>
          </cell>
          <cell r="E40" t="str">
            <v>M³</v>
          </cell>
          <cell r="F40">
            <v>3124</v>
          </cell>
          <cell r="H40" t="str">
            <v>3.6.2.1.5</v>
          </cell>
        </row>
        <row r="41">
          <cell r="A41" t="str">
            <v>210.2 OTRA</v>
          </cell>
          <cell r="B41" t="str">
            <v>210-07</v>
          </cell>
          <cell r="D41" t="str">
            <v xml:space="preserve"> EXCAVACION EN ROCA DE LA EXPLANACION Y CANALES (sin explosivos)        </v>
          </cell>
          <cell r="E41" t="str">
            <v>M³</v>
          </cell>
          <cell r="F41">
            <v>12342</v>
          </cell>
          <cell r="G41" t="str">
            <v>3.6.2.1.3</v>
          </cell>
          <cell r="H41" t="str">
            <v>3.6.1.3.11</v>
          </cell>
        </row>
        <row r="42">
          <cell r="A42" t="str">
            <v>211.1</v>
          </cell>
          <cell r="B42" t="str">
            <v>211-07</v>
          </cell>
          <cell r="D42" t="str">
            <v>REMOCION DE DERRUMBES</v>
          </cell>
          <cell r="E42" t="str">
            <v>M³</v>
          </cell>
          <cell r="F42">
            <v>4990</v>
          </cell>
          <cell r="G42" t="str">
            <v>3.6.2.2.1</v>
          </cell>
          <cell r="H42" t="str">
            <v xml:space="preserve">3.6.2.2.1  </v>
          </cell>
        </row>
        <row r="43">
          <cell r="A43" t="str">
            <v>220.1</v>
          </cell>
          <cell r="B43" t="str">
            <v>220-07</v>
          </cell>
          <cell r="D43" t="str">
            <v>TERRAPLEN</v>
          </cell>
          <cell r="E43" t="str">
            <v>M³</v>
          </cell>
          <cell r="F43">
            <v>7138</v>
          </cell>
          <cell r="G43" t="str">
            <v>3.6.2.3.1</v>
          </cell>
          <cell r="H43" t="str">
            <v>3.6.2.3.1</v>
          </cell>
        </row>
        <row r="44">
          <cell r="A44" t="str">
            <v>221.1</v>
          </cell>
          <cell r="B44" t="str">
            <v>221-07</v>
          </cell>
          <cell r="D44" t="str">
            <v>PEDRAPLEN COMPACTO</v>
          </cell>
          <cell r="E44" t="str">
            <v>M³</v>
          </cell>
          <cell r="F44">
            <v>72233</v>
          </cell>
          <cell r="G44" t="str">
            <v>3.6.2.4.2</v>
          </cell>
          <cell r="H44" t="str">
            <v>3.6.2.4.2</v>
          </cell>
        </row>
        <row r="45">
          <cell r="A45" t="str">
            <v>221.2</v>
          </cell>
          <cell r="B45" t="str">
            <v>221-07</v>
          </cell>
          <cell r="D45" t="str">
            <v>PEDRAPLEN SUELTO</v>
          </cell>
          <cell r="E45" t="str">
            <v>M³</v>
          </cell>
          <cell r="F45">
            <v>69548</v>
          </cell>
          <cell r="G45" t="str">
            <v>3.6.2.4.1</v>
          </cell>
          <cell r="H45" t="str">
            <v>3.6.2.4.1</v>
          </cell>
        </row>
        <row r="46">
          <cell r="A46" t="str">
            <v>225P</v>
          </cell>
          <cell r="B46" t="str">
            <v>225-07</v>
          </cell>
          <cell r="D46" t="str">
            <v xml:space="preserve">CONFORMACION DE BOTADERO O ESCOMBRERAS </v>
          </cell>
          <cell r="E46" t="str">
            <v>M³</v>
          </cell>
          <cell r="F46">
            <v>3357</v>
          </cell>
          <cell r="H46" t="str">
            <v>3.2.8.1.1 </v>
          </cell>
        </row>
        <row r="47">
          <cell r="A47" t="str">
            <v>230.1</v>
          </cell>
          <cell r="B47" t="str">
            <v>230-07</v>
          </cell>
          <cell r="D47" t="str">
            <v>MEJORAMIENTO DE LA SUBRASANTE INVOLUCRA SUELO EXISTENTE</v>
          </cell>
          <cell r="E47" t="str">
            <v>M²</v>
          </cell>
          <cell r="F47">
            <v>362</v>
          </cell>
          <cell r="G47" t="str">
            <v>3.6.2.5.1</v>
          </cell>
          <cell r="H47" t="str">
            <v>3.6.2.5.1</v>
          </cell>
        </row>
        <row r="48">
          <cell r="A48" t="str">
            <v>230.2</v>
          </cell>
          <cell r="B48" t="str">
            <v>230-07</v>
          </cell>
          <cell r="D48" t="str">
            <v>MEJORAMIENTO DE LA SUBRASANTE EMPLEANDO UNICAMENTE MATERIAL ADICIONADO</v>
          </cell>
          <cell r="E48" t="str">
            <v>M³</v>
          </cell>
          <cell r="F48">
            <v>14490</v>
          </cell>
          <cell r="G48" t="str">
            <v>3.6.2.5.2</v>
          </cell>
          <cell r="H48" t="str">
            <v>3.6.2.5.2</v>
          </cell>
        </row>
        <row r="49">
          <cell r="A49" t="str">
            <v>231.1</v>
          </cell>
          <cell r="B49" t="str">
            <v>231-07</v>
          </cell>
          <cell r="D49" t="str">
            <v>GEOTEXTIL PARA SEPARACION DE SUELOS DE SUBRASANTE Y CAPAS GRANULARES</v>
          </cell>
          <cell r="E49" t="str">
            <v>M²</v>
          </cell>
          <cell r="F49">
            <v>6465</v>
          </cell>
          <cell r="G49" t="str">
            <v>3.6.8.2.6</v>
          </cell>
          <cell r="H49" t="str">
            <v>3.6.8.2 </v>
          </cell>
        </row>
        <row r="50">
          <cell r="A50" t="str">
            <v>232.1</v>
          </cell>
          <cell r="B50" t="str">
            <v>232-07</v>
          </cell>
          <cell r="D50" t="str">
            <v>GEOTEXTIL PARA ESTABILIZACION DE SUELOS DE SUBRASANTE Y CAPAS GRANULARES</v>
          </cell>
          <cell r="E50" t="str">
            <v>M²</v>
          </cell>
          <cell r="F50">
            <v>6465</v>
          </cell>
          <cell r="G50" t="str">
            <v>3.6.8.2.6</v>
          </cell>
          <cell r="H50" t="str">
            <v>3.6.8.2 </v>
          </cell>
        </row>
        <row r="51">
          <cell r="A51" t="str">
            <v>234.1</v>
          </cell>
          <cell r="B51" t="str">
            <v>234-07</v>
          </cell>
          <cell r="D51" t="str">
            <v>AFINAMIENTO DE TALUDES</v>
          </cell>
          <cell r="E51" t="str">
            <v>M²</v>
          </cell>
          <cell r="F51">
            <v>6391</v>
          </cell>
          <cell r="H51" t="str">
            <v>3.6.8.2 </v>
          </cell>
        </row>
        <row r="52">
          <cell r="A52" t="str">
            <v>310.1</v>
          </cell>
          <cell r="B52" t="str">
            <v>310-07</v>
          </cell>
          <cell r="D52" t="str">
            <v>CONFORMACION DE LA CALZADA EXISTENTE</v>
          </cell>
          <cell r="E52" t="str">
            <v>M²</v>
          </cell>
          <cell r="F52">
            <v>483</v>
          </cell>
          <cell r="G52" t="str">
            <v>3.6.3.1.1</v>
          </cell>
          <cell r="H52" t="str">
            <v>3.6.3.1.1</v>
          </cell>
        </row>
        <row r="53">
          <cell r="A53" t="str">
            <v>311.1</v>
          </cell>
          <cell r="B53" t="str">
            <v>311-07</v>
          </cell>
          <cell r="D53" t="str">
            <v>AFIRMADO</v>
          </cell>
          <cell r="E53" t="str">
            <v>M³</v>
          </cell>
          <cell r="F53">
            <v>102262</v>
          </cell>
          <cell r="G53" t="str">
            <v>3.6.3.2.1</v>
          </cell>
          <cell r="H53" t="str">
            <v>3.6.3.2.1</v>
          </cell>
        </row>
        <row r="54">
          <cell r="A54" t="str">
            <v>311.1P1</v>
          </cell>
          <cell r="B54" t="str">
            <v>311-07</v>
          </cell>
          <cell r="D54" t="str">
            <v>AFIRMADO ESTABILIZADO CON CEMENTO</v>
          </cell>
          <cell r="E54" t="str">
            <v>M³</v>
          </cell>
          <cell r="F54">
            <v>70116</v>
          </cell>
          <cell r="G54" t="str">
            <v>3.6.3.3.23</v>
          </cell>
          <cell r="H54" t="str">
            <v>3.6.3.2</v>
          </cell>
        </row>
        <row r="55">
          <cell r="A55" t="str">
            <v>311.1P2</v>
          </cell>
          <cell r="B55" t="str">
            <v>311-07</v>
          </cell>
          <cell r="D55" t="str">
            <v>AFIRMADO ESTABILIZADO CON CAL</v>
          </cell>
          <cell r="E55" t="str">
            <v>M³</v>
          </cell>
          <cell r="F55">
            <v>116916</v>
          </cell>
          <cell r="G55" t="str">
            <v>3.6.3.3.17</v>
          </cell>
          <cell r="H55" t="str">
            <v>3.6.3.2</v>
          </cell>
        </row>
        <row r="56">
          <cell r="A56" t="str">
            <v>311.1P3</v>
          </cell>
          <cell r="B56" t="str">
            <v>311-07</v>
          </cell>
          <cell r="D56" t="str">
            <v>BACHEO DE CARRETERAS EN AFIRMADO</v>
          </cell>
          <cell r="E56" t="str">
            <v>M³</v>
          </cell>
          <cell r="F56">
            <v>93618</v>
          </cell>
          <cell r="H56" t="str">
            <v>3.6.3.2</v>
          </cell>
        </row>
        <row r="57">
          <cell r="A57" t="str">
            <v>312.1</v>
          </cell>
          <cell r="B57" t="str">
            <v>312-07</v>
          </cell>
          <cell r="D57" t="str">
            <v>TRATAMIENTO PALIATIVO DE POLVO APLICADO EN FORMA SOLIDA EN HOJUELAS</v>
          </cell>
          <cell r="E57" t="str">
            <v>KG</v>
          </cell>
          <cell r="F57">
            <v>671</v>
          </cell>
          <cell r="H57" t="str">
            <v>3.6.3.2</v>
          </cell>
        </row>
        <row r="58">
          <cell r="A58" t="str">
            <v>312.2</v>
          </cell>
          <cell r="B58" t="str">
            <v>312-07</v>
          </cell>
          <cell r="D58" t="str">
            <v>TRATAMIENTO PALIATIVO DE POLVO APLICADO EN FORMA SOLIDA EN ESFERAS</v>
          </cell>
          <cell r="E58" t="str">
            <v>KG</v>
          </cell>
          <cell r="F58">
            <v>671</v>
          </cell>
          <cell r="H58" t="str">
            <v>3.6.3.2</v>
          </cell>
        </row>
        <row r="59">
          <cell r="A59" t="str">
            <v>312.3</v>
          </cell>
          <cell r="B59" t="str">
            <v>312-07</v>
          </cell>
          <cell r="D59" t="str">
            <v>TRATAMIENTO PALIATIVO DE POLVO APLICADO EN FORMA LIQUIDA</v>
          </cell>
          <cell r="E59" t="str">
            <v>LT</v>
          </cell>
          <cell r="F59">
            <v>670</v>
          </cell>
          <cell r="H59" t="str">
            <v>3.6.3.2</v>
          </cell>
        </row>
        <row r="60">
          <cell r="A60" t="str">
            <v>312.4</v>
          </cell>
          <cell r="B60" t="str">
            <v>312-07</v>
          </cell>
          <cell r="D60" t="str">
            <v>MATERIAL GRANULAR DE ADICION</v>
          </cell>
          <cell r="E60" t="str">
            <v>M³</v>
          </cell>
          <cell r="F60">
            <v>46102</v>
          </cell>
          <cell r="H60" t="str">
            <v>3.6.3.3</v>
          </cell>
        </row>
        <row r="61">
          <cell r="A61" t="str">
            <v>320.1</v>
          </cell>
          <cell r="B61" t="str">
            <v>320-07</v>
          </cell>
          <cell r="D61" t="str">
            <v>SUBBASE GRANULAR</v>
          </cell>
          <cell r="E61" t="str">
            <v>M³</v>
          </cell>
          <cell r="F61">
            <v>130375</v>
          </cell>
          <cell r="G61" t="str">
            <v>3.6.3.4.2</v>
          </cell>
          <cell r="H61" t="str">
            <v xml:space="preserve"> 3.6.3.4.2</v>
          </cell>
        </row>
        <row r="62">
          <cell r="A62" t="str">
            <v>320.1P1</v>
          </cell>
          <cell r="B62" t="str">
            <v>320-07</v>
          </cell>
          <cell r="D62" t="str">
            <v>SUBBASE GRANULAR CBR&gt;30%</v>
          </cell>
          <cell r="E62" t="str">
            <v>M³</v>
          </cell>
          <cell r="F62">
            <v>133332</v>
          </cell>
          <cell r="G62" t="str">
            <v>3.6.3.4.3</v>
          </cell>
          <cell r="H62" t="e">
            <v>#N/A</v>
          </cell>
          <cell r="I62" t="str">
            <v>NO INCLUIDO EN ESPECIFICACIONES 2007</v>
          </cell>
        </row>
        <row r="63">
          <cell r="A63" t="str">
            <v>320.1P2</v>
          </cell>
          <cell r="B63" t="str">
            <v>320-07</v>
          </cell>
          <cell r="D63" t="str">
            <v>SUBBASE GRANULAR CBR&gt;40%</v>
          </cell>
          <cell r="E63" t="str">
            <v>M³</v>
          </cell>
          <cell r="F63">
            <v>134600</v>
          </cell>
          <cell r="G63" t="str">
            <v>3.6.3.4.4</v>
          </cell>
          <cell r="H63" t="e">
            <v>#N/A</v>
          </cell>
          <cell r="I63" t="str">
            <v>NO INCLUIDO EN ESPECIFICACIONES 2007</v>
          </cell>
        </row>
        <row r="64">
          <cell r="A64" t="str">
            <v>320.2</v>
          </cell>
          <cell r="B64" t="str">
            <v>320-07</v>
          </cell>
          <cell r="D64" t="str">
            <v>SUBBASE GRANULAR PARA BACHEO</v>
          </cell>
          <cell r="E64" t="str">
            <v>M³</v>
          </cell>
          <cell r="F64">
            <v>192872</v>
          </cell>
          <cell r="G64" t="str">
            <v>3.6.3.4.7</v>
          </cell>
          <cell r="H64" t="str">
            <v>3.6.3.4.4</v>
          </cell>
        </row>
        <row r="65">
          <cell r="A65" t="str">
            <v>330.1</v>
          </cell>
          <cell r="B65" t="str">
            <v>330-07</v>
          </cell>
          <cell r="D65" t="str">
            <v>BASE GRANULAR</v>
          </cell>
          <cell r="E65" t="str">
            <v>M³</v>
          </cell>
          <cell r="F65">
            <v>156587</v>
          </cell>
          <cell r="G65" t="str">
            <v>3.6.3.6.1</v>
          </cell>
          <cell r="H65" t="str">
            <v>3.6.3.6.2</v>
          </cell>
        </row>
        <row r="66">
          <cell r="A66" t="str">
            <v>330.2</v>
          </cell>
          <cell r="B66" t="str">
            <v>330-07</v>
          </cell>
          <cell r="D66" t="str">
            <v>BASE GRANULAR PARA BACHEO</v>
          </cell>
          <cell r="E66" t="str">
            <v>M³</v>
          </cell>
          <cell r="F66">
            <v>173223</v>
          </cell>
          <cell r="G66" t="str">
            <v>3.6.3.6.3</v>
          </cell>
          <cell r="H66" t="str">
            <v>3.6.3.6.3</v>
          </cell>
        </row>
        <row r="67">
          <cell r="A67" t="str">
            <v>340.1</v>
          </cell>
          <cell r="B67" t="str">
            <v>340-07</v>
          </cell>
          <cell r="D67" t="str">
            <v>BASE ESTABILIZADA CON EMULSION ASFALTICA BEE-1</v>
          </cell>
          <cell r="E67" t="str">
            <v>M³</v>
          </cell>
          <cell r="F67">
            <v>188974</v>
          </cell>
          <cell r="G67" t="str">
            <v>3.6.3.7.2</v>
          </cell>
          <cell r="H67" t="str">
            <v>3.6.3.7.1</v>
          </cell>
        </row>
        <row r="68">
          <cell r="A68" t="str">
            <v>340.2</v>
          </cell>
          <cell r="B68" t="str">
            <v>340-07</v>
          </cell>
          <cell r="D68" t="str">
            <v>BASE ESTABILIZADA CON EMULSION ASFALTICA BEE-2</v>
          </cell>
          <cell r="E68" t="str">
            <v>M³</v>
          </cell>
          <cell r="F68">
            <v>192729</v>
          </cell>
          <cell r="H68" t="str">
            <v>3.6.3.7.3</v>
          </cell>
        </row>
        <row r="69">
          <cell r="A69" t="str">
            <v>340.3</v>
          </cell>
          <cell r="B69" t="str">
            <v>340-07</v>
          </cell>
          <cell r="D69" t="str">
            <v>BASE ESTABILIZADA CON EMULSION ASFALTICA BEE-3</v>
          </cell>
          <cell r="E69" t="str">
            <v>M³</v>
          </cell>
          <cell r="F69">
            <v>177246</v>
          </cell>
          <cell r="H69" t="str">
            <v>3.6.3.7.5</v>
          </cell>
        </row>
        <row r="70">
          <cell r="A70" t="str">
            <v>341.1</v>
          </cell>
          <cell r="B70" t="str">
            <v>341-07</v>
          </cell>
          <cell r="D70" t="str">
            <v>BASE ESTABILIZADA CON CEMENTO PORTLAND</v>
          </cell>
          <cell r="E70" t="str">
            <v>M³</v>
          </cell>
          <cell r="F70">
            <v>72856</v>
          </cell>
          <cell r="H70" t="str">
            <v>3.6.3.7</v>
          </cell>
        </row>
        <row r="71">
          <cell r="A71" t="str">
            <v>341.2</v>
          </cell>
          <cell r="B71" t="str">
            <v>341-07</v>
          </cell>
          <cell r="D71" t="str">
            <v>CEMENTO PORTLAND</v>
          </cell>
          <cell r="E71" t="str">
            <v>KG</v>
          </cell>
          <cell r="F71">
            <v>520</v>
          </cell>
          <cell r="H71" t="str">
            <v>3.6.4.1.8</v>
          </cell>
        </row>
        <row r="72">
          <cell r="A72" t="str">
            <v>342.1</v>
          </cell>
          <cell r="B72" t="str">
            <v>342-07</v>
          </cell>
          <cell r="D72" t="str">
            <v>BASE DE CONCRETO HIDRAULICO</v>
          </cell>
          <cell r="E72" t="str">
            <v>M³</v>
          </cell>
          <cell r="F72">
            <v>542844</v>
          </cell>
          <cell r="H72" t="str">
            <v>3.6.4.1</v>
          </cell>
        </row>
        <row r="73">
          <cell r="A73" t="str">
            <v>342.1P</v>
          </cell>
          <cell r="B73" t="str">
            <v>342-07</v>
          </cell>
          <cell r="D73" t="str">
            <v>BASE GRANULAR ESTABILIZADA CON CAL</v>
          </cell>
          <cell r="E73" t="str">
            <v>M³</v>
          </cell>
          <cell r="F73">
            <v>157152</v>
          </cell>
          <cell r="H73" t="e">
            <v>#N/A</v>
          </cell>
        </row>
        <row r="74">
          <cell r="A74" t="str">
            <v>410.1</v>
          </cell>
          <cell r="B74" t="str">
            <v>410-07</v>
          </cell>
          <cell r="D74" t="str">
            <v>CEMENTO ASFALTICO DE PENETRACION 60-70</v>
          </cell>
          <cell r="E74" t="str">
            <v>KG</v>
          </cell>
          <cell r="F74">
            <v>1365</v>
          </cell>
          <cell r="H74" t="str">
            <v>3.6.4.1.1</v>
          </cell>
        </row>
        <row r="75">
          <cell r="A75" t="str">
            <v>410.2</v>
          </cell>
          <cell r="B75" t="str">
            <v>410-07</v>
          </cell>
          <cell r="D75" t="str">
            <v>CEMENTO ASFALTICO DE PENETRACION 80-100</v>
          </cell>
          <cell r="E75" t="str">
            <v>KG</v>
          </cell>
          <cell r="F75">
            <v>1362</v>
          </cell>
          <cell r="H75" t="str">
            <v>3.6.4.1.2</v>
          </cell>
        </row>
        <row r="76">
          <cell r="A76" t="str">
            <v>411.1</v>
          </cell>
          <cell r="B76" t="str">
            <v>411-07</v>
          </cell>
          <cell r="D76" t="str">
            <v>EMULSION ASFALTICA DE ROTURA MEDIA CRM</v>
          </cell>
          <cell r="E76" t="str">
            <v>LT</v>
          </cell>
          <cell r="F76">
            <v>1570</v>
          </cell>
          <cell r="H76" t="str">
            <v>3.6.4.2.1</v>
          </cell>
        </row>
        <row r="77">
          <cell r="A77" t="str">
            <v>411.2</v>
          </cell>
          <cell r="B77" t="str">
            <v>411-07</v>
          </cell>
          <cell r="D77" t="str">
            <v>EMULSION ASFALTICA DE ROTURA LENTA CRL-1</v>
          </cell>
          <cell r="E77" t="str">
            <v>LT</v>
          </cell>
          <cell r="F77">
            <v>1638</v>
          </cell>
          <cell r="H77" t="str">
            <v>3.6.4.2.2</v>
          </cell>
        </row>
        <row r="78">
          <cell r="A78" t="str">
            <v>411.3</v>
          </cell>
          <cell r="B78" t="str">
            <v>411-07</v>
          </cell>
          <cell r="D78" t="str">
            <v>EMULSION ASFALTICA DE ROTURA LENTA CRL-1H</v>
          </cell>
          <cell r="E78" t="str">
            <v>LT</v>
          </cell>
          <cell r="F78">
            <v>1802</v>
          </cell>
          <cell r="H78" t="str">
            <v>3.6.4.2.3</v>
          </cell>
        </row>
        <row r="79">
          <cell r="A79" t="str">
            <v>414.1</v>
          </cell>
          <cell r="B79" t="str">
            <v>414-07</v>
          </cell>
          <cell r="D79" t="str">
            <v>CEMENTO ASFALTICO MODIFICADO CON POLIMEROS TIPO 1</v>
          </cell>
          <cell r="E79" t="str">
            <v>KG</v>
          </cell>
          <cell r="F79">
            <v>2241</v>
          </cell>
          <cell r="H79" t="str">
            <v>3.6.4.1.3</v>
          </cell>
        </row>
        <row r="80">
          <cell r="A80" t="str">
            <v>414.2</v>
          </cell>
          <cell r="B80" t="str">
            <v>414-07</v>
          </cell>
          <cell r="D80" t="str">
            <v>CEMENTO ASFALTICO MODIFICADO CON POLIMEROS TIPO 2</v>
          </cell>
          <cell r="E80" t="str">
            <v>KG</v>
          </cell>
          <cell r="F80">
            <v>2254</v>
          </cell>
          <cell r="H80" t="str">
            <v>3.6.4.1.4</v>
          </cell>
        </row>
        <row r="81">
          <cell r="A81" t="str">
            <v>414.3</v>
          </cell>
          <cell r="B81" t="str">
            <v>414-07</v>
          </cell>
          <cell r="D81" t="str">
            <v>CEMENTO ASFALTICO MODIFICADO CON POLIMEROS TIPO 3</v>
          </cell>
          <cell r="E81" t="str">
            <v>KG</v>
          </cell>
          <cell r="F81">
            <v>2321</v>
          </cell>
          <cell r="H81" t="str">
            <v>3.6.4.1.5</v>
          </cell>
        </row>
        <row r="82">
          <cell r="A82" t="str">
            <v>414.4</v>
          </cell>
          <cell r="B82" t="str">
            <v>414-07</v>
          </cell>
          <cell r="D82" t="str">
            <v>CEMENTO ASFALTICO MODIFICADO CON POLIMEROS TIPO 4</v>
          </cell>
          <cell r="E82" t="str">
            <v>KG</v>
          </cell>
          <cell r="F82">
            <v>2387</v>
          </cell>
          <cell r="H82" t="str">
            <v>3.6.4.1.6</v>
          </cell>
        </row>
        <row r="83">
          <cell r="A83" t="str">
            <v>414.5</v>
          </cell>
          <cell r="B83" t="str">
            <v>414-07</v>
          </cell>
          <cell r="D83" t="str">
            <v>CEMENTO ASFALTICO MODIFICADO CON POLIMEROS TIPO 5</v>
          </cell>
          <cell r="E83" t="str">
            <v>KG</v>
          </cell>
          <cell r="F83">
            <v>2387</v>
          </cell>
          <cell r="H83" t="str">
            <v>3.6.4.1</v>
          </cell>
        </row>
        <row r="84">
          <cell r="A84" t="str">
            <v>415.1</v>
          </cell>
          <cell r="B84" t="str">
            <v>415-07</v>
          </cell>
          <cell r="D84" t="str">
            <v>EMULSION ASFALTICA DE ROTURA MEDIA MODIFICADA CON POLIMEROS CRMm</v>
          </cell>
          <cell r="E84" t="str">
            <v>LT</v>
          </cell>
          <cell r="F84">
            <v>2188</v>
          </cell>
          <cell r="H84" t="str">
            <v>3.6.4.2.5</v>
          </cell>
        </row>
        <row r="85">
          <cell r="A85" t="str">
            <v>420.1</v>
          </cell>
          <cell r="B85" t="str">
            <v>420-07</v>
          </cell>
          <cell r="D85" t="str">
            <v>RIEGO DE IMPRIMACION CON EMULSION ASFALTICA</v>
          </cell>
          <cell r="E85" t="str">
            <v>M²</v>
          </cell>
          <cell r="F85">
            <v>2026</v>
          </cell>
          <cell r="G85" t="str">
            <v>3.6.4.3.1</v>
          </cell>
          <cell r="H85" t="str">
            <v xml:space="preserve">3.6.4.3.1 </v>
          </cell>
        </row>
        <row r="86">
          <cell r="A86" t="str">
            <v>420.2</v>
          </cell>
          <cell r="B86" t="str">
            <v>420-07</v>
          </cell>
          <cell r="D86" t="str">
            <v>RIEGO DE IMPRIMACION CON ASFALTO LIQUIDO</v>
          </cell>
          <cell r="E86" t="str">
            <v>M²</v>
          </cell>
          <cell r="F86">
            <v>2416</v>
          </cell>
          <cell r="H86" t="str">
            <v>3.6.4.3.2</v>
          </cell>
        </row>
        <row r="87">
          <cell r="A87" t="str">
            <v>421.1</v>
          </cell>
          <cell r="B87" t="str">
            <v>421-07</v>
          </cell>
          <cell r="D87" t="str">
            <v>RIEGO DE LIGA CON EMULSION ASFALTICA CRR-1</v>
          </cell>
          <cell r="E87" t="str">
            <v>M²</v>
          </cell>
          <cell r="F87">
            <v>1158</v>
          </cell>
          <cell r="G87" t="str">
            <v>3.6.4.4.2</v>
          </cell>
          <cell r="H87" t="str">
            <v>3.6.4.4.2</v>
          </cell>
        </row>
        <row r="88">
          <cell r="A88" t="str">
            <v>421.2</v>
          </cell>
          <cell r="B88" t="str">
            <v>421-07</v>
          </cell>
          <cell r="D88" t="str">
            <v>RIEGO DE LIGA CON EMULSION ASFALTICA CRR-2</v>
          </cell>
          <cell r="E88" t="str">
            <v>M²</v>
          </cell>
          <cell r="F88">
            <v>1158</v>
          </cell>
          <cell r="G88" t="str">
            <v>3.6.4.4.3</v>
          </cell>
          <cell r="H88" t="str">
            <v>3.6.4.4.3</v>
          </cell>
        </row>
        <row r="89">
          <cell r="A89" t="str">
            <v>421.3</v>
          </cell>
          <cell r="B89" t="str">
            <v>421-07</v>
          </cell>
          <cell r="D89" t="str">
            <v>RIEGO DE LIGA CON EMULSION MODIFICADA CON POLIMEROS CRR-1M</v>
          </cell>
          <cell r="E89" t="str">
            <v>M²</v>
          </cell>
          <cell r="F89">
            <v>1301</v>
          </cell>
          <cell r="G89" t="str">
            <v>3.6.4.4.4</v>
          </cell>
          <cell r="H89" t="str">
            <v>3.6.4.4.4</v>
          </cell>
        </row>
        <row r="90">
          <cell r="A90" t="str">
            <v>421.4</v>
          </cell>
          <cell r="B90" t="str">
            <v>421-07</v>
          </cell>
          <cell r="D90" t="str">
            <v>RIEGO DE LIGA CON EMULSION MODIFICADA CON POLIMEROS CRR-2M</v>
          </cell>
          <cell r="E90" t="str">
            <v>M²</v>
          </cell>
          <cell r="F90">
            <v>1301</v>
          </cell>
          <cell r="G90" t="str">
            <v>3.6.4.4.5</v>
          </cell>
          <cell r="H90" t="str">
            <v>3.6.4.4.5</v>
          </cell>
        </row>
        <row r="91">
          <cell r="A91" t="str">
            <v>430.1</v>
          </cell>
          <cell r="B91" t="str">
            <v>430-07</v>
          </cell>
          <cell r="D91" t="str">
            <v>TRATAMIENTO SUPERFICIAL SIMPLE CON EMULSION CRR-2</v>
          </cell>
          <cell r="E91" t="str">
            <v>M²</v>
          </cell>
          <cell r="F91">
            <v>5912</v>
          </cell>
          <cell r="G91" t="str">
            <v>3.6.4.5.1</v>
          </cell>
          <cell r="H91" t="str">
            <v>3.6.4.5.1</v>
          </cell>
        </row>
        <row r="92">
          <cell r="A92" t="str">
            <v>430.2</v>
          </cell>
          <cell r="B92" t="str">
            <v>430-07</v>
          </cell>
          <cell r="D92" t="str">
            <v>TRATAMIENTO SUPERFICIAL SIMPLE CON EMULSION CRR-2M</v>
          </cell>
          <cell r="E92" t="str">
            <v>M²</v>
          </cell>
          <cell r="F92">
            <v>6536</v>
          </cell>
          <cell r="G92" t="str">
            <v>3.6.4.5.2</v>
          </cell>
          <cell r="H92" t="str">
            <v>3.6.4.5.2</v>
          </cell>
        </row>
        <row r="93">
          <cell r="A93" t="str">
            <v>431.1</v>
          </cell>
          <cell r="B93" t="str">
            <v>431-07</v>
          </cell>
          <cell r="D93" t="str">
            <v>TRATAMIENTO SUPERFICIAL DOBLE CON EMULSION CRR-2</v>
          </cell>
          <cell r="E93" t="str">
            <v>M²</v>
          </cell>
          <cell r="F93">
            <v>12155</v>
          </cell>
          <cell r="G93" t="str">
            <v>3.6.4.6.1</v>
          </cell>
          <cell r="H93" t="str">
            <v>3.6.4.6.1</v>
          </cell>
        </row>
        <row r="94">
          <cell r="A94" t="str">
            <v>431.2</v>
          </cell>
          <cell r="B94" t="str">
            <v>431-07</v>
          </cell>
          <cell r="D94" t="str">
            <v>TRATAMIENTO SUPERFICIAL DOBLE CON EMULSION CRR-2M</v>
          </cell>
          <cell r="E94" t="str">
            <v>M²</v>
          </cell>
          <cell r="F94">
            <v>13585</v>
          </cell>
          <cell r="G94" t="str">
            <v>3.6.4.6.2</v>
          </cell>
          <cell r="H94" t="str">
            <v>3.6.4.6.2</v>
          </cell>
        </row>
        <row r="95">
          <cell r="A95" t="str">
            <v>432.1</v>
          </cell>
          <cell r="B95" t="str">
            <v>432-07</v>
          </cell>
          <cell r="D95" t="str">
            <v>SELLO DE ARENA-ASFALTO CON EMULSION CRR-2</v>
          </cell>
          <cell r="E95" t="str">
            <v>M²</v>
          </cell>
          <cell r="F95">
            <v>4359</v>
          </cell>
          <cell r="H95" t="str">
            <v>3.6.4.7.1</v>
          </cell>
        </row>
        <row r="96">
          <cell r="A96" t="str">
            <v>432.2</v>
          </cell>
          <cell r="B96" t="str">
            <v>432-07</v>
          </cell>
          <cell r="D96" t="str">
            <v>SELLO DE ARENA-ASFALTO CON EMULSION CRR-2m</v>
          </cell>
          <cell r="E96" t="str">
            <v>M²</v>
          </cell>
          <cell r="F96">
            <v>4836</v>
          </cell>
          <cell r="H96" t="str">
            <v>3.6.4.7.1</v>
          </cell>
        </row>
        <row r="97">
          <cell r="A97" t="str">
            <v>433.1</v>
          </cell>
          <cell r="B97" t="str">
            <v>433-07</v>
          </cell>
          <cell r="D97" t="str">
            <v>LECHADA ASFALTICA CON EMULSION CRL-1H TIPO LA-1</v>
          </cell>
          <cell r="E97" t="str">
            <v>M²</v>
          </cell>
          <cell r="F97">
            <v>5022</v>
          </cell>
          <cell r="G97" t="str">
            <v>3.6.4.8.1</v>
          </cell>
          <cell r="H97" t="str">
            <v>3.6.4.8.1</v>
          </cell>
        </row>
        <row r="98">
          <cell r="A98" t="str">
            <v>433.2</v>
          </cell>
          <cell r="B98" t="str">
            <v>433-07</v>
          </cell>
          <cell r="D98" t="str">
            <v>LECHADA ASFALTICA CON EMULSION CRL-1H TIPO LA-2</v>
          </cell>
          <cell r="E98" t="str">
            <v>M²</v>
          </cell>
          <cell r="F98">
            <v>6553</v>
          </cell>
          <cell r="G98" t="str">
            <v>3.6.4.8.2</v>
          </cell>
          <cell r="H98" t="str">
            <v>3.6.4.8.2</v>
          </cell>
        </row>
        <row r="99">
          <cell r="A99" t="str">
            <v>433.3</v>
          </cell>
          <cell r="B99" t="str">
            <v>433-07</v>
          </cell>
          <cell r="D99" t="str">
            <v>LECHADA ASFALTICA CON EMULSION CRL-1H TIPO LA-3</v>
          </cell>
          <cell r="E99" t="str">
            <v>M²</v>
          </cell>
          <cell r="F99">
            <v>6806</v>
          </cell>
          <cell r="G99" t="str">
            <v>3.6.4.8.3</v>
          </cell>
          <cell r="H99" t="str">
            <v>3.6.4.8.3</v>
          </cell>
        </row>
        <row r="100">
          <cell r="A100" t="str">
            <v>433.4</v>
          </cell>
          <cell r="B100" t="str">
            <v>433-07</v>
          </cell>
          <cell r="D100" t="str">
            <v>LECHADA ASFALTICA CON EMULSION CRL-1H TIPO LA-4</v>
          </cell>
          <cell r="E100" t="str">
            <v>M²</v>
          </cell>
          <cell r="F100">
            <v>8085</v>
          </cell>
          <cell r="G100" t="str">
            <v>3.6.4.8.4</v>
          </cell>
          <cell r="H100" t="str">
            <v>3.6.4.8.4</v>
          </cell>
        </row>
        <row r="101">
          <cell r="A101" t="str">
            <v>433.5</v>
          </cell>
          <cell r="B101" t="str">
            <v>433-07</v>
          </cell>
          <cell r="D101" t="str">
            <v>LECHADA ASFALTICA CON EMULSION CRL-1HM TIPO LA-1</v>
          </cell>
          <cell r="E101" t="str">
            <v>M²</v>
          </cell>
          <cell r="F101">
            <v>5414</v>
          </cell>
          <cell r="G101" t="str">
            <v>3.6.4.8.5</v>
          </cell>
          <cell r="H101" t="str">
            <v>3.6.4.8.5</v>
          </cell>
        </row>
        <row r="102">
          <cell r="A102" t="str">
            <v>433.6</v>
          </cell>
          <cell r="B102" t="str">
            <v>433-07</v>
          </cell>
          <cell r="D102" t="str">
            <v>LECHADA ASFALTICA CON EMULSION CRL-1HM TIPO LA-2</v>
          </cell>
          <cell r="E102" t="str">
            <v>M²</v>
          </cell>
          <cell r="F102">
            <v>7127</v>
          </cell>
          <cell r="G102" t="str">
            <v>3.6.4.8.6</v>
          </cell>
          <cell r="H102" t="str">
            <v>3.6.4.8.6</v>
          </cell>
        </row>
        <row r="103">
          <cell r="A103" t="str">
            <v>433.7</v>
          </cell>
          <cell r="B103" t="str">
            <v>433-07</v>
          </cell>
          <cell r="D103" t="str">
            <v>LECHADA ASFALTICA CON EMULSION CRL-1HM TIPO LA-3</v>
          </cell>
          <cell r="E103" t="str">
            <v>M²</v>
          </cell>
          <cell r="F103">
            <v>7409</v>
          </cell>
          <cell r="G103" t="str">
            <v>3.6.4.8.7</v>
          </cell>
          <cell r="H103" t="str">
            <v>3.6.4.8.7</v>
          </cell>
        </row>
        <row r="104">
          <cell r="A104" t="str">
            <v>433.8</v>
          </cell>
          <cell r="B104" t="str">
            <v>433-07</v>
          </cell>
          <cell r="D104" t="str">
            <v>LECHADA ASFALTICA CON EMULSION CRL-1HM TIPO LA-4</v>
          </cell>
          <cell r="E104" t="str">
            <v>M²</v>
          </cell>
          <cell r="F104">
            <v>8840</v>
          </cell>
          <cell r="G104" t="str">
            <v>3.6.4.8.8</v>
          </cell>
          <cell r="H104" t="str">
            <v>3.6.4.8.8</v>
          </cell>
        </row>
        <row r="105">
          <cell r="A105" t="str">
            <v>440.1</v>
          </cell>
          <cell r="B105" t="str">
            <v>440-07</v>
          </cell>
          <cell r="D105" t="str">
            <v>MEZCLA DENSA EN FRIO MDF-1</v>
          </cell>
          <cell r="E105" t="str">
            <v>M³</v>
          </cell>
          <cell r="F105">
            <v>202527</v>
          </cell>
          <cell r="G105" t="str">
            <v>3.6.4.9.1</v>
          </cell>
          <cell r="H105" t="str">
            <v>3.6.4.9.1</v>
          </cell>
        </row>
        <row r="106">
          <cell r="A106" t="str">
            <v>440.1P</v>
          </cell>
          <cell r="B106" t="str">
            <v>440-07</v>
          </cell>
          <cell r="D106" t="str">
            <v>MEZCLA DENSA EN FRIO MDF-1</v>
          </cell>
          <cell r="E106" t="str">
            <v>M³</v>
          </cell>
          <cell r="F106">
            <v>509486</v>
          </cell>
          <cell r="G106" t="str">
            <v>3.6.4.9.5</v>
          </cell>
          <cell r="H106" t="str">
            <v>3.6.4.9</v>
          </cell>
        </row>
        <row r="107">
          <cell r="A107" t="str">
            <v>440.2</v>
          </cell>
          <cell r="B107" t="str">
            <v>440-07</v>
          </cell>
          <cell r="D107" t="str">
            <v>MEZCLA DENSA EN FRIO MDF-2</v>
          </cell>
          <cell r="E107" t="str">
            <v>M³</v>
          </cell>
          <cell r="F107">
            <v>202527</v>
          </cell>
          <cell r="G107" t="str">
            <v>3.6.4.9.2</v>
          </cell>
          <cell r="H107" t="str">
            <v>3.6.4.9.2</v>
          </cell>
        </row>
        <row r="108">
          <cell r="A108" t="str">
            <v xml:space="preserve">440.2P </v>
          </cell>
          <cell r="B108" t="str">
            <v>440-07</v>
          </cell>
          <cell r="D108" t="str">
            <v>MEZCLA DENSA EN FRIO MDF-2</v>
          </cell>
          <cell r="E108" t="str">
            <v>M³</v>
          </cell>
          <cell r="F108">
            <v>501361</v>
          </cell>
          <cell r="G108" t="str">
            <v>3.6.4.9.6</v>
          </cell>
          <cell r="H108" t="e">
            <v>#N/A</v>
          </cell>
        </row>
        <row r="109">
          <cell r="A109" t="str">
            <v>440.3</v>
          </cell>
          <cell r="B109" t="str">
            <v>440-07</v>
          </cell>
          <cell r="D109" t="str">
            <v>MEZCLA DENSA EN FRIO MDF-3</v>
          </cell>
          <cell r="E109" t="str">
            <v>M³</v>
          </cell>
          <cell r="F109">
            <v>202527</v>
          </cell>
          <cell r="G109" t="str">
            <v>3.6.4.9.3</v>
          </cell>
          <cell r="H109" t="str">
            <v>3.6.4.9.3</v>
          </cell>
        </row>
        <row r="110">
          <cell r="A110" t="str">
            <v>440.3P</v>
          </cell>
          <cell r="B110" t="str">
            <v>440-07</v>
          </cell>
          <cell r="D110" t="str">
            <v>MEZCLA DENSA EN FRIO MDF-3</v>
          </cell>
          <cell r="E110" t="str">
            <v>M³</v>
          </cell>
          <cell r="F110">
            <v>496008</v>
          </cell>
          <cell r="G110" t="str">
            <v>3.6.4.9.7</v>
          </cell>
          <cell r="H110" t="str">
            <v>3.6.4.9</v>
          </cell>
        </row>
        <row r="111">
          <cell r="A111" t="str">
            <v>440.4</v>
          </cell>
          <cell r="B111" t="str">
            <v>440-07</v>
          </cell>
          <cell r="D111" t="str">
            <v>MEZCLA DENSA EN FRIO PARA BACHEO</v>
          </cell>
          <cell r="E111" t="str">
            <v>M³</v>
          </cell>
          <cell r="F111">
            <v>593536</v>
          </cell>
          <cell r="H111" t="str">
            <v>3.6.4.9.4</v>
          </cell>
        </row>
        <row r="112">
          <cell r="A112" t="str">
            <v>441.1</v>
          </cell>
          <cell r="B112" t="str">
            <v>441-07</v>
          </cell>
          <cell r="D112" t="str">
            <v>MEZCLA ABIERTA EN FRIO TIPO MAF-1</v>
          </cell>
          <cell r="E112" t="str">
            <v>M³</v>
          </cell>
          <cell r="F112">
            <v>202527</v>
          </cell>
          <cell r="G112" t="str">
            <v>3.6.4.10.1</v>
          </cell>
          <cell r="H112" t="str">
            <v>3.6.4.10.1</v>
          </cell>
        </row>
        <row r="113">
          <cell r="A113" t="str">
            <v>441.1P</v>
          </cell>
          <cell r="B113" t="str">
            <v>441-07</v>
          </cell>
          <cell r="D113" t="str">
            <v>MEZCLA ABIERTA EN FRIO TIPO MAF-1</v>
          </cell>
          <cell r="E113" t="str">
            <v>M³</v>
          </cell>
          <cell r="F113">
            <v>460736</v>
          </cell>
          <cell r="G113" t="str">
            <v>3.6.4.10.5</v>
          </cell>
          <cell r="H113" t="str">
            <v>3.6.4.10</v>
          </cell>
        </row>
        <row r="114">
          <cell r="A114" t="str">
            <v>441.2</v>
          </cell>
          <cell r="B114" t="str">
            <v>441-07</v>
          </cell>
          <cell r="D114" t="str">
            <v>MEZCLA ABIERTA EN FRIO TIPO MAF-2</v>
          </cell>
          <cell r="E114" t="str">
            <v>M³</v>
          </cell>
          <cell r="F114">
            <v>202527</v>
          </cell>
          <cell r="G114" t="str">
            <v>3.6.4.10.2</v>
          </cell>
          <cell r="H114" t="str">
            <v>3.6.4.10.2</v>
          </cell>
        </row>
        <row r="115">
          <cell r="A115" t="str">
            <v>441.2P</v>
          </cell>
          <cell r="B115" t="str">
            <v>441-07</v>
          </cell>
          <cell r="D115" t="str">
            <v>MEZCLA ABIERTA EN FRIO TIPO MAF-2</v>
          </cell>
          <cell r="E115" t="str">
            <v>M³</v>
          </cell>
          <cell r="F115">
            <v>452611</v>
          </cell>
          <cell r="G115" t="str">
            <v>3.6.4.10.6</v>
          </cell>
          <cell r="H115" t="str">
            <v>3.6.4.10</v>
          </cell>
        </row>
        <row r="116">
          <cell r="A116" t="str">
            <v>441.3</v>
          </cell>
          <cell r="B116" t="str">
            <v>441-07</v>
          </cell>
          <cell r="D116" t="str">
            <v>MEZCLA ABIERTA EN FRIO TIPO MAF-3</v>
          </cell>
          <cell r="E116" t="str">
            <v>M³</v>
          </cell>
          <cell r="F116">
            <v>202527</v>
          </cell>
          <cell r="G116" t="str">
            <v>3.6.4.10.3</v>
          </cell>
          <cell r="H116" t="str">
            <v>3.6.4.10.3</v>
          </cell>
        </row>
        <row r="117">
          <cell r="A117" t="str">
            <v>441.3P</v>
          </cell>
          <cell r="B117" t="str">
            <v>441-07</v>
          </cell>
          <cell r="D117" t="str">
            <v>MEZCLA ABIERTA EN FRIO TIPO MAF-3</v>
          </cell>
          <cell r="E117" t="str">
            <v>M³</v>
          </cell>
          <cell r="F117">
            <v>444486</v>
          </cell>
          <cell r="G117" t="str">
            <v>3.6.4.10.7</v>
          </cell>
          <cell r="H117" t="str">
            <v>3.6.4.10</v>
          </cell>
        </row>
        <row r="118">
          <cell r="A118" t="str">
            <v>441.4</v>
          </cell>
          <cell r="B118" t="str">
            <v>441-07</v>
          </cell>
          <cell r="D118" t="str">
            <v>MEZCLA ABIERTA EN FRIO PARA BACHEO</v>
          </cell>
          <cell r="E118" t="str">
            <v>M³</v>
          </cell>
          <cell r="F118">
            <v>542836</v>
          </cell>
          <cell r="H118" t="str">
            <v>3.6.4.10.4</v>
          </cell>
        </row>
        <row r="119">
          <cell r="A119" t="str">
            <v>450.P</v>
          </cell>
          <cell r="B119" t="str">
            <v>450-07</v>
          </cell>
          <cell r="D119" t="str">
            <v>MEZCLA DENSA EN CALIENTE MDC-0</v>
          </cell>
          <cell r="E119" t="str">
            <v>M³</v>
          </cell>
          <cell r="F119">
            <v>191704</v>
          </cell>
          <cell r="G119" t="str">
            <v>3.6.4.11.11</v>
          </cell>
          <cell r="H119" t="e">
            <v>#N/A</v>
          </cell>
          <cell r="I119" t="str">
            <v>NO INCLUIDO EN ESPECIFICACIONES 2007</v>
          </cell>
        </row>
        <row r="120">
          <cell r="A120" t="str">
            <v>450.P1</v>
          </cell>
          <cell r="B120" t="str">
            <v>450-07</v>
          </cell>
          <cell r="D120" t="str">
            <v>MEZCLA DENSA EN CALIENTE MDC-0</v>
          </cell>
          <cell r="E120" t="str">
            <v>M³</v>
          </cell>
          <cell r="F120">
            <v>578197</v>
          </cell>
          <cell r="G120" t="str">
            <v>3.6.4.11.15</v>
          </cell>
          <cell r="H120" t="e">
            <v>#N/A</v>
          </cell>
          <cell r="I120" t="str">
            <v>NO INCLUIDO EN ESPECIFICACIONES 2007</v>
          </cell>
        </row>
        <row r="121">
          <cell r="A121" t="str">
            <v>450.1</v>
          </cell>
          <cell r="B121" t="str">
            <v>450-07</v>
          </cell>
          <cell r="D121" t="str">
            <v>MEZCLA DENSA EN CALIENTE TIPO MDC-1</v>
          </cell>
          <cell r="E121" t="str">
            <v>M³</v>
          </cell>
          <cell r="F121">
            <v>191704</v>
          </cell>
          <cell r="G121" t="str">
            <v>3.6.4.11.12</v>
          </cell>
          <cell r="H121" t="str">
            <v>3.6.4.11.2</v>
          </cell>
        </row>
        <row r="122">
          <cell r="A122" t="str">
            <v>450.1P</v>
          </cell>
          <cell r="B122" t="str">
            <v>450-07</v>
          </cell>
          <cell r="C122" t="str">
            <v>450-07P</v>
          </cell>
          <cell r="D122" t="str">
            <v>MEZCLA DENSA EN CALIENTE TIPO MDC-1</v>
          </cell>
          <cell r="E122" t="str">
            <v>M³</v>
          </cell>
          <cell r="F122">
            <v>578197</v>
          </cell>
          <cell r="G122" t="str">
            <v>3.6.4.11.16</v>
          </cell>
          <cell r="H122" t="str">
            <v>3.6.4.11</v>
          </cell>
        </row>
        <row r="123">
          <cell r="A123" t="str">
            <v>450.2</v>
          </cell>
          <cell r="B123" t="str">
            <v>450-07</v>
          </cell>
          <cell r="D123" t="str">
            <v>MEZCLA DENSA EN CALIENTE TIPO MDC-2</v>
          </cell>
          <cell r="E123" t="str">
            <v>M³</v>
          </cell>
          <cell r="F123">
            <v>191704</v>
          </cell>
          <cell r="G123" t="str">
            <v>3.6.4.11.13</v>
          </cell>
          <cell r="H123" t="str">
            <v>3.6.4.11.3</v>
          </cell>
        </row>
        <row r="124">
          <cell r="A124" t="str">
            <v>450.2P</v>
          </cell>
          <cell r="B124" t="str">
            <v>450-07</v>
          </cell>
          <cell r="C124" t="str">
            <v>450-07P</v>
          </cell>
          <cell r="D124" t="str">
            <v>MEZCLA DENSA EN CALIENTE TIPO MDC-2</v>
          </cell>
          <cell r="E124" t="str">
            <v>M³</v>
          </cell>
          <cell r="F124">
            <v>595097</v>
          </cell>
          <cell r="G124" t="str">
            <v>3.6.4.11.19</v>
          </cell>
          <cell r="H124" t="str">
            <v>3.6.4.11</v>
          </cell>
        </row>
        <row r="125">
          <cell r="A125" t="str">
            <v>450.3</v>
          </cell>
          <cell r="B125" t="str">
            <v>450-07</v>
          </cell>
          <cell r="D125" t="str">
            <v>MEZCLA DENSA EN CALIENTE TIPO MDC-3</v>
          </cell>
          <cell r="E125" t="str">
            <v>M³</v>
          </cell>
          <cell r="F125">
            <v>191704</v>
          </cell>
          <cell r="G125" t="str">
            <v>3.6.4.11.14</v>
          </cell>
          <cell r="H125" t="str">
            <v>3.6.4.11.4</v>
          </cell>
        </row>
        <row r="126">
          <cell r="A126" t="str">
            <v>450.3P</v>
          </cell>
          <cell r="B126" t="str">
            <v>450-07</v>
          </cell>
          <cell r="C126" t="str">
            <v>450-07P</v>
          </cell>
          <cell r="D126" t="str">
            <v>MEZCLA DENSA EN CALIENTE TIPO MDC-3</v>
          </cell>
          <cell r="E126" t="str">
            <v>M³</v>
          </cell>
          <cell r="F126">
            <v>586647</v>
          </cell>
          <cell r="G126" t="str">
            <v>3.6.4.11.18</v>
          </cell>
          <cell r="H126" t="str">
            <v>3.6.4.11</v>
          </cell>
        </row>
        <row r="127">
          <cell r="A127" t="str">
            <v>450.4</v>
          </cell>
          <cell r="B127" t="str">
            <v>450-07</v>
          </cell>
          <cell r="C127" t="str">
            <v>450-07P</v>
          </cell>
          <cell r="D127" t="str">
            <v>MEZCLA SEMIDENSA EN CALIENTE TIPO MSC-1</v>
          </cell>
          <cell r="E127" t="str">
            <v>M³</v>
          </cell>
          <cell r="F127">
            <v>191704</v>
          </cell>
          <cell r="H127" t="str">
            <v>3.6.4</v>
          </cell>
        </row>
        <row r="128">
          <cell r="A128" t="str">
            <v>450.5</v>
          </cell>
          <cell r="B128" t="str">
            <v>450-07</v>
          </cell>
          <cell r="C128" t="str">
            <v>450-07P</v>
          </cell>
          <cell r="D128" t="str">
            <v>MEZCLA SEMIDENSA EN CALIENTE TIPO MSC-2</v>
          </cell>
          <cell r="E128" t="str">
            <v>M³</v>
          </cell>
          <cell r="F128">
            <v>191704</v>
          </cell>
          <cell r="H128" t="str">
            <v>3.6.4</v>
          </cell>
        </row>
        <row r="129">
          <cell r="A129" t="str">
            <v>450.6</v>
          </cell>
          <cell r="B129" t="str">
            <v>450-07</v>
          </cell>
          <cell r="C129" t="str">
            <v>450-07P</v>
          </cell>
          <cell r="D129" t="str">
            <v>MEZCLA GRUESA EN CALIENTE TIPO MGC-0</v>
          </cell>
          <cell r="E129" t="str">
            <v>M³</v>
          </cell>
          <cell r="F129">
            <v>191704</v>
          </cell>
          <cell r="H129" t="str">
            <v>3.6.4</v>
          </cell>
        </row>
        <row r="130">
          <cell r="A130" t="str">
            <v>450.7</v>
          </cell>
          <cell r="B130" t="str">
            <v>450-07</v>
          </cell>
          <cell r="C130" t="str">
            <v>450-07P</v>
          </cell>
          <cell r="D130" t="str">
            <v>MEZCLA GRUESA EN CALIENTE TIPO MGC-1</v>
          </cell>
          <cell r="E130" t="str">
            <v>M³</v>
          </cell>
          <cell r="F130">
            <v>191704</v>
          </cell>
          <cell r="H130" t="str">
            <v>3.6.4</v>
          </cell>
        </row>
        <row r="131">
          <cell r="A131" t="str">
            <v>450.8</v>
          </cell>
          <cell r="B131" t="str">
            <v>450-07</v>
          </cell>
          <cell r="C131" t="str">
            <v>450-07P</v>
          </cell>
          <cell r="D131" t="str">
            <v>MEZCLA DE ALTO MODULO</v>
          </cell>
          <cell r="E131" t="str">
            <v>M³</v>
          </cell>
          <cell r="F131">
            <v>191704</v>
          </cell>
          <cell r="H131" t="str">
            <v>3.6.4</v>
          </cell>
        </row>
        <row r="132">
          <cell r="A132" t="str">
            <v>450.9</v>
          </cell>
          <cell r="B132" t="str">
            <v>450-07</v>
          </cell>
          <cell r="C132" t="str">
            <v>450-07P</v>
          </cell>
          <cell r="D132" t="str">
            <v>MEZCLA EN CALIENTE PARA BACHEO</v>
          </cell>
          <cell r="E132" t="str">
            <v>M³</v>
          </cell>
          <cell r="F132">
            <v>590992</v>
          </cell>
          <cell r="G132" t="str">
            <v>3.6.4.11.10</v>
          </cell>
          <cell r="H132" t="str">
            <v>3.6.4.11.5</v>
          </cell>
        </row>
        <row r="133">
          <cell r="A133" t="str">
            <v>451.1</v>
          </cell>
          <cell r="B133" t="str">
            <v>451-07</v>
          </cell>
          <cell r="D133" t="str">
            <v>MEZCLA ABIERTA EN CALIENTE TIPO MAC-1</v>
          </cell>
          <cell r="E133" t="str">
            <v>M³</v>
          </cell>
          <cell r="F133">
            <v>191704</v>
          </cell>
          <cell r="G133" t="str">
            <v>3.6.4.12.1</v>
          </cell>
          <cell r="H133" t="str">
            <v>3.6.4.12.1</v>
          </cell>
        </row>
        <row r="134">
          <cell r="A134" t="str">
            <v>451.1P</v>
          </cell>
          <cell r="B134" t="str">
            <v>451-07</v>
          </cell>
          <cell r="D134" t="str">
            <v>MEZCLA ABIERTA EN CALIENTE TIPO MAC-1</v>
          </cell>
          <cell r="E134" t="str">
            <v>M³</v>
          </cell>
          <cell r="F134">
            <v>485247</v>
          </cell>
          <cell r="G134" t="str">
            <v>3.6.4.12.1</v>
          </cell>
          <cell r="H134" t="str">
            <v>3.6.4.12</v>
          </cell>
        </row>
        <row r="135">
          <cell r="A135" t="str">
            <v>451.2</v>
          </cell>
          <cell r="B135" t="str">
            <v>451-07</v>
          </cell>
          <cell r="D135" t="str">
            <v>MEZCLA ABIERTA EN CALIENTE TIPO MAC-2</v>
          </cell>
          <cell r="E135" t="str">
            <v>M³</v>
          </cell>
          <cell r="F135">
            <v>191704</v>
          </cell>
          <cell r="G135" t="str">
            <v>3.6.4.12.2</v>
          </cell>
          <cell r="H135" t="str">
            <v>3.6.4.12.2</v>
          </cell>
        </row>
        <row r="136">
          <cell r="A136" t="str">
            <v>451.2P</v>
          </cell>
          <cell r="B136" t="str">
            <v>451-07</v>
          </cell>
          <cell r="D136" t="str">
            <v>MEZCLA ABIERTA EN CALIENTE TIPO MAC-2</v>
          </cell>
          <cell r="E136" t="str">
            <v>M³</v>
          </cell>
          <cell r="F136">
            <v>502147</v>
          </cell>
          <cell r="G136" t="str">
            <v>3.6.4.13.6</v>
          </cell>
          <cell r="H136" t="str">
            <v>3.6.4.12</v>
          </cell>
        </row>
        <row r="137">
          <cell r="A137" t="str">
            <v>451.3</v>
          </cell>
          <cell r="B137" t="str">
            <v>451-07</v>
          </cell>
          <cell r="D137" t="str">
            <v>MEZCLA ABIERTA EN CALIENTE TIPO MAC-3</v>
          </cell>
          <cell r="E137" t="str">
            <v>M³</v>
          </cell>
          <cell r="F137">
            <v>191704</v>
          </cell>
          <cell r="G137" t="str">
            <v>3.6.4.12.3</v>
          </cell>
          <cell r="H137" t="str">
            <v>3.6.4.12.3</v>
          </cell>
        </row>
        <row r="138">
          <cell r="A138" t="str">
            <v>451.3P</v>
          </cell>
          <cell r="B138" t="str">
            <v>451-07</v>
          </cell>
          <cell r="D138" t="str">
            <v>MEZCLA ABIERTA EN CALIENTE TIPO MAC-3</v>
          </cell>
          <cell r="E138" t="str">
            <v>M³</v>
          </cell>
          <cell r="F138">
            <v>510597</v>
          </cell>
          <cell r="G138" t="str">
            <v>3.6.4.12.6</v>
          </cell>
          <cell r="H138" t="str">
            <v>3.6.4.12</v>
          </cell>
        </row>
        <row r="139">
          <cell r="A139" t="str">
            <v>451.4</v>
          </cell>
          <cell r="B139" t="str">
            <v>451-07</v>
          </cell>
          <cell r="D139" t="str">
            <v>MEZCLA ABIERTA EN CALIENTE TIPO MAC-3 PARA BACHEO</v>
          </cell>
          <cell r="E139" t="str">
            <v>M³</v>
          </cell>
          <cell r="F139">
            <v>548612</v>
          </cell>
          <cell r="H139" t="str">
            <v>3.6.4.12</v>
          </cell>
        </row>
        <row r="140">
          <cell r="A140" t="str">
            <v>452.1</v>
          </cell>
          <cell r="B140" t="str">
            <v>452-07</v>
          </cell>
          <cell r="D140" t="str">
            <v>MEZCLA DISCONTINUA EN CALIENTE TIPO M-1</v>
          </cell>
          <cell r="E140" t="str">
            <v>M³</v>
          </cell>
          <cell r="F140">
            <v>191704</v>
          </cell>
          <cell r="G140" t="str">
            <v>3.6.4.13.1</v>
          </cell>
          <cell r="H140" t="str">
            <v>3.6.4.13.1</v>
          </cell>
        </row>
        <row r="141">
          <cell r="A141" t="str">
            <v>452.1P</v>
          </cell>
          <cell r="B141" t="str">
            <v>452-07</v>
          </cell>
          <cell r="D141" t="str">
            <v>MEZCLA DISCONTINUA EN CALIENTE TIPO M-1</v>
          </cell>
          <cell r="E141" t="str">
            <v>M³</v>
          </cell>
          <cell r="F141">
            <v>306361</v>
          </cell>
          <cell r="G141" t="str">
            <v>3.6.4.13.5</v>
          </cell>
          <cell r="H141" t="str">
            <v>3.6.4.13.1 </v>
          </cell>
        </row>
        <row r="142">
          <cell r="A142" t="str">
            <v>452.2</v>
          </cell>
          <cell r="B142" t="str">
            <v>452-07</v>
          </cell>
          <cell r="D142" t="str">
            <v>MEZCLA DISCONTINUA EN CALIENTE TIPO M-2</v>
          </cell>
          <cell r="E142" t="str">
            <v>M³</v>
          </cell>
          <cell r="F142">
            <v>191704</v>
          </cell>
          <cell r="G142" t="str">
            <v>3.6.4.13.2</v>
          </cell>
          <cell r="H142" t="str">
            <v>3.6.4.13.2</v>
          </cell>
        </row>
        <row r="143">
          <cell r="A143" t="str">
            <v>452.2P</v>
          </cell>
          <cell r="B143" t="str">
            <v>452-07</v>
          </cell>
          <cell r="D143" t="str">
            <v>MEZCLA DISCONTINUA EN CALIENTE TIPO M-2</v>
          </cell>
          <cell r="E143" t="str">
            <v>M³</v>
          </cell>
          <cell r="F143">
            <v>306361</v>
          </cell>
          <cell r="G143" t="str">
            <v>3.6.4.13.6</v>
          </cell>
          <cell r="H143" t="str">
            <v>3.6.4.13.2</v>
          </cell>
        </row>
        <row r="144">
          <cell r="A144" t="str">
            <v>452.3</v>
          </cell>
          <cell r="B144" t="str">
            <v>452-07</v>
          </cell>
          <cell r="D144" t="str">
            <v>MEZCLA DISCONTINUA EN CALIENTE TIPO F-1</v>
          </cell>
          <cell r="E144" t="str">
            <v>M³</v>
          </cell>
          <cell r="F144">
            <v>191704</v>
          </cell>
          <cell r="G144" t="str">
            <v>3.6.4.13.3</v>
          </cell>
          <cell r="H144" t="str">
            <v>3.6.4.13.7</v>
          </cell>
        </row>
        <row r="145">
          <cell r="A145" t="str">
            <v>452.3P</v>
          </cell>
          <cell r="B145" t="str">
            <v>452-07</v>
          </cell>
          <cell r="D145" t="str">
            <v>MEZCLA DISCONTINUA EN CALIENTE TIPO F-1</v>
          </cell>
          <cell r="E145" t="str">
            <v>M³</v>
          </cell>
          <cell r="F145">
            <v>309133</v>
          </cell>
          <cell r="G145" t="str">
            <v>3.6.4.13.7</v>
          </cell>
          <cell r="H145" t="str">
            <v>3.6.4.13.7</v>
          </cell>
        </row>
        <row r="146">
          <cell r="A146" t="str">
            <v>452.4</v>
          </cell>
          <cell r="B146" t="str">
            <v>452-07</v>
          </cell>
          <cell r="D146" t="str">
            <v>MEZCLA DISCONTINUA EN CALIENTE TIPO F-2</v>
          </cell>
          <cell r="E146" t="str">
            <v>M³</v>
          </cell>
          <cell r="F146">
            <v>191704</v>
          </cell>
          <cell r="G146" t="str">
            <v>3.6.4.13.4</v>
          </cell>
          <cell r="H146" t="str">
            <v>3.6.4.13.8</v>
          </cell>
        </row>
        <row r="147">
          <cell r="A147" t="str">
            <v>452.4P</v>
          </cell>
          <cell r="B147" t="str">
            <v>452-07</v>
          </cell>
          <cell r="D147" t="str">
            <v>MEZCLA DISCONTINUA EN CALIENTE TIPO F-2</v>
          </cell>
          <cell r="E147" t="str">
            <v>M³</v>
          </cell>
          <cell r="F147">
            <v>306361</v>
          </cell>
          <cell r="G147" t="str">
            <v>3.6.4.13.8</v>
          </cell>
          <cell r="H147" t="str">
            <v>3.6.4.13.8 </v>
          </cell>
        </row>
        <row r="148">
          <cell r="A148" t="str">
            <v>453.1</v>
          </cell>
          <cell r="B148" t="str">
            <v>453-07</v>
          </cell>
          <cell r="D148" t="str">
            <v>MEZCLA DRENANTE</v>
          </cell>
          <cell r="E148" t="str">
            <v>M³</v>
          </cell>
          <cell r="F148">
            <v>194239</v>
          </cell>
          <cell r="G148" t="str">
            <v>3.6.4.14.2</v>
          </cell>
          <cell r="H148" t="str">
            <v>3.6.4.13.7</v>
          </cell>
        </row>
        <row r="149">
          <cell r="A149" t="str">
            <v>460.1</v>
          </cell>
          <cell r="B149" t="str">
            <v>460-07</v>
          </cell>
          <cell r="D149" t="str">
            <v>FRESADO DE UN PAVIMENTO ASFALTICO EN ESPESOR E 5 CM</v>
          </cell>
          <cell r="E149" t="str">
            <v>M²</v>
          </cell>
          <cell r="F149">
            <v>2902</v>
          </cell>
          <cell r="G149" t="str">
            <v>3.6.4.15.1</v>
          </cell>
          <cell r="H149" t="str">
            <v>3.6.4.15.2</v>
          </cell>
        </row>
        <row r="150">
          <cell r="A150" t="str">
            <v>460.1P</v>
          </cell>
          <cell r="B150" t="str">
            <v>460-07</v>
          </cell>
          <cell r="C150" t="str">
            <v>460-07P</v>
          </cell>
          <cell r="D150" t="str">
            <v>FRESADO DE UN PAVIMENTO ASFALTICO</v>
          </cell>
          <cell r="E150" t="str">
            <v>M³</v>
          </cell>
          <cell r="F150">
            <v>54119</v>
          </cell>
          <cell r="G150" t="str">
            <v>3.6.4.15.4</v>
          </cell>
          <cell r="H150" t="e">
            <v>#N/A</v>
          </cell>
        </row>
        <row r="151">
          <cell r="A151" t="str">
            <v>461.1</v>
          </cell>
          <cell r="B151" t="str">
            <v>461-07</v>
          </cell>
          <cell r="D151" t="str">
            <v>PAVIMENTO RECICLADO EN FRIO EN EL LUGAR CON EMULSION ASFALTICA</v>
          </cell>
          <cell r="E151" t="str">
            <v>M³</v>
          </cell>
          <cell r="F151">
            <v>95060</v>
          </cell>
          <cell r="G151" t="str">
            <v>3.6.4.16.1</v>
          </cell>
          <cell r="H151" t="str">
            <v>3.6.4.16.1</v>
          </cell>
        </row>
        <row r="152">
          <cell r="A152" t="str">
            <v>461.2</v>
          </cell>
          <cell r="B152" t="str">
            <v>461-07</v>
          </cell>
          <cell r="D152" t="str">
            <v>PAVIMENTO RECICLADO EN FRIO EN EL LUGAR CON CEMENTO ASFALTICO ESPUMADO</v>
          </cell>
          <cell r="E152" t="str">
            <v>M³</v>
          </cell>
          <cell r="F152">
            <v>97836</v>
          </cell>
          <cell r="G152" t="str">
            <v>3.6.4.16.2</v>
          </cell>
          <cell r="H152" t="str">
            <v>3.6.4.16.2</v>
          </cell>
        </row>
        <row r="153">
          <cell r="A153" t="str">
            <v>462.1P</v>
          </cell>
          <cell r="B153" t="str">
            <v>462-07</v>
          </cell>
          <cell r="D153" t="str">
            <v>PAVIMENTO ASFALTICO RECICLADO EN CALIENTE MDC-0</v>
          </cell>
          <cell r="E153" t="str">
            <v>M³</v>
          </cell>
          <cell r="F153">
            <v>95363</v>
          </cell>
          <cell r="G153" t="str">
            <v>3.6.4.17.1</v>
          </cell>
          <cell r="H153" t="str">
            <v>3.6.4.17</v>
          </cell>
        </row>
        <row r="154">
          <cell r="A154" t="str">
            <v>462.1</v>
          </cell>
          <cell r="B154" t="str">
            <v>462-07</v>
          </cell>
          <cell r="D154" t="str">
            <v>PAVIMENTO ASFALTICO RECICLADO EN CALIENTE MDC-1</v>
          </cell>
          <cell r="E154" t="str">
            <v>M³</v>
          </cell>
          <cell r="F154">
            <v>95363</v>
          </cell>
          <cell r="G154" t="str">
            <v>3.6.4.17.2</v>
          </cell>
          <cell r="H154" t="str">
            <v>3.6.4.17.1 </v>
          </cell>
        </row>
        <row r="155">
          <cell r="A155" t="str">
            <v>462.1.1</v>
          </cell>
          <cell r="B155" t="str">
            <v>462-07</v>
          </cell>
          <cell r="D155" t="str">
            <v>MEZCLA ASFALTICA RECICLADA EN CALIENTE DEL TIPO MDC-2</v>
          </cell>
          <cell r="E155" t="str">
            <v>M³</v>
          </cell>
          <cell r="F155">
            <v>98621</v>
          </cell>
          <cell r="G155" t="str">
            <v>3.6.4.17.3</v>
          </cell>
          <cell r="H155" t="str">
            <v>3.6.4.17.3</v>
          </cell>
        </row>
        <row r="156">
          <cell r="A156" t="str">
            <v>462.4P</v>
          </cell>
          <cell r="B156" t="str">
            <v>462-07</v>
          </cell>
          <cell r="D156" t="str">
            <v>PAVIMENTO ASFALTICO RECICLADO EN CALIENTE MDC-3</v>
          </cell>
          <cell r="E156" t="str">
            <v>M³</v>
          </cell>
          <cell r="F156">
            <v>96893</v>
          </cell>
          <cell r="G156" t="str">
            <v>3.6.4.17.4</v>
          </cell>
          <cell r="H156" t="str">
            <v>3.6.4.17</v>
          </cell>
        </row>
        <row r="157">
          <cell r="A157" t="str">
            <v>462.2</v>
          </cell>
          <cell r="B157" t="str">
            <v>462-07</v>
          </cell>
          <cell r="D157" t="str">
            <v>PAVIMENTO ASFALTICO RECICLADO EN CALIENTE PARA BACHEO</v>
          </cell>
          <cell r="E157" t="str">
            <v>M³</v>
          </cell>
          <cell r="F157">
            <v>237466</v>
          </cell>
          <cell r="G157" t="str">
            <v>3.6.4.17.5</v>
          </cell>
          <cell r="H157" t="str">
            <v>3.6.4.17</v>
          </cell>
          <cell r="I157" t="str">
            <v>************************************</v>
          </cell>
        </row>
        <row r="158">
          <cell r="A158" t="str">
            <v>464.1</v>
          </cell>
          <cell r="B158" t="str">
            <v>464-07</v>
          </cell>
          <cell r="D158" t="str">
            <v>GEOTEXTIL PARA REHABILITACION DE PAVIMENTOS ASFALTICOS</v>
          </cell>
          <cell r="E158" t="str">
            <v>M²</v>
          </cell>
          <cell r="F158">
            <v>5906</v>
          </cell>
          <cell r="H158" t="str">
            <v>3.6.8</v>
          </cell>
        </row>
        <row r="159">
          <cell r="A159" t="str">
            <v>464.2</v>
          </cell>
          <cell r="B159" t="str">
            <v>464-07</v>
          </cell>
          <cell r="D159" t="str">
            <v>SUMINISTRO DE CEMENTO ASFALTICO</v>
          </cell>
          <cell r="E159" t="str">
            <v>KG</v>
          </cell>
          <cell r="F159">
            <v>2613</v>
          </cell>
          <cell r="H159" t="str">
            <v>3.6.4.8 </v>
          </cell>
        </row>
        <row r="160">
          <cell r="A160" t="str">
            <v>464.3</v>
          </cell>
          <cell r="B160" t="str">
            <v>464-07</v>
          </cell>
          <cell r="D160" t="str">
            <v>SUMINISTRO DE EMULSION ASFALTICA CONVENCIONAL</v>
          </cell>
          <cell r="E160" t="str">
            <v>LT</v>
          </cell>
          <cell r="F160">
            <v>2864</v>
          </cell>
          <cell r="H160" t="str">
            <v>3.6.4.2</v>
          </cell>
        </row>
        <row r="161">
          <cell r="A161" t="str">
            <v>464.4</v>
          </cell>
          <cell r="B161" t="str">
            <v>464-07</v>
          </cell>
          <cell r="D161" t="str">
            <v>SUMINISTRO DE EMULSION ASFALTICA MODIFICADA CON POLIMEROS</v>
          </cell>
          <cell r="E161" t="str">
            <v>LT</v>
          </cell>
          <cell r="F161">
            <v>3967</v>
          </cell>
          <cell r="H161" t="str">
            <v> 3.6.4.2.5 </v>
          </cell>
        </row>
        <row r="162">
          <cell r="A162" t="str">
            <v>465.1</v>
          </cell>
          <cell r="B162" t="str">
            <v>465-07</v>
          </cell>
          <cell r="D162" t="str">
            <v>EXCAVACIONES PARA REPARACION DE PAVIMENTO ASFALTICO EXISTENTE</v>
          </cell>
          <cell r="E162" t="str">
            <v>M³</v>
          </cell>
          <cell r="F162">
            <v>54391</v>
          </cell>
          <cell r="G162" t="str">
            <v>3.6.1.3.32</v>
          </cell>
          <cell r="H162" t="str">
            <v>3.6.2.1</v>
          </cell>
        </row>
        <row r="163">
          <cell r="A163" t="str">
            <v>466.1</v>
          </cell>
          <cell r="D163" t="str">
            <v>SELLO DE GRIETAS EN PAVIMENTO ASFALTICO SIN RUTEO</v>
          </cell>
          <cell r="E163" t="str">
            <v>ML</v>
          </cell>
          <cell r="F163">
            <v>3892</v>
          </cell>
          <cell r="H163" t="str">
            <v>3.6.4.7</v>
          </cell>
        </row>
        <row r="164">
          <cell r="A164" t="str">
            <v>466.2</v>
          </cell>
          <cell r="D164" t="str">
            <v>SELLO DE GRIETAS EN PAVIMENTO ASFALTICO CON RUTEO</v>
          </cell>
          <cell r="E164" t="str">
            <v>ML</v>
          </cell>
          <cell r="F164">
            <v>3892</v>
          </cell>
          <cell r="H164" t="str">
            <v>3.6.4.7</v>
          </cell>
        </row>
        <row r="165">
          <cell r="A165" t="str">
            <v>500.1</v>
          </cell>
          <cell r="B165" t="str">
            <v>500-07</v>
          </cell>
          <cell r="D165" t="str">
            <v>PAVIMENTO DE CONCRETO HIDRAULICO</v>
          </cell>
          <cell r="E165" t="str">
            <v>M³</v>
          </cell>
          <cell r="F165">
            <v>638004</v>
          </cell>
          <cell r="G165" t="str">
            <v>3,6,5,1,10</v>
          </cell>
          <cell r="H165" t="str">
            <v>3.6.5.1</v>
          </cell>
        </row>
        <row r="166">
          <cell r="A166" t="str">
            <v>500.1P</v>
          </cell>
          <cell r="B166" t="str">
            <v>500-07</v>
          </cell>
          <cell r="D166" t="str">
            <v>PAVIMENTO DE CONCRETO HIDRAULICO (FASTRAK)</v>
          </cell>
          <cell r="E166" t="str">
            <v>M³</v>
          </cell>
          <cell r="F166">
            <v>911004</v>
          </cell>
          <cell r="H166" t="str">
            <v>3.6.5.1</v>
          </cell>
        </row>
        <row r="167">
          <cell r="A167" t="str">
            <v>501.1</v>
          </cell>
          <cell r="B167" t="str">
            <v>501-07</v>
          </cell>
          <cell r="D167" t="str">
            <v>CEMENTO PORTLAND NORMAL</v>
          </cell>
          <cell r="E167" t="str">
            <v>KG</v>
          </cell>
          <cell r="F167">
            <v>520</v>
          </cell>
          <cell r="H167" t="str">
            <v>1.35.1.1.3</v>
          </cell>
        </row>
        <row r="168">
          <cell r="A168" t="str">
            <v>510.1</v>
          </cell>
          <cell r="B168" t="str">
            <v>510-07</v>
          </cell>
          <cell r="D168" t="str">
            <v>PAVIMENTO DE ADOQUINES DE CONCRETO</v>
          </cell>
          <cell r="E168" t="str">
            <v>M²</v>
          </cell>
          <cell r="F168">
            <v>50172</v>
          </cell>
          <cell r="G168" t="str">
            <v>3.6.5.2.7</v>
          </cell>
          <cell r="H168" t="str">
            <v>3.6.5.2.10</v>
          </cell>
        </row>
        <row r="169">
          <cell r="A169" t="str">
            <v>510.1P1</v>
          </cell>
          <cell r="B169" t="str">
            <v>510-07</v>
          </cell>
          <cell r="D169" t="str">
            <v>ADOQUIN GRAMA</v>
          </cell>
          <cell r="E169" t="str">
            <v>M²</v>
          </cell>
          <cell r="F169">
            <v>52309.053431818189</v>
          </cell>
          <cell r="H169" t="str">
            <v>3.6.5.2</v>
          </cell>
        </row>
        <row r="170">
          <cell r="A170" t="str">
            <v>510.1P2</v>
          </cell>
          <cell r="B170" t="str">
            <v>510-07</v>
          </cell>
          <cell r="D170" t="str">
            <v>ADOQUIN COLOR</v>
          </cell>
          <cell r="E170" t="str">
            <v>M²</v>
          </cell>
          <cell r="F170">
            <v>52781.8655</v>
          </cell>
          <cell r="H170" t="str">
            <v>3.6.5.2.2</v>
          </cell>
        </row>
        <row r="171">
          <cell r="A171" t="str">
            <v>510.1P3</v>
          </cell>
          <cell r="B171" t="str">
            <v>510-07</v>
          </cell>
          <cell r="D171" t="str">
            <v>DILATACION EN ADOQUIN</v>
          </cell>
          <cell r="E171" t="str">
            <v>ML</v>
          </cell>
          <cell r="F171">
            <v>9092.2039000000004</v>
          </cell>
          <cell r="H171" t="str">
            <v>3.6.5.2</v>
          </cell>
        </row>
        <row r="172">
          <cell r="A172" t="str">
            <v>600.1</v>
          </cell>
          <cell r="B172" t="str">
            <v>600-07</v>
          </cell>
          <cell r="D172" t="str">
            <v>EXCAVACIONES VARIAS SIN CLASIFICAR</v>
          </cell>
          <cell r="E172" t="str">
            <v>M³</v>
          </cell>
          <cell r="F172">
            <v>13845</v>
          </cell>
          <cell r="G172" t="str">
            <v>3.6.6.1.1</v>
          </cell>
          <cell r="H172" t="str">
            <v>3.6.6.1.9</v>
          </cell>
        </row>
        <row r="173">
          <cell r="A173" t="str">
            <v>600.2</v>
          </cell>
          <cell r="B173" t="str">
            <v>600-07</v>
          </cell>
          <cell r="D173" t="str">
            <v>EXCAVACIONES VARIAS EN ROCA EN SECO</v>
          </cell>
          <cell r="E173" t="str">
            <v>M³</v>
          </cell>
          <cell r="F173">
            <v>48557</v>
          </cell>
          <cell r="G173" t="str">
            <v>3.6.6.1.9</v>
          </cell>
          <cell r="H173" t="str">
            <v>3.6.6.1.9</v>
          </cell>
        </row>
        <row r="174">
          <cell r="A174" t="str">
            <v>600.3</v>
          </cell>
          <cell r="B174" t="str">
            <v>600-07</v>
          </cell>
          <cell r="D174" t="str">
            <v>EXCAVACIONES VARIAS EN ROCA BAJO AGUA</v>
          </cell>
          <cell r="E174" t="str">
            <v>M³</v>
          </cell>
          <cell r="F174">
            <v>80484</v>
          </cell>
          <cell r="H174" t="str">
            <v>3.6.6.1.9</v>
          </cell>
        </row>
        <row r="175">
          <cell r="A175" t="str">
            <v>600.4</v>
          </cell>
          <cell r="B175" t="str">
            <v>600-07</v>
          </cell>
          <cell r="D175" t="str">
            <v>EXCAVACIONES VARIAS EN MATERIAL COMUN EN SECO</v>
          </cell>
          <cell r="E175" t="str">
            <v>M³</v>
          </cell>
          <cell r="F175">
            <v>15167</v>
          </cell>
          <cell r="G175" t="str">
            <v>3.6.6.1.10</v>
          </cell>
          <cell r="H175" t="str">
            <v xml:space="preserve">3.6.6.1.10  </v>
          </cell>
        </row>
        <row r="176">
          <cell r="A176" t="str">
            <v>600.4P</v>
          </cell>
          <cell r="B176" t="str">
            <v>600-07</v>
          </cell>
          <cell r="C176" t="str">
            <v>600-07P</v>
          </cell>
          <cell r="D176" t="str">
            <v>EXCAVACIONES VARIAS EN MATERIA COMUN EN SECO A MANO</v>
          </cell>
          <cell r="E176" t="str">
            <v>M³</v>
          </cell>
          <cell r="F176">
            <v>23590</v>
          </cell>
          <cell r="G176" t="str">
            <v>3.6.6.1.10</v>
          </cell>
          <cell r="H176" t="str">
            <v>3.6.6.1</v>
          </cell>
        </row>
        <row r="177">
          <cell r="A177" t="str">
            <v>600.5</v>
          </cell>
          <cell r="B177" t="str">
            <v>600-07</v>
          </cell>
          <cell r="D177" t="str">
            <v>EXCAVACIONES VARIAS EN MATERIAL COMUN BAJO AGUA</v>
          </cell>
          <cell r="E177" t="str">
            <v>M³</v>
          </cell>
          <cell r="F177">
            <v>22564</v>
          </cell>
          <cell r="G177" t="str">
            <v>3.6.6.1.11</v>
          </cell>
          <cell r="H177" t="str">
            <v>3.6.6.1.11</v>
          </cell>
        </row>
        <row r="178">
          <cell r="A178" t="str">
            <v>600.5P</v>
          </cell>
          <cell r="B178" t="str">
            <v>600-07</v>
          </cell>
          <cell r="C178" t="str">
            <v>600-07P</v>
          </cell>
          <cell r="D178" t="str">
            <v>EXCAVACIONES VARIAS EN MATERIAL COMUN BAJO AGUA A MANO</v>
          </cell>
          <cell r="E178" t="str">
            <v>M³</v>
          </cell>
          <cell r="F178">
            <v>36555</v>
          </cell>
          <cell r="H178" t="str">
            <v>3.6.6.1</v>
          </cell>
        </row>
        <row r="179">
          <cell r="A179" t="str">
            <v>610.1</v>
          </cell>
          <cell r="B179" t="str">
            <v>610-07</v>
          </cell>
          <cell r="D179" t="str">
            <v>RELLENO PARA ESTRUCTURAS</v>
          </cell>
          <cell r="E179" t="str">
            <v>M³</v>
          </cell>
          <cell r="F179">
            <v>95722</v>
          </cell>
          <cell r="G179" t="str">
            <v>3.6.6.2.3</v>
          </cell>
          <cell r="H179" t="str">
            <v xml:space="preserve">3.6.6.2.1   </v>
          </cell>
        </row>
        <row r="180">
          <cell r="A180" t="str">
            <v>610.2</v>
          </cell>
          <cell r="B180" t="str">
            <v>610-07</v>
          </cell>
          <cell r="D180" t="str">
            <v>RELLENOS CON MATERIAL FILTRANTE</v>
          </cell>
          <cell r="E180" t="str">
            <v>M³</v>
          </cell>
          <cell r="F180">
            <v>115346</v>
          </cell>
          <cell r="H180" t="str">
            <v>3.6.6.2.4</v>
          </cell>
        </row>
        <row r="181">
          <cell r="A181" t="str">
            <v>620.1</v>
          </cell>
          <cell r="B181" t="str">
            <v>620-07</v>
          </cell>
          <cell r="D181" t="str">
            <v>PILOTES PREFABRICADOS DE CONCRETO</v>
          </cell>
          <cell r="E181" t="str">
            <v>ML</v>
          </cell>
          <cell r="F181">
            <v>0</v>
          </cell>
          <cell r="H181" t="str">
            <v>3.6.6.3.1</v>
          </cell>
        </row>
        <row r="182">
          <cell r="A182" t="str">
            <v>620.2</v>
          </cell>
          <cell r="B182" t="str">
            <v>620-07</v>
          </cell>
          <cell r="D182" t="str">
            <v>EXTENSION DE PILOTES</v>
          </cell>
          <cell r="E182" t="str">
            <v>ML</v>
          </cell>
          <cell r="F182">
            <v>0</v>
          </cell>
          <cell r="H182" t="str">
            <v>3.6.6.3.2</v>
          </cell>
        </row>
        <row r="183">
          <cell r="A183" t="str">
            <v>620.3</v>
          </cell>
          <cell r="B183" t="str">
            <v>620-07</v>
          </cell>
          <cell r="D183" t="str">
            <v>PRUEBA DE CARGA</v>
          </cell>
          <cell r="E183" t="str">
            <v>ML</v>
          </cell>
          <cell r="F183">
            <v>0</v>
          </cell>
          <cell r="H183" t="str">
            <v>3.6.6.4.6</v>
          </cell>
        </row>
        <row r="184">
          <cell r="A184" t="str">
            <v>620P</v>
          </cell>
          <cell r="B184" t="str">
            <v>620-07</v>
          </cell>
          <cell r="D184" t="str">
            <v>PILOTE EN MADERA DE D=15CM</v>
          </cell>
          <cell r="E184" t="str">
            <v>ML</v>
          </cell>
          <cell r="F184">
            <v>95807</v>
          </cell>
          <cell r="H184" t="str">
            <v>3.6.6.4</v>
          </cell>
        </row>
        <row r="185">
          <cell r="A185" t="str">
            <v>621.1</v>
          </cell>
          <cell r="B185" t="str">
            <v>621-07</v>
          </cell>
          <cell r="D185" t="str">
            <v>PILOTE DE CONCRETO FUNDIDO EN SITIO D=1M L=12M</v>
          </cell>
          <cell r="E185" t="str">
            <v>ML</v>
          </cell>
          <cell r="F185">
            <v>1342412</v>
          </cell>
          <cell r="G185" t="str">
            <v>3.6.6.3.1</v>
          </cell>
          <cell r="H185" t="str">
            <v>3.6.6.4.1</v>
          </cell>
        </row>
        <row r="186">
          <cell r="A186" t="str">
            <v>621.2</v>
          </cell>
          <cell r="B186" t="str">
            <v>621-07</v>
          </cell>
          <cell r="D186" t="str">
            <v>BASE ACAMPANADA FUNDIDA EN SITIO</v>
          </cell>
          <cell r="E186" t="str">
            <v>M³</v>
          </cell>
          <cell r="F186">
            <v>1450904</v>
          </cell>
          <cell r="H186" t="str">
            <v>3.6.6.4.2</v>
          </cell>
        </row>
        <row r="187">
          <cell r="A187" t="str">
            <v>621.3</v>
          </cell>
          <cell r="B187" t="str">
            <v>621-07</v>
          </cell>
          <cell r="D187" t="str">
            <v>PILOTE DE PRUEBA DE DIAMETRO</v>
          </cell>
          <cell r="E187" t="str">
            <v>ML</v>
          </cell>
          <cell r="F187">
            <v>0</v>
          </cell>
          <cell r="H187" t="str">
            <v>3.6.6.4.3</v>
          </cell>
        </row>
        <row r="188">
          <cell r="A188" t="str">
            <v>621.4</v>
          </cell>
          <cell r="B188" t="str">
            <v>621-07</v>
          </cell>
          <cell r="D188" t="str">
            <v>BASE ACAMPANADA DE PRUEBA</v>
          </cell>
          <cell r="E188" t="str">
            <v>M³</v>
          </cell>
          <cell r="F188">
            <v>0</v>
          </cell>
          <cell r="H188" t="str">
            <v xml:space="preserve"> 3.6.6.4.4</v>
          </cell>
        </row>
        <row r="189">
          <cell r="A189" t="str">
            <v>621.5</v>
          </cell>
          <cell r="B189" t="str">
            <v>621-07</v>
          </cell>
          <cell r="D189" t="str">
            <v>CAMISA PERMANENTE DE DIAMETRO EXTERIOR</v>
          </cell>
          <cell r="E189" t="str">
            <v>ML</v>
          </cell>
          <cell r="F189">
            <v>2908013</v>
          </cell>
          <cell r="G189" t="str">
            <v>3.6.6.4.5</v>
          </cell>
          <cell r="H189" t="str">
            <v>3.6.6.5.5</v>
          </cell>
        </row>
        <row r="190">
          <cell r="A190" t="str">
            <v>621.5P</v>
          </cell>
          <cell r="B190" t="str">
            <v>621-07</v>
          </cell>
          <cell r="C190" t="str">
            <v>621-07P</v>
          </cell>
          <cell r="D190" t="str">
            <v>CAMISA PERMANENTE DE DIAMETRO INTERIOR D=1M EN CONCRETO</v>
          </cell>
          <cell r="E190" t="str">
            <v>ML</v>
          </cell>
          <cell r="F190">
            <v>199845</v>
          </cell>
          <cell r="G190" t="str">
            <v>3.6.6.4.5</v>
          </cell>
          <cell r="H190" t="str">
            <v>3.6.6.4.5</v>
          </cell>
        </row>
        <row r="191">
          <cell r="A191" t="str">
            <v>621.6</v>
          </cell>
          <cell r="B191" t="str">
            <v>621-07</v>
          </cell>
          <cell r="D191" t="str">
            <v>PRUEBA DE CARGA</v>
          </cell>
          <cell r="E191" t="str">
            <v>U</v>
          </cell>
          <cell r="F191">
            <v>110628933</v>
          </cell>
          <cell r="H191" t="str">
            <v xml:space="preserve"> 3.6.6.4.6 </v>
          </cell>
        </row>
        <row r="192">
          <cell r="A192" t="str">
            <v>621.7</v>
          </cell>
          <cell r="B192" t="str">
            <v>621-07</v>
          </cell>
          <cell r="D192" t="str">
            <v>CAISSONS DE DIAMETRO INTERIOR 1,20 M EN CONCRETO CLASE C Y ANILLO E = 0,15 INCLUYE EXCAVACION BAJO AGUA Y BOMBEOS MAS PLASTIFICANTE SIKAMENT (SEGÚN REQUERIMIENTOS DE FABRICANTE) ( NO INCLUYE ACERO DE REFUERZO).</v>
          </cell>
          <cell r="E192" t="str">
            <v>M³</v>
          </cell>
          <cell r="F192">
            <v>1917004</v>
          </cell>
          <cell r="H192" t="str">
            <v>3.6.6.4</v>
          </cell>
          <cell r="I192" t="str">
            <v>NO INCLUIDO EN ESPECIFICACIONES 2007</v>
          </cell>
        </row>
        <row r="193">
          <cell r="A193" t="str">
            <v>622.1</v>
          </cell>
          <cell r="B193" t="str">
            <v>622-07</v>
          </cell>
          <cell r="D193" t="str">
            <v>TABLESTACADO DE MADERA</v>
          </cell>
          <cell r="E193" t="str">
            <v>M²</v>
          </cell>
          <cell r="F193">
            <v>329783</v>
          </cell>
          <cell r="H193" t="str">
            <v>3.6.6.5.1</v>
          </cell>
        </row>
        <row r="194">
          <cell r="A194" t="str">
            <v>622.2</v>
          </cell>
          <cell r="B194" t="str">
            <v>622-07</v>
          </cell>
          <cell r="D194" t="str">
            <v>TABLESTACADO METALICO</v>
          </cell>
          <cell r="E194" t="str">
            <v>M²</v>
          </cell>
          <cell r="F194">
            <v>0</v>
          </cell>
          <cell r="H194" t="str">
            <v>3.6.6.5.3</v>
          </cell>
        </row>
        <row r="195">
          <cell r="A195" t="str">
            <v>622.3</v>
          </cell>
          <cell r="B195" t="str">
            <v>622-07</v>
          </cell>
          <cell r="D195" t="str">
            <v>TABLESTACADO DE CONCRETO REFORZADO</v>
          </cell>
          <cell r="E195" t="str">
            <v>M²</v>
          </cell>
          <cell r="F195">
            <v>0</v>
          </cell>
          <cell r="H195" t="str">
            <v>3.6.6.5.2</v>
          </cell>
        </row>
        <row r="196">
          <cell r="A196" t="str">
            <v>622.4</v>
          </cell>
          <cell r="B196" t="str">
            <v>622-07</v>
          </cell>
          <cell r="D196" t="str">
            <v>TABLESTACADO DE CONCRETO PREESFORZADO</v>
          </cell>
          <cell r="E196" t="str">
            <v>M²</v>
          </cell>
          <cell r="F196">
            <v>0</v>
          </cell>
          <cell r="H196" t="str">
            <v>3.6.6.5.4 </v>
          </cell>
        </row>
        <row r="197">
          <cell r="A197" t="str">
            <v>622.5</v>
          </cell>
          <cell r="B197" t="str">
            <v>622-07</v>
          </cell>
          <cell r="D197" t="str">
            <v>CORTE DEL EXTREMO SUPERIOR DEL ELEMENTO</v>
          </cell>
          <cell r="E197" t="str">
            <v>ML</v>
          </cell>
          <cell r="F197">
            <v>34261.624130793462</v>
          </cell>
          <cell r="H197" t="str">
            <v>3.6.6.5.5</v>
          </cell>
          <cell r="I197" t="str">
            <v>POR REALIZAR UNITARIOS DE ITEMS 623,1Y 623,2</v>
          </cell>
        </row>
        <row r="198">
          <cell r="A198" t="str">
            <v>623.1</v>
          </cell>
          <cell r="B198" t="str">
            <v>623-07</v>
          </cell>
          <cell r="D198" t="str">
            <v>ANCLAJE TIPO</v>
          </cell>
          <cell r="E198" t="str">
            <v>ML</v>
          </cell>
          <cell r="H198" t="str">
            <v>3.6.6.8</v>
          </cell>
        </row>
        <row r="199">
          <cell r="A199" t="str">
            <v>623.2</v>
          </cell>
          <cell r="B199" t="str">
            <v>623-07</v>
          </cell>
          <cell r="D199" t="str">
            <v>PRUEBA DE CARGA</v>
          </cell>
          <cell r="E199" t="str">
            <v>U</v>
          </cell>
          <cell r="H199" t="str">
            <v>3.6.6.8</v>
          </cell>
        </row>
        <row r="200">
          <cell r="A200" t="str">
            <v>630.1</v>
          </cell>
          <cell r="B200" t="str">
            <v>630-07</v>
          </cell>
          <cell r="D200" t="str">
            <v>CONCRETO CLASE A</v>
          </cell>
          <cell r="E200" t="str">
            <v>M³</v>
          </cell>
          <cell r="F200">
            <v>1009680</v>
          </cell>
          <cell r="H200" t="str">
            <v>3.6.6.6.8</v>
          </cell>
        </row>
        <row r="201">
          <cell r="A201" t="str">
            <v>630.2</v>
          </cell>
          <cell r="B201" t="str">
            <v>630-07</v>
          </cell>
          <cell r="D201" t="str">
            <v>CONCRETO CLASE B</v>
          </cell>
          <cell r="E201" t="str">
            <v>M³</v>
          </cell>
          <cell r="F201">
            <v>920504</v>
          </cell>
          <cell r="H201" t="str">
            <v>3.6.6.6.17</v>
          </cell>
        </row>
        <row r="202">
          <cell r="A202" t="str">
            <v>630.3</v>
          </cell>
          <cell r="B202" t="str">
            <v>630-07</v>
          </cell>
          <cell r="D202" t="str">
            <v>CONCRETO CLASE C</v>
          </cell>
          <cell r="E202" t="str">
            <v>M³</v>
          </cell>
          <cell r="F202">
            <v>620984</v>
          </cell>
          <cell r="G202" t="str">
            <v>3.6.6.6.26</v>
          </cell>
          <cell r="H202" t="str">
            <v xml:space="preserve"> 3.6.6.6.26</v>
          </cell>
        </row>
        <row r="203">
          <cell r="A203" t="str">
            <v>630.4</v>
          </cell>
          <cell r="B203" t="str">
            <v>630-07</v>
          </cell>
          <cell r="D203" t="str">
            <v>CONCRETO CLASE D</v>
          </cell>
          <cell r="E203" t="str">
            <v>M³</v>
          </cell>
          <cell r="F203">
            <v>500999</v>
          </cell>
          <cell r="G203" t="str">
            <v>3.6.6.6.35</v>
          </cell>
          <cell r="H203" t="str">
            <v xml:space="preserve">3.6.6.6.35 </v>
          </cell>
        </row>
        <row r="204">
          <cell r="A204" t="str">
            <v>630.5</v>
          </cell>
          <cell r="B204" t="str">
            <v>630-07</v>
          </cell>
          <cell r="D204" t="str">
            <v>CONCRETO CLASE E</v>
          </cell>
          <cell r="E204" t="str">
            <v>M³</v>
          </cell>
          <cell r="F204">
            <v>473816</v>
          </cell>
          <cell r="G204" t="str">
            <v>3.6.6.6.44</v>
          </cell>
          <cell r="H204" t="str">
            <v>3.6.6.6.44</v>
          </cell>
        </row>
        <row r="205">
          <cell r="A205" t="str">
            <v>630.6</v>
          </cell>
          <cell r="B205" t="str">
            <v>630-07</v>
          </cell>
          <cell r="D205" t="str">
            <v>CONCRETO CLASE F</v>
          </cell>
          <cell r="E205" t="str">
            <v>M³</v>
          </cell>
          <cell r="F205">
            <v>410242</v>
          </cell>
          <cell r="G205" t="str">
            <v>3.6.6.6.46</v>
          </cell>
          <cell r="H205" t="str">
            <v>3.6.6.6.46</v>
          </cell>
        </row>
        <row r="206">
          <cell r="A206" t="str">
            <v>630.7</v>
          </cell>
          <cell r="B206" t="str">
            <v>630-07</v>
          </cell>
          <cell r="D206" t="str">
            <v>CONCRETO CLASE G</v>
          </cell>
          <cell r="E206" t="str">
            <v>M³</v>
          </cell>
          <cell r="F206">
            <v>333042</v>
          </cell>
          <cell r="G206" t="str">
            <v>3.6.6.6.47</v>
          </cell>
          <cell r="H206" t="str">
            <v>3.6.6.6.47</v>
          </cell>
        </row>
        <row r="207">
          <cell r="A207" t="str">
            <v>630P</v>
          </cell>
          <cell r="B207" t="str">
            <v>630-07</v>
          </cell>
          <cell r="D207" t="str">
            <v>MORTERO 1.3</v>
          </cell>
          <cell r="E207" t="str">
            <v>M³</v>
          </cell>
          <cell r="F207">
            <v>372309</v>
          </cell>
          <cell r="H207" t="str">
            <v>3.3.5.3.6</v>
          </cell>
        </row>
        <row r="208">
          <cell r="A208" t="str">
            <v>631P</v>
          </cell>
          <cell r="B208" t="str">
            <v>631-07</v>
          </cell>
          <cell r="C208" t="str">
            <v>631-07P</v>
          </cell>
          <cell r="D208" t="str">
            <v>BOLSACRETOS</v>
          </cell>
          <cell r="E208" t="str">
            <v>M³</v>
          </cell>
          <cell r="F208">
            <v>644801.33704999997</v>
          </cell>
          <cell r="G208" t="str">
            <v>3.6.6.21.2</v>
          </cell>
          <cell r="H208" t="str">
            <v>3.6.6.21.2</v>
          </cell>
        </row>
        <row r="209">
          <cell r="A209" t="str">
            <v>632.1</v>
          </cell>
          <cell r="B209" t="str">
            <v>632-07</v>
          </cell>
          <cell r="D209" t="str">
            <v>BARANDA DE CONCRETO 1.05*0.35</v>
          </cell>
          <cell r="E209" t="str">
            <v>ML</v>
          </cell>
          <cell r="F209">
            <v>110953</v>
          </cell>
          <cell r="G209" t="str">
            <v>3.6.6.7.1</v>
          </cell>
          <cell r="H209" t="str">
            <v>3.6.6.7.1</v>
          </cell>
        </row>
        <row r="210">
          <cell r="A210" t="str">
            <v>632P</v>
          </cell>
          <cell r="B210" t="str">
            <v>632-07</v>
          </cell>
          <cell r="C210" t="str">
            <v>632-07P</v>
          </cell>
          <cell r="D210" t="str">
            <v>BARANDA METALICA</v>
          </cell>
          <cell r="E210" t="str">
            <v>ML</v>
          </cell>
          <cell r="F210">
            <v>346943</v>
          </cell>
          <cell r="H210" t="str">
            <v>3.6.6.11</v>
          </cell>
        </row>
        <row r="211">
          <cell r="A211" t="str">
            <v>640.1.1</v>
          </cell>
          <cell r="B211" t="str">
            <v>640-07</v>
          </cell>
          <cell r="D211" t="str">
            <v>ACERO DE REFUERZO fy 260 Mpa</v>
          </cell>
          <cell r="E211" t="str">
            <v>KG</v>
          </cell>
          <cell r="F211">
            <v>4225</v>
          </cell>
          <cell r="H211" t="str">
            <v>3.6.6.8.1 </v>
          </cell>
        </row>
        <row r="212">
          <cell r="A212" t="str">
            <v>640.2</v>
          </cell>
          <cell r="B212" t="str">
            <v>640-07</v>
          </cell>
          <cell r="D212" t="str">
            <v>MALLA DE REFUERZO fy 260 Mpa</v>
          </cell>
          <cell r="E212" t="str">
            <v>KG</v>
          </cell>
          <cell r="F212">
            <v>3952</v>
          </cell>
          <cell r="H212" t="str">
            <v> 3.6.6.8.2 </v>
          </cell>
          <cell r="I212" t="str">
            <v>NO INCLUIDO EN ESPECIFICACIONES 2007</v>
          </cell>
        </row>
        <row r="213">
          <cell r="A213" t="str">
            <v>640.1</v>
          </cell>
          <cell r="B213" t="str">
            <v>640-07</v>
          </cell>
          <cell r="D213" t="str">
            <v>ACERO DE REFUERZO fy 480 Mpa</v>
          </cell>
          <cell r="E213" t="str">
            <v>KG</v>
          </cell>
          <cell r="F213">
            <v>4225</v>
          </cell>
          <cell r="G213" t="str">
            <v>3.6.6.8.3</v>
          </cell>
          <cell r="H213" t="str">
            <v>3.6.6.8.1 </v>
          </cell>
          <cell r="I213" t="str">
            <v>NO INCLUIDO EN ESPECIFICACIONES 2007</v>
          </cell>
        </row>
        <row r="214">
          <cell r="A214" t="str">
            <v>641.1</v>
          </cell>
          <cell r="B214" t="str">
            <v>641-07</v>
          </cell>
          <cell r="D214" t="str">
            <v>ACERO DE PREESFUERZO</v>
          </cell>
          <cell r="E214" t="str">
            <v>TON-M</v>
          </cell>
          <cell r="F214">
            <v>1290</v>
          </cell>
          <cell r="G214" t="str">
            <v>3.6.6.9.1</v>
          </cell>
          <cell r="H214" t="str">
            <v>3.6.6.9.1</v>
          </cell>
        </row>
        <row r="215">
          <cell r="A215" t="str">
            <v>641P</v>
          </cell>
          <cell r="B215" t="str">
            <v>641-07</v>
          </cell>
          <cell r="D215" t="str">
            <v>ANCLAJE EN ROCA DE D=4" CON 3 TORONES DE 1/2" POSTENSADOS</v>
          </cell>
          <cell r="E215" t="str">
            <v>TON-M</v>
          </cell>
          <cell r="F215">
            <v>344739</v>
          </cell>
          <cell r="H215" t="str">
            <v>3.6.6.9</v>
          </cell>
        </row>
        <row r="216">
          <cell r="A216" t="str">
            <v>642.1</v>
          </cell>
          <cell r="B216" t="str">
            <v>642-07</v>
          </cell>
          <cell r="D216" t="str">
            <v>APOYO ELASTOMERICO</v>
          </cell>
          <cell r="E216" t="str">
            <v>U (DM³)</v>
          </cell>
          <cell r="F216">
            <v>397840</v>
          </cell>
          <cell r="G216" t="str">
            <v>3.6.6.10.1</v>
          </cell>
          <cell r="H216" t="str">
            <v>3.6.6.10.1</v>
          </cell>
        </row>
        <row r="217">
          <cell r="A217" t="str">
            <v>642.2</v>
          </cell>
          <cell r="B217" t="str">
            <v>642-07</v>
          </cell>
          <cell r="D217" t="str">
            <v>SELLO PARA JUNTAS DE PUENTES</v>
          </cell>
          <cell r="E217" t="str">
            <v>ML</v>
          </cell>
          <cell r="F217">
            <v>46791</v>
          </cell>
          <cell r="G217" t="str">
            <v>3.6.6.10.2</v>
          </cell>
          <cell r="H217" t="str">
            <v>3.6.6.10.2</v>
          </cell>
        </row>
        <row r="218">
          <cell r="A218" t="str">
            <v>642P1</v>
          </cell>
          <cell r="B218" t="str">
            <v>642-07</v>
          </cell>
          <cell r="D218" t="str">
            <v>CONSTRUCCION JUNTAS ELASTOMERICAS DE 30CM DE ANCHO</v>
          </cell>
          <cell r="E218" t="str">
            <v>ML</v>
          </cell>
          <cell r="F218">
            <v>889267</v>
          </cell>
          <cell r="H218" t="str">
            <v>3.6.6.10</v>
          </cell>
        </row>
        <row r="219">
          <cell r="A219" t="str">
            <v>642P2</v>
          </cell>
          <cell r="B219" t="str">
            <v>642-07</v>
          </cell>
          <cell r="D219" t="str">
            <v>JUNTA ELASTOMERICA M100</v>
          </cell>
          <cell r="E219" t="str">
            <v>ML</v>
          </cell>
          <cell r="F219">
            <v>1888489.8716303227</v>
          </cell>
          <cell r="G219" t="str">
            <v>3.6.6.10.2</v>
          </cell>
          <cell r="H219" t="str">
            <v>3.6.6.10</v>
          </cell>
        </row>
        <row r="220">
          <cell r="A220" t="str">
            <v>642P3</v>
          </cell>
          <cell r="B220" t="str">
            <v>642-07</v>
          </cell>
          <cell r="D220" t="str">
            <v>JUNTA ELASTOMERICA M60</v>
          </cell>
          <cell r="E220" t="str">
            <v>ML</v>
          </cell>
          <cell r="F220">
            <v>1555915.8116303226</v>
          </cell>
          <cell r="H220" t="str">
            <v>3.6.6.10</v>
          </cell>
        </row>
        <row r="221">
          <cell r="A221" t="str">
            <v>650.1</v>
          </cell>
          <cell r="B221" t="str">
            <v>650-07</v>
          </cell>
          <cell r="D221" t="str">
            <v>DISEÑO Y FABRICACION DE ESTRUCTURA METALICA</v>
          </cell>
          <cell r="E221" t="str">
            <v>KG</v>
          </cell>
          <cell r="F221">
            <v>0</v>
          </cell>
          <cell r="H221" t="str">
            <v>3.6.6.11.1</v>
          </cell>
        </row>
        <row r="222">
          <cell r="A222" t="str">
            <v>650.2</v>
          </cell>
          <cell r="B222" t="str">
            <v>650-07</v>
          </cell>
          <cell r="D222" t="str">
            <v>FABRICACION DE LA ESTRUCTURA METALICA</v>
          </cell>
          <cell r="E222" t="str">
            <v>KG</v>
          </cell>
          <cell r="F222">
            <v>9539</v>
          </cell>
          <cell r="H222" t="str">
            <v>3.6.6.11.2</v>
          </cell>
        </row>
        <row r="223">
          <cell r="A223" t="str">
            <v>650.3</v>
          </cell>
          <cell r="B223" t="str">
            <v>650-07</v>
          </cell>
          <cell r="D223" t="str">
            <v>TRANSPORTE DE LA ESTRUCTURA METALICA</v>
          </cell>
          <cell r="E223" t="str">
            <v>KG</v>
          </cell>
          <cell r="F223">
            <v>4550</v>
          </cell>
          <cell r="H223" t="str">
            <v>3.6.6.11.7</v>
          </cell>
        </row>
        <row r="224">
          <cell r="A224" t="str">
            <v>650.3 OTRO</v>
          </cell>
          <cell r="B224" t="str">
            <v>650-07</v>
          </cell>
          <cell r="D224" t="str">
            <v>TRANSPORTE DE LA ESTRUCTURA METALICA</v>
          </cell>
          <cell r="E224" t="str">
            <v>KG</v>
          </cell>
          <cell r="F224">
            <v>342</v>
          </cell>
          <cell r="H224" t="str">
            <v>3.6.6.11.7</v>
          </cell>
        </row>
        <row r="225">
          <cell r="A225" t="str">
            <v>650.4</v>
          </cell>
          <cell r="B225" t="str">
            <v>650-07</v>
          </cell>
          <cell r="D225" t="str">
            <v>MONTAJE Y PINTURA DE ESTRUCTURA METALICA</v>
          </cell>
          <cell r="E225" t="str">
            <v>KG</v>
          </cell>
          <cell r="F225">
            <v>1243</v>
          </cell>
          <cell r="H225" t="str">
            <v>3.6.6.11.6</v>
          </cell>
        </row>
        <row r="226">
          <cell r="A226" t="str">
            <v>660.1</v>
          </cell>
          <cell r="B226" t="str">
            <v>660-07</v>
          </cell>
          <cell r="D226" t="str">
            <v>TUBERIA DE CONCRETO SIMPLE DE DIAMETRO 450 MM</v>
          </cell>
          <cell r="E226" t="str">
            <v>ML</v>
          </cell>
          <cell r="F226">
            <v>299172</v>
          </cell>
          <cell r="G226" t="str">
            <v>3.6.6.12.7</v>
          </cell>
          <cell r="H226" t="str">
            <v>3.6.6.12.9 </v>
          </cell>
        </row>
        <row r="227">
          <cell r="A227" t="str">
            <v>660.2</v>
          </cell>
          <cell r="B227" t="str">
            <v>660-07</v>
          </cell>
          <cell r="D227" t="str">
            <v>TUBERIA DE CONCRETO SIMPLE 500 MM</v>
          </cell>
          <cell r="E227" t="str">
            <v>ML</v>
          </cell>
          <cell r="F227">
            <v>367961</v>
          </cell>
          <cell r="G227" t="str">
            <v>3.6.6.12.18</v>
          </cell>
          <cell r="H227" t="str">
            <v>3.6.6.12.8</v>
          </cell>
        </row>
        <row r="228">
          <cell r="A228" t="str">
            <v>660.3</v>
          </cell>
          <cell r="B228" t="str">
            <v>660-07</v>
          </cell>
          <cell r="D228" t="str">
            <v>TUBERIA DE CONCRETO SIMPLE 600 MM</v>
          </cell>
          <cell r="E228" t="str">
            <v>ML</v>
          </cell>
          <cell r="F228">
            <v>488243</v>
          </cell>
          <cell r="G228" t="str">
            <v>3.6.6.12.17</v>
          </cell>
          <cell r="H228" t="str">
            <v>3.6.6.12.9</v>
          </cell>
        </row>
        <row r="229">
          <cell r="A229" t="str">
            <v>661.1</v>
          </cell>
          <cell r="B229" t="str">
            <v>661-07</v>
          </cell>
          <cell r="D229" t="str">
            <v>TUBERIA DE CONCRETO REFORZADO 900 MM DE DIAMETRO INTERIOR</v>
          </cell>
          <cell r="E229" t="str">
            <v>ML</v>
          </cell>
          <cell r="F229">
            <v>556903</v>
          </cell>
          <cell r="G229" t="str">
            <v>3.6.6.13.4</v>
          </cell>
          <cell r="H229" t="str">
            <v>3.6.6.13.4</v>
          </cell>
        </row>
        <row r="230">
          <cell r="A230">
            <v>661</v>
          </cell>
          <cell r="B230" t="str">
            <v>661-07</v>
          </cell>
          <cell r="D230" t="str">
            <v>TUBERIA DE CONCRETO REFORZADO 900 MM (TIPO 2)</v>
          </cell>
          <cell r="E230" t="str">
            <v>ML</v>
          </cell>
          <cell r="F230">
            <v>485457</v>
          </cell>
          <cell r="G230" t="str">
            <v>3.6.6.13.20</v>
          </cell>
          <cell r="H230" t="e">
            <v>#N/A</v>
          </cell>
          <cell r="I230" t="str">
            <v>NO INCLUIDO EN ESPECIFICACIONES 2007</v>
          </cell>
        </row>
        <row r="231">
          <cell r="A231" t="str">
            <v>661 OTRO</v>
          </cell>
          <cell r="B231" t="str">
            <v>661-07</v>
          </cell>
          <cell r="D231" t="str">
            <v>TUBERIA DE CONCRETO REFORZADO 900 MM</v>
          </cell>
          <cell r="E231" t="str">
            <v>ML</v>
          </cell>
          <cell r="F231">
            <v>334371</v>
          </cell>
          <cell r="G231" t="str">
            <v>3.6.6.13.4</v>
          </cell>
          <cell r="H231" t="str">
            <v>3.6.6.13</v>
          </cell>
        </row>
        <row r="232">
          <cell r="A232" t="str">
            <v>662.1</v>
          </cell>
          <cell r="B232" t="str">
            <v>662-07</v>
          </cell>
          <cell r="D232" t="str">
            <v>TUBERIA CORRUGADA DE ACERO GALVANIZADO</v>
          </cell>
          <cell r="E232" t="str">
            <v>ML</v>
          </cell>
          <cell r="F232">
            <v>458078</v>
          </cell>
          <cell r="H232" t="str">
            <v>3.3.14.19.1</v>
          </cell>
        </row>
        <row r="233">
          <cell r="A233" t="str">
            <v>662.2</v>
          </cell>
          <cell r="B233" t="str">
            <v>662-07</v>
          </cell>
          <cell r="D233" t="str">
            <v>TUBERIA CORRUGADA DE ACERO CON RECUBRIMIENTO BITUMINOSO</v>
          </cell>
          <cell r="E233" t="str">
            <v>ML</v>
          </cell>
          <cell r="F233">
            <v>449215</v>
          </cell>
          <cell r="H233" t="str">
            <v>3.6.6.14</v>
          </cell>
        </row>
        <row r="234">
          <cell r="A234" t="str">
            <v>670.1</v>
          </cell>
          <cell r="B234" t="str">
            <v>670-07</v>
          </cell>
          <cell r="D234" t="str">
            <v>DISIPADOR DE ENERGIA Y SEDIMENTADOR EN GAVIONES (con recubrimiento)</v>
          </cell>
          <cell r="E234" t="str">
            <v>M³</v>
          </cell>
          <cell r="F234">
            <v>244187</v>
          </cell>
          <cell r="G234" t="str">
            <v>3.6.6.15.1</v>
          </cell>
          <cell r="H234" t="str">
            <v>3.6.6.15.2</v>
          </cell>
        </row>
        <row r="235">
          <cell r="A235" t="str">
            <v>670.2</v>
          </cell>
          <cell r="B235" t="str">
            <v>670-07</v>
          </cell>
          <cell r="D235" t="str">
            <v>DISIPADOR DE ENERGIA Y SEDIMENTADOR EN CONCRETO CICLOPEO</v>
          </cell>
          <cell r="E235" t="str">
            <v>M³</v>
          </cell>
          <cell r="F235">
            <v>438967</v>
          </cell>
          <cell r="G235" t="str">
            <v>3.6.6.15.2</v>
          </cell>
          <cell r="H235" t="str">
            <v>3.6.6.15.2</v>
          </cell>
        </row>
        <row r="236">
          <cell r="A236" t="str">
            <v>671.1</v>
          </cell>
          <cell r="B236" t="str">
            <v>671-07</v>
          </cell>
          <cell r="D236" t="str">
            <v>CUNETAS DE CONCRETO FUNDIDA EN EL LUGAR</v>
          </cell>
          <cell r="E236" t="str">
            <v>M³</v>
          </cell>
          <cell r="F236">
            <v>600321</v>
          </cell>
          <cell r="G236" t="str">
            <v>3.6.6.16.5</v>
          </cell>
          <cell r="H236" t="str">
            <v>3.6.6.16.1</v>
          </cell>
        </row>
        <row r="237">
          <cell r="A237" t="str">
            <v>671.2</v>
          </cell>
          <cell r="B237" t="str">
            <v>671-07</v>
          </cell>
          <cell r="D237" t="str">
            <v>CUNETA PREFABRICADA DE CONCRETO</v>
          </cell>
          <cell r="E237" t="str">
            <v>ML</v>
          </cell>
          <cell r="F237">
            <v>194388</v>
          </cell>
          <cell r="H237" t="str">
            <v> 3.6.6.16.8</v>
          </cell>
        </row>
        <row r="238">
          <cell r="A238" t="str">
            <v>672.1</v>
          </cell>
          <cell r="B238" t="str">
            <v>672-07</v>
          </cell>
          <cell r="D238" t="str">
            <v>BORDILLO DE CONCRETO</v>
          </cell>
          <cell r="E238" t="str">
            <v>ML</v>
          </cell>
          <cell r="F238">
            <v>129001</v>
          </cell>
          <cell r="G238" t="str">
            <v>3.6.6.17.14</v>
          </cell>
          <cell r="H238" t="str">
            <v>3.6.6.19.2</v>
          </cell>
        </row>
        <row r="239">
          <cell r="A239" t="str">
            <v>673.2</v>
          </cell>
          <cell r="B239" t="str">
            <v>673-07</v>
          </cell>
          <cell r="D239" t="str">
            <v>GEOTEXTIL</v>
          </cell>
          <cell r="E239" t="str">
            <v>M²</v>
          </cell>
          <cell r="F239">
            <v>5720</v>
          </cell>
          <cell r="G239" t="str">
            <v>3.6.8.2.5</v>
          </cell>
          <cell r="H239" t="str">
            <v>3.6.8.1.2</v>
          </cell>
        </row>
        <row r="240">
          <cell r="A240" t="str">
            <v>673.1</v>
          </cell>
          <cell r="B240" t="str">
            <v>673-07</v>
          </cell>
          <cell r="D240" t="str">
            <v>MATERIAL GRANULAR FILTRANTE</v>
          </cell>
          <cell r="E240" t="str">
            <v>M³</v>
          </cell>
          <cell r="F240">
            <v>122853</v>
          </cell>
          <cell r="G240" t="str">
            <v>3.6.6.19.1</v>
          </cell>
          <cell r="H240" t="str">
            <v>3.6.6.19.2</v>
          </cell>
        </row>
        <row r="241">
          <cell r="A241" t="str">
            <v>673.3</v>
          </cell>
          <cell r="B241" t="str">
            <v>673-07</v>
          </cell>
          <cell r="D241" t="str">
            <v>MATERIAL DE COBERTURA</v>
          </cell>
          <cell r="E241" t="str">
            <v>M³</v>
          </cell>
          <cell r="F241">
            <v>145231</v>
          </cell>
          <cell r="H241" t="str">
            <v>3.6.8.1.2</v>
          </cell>
        </row>
        <row r="242">
          <cell r="A242" t="str">
            <v>674.1</v>
          </cell>
          <cell r="B242" t="str">
            <v>674-07</v>
          </cell>
          <cell r="D242" t="str">
            <v>DREN HORIZONTAL DE LONGITU MENOR O IGUAL A 10 M</v>
          </cell>
          <cell r="E242" t="str">
            <v>ML</v>
          </cell>
          <cell r="F242">
            <v>130159</v>
          </cell>
          <cell r="H242" t="str">
            <v>3.6.6.20.1</v>
          </cell>
        </row>
        <row r="243">
          <cell r="A243" t="str">
            <v>674.2</v>
          </cell>
          <cell r="B243" t="str">
            <v>674-07</v>
          </cell>
          <cell r="D243" t="str">
            <v>DREN HORIZONTAL DE LONGITU MAYOR O IGUAL A 10 M</v>
          </cell>
          <cell r="E243" t="str">
            <v>ML</v>
          </cell>
          <cell r="F243">
            <v>168508</v>
          </cell>
          <cell r="H243" t="str">
            <v>3.6.6.20.2</v>
          </cell>
        </row>
        <row r="244">
          <cell r="A244" t="str">
            <v>675.1</v>
          </cell>
          <cell r="B244" t="str">
            <v>675-07</v>
          </cell>
          <cell r="D244" t="str">
            <v>GEOTEXTIL PARA PAVIMENTACION Y REPAVIMENTACION</v>
          </cell>
          <cell r="E244" t="str">
            <v>M²</v>
          </cell>
          <cell r="F244">
            <v>5906</v>
          </cell>
          <cell r="H244" t="str">
            <v> 3.6.8.2.6 </v>
          </cell>
          <cell r="I244" t="str">
            <v>NO INCLUIDO EN ESPECIFICACIONES 2007</v>
          </cell>
        </row>
        <row r="245">
          <cell r="A245" t="str">
            <v>675.2</v>
          </cell>
          <cell r="B245" t="str">
            <v>675-07</v>
          </cell>
          <cell r="D245" t="str">
            <v>EMULSION ASFALTICA PARA RETENCION DE GEOTEXTILES</v>
          </cell>
          <cell r="E245" t="str">
            <v>LT</v>
          </cell>
          <cell r="F245">
            <v>2864</v>
          </cell>
          <cell r="H245" t="str">
            <v>3.6.4.2</v>
          </cell>
          <cell r="I245" t="str">
            <v>NO INCLUIDO EN ESPECIFICACIONES 2007</v>
          </cell>
        </row>
        <row r="246">
          <cell r="A246" t="str">
            <v>675.3</v>
          </cell>
          <cell r="B246" t="str">
            <v>675-07</v>
          </cell>
          <cell r="D246" t="str">
            <v>CEMENTO ASFALTICO PARA RETENCION DE GEOTEXTILES</v>
          </cell>
          <cell r="E246" t="str">
            <v>KG</v>
          </cell>
          <cell r="F246">
            <v>2613</v>
          </cell>
          <cell r="H246" t="str">
            <v>3.6.4.1.2</v>
          </cell>
          <cell r="I246" t="str">
            <v>NO INCLUIDO EN ESPECIFICACIONES 2007</v>
          </cell>
        </row>
        <row r="247">
          <cell r="A247" t="str">
            <v>680.1</v>
          </cell>
          <cell r="B247" t="str">
            <v>680-07</v>
          </cell>
          <cell r="D247" t="str">
            <v>ESCAMAS EN CONCRETO</v>
          </cell>
          <cell r="E247" t="str">
            <v>M²</v>
          </cell>
          <cell r="F247">
            <v>330234</v>
          </cell>
          <cell r="G247" t="str">
            <v>3.6.6.20.1</v>
          </cell>
          <cell r="H247" t="str">
            <v>3.6.6.20.1</v>
          </cell>
        </row>
        <row r="248">
          <cell r="A248" t="str">
            <v>680.2</v>
          </cell>
          <cell r="B248" t="str">
            <v>680-07</v>
          </cell>
          <cell r="D248" t="str">
            <v>ARMADURA GALVANIZADA</v>
          </cell>
          <cell r="E248" t="str">
            <v>ML</v>
          </cell>
          <cell r="F248">
            <v>202127</v>
          </cell>
          <cell r="G248" t="str">
            <v>3.6.6.20.2</v>
          </cell>
          <cell r="H248" t="str">
            <v>3.6.6.20.2</v>
          </cell>
        </row>
        <row r="249">
          <cell r="A249" t="str">
            <v>680.3</v>
          </cell>
          <cell r="B249" t="str">
            <v>680-07</v>
          </cell>
          <cell r="D249" t="str">
            <v>RELLENO GRANULAR PARA TIERRA ARMADA</v>
          </cell>
          <cell r="E249" t="str">
            <v>M³</v>
          </cell>
          <cell r="F249">
            <v>159963</v>
          </cell>
          <cell r="G249" t="str">
            <v>3.6.6.20.3</v>
          </cell>
          <cell r="H249" t="str">
            <v>3.6.6.20.3</v>
          </cell>
        </row>
        <row r="250">
          <cell r="A250" t="str">
            <v>680P</v>
          </cell>
          <cell r="B250" t="str">
            <v>680-07</v>
          </cell>
          <cell r="D250" t="str">
            <v>EMPEDRADO PARA TALUDES</v>
          </cell>
          <cell r="E250" t="str">
            <v>M²</v>
          </cell>
          <cell r="F250">
            <v>56342.903174999999</v>
          </cell>
          <cell r="H250" t="str">
            <v>3.3.11.3</v>
          </cell>
        </row>
        <row r="251">
          <cell r="A251" t="str">
            <v>681.1</v>
          </cell>
          <cell r="B251" t="str">
            <v>681-07</v>
          </cell>
          <cell r="D251" t="str">
            <v>GAVIONES</v>
          </cell>
          <cell r="E251" t="str">
            <v>M³</v>
          </cell>
          <cell r="F251">
            <v>190725</v>
          </cell>
          <cell r="G251" t="str">
            <v>3.6.6.21.1</v>
          </cell>
          <cell r="H251" t="str">
            <v xml:space="preserve">3.6.6.21.1  </v>
          </cell>
        </row>
        <row r="252">
          <cell r="A252" t="str">
            <v>680.1P</v>
          </cell>
          <cell r="B252" t="str">
            <v>682-07</v>
          </cell>
          <cell r="D252" t="str">
            <v>MURO DE CONTENCION DE SUELO REFORZADO CON GEOTEXTIL</v>
          </cell>
          <cell r="E252" t="str">
            <v>M³</v>
          </cell>
          <cell r="F252">
            <v>170476</v>
          </cell>
          <cell r="G252" t="str">
            <v>3.6.6.22.1</v>
          </cell>
          <cell r="H252" t="str">
            <v>3.6.6.20.1 </v>
          </cell>
        </row>
        <row r="253">
          <cell r="A253" t="str">
            <v>682.1</v>
          </cell>
          <cell r="B253" t="str">
            <v>682-07</v>
          </cell>
          <cell r="D253" t="str">
            <v>COLCHOGAVIONES</v>
          </cell>
          <cell r="E253" t="str">
            <v>M³</v>
          </cell>
          <cell r="F253">
            <v>150562</v>
          </cell>
          <cell r="G253" t="str">
            <v>3.2.7.5.3</v>
          </cell>
          <cell r="H253" t="str">
            <v>3.2.7.5.3</v>
          </cell>
        </row>
        <row r="254">
          <cell r="A254" t="str">
            <v>690.1</v>
          </cell>
          <cell r="B254" t="str">
            <v>690-07</v>
          </cell>
          <cell r="D254" t="str">
            <v>IMPERMEABILIZACION DE ESTRUCTURAS</v>
          </cell>
          <cell r="E254" t="str">
            <v>M²</v>
          </cell>
          <cell r="F254">
            <v>35930</v>
          </cell>
          <cell r="H254" t="str">
            <v>3.6.7.1.1</v>
          </cell>
        </row>
        <row r="255">
          <cell r="A255" t="str">
            <v>700.1</v>
          </cell>
          <cell r="B255" t="str">
            <v>700-07</v>
          </cell>
          <cell r="D255" t="str">
            <v>LINEA DE DEMARCACION CON PINTURA EN FRIO</v>
          </cell>
          <cell r="E255" t="str">
            <v>ML</v>
          </cell>
          <cell r="F255">
            <v>1396</v>
          </cell>
          <cell r="G255" t="str">
            <v>3.6.7.1.3</v>
          </cell>
          <cell r="H255" t="str">
            <v>3.6.7.1.1</v>
          </cell>
        </row>
        <row r="256">
          <cell r="A256" t="str">
            <v>700.2</v>
          </cell>
          <cell r="B256" t="str">
            <v>700-07</v>
          </cell>
          <cell r="D256" t="str">
            <v>LINEA DE DEMARCACION CON RESINA TERMOPLASTICA</v>
          </cell>
          <cell r="E256" t="str">
            <v>ML</v>
          </cell>
          <cell r="F256">
            <v>8085</v>
          </cell>
          <cell r="H256" t="str">
            <v>3.6.7.1.6</v>
          </cell>
        </row>
        <row r="257">
          <cell r="A257" t="str">
            <v>700.3</v>
          </cell>
          <cell r="B257" t="str">
            <v>700-07</v>
          </cell>
          <cell r="D257" t="str">
            <v>MARCA VIAL CON PINTURA EN FRIO</v>
          </cell>
          <cell r="E257" t="str">
            <v>M²</v>
          </cell>
          <cell r="F257">
            <v>21512</v>
          </cell>
          <cell r="G257" t="str">
            <v>3,6,7,1,4</v>
          </cell>
          <cell r="H257" t="str">
            <v> 3.6.7.1.2</v>
          </cell>
        </row>
        <row r="258">
          <cell r="A258" t="str">
            <v>700.4</v>
          </cell>
          <cell r="B258" t="str">
            <v>700-07</v>
          </cell>
          <cell r="D258" t="str">
            <v>MARCA VIAL CON RESINA TERMOPLASTICA</v>
          </cell>
          <cell r="E258" t="str">
            <v>M²</v>
          </cell>
          <cell r="F258">
            <v>27537</v>
          </cell>
          <cell r="H258" t="str">
            <v>3.6.7.1.6</v>
          </cell>
        </row>
        <row r="259">
          <cell r="A259" t="str">
            <v>700P</v>
          </cell>
          <cell r="B259" t="str">
            <v>700-07</v>
          </cell>
          <cell r="C259" t="str">
            <v>700-07P</v>
          </cell>
          <cell r="D259" t="str">
            <v>BANDAS SONORAS REDUCTORAS DE VELOCIDAD</v>
          </cell>
          <cell r="E259" t="str">
            <v>M²</v>
          </cell>
          <cell r="F259">
            <v>316188.29803437501</v>
          </cell>
          <cell r="H259" t="str">
            <v>3.6.7</v>
          </cell>
        </row>
        <row r="260">
          <cell r="A260" t="str">
            <v>701.1</v>
          </cell>
          <cell r="B260" t="str">
            <v>701-07</v>
          </cell>
          <cell r="D260" t="str">
            <v>TACHAS REFLECTIVAS</v>
          </cell>
          <cell r="E260" t="str">
            <v>U</v>
          </cell>
          <cell r="F260">
            <v>9674</v>
          </cell>
          <cell r="G260" t="str">
            <v>3.6.7.2.1</v>
          </cell>
          <cell r="H260" t="str">
            <v>3.6.7.2.1</v>
          </cell>
        </row>
        <row r="261">
          <cell r="A261" t="str">
            <v>710.1</v>
          </cell>
          <cell r="B261" t="str">
            <v>710-07</v>
          </cell>
          <cell r="D261" t="str">
            <v>SEÑALES DE TRANSITO GRUPO 1 (75*75)</v>
          </cell>
          <cell r="E261" t="str">
            <v>U</v>
          </cell>
          <cell r="F261">
            <v>299478</v>
          </cell>
          <cell r="G261" t="str">
            <v>3.6.7.3.13</v>
          </cell>
          <cell r="H261" t="str">
            <v>3.6.7.3.13</v>
          </cell>
        </row>
        <row r="262">
          <cell r="A262" t="str">
            <v>710.2</v>
          </cell>
          <cell r="B262" t="str">
            <v>710-07</v>
          </cell>
          <cell r="D262" t="str">
            <v>SEÑALES DE TRANSITO GRUPO 2 (1.20*0.4)</v>
          </cell>
          <cell r="E262" t="str">
            <v>U</v>
          </cell>
          <cell r="F262">
            <v>286478</v>
          </cell>
          <cell r="H262" t="str">
            <v>3.6.7.3</v>
          </cell>
        </row>
        <row r="263">
          <cell r="A263" t="str">
            <v>710.3</v>
          </cell>
          <cell r="B263" t="str">
            <v>710-07</v>
          </cell>
          <cell r="D263" t="str">
            <v>SEÑALES DE TRANSITO GRUPO 3 (SP-54 LA FERREA)</v>
          </cell>
          <cell r="E263" t="str">
            <v>U</v>
          </cell>
          <cell r="F263">
            <v>364478</v>
          </cell>
          <cell r="H263" t="str">
            <v>3.6.7.3</v>
          </cell>
        </row>
        <row r="264">
          <cell r="A264" t="str">
            <v>710.4</v>
          </cell>
          <cell r="B264" t="str">
            <v>710-07</v>
          </cell>
          <cell r="D264" t="str">
            <v>SEÑALES DE TRANSITO GRUPO 4 (DELINEADOR DE CURVA)</v>
          </cell>
          <cell r="E264" t="str">
            <v>U</v>
          </cell>
          <cell r="F264">
            <v>363428</v>
          </cell>
          <cell r="H264" t="str">
            <v>3.6.7.3</v>
          </cell>
        </row>
        <row r="265">
          <cell r="A265" t="str">
            <v>710.5</v>
          </cell>
          <cell r="B265" t="str">
            <v>710-07</v>
          </cell>
          <cell r="D265" t="str">
            <v>SEÑALES DE TRANSITO GRUPO 5 (INFORMATIVAS)</v>
          </cell>
          <cell r="E265" t="str">
            <v>M²</v>
          </cell>
          <cell r="F265">
            <v>640676</v>
          </cell>
          <cell r="H265" t="str">
            <v>3.6.7.3</v>
          </cell>
        </row>
        <row r="266">
          <cell r="A266" t="str">
            <v>720.1</v>
          </cell>
          <cell r="B266" t="str">
            <v>720-07</v>
          </cell>
          <cell r="D266" t="str">
            <v>POSTE DE REFERENCIA</v>
          </cell>
          <cell r="E266" t="str">
            <v>U</v>
          </cell>
          <cell r="F266">
            <v>129560</v>
          </cell>
          <cell r="G266" t="str">
            <v>3,6,7,4,1</v>
          </cell>
          <cell r="H266" t="str">
            <v>3.6.7.4.1</v>
          </cell>
        </row>
        <row r="267">
          <cell r="A267" t="str">
            <v>730.1</v>
          </cell>
          <cell r="B267" t="str">
            <v>730-07</v>
          </cell>
          <cell r="D267" t="str">
            <v>DEFENSA METALICA</v>
          </cell>
          <cell r="E267" t="str">
            <v>ML</v>
          </cell>
          <cell r="F267">
            <v>184258</v>
          </cell>
          <cell r="G267" t="str">
            <v>3.6.7.5.1</v>
          </cell>
          <cell r="H267" t="str">
            <v>3.6.7.5.1</v>
          </cell>
        </row>
        <row r="268">
          <cell r="A268" t="str">
            <v>730.2</v>
          </cell>
          <cell r="B268" t="str">
            <v>730-07</v>
          </cell>
          <cell r="D268" t="str">
            <v>SECCION FINAL</v>
          </cell>
          <cell r="E268" t="str">
            <v>U</v>
          </cell>
          <cell r="F268">
            <v>79588</v>
          </cell>
          <cell r="G268" t="str">
            <v>3.6.7.5.2</v>
          </cell>
          <cell r="H268" t="str">
            <v>3.6.7.5.2</v>
          </cell>
        </row>
        <row r="269">
          <cell r="A269" t="str">
            <v>730.3</v>
          </cell>
          <cell r="B269" t="str">
            <v>730-07</v>
          </cell>
          <cell r="D269" t="str">
            <v>SECCION DE TOPE</v>
          </cell>
          <cell r="E269" t="str">
            <v>U</v>
          </cell>
          <cell r="F269">
            <v>93888</v>
          </cell>
          <cell r="G269" t="str">
            <v>3.6.7.5.3</v>
          </cell>
          <cell r="H269" t="str">
            <v>3.6.7.5.3</v>
          </cell>
        </row>
        <row r="270">
          <cell r="A270" t="str">
            <v>731.1</v>
          </cell>
          <cell r="B270" t="str">
            <v>731-07</v>
          </cell>
          <cell r="D270" t="str">
            <v>DEFENSA DE CONCRETO</v>
          </cell>
          <cell r="E270" t="str">
            <v>ML</v>
          </cell>
          <cell r="F270">
            <v>145243</v>
          </cell>
          <cell r="H270" t="str">
            <v>3.6.6.21</v>
          </cell>
        </row>
        <row r="271">
          <cell r="A271" t="str">
            <v>740.1</v>
          </cell>
          <cell r="B271" t="str">
            <v>740-07</v>
          </cell>
          <cell r="D271" t="str">
            <v>CAPTAFAROS</v>
          </cell>
          <cell r="E271" t="str">
            <v>U</v>
          </cell>
          <cell r="F271">
            <v>15863</v>
          </cell>
          <cell r="G271" t="str">
            <v>3.6.7.6.1</v>
          </cell>
          <cell r="H271" t="str">
            <v>3.6.7.6.1</v>
          </cell>
        </row>
        <row r="272">
          <cell r="A272" t="str">
            <v>741.1</v>
          </cell>
          <cell r="B272" t="str">
            <v>741-07</v>
          </cell>
          <cell r="D272" t="str">
            <v>DELINEADOR DE CORONA</v>
          </cell>
          <cell r="E272" t="str">
            <v>U</v>
          </cell>
          <cell r="F272">
            <v>515528</v>
          </cell>
          <cell r="H272" t="str">
            <v>3.6.7</v>
          </cell>
        </row>
        <row r="273">
          <cell r="A273" t="str">
            <v>800.1</v>
          </cell>
          <cell r="B273" t="str">
            <v>740-07</v>
          </cell>
          <cell r="D273" t="str">
            <v>CERCA DE ALAMBRE DE PUAS CON POSTES DE MADERA</v>
          </cell>
          <cell r="E273" t="str">
            <v>ML</v>
          </cell>
          <cell r="F273">
            <v>11390</v>
          </cell>
          <cell r="G273" t="str">
            <v>3.6.9.1.2</v>
          </cell>
          <cell r="H273" t="str">
            <v>3.6.9.1.4</v>
          </cell>
        </row>
        <row r="274">
          <cell r="A274" t="str">
            <v>800.2</v>
          </cell>
          <cell r="B274" t="str">
            <v>800-07</v>
          </cell>
          <cell r="D274" t="str">
            <v>CERCA DE ALAMBRE DE PUAS CON POSTES DE CONCRETO</v>
          </cell>
          <cell r="E274" t="str">
            <v>ML</v>
          </cell>
          <cell r="F274">
            <v>19221</v>
          </cell>
          <cell r="H274" t="str">
            <v>3.6.9.1.10</v>
          </cell>
        </row>
        <row r="275">
          <cell r="A275" t="str">
            <v>800.3</v>
          </cell>
          <cell r="B275" t="str">
            <v>800-07</v>
          </cell>
          <cell r="D275" t="str">
            <v>CERCAS DE MALLA CON POSTES DE MADERA</v>
          </cell>
          <cell r="E275" t="str">
            <v>ML</v>
          </cell>
          <cell r="F275">
            <v>75813</v>
          </cell>
          <cell r="H275" t="str">
            <v>3.6.9.1.6</v>
          </cell>
        </row>
        <row r="276">
          <cell r="A276" t="str">
            <v>800.4</v>
          </cell>
          <cell r="B276" t="str">
            <v>800-07</v>
          </cell>
          <cell r="D276" t="str">
            <v>CERCAS DE MALLA CON POSTES DE CONCRETO</v>
          </cell>
          <cell r="E276" t="str">
            <v>ML</v>
          </cell>
          <cell r="F276">
            <v>82619</v>
          </cell>
          <cell r="H276" t="str">
            <v>3.6.9.1.13</v>
          </cell>
        </row>
        <row r="277">
          <cell r="A277" t="str">
            <v>800P</v>
          </cell>
          <cell r="B277" t="str">
            <v>800-07</v>
          </cell>
          <cell r="D277" t="str">
            <v>CERRAMIENTO EN MALLA ESLABONADA</v>
          </cell>
          <cell r="E277" t="str">
            <v>ML</v>
          </cell>
          <cell r="F277">
            <v>150320.027</v>
          </cell>
          <cell r="H277" t="str">
            <v>3.6.9.1.30</v>
          </cell>
        </row>
        <row r="278">
          <cell r="A278" t="str">
            <v>801.1</v>
          </cell>
          <cell r="B278" t="str">
            <v>801-07</v>
          </cell>
          <cell r="D278" t="str">
            <v>ROCERIA</v>
          </cell>
          <cell r="E278" t="str">
            <v>HA</v>
          </cell>
          <cell r="F278">
            <v>724876.97916666663</v>
          </cell>
          <cell r="H278" t="str">
            <v>3.6.1.2</v>
          </cell>
        </row>
        <row r="279">
          <cell r="A279" t="str">
            <v>801.2</v>
          </cell>
          <cell r="D279" t="str">
            <v>LIMPIEZA DE BERMAS</v>
          </cell>
          <cell r="E279" t="str">
            <v>M²</v>
          </cell>
          <cell r="F279">
            <v>5514.5323133333341</v>
          </cell>
          <cell r="H279" t="str">
            <v>3.6.9.4.12</v>
          </cell>
        </row>
        <row r="280">
          <cell r="A280" t="str">
            <v>801.3</v>
          </cell>
          <cell r="D280" t="str">
            <v>LIMPIEZA A MANO DE CUNETAS EN TIERRA</v>
          </cell>
          <cell r="E280" t="str">
            <v>ML</v>
          </cell>
          <cell r="F280">
            <v>2709.0646266666668</v>
          </cell>
          <cell r="H280" t="str">
            <v>3.6.9.4.12</v>
          </cell>
        </row>
        <row r="281">
          <cell r="A281" t="str">
            <v>801.4</v>
          </cell>
          <cell r="D281" t="str">
            <v>LIMPIEZA A MANO DE CUNETAS EN CONCRETO</v>
          </cell>
          <cell r="E281" t="str">
            <v>ML</v>
          </cell>
          <cell r="F281">
            <v>1874.5323133333334</v>
          </cell>
          <cell r="H281" t="str">
            <v>3.6.9.4.12</v>
          </cell>
        </row>
        <row r="282">
          <cell r="A282" t="str">
            <v>801.5</v>
          </cell>
          <cell r="D282" t="str">
            <v>LIMPIEZA A MANO DE ENCOLES Y DESCOLES</v>
          </cell>
          <cell r="E282" t="str">
            <v>ML</v>
          </cell>
          <cell r="F282">
            <v>3434.5323133333331</v>
          </cell>
          <cell r="H282" t="str">
            <v>3.6.9.4.8</v>
          </cell>
        </row>
        <row r="283">
          <cell r="A283" t="str">
            <v>801.6</v>
          </cell>
          <cell r="D283" t="str">
            <v>LIMPIEZA A MANO DE ALCANTARILLAS DE TUBO DE 600 A 900 mm</v>
          </cell>
          <cell r="E283" t="str">
            <v>UN</v>
          </cell>
          <cell r="F283">
            <v>120359.694</v>
          </cell>
          <cell r="H283" t="str">
            <v>3.6.9.4.10</v>
          </cell>
        </row>
        <row r="284">
          <cell r="A284" t="str">
            <v>801.7</v>
          </cell>
          <cell r="D284" t="str">
            <v>LIMPIEZA A MANO DE PONTONES Y PUENTES</v>
          </cell>
          <cell r="E284" t="str">
            <v>ML</v>
          </cell>
          <cell r="F284">
            <v>31326.615666666668</v>
          </cell>
          <cell r="H284" t="str">
            <v>3.6.9.4</v>
          </cell>
        </row>
        <row r="285">
          <cell r="A285" t="str">
            <v>810.1</v>
          </cell>
          <cell r="B285" t="str">
            <v>810-07</v>
          </cell>
          <cell r="D285" t="str">
            <v>PROTECCION DE TALUDES CON BLOQUES DE CESPED</v>
          </cell>
          <cell r="E285" t="str">
            <v>M²</v>
          </cell>
          <cell r="F285">
            <v>11197</v>
          </cell>
          <cell r="H285" t="str">
            <v>3.6.9.2.1</v>
          </cell>
        </row>
        <row r="286">
          <cell r="A286" t="str">
            <v>810.1P</v>
          </cell>
          <cell r="B286" t="str">
            <v>810-07</v>
          </cell>
          <cell r="C286" t="str">
            <v>810-07P</v>
          </cell>
          <cell r="D286" t="str">
            <v>PROTECCION DE TALUDES CON BIOMANTO</v>
          </cell>
          <cell r="E286" t="str">
            <v>M²</v>
          </cell>
          <cell r="F286">
            <v>11473</v>
          </cell>
          <cell r="H286" t="str">
            <v> 3.6.9.2</v>
          </cell>
        </row>
        <row r="287">
          <cell r="A287" t="str">
            <v>810.2</v>
          </cell>
          <cell r="B287" t="str">
            <v>810-07</v>
          </cell>
          <cell r="D287" t="str">
            <v>PROTECCION DE TALUDES CON TIERRA ORGANICA</v>
          </cell>
          <cell r="E287" t="str">
            <v>M²</v>
          </cell>
          <cell r="F287">
            <v>9830</v>
          </cell>
          <cell r="H287" t="str">
            <v>3.6.9.2.2</v>
          </cell>
        </row>
        <row r="288">
          <cell r="A288" t="str">
            <v>815P</v>
          </cell>
          <cell r="B288" t="str">
            <v>815-07</v>
          </cell>
          <cell r="C288" t="str">
            <v>815-07P</v>
          </cell>
          <cell r="D288" t="str">
            <v>ARBORIZACION</v>
          </cell>
          <cell r="E288" t="str">
            <v>U</v>
          </cell>
          <cell r="F288">
            <v>38278</v>
          </cell>
          <cell r="H288" t="str">
            <v>3.2.10.3</v>
          </cell>
        </row>
        <row r="289">
          <cell r="A289" t="str">
            <v>900.1</v>
          </cell>
          <cell r="B289" t="str">
            <v>900-07</v>
          </cell>
          <cell r="D289" t="str">
            <v>TRANSPORTE DE MATERIALES PROVENIENTES DE LA EXPLAN, CANAL, PRESTA ENTRE 100 Y 1000 M</v>
          </cell>
          <cell r="E289" t="str">
            <v>M³-ESTACION</v>
          </cell>
          <cell r="F289">
            <v>975</v>
          </cell>
          <cell r="G289" t="str">
            <v>3.6.9.3.1</v>
          </cell>
          <cell r="H289" t="str">
            <v xml:space="preserve">3.6.9.3.1   </v>
          </cell>
        </row>
        <row r="290">
          <cell r="A290" t="str">
            <v>900.2</v>
          </cell>
          <cell r="B290" t="str">
            <v>900-07</v>
          </cell>
          <cell r="D290" t="str">
            <v>TRANSPORTE DE MATERIALES PROVENIENTES DE LA EXPLAN, CANAL, PRESTA MAYOR A 1000 M</v>
          </cell>
          <cell r="E290" t="str">
            <v>M³-KM</v>
          </cell>
          <cell r="F290">
            <v>1064</v>
          </cell>
          <cell r="G290" t="str">
            <v>3.6.9.3</v>
          </cell>
          <cell r="H290" t="str">
            <v xml:space="preserve">3.6.9.3.1   </v>
          </cell>
        </row>
        <row r="291">
          <cell r="A291" t="str">
            <v>900.3</v>
          </cell>
          <cell r="B291" t="str">
            <v>900-07</v>
          </cell>
          <cell r="D291" t="str">
            <v>TRANSPORTE DE MATERIAL PROVENIENTE DE DERRUMBES</v>
          </cell>
          <cell r="E291" t="str">
            <v>M³-KM</v>
          </cell>
          <cell r="F291">
            <v>1219</v>
          </cell>
          <cell r="H291" t="str">
            <v xml:space="preserve">3.6.9.3.1   </v>
          </cell>
        </row>
        <row r="303">
          <cell r="D303">
            <v>167955000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1">
          <cell r="A1" t="str">
            <v>1P</v>
          </cell>
          <cell r="B1" t="str">
            <v>3.6.9 </v>
          </cell>
        </row>
        <row r="2">
          <cell r="A2" t="str">
            <v>200.1</v>
          </cell>
          <cell r="B2" t="str">
            <v>3.6.1.2.1</v>
          </cell>
        </row>
        <row r="3">
          <cell r="A3" t="str">
            <v>200.2</v>
          </cell>
          <cell r="B3" t="str">
            <v>3.6.1.2.3</v>
          </cell>
        </row>
        <row r="4">
          <cell r="A4" t="str">
            <v>200P1</v>
          </cell>
          <cell r="B4" t="str">
            <v>3.6.1.1.1 </v>
          </cell>
        </row>
        <row r="5">
          <cell r="A5" t="str">
            <v>200P2</v>
          </cell>
          <cell r="B5" t="str">
            <v> 3.6.1.1.2 </v>
          </cell>
        </row>
        <row r="6">
          <cell r="A6" t="str">
            <v>200P3</v>
          </cell>
          <cell r="B6" t="str">
            <v>3.2.1.17.1</v>
          </cell>
        </row>
        <row r="7">
          <cell r="A7" t="str">
            <v>201.1</v>
          </cell>
          <cell r="B7" t="str">
            <v>3.6.1.3.11</v>
          </cell>
        </row>
        <row r="8">
          <cell r="A8" t="str">
            <v>201.10</v>
          </cell>
          <cell r="B8" t="str">
            <v>3.6.1.3.35</v>
          </cell>
        </row>
        <row r="9">
          <cell r="A9" t="str">
            <v>201.11</v>
          </cell>
          <cell r="B9" t="str">
            <v>3.6.1.3</v>
          </cell>
        </row>
        <row r="10">
          <cell r="A10" t="str">
            <v>201.11P10</v>
          </cell>
          <cell r="B10" t="str">
            <v>3.6.1.3</v>
          </cell>
        </row>
        <row r="11">
          <cell r="A11" t="str">
            <v>201.11P7</v>
          </cell>
          <cell r="B11" t="str">
            <v>3.6.1.3</v>
          </cell>
        </row>
        <row r="12">
          <cell r="A12" t="str">
            <v>201.11P8</v>
          </cell>
          <cell r="B12" t="str">
            <v>3.6.1.3</v>
          </cell>
        </row>
        <row r="13">
          <cell r="A13" t="str">
            <v>201.11P9</v>
          </cell>
          <cell r="B13" t="str">
            <v>3.6.1.3</v>
          </cell>
        </row>
        <row r="14">
          <cell r="A14" t="str">
            <v>201.12</v>
          </cell>
          <cell r="B14" t="str">
            <v>3.6.1.3.47</v>
          </cell>
        </row>
        <row r="15">
          <cell r="A15" t="str">
            <v>201.13</v>
          </cell>
          <cell r="B15" t="str">
            <v>3.6.1.3</v>
          </cell>
        </row>
        <row r="16">
          <cell r="A16" t="str">
            <v>201.14</v>
          </cell>
          <cell r="B16" t="str">
            <v>3.6.1.3.9</v>
          </cell>
        </row>
        <row r="17">
          <cell r="A17" t="str">
            <v>201.15</v>
          </cell>
          <cell r="B17" t="str">
            <v>3.6.1.3</v>
          </cell>
        </row>
        <row r="18">
          <cell r="A18" t="str">
            <v>201.16</v>
          </cell>
          <cell r="B18" t="str">
            <v>3.6.1.3</v>
          </cell>
        </row>
        <row r="19">
          <cell r="A19" t="str">
            <v>201.17</v>
          </cell>
          <cell r="B19" t="str">
            <v>3.6.1.3</v>
          </cell>
        </row>
        <row r="20">
          <cell r="A20" t="str">
            <v>201.18</v>
          </cell>
          <cell r="B20" t="str">
            <v>3.6.1.3.1</v>
          </cell>
        </row>
        <row r="21">
          <cell r="A21" t="str">
            <v>201.19</v>
          </cell>
          <cell r="B21" t="str">
            <v>3.6.1.3</v>
          </cell>
        </row>
        <row r="22">
          <cell r="A22" t="str">
            <v>201.2</v>
          </cell>
          <cell r="B22" t="str">
            <v>3.6.1.3.11</v>
          </cell>
        </row>
        <row r="23">
          <cell r="A23" t="str">
            <v>201.20</v>
          </cell>
          <cell r="B23" t="str">
            <v>3.6.1.3</v>
          </cell>
        </row>
        <row r="24">
          <cell r="A24" t="str">
            <v>201.21</v>
          </cell>
          <cell r="B24" t="str">
            <v>3.6.1.3</v>
          </cell>
        </row>
        <row r="25">
          <cell r="A25" t="str">
            <v>201.22</v>
          </cell>
          <cell r="B25" t="str">
            <v>3.6.1.3.13</v>
          </cell>
        </row>
        <row r="26">
          <cell r="A26" t="str">
            <v>201.2P</v>
          </cell>
          <cell r="B26" t="str">
            <v>3.6.1.3.11</v>
          </cell>
        </row>
        <row r="27">
          <cell r="A27" t="str">
            <v>201.2P</v>
          </cell>
          <cell r="B27" t="str">
            <v>3.6.1.3.11</v>
          </cell>
        </row>
        <row r="28">
          <cell r="A28" t="str">
            <v>201.2P1</v>
          </cell>
          <cell r="B28" t="str">
            <v>3.6.1.3.13</v>
          </cell>
        </row>
        <row r="29">
          <cell r="A29" t="str">
            <v>201.2P2</v>
          </cell>
          <cell r="B29" t="str">
            <v>3.6.1.3.11</v>
          </cell>
        </row>
        <row r="30">
          <cell r="A30" t="str">
            <v>201.3</v>
          </cell>
          <cell r="B30" t="str">
            <v>3.6.1.3.15</v>
          </cell>
        </row>
        <row r="31">
          <cell r="A31" t="str">
            <v>201.3</v>
          </cell>
          <cell r="B31" t="str">
            <v>3.6.1.3.33</v>
          </cell>
        </row>
        <row r="32">
          <cell r="A32" t="str">
            <v>201.3P</v>
          </cell>
          <cell r="B32" t="str">
            <v>3.6.1.3.15</v>
          </cell>
        </row>
        <row r="33">
          <cell r="A33" t="str">
            <v>201.4</v>
          </cell>
          <cell r="B33" t="str">
            <v>3.6.1.3.14</v>
          </cell>
        </row>
        <row r="34">
          <cell r="A34" t="str">
            <v>201.5</v>
          </cell>
          <cell r="B34" t="str">
            <v>3.3.1.1</v>
          </cell>
        </row>
        <row r="35">
          <cell r="A35" t="str">
            <v>201.6</v>
          </cell>
          <cell r="B35" t="str">
            <v>3.6.1.3.11</v>
          </cell>
        </row>
        <row r="36">
          <cell r="A36" t="str">
            <v>201.6P</v>
          </cell>
          <cell r="B36" t="str">
            <v>3.6.1.3</v>
          </cell>
        </row>
        <row r="37">
          <cell r="A37" t="str">
            <v>201.7</v>
          </cell>
          <cell r="B37" t="str">
            <v xml:space="preserve">3.6.1.3.13  </v>
          </cell>
        </row>
        <row r="38">
          <cell r="A38" t="str">
            <v>201.7.2</v>
          </cell>
          <cell r="B38" t="str">
            <v>3.6.1.3.12</v>
          </cell>
        </row>
        <row r="39">
          <cell r="A39" t="str">
            <v>201.7.2P</v>
          </cell>
          <cell r="B39" t="str">
            <v>3.6.1.3.11</v>
          </cell>
        </row>
        <row r="40">
          <cell r="A40" t="str">
            <v>201.7.3</v>
          </cell>
          <cell r="B40" t="str">
            <v>3.6.1.3.14</v>
          </cell>
        </row>
        <row r="41">
          <cell r="A41" t="str">
            <v>201.7.3P</v>
          </cell>
          <cell r="B41" t="str">
            <v>3.6.1.3.11</v>
          </cell>
        </row>
        <row r="42">
          <cell r="A42" t="str">
            <v>201.7.4</v>
          </cell>
          <cell r="B42" t="str">
            <v>3.2.1.3.5</v>
          </cell>
        </row>
        <row r="43">
          <cell r="A43" t="str">
            <v>201.7.4P</v>
          </cell>
          <cell r="B43" t="str">
            <v>3.6.1.3.11</v>
          </cell>
        </row>
        <row r="44">
          <cell r="A44" t="str">
            <v>201.8</v>
          </cell>
          <cell r="B44" t="str">
            <v>3.6.1.3.15</v>
          </cell>
        </row>
        <row r="45">
          <cell r="A45" t="str">
            <v>201.8P</v>
          </cell>
          <cell r="B45" t="str">
            <v>3.6.1.3</v>
          </cell>
        </row>
        <row r="46">
          <cell r="A46" t="str">
            <v>201.9</v>
          </cell>
          <cell r="B46" t="str">
            <v>3.6.1.3.33</v>
          </cell>
        </row>
        <row r="47">
          <cell r="A47" t="str">
            <v>210.1</v>
          </cell>
          <cell r="B47" t="str">
            <v>3.6.2.1.1 </v>
          </cell>
        </row>
        <row r="48">
          <cell r="A48" t="str">
            <v>210.1.1</v>
          </cell>
          <cell r="B48" t="str">
            <v xml:space="preserve">3.6.2.1.1 </v>
          </cell>
        </row>
        <row r="49">
          <cell r="A49" t="str">
            <v>210.1.1</v>
          </cell>
          <cell r="B49" t="str">
            <v xml:space="preserve">3.6.2.1.1 </v>
          </cell>
        </row>
        <row r="50">
          <cell r="A50" t="str">
            <v>210.1.1 Y 210.1.2</v>
          </cell>
          <cell r="B50" t="str">
            <v>3.6.1.3.11</v>
          </cell>
        </row>
        <row r="51">
          <cell r="A51" t="str">
            <v>210.1.2</v>
          </cell>
          <cell r="B51" t="str">
            <v>3.6.2.1.3 </v>
          </cell>
        </row>
        <row r="52">
          <cell r="A52" t="str">
            <v>210.2</v>
          </cell>
          <cell r="B52" t="str">
            <v>3.6.2.1.3</v>
          </cell>
        </row>
        <row r="53">
          <cell r="A53" t="str">
            <v>210.2 OTRA</v>
          </cell>
          <cell r="B53" t="str">
            <v>3.6.1.3.11</v>
          </cell>
        </row>
        <row r="54">
          <cell r="A54" t="str">
            <v>210.2 OTRA</v>
          </cell>
          <cell r="B54" t="str">
            <v>3.6.2.1.3 </v>
          </cell>
        </row>
        <row r="55">
          <cell r="A55" t="str">
            <v>210.2.1</v>
          </cell>
          <cell r="B55" t="str">
            <v>3.6.2.1.3</v>
          </cell>
        </row>
        <row r="56">
          <cell r="A56" t="str">
            <v>210.2.1 Y 210.2.3</v>
          </cell>
          <cell r="B56" t="str">
            <v>3.6.2.1.3</v>
          </cell>
        </row>
        <row r="57">
          <cell r="A57" t="str">
            <v>210.2.2</v>
          </cell>
          <cell r="B57" t="str">
            <v>3.6.2.1.5</v>
          </cell>
        </row>
        <row r="58">
          <cell r="A58" t="str">
            <v>210.2.2 Y 210.2.4</v>
          </cell>
          <cell r="B58" t="str">
            <v>3.6.2.1.5</v>
          </cell>
        </row>
        <row r="59">
          <cell r="A59" t="str">
            <v>210.2.3</v>
          </cell>
          <cell r="B59" t="str">
            <v>3.6.2.1.5</v>
          </cell>
        </row>
        <row r="60">
          <cell r="A60" t="str">
            <v>210.2.4</v>
          </cell>
          <cell r="B60" t="str">
            <v>3.6.2.1.5</v>
          </cell>
        </row>
        <row r="61">
          <cell r="A61" t="str">
            <v>210.3</v>
          </cell>
          <cell r="B61" t="str">
            <v>3.6.2.1.5</v>
          </cell>
        </row>
        <row r="62">
          <cell r="A62" t="str">
            <v>211.1</v>
          </cell>
          <cell r="B62" t="str">
            <v xml:space="preserve">3.6.2.2.1  </v>
          </cell>
        </row>
        <row r="63">
          <cell r="A63" t="str">
            <v>211.1P</v>
          </cell>
          <cell r="B63" t="str">
            <v>3.6.2.2</v>
          </cell>
        </row>
        <row r="64">
          <cell r="A64" t="str">
            <v>211.1P1</v>
          </cell>
          <cell r="B64" t="str">
            <v>3.6.1.3</v>
          </cell>
        </row>
        <row r="65">
          <cell r="A65" t="str">
            <v>220.1</v>
          </cell>
          <cell r="B65" t="str">
            <v>3.6.2.3.1</v>
          </cell>
        </row>
        <row r="66">
          <cell r="A66" t="str">
            <v>221.1</v>
          </cell>
          <cell r="B66" t="str">
            <v>3.6.2.4.2</v>
          </cell>
        </row>
        <row r="67">
          <cell r="A67" t="str">
            <v>221.2</v>
          </cell>
          <cell r="B67" t="str">
            <v>3.6.2.4.1</v>
          </cell>
        </row>
        <row r="68">
          <cell r="A68" t="str">
            <v>225.1P</v>
          </cell>
          <cell r="B68" t="str">
            <v>3.2.8.1.1 </v>
          </cell>
        </row>
        <row r="69">
          <cell r="A69" t="str">
            <v>225.2P</v>
          </cell>
          <cell r="B69" t="str">
            <v> 3.2.8.1.2 </v>
          </cell>
        </row>
        <row r="70">
          <cell r="A70" t="str">
            <v>225P</v>
          </cell>
          <cell r="B70" t="str">
            <v>3.2.8.1.1 </v>
          </cell>
        </row>
        <row r="71">
          <cell r="A71" t="str">
            <v>230.1</v>
          </cell>
          <cell r="B71" t="str">
            <v>3.6.2.5.1</v>
          </cell>
        </row>
        <row r="72">
          <cell r="A72" t="str">
            <v>230.2</v>
          </cell>
          <cell r="B72" t="str">
            <v>3.6.2.5.2</v>
          </cell>
        </row>
        <row r="73">
          <cell r="A73" t="str">
            <v>231.1</v>
          </cell>
          <cell r="B73" t="str">
            <v>3.6.8.2 </v>
          </cell>
        </row>
        <row r="74">
          <cell r="A74" t="str">
            <v>232.1</v>
          </cell>
          <cell r="B74" t="str">
            <v>3.6.8.2 </v>
          </cell>
        </row>
        <row r="75">
          <cell r="A75" t="str">
            <v>234.1</v>
          </cell>
          <cell r="B75" t="str">
            <v>3.6.8.2 </v>
          </cell>
        </row>
        <row r="76">
          <cell r="A76" t="str">
            <v>310.1</v>
          </cell>
          <cell r="B76" t="str">
            <v>3.6.3.1.1</v>
          </cell>
        </row>
        <row r="77">
          <cell r="A77" t="str">
            <v>311.1</v>
          </cell>
          <cell r="B77" t="str">
            <v>3.6.3.2.1</v>
          </cell>
        </row>
        <row r="78">
          <cell r="A78" t="str">
            <v>311.1P1</v>
          </cell>
          <cell r="B78" t="str">
            <v>3.6.3.2</v>
          </cell>
        </row>
        <row r="79">
          <cell r="A79" t="str">
            <v>311.1P2</v>
          </cell>
          <cell r="B79" t="str">
            <v>3.6.3.2</v>
          </cell>
        </row>
        <row r="80">
          <cell r="A80" t="str">
            <v>311.1P3</v>
          </cell>
          <cell r="B80" t="str">
            <v>3.6.3.2</v>
          </cell>
        </row>
        <row r="81">
          <cell r="A81" t="str">
            <v>311P1</v>
          </cell>
          <cell r="B81" t="str">
            <v>3.6.3.2</v>
          </cell>
        </row>
        <row r="82">
          <cell r="A82" t="str">
            <v>311P2</v>
          </cell>
          <cell r="B82" t="str">
            <v>3.6.3.2</v>
          </cell>
        </row>
        <row r="83">
          <cell r="A83" t="str">
            <v>311P3</v>
          </cell>
          <cell r="B83" t="str">
            <v>3.6.3.2</v>
          </cell>
        </row>
        <row r="84">
          <cell r="A84" t="str">
            <v>312.1</v>
          </cell>
          <cell r="B84" t="str">
            <v>3.6.3.2</v>
          </cell>
        </row>
        <row r="85">
          <cell r="A85" t="str">
            <v>312.2</v>
          </cell>
          <cell r="B85" t="str">
            <v>3.6.3.2</v>
          </cell>
        </row>
        <row r="86">
          <cell r="A86" t="str">
            <v>312.3</v>
          </cell>
          <cell r="B86" t="str">
            <v>3.6.3.2</v>
          </cell>
        </row>
        <row r="87">
          <cell r="A87" t="str">
            <v>312.4</v>
          </cell>
          <cell r="B87" t="str">
            <v>3.6.3.3</v>
          </cell>
        </row>
        <row r="88">
          <cell r="A88" t="str">
            <v>320.1</v>
          </cell>
          <cell r="B88" t="str">
            <v xml:space="preserve"> 3.6.3.4.2</v>
          </cell>
        </row>
        <row r="89">
          <cell r="A89" t="str">
            <v>320.2</v>
          </cell>
          <cell r="B89" t="str">
            <v>3.6.3.4.4</v>
          </cell>
        </row>
        <row r="90">
          <cell r="A90" t="str">
            <v>320.3</v>
          </cell>
          <cell r="B90" t="str">
            <v> 3.6.3.4.4</v>
          </cell>
        </row>
        <row r="91">
          <cell r="A91" t="str">
            <v>320.4</v>
          </cell>
          <cell r="B91" t="str">
            <v>3.6.3.4.7</v>
          </cell>
        </row>
        <row r="92">
          <cell r="A92" t="str">
            <v>330.1</v>
          </cell>
          <cell r="B92" t="str">
            <v>3.6.3.6.2</v>
          </cell>
        </row>
        <row r="93">
          <cell r="A93" t="str">
            <v>330.2</v>
          </cell>
          <cell r="B93" t="str">
            <v>3.6.3.6.3</v>
          </cell>
        </row>
        <row r="94">
          <cell r="A94" t="str">
            <v>340.1</v>
          </cell>
          <cell r="B94" t="str">
            <v>3.6.3.7.1</v>
          </cell>
        </row>
        <row r="95">
          <cell r="A95" t="str">
            <v>340.2</v>
          </cell>
          <cell r="B95" t="str">
            <v>3.6.3.7.3</v>
          </cell>
        </row>
        <row r="96">
          <cell r="A96" t="str">
            <v>340.3</v>
          </cell>
          <cell r="B96" t="str">
            <v>3.6.3.7.5</v>
          </cell>
        </row>
        <row r="97">
          <cell r="A97" t="str">
            <v>340P</v>
          </cell>
          <cell r="B97" t="str">
            <v>3.6.3.7</v>
          </cell>
        </row>
        <row r="98">
          <cell r="A98" t="str">
            <v>341.1</v>
          </cell>
          <cell r="B98" t="str">
            <v>3.6.3.7</v>
          </cell>
        </row>
        <row r="99">
          <cell r="A99" t="str">
            <v>341.1P</v>
          </cell>
          <cell r="B99" t="str">
            <v> 3.6.3.7.17</v>
          </cell>
        </row>
        <row r="100">
          <cell r="A100" t="str">
            <v>341.2</v>
          </cell>
          <cell r="B100" t="str">
            <v>3.6.4.1.8</v>
          </cell>
        </row>
        <row r="101">
          <cell r="A101" t="str">
            <v>342.1</v>
          </cell>
          <cell r="B101" t="str">
            <v>3.6.4.1</v>
          </cell>
        </row>
        <row r="102">
          <cell r="A102" t="str">
            <v>342P</v>
          </cell>
          <cell r="B102" t="str">
            <v>3.6.3.7.16 </v>
          </cell>
        </row>
        <row r="103">
          <cell r="A103" t="str">
            <v>410.1</v>
          </cell>
          <cell r="B103" t="str">
            <v>3.6.4.1.1</v>
          </cell>
        </row>
        <row r="104">
          <cell r="A104" t="str">
            <v>410.2</v>
          </cell>
          <cell r="B104" t="str">
            <v>3.6.4.1.2</v>
          </cell>
        </row>
        <row r="105">
          <cell r="A105" t="str">
            <v>411.1</v>
          </cell>
          <cell r="B105" t="str">
            <v>3.6.4.2.1</v>
          </cell>
        </row>
        <row r="106">
          <cell r="A106" t="str">
            <v>411.2</v>
          </cell>
          <cell r="B106" t="str">
            <v>3.6.4.2.2</v>
          </cell>
        </row>
        <row r="107">
          <cell r="A107" t="str">
            <v>411.3</v>
          </cell>
          <cell r="B107" t="str">
            <v>3.6.4.2.3</v>
          </cell>
        </row>
        <row r="108">
          <cell r="A108" t="str">
            <v>413.1</v>
          </cell>
          <cell r="B108" t="str">
            <v>3.6.2.1</v>
          </cell>
        </row>
        <row r="109">
          <cell r="A109" t="str">
            <v>414.1</v>
          </cell>
          <cell r="B109" t="str">
            <v>3.6.4.1.3</v>
          </cell>
        </row>
        <row r="110">
          <cell r="A110" t="str">
            <v>414.2</v>
          </cell>
          <cell r="B110" t="str">
            <v>3.6.4.1.4</v>
          </cell>
        </row>
        <row r="111">
          <cell r="A111" t="str">
            <v>414.3</v>
          </cell>
          <cell r="B111" t="str">
            <v>3.6.4.1.5</v>
          </cell>
        </row>
        <row r="112">
          <cell r="A112" t="str">
            <v>414.4</v>
          </cell>
          <cell r="B112" t="str">
            <v>3.6.4.1.6</v>
          </cell>
        </row>
        <row r="113">
          <cell r="A113" t="str">
            <v>414.5</v>
          </cell>
          <cell r="B113" t="str">
            <v>3.6.4.1</v>
          </cell>
        </row>
        <row r="114">
          <cell r="A114" t="str">
            <v>415.1</v>
          </cell>
          <cell r="B114" t="str">
            <v>3.6.4.2.5</v>
          </cell>
        </row>
        <row r="115">
          <cell r="A115" t="str">
            <v>416.2</v>
          </cell>
          <cell r="B115" t="str">
            <v>3.6.4</v>
          </cell>
        </row>
        <row r="116">
          <cell r="A116" t="str">
            <v>420.1</v>
          </cell>
          <cell r="B116" t="str">
            <v xml:space="preserve">3.6.4.3.1 </v>
          </cell>
        </row>
        <row r="117">
          <cell r="A117" t="str">
            <v>420.2</v>
          </cell>
          <cell r="B117" t="str">
            <v>3.6.4.3.2</v>
          </cell>
        </row>
        <row r="118">
          <cell r="A118" t="str">
            <v>421.1</v>
          </cell>
          <cell r="B118" t="str">
            <v>3.6.4.4.2</v>
          </cell>
        </row>
        <row r="119">
          <cell r="A119" t="str">
            <v>421.2</v>
          </cell>
          <cell r="B119" t="str">
            <v>3.6.4.4.3</v>
          </cell>
        </row>
        <row r="120">
          <cell r="A120" t="str">
            <v>421.3</v>
          </cell>
          <cell r="B120" t="str">
            <v>3.6.4.4.4</v>
          </cell>
        </row>
        <row r="121">
          <cell r="A121" t="str">
            <v>421.4</v>
          </cell>
          <cell r="B121" t="str">
            <v>3.6.4.4.5</v>
          </cell>
        </row>
        <row r="122">
          <cell r="A122" t="str">
            <v>430.1</v>
          </cell>
          <cell r="B122" t="str">
            <v>3.6.4.5.1</v>
          </cell>
        </row>
        <row r="123">
          <cell r="A123" t="str">
            <v>430.2</v>
          </cell>
          <cell r="B123" t="str">
            <v>3.6.4.5.2</v>
          </cell>
        </row>
        <row r="124">
          <cell r="A124" t="str">
            <v>431.1</v>
          </cell>
          <cell r="B124" t="str">
            <v>3.6.4.6.1</v>
          </cell>
        </row>
        <row r="125">
          <cell r="A125" t="str">
            <v>431.2</v>
          </cell>
          <cell r="B125" t="str">
            <v>3.6.4.6.2</v>
          </cell>
        </row>
        <row r="126">
          <cell r="A126" t="str">
            <v>432.1</v>
          </cell>
          <cell r="B126" t="str">
            <v>3.6.4.7.1</v>
          </cell>
        </row>
        <row r="127">
          <cell r="A127" t="str">
            <v>432.2</v>
          </cell>
          <cell r="B127" t="str">
            <v>3.6.4.7.1</v>
          </cell>
        </row>
        <row r="128">
          <cell r="A128" t="str">
            <v>433.1</v>
          </cell>
          <cell r="B128" t="str">
            <v>3.6.4.8.1</v>
          </cell>
        </row>
        <row r="129">
          <cell r="A129" t="str">
            <v>433.2</v>
          </cell>
          <cell r="B129" t="str">
            <v>3.6.4.8.2</v>
          </cell>
        </row>
        <row r="130">
          <cell r="A130" t="str">
            <v>433.3</v>
          </cell>
          <cell r="B130" t="str">
            <v>3.6.4.8.3</v>
          </cell>
        </row>
        <row r="131">
          <cell r="A131" t="str">
            <v>433.4</v>
          </cell>
          <cell r="B131" t="str">
            <v>3.6.4.8.4</v>
          </cell>
        </row>
        <row r="132">
          <cell r="A132" t="str">
            <v>433.5</v>
          </cell>
          <cell r="B132" t="str">
            <v>3.6.4.8.5</v>
          </cell>
        </row>
        <row r="133">
          <cell r="A133" t="str">
            <v>433.6</v>
          </cell>
          <cell r="B133" t="str">
            <v>3.6.4.8.6</v>
          </cell>
        </row>
        <row r="134">
          <cell r="A134" t="str">
            <v>433.7</v>
          </cell>
          <cell r="B134" t="str">
            <v>3.6.4.8.7</v>
          </cell>
        </row>
        <row r="135">
          <cell r="A135" t="str">
            <v>433.8</v>
          </cell>
          <cell r="B135" t="str">
            <v>3.6.4.8.8</v>
          </cell>
        </row>
        <row r="136">
          <cell r="A136" t="str">
            <v>440.1</v>
          </cell>
          <cell r="B136" t="str">
            <v>3.6.4.9.1</v>
          </cell>
        </row>
        <row r="137">
          <cell r="A137" t="str">
            <v>440.1P</v>
          </cell>
          <cell r="B137" t="str">
            <v>3.6.4.9</v>
          </cell>
        </row>
        <row r="138">
          <cell r="A138" t="str">
            <v>440.2</v>
          </cell>
          <cell r="B138" t="str">
            <v>3.6.4.9.2</v>
          </cell>
        </row>
        <row r="139">
          <cell r="A139" t="str">
            <v>440.2P</v>
          </cell>
          <cell r="B139" t="str">
            <v>3.6.4.9</v>
          </cell>
        </row>
        <row r="140">
          <cell r="A140" t="str">
            <v>440.3</v>
          </cell>
          <cell r="B140" t="str">
            <v>3.6.4.9.3</v>
          </cell>
        </row>
        <row r="141">
          <cell r="A141" t="str">
            <v>440.3P</v>
          </cell>
          <cell r="B141" t="str">
            <v>3.6.4.9</v>
          </cell>
        </row>
        <row r="142">
          <cell r="A142" t="str">
            <v>440.4</v>
          </cell>
          <cell r="B142" t="str">
            <v>3.6.4.9.4</v>
          </cell>
        </row>
        <row r="143">
          <cell r="A143" t="str">
            <v>441.1</v>
          </cell>
          <cell r="B143" t="str">
            <v>3.6.4.10.1</v>
          </cell>
        </row>
        <row r="144">
          <cell r="A144" t="str">
            <v>441.1P</v>
          </cell>
          <cell r="B144" t="str">
            <v>3.6.4.10</v>
          </cell>
        </row>
        <row r="145">
          <cell r="A145" t="str">
            <v>441.2</v>
          </cell>
          <cell r="B145" t="str">
            <v>3.6.4.10.2</v>
          </cell>
        </row>
        <row r="146">
          <cell r="A146" t="str">
            <v>441.2P</v>
          </cell>
          <cell r="B146" t="str">
            <v>3.6.4.10</v>
          </cell>
        </row>
        <row r="147">
          <cell r="A147" t="str">
            <v>441.3</v>
          </cell>
          <cell r="B147" t="str">
            <v>3.6.4.10.3</v>
          </cell>
        </row>
        <row r="148">
          <cell r="A148" t="str">
            <v>441.3P</v>
          </cell>
          <cell r="B148" t="str">
            <v>3.6.4.10</v>
          </cell>
        </row>
        <row r="149">
          <cell r="A149" t="str">
            <v>441.4</v>
          </cell>
          <cell r="B149" t="str">
            <v>3.6.4.10.4</v>
          </cell>
        </row>
        <row r="150">
          <cell r="A150" t="str">
            <v>450.1</v>
          </cell>
          <cell r="B150" t="str">
            <v>3.6.4.11.2</v>
          </cell>
        </row>
        <row r="151">
          <cell r="A151" t="str">
            <v>450.1.1</v>
          </cell>
          <cell r="B151" t="str">
            <v>3.6.4.11</v>
          </cell>
        </row>
        <row r="152">
          <cell r="A152" t="str">
            <v>450.1.1P</v>
          </cell>
          <cell r="B152" t="str">
            <v>3.6.4</v>
          </cell>
        </row>
        <row r="153">
          <cell r="A153" t="str">
            <v>450.1.2</v>
          </cell>
          <cell r="B153" t="str">
            <v>3.6.4.11</v>
          </cell>
        </row>
        <row r="154">
          <cell r="A154" t="str">
            <v>450.1.2P</v>
          </cell>
          <cell r="B154" t="str">
            <v>3.6.4</v>
          </cell>
        </row>
        <row r="155">
          <cell r="A155" t="str">
            <v>450.1P</v>
          </cell>
          <cell r="B155" t="str">
            <v>3.6.4.11</v>
          </cell>
        </row>
        <row r="156">
          <cell r="A156" t="str">
            <v>450.2</v>
          </cell>
          <cell r="B156" t="str">
            <v>3.6.4.11.3</v>
          </cell>
        </row>
        <row r="157">
          <cell r="A157" t="str">
            <v>450.2P</v>
          </cell>
          <cell r="B157" t="str">
            <v>3.6.4.11</v>
          </cell>
        </row>
        <row r="158">
          <cell r="A158" t="str">
            <v>450.3</v>
          </cell>
          <cell r="B158" t="str">
            <v>3.6.4.11.4</v>
          </cell>
        </row>
        <row r="159">
          <cell r="A159" t="str">
            <v>450.3P</v>
          </cell>
          <cell r="B159" t="str">
            <v>3.6.4.11</v>
          </cell>
        </row>
        <row r="160">
          <cell r="A160" t="str">
            <v>450.4</v>
          </cell>
          <cell r="B160" t="str">
            <v>3.6.4</v>
          </cell>
        </row>
        <row r="161">
          <cell r="A161" t="str">
            <v>450.4P</v>
          </cell>
          <cell r="B161" t="str">
            <v>3.6.4</v>
          </cell>
        </row>
        <row r="162">
          <cell r="A162" t="str">
            <v>450.5</v>
          </cell>
          <cell r="B162" t="str">
            <v>3.6.4</v>
          </cell>
        </row>
        <row r="163">
          <cell r="A163" t="str">
            <v>450.6</v>
          </cell>
          <cell r="B163" t="str">
            <v>3.6.4</v>
          </cell>
        </row>
        <row r="164">
          <cell r="A164" t="str">
            <v>450.7</v>
          </cell>
          <cell r="B164" t="str">
            <v>3.6.4</v>
          </cell>
        </row>
        <row r="165">
          <cell r="A165" t="str">
            <v>450.8</v>
          </cell>
          <cell r="B165" t="str">
            <v>3.6.4</v>
          </cell>
        </row>
        <row r="166">
          <cell r="A166" t="str">
            <v>450.9</v>
          </cell>
          <cell r="B166" t="str">
            <v>3.6.4.11.5</v>
          </cell>
        </row>
        <row r="167">
          <cell r="A167" t="str">
            <v>450.9P</v>
          </cell>
          <cell r="B167" t="str">
            <v>3.6.4.11.5</v>
          </cell>
        </row>
        <row r="168">
          <cell r="A168" t="str">
            <v>451.1</v>
          </cell>
          <cell r="B168" t="str">
            <v>3.6.4.12.1</v>
          </cell>
        </row>
        <row r="169">
          <cell r="A169" t="str">
            <v>451.1P</v>
          </cell>
          <cell r="B169" t="str">
            <v>3.6.4.12</v>
          </cell>
        </row>
        <row r="170">
          <cell r="A170" t="str">
            <v>451.2</v>
          </cell>
          <cell r="B170" t="str">
            <v>3.6.4.12.2</v>
          </cell>
        </row>
        <row r="171">
          <cell r="A171" t="str">
            <v>451.2P</v>
          </cell>
          <cell r="B171" t="str">
            <v>3.6.4.12</v>
          </cell>
        </row>
        <row r="172">
          <cell r="A172" t="str">
            <v>451.3</v>
          </cell>
          <cell r="B172" t="str">
            <v>3.6.4.12.3</v>
          </cell>
        </row>
        <row r="173">
          <cell r="A173" t="str">
            <v>451.3P</v>
          </cell>
          <cell r="B173" t="str">
            <v>3.6.4.12</v>
          </cell>
        </row>
        <row r="174">
          <cell r="A174" t="str">
            <v>451.4</v>
          </cell>
          <cell r="B174" t="str">
            <v>3.6.4.12</v>
          </cell>
        </row>
        <row r="175">
          <cell r="A175" t="str">
            <v>452.1</v>
          </cell>
          <cell r="B175" t="str">
            <v>3.6.4.13.1</v>
          </cell>
        </row>
        <row r="176">
          <cell r="A176" t="str">
            <v>452.1P</v>
          </cell>
          <cell r="B176" t="str">
            <v>3.6.4.13.1 </v>
          </cell>
        </row>
        <row r="177">
          <cell r="A177" t="str">
            <v>452.2</v>
          </cell>
          <cell r="B177" t="str">
            <v>3.6.4.13.2</v>
          </cell>
        </row>
        <row r="178">
          <cell r="A178" t="str">
            <v>452.2P</v>
          </cell>
          <cell r="B178" t="str">
            <v>3.6.4.13.2</v>
          </cell>
        </row>
        <row r="179">
          <cell r="A179" t="str">
            <v>452.3</v>
          </cell>
          <cell r="B179" t="str">
            <v>3.6.4.13.7</v>
          </cell>
        </row>
        <row r="180">
          <cell r="A180" t="str">
            <v>452.3P</v>
          </cell>
          <cell r="B180" t="str">
            <v>3.6.4.13.7</v>
          </cell>
        </row>
        <row r="181">
          <cell r="A181" t="str">
            <v>452.4</v>
          </cell>
          <cell r="B181" t="str">
            <v>3.6.4.13.8</v>
          </cell>
        </row>
        <row r="182">
          <cell r="A182" t="str">
            <v>452.4P</v>
          </cell>
          <cell r="B182" t="str">
            <v>3.6.4.13.8 </v>
          </cell>
        </row>
        <row r="183">
          <cell r="A183" t="str">
            <v>453.1</v>
          </cell>
          <cell r="B183" t="str">
            <v>3.6.4.13.7</v>
          </cell>
        </row>
        <row r="184">
          <cell r="A184" t="str">
            <v>460.1</v>
          </cell>
          <cell r="B184" t="str">
            <v>3.6.4.15.2</v>
          </cell>
        </row>
        <row r="185">
          <cell r="A185" t="str">
            <v>460.2</v>
          </cell>
          <cell r="B185" t="str">
            <v>3.6.4.15.2</v>
          </cell>
        </row>
        <row r="186">
          <cell r="A186" t="str">
            <v>460P</v>
          </cell>
          <cell r="B186" t="str">
            <v>3.6.4.15</v>
          </cell>
        </row>
        <row r="187">
          <cell r="A187" t="str">
            <v>461.1</v>
          </cell>
          <cell r="B187" t="str">
            <v>3.6.4.16.1</v>
          </cell>
        </row>
        <row r="188">
          <cell r="A188" t="str">
            <v>461.2</v>
          </cell>
          <cell r="B188" t="str">
            <v>3.6.4.16.2</v>
          </cell>
        </row>
        <row r="189">
          <cell r="A189" t="str">
            <v>462.1</v>
          </cell>
          <cell r="B189" t="str">
            <v>3.6.4.17.1 </v>
          </cell>
        </row>
        <row r="190">
          <cell r="A190" t="str">
            <v>462.1.1</v>
          </cell>
          <cell r="B190" t="str">
            <v>3.6.4.17.3</v>
          </cell>
        </row>
        <row r="191">
          <cell r="A191" t="str">
            <v>462.1.2</v>
          </cell>
          <cell r="B191" t="str">
            <v>3.6.4.17.4</v>
          </cell>
        </row>
        <row r="192">
          <cell r="A192" t="str">
            <v>462.1.3</v>
          </cell>
          <cell r="B192" t="str">
            <v>3.6.4.17</v>
          </cell>
        </row>
        <row r="193">
          <cell r="A193" t="str">
            <v>462.1.4</v>
          </cell>
          <cell r="B193" t="str">
            <v> 3.6.4.17.4 </v>
          </cell>
        </row>
        <row r="194">
          <cell r="A194" t="str">
            <v>462.1P</v>
          </cell>
          <cell r="B194" t="str">
            <v>3.6.4.17</v>
          </cell>
        </row>
        <row r="195">
          <cell r="A195" t="str">
            <v>462.2</v>
          </cell>
          <cell r="B195" t="str">
            <v>3.6.4.17</v>
          </cell>
        </row>
        <row r="196">
          <cell r="A196" t="str">
            <v>462.2P</v>
          </cell>
          <cell r="B196" t="str">
            <v>3.6.4.17</v>
          </cell>
        </row>
        <row r="197">
          <cell r="A197" t="str">
            <v>462.3</v>
          </cell>
          <cell r="B197" t="str">
            <v> 3.6.4.17.3 </v>
          </cell>
        </row>
        <row r="198">
          <cell r="A198" t="str">
            <v>462.3P</v>
          </cell>
          <cell r="B198" t="str">
            <v>3.6.4.17</v>
          </cell>
        </row>
        <row r="199">
          <cell r="A199" t="str">
            <v>462.4</v>
          </cell>
          <cell r="B199" t="str">
            <v> 3.6.4.17.4 </v>
          </cell>
        </row>
        <row r="200">
          <cell r="A200" t="str">
            <v>462.4P</v>
          </cell>
          <cell r="B200" t="str">
            <v>3.6.4.17</v>
          </cell>
        </row>
        <row r="201">
          <cell r="A201" t="str">
            <v>462.5</v>
          </cell>
          <cell r="B201" t="str">
            <v>3.6.4.17</v>
          </cell>
        </row>
        <row r="202">
          <cell r="A202" t="str">
            <v>464.1</v>
          </cell>
          <cell r="B202" t="str">
            <v>3.6.8</v>
          </cell>
        </row>
        <row r="203">
          <cell r="A203" t="str">
            <v>464.1P</v>
          </cell>
          <cell r="B203" t="str">
            <v> 3.6.8.4.6 </v>
          </cell>
        </row>
        <row r="204">
          <cell r="A204" t="str">
            <v>464.2</v>
          </cell>
          <cell r="B204" t="str">
            <v>3.6.4.8 </v>
          </cell>
        </row>
        <row r="205">
          <cell r="A205" t="str">
            <v>464.2</v>
          </cell>
          <cell r="B205" t="str">
            <v> 3.6.8.4</v>
          </cell>
        </row>
        <row r="206">
          <cell r="A206" t="str">
            <v>464.3</v>
          </cell>
          <cell r="B206" t="str">
            <v>3.6.4.2</v>
          </cell>
        </row>
        <row r="207">
          <cell r="A207" t="str">
            <v>464.4</v>
          </cell>
          <cell r="B207" t="str">
            <v> 3.6.4.2.5 </v>
          </cell>
        </row>
        <row r="208">
          <cell r="A208" t="str">
            <v>465.1</v>
          </cell>
          <cell r="B208" t="str">
            <v>3.6.2.1</v>
          </cell>
        </row>
        <row r="209">
          <cell r="A209" t="str">
            <v>466.1</v>
          </cell>
          <cell r="B209" t="str">
            <v>3.6.4.7</v>
          </cell>
        </row>
        <row r="210">
          <cell r="A210" t="str">
            <v>466.2</v>
          </cell>
          <cell r="B210" t="str">
            <v>3.6.4.7</v>
          </cell>
        </row>
        <row r="211">
          <cell r="A211" t="str">
            <v>470.2 P</v>
          </cell>
          <cell r="B211" t="str">
            <v>3.6.4</v>
          </cell>
        </row>
        <row r="212">
          <cell r="A212" t="str">
            <v>500.1</v>
          </cell>
          <cell r="B212" t="str">
            <v>3.6.5.1</v>
          </cell>
        </row>
        <row r="213">
          <cell r="A213" t="str">
            <v>500.1P</v>
          </cell>
          <cell r="B213" t="str">
            <v>3.6.5.1</v>
          </cell>
        </row>
        <row r="214">
          <cell r="A214" t="str">
            <v>501.1</v>
          </cell>
          <cell r="B214" t="str">
            <v>1.35.1.1.3</v>
          </cell>
        </row>
        <row r="215">
          <cell r="A215" t="str">
            <v>510.1</v>
          </cell>
          <cell r="B215" t="str">
            <v>3.6.5.2.10</v>
          </cell>
        </row>
        <row r="216">
          <cell r="A216" t="str">
            <v>510.1P1</v>
          </cell>
          <cell r="B216" t="str">
            <v>3.6.5.2</v>
          </cell>
        </row>
        <row r="217">
          <cell r="A217" t="str">
            <v>510.1P2</v>
          </cell>
          <cell r="B217" t="str">
            <v>3.6.5.2.2</v>
          </cell>
        </row>
        <row r="218">
          <cell r="A218" t="str">
            <v>510.1P3</v>
          </cell>
          <cell r="B218" t="str">
            <v>3.6.5.2</v>
          </cell>
        </row>
        <row r="219">
          <cell r="A219" t="str">
            <v>510.2</v>
          </cell>
          <cell r="B219" t="str">
            <v>3.6.5.2</v>
          </cell>
        </row>
        <row r="220">
          <cell r="A220" t="str">
            <v>510.3</v>
          </cell>
          <cell r="B220" t="str">
            <v>3.6.5.2</v>
          </cell>
        </row>
        <row r="221">
          <cell r="A221" t="str">
            <v>510.4</v>
          </cell>
          <cell r="B221" t="str">
            <v>3.6.5.2</v>
          </cell>
        </row>
        <row r="222">
          <cell r="A222" t="str">
            <v>510P1</v>
          </cell>
          <cell r="B222" t="str">
            <v>3.6.5.2</v>
          </cell>
        </row>
        <row r="223">
          <cell r="A223" t="str">
            <v>510P2</v>
          </cell>
          <cell r="B223" t="str">
            <v>3.6.5.2.2</v>
          </cell>
        </row>
        <row r="224">
          <cell r="A224" t="str">
            <v>510P3</v>
          </cell>
          <cell r="B224" t="str">
            <v>3.6.5.2</v>
          </cell>
        </row>
        <row r="225">
          <cell r="A225" t="str">
            <v>600.1</v>
          </cell>
          <cell r="B225" t="str">
            <v>3.6.6.1.9</v>
          </cell>
        </row>
        <row r="226">
          <cell r="A226" t="str">
            <v>600.2</v>
          </cell>
          <cell r="B226" t="str">
            <v>3.6.6.1.9</v>
          </cell>
        </row>
        <row r="227">
          <cell r="A227" t="str">
            <v>600.2P</v>
          </cell>
          <cell r="B227" t="str">
            <v>3.6.6.1</v>
          </cell>
        </row>
        <row r="228">
          <cell r="A228" t="str">
            <v>600.3</v>
          </cell>
          <cell r="B228" t="str">
            <v>3.6.6.1.9</v>
          </cell>
        </row>
        <row r="229">
          <cell r="A229" t="str">
            <v>600.4</v>
          </cell>
          <cell r="B229" t="str">
            <v xml:space="preserve">3.6.6.1.10  </v>
          </cell>
        </row>
        <row r="230">
          <cell r="A230" t="str">
            <v>600.4P</v>
          </cell>
          <cell r="B230" t="str">
            <v>3.6.6.1</v>
          </cell>
        </row>
        <row r="231">
          <cell r="A231" t="str">
            <v>600.5</v>
          </cell>
          <cell r="B231" t="str">
            <v>3.6.6.1.11</v>
          </cell>
        </row>
        <row r="232">
          <cell r="A232" t="str">
            <v>600.5P</v>
          </cell>
          <cell r="B232" t="str">
            <v>3.6.6.1</v>
          </cell>
        </row>
        <row r="233">
          <cell r="A233" t="str">
            <v>610.1</v>
          </cell>
          <cell r="B233" t="str">
            <v xml:space="preserve">3.6.6.2.1   </v>
          </cell>
        </row>
        <row r="234">
          <cell r="A234" t="str">
            <v>610.1P</v>
          </cell>
          <cell r="B234" t="str">
            <v>3.6.2.4.2</v>
          </cell>
        </row>
        <row r="235">
          <cell r="A235" t="str">
            <v>610.2</v>
          </cell>
          <cell r="B235" t="str">
            <v>3.6.6.2.4</v>
          </cell>
        </row>
        <row r="236">
          <cell r="A236" t="str">
            <v>620.1</v>
          </cell>
          <cell r="B236" t="str">
            <v>3.6.6.3.1</v>
          </cell>
        </row>
        <row r="237">
          <cell r="A237" t="str">
            <v>620.2</v>
          </cell>
          <cell r="B237" t="str">
            <v>3.6.6.3.2</v>
          </cell>
        </row>
        <row r="238">
          <cell r="A238" t="str">
            <v>620.3</v>
          </cell>
          <cell r="B238" t="str">
            <v>3.6.6.4.6</v>
          </cell>
        </row>
        <row r="239">
          <cell r="A239" t="str">
            <v>620.4</v>
          </cell>
          <cell r="B239" t="str">
            <v>3.6.6.4</v>
          </cell>
        </row>
        <row r="240">
          <cell r="A240" t="str">
            <v>620.1P</v>
          </cell>
          <cell r="B240" t="str">
            <v>3.6.6.4</v>
          </cell>
        </row>
        <row r="241">
          <cell r="A241" t="str">
            <v>620P</v>
          </cell>
          <cell r="B241" t="str">
            <v>3.6.6.4</v>
          </cell>
        </row>
        <row r="242">
          <cell r="A242" t="str">
            <v>621.1</v>
          </cell>
          <cell r="B242" t="str">
            <v>3.6.6.4.1</v>
          </cell>
        </row>
        <row r="243">
          <cell r="A243" t="str">
            <v>621.1.2</v>
          </cell>
          <cell r="B243" t="str">
            <v>3.6.6.4.1</v>
          </cell>
        </row>
        <row r="244">
          <cell r="A244" t="str">
            <v>621.1 P</v>
          </cell>
          <cell r="B244" t="str">
            <v>3.6.6.4</v>
          </cell>
        </row>
        <row r="245">
          <cell r="A245" t="str">
            <v>621.1P</v>
          </cell>
          <cell r="B245" t="str">
            <v>3.6.6.4</v>
          </cell>
        </row>
        <row r="246">
          <cell r="A246" t="str">
            <v>621.1P2</v>
          </cell>
          <cell r="B246" t="str">
            <v>3.6.6.4</v>
          </cell>
        </row>
        <row r="247">
          <cell r="A247" t="str">
            <v>621.1P3</v>
          </cell>
          <cell r="B247" t="str">
            <v>3.6.6.4</v>
          </cell>
        </row>
        <row r="248">
          <cell r="A248" t="str">
            <v>621.1P4</v>
          </cell>
          <cell r="B248" t="str">
            <v>3.6.6.4</v>
          </cell>
        </row>
        <row r="249">
          <cell r="A249" t="str">
            <v>621.1P5</v>
          </cell>
          <cell r="B249" t="str">
            <v>3.6.6.4</v>
          </cell>
        </row>
        <row r="250">
          <cell r="A250" t="str">
            <v>621.1P6</v>
          </cell>
          <cell r="B250" t="str">
            <v>3.6.6.4</v>
          </cell>
        </row>
        <row r="251">
          <cell r="A251" t="str">
            <v>621.1P7</v>
          </cell>
          <cell r="B251" t="str">
            <v>3.6.6.4</v>
          </cell>
        </row>
        <row r="252">
          <cell r="A252" t="str">
            <v>621.2</v>
          </cell>
          <cell r="B252" t="str">
            <v>3.6.6.4.2</v>
          </cell>
        </row>
        <row r="253">
          <cell r="A253" t="str">
            <v>621.3</v>
          </cell>
          <cell r="B253" t="str">
            <v>3.6.6.4.3</v>
          </cell>
        </row>
        <row r="254">
          <cell r="A254" t="str">
            <v>621.4</v>
          </cell>
          <cell r="B254" t="str">
            <v xml:space="preserve"> 3.6.6.4.4</v>
          </cell>
        </row>
        <row r="255">
          <cell r="A255" t="str">
            <v>621.5</v>
          </cell>
          <cell r="B255" t="str">
            <v>3.6.6.5.5</v>
          </cell>
        </row>
        <row r="256">
          <cell r="A256" t="str">
            <v>621.5P</v>
          </cell>
          <cell r="B256" t="str">
            <v>3.6.6.4.5</v>
          </cell>
        </row>
        <row r="257">
          <cell r="A257" t="str">
            <v>621.6</v>
          </cell>
          <cell r="B257" t="str">
            <v xml:space="preserve"> 3.6.6.4.6 </v>
          </cell>
        </row>
        <row r="258">
          <cell r="A258" t="str">
            <v>621.7</v>
          </cell>
          <cell r="B258" t="str">
            <v>3.6.6.4</v>
          </cell>
        </row>
        <row r="259">
          <cell r="A259" t="str">
            <v>622.1</v>
          </cell>
          <cell r="B259" t="str">
            <v>3.6.6.5.1</v>
          </cell>
        </row>
        <row r="260">
          <cell r="A260" t="str">
            <v>622.2</v>
          </cell>
          <cell r="B260" t="str">
            <v>3.6.6.5.3</v>
          </cell>
        </row>
        <row r="261">
          <cell r="A261" t="str">
            <v>622.3</v>
          </cell>
          <cell r="B261" t="str">
            <v>3.6.6.5.2</v>
          </cell>
        </row>
        <row r="262">
          <cell r="A262" t="str">
            <v>622.4</v>
          </cell>
          <cell r="B262" t="str">
            <v>3.6.6.5.4 </v>
          </cell>
        </row>
        <row r="263">
          <cell r="A263" t="str">
            <v>622.5</v>
          </cell>
          <cell r="B263" t="str">
            <v>3.6.6.5.5</v>
          </cell>
        </row>
        <row r="264">
          <cell r="A264" t="str">
            <v>623.1</v>
          </cell>
          <cell r="B264" t="str">
            <v>3.6.6.8</v>
          </cell>
        </row>
        <row r="265">
          <cell r="A265" t="str">
            <v>623.2</v>
          </cell>
          <cell r="B265" t="str">
            <v>3.6.6.8</v>
          </cell>
        </row>
        <row r="266">
          <cell r="A266" t="str">
            <v>630.1</v>
          </cell>
          <cell r="B266" t="str">
            <v>3.6.6.6.8</v>
          </cell>
        </row>
        <row r="267">
          <cell r="A267" t="str">
            <v>630.1.5P</v>
          </cell>
          <cell r="B267" t="str">
            <v>3.3.6.10</v>
          </cell>
        </row>
        <row r="268">
          <cell r="A268" t="str">
            <v>630.2</v>
          </cell>
          <cell r="B268" t="str">
            <v>3.6.6.6.17</v>
          </cell>
        </row>
        <row r="269">
          <cell r="A269" t="str">
            <v>630.2P</v>
          </cell>
          <cell r="B269" t="str">
            <v> 3.3.6.10.2 </v>
          </cell>
        </row>
        <row r="270">
          <cell r="A270" t="str">
            <v>630.3</v>
          </cell>
          <cell r="B270" t="str">
            <v xml:space="preserve"> 3.6.6.6.26</v>
          </cell>
        </row>
        <row r="271">
          <cell r="A271" t="str">
            <v>630.4</v>
          </cell>
          <cell r="B271" t="str">
            <v xml:space="preserve">3.6.6.6.35 </v>
          </cell>
        </row>
        <row r="272">
          <cell r="A272" t="str">
            <v>630.4 P</v>
          </cell>
          <cell r="B272" t="str">
            <v>3.3.5.3.6</v>
          </cell>
        </row>
        <row r="273">
          <cell r="A273" t="str">
            <v>630.4 P</v>
          </cell>
          <cell r="B273" t="str">
            <v>3.6.6.6</v>
          </cell>
        </row>
        <row r="274">
          <cell r="A274" t="str">
            <v>630.4.1 P</v>
          </cell>
          <cell r="B274" t="str">
            <v>3.3.5.3.6</v>
          </cell>
        </row>
        <row r="275">
          <cell r="A275" t="str">
            <v>630.4.2 P</v>
          </cell>
          <cell r="B275" t="str">
            <v>3.6.6.21.2</v>
          </cell>
        </row>
        <row r="276">
          <cell r="A276" t="str">
            <v>630.5</v>
          </cell>
          <cell r="B276" t="str">
            <v>3.6.6.6.44</v>
          </cell>
        </row>
        <row r="277">
          <cell r="A277" t="str">
            <v>630.6</v>
          </cell>
          <cell r="B277" t="str">
            <v>3.6.6.6.46</v>
          </cell>
        </row>
        <row r="278">
          <cell r="A278" t="str">
            <v>630.7</v>
          </cell>
          <cell r="B278" t="str">
            <v>3.6.6.6.47</v>
          </cell>
        </row>
        <row r="279">
          <cell r="A279" t="str">
            <v>630.7 P</v>
          </cell>
          <cell r="B279" t="str">
            <v>3.6.6.6</v>
          </cell>
        </row>
        <row r="280">
          <cell r="A280" t="str">
            <v>6302P</v>
          </cell>
          <cell r="B280" t="str">
            <v>3.3.5.2</v>
          </cell>
        </row>
        <row r="281">
          <cell r="A281" t="str">
            <v>630P</v>
          </cell>
          <cell r="B281" t="str">
            <v>3.3.5.3.6</v>
          </cell>
        </row>
        <row r="282">
          <cell r="A282" t="str">
            <v>631.1</v>
          </cell>
          <cell r="B282" t="str">
            <v>3.6.6.21.2</v>
          </cell>
        </row>
        <row r="283">
          <cell r="A283" t="str">
            <v>631P</v>
          </cell>
          <cell r="B283" t="str">
            <v>3.6.6.21.2</v>
          </cell>
        </row>
        <row r="284">
          <cell r="A284" t="str">
            <v>631P</v>
          </cell>
          <cell r="B284" t="str">
            <v>3.6.6.21.2</v>
          </cell>
        </row>
        <row r="285">
          <cell r="A285" t="str">
            <v>632.1</v>
          </cell>
          <cell r="B285" t="str">
            <v>3.6.6.7.1</v>
          </cell>
        </row>
        <row r="286">
          <cell r="A286" t="str">
            <v>632.2</v>
          </cell>
          <cell r="B286" t="str">
            <v>3.6.6.7.2</v>
          </cell>
        </row>
        <row r="287">
          <cell r="A287" t="str">
            <v>632.2</v>
          </cell>
          <cell r="B287" t="str">
            <v>3.6.6.7</v>
          </cell>
        </row>
        <row r="288">
          <cell r="A288" t="str">
            <v>632.3</v>
          </cell>
          <cell r="B288" t="str">
            <v>3.6.6.7</v>
          </cell>
        </row>
        <row r="289">
          <cell r="A289" t="str">
            <v>632.4</v>
          </cell>
          <cell r="B289" t="str">
            <v>3.6.6.7</v>
          </cell>
        </row>
        <row r="290">
          <cell r="A290" t="str">
            <v>632P</v>
          </cell>
          <cell r="B290" t="str">
            <v>3.6.6.11</v>
          </cell>
        </row>
        <row r="291">
          <cell r="A291" t="str">
            <v>633.1</v>
          </cell>
          <cell r="B291" t="str">
            <v>3.6.6.7.2</v>
          </cell>
        </row>
        <row r="292">
          <cell r="A292" t="str">
            <v>633.3P</v>
          </cell>
          <cell r="B292" t="str">
            <v> 3.3.6.10.3 </v>
          </cell>
        </row>
        <row r="293">
          <cell r="A293" t="str">
            <v>640.1</v>
          </cell>
          <cell r="B293" t="str">
            <v>3.6.6.8.1 </v>
          </cell>
        </row>
        <row r="294">
          <cell r="A294" t="str">
            <v>640.1.1</v>
          </cell>
          <cell r="B294" t="str">
            <v>3.6.6.8.1 </v>
          </cell>
        </row>
        <row r="295">
          <cell r="A295" t="str">
            <v>640.1P</v>
          </cell>
          <cell r="B295" t="str">
            <v> 3.6.6.11</v>
          </cell>
        </row>
        <row r="296">
          <cell r="A296" t="str">
            <v>640.1P1</v>
          </cell>
          <cell r="B296" t="str">
            <v> 3.6.6.11.5</v>
          </cell>
        </row>
        <row r="297">
          <cell r="A297" t="str">
            <v>640.1P2</v>
          </cell>
          <cell r="B297" t="str">
            <v>3.6.6.11.3</v>
          </cell>
        </row>
        <row r="298">
          <cell r="A298" t="str">
            <v>640.2</v>
          </cell>
          <cell r="B298" t="str">
            <v> 3.6.6.8.2 </v>
          </cell>
        </row>
        <row r="299">
          <cell r="A299" t="str">
            <v>640.2</v>
          </cell>
          <cell r="B299" t="str">
            <v>3.6.6.11</v>
          </cell>
        </row>
        <row r="300">
          <cell r="A300" t="str">
            <v>640.3</v>
          </cell>
          <cell r="B300" t="str">
            <v> 3.6.6.8.3 </v>
          </cell>
        </row>
        <row r="301">
          <cell r="A301" t="str">
            <v>641.1</v>
          </cell>
          <cell r="B301" t="str">
            <v>3.6.6.9.1</v>
          </cell>
        </row>
        <row r="302">
          <cell r="A302" t="str">
            <v>641.1P</v>
          </cell>
          <cell r="B302" t="str">
            <v>3.6.6.9</v>
          </cell>
        </row>
        <row r="303">
          <cell r="A303" t="str">
            <v>641.2</v>
          </cell>
          <cell r="B303" t="str">
            <v>3.6.6.9</v>
          </cell>
        </row>
        <row r="304">
          <cell r="A304" t="str">
            <v>641P</v>
          </cell>
          <cell r="B304" t="str">
            <v>3.6.6.9</v>
          </cell>
        </row>
        <row r="305">
          <cell r="A305" t="str">
            <v>642.1</v>
          </cell>
          <cell r="B305" t="str">
            <v>3.6.6.10.1</v>
          </cell>
        </row>
        <row r="306">
          <cell r="A306" t="str">
            <v>642.2</v>
          </cell>
          <cell r="B306" t="str">
            <v>3.6.6.10.2</v>
          </cell>
        </row>
        <row r="307">
          <cell r="A307" t="str">
            <v>642P1</v>
          </cell>
          <cell r="B307" t="str">
            <v>3.6.6.10</v>
          </cell>
        </row>
        <row r="308">
          <cell r="A308" t="str">
            <v>642P2</v>
          </cell>
          <cell r="B308" t="str">
            <v>3.6.6.10</v>
          </cell>
        </row>
        <row r="309">
          <cell r="A309" t="str">
            <v>642P3</v>
          </cell>
          <cell r="B309" t="str">
            <v>3.6.6.10</v>
          </cell>
        </row>
        <row r="310">
          <cell r="A310" t="str">
            <v>650.1</v>
          </cell>
          <cell r="B310" t="str">
            <v>3.6.6.11.1</v>
          </cell>
        </row>
        <row r="311">
          <cell r="A311" t="str">
            <v>650.2</v>
          </cell>
          <cell r="B311" t="str">
            <v>3.6.6.11.2</v>
          </cell>
        </row>
        <row r="312">
          <cell r="A312" t="str">
            <v>650.3</v>
          </cell>
          <cell r="B312" t="str">
            <v>3.6.6.11.7</v>
          </cell>
        </row>
        <row r="313">
          <cell r="A313" t="str">
            <v>650.3 OTRO</v>
          </cell>
          <cell r="B313" t="str">
            <v>3.6.6.11.7</v>
          </cell>
        </row>
        <row r="314">
          <cell r="A314" t="str">
            <v>650.3P</v>
          </cell>
          <cell r="B314" t="str">
            <v>3.6.6.11</v>
          </cell>
        </row>
        <row r="315">
          <cell r="A315" t="str">
            <v>650.4</v>
          </cell>
          <cell r="B315" t="str">
            <v>3.6.6.11.6</v>
          </cell>
        </row>
        <row r="316">
          <cell r="A316" t="str">
            <v>650.5P</v>
          </cell>
          <cell r="B316" t="str">
            <v>3.6.9 </v>
          </cell>
        </row>
        <row r="317">
          <cell r="A317" t="str">
            <v>651.1P</v>
          </cell>
          <cell r="B317" t="str">
            <v>3.6.7.5</v>
          </cell>
        </row>
        <row r="318">
          <cell r="A318" t="str">
            <v>651.2P</v>
          </cell>
          <cell r="B318" t="str">
            <v>3.6.7.5.1</v>
          </cell>
        </row>
        <row r="319">
          <cell r="A319" t="str">
            <v>660.1</v>
          </cell>
          <cell r="B319" t="str">
            <v>3.6.6.12.9 </v>
          </cell>
        </row>
        <row r="320">
          <cell r="A320" t="str">
            <v>660.1</v>
          </cell>
          <cell r="B320" t="str">
            <v>3.6.6.12.7</v>
          </cell>
        </row>
        <row r="321">
          <cell r="A321" t="str">
            <v>660.2</v>
          </cell>
          <cell r="B321" t="str">
            <v>3.6.6.12.8</v>
          </cell>
        </row>
        <row r="322">
          <cell r="A322" t="str">
            <v>660.3</v>
          </cell>
          <cell r="B322" t="str">
            <v>3.6.6.12.9</v>
          </cell>
        </row>
        <row r="323">
          <cell r="A323" t="str">
            <v>661 OTRO</v>
          </cell>
          <cell r="B323" t="str">
            <v>3.6.6.13</v>
          </cell>
        </row>
        <row r="324">
          <cell r="A324" t="str">
            <v>661.1</v>
          </cell>
          <cell r="B324" t="str">
            <v>3.6.6.13.4</v>
          </cell>
        </row>
        <row r="325">
          <cell r="A325" t="str">
            <v>661.1.1</v>
          </cell>
          <cell r="B325" t="str">
            <v>3.6.6.13</v>
          </cell>
        </row>
        <row r="326">
          <cell r="A326" t="str">
            <v>661.1.2</v>
          </cell>
          <cell r="B326" t="str">
            <v>3.6.6.13</v>
          </cell>
        </row>
        <row r="327">
          <cell r="A327" t="str">
            <v>661.1P</v>
          </cell>
          <cell r="B327" t="str">
            <v>3.6.6.13</v>
          </cell>
        </row>
        <row r="328">
          <cell r="A328" t="str">
            <v>661.2</v>
          </cell>
          <cell r="B328" t="str">
            <v>3.6.6.13.20</v>
          </cell>
        </row>
        <row r="329">
          <cell r="A329" t="str">
            <v>661.3</v>
          </cell>
          <cell r="B329" t="str">
            <v> 3.6.6.13.4 </v>
          </cell>
        </row>
        <row r="330">
          <cell r="A330" t="str">
            <v>662.1</v>
          </cell>
          <cell r="B330" t="str">
            <v>3.3.14.19.1</v>
          </cell>
        </row>
        <row r="331">
          <cell r="A331" t="str">
            <v>662.2</v>
          </cell>
          <cell r="B331" t="str">
            <v>3.6.6.14</v>
          </cell>
        </row>
        <row r="332">
          <cell r="A332" t="str">
            <v>670.1</v>
          </cell>
          <cell r="B332" t="str">
            <v>3.6.6.15.2</v>
          </cell>
        </row>
        <row r="333">
          <cell r="A333" t="str">
            <v>670.1P</v>
          </cell>
          <cell r="B333" t="str">
            <v>3.6.6.15.2</v>
          </cell>
        </row>
        <row r="334">
          <cell r="A334" t="str">
            <v>670.2</v>
          </cell>
          <cell r="B334" t="str">
            <v>3.6.6.15.2</v>
          </cell>
        </row>
        <row r="335">
          <cell r="A335" t="str">
            <v>671.1</v>
          </cell>
          <cell r="B335" t="str">
            <v>3.6.6.16.1</v>
          </cell>
        </row>
        <row r="336">
          <cell r="A336" t="str">
            <v>671.2</v>
          </cell>
          <cell r="B336" t="str">
            <v> 3.6.6.16.8</v>
          </cell>
        </row>
        <row r="337">
          <cell r="A337" t="str">
            <v>672.1</v>
          </cell>
          <cell r="B337" t="str">
            <v>3.6.6.19.2</v>
          </cell>
        </row>
        <row r="338">
          <cell r="A338" t="str">
            <v>672.2</v>
          </cell>
          <cell r="B338" t="str">
            <v>3.6.6.19</v>
          </cell>
        </row>
        <row r="339">
          <cell r="A339" t="str">
            <v>673.1</v>
          </cell>
          <cell r="B339" t="str">
            <v>3.6.6.19.2</v>
          </cell>
        </row>
        <row r="340">
          <cell r="A340" t="str">
            <v>673.2</v>
          </cell>
          <cell r="B340" t="str">
            <v>3.6.8.1.2</v>
          </cell>
        </row>
        <row r="341">
          <cell r="A341" t="str">
            <v>673.2P</v>
          </cell>
          <cell r="B341" t="str">
            <v>3.6.8.1</v>
          </cell>
        </row>
        <row r="342">
          <cell r="A342" t="str">
            <v>673.3</v>
          </cell>
          <cell r="B342" t="str">
            <v>3.6.8.1.2</v>
          </cell>
        </row>
        <row r="343">
          <cell r="A343" t="str">
            <v>673.4P</v>
          </cell>
          <cell r="B343" t="str">
            <v>3.6.8.3.6</v>
          </cell>
        </row>
        <row r="344">
          <cell r="A344" t="str">
            <v>674.1</v>
          </cell>
          <cell r="B344" t="str">
            <v>3.6.6.20.1</v>
          </cell>
        </row>
        <row r="345">
          <cell r="A345" t="str">
            <v>674.1P</v>
          </cell>
          <cell r="B345" t="str">
            <v>3.6.6.20.1</v>
          </cell>
        </row>
        <row r="346">
          <cell r="A346" t="str">
            <v>674.2</v>
          </cell>
          <cell r="B346" t="str">
            <v>3.6.6.20.2</v>
          </cell>
        </row>
        <row r="347">
          <cell r="A347" t="str">
            <v>674P</v>
          </cell>
          <cell r="B347" t="str">
            <v> 3.6.6.14</v>
          </cell>
        </row>
        <row r="348">
          <cell r="A348" t="str">
            <v>675.1</v>
          </cell>
          <cell r="B348" t="str">
            <v> 3.6.8.2.6 </v>
          </cell>
        </row>
        <row r="349">
          <cell r="A349" t="str">
            <v>675.2</v>
          </cell>
          <cell r="B349" t="str">
            <v>3.6.4.2</v>
          </cell>
        </row>
        <row r="350">
          <cell r="A350" t="str">
            <v>675.3</v>
          </cell>
          <cell r="B350" t="str">
            <v>3.6.4.1.2</v>
          </cell>
        </row>
        <row r="351">
          <cell r="A351" t="str">
            <v>676.1</v>
          </cell>
          <cell r="B351" t="str">
            <v> 3.6.8.2.2 </v>
          </cell>
        </row>
        <row r="352">
          <cell r="A352" t="str">
            <v>680.1</v>
          </cell>
          <cell r="B352" t="str">
            <v>3.6.6.20.1</v>
          </cell>
        </row>
        <row r="353">
          <cell r="A353" t="str">
            <v>680.1P</v>
          </cell>
          <cell r="B353" t="str">
            <v>3.6.6.20.1 </v>
          </cell>
        </row>
        <row r="354">
          <cell r="A354" t="str">
            <v>680.2</v>
          </cell>
          <cell r="B354" t="str">
            <v>3.6.6.20.2</v>
          </cell>
        </row>
        <row r="355">
          <cell r="A355" t="str">
            <v>680.3</v>
          </cell>
          <cell r="B355" t="str">
            <v>3.6.6.20.3</v>
          </cell>
        </row>
        <row r="356">
          <cell r="A356" t="str">
            <v>680P</v>
          </cell>
          <cell r="B356" t="str">
            <v>3.3.11.3</v>
          </cell>
        </row>
        <row r="357">
          <cell r="A357" t="str">
            <v>681.1</v>
          </cell>
          <cell r="B357" t="str">
            <v xml:space="preserve">3.6.6.21.1  </v>
          </cell>
        </row>
        <row r="358">
          <cell r="A358" t="str">
            <v>681.1P</v>
          </cell>
          <cell r="B358" t="str">
            <v>3.6.6.21</v>
          </cell>
        </row>
        <row r="359">
          <cell r="A359" t="str">
            <v>681.2</v>
          </cell>
          <cell r="B359" t="str">
            <v>3.6.6.20.2</v>
          </cell>
        </row>
        <row r="360">
          <cell r="A360" t="str">
            <v>681.2P</v>
          </cell>
          <cell r="B360" t="str">
            <v>3.6.6.21</v>
          </cell>
        </row>
        <row r="361">
          <cell r="A361" t="str">
            <v>682.1</v>
          </cell>
          <cell r="B361" t="str">
            <v>3.2.7.5.3</v>
          </cell>
        </row>
        <row r="362">
          <cell r="A362" t="str">
            <v>682.1</v>
          </cell>
          <cell r="B362" t="str">
            <v>3.2.7.5.3</v>
          </cell>
        </row>
        <row r="363">
          <cell r="A363" t="str">
            <v>682P</v>
          </cell>
          <cell r="B363" t="str">
            <v>3.2.7.5</v>
          </cell>
        </row>
        <row r="364">
          <cell r="A364" t="str">
            <v>682P</v>
          </cell>
          <cell r="B364" t="str">
            <v>3,6,6,22,1</v>
          </cell>
        </row>
        <row r="365">
          <cell r="A365" t="str">
            <v>683P</v>
          </cell>
          <cell r="B365" t="str">
            <v> 3.6.6.14</v>
          </cell>
        </row>
        <row r="366">
          <cell r="A366" t="str">
            <v>690.1</v>
          </cell>
          <cell r="B366" t="str">
            <v>3.6.7.1.1</v>
          </cell>
        </row>
        <row r="367">
          <cell r="A367" t="str">
            <v>700.1</v>
          </cell>
          <cell r="B367" t="str">
            <v>3.6.7.1.1</v>
          </cell>
        </row>
        <row r="368">
          <cell r="A368" t="str">
            <v>700.2</v>
          </cell>
          <cell r="B368" t="str">
            <v>3.6.7.1.6</v>
          </cell>
        </row>
        <row r="369">
          <cell r="A369" t="str">
            <v>700.3</v>
          </cell>
          <cell r="B369" t="str">
            <v> 3.6.7.1.2</v>
          </cell>
        </row>
        <row r="370">
          <cell r="A370" t="str">
            <v>700.4</v>
          </cell>
          <cell r="B370" t="str">
            <v>3.6.7.1.6</v>
          </cell>
        </row>
        <row r="371">
          <cell r="A371" t="str">
            <v>700.5P</v>
          </cell>
          <cell r="B371" t="str">
            <v>3.6.7.1.6</v>
          </cell>
        </row>
        <row r="372">
          <cell r="A372" t="str">
            <v>700.6P</v>
          </cell>
          <cell r="B372" t="str">
            <v>3.6.7.1</v>
          </cell>
        </row>
        <row r="373">
          <cell r="A373" t="str">
            <v>700P</v>
          </cell>
          <cell r="B373" t="str">
            <v>3.6.7</v>
          </cell>
        </row>
        <row r="374">
          <cell r="A374" t="str">
            <v>701.1</v>
          </cell>
          <cell r="B374" t="str">
            <v>3.6.7.2.1</v>
          </cell>
        </row>
        <row r="375">
          <cell r="A375" t="str">
            <v>701.2P</v>
          </cell>
          <cell r="B375" t="str">
            <v>3.6.7.6</v>
          </cell>
        </row>
        <row r="376">
          <cell r="A376" t="str">
            <v>701P</v>
          </cell>
          <cell r="B376" t="str">
            <v>3.6.7.2</v>
          </cell>
        </row>
        <row r="377">
          <cell r="A377" t="str">
            <v>710.1</v>
          </cell>
          <cell r="B377" t="str">
            <v>3.6.7.3.13</v>
          </cell>
        </row>
        <row r="378">
          <cell r="A378" t="str">
            <v>710.1.1</v>
          </cell>
          <cell r="B378" t="str">
            <v>3.6.7.3.39</v>
          </cell>
        </row>
        <row r="379">
          <cell r="A379" t="str">
            <v>710.1.2</v>
          </cell>
          <cell r="B379" t="str">
            <v>3.6.7.3</v>
          </cell>
        </row>
        <row r="380">
          <cell r="A380" t="str">
            <v>710.1.3</v>
          </cell>
          <cell r="B380" t="str">
            <v>3.6.7.3</v>
          </cell>
        </row>
        <row r="381">
          <cell r="A381" t="str">
            <v>710.1.4</v>
          </cell>
          <cell r="B381" t="str">
            <v>3.6.7.3</v>
          </cell>
        </row>
        <row r="382">
          <cell r="A382" t="str">
            <v>710.1.5</v>
          </cell>
          <cell r="B382" t="str">
            <v>3.6.7.3</v>
          </cell>
        </row>
        <row r="383">
          <cell r="A383" t="str">
            <v>710.2</v>
          </cell>
          <cell r="B383" t="str">
            <v>3.6.7.3</v>
          </cell>
        </row>
        <row r="384">
          <cell r="A384" t="str">
            <v>710.2.1</v>
          </cell>
          <cell r="B384" t="str">
            <v>3.6.7.3</v>
          </cell>
        </row>
        <row r="385">
          <cell r="A385" t="str">
            <v>710.3</v>
          </cell>
          <cell r="B385" t="str">
            <v>3.6.7.3</v>
          </cell>
        </row>
        <row r="386">
          <cell r="A386" t="str">
            <v>710.4</v>
          </cell>
          <cell r="B386" t="str">
            <v>3.6.7.3</v>
          </cell>
        </row>
        <row r="387">
          <cell r="A387" t="str">
            <v>710.5</v>
          </cell>
          <cell r="B387" t="str">
            <v>3.6.7.3</v>
          </cell>
        </row>
        <row r="388">
          <cell r="A388" t="str">
            <v>720.1</v>
          </cell>
          <cell r="B388" t="str">
            <v>3.6.7.4.1</v>
          </cell>
        </row>
        <row r="389">
          <cell r="A389" t="str">
            <v>730.1</v>
          </cell>
          <cell r="B389" t="str">
            <v>3.6.7.5.1</v>
          </cell>
        </row>
        <row r="390">
          <cell r="A390" t="str">
            <v>730.2</v>
          </cell>
          <cell r="B390" t="str">
            <v>3.6.7.5.2</v>
          </cell>
        </row>
        <row r="391">
          <cell r="A391" t="str">
            <v>730.2</v>
          </cell>
          <cell r="B391" t="str">
            <v>3.6.7.5.2</v>
          </cell>
        </row>
        <row r="392">
          <cell r="A392" t="str">
            <v>730.3</v>
          </cell>
          <cell r="B392" t="str">
            <v>3.6.7.5.3</v>
          </cell>
        </row>
        <row r="393">
          <cell r="A393" t="str">
            <v>731.1</v>
          </cell>
          <cell r="B393" t="str">
            <v>3.6.6.21</v>
          </cell>
        </row>
        <row r="394">
          <cell r="A394" t="str">
            <v>740.1</v>
          </cell>
          <cell r="B394" t="str">
            <v>3.6.7.6.1</v>
          </cell>
        </row>
        <row r="395">
          <cell r="A395" t="str">
            <v>741.1</v>
          </cell>
          <cell r="B395" t="str">
            <v>3.6.7</v>
          </cell>
        </row>
        <row r="396">
          <cell r="A396" t="str">
            <v>741.1P1</v>
          </cell>
          <cell r="B396" t="str">
            <v>3.6.7</v>
          </cell>
        </row>
        <row r="397">
          <cell r="A397" t="str">
            <v>741.1P2</v>
          </cell>
          <cell r="B397" t="str">
            <v>3.6.7</v>
          </cell>
        </row>
        <row r="398">
          <cell r="A398" t="str">
            <v>741.1P3</v>
          </cell>
          <cell r="B398" t="str">
            <v>3.6.7</v>
          </cell>
        </row>
        <row r="399">
          <cell r="A399" t="str">
            <v>800.1</v>
          </cell>
          <cell r="B399" t="str">
            <v>3.6.9.1.4</v>
          </cell>
        </row>
        <row r="400">
          <cell r="A400" t="str">
            <v>800.2</v>
          </cell>
          <cell r="B400" t="str">
            <v>3.6.9.1.10</v>
          </cell>
        </row>
        <row r="401">
          <cell r="A401" t="str">
            <v>800.3</v>
          </cell>
          <cell r="B401" t="str">
            <v>3.6.9.1.6</v>
          </cell>
        </row>
        <row r="402">
          <cell r="A402" t="str">
            <v>800.4</v>
          </cell>
          <cell r="B402" t="str">
            <v>3.6.9.1.13</v>
          </cell>
        </row>
        <row r="403">
          <cell r="A403" t="str">
            <v>800P</v>
          </cell>
          <cell r="B403" t="str">
            <v>3.6.9.1.30</v>
          </cell>
        </row>
        <row r="404">
          <cell r="A404" t="str">
            <v>801.1</v>
          </cell>
          <cell r="B404" t="str">
            <v>3.6.1.2</v>
          </cell>
        </row>
        <row r="405">
          <cell r="A405" t="str">
            <v>801.2</v>
          </cell>
          <cell r="B405" t="str">
            <v>3.6.9.4.12</v>
          </cell>
        </row>
        <row r="406">
          <cell r="A406" t="str">
            <v>801.3</v>
          </cell>
          <cell r="B406" t="str">
            <v>3.6.9.4.12</v>
          </cell>
        </row>
        <row r="407">
          <cell r="A407" t="str">
            <v>801.4</v>
          </cell>
          <cell r="B407" t="str">
            <v>3.6.9.4.12</v>
          </cell>
        </row>
        <row r="408">
          <cell r="A408" t="str">
            <v>801.5</v>
          </cell>
          <cell r="B408" t="str">
            <v>3.6.9.4.8</v>
          </cell>
        </row>
        <row r="409">
          <cell r="A409" t="str">
            <v>801.6</v>
          </cell>
          <cell r="B409" t="str">
            <v>3.6.9.4.10</v>
          </cell>
        </row>
        <row r="410">
          <cell r="A410" t="str">
            <v>801.7</v>
          </cell>
          <cell r="B410" t="str">
            <v>3.6.9.4</v>
          </cell>
        </row>
        <row r="411">
          <cell r="A411" t="str">
            <v>810.1</v>
          </cell>
          <cell r="B411" t="str">
            <v>3.6.9.2.1</v>
          </cell>
        </row>
        <row r="412">
          <cell r="A412" t="str">
            <v>810.1P</v>
          </cell>
          <cell r="B412" t="str">
            <v> 3.6.9.2</v>
          </cell>
        </row>
        <row r="413">
          <cell r="A413" t="str">
            <v>810.2</v>
          </cell>
          <cell r="B413" t="str">
            <v>3.6.9.2.2</v>
          </cell>
        </row>
        <row r="414">
          <cell r="A414" t="str">
            <v>810.3</v>
          </cell>
          <cell r="B414" t="str">
            <v>3.2.9.1.1</v>
          </cell>
        </row>
        <row r="415">
          <cell r="A415" t="str">
            <v>811.1</v>
          </cell>
          <cell r="B415" t="str">
            <v>3.2.10.1</v>
          </cell>
        </row>
        <row r="416">
          <cell r="A416" t="str">
            <v>811.1P1</v>
          </cell>
          <cell r="B416" t="str">
            <v>3.2.10.1</v>
          </cell>
        </row>
        <row r="417">
          <cell r="A417" t="str">
            <v>811.1P10</v>
          </cell>
          <cell r="B417" t="str">
            <v>3.2.10.1</v>
          </cell>
        </row>
        <row r="418">
          <cell r="A418" t="str">
            <v>811.1P11</v>
          </cell>
          <cell r="B418" t="str">
            <v>3.2.10.1</v>
          </cell>
        </row>
        <row r="419">
          <cell r="A419" t="str">
            <v>811.1P12</v>
          </cell>
          <cell r="B419" t="str">
            <v>3.2.10.1</v>
          </cell>
        </row>
        <row r="420">
          <cell r="A420" t="str">
            <v>811.1P13</v>
          </cell>
          <cell r="B420" t="str">
            <v>3.2.10.1</v>
          </cell>
        </row>
        <row r="421">
          <cell r="A421" t="str">
            <v>811.1P14</v>
          </cell>
          <cell r="B421" t="str">
            <v>3.2.10.1</v>
          </cell>
        </row>
        <row r="422">
          <cell r="A422" t="str">
            <v>811.1P2</v>
          </cell>
          <cell r="B422" t="str">
            <v>3.2.10.1</v>
          </cell>
        </row>
        <row r="423">
          <cell r="A423" t="str">
            <v>811.1P3</v>
          </cell>
          <cell r="B423" t="str">
            <v>3.2.10.1</v>
          </cell>
        </row>
        <row r="424">
          <cell r="A424" t="str">
            <v>811.1P4</v>
          </cell>
          <cell r="B424" t="str">
            <v>3.2.10.1</v>
          </cell>
        </row>
        <row r="425">
          <cell r="A425" t="str">
            <v>811.1P5</v>
          </cell>
          <cell r="B425" t="str">
            <v>3.2.10.1</v>
          </cell>
        </row>
        <row r="426">
          <cell r="A426" t="str">
            <v>811.1P6</v>
          </cell>
          <cell r="B426" t="str">
            <v>3.2.10.1</v>
          </cell>
        </row>
        <row r="427">
          <cell r="A427" t="str">
            <v>811.1P7</v>
          </cell>
          <cell r="B427" t="str">
            <v>3.2.10.1</v>
          </cell>
        </row>
        <row r="428">
          <cell r="A428" t="str">
            <v>811.1P8</v>
          </cell>
          <cell r="B428" t="str">
            <v>3.2.10.1</v>
          </cell>
        </row>
        <row r="429">
          <cell r="A429" t="str">
            <v>811.1P9</v>
          </cell>
          <cell r="B429" t="str">
            <v>3.2.10.1</v>
          </cell>
        </row>
        <row r="430">
          <cell r="A430" t="str">
            <v>812.1</v>
          </cell>
          <cell r="B430" t="str">
            <v> 3.3.6.10.3 </v>
          </cell>
        </row>
        <row r="431">
          <cell r="A431" t="str">
            <v>815P</v>
          </cell>
          <cell r="B431" t="str">
            <v>3.2.10.3</v>
          </cell>
        </row>
        <row r="432">
          <cell r="A432" t="str">
            <v>820P1</v>
          </cell>
          <cell r="B432" t="str">
            <v>3,6,8,2,2</v>
          </cell>
        </row>
        <row r="433">
          <cell r="A433" t="str">
            <v>900.1</v>
          </cell>
          <cell r="B433" t="str">
            <v xml:space="preserve">3.6.9.3.1   </v>
          </cell>
        </row>
        <row r="434">
          <cell r="A434" t="str">
            <v>900.2</v>
          </cell>
          <cell r="B434" t="str">
            <v xml:space="preserve">3.6.9.3.1   </v>
          </cell>
        </row>
        <row r="435">
          <cell r="A435" t="str">
            <v>900.3</v>
          </cell>
          <cell r="B435" t="str">
            <v xml:space="preserve">3.6.9.3.1   </v>
          </cell>
        </row>
        <row r="436">
          <cell r="A436" t="str">
            <v>900.3P</v>
          </cell>
          <cell r="B436" t="str">
            <v xml:space="preserve">3.6.9.3.1   </v>
          </cell>
        </row>
        <row r="437">
          <cell r="A437" t="str">
            <v>900.4P</v>
          </cell>
          <cell r="B437" t="str">
            <v xml:space="preserve">3.6.9.3.1   </v>
          </cell>
        </row>
        <row r="438">
          <cell r="A438" t="str">
            <v>trinchos de madera</v>
          </cell>
          <cell r="B438" t="str">
            <v>3.2.7.5.1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N Summary"/>
      <sheetName val="ABON Detail"/>
      <sheetName val="ABON Exclusions"/>
      <sheetName val="PREV.SHEET.LAST.PRINT"/>
      <sheetName val="Constants"/>
      <sheetName val="Macro1"/>
    </sheetNames>
    <sheetDataSet>
      <sheetData sheetId="0" refreshError="1"/>
      <sheetData sheetId="1" refreshError="1"/>
      <sheetData sheetId="2" refreshError="1"/>
      <sheetData sheetId="3" refreshError="1"/>
      <sheetData sheetId="4" refreshError="1">
        <row r="9">
          <cell r="B9">
            <v>39016.747021064817</v>
          </cell>
        </row>
        <row r="10">
          <cell r="B10">
            <v>75</v>
          </cell>
        </row>
      </sheetData>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PANET"/>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iseño"/>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SSUMPTIONS"/>
      <sheetName val="INPUT_TEMP"/>
      <sheetName val="W_REV"/>
      <sheetName val="W_OPEX"/>
      <sheetName val="W_CAPEX"/>
      <sheetName val="W_FUND"/>
      <sheetName val="W_EQUITY"/>
      <sheetName val="W_TAX_DEP"/>
      <sheetName val="W_TAX"/>
      <sheetName val="NOMINAL_CF_PESO"/>
      <sheetName val="NOM_IS&amp;BS_PESO"/>
      <sheetName val="NOM_IS&amp;BS_US$"/>
      <sheetName val="NOM_CF_US$"/>
      <sheetName val="ACQUISTION COSTS"/>
      <sheetName val="REAL_CF_US$"/>
      <sheetName val="SUMMARY"/>
      <sheetName val="Presentation"/>
      <sheetName val="AllCharts"/>
      <sheetName val="Historical Exchange Rate"/>
    </sheetNames>
    <sheetDataSet>
      <sheetData sheetId="0" refreshError="1">
        <row r="45">
          <cell r="G4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Capital Budget"/>
      <sheetName val="Sheet1"/>
      <sheetName val="REF - Listas"/>
    </sheetNames>
    <sheetDataSet>
      <sheetData sheetId="0">
        <row r="2">
          <cell r="E2" t="str">
            <v>A1-001</v>
          </cell>
        </row>
      </sheetData>
      <sheetData sheetId="1"/>
      <sheetData sheetId="2">
        <row r="4">
          <cell r="D4" t="str">
            <v>Administrative</v>
          </cell>
        </row>
        <row r="5">
          <cell r="D5" t="str">
            <v>Security</v>
          </cell>
        </row>
        <row r="6">
          <cell r="D6" t="str">
            <v>IT</v>
          </cell>
        </row>
        <row r="7">
          <cell r="D7" t="str">
            <v>Operations</v>
          </cell>
        </row>
        <row r="8">
          <cell r="D8" t="str">
            <v>Maintenance</v>
          </cell>
        </row>
        <row r="9">
          <cell r="D9" t="str">
            <v>Technical Services</v>
          </cell>
        </row>
        <row r="10">
          <cell r="D10" t="str">
            <v>Projects</v>
          </cell>
          <cell r="G10" t="str">
            <v>each</v>
          </cell>
        </row>
        <row r="11">
          <cell r="D11" t="str">
            <v>Investment</v>
          </cell>
          <cell r="G11" t="str">
            <v>global</v>
          </cell>
        </row>
        <row r="12">
          <cell r="D12" t="str">
            <v>Environmental</v>
          </cell>
          <cell r="G12" t="str">
            <v>hours</v>
          </cell>
        </row>
        <row r="13">
          <cell r="G13" t="str">
            <v>linear meter</v>
          </cell>
        </row>
        <row r="14">
          <cell r="G14" t="str">
            <v>kilometer</v>
          </cell>
        </row>
        <row r="15">
          <cell r="G15" t="str">
            <v>square meter (m2)</v>
          </cell>
        </row>
        <row r="16">
          <cell r="G16" t="str">
            <v>cubic meter (m3)</v>
          </cell>
        </row>
        <row r="17">
          <cell r="G17" t="str">
            <v>lot</v>
          </cell>
        </row>
        <row r="18">
          <cell r="G18" t="str">
            <v>hectares</v>
          </cell>
        </row>
        <row r="26">
          <cell r="B26" t="str">
            <v>Yes</v>
          </cell>
        </row>
        <row r="27">
          <cell r="B27" t="str">
            <v>No</v>
          </cell>
        </row>
        <row r="41">
          <cell r="B41" t="str">
            <v>Barranquilla Head Office</v>
          </cell>
        </row>
        <row r="42">
          <cell r="B42" t="str">
            <v>Jagua Mine</v>
          </cell>
        </row>
        <row r="43">
          <cell r="B43" t="str">
            <v>Calenturitas Mine</v>
          </cell>
        </row>
        <row r="44">
          <cell r="B44" t="str">
            <v>Rail</v>
          </cell>
        </row>
        <row r="45">
          <cell r="B45" t="str">
            <v>CMU</v>
          </cell>
        </row>
        <row r="46">
          <cell r="B46" t="str">
            <v>CET</v>
          </cell>
        </row>
        <row r="47">
          <cell r="B47" t="str">
            <v>Prodeco Port</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detalle de grupos"/>
      <sheetName val="PRECIOS PRODUCTOS"/>
      <sheetName val="CONTROL 1 "/>
      <sheetName val="SALARIOS"/>
      <sheetName val="COSTOS MANTENIMIENTO 2016 "/>
      <sheetName val="COSTOS MTTO 2017"/>
      <sheetName val="SALARIOS PERSONAL"/>
      <sheetName val="COSTO"/>
      <sheetName val="RESUMEN"/>
      <sheetName val="PLAZA LA PAZ COSTOS MTTO 2018 "/>
      <sheetName val="DON BOSCO REBOLO MTTO 2018"/>
      <sheetName val="GALAPA MUNDO FELI MTTO 2018 "/>
      <sheetName val="BARANOA COSTOS MTTO 2018"/>
      <sheetName val="SABANA GRANDE COSTOS MTTO 2018"/>
      <sheetName val="CANDELARIA MTTO 2018 "/>
      <sheetName val="CAMPO DE LA CRUZ MTTO 2018 "/>
      <sheetName val="SANTA LUCIA COSTOS MTTO 2018"/>
      <sheetName val="USIACURI MTTO 2018 "/>
      <sheetName val="MANATI MTTO 2018  "/>
      <sheetName val="tabla de Funguisidas e insec"/>
      <sheetName val="tabla de fertilizacion"/>
      <sheetName val="Hoja5"/>
      <sheetName val="Hoja1"/>
      <sheetName val="40%"/>
      <sheetName val="50%"/>
      <sheetName val="60%"/>
      <sheetName val="CONTROL DE COSTOS MANTENI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ow r="91">
          <cell r="D91">
            <v>22306992.326676123</v>
          </cell>
        </row>
      </sheetData>
      <sheetData sheetId="11">
        <row r="91">
          <cell r="D91">
            <v>11600950.4947591</v>
          </cell>
        </row>
      </sheetData>
      <sheetData sheetId="12">
        <row r="91">
          <cell r="D91">
            <v>12683686.418213205</v>
          </cell>
        </row>
      </sheetData>
      <sheetData sheetId="13">
        <row r="91">
          <cell r="D91">
            <v>74561019.419264346</v>
          </cell>
        </row>
      </sheetData>
      <sheetData sheetId="14">
        <row r="91">
          <cell r="D91">
            <v>59762949.630983718</v>
          </cell>
        </row>
      </sheetData>
      <sheetData sheetId="15">
        <row r="91">
          <cell r="D91">
            <v>8173960.1986628128</v>
          </cell>
        </row>
      </sheetData>
      <sheetData sheetId="16">
        <row r="91">
          <cell r="D91">
            <v>16569170.906458948</v>
          </cell>
        </row>
      </sheetData>
      <sheetData sheetId="17">
        <row r="91">
          <cell r="D91">
            <v>12343221.878502924</v>
          </cell>
        </row>
      </sheetData>
      <sheetData sheetId="18">
        <row r="91">
          <cell r="D91">
            <v>9289319.7330877706</v>
          </cell>
        </row>
      </sheetData>
      <sheetData sheetId="19">
        <row r="91">
          <cell r="D91">
            <v>12848178.131521123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3)"/>
      <sheetName val="Design"/>
    </sheet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ASICOS"/>
      <sheetName val="deuda"/>
      <sheetName val="consumos"/>
    </sheetNames>
    <sheetDataSet>
      <sheetData sheetId="0" refreshError="1"/>
      <sheetData sheetId="1">
        <row r="1">
          <cell r="A1" t="str">
            <v>NIC</v>
          </cell>
          <cell r="B1" t="str">
            <v>DEUDA</v>
          </cell>
          <cell r="C1" t="str">
            <v>MESES</v>
          </cell>
        </row>
        <row r="2">
          <cell r="A2">
            <v>5001834</v>
          </cell>
          <cell r="B2">
            <v>540944</v>
          </cell>
          <cell r="C2">
            <v>52</v>
          </cell>
        </row>
        <row r="3">
          <cell r="A3">
            <v>5050279</v>
          </cell>
          <cell r="B3">
            <v>536171</v>
          </cell>
          <cell r="C3">
            <v>15</v>
          </cell>
        </row>
        <row r="4">
          <cell r="A4">
            <v>5051105</v>
          </cell>
          <cell r="B4">
            <v>4036031</v>
          </cell>
          <cell r="C4">
            <v>53</v>
          </cell>
        </row>
        <row r="5">
          <cell r="A5">
            <v>5055529</v>
          </cell>
          <cell r="B5">
            <v>505880</v>
          </cell>
          <cell r="C5">
            <v>2</v>
          </cell>
        </row>
        <row r="6">
          <cell r="A6">
            <v>5058930</v>
          </cell>
          <cell r="B6">
            <v>33150</v>
          </cell>
          <cell r="C6">
            <v>1</v>
          </cell>
        </row>
        <row r="7">
          <cell r="A7">
            <v>5058932</v>
          </cell>
          <cell r="B7">
            <v>23240</v>
          </cell>
          <cell r="C7">
            <v>1</v>
          </cell>
        </row>
        <row r="8">
          <cell r="A8">
            <v>5061094</v>
          </cell>
          <cell r="B8">
            <v>75160</v>
          </cell>
          <cell r="C8">
            <v>9</v>
          </cell>
        </row>
        <row r="9">
          <cell r="A9">
            <v>5062081</v>
          </cell>
          <cell r="B9">
            <v>24060</v>
          </cell>
          <cell r="C9">
            <v>1</v>
          </cell>
        </row>
        <row r="10">
          <cell r="A10">
            <v>5064546</v>
          </cell>
          <cell r="B10">
            <v>497830</v>
          </cell>
          <cell r="C10">
            <v>14</v>
          </cell>
        </row>
        <row r="11">
          <cell r="A11">
            <v>5069735</v>
          </cell>
          <cell r="B11">
            <v>2052115</v>
          </cell>
          <cell r="C11">
            <v>53</v>
          </cell>
        </row>
        <row r="12">
          <cell r="A12">
            <v>5070709</v>
          </cell>
          <cell r="B12">
            <v>175890</v>
          </cell>
          <cell r="C12">
            <v>6</v>
          </cell>
        </row>
        <row r="13">
          <cell r="A13">
            <v>5070720</v>
          </cell>
          <cell r="B13">
            <v>64320</v>
          </cell>
          <cell r="C13">
            <v>1</v>
          </cell>
        </row>
        <row r="14">
          <cell r="A14">
            <v>5070897</v>
          </cell>
          <cell r="B14">
            <v>309816</v>
          </cell>
          <cell r="C14">
            <v>17</v>
          </cell>
        </row>
        <row r="15">
          <cell r="A15">
            <v>5070927</v>
          </cell>
          <cell r="B15">
            <v>1815451</v>
          </cell>
          <cell r="C15">
            <v>41</v>
          </cell>
        </row>
        <row r="16">
          <cell r="A16">
            <v>5070970</v>
          </cell>
          <cell r="B16">
            <v>851507</v>
          </cell>
          <cell r="C16">
            <v>53</v>
          </cell>
        </row>
        <row r="17">
          <cell r="A17">
            <v>5071003</v>
          </cell>
          <cell r="B17">
            <v>84020</v>
          </cell>
          <cell r="C17">
            <v>2</v>
          </cell>
        </row>
        <row r="18">
          <cell r="A18">
            <v>5071025</v>
          </cell>
          <cell r="B18">
            <v>1979216</v>
          </cell>
          <cell r="C18">
            <v>15</v>
          </cell>
        </row>
        <row r="19">
          <cell r="A19">
            <v>5071074</v>
          </cell>
          <cell r="B19">
            <v>22100</v>
          </cell>
          <cell r="C19">
            <v>1</v>
          </cell>
        </row>
        <row r="20">
          <cell r="A20">
            <v>5071075</v>
          </cell>
          <cell r="B20">
            <v>25390</v>
          </cell>
          <cell r="C20">
            <v>1</v>
          </cell>
        </row>
        <row r="21">
          <cell r="A21">
            <v>5071121</v>
          </cell>
          <cell r="B21">
            <v>3200</v>
          </cell>
          <cell r="C21">
            <v>1</v>
          </cell>
        </row>
        <row r="22">
          <cell r="A22">
            <v>5071131</v>
          </cell>
          <cell r="B22">
            <v>54360</v>
          </cell>
          <cell r="C22">
            <v>8</v>
          </cell>
        </row>
        <row r="23">
          <cell r="A23">
            <v>5071140</v>
          </cell>
          <cell r="B23">
            <v>682940</v>
          </cell>
          <cell r="C23">
            <v>0</v>
          </cell>
        </row>
        <row r="24">
          <cell r="A24">
            <v>5071159</v>
          </cell>
          <cell r="B24">
            <v>909367</v>
          </cell>
          <cell r="C24">
            <v>33</v>
          </cell>
        </row>
        <row r="25">
          <cell r="A25">
            <v>5071170</v>
          </cell>
          <cell r="B25">
            <v>491380</v>
          </cell>
          <cell r="C25">
            <v>0</v>
          </cell>
        </row>
        <row r="26">
          <cell r="A26">
            <v>5071191</v>
          </cell>
          <cell r="B26">
            <v>8630</v>
          </cell>
          <cell r="C26">
            <v>1</v>
          </cell>
        </row>
        <row r="27">
          <cell r="A27">
            <v>5071208</v>
          </cell>
          <cell r="B27">
            <v>11450</v>
          </cell>
          <cell r="C27">
            <v>1</v>
          </cell>
        </row>
        <row r="28">
          <cell r="A28">
            <v>5071227</v>
          </cell>
          <cell r="B28">
            <v>37250</v>
          </cell>
          <cell r="C28">
            <v>2</v>
          </cell>
        </row>
        <row r="29">
          <cell r="A29">
            <v>5071260</v>
          </cell>
          <cell r="B29">
            <v>381440</v>
          </cell>
          <cell r="C29">
            <v>-1</v>
          </cell>
        </row>
        <row r="30">
          <cell r="A30">
            <v>5071302</v>
          </cell>
          <cell r="B30">
            <v>22020</v>
          </cell>
          <cell r="C30">
            <v>1</v>
          </cell>
        </row>
        <row r="31">
          <cell r="A31">
            <v>5071326</v>
          </cell>
          <cell r="B31">
            <v>6050</v>
          </cell>
          <cell r="C31">
            <v>1</v>
          </cell>
        </row>
        <row r="32">
          <cell r="A32">
            <v>5071333</v>
          </cell>
          <cell r="B32">
            <v>287340</v>
          </cell>
          <cell r="C32">
            <v>7</v>
          </cell>
        </row>
        <row r="33">
          <cell r="A33">
            <v>5071335</v>
          </cell>
          <cell r="B33">
            <v>24340</v>
          </cell>
          <cell r="C33">
            <v>1</v>
          </cell>
        </row>
        <row r="34">
          <cell r="A34">
            <v>5071341</v>
          </cell>
          <cell r="B34">
            <v>36670</v>
          </cell>
          <cell r="C34">
            <v>1</v>
          </cell>
        </row>
        <row r="35">
          <cell r="A35">
            <v>5071342</v>
          </cell>
          <cell r="B35">
            <v>838686</v>
          </cell>
          <cell r="C35">
            <v>52</v>
          </cell>
        </row>
        <row r="36">
          <cell r="A36">
            <v>5071349</v>
          </cell>
          <cell r="B36">
            <v>977974</v>
          </cell>
          <cell r="C36">
            <v>53</v>
          </cell>
        </row>
        <row r="37">
          <cell r="A37">
            <v>5071354</v>
          </cell>
          <cell r="B37">
            <v>44580</v>
          </cell>
          <cell r="C37">
            <v>1</v>
          </cell>
        </row>
        <row r="38">
          <cell r="A38">
            <v>5071361</v>
          </cell>
          <cell r="B38">
            <v>81000</v>
          </cell>
          <cell r="C38">
            <v>3</v>
          </cell>
        </row>
        <row r="39">
          <cell r="A39">
            <v>5071371</v>
          </cell>
          <cell r="B39">
            <v>1140351</v>
          </cell>
          <cell r="C39">
            <v>52</v>
          </cell>
        </row>
        <row r="40">
          <cell r="A40">
            <v>5071374</v>
          </cell>
          <cell r="B40">
            <v>11110</v>
          </cell>
          <cell r="C40">
            <v>1</v>
          </cell>
        </row>
        <row r="41">
          <cell r="A41">
            <v>5071379</v>
          </cell>
          <cell r="B41">
            <v>16660</v>
          </cell>
          <cell r="C41">
            <v>3</v>
          </cell>
        </row>
        <row r="42">
          <cell r="A42">
            <v>5071380</v>
          </cell>
          <cell r="B42">
            <v>32870</v>
          </cell>
          <cell r="C42">
            <v>2</v>
          </cell>
        </row>
        <row r="43">
          <cell r="A43">
            <v>5071382</v>
          </cell>
          <cell r="B43">
            <v>34620</v>
          </cell>
          <cell r="C43">
            <v>1</v>
          </cell>
        </row>
        <row r="44">
          <cell r="A44">
            <v>5071385</v>
          </cell>
          <cell r="B44">
            <v>146440</v>
          </cell>
          <cell r="C44">
            <v>3</v>
          </cell>
        </row>
        <row r="45">
          <cell r="A45">
            <v>5071386</v>
          </cell>
          <cell r="B45">
            <v>9640</v>
          </cell>
          <cell r="C45">
            <v>11</v>
          </cell>
        </row>
        <row r="46">
          <cell r="A46">
            <v>5071387</v>
          </cell>
          <cell r="B46">
            <v>67517</v>
          </cell>
          <cell r="C46">
            <v>15</v>
          </cell>
        </row>
        <row r="47">
          <cell r="A47">
            <v>5071388</v>
          </cell>
          <cell r="B47">
            <v>72610</v>
          </cell>
          <cell r="C47">
            <v>1</v>
          </cell>
        </row>
        <row r="48">
          <cell r="A48">
            <v>5071389</v>
          </cell>
          <cell r="B48">
            <v>1517691</v>
          </cell>
          <cell r="C48">
            <v>46</v>
          </cell>
        </row>
        <row r="49">
          <cell r="A49">
            <v>5071393</v>
          </cell>
          <cell r="B49">
            <v>288520</v>
          </cell>
          <cell r="C49">
            <v>11</v>
          </cell>
        </row>
        <row r="50">
          <cell r="A50">
            <v>5071396</v>
          </cell>
          <cell r="B50">
            <v>179870</v>
          </cell>
          <cell r="C50">
            <v>-1</v>
          </cell>
        </row>
        <row r="51">
          <cell r="A51">
            <v>5071401</v>
          </cell>
          <cell r="B51">
            <v>30404</v>
          </cell>
          <cell r="C51">
            <v>9</v>
          </cell>
        </row>
        <row r="52">
          <cell r="A52">
            <v>5071403</v>
          </cell>
          <cell r="B52">
            <v>1056686</v>
          </cell>
          <cell r="C52">
            <v>53</v>
          </cell>
        </row>
        <row r="53">
          <cell r="A53">
            <v>5071404</v>
          </cell>
          <cell r="B53">
            <v>613750</v>
          </cell>
          <cell r="C53">
            <v>6</v>
          </cell>
        </row>
        <row r="54">
          <cell r="A54">
            <v>5071406</v>
          </cell>
          <cell r="B54">
            <v>20600</v>
          </cell>
          <cell r="C54">
            <v>2</v>
          </cell>
        </row>
        <row r="55">
          <cell r="A55">
            <v>5071407</v>
          </cell>
          <cell r="B55">
            <v>14330</v>
          </cell>
          <cell r="C55">
            <v>1</v>
          </cell>
        </row>
        <row r="56">
          <cell r="A56">
            <v>5071413</v>
          </cell>
          <cell r="B56">
            <v>36670</v>
          </cell>
          <cell r="C56">
            <v>1</v>
          </cell>
        </row>
        <row r="57">
          <cell r="A57">
            <v>5071417</v>
          </cell>
          <cell r="B57">
            <v>18860</v>
          </cell>
          <cell r="C57">
            <v>1</v>
          </cell>
        </row>
        <row r="58">
          <cell r="A58">
            <v>5071427</v>
          </cell>
          <cell r="B58">
            <v>31560</v>
          </cell>
          <cell r="C58">
            <v>3</v>
          </cell>
        </row>
        <row r="59">
          <cell r="A59">
            <v>5071431</v>
          </cell>
          <cell r="B59">
            <v>34810</v>
          </cell>
          <cell r="C59">
            <v>2</v>
          </cell>
        </row>
        <row r="60">
          <cell r="A60">
            <v>5071737</v>
          </cell>
          <cell r="B60">
            <v>64130</v>
          </cell>
          <cell r="C60">
            <v>1</v>
          </cell>
        </row>
        <row r="61">
          <cell r="A61">
            <v>5071738</v>
          </cell>
          <cell r="B61">
            <v>102650</v>
          </cell>
          <cell r="C61">
            <v>3</v>
          </cell>
        </row>
        <row r="62">
          <cell r="A62">
            <v>5071739</v>
          </cell>
          <cell r="B62">
            <v>3822464</v>
          </cell>
          <cell r="C62">
            <v>38</v>
          </cell>
        </row>
        <row r="63">
          <cell r="A63">
            <v>5071740</v>
          </cell>
          <cell r="B63">
            <v>29010</v>
          </cell>
          <cell r="C63">
            <v>1</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8"/>
      <sheetName val="2.009"/>
      <sheetName val="2.010"/>
      <sheetName val="2.011"/>
      <sheetName val="Produccion"/>
      <sheetName val="Gastos"/>
      <sheetName val="Dólar"/>
      <sheetName val="Activos"/>
      <sheetName val="Valoracion"/>
      <sheetName val="Módulo1"/>
      <sheetName val="2008_Database Pate In"/>
      <sheetName val="2008 Databas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ESEL"/>
      <sheetName val="Budget per Chapter"/>
      <sheetName val="Unit Rates Summary"/>
      <sheetName val="Budget"/>
      <sheetName val="Budget Unit Cost (detailed)"/>
      <sheetName val="DataBase"/>
      <sheetName val="Cost Codes"/>
      <sheetName val="SUPPORT INFO--------&gt;"/>
      <sheetName val="CALENT. E.E"/>
      <sheetName val="C.I. Prodeco Cost Center Matrix"/>
      <sheetName val="Cover"/>
      <sheetName val="landSufAmorINGEOMINAS"/>
      <sheetName val="CARACTERIZACION"/>
      <sheetName val="VEHICLES"/>
      <sheetName val="tyres"/>
      <sheetName val="Water Tanq"/>
      <sheetName val="gen set"/>
      <sheetName val="survey equipm"/>
      <sheetName val="Dewatering"/>
      <sheetName val="Haul Roads"/>
      <sheetName val="Sed PONDS"/>
      <sheetName val="Cranes"/>
      <sheetName val="Maintenance_Coal handling"/>
      <sheetName val="AMBIENTAL"/>
      <sheetName val="DOZER"/>
      <sheetName val="executives"/>
      <sheetName val="Mine Security 06"/>
      <sheetName val="TV"/>
      <sheetName val="fuel"/>
      <sheetName val="fuel_gerardo"/>
      <sheetName val="CONSUMOS GASOLINA_NOV"/>
      <sheetName val="CONSU_DIESEL_NOV"/>
      <sheetName val="PRODECOfuelReal"/>
      <sheetName val="ACPM POR EQUIPO PRODECO"/>
      <sheetName val="internet Acces"/>
      <sheetName val="Medical Expenses"/>
      <sheetName val="ProtectiveClothing"/>
      <sheetName val="Safety_elements"/>
      <sheetName val="Personal transport"/>
      <sheetName val="avances Suelo"/>
      <sheetName val="DEPRECIACION2005"/>
      <sheetName val="Depreciation2004"/>
      <sheetName val="food&amp;cleaning"/>
      <sheetName val="POWER"/>
      <sheetName val="LOCATIVAS"/>
      <sheetName val="Forecast"/>
      <sheetName val="GENERAL EXPENSES"/>
      <sheetName val="TRM2005"/>
      <sheetName val="PREMISAS"/>
      <sheetName val="Variable Expenses"/>
      <sheetName val="Fixed Expenses"/>
      <sheetName val="Expense Element Format"/>
      <sheetName val="RESPONSABLES"/>
      <sheetName val="CMOPWM61"/>
      <sheetName val="CMOPCM61"/>
      <sheetName val="CMOPMM61"/>
      <sheetName val="CMTSM52"/>
      <sheetName val="Directos"/>
      <sheetName val="Temporales"/>
      <sheetName val="CMOPMM50"/>
      <sheetName val="CMMAMCPB"/>
      <sheetName val="CMTESM52"/>
      <sheetName val="CMTESM54"/>
      <sheetName val="CMTESM53"/>
      <sheetName val="CMSASM55"/>
      <sheetName val="CMSASM44"/>
      <sheetName val="CMSASM70"/>
      <sheetName val="CMMASM48"/>
      <sheetName val="CMOPCM40"/>
      <sheetName val="CMADAM42"/>
      <sheetName val="CMADAHM04"/>
      <sheetName val="CMSEHM45"/>
      <sheetName val="CMSEHM67"/>
      <sheetName val="CTOPTB62"/>
      <sheetName val="CMOPSM63"/>
      <sheetName val="CMSSSM58"/>
      <sheetName val="CMSISM60"/>
      <sheetName val="CMFIHM43"/>
      <sheetName val="COST CENTER MINE"/>
      <sheetName val="Expense Element Format (2)"/>
      <sheetName val="Datos del mes"/>
    </sheetNames>
    <sheetDataSet>
      <sheetData sheetId="0"/>
      <sheetData sheetId="1"/>
      <sheetData sheetId="2"/>
      <sheetData sheetId="3"/>
      <sheetData sheetId="4"/>
      <sheetData sheetId="5"/>
      <sheetData sheetId="6" refreshError="1">
        <row r="4">
          <cell r="B4" t="str">
            <v>10.10.10.10</v>
          </cell>
          <cell r="C4" t="str">
            <v>10 Waste Removal</v>
          </cell>
          <cell r="D4" t="str">
            <v>1010 Contractor Cost</v>
          </cell>
          <cell r="E4" t="str">
            <v>Contractor Cost</v>
          </cell>
          <cell r="F4" t="str">
            <v>Contractor Cost</v>
          </cell>
          <cell r="G4" t="str">
            <v>Cont. Cost:Fixed rate. Meteor. Interburden</v>
          </cell>
        </row>
        <row r="5">
          <cell r="B5" t="str">
            <v>10.10.10.11</v>
          </cell>
          <cell r="C5" t="str">
            <v>10 Waste Removal</v>
          </cell>
          <cell r="D5" t="str">
            <v>1010 Contractor Cost</v>
          </cell>
          <cell r="E5" t="str">
            <v>Contractor Cost</v>
          </cell>
          <cell r="F5" t="str">
            <v>Contractor Cost</v>
          </cell>
          <cell r="G5" t="str">
            <v>Fuel</v>
          </cell>
        </row>
        <row r="6">
          <cell r="B6" t="str">
            <v>10.10.10.12</v>
          </cell>
          <cell r="C6" t="str">
            <v>10 Waste Removal</v>
          </cell>
          <cell r="D6" t="str">
            <v>1010 Contractor Cost</v>
          </cell>
          <cell r="E6" t="str">
            <v>Contractor Cost</v>
          </cell>
          <cell r="F6" t="str">
            <v>Contractor Cost</v>
          </cell>
          <cell r="G6" t="str">
            <v>Lubrication</v>
          </cell>
        </row>
        <row r="7">
          <cell r="B7" t="str">
            <v>10.10.10.13</v>
          </cell>
          <cell r="C7" t="str">
            <v>10 Waste Removal</v>
          </cell>
          <cell r="D7" t="str">
            <v>1010 Contractor Cost</v>
          </cell>
          <cell r="E7" t="str">
            <v>Contractor Cost</v>
          </cell>
          <cell r="F7" t="str">
            <v>Contractor Cost</v>
          </cell>
          <cell r="G7" t="str">
            <v>Contractor Cost:Fixed rate Top Soil Removal</v>
          </cell>
        </row>
        <row r="8">
          <cell r="B8" t="str">
            <v>10.11.10.10</v>
          </cell>
          <cell r="C8" t="str">
            <v>10 Waste Removal</v>
          </cell>
          <cell r="D8" t="str">
            <v>1011 Equipment</v>
          </cell>
          <cell r="E8" t="str">
            <v>Equipment</v>
          </cell>
          <cell r="F8" t="str">
            <v>Equipment</v>
          </cell>
          <cell r="G8" t="str">
            <v>Maint: Spares</v>
          </cell>
        </row>
        <row r="9">
          <cell r="B9" t="str">
            <v>10.11.10.11</v>
          </cell>
          <cell r="C9" t="str">
            <v>10 Waste Removal</v>
          </cell>
          <cell r="D9" t="str">
            <v>1011 Equipment</v>
          </cell>
          <cell r="E9" t="str">
            <v>Equipment</v>
          </cell>
          <cell r="F9" t="str">
            <v>Equipment</v>
          </cell>
          <cell r="G9" t="str">
            <v>Maint: Labour/Services</v>
          </cell>
        </row>
        <row r="10">
          <cell r="B10" t="str">
            <v>10.11.10.12</v>
          </cell>
          <cell r="C10" t="str">
            <v>10 Waste Removal</v>
          </cell>
          <cell r="D10" t="str">
            <v>1011 Equipment</v>
          </cell>
          <cell r="E10" t="str">
            <v>Equipment</v>
          </cell>
          <cell r="F10" t="str">
            <v>Equipment</v>
          </cell>
          <cell r="G10" t="str">
            <v>Tyres</v>
          </cell>
        </row>
        <row r="11">
          <cell r="B11" t="str">
            <v>10.11.10.13</v>
          </cell>
          <cell r="C11" t="str">
            <v>10 Waste Removal</v>
          </cell>
          <cell r="D11" t="str">
            <v>1011 Equipment</v>
          </cell>
          <cell r="E11" t="str">
            <v>Equipment</v>
          </cell>
          <cell r="F11" t="str">
            <v>Equipment</v>
          </cell>
          <cell r="G11" t="str">
            <v>Fuel</v>
          </cell>
        </row>
        <row r="12">
          <cell r="B12" t="str">
            <v>10.11.10.14</v>
          </cell>
          <cell r="C12" t="str">
            <v>10 Waste Removal</v>
          </cell>
          <cell r="D12" t="str">
            <v>1011 Equipment</v>
          </cell>
          <cell r="E12" t="str">
            <v>Equipment</v>
          </cell>
          <cell r="F12" t="str">
            <v>Equipment</v>
          </cell>
          <cell r="G12" t="str">
            <v>Lubrication</v>
          </cell>
        </row>
        <row r="13">
          <cell r="B13" t="str">
            <v>10.11.10.15</v>
          </cell>
          <cell r="C13" t="str">
            <v>10 Waste Removal</v>
          </cell>
          <cell r="D13" t="str">
            <v>1011 Equipment</v>
          </cell>
          <cell r="E13" t="str">
            <v>Equipment</v>
          </cell>
          <cell r="F13" t="str">
            <v>Equipment</v>
          </cell>
          <cell r="G13" t="str">
            <v>Insurance</v>
          </cell>
        </row>
        <row r="14">
          <cell r="B14" t="str">
            <v>10.11.10.16</v>
          </cell>
          <cell r="C14" t="str">
            <v>10 Waste Removal</v>
          </cell>
          <cell r="D14" t="str">
            <v>1011 Equipment</v>
          </cell>
          <cell r="E14" t="str">
            <v>Equipment</v>
          </cell>
          <cell r="F14" t="str">
            <v>Equipment</v>
          </cell>
          <cell r="G14" t="str">
            <v>Other</v>
          </cell>
        </row>
        <row r="15">
          <cell r="B15" t="str">
            <v>10.11.10.17</v>
          </cell>
          <cell r="C15" t="str">
            <v>10 Waste Removal</v>
          </cell>
          <cell r="D15" t="str">
            <v>1011 Equipment</v>
          </cell>
          <cell r="E15" t="str">
            <v>Equipment</v>
          </cell>
          <cell r="F15" t="str">
            <v>Equipment</v>
          </cell>
          <cell r="G15" t="str">
            <v>Depreciation</v>
          </cell>
        </row>
        <row r="16">
          <cell r="B16" t="str">
            <v>10.12.10.10</v>
          </cell>
          <cell r="C16" t="str">
            <v>10 Waste Removal</v>
          </cell>
          <cell r="D16" t="str">
            <v>1012 Blasting</v>
          </cell>
          <cell r="E16" t="str">
            <v>Blasting</v>
          </cell>
          <cell r="F16" t="str">
            <v>Blasting</v>
          </cell>
          <cell r="G16" t="str">
            <v>Explosives</v>
          </cell>
        </row>
        <row r="17">
          <cell r="B17" t="str">
            <v>10.12.10.11</v>
          </cell>
          <cell r="C17" t="str">
            <v>10 Waste Removal</v>
          </cell>
          <cell r="D17" t="str">
            <v>1012 Blasting</v>
          </cell>
          <cell r="E17" t="str">
            <v>Blasting</v>
          </cell>
          <cell r="F17" t="str">
            <v>Blasting</v>
          </cell>
          <cell r="G17" t="str">
            <v>Emulsion</v>
          </cell>
        </row>
        <row r="18">
          <cell r="B18" t="str">
            <v>10.12.10.12</v>
          </cell>
          <cell r="C18" t="str">
            <v>10 Waste Removal</v>
          </cell>
          <cell r="D18" t="str">
            <v>1012 Blasting</v>
          </cell>
          <cell r="E18" t="str">
            <v>Blasting</v>
          </cell>
          <cell r="F18" t="str">
            <v>Blasting</v>
          </cell>
          <cell r="G18" t="str">
            <v>Anfo</v>
          </cell>
        </row>
        <row r="19">
          <cell r="B19" t="str">
            <v>10.12.10.13</v>
          </cell>
          <cell r="C19" t="str">
            <v>10 Waste Removal</v>
          </cell>
          <cell r="D19" t="str">
            <v>1012 Blasting</v>
          </cell>
          <cell r="E19" t="str">
            <v>Blasting</v>
          </cell>
          <cell r="F19" t="str">
            <v>Blasting</v>
          </cell>
          <cell r="G19" t="str">
            <v>Accessories</v>
          </cell>
        </row>
        <row r="20">
          <cell r="B20" t="str">
            <v>10.12.10.14</v>
          </cell>
          <cell r="C20" t="str">
            <v>10 Waste Removal</v>
          </cell>
          <cell r="D20" t="str">
            <v>1012 Blasting</v>
          </cell>
          <cell r="E20" t="str">
            <v>Blasting</v>
          </cell>
          <cell r="F20" t="str">
            <v>Blasting</v>
          </cell>
          <cell r="G20" t="str">
            <v>Crushed rock</v>
          </cell>
        </row>
        <row r="21">
          <cell r="B21" t="str">
            <v>10.12.10.15</v>
          </cell>
          <cell r="C21" t="str">
            <v>10 Waste Removal</v>
          </cell>
          <cell r="D21" t="str">
            <v>1012 Blasting</v>
          </cell>
          <cell r="E21" t="str">
            <v>Blasting</v>
          </cell>
          <cell r="F21" t="str">
            <v>Blasting</v>
          </cell>
          <cell r="G21" t="str">
            <v>Transport</v>
          </cell>
        </row>
        <row r="22">
          <cell r="B22" t="str">
            <v>10.12.10.16</v>
          </cell>
          <cell r="C22" t="str">
            <v>10 Waste Removal</v>
          </cell>
          <cell r="D22" t="str">
            <v>1012 Blasting</v>
          </cell>
          <cell r="E22" t="str">
            <v>Blasting</v>
          </cell>
          <cell r="F22" t="str">
            <v>Blasting</v>
          </cell>
          <cell r="G22" t="str">
            <v>Indumil</v>
          </cell>
        </row>
        <row r="23">
          <cell r="B23" t="str">
            <v>10.12.10.17</v>
          </cell>
          <cell r="C23" t="str">
            <v>10 Waste Removal</v>
          </cell>
          <cell r="D23" t="str">
            <v>1012 Blasting</v>
          </cell>
          <cell r="E23" t="str">
            <v>Blasting</v>
          </cell>
          <cell r="F23" t="str">
            <v>Blasting</v>
          </cell>
          <cell r="G23" t="str">
            <v>Security/Escort</v>
          </cell>
        </row>
        <row r="24">
          <cell r="B24" t="str">
            <v>11.10.10.10</v>
          </cell>
          <cell r="C24" t="str">
            <v>11 Coal Mining</v>
          </cell>
          <cell r="D24" t="str">
            <v>1110 Contractor Cost</v>
          </cell>
          <cell r="E24" t="str">
            <v>Contractor Cost</v>
          </cell>
          <cell r="F24" t="str">
            <v>Contractor Cost</v>
          </cell>
          <cell r="G24" t="str">
            <v>Contractor Cost: Fixed rate</v>
          </cell>
        </row>
        <row r="25">
          <cell r="B25" t="str">
            <v>11.10.10.11</v>
          </cell>
          <cell r="C25" t="str">
            <v>11 Coal Mining</v>
          </cell>
          <cell r="D25" t="str">
            <v>1110 Contractor Cost</v>
          </cell>
          <cell r="E25" t="str">
            <v>Contractor Cost</v>
          </cell>
          <cell r="F25" t="str">
            <v>Contractor Cost</v>
          </cell>
          <cell r="G25" t="str">
            <v>Fuel</v>
          </cell>
        </row>
        <row r="26">
          <cell r="B26" t="str">
            <v>11.10.10.12</v>
          </cell>
          <cell r="C26" t="str">
            <v>11 Coal Mining</v>
          </cell>
          <cell r="D26" t="str">
            <v>1110 Contractor Cost</v>
          </cell>
          <cell r="E26" t="str">
            <v>Contractor Cost</v>
          </cell>
          <cell r="F26" t="str">
            <v>Contractor Cost</v>
          </cell>
          <cell r="G26" t="str">
            <v>Lubrication</v>
          </cell>
        </row>
        <row r="27">
          <cell r="B27" t="str">
            <v>11.11.10.10</v>
          </cell>
          <cell r="C27" t="str">
            <v>11 Coal Mining</v>
          </cell>
          <cell r="D27" t="str">
            <v>1111 Equipment</v>
          </cell>
          <cell r="E27" t="str">
            <v>Equipment</v>
          </cell>
          <cell r="F27" t="str">
            <v>Equipment</v>
          </cell>
          <cell r="G27" t="str">
            <v>Maint: Spares</v>
          </cell>
        </row>
        <row r="28">
          <cell r="B28" t="str">
            <v>11.11.10.11</v>
          </cell>
          <cell r="C28" t="str">
            <v>11 Coal Mining</v>
          </cell>
          <cell r="D28" t="str">
            <v>1111 Equipment</v>
          </cell>
          <cell r="E28" t="str">
            <v>Equipment</v>
          </cell>
          <cell r="F28" t="str">
            <v>Equipment</v>
          </cell>
          <cell r="G28" t="str">
            <v>Maint: Labour/Services</v>
          </cell>
        </row>
        <row r="29">
          <cell r="B29" t="str">
            <v>11.11.10.12</v>
          </cell>
          <cell r="C29" t="str">
            <v>11 Coal Mining</v>
          </cell>
          <cell r="D29" t="str">
            <v>1111 Equipment</v>
          </cell>
          <cell r="E29" t="str">
            <v>Equipment</v>
          </cell>
          <cell r="F29" t="str">
            <v>Equipment</v>
          </cell>
          <cell r="G29" t="str">
            <v>Tyres</v>
          </cell>
        </row>
        <row r="30">
          <cell r="B30" t="str">
            <v>11.11.10.13</v>
          </cell>
          <cell r="C30" t="str">
            <v>11 Coal Mining</v>
          </cell>
          <cell r="D30" t="str">
            <v>1111 Equipment</v>
          </cell>
          <cell r="E30" t="str">
            <v>Equipment</v>
          </cell>
          <cell r="F30" t="str">
            <v>Equipment</v>
          </cell>
          <cell r="G30" t="str">
            <v>Fuel</v>
          </cell>
        </row>
        <row r="31">
          <cell r="B31" t="str">
            <v>11.11.10.14</v>
          </cell>
          <cell r="C31" t="str">
            <v>11 Coal Mining</v>
          </cell>
          <cell r="D31" t="str">
            <v>1111 Equipment</v>
          </cell>
          <cell r="E31" t="str">
            <v>Equipment</v>
          </cell>
          <cell r="F31" t="str">
            <v>Equipment</v>
          </cell>
          <cell r="G31" t="str">
            <v>Lubrication</v>
          </cell>
        </row>
        <row r="32">
          <cell r="B32" t="str">
            <v>11.11.10.15</v>
          </cell>
          <cell r="C32" t="str">
            <v>11 Coal Mining</v>
          </cell>
          <cell r="D32" t="str">
            <v>1111 Equipment</v>
          </cell>
          <cell r="E32" t="str">
            <v>Equipment</v>
          </cell>
          <cell r="F32" t="str">
            <v>Equipment</v>
          </cell>
          <cell r="G32" t="str">
            <v>Insurance</v>
          </cell>
        </row>
        <row r="33">
          <cell r="B33" t="str">
            <v>11.11.10.16</v>
          </cell>
          <cell r="C33" t="str">
            <v>11 Coal Mining</v>
          </cell>
          <cell r="D33" t="str">
            <v>1111 Equipment</v>
          </cell>
          <cell r="E33" t="str">
            <v>Equipment</v>
          </cell>
          <cell r="F33" t="str">
            <v>Equipment</v>
          </cell>
          <cell r="G33" t="str">
            <v>Other</v>
          </cell>
        </row>
        <row r="34">
          <cell r="B34" t="str">
            <v>11.11.10.17</v>
          </cell>
          <cell r="C34" t="str">
            <v>11 Coal Mining</v>
          </cell>
          <cell r="D34" t="str">
            <v>1111 Equipment</v>
          </cell>
          <cell r="E34" t="str">
            <v>Equipment</v>
          </cell>
          <cell r="F34" t="str">
            <v>Equipment</v>
          </cell>
          <cell r="G34" t="str">
            <v>Depreciation</v>
          </cell>
        </row>
        <row r="35">
          <cell r="B35" t="str">
            <v>11.11.10.18</v>
          </cell>
          <cell r="C35" t="str">
            <v>11 Coal Mining</v>
          </cell>
          <cell r="D35" t="str">
            <v>1111 Equipment</v>
          </cell>
          <cell r="E35" t="str">
            <v>Equipment</v>
          </cell>
          <cell r="F35" t="str">
            <v>Equipment</v>
          </cell>
          <cell r="G35" t="str">
            <v>Lighting Towers</v>
          </cell>
        </row>
        <row r="36">
          <cell r="B36" t="str">
            <v>11.11.10.19</v>
          </cell>
          <cell r="C36" t="str">
            <v>11 Coal Mining</v>
          </cell>
          <cell r="D36" t="str">
            <v>1111 Equipment</v>
          </cell>
          <cell r="E36" t="str">
            <v>Equipment</v>
          </cell>
          <cell r="F36" t="str">
            <v>Equipment</v>
          </cell>
          <cell r="G36" t="str">
            <v>Diesel</v>
          </cell>
        </row>
        <row r="37">
          <cell r="B37" t="str">
            <v>11.12</v>
          </cell>
          <cell r="C37" t="str">
            <v>11 Coal Mining</v>
          </cell>
          <cell r="D37" t="str">
            <v>1112 Blasting</v>
          </cell>
          <cell r="E37" t="str">
            <v>Blasting</v>
          </cell>
          <cell r="F37" t="str">
            <v>Blasting</v>
          </cell>
          <cell r="G37" t="str">
            <v>Blasting</v>
          </cell>
        </row>
        <row r="38">
          <cell r="B38" t="str">
            <v>12.10</v>
          </cell>
          <cell r="C38" t="str">
            <v>12 Support</v>
          </cell>
          <cell r="D38" t="str">
            <v>1210 Labour</v>
          </cell>
          <cell r="E38" t="str">
            <v>Labour</v>
          </cell>
          <cell r="F38" t="str">
            <v>Labour</v>
          </cell>
          <cell r="G38" t="str">
            <v>Labour</v>
          </cell>
        </row>
        <row r="39">
          <cell r="B39" t="str">
            <v>12.10.10</v>
          </cell>
          <cell r="C39" t="str">
            <v>12 Support</v>
          </cell>
          <cell r="D39" t="str">
            <v>1210 Labour</v>
          </cell>
          <cell r="E39" t="str">
            <v>Temporary Employees</v>
          </cell>
          <cell r="F39" t="str">
            <v>Temporary Employees</v>
          </cell>
          <cell r="G39" t="str">
            <v>Temporary Employees</v>
          </cell>
        </row>
        <row r="40">
          <cell r="B40" t="str">
            <v>12.11.10.10</v>
          </cell>
          <cell r="C40" t="str">
            <v>12 Support</v>
          </cell>
          <cell r="D40" t="str">
            <v>1211 Equipment</v>
          </cell>
          <cell r="E40" t="str">
            <v>Equipment</v>
          </cell>
          <cell r="F40" t="str">
            <v>Survey</v>
          </cell>
          <cell r="G40" t="str">
            <v>Vehicles</v>
          </cell>
        </row>
        <row r="41">
          <cell r="B41" t="str">
            <v>12.11.10.11</v>
          </cell>
          <cell r="C41" t="str">
            <v>12 Support</v>
          </cell>
          <cell r="D41" t="str">
            <v>1211 Equipment</v>
          </cell>
          <cell r="E41" t="str">
            <v>Equipment</v>
          </cell>
          <cell r="F41" t="str">
            <v>Survey</v>
          </cell>
          <cell r="G41" t="str">
            <v>Fuel</v>
          </cell>
        </row>
        <row r="42">
          <cell r="B42" t="str">
            <v>12.11.10.12</v>
          </cell>
          <cell r="C42" t="str">
            <v>12 Support</v>
          </cell>
          <cell r="D42" t="str">
            <v>1211 Equipment</v>
          </cell>
          <cell r="E42" t="str">
            <v>Equipment</v>
          </cell>
          <cell r="F42" t="str">
            <v>Survey</v>
          </cell>
          <cell r="G42" t="str">
            <v>Lubrication</v>
          </cell>
        </row>
        <row r="43">
          <cell r="B43" t="str">
            <v>12.11.10.13</v>
          </cell>
          <cell r="C43" t="str">
            <v>12 Support</v>
          </cell>
          <cell r="D43" t="str">
            <v>1211 Equipment</v>
          </cell>
          <cell r="E43" t="str">
            <v>Equipment</v>
          </cell>
          <cell r="F43" t="str">
            <v>Survey</v>
          </cell>
          <cell r="G43" t="str">
            <v>Survey equip</v>
          </cell>
        </row>
        <row r="44">
          <cell r="B44" t="str">
            <v>12.11.10.14</v>
          </cell>
          <cell r="C44" t="str">
            <v>12 Support</v>
          </cell>
          <cell r="D44" t="str">
            <v>1211 Equipment</v>
          </cell>
          <cell r="E44" t="str">
            <v>Equipment</v>
          </cell>
          <cell r="F44" t="str">
            <v>Survey</v>
          </cell>
          <cell r="G44" t="str">
            <v>Equip repairs</v>
          </cell>
        </row>
        <row r="45">
          <cell r="B45" t="str">
            <v>12.11.10.15</v>
          </cell>
          <cell r="C45" t="str">
            <v>12 Support</v>
          </cell>
          <cell r="D45" t="str">
            <v>1211 Equipment</v>
          </cell>
          <cell r="E45" t="str">
            <v>Equipment</v>
          </cell>
          <cell r="F45" t="str">
            <v>Survey</v>
          </cell>
          <cell r="G45" t="str">
            <v>Vehicle repairs</v>
          </cell>
        </row>
        <row r="46">
          <cell r="B46" t="str">
            <v>12.11.10.16</v>
          </cell>
          <cell r="C46" t="str">
            <v>12 Support</v>
          </cell>
          <cell r="D46" t="str">
            <v>1211 Equipment</v>
          </cell>
          <cell r="E46" t="str">
            <v>Equipment</v>
          </cell>
          <cell r="F46" t="str">
            <v>Survey</v>
          </cell>
          <cell r="G46" t="str">
            <v>Depreciation</v>
          </cell>
        </row>
        <row r="47">
          <cell r="B47" t="str">
            <v>12.11.11.10</v>
          </cell>
          <cell r="C47" t="str">
            <v>12 Support</v>
          </cell>
          <cell r="D47" t="str">
            <v>1211 Equipment</v>
          </cell>
          <cell r="E47" t="str">
            <v>Equipment</v>
          </cell>
          <cell r="F47" t="str">
            <v>Geology</v>
          </cell>
          <cell r="G47" t="str">
            <v>Vehicles</v>
          </cell>
        </row>
        <row r="48">
          <cell r="B48" t="str">
            <v>12.11.11.11</v>
          </cell>
          <cell r="C48" t="str">
            <v>12 Support</v>
          </cell>
          <cell r="D48" t="str">
            <v>1211 Equipment</v>
          </cell>
          <cell r="E48" t="str">
            <v>Equipment</v>
          </cell>
          <cell r="F48" t="str">
            <v>Geology</v>
          </cell>
          <cell r="G48" t="str">
            <v>Fuel</v>
          </cell>
        </row>
        <row r="49">
          <cell r="B49" t="str">
            <v>12.11.11.12</v>
          </cell>
          <cell r="C49" t="str">
            <v>12 Support</v>
          </cell>
          <cell r="D49" t="str">
            <v>1211 Equipment</v>
          </cell>
          <cell r="E49" t="str">
            <v>Equipment</v>
          </cell>
          <cell r="F49" t="str">
            <v>Geology</v>
          </cell>
          <cell r="G49" t="str">
            <v>Lubrication</v>
          </cell>
        </row>
        <row r="50">
          <cell r="B50" t="str">
            <v>12.11.11.13</v>
          </cell>
          <cell r="C50" t="str">
            <v>12 Support</v>
          </cell>
          <cell r="D50" t="str">
            <v>1211 Equipment</v>
          </cell>
          <cell r="E50" t="str">
            <v>Equipment</v>
          </cell>
          <cell r="F50" t="str">
            <v>Geology</v>
          </cell>
          <cell r="G50" t="str">
            <v>Equip Rental</v>
          </cell>
        </row>
        <row r="51">
          <cell r="B51" t="str">
            <v>12.11.11.14</v>
          </cell>
          <cell r="C51" t="str">
            <v>12 Support</v>
          </cell>
          <cell r="D51" t="str">
            <v>1211 Equipment</v>
          </cell>
          <cell r="E51" t="str">
            <v>Equipment</v>
          </cell>
          <cell r="F51" t="str">
            <v>Geology</v>
          </cell>
          <cell r="G51" t="str">
            <v>Equip repairs</v>
          </cell>
        </row>
        <row r="52">
          <cell r="B52" t="str">
            <v>12.11.11.15</v>
          </cell>
          <cell r="C52" t="str">
            <v>12 Support</v>
          </cell>
          <cell r="D52" t="str">
            <v>1211 Equipment</v>
          </cell>
          <cell r="E52" t="str">
            <v>Equipment</v>
          </cell>
          <cell r="F52" t="str">
            <v>Geology</v>
          </cell>
          <cell r="G52" t="str">
            <v>Vehicle repairs</v>
          </cell>
        </row>
        <row r="53">
          <cell r="B53" t="str">
            <v>12.11.11.16</v>
          </cell>
          <cell r="C53" t="str">
            <v>12 Support</v>
          </cell>
          <cell r="D53" t="str">
            <v>1211 Equipment</v>
          </cell>
          <cell r="E53" t="str">
            <v>Equipment</v>
          </cell>
          <cell r="F53" t="str">
            <v>Geology</v>
          </cell>
          <cell r="G53" t="str">
            <v>Depreciation</v>
          </cell>
        </row>
        <row r="54">
          <cell r="B54" t="str">
            <v>12.11.12.10</v>
          </cell>
          <cell r="C54" t="str">
            <v>12 Support</v>
          </cell>
          <cell r="D54" t="str">
            <v>1211 Equipment</v>
          </cell>
          <cell r="E54" t="str">
            <v>Equipment</v>
          </cell>
          <cell r="F54" t="str">
            <v>Coal Quality</v>
          </cell>
          <cell r="G54" t="str">
            <v>Vehicles</v>
          </cell>
        </row>
        <row r="55">
          <cell r="B55" t="str">
            <v>12.11.12.11</v>
          </cell>
          <cell r="C55" t="str">
            <v>12 Support</v>
          </cell>
          <cell r="D55" t="str">
            <v>1211 Equipment</v>
          </cell>
          <cell r="E55" t="str">
            <v>Equipment</v>
          </cell>
          <cell r="F55" t="str">
            <v>Coal Quality</v>
          </cell>
          <cell r="G55" t="str">
            <v>Fuel</v>
          </cell>
        </row>
        <row r="56">
          <cell r="B56" t="str">
            <v>12.11.12.12</v>
          </cell>
          <cell r="C56" t="str">
            <v>12 Support</v>
          </cell>
          <cell r="D56" t="str">
            <v>1211 Equipment</v>
          </cell>
          <cell r="E56" t="str">
            <v>Equipment</v>
          </cell>
          <cell r="F56" t="str">
            <v>Coal Quality</v>
          </cell>
          <cell r="G56" t="str">
            <v>Lubrication</v>
          </cell>
        </row>
        <row r="57">
          <cell r="B57" t="str">
            <v>12.11.12.13</v>
          </cell>
          <cell r="C57" t="str">
            <v>12 Support</v>
          </cell>
          <cell r="D57" t="str">
            <v>1211 Equipment</v>
          </cell>
          <cell r="E57" t="str">
            <v>Equipment</v>
          </cell>
          <cell r="F57" t="str">
            <v>Coal Quality</v>
          </cell>
          <cell r="G57" t="str">
            <v>Equip Rental</v>
          </cell>
        </row>
        <row r="58">
          <cell r="B58" t="str">
            <v>12.11.12.14</v>
          </cell>
          <cell r="C58" t="str">
            <v>12 Support</v>
          </cell>
          <cell r="D58" t="str">
            <v>1211 Equipment</v>
          </cell>
          <cell r="E58" t="str">
            <v>Equipment</v>
          </cell>
          <cell r="F58" t="str">
            <v>Coal Quality</v>
          </cell>
          <cell r="G58" t="str">
            <v>Equip repairs</v>
          </cell>
        </row>
        <row r="59">
          <cell r="B59" t="str">
            <v>12.11.12.15</v>
          </cell>
          <cell r="C59" t="str">
            <v>12 Support</v>
          </cell>
          <cell r="D59" t="str">
            <v>1211 Equipment</v>
          </cell>
          <cell r="E59" t="str">
            <v>Equipment</v>
          </cell>
          <cell r="F59" t="str">
            <v>Coal Quality</v>
          </cell>
          <cell r="G59" t="str">
            <v>Vehicle repairs</v>
          </cell>
        </row>
        <row r="60">
          <cell r="B60" t="str">
            <v>12.11.12.16</v>
          </cell>
          <cell r="C60" t="str">
            <v>12 Support</v>
          </cell>
          <cell r="D60" t="str">
            <v>1211 Equipment</v>
          </cell>
          <cell r="E60" t="str">
            <v>Equipment</v>
          </cell>
          <cell r="F60" t="str">
            <v>Coal Quality</v>
          </cell>
          <cell r="G60" t="str">
            <v>Depreciation</v>
          </cell>
        </row>
        <row r="61">
          <cell r="B61" t="str">
            <v>12.11.13.10</v>
          </cell>
          <cell r="C61" t="str">
            <v>12 Support</v>
          </cell>
          <cell r="D61" t="str">
            <v>1211 Equipment</v>
          </cell>
          <cell r="E61" t="str">
            <v>Equipment</v>
          </cell>
          <cell r="F61" t="str">
            <v>Mining Supervision</v>
          </cell>
          <cell r="G61" t="str">
            <v>Vehicles</v>
          </cell>
        </row>
        <row r="62">
          <cell r="B62" t="str">
            <v>12.11.13.11</v>
          </cell>
          <cell r="C62" t="str">
            <v>12 Support</v>
          </cell>
          <cell r="D62" t="str">
            <v>1211 Equipment</v>
          </cell>
          <cell r="E62" t="str">
            <v>Equipment</v>
          </cell>
          <cell r="F62" t="str">
            <v>Mining Supervision</v>
          </cell>
          <cell r="G62" t="str">
            <v>Fuel</v>
          </cell>
        </row>
        <row r="63">
          <cell r="B63" t="str">
            <v>12.11.13.12</v>
          </cell>
          <cell r="C63" t="str">
            <v>12 Support</v>
          </cell>
          <cell r="D63" t="str">
            <v>1211 Equipment</v>
          </cell>
          <cell r="E63" t="str">
            <v>Equipment</v>
          </cell>
          <cell r="F63" t="str">
            <v>Mining Supervision</v>
          </cell>
          <cell r="G63" t="str">
            <v>Lubrication</v>
          </cell>
        </row>
        <row r="64">
          <cell r="B64" t="str">
            <v>12.11.13.13</v>
          </cell>
          <cell r="C64" t="str">
            <v>12 Support</v>
          </cell>
          <cell r="D64" t="str">
            <v>1211 Equipment</v>
          </cell>
          <cell r="E64" t="str">
            <v>Equipment</v>
          </cell>
          <cell r="F64" t="str">
            <v>Mining Supervision</v>
          </cell>
          <cell r="G64" t="str">
            <v>Equip Rental</v>
          </cell>
        </row>
        <row r="65">
          <cell r="B65" t="str">
            <v>12.11.13.14</v>
          </cell>
          <cell r="C65" t="str">
            <v>12 Support</v>
          </cell>
          <cell r="D65" t="str">
            <v>1211 Equipment</v>
          </cell>
          <cell r="E65" t="str">
            <v>Equipment</v>
          </cell>
          <cell r="F65" t="str">
            <v>Mining Supervision</v>
          </cell>
          <cell r="G65" t="str">
            <v>Equip repairs</v>
          </cell>
        </row>
        <row r="66">
          <cell r="B66" t="str">
            <v>12.11.13.15</v>
          </cell>
          <cell r="C66" t="str">
            <v>12 Support</v>
          </cell>
          <cell r="D66" t="str">
            <v>1211 Equipment</v>
          </cell>
          <cell r="E66" t="str">
            <v>Equipment</v>
          </cell>
          <cell r="F66" t="str">
            <v>Mining Supervision</v>
          </cell>
          <cell r="G66" t="str">
            <v>Vehicle repairs</v>
          </cell>
        </row>
        <row r="67">
          <cell r="B67" t="str">
            <v>12.11.13.16</v>
          </cell>
          <cell r="C67" t="str">
            <v>12 Support</v>
          </cell>
          <cell r="D67" t="str">
            <v>1211 Equipment</v>
          </cell>
          <cell r="E67" t="str">
            <v>Equipment</v>
          </cell>
          <cell r="F67" t="str">
            <v>Mining Supervision</v>
          </cell>
          <cell r="G67" t="str">
            <v>Depreciation</v>
          </cell>
        </row>
        <row r="68">
          <cell r="B68" t="str">
            <v>12.11.14.10</v>
          </cell>
          <cell r="C68" t="str">
            <v>12 Support</v>
          </cell>
          <cell r="D68" t="str">
            <v>1211 Equipment</v>
          </cell>
          <cell r="E68" t="str">
            <v>Equipment</v>
          </cell>
          <cell r="F68" t="str">
            <v>Mine Planning</v>
          </cell>
          <cell r="G68" t="str">
            <v>Vehicles</v>
          </cell>
        </row>
        <row r="69">
          <cell r="B69" t="str">
            <v>12.11.14.11</v>
          </cell>
          <cell r="C69" t="str">
            <v>12 Support</v>
          </cell>
          <cell r="D69" t="str">
            <v>1211 Equipment</v>
          </cell>
          <cell r="E69" t="str">
            <v>Equipment</v>
          </cell>
          <cell r="F69" t="str">
            <v>Mine Planning</v>
          </cell>
          <cell r="G69" t="str">
            <v>Fuel</v>
          </cell>
        </row>
        <row r="70">
          <cell r="B70" t="str">
            <v>12.11.14.12</v>
          </cell>
          <cell r="C70" t="str">
            <v>12 Support</v>
          </cell>
          <cell r="D70" t="str">
            <v>1211 Equipment</v>
          </cell>
          <cell r="E70" t="str">
            <v>Equipment</v>
          </cell>
          <cell r="F70" t="str">
            <v>Mine Planning</v>
          </cell>
          <cell r="G70" t="str">
            <v>Lubrication</v>
          </cell>
        </row>
        <row r="71">
          <cell r="B71" t="str">
            <v>12.11.14.13</v>
          </cell>
          <cell r="C71" t="str">
            <v>12 Support</v>
          </cell>
          <cell r="D71" t="str">
            <v>1211 Equipment</v>
          </cell>
          <cell r="E71" t="str">
            <v>Equipment</v>
          </cell>
          <cell r="F71" t="str">
            <v>Mine Planning</v>
          </cell>
          <cell r="G71" t="str">
            <v>Equip Rental</v>
          </cell>
        </row>
        <row r="72">
          <cell r="B72" t="str">
            <v>12.11.14.14</v>
          </cell>
          <cell r="C72" t="str">
            <v>12 Support</v>
          </cell>
          <cell r="D72" t="str">
            <v>1211 Equipment</v>
          </cell>
          <cell r="E72" t="str">
            <v>Equipment</v>
          </cell>
          <cell r="F72" t="str">
            <v>Mine Planning</v>
          </cell>
          <cell r="G72" t="str">
            <v>Equip repairs</v>
          </cell>
        </row>
        <row r="73">
          <cell r="B73" t="str">
            <v>12.11.14.15</v>
          </cell>
          <cell r="C73" t="str">
            <v>12 Support</v>
          </cell>
          <cell r="D73" t="str">
            <v>1211 Equipment</v>
          </cell>
          <cell r="E73" t="str">
            <v>Equipment</v>
          </cell>
          <cell r="F73" t="str">
            <v>Mine Planning</v>
          </cell>
          <cell r="G73" t="str">
            <v>Vehicle repairs</v>
          </cell>
        </row>
        <row r="74">
          <cell r="B74" t="str">
            <v>12.11.14.16</v>
          </cell>
          <cell r="C74" t="str">
            <v>12 Support</v>
          </cell>
          <cell r="D74" t="str">
            <v>1211 Equipment</v>
          </cell>
          <cell r="E74" t="str">
            <v>Equipment</v>
          </cell>
          <cell r="F74" t="str">
            <v>Mine Planning</v>
          </cell>
          <cell r="G74" t="str">
            <v>Depreciation</v>
          </cell>
        </row>
        <row r="75">
          <cell r="B75" t="str">
            <v>12.11.15.10</v>
          </cell>
          <cell r="C75" t="str">
            <v>12 Support</v>
          </cell>
          <cell r="D75" t="str">
            <v>1211 Equipment</v>
          </cell>
          <cell r="E75" t="str">
            <v>Equipment</v>
          </cell>
          <cell r="F75" t="str">
            <v>Environmental</v>
          </cell>
          <cell r="G75" t="str">
            <v>Vehicles</v>
          </cell>
        </row>
        <row r="76">
          <cell r="B76" t="str">
            <v>12.11.15.11</v>
          </cell>
          <cell r="C76" t="str">
            <v>12 Support</v>
          </cell>
          <cell r="D76" t="str">
            <v>1211 Equipment</v>
          </cell>
          <cell r="E76" t="str">
            <v>Equipment</v>
          </cell>
          <cell r="F76" t="str">
            <v>Environmental</v>
          </cell>
          <cell r="G76" t="str">
            <v>Fuel</v>
          </cell>
        </row>
        <row r="77">
          <cell r="B77" t="str">
            <v>12.11.15.12</v>
          </cell>
          <cell r="C77" t="str">
            <v>12 Support</v>
          </cell>
          <cell r="D77" t="str">
            <v>1211 Equipment</v>
          </cell>
          <cell r="E77" t="str">
            <v>Equipment</v>
          </cell>
          <cell r="F77" t="str">
            <v>Environmental</v>
          </cell>
          <cell r="G77" t="str">
            <v>Lubrication</v>
          </cell>
        </row>
        <row r="78">
          <cell r="B78" t="str">
            <v>12.11.15.13</v>
          </cell>
          <cell r="C78" t="str">
            <v>12 Support</v>
          </cell>
          <cell r="D78" t="str">
            <v>1211 Equipment</v>
          </cell>
          <cell r="E78" t="str">
            <v>Equipment</v>
          </cell>
          <cell r="F78" t="str">
            <v>Environmental</v>
          </cell>
          <cell r="G78" t="str">
            <v>Equip Rental</v>
          </cell>
        </row>
        <row r="79">
          <cell r="B79" t="str">
            <v>12.11.15.14</v>
          </cell>
          <cell r="C79" t="str">
            <v>12 Support</v>
          </cell>
          <cell r="D79" t="str">
            <v>1211 Equipment</v>
          </cell>
          <cell r="E79" t="str">
            <v>Equipment</v>
          </cell>
          <cell r="F79" t="str">
            <v>Environmental</v>
          </cell>
          <cell r="G79" t="str">
            <v>Equip repairs</v>
          </cell>
        </row>
        <row r="80">
          <cell r="B80" t="str">
            <v>12.11.15.15</v>
          </cell>
          <cell r="C80" t="str">
            <v>12 Support</v>
          </cell>
          <cell r="D80" t="str">
            <v>1211 Equipment</v>
          </cell>
          <cell r="E80" t="str">
            <v>Equipment</v>
          </cell>
          <cell r="F80" t="str">
            <v>Environmental</v>
          </cell>
          <cell r="G80" t="str">
            <v>Vehicle repairs</v>
          </cell>
        </row>
        <row r="81">
          <cell r="B81" t="str">
            <v>12.11.15.16</v>
          </cell>
          <cell r="C81" t="str">
            <v>12 Support</v>
          </cell>
          <cell r="D81" t="str">
            <v>1211 Equipment</v>
          </cell>
          <cell r="E81" t="str">
            <v>Equipment</v>
          </cell>
          <cell r="F81" t="str">
            <v>Environmental</v>
          </cell>
          <cell r="G81" t="str">
            <v>Depreciation</v>
          </cell>
        </row>
        <row r="82">
          <cell r="B82" t="str">
            <v>12.11.16.10</v>
          </cell>
          <cell r="C82" t="str">
            <v>12 Support</v>
          </cell>
          <cell r="D82" t="str">
            <v>1211 Equipment</v>
          </cell>
          <cell r="E82" t="str">
            <v>Equipment</v>
          </cell>
          <cell r="F82" t="str">
            <v>Warehouse</v>
          </cell>
          <cell r="G82" t="str">
            <v>Vehicles</v>
          </cell>
        </row>
        <row r="83">
          <cell r="B83" t="str">
            <v>12.11.16.11</v>
          </cell>
          <cell r="C83" t="str">
            <v>12 Support</v>
          </cell>
          <cell r="D83" t="str">
            <v>1211 Equipment</v>
          </cell>
          <cell r="E83" t="str">
            <v>Equipment</v>
          </cell>
          <cell r="F83" t="str">
            <v>Warehouse</v>
          </cell>
          <cell r="G83" t="str">
            <v>Fuel</v>
          </cell>
        </row>
        <row r="84">
          <cell r="B84" t="str">
            <v>12.11.16.12</v>
          </cell>
          <cell r="C84" t="str">
            <v>12 Support</v>
          </cell>
          <cell r="D84" t="str">
            <v>1211 Equipment</v>
          </cell>
          <cell r="E84" t="str">
            <v>Equipment</v>
          </cell>
          <cell r="F84" t="str">
            <v>Warehouse</v>
          </cell>
          <cell r="G84" t="str">
            <v>Lubrication</v>
          </cell>
        </row>
        <row r="85">
          <cell r="B85" t="str">
            <v>12.11.16.13</v>
          </cell>
          <cell r="C85" t="str">
            <v>12 Support</v>
          </cell>
          <cell r="D85" t="str">
            <v>1211 Equipment</v>
          </cell>
          <cell r="E85" t="str">
            <v>Equipment</v>
          </cell>
          <cell r="F85" t="str">
            <v>Warehouse</v>
          </cell>
          <cell r="G85" t="str">
            <v>Equip Rental</v>
          </cell>
        </row>
        <row r="86">
          <cell r="B86" t="str">
            <v>12.11.16.14</v>
          </cell>
          <cell r="C86" t="str">
            <v>12 Support</v>
          </cell>
          <cell r="D86" t="str">
            <v>1211 Equipment</v>
          </cell>
          <cell r="E86" t="str">
            <v>Equipment</v>
          </cell>
          <cell r="F86" t="str">
            <v>Warehouse</v>
          </cell>
          <cell r="G86" t="str">
            <v>Equip repairs</v>
          </cell>
        </row>
        <row r="87">
          <cell r="B87" t="str">
            <v>12.11.16.15</v>
          </cell>
          <cell r="C87" t="str">
            <v>12 Support</v>
          </cell>
          <cell r="D87" t="str">
            <v>1211 Equipment</v>
          </cell>
          <cell r="E87" t="str">
            <v>Equipment</v>
          </cell>
          <cell r="F87" t="str">
            <v>Warehouse</v>
          </cell>
          <cell r="G87" t="str">
            <v>Vehicle repairs</v>
          </cell>
        </row>
        <row r="88">
          <cell r="B88" t="str">
            <v>12.11.16.16</v>
          </cell>
          <cell r="C88" t="str">
            <v>12 Support</v>
          </cell>
          <cell r="D88" t="str">
            <v>1211 Equipment</v>
          </cell>
          <cell r="E88" t="str">
            <v>Equipment</v>
          </cell>
          <cell r="F88" t="str">
            <v>Warehouse</v>
          </cell>
          <cell r="G88" t="str">
            <v>Depreciation</v>
          </cell>
        </row>
        <row r="89">
          <cell r="B89" t="str">
            <v>12.11.17.10</v>
          </cell>
          <cell r="C89" t="str">
            <v>12 Support</v>
          </cell>
          <cell r="D89" t="str">
            <v>1211 Equipment</v>
          </cell>
          <cell r="E89" t="str">
            <v>Equipment</v>
          </cell>
          <cell r="F89" t="str">
            <v>Maintenance</v>
          </cell>
          <cell r="G89" t="str">
            <v>Vehicles</v>
          </cell>
        </row>
        <row r="90">
          <cell r="B90" t="str">
            <v>12.11.17.11</v>
          </cell>
          <cell r="C90" t="str">
            <v>12 Support</v>
          </cell>
          <cell r="D90" t="str">
            <v>1211 Equipment</v>
          </cell>
          <cell r="E90" t="str">
            <v>Equipment</v>
          </cell>
          <cell r="F90" t="str">
            <v>Maintenance</v>
          </cell>
          <cell r="G90" t="str">
            <v>Fuel</v>
          </cell>
        </row>
        <row r="91">
          <cell r="B91" t="str">
            <v>12.11.17.12</v>
          </cell>
          <cell r="C91" t="str">
            <v>12 Support</v>
          </cell>
          <cell r="D91" t="str">
            <v>1211 Equipment</v>
          </cell>
          <cell r="E91" t="str">
            <v>Equipment</v>
          </cell>
          <cell r="F91" t="str">
            <v>Maintenance</v>
          </cell>
          <cell r="G91" t="str">
            <v>Lubrication</v>
          </cell>
        </row>
        <row r="92">
          <cell r="B92" t="str">
            <v>12.11.17.13</v>
          </cell>
          <cell r="C92" t="str">
            <v>12 Support</v>
          </cell>
          <cell r="D92" t="str">
            <v>1211 Equipment</v>
          </cell>
          <cell r="E92" t="str">
            <v>Equipment</v>
          </cell>
          <cell r="F92" t="str">
            <v>Maintenance</v>
          </cell>
          <cell r="G92" t="str">
            <v>Equip Rental - Small Tools</v>
          </cell>
        </row>
        <row r="93">
          <cell r="B93" t="str">
            <v>12.11.17.14</v>
          </cell>
          <cell r="C93" t="str">
            <v>12 Support</v>
          </cell>
          <cell r="D93" t="str">
            <v>1211 Equipment</v>
          </cell>
          <cell r="E93" t="str">
            <v>Equipment</v>
          </cell>
          <cell r="F93" t="str">
            <v>Maintenance</v>
          </cell>
          <cell r="G93" t="str">
            <v>Equip repairs</v>
          </cell>
        </row>
        <row r="94">
          <cell r="B94" t="str">
            <v>12.11.17.15</v>
          </cell>
          <cell r="C94" t="str">
            <v>12 Support</v>
          </cell>
          <cell r="D94" t="str">
            <v>1211 Equipment</v>
          </cell>
          <cell r="E94" t="str">
            <v>Equipment</v>
          </cell>
          <cell r="F94" t="str">
            <v>Maintenance</v>
          </cell>
          <cell r="G94" t="str">
            <v>Vehicle repairs</v>
          </cell>
        </row>
        <row r="95">
          <cell r="B95" t="str">
            <v>12.11.17.16</v>
          </cell>
          <cell r="C95" t="str">
            <v>12 Support</v>
          </cell>
          <cell r="D95" t="str">
            <v>1211 Equipment</v>
          </cell>
          <cell r="E95" t="str">
            <v>Equipment</v>
          </cell>
          <cell r="F95" t="str">
            <v>Maintenance</v>
          </cell>
          <cell r="G95" t="str">
            <v>Depreciation</v>
          </cell>
        </row>
        <row r="96">
          <cell r="B96" t="str">
            <v>12.11.18.10</v>
          </cell>
          <cell r="C96" t="str">
            <v>12 Support</v>
          </cell>
          <cell r="D96" t="str">
            <v>1211 Equipment</v>
          </cell>
          <cell r="E96" t="str">
            <v>Equipment</v>
          </cell>
          <cell r="F96" t="str">
            <v>Infrastructure(Roads etc)</v>
          </cell>
          <cell r="G96" t="str">
            <v>Vehicles</v>
          </cell>
        </row>
        <row r="97">
          <cell r="B97" t="str">
            <v>12.11.18.11</v>
          </cell>
          <cell r="C97" t="str">
            <v>12 Support</v>
          </cell>
          <cell r="D97" t="str">
            <v>1211 Equipment</v>
          </cell>
          <cell r="E97" t="str">
            <v>Equipment</v>
          </cell>
          <cell r="F97" t="str">
            <v>Infrastructure(Roads etc)</v>
          </cell>
          <cell r="G97" t="str">
            <v>Fuel</v>
          </cell>
        </row>
        <row r="98">
          <cell r="B98" t="str">
            <v>12.11.18.12</v>
          </cell>
          <cell r="C98" t="str">
            <v>12 Support</v>
          </cell>
          <cell r="D98" t="str">
            <v>1211 Equipment</v>
          </cell>
          <cell r="E98" t="str">
            <v>Equipment</v>
          </cell>
          <cell r="F98" t="str">
            <v>Infrastructure(Roads etc)</v>
          </cell>
          <cell r="G98" t="str">
            <v>Lubrication</v>
          </cell>
        </row>
        <row r="99">
          <cell r="B99" t="str">
            <v>12.11.18.13</v>
          </cell>
          <cell r="C99" t="str">
            <v>12 Support</v>
          </cell>
          <cell r="D99" t="str">
            <v>1211 Equipment</v>
          </cell>
          <cell r="E99" t="str">
            <v>Equipment</v>
          </cell>
          <cell r="F99" t="str">
            <v>Infrastructure(Roads etc)</v>
          </cell>
          <cell r="G99" t="str">
            <v>Equip Rental</v>
          </cell>
        </row>
        <row r="100">
          <cell r="B100" t="str">
            <v>12.11.18.14</v>
          </cell>
          <cell r="C100" t="str">
            <v>12 Support</v>
          </cell>
          <cell r="D100" t="str">
            <v>1211 Equipment</v>
          </cell>
          <cell r="E100" t="str">
            <v>Equipment</v>
          </cell>
          <cell r="F100" t="str">
            <v>Infrastructure(Roads etc)</v>
          </cell>
          <cell r="G100" t="str">
            <v>Equip repairs</v>
          </cell>
        </row>
        <row r="101">
          <cell r="B101" t="str">
            <v>12.11.18.15</v>
          </cell>
          <cell r="C101" t="str">
            <v>12 Support</v>
          </cell>
          <cell r="D101" t="str">
            <v>1211 Equipment</v>
          </cell>
          <cell r="E101" t="str">
            <v>Equipment</v>
          </cell>
          <cell r="F101" t="str">
            <v>Infrastructure(Roads etc)</v>
          </cell>
          <cell r="G101" t="str">
            <v>Vehicle repairs</v>
          </cell>
        </row>
        <row r="102">
          <cell r="B102" t="str">
            <v>12.11.18.16</v>
          </cell>
          <cell r="C102" t="str">
            <v>12 Support</v>
          </cell>
          <cell r="D102" t="str">
            <v>1211 Equipment</v>
          </cell>
          <cell r="E102" t="str">
            <v>Equipment</v>
          </cell>
          <cell r="F102" t="str">
            <v>Infrastructure(Roads etc)</v>
          </cell>
          <cell r="G102" t="str">
            <v>Depreciation</v>
          </cell>
        </row>
        <row r="103">
          <cell r="B103" t="str">
            <v>12.11.18.17</v>
          </cell>
          <cell r="C103" t="str">
            <v>12 Support</v>
          </cell>
          <cell r="D103" t="str">
            <v>1211 Equipment</v>
          </cell>
          <cell r="E103" t="str">
            <v>Equipment</v>
          </cell>
          <cell r="F103" t="str">
            <v>Infrastructure(Roads etc)</v>
          </cell>
          <cell r="G103" t="str">
            <v>Dozer</v>
          </cell>
        </row>
        <row r="104">
          <cell r="B104" t="str">
            <v>12.11.18.18</v>
          </cell>
          <cell r="C104" t="str">
            <v>12 Support</v>
          </cell>
          <cell r="D104" t="str">
            <v>1211 Equipment</v>
          </cell>
          <cell r="E104" t="str">
            <v>Equipment</v>
          </cell>
          <cell r="F104" t="str">
            <v>Infrastructure(Roads etc)</v>
          </cell>
          <cell r="G104" t="str">
            <v>Diesel</v>
          </cell>
        </row>
        <row r="105">
          <cell r="B105" t="str">
            <v>12.11.19.10</v>
          </cell>
          <cell r="C105" t="str">
            <v>12 Support</v>
          </cell>
          <cell r="D105" t="str">
            <v>1211 Equipment</v>
          </cell>
          <cell r="E105" t="str">
            <v>Equipment</v>
          </cell>
          <cell r="F105" t="str">
            <v>Dewatering/Pit Pumping/Drainage</v>
          </cell>
          <cell r="G105" t="str">
            <v>Vehicles</v>
          </cell>
        </row>
        <row r="106">
          <cell r="B106" t="str">
            <v>12.11.19.11</v>
          </cell>
          <cell r="C106" t="str">
            <v>12 Support</v>
          </cell>
          <cell r="D106" t="str">
            <v>1211 Equipment</v>
          </cell>
          <cell r="E106" t="str">
            <v>Equipment</v>
          </cell>
          <cell r="F106" t="str">
            <v>Dewatering/Pit Pumping/Drainage</v>
          </cell>
          <cell r="G106" t="str">
            <v>Fuel</v>
          </cell>
        </row>
        <row r="107">
          <cell r="B107" t="str">
            <v>12.11.19.12</v>
          </cell>
          <cell r="C107" t="str">
            <v>12 Support</v>
          </cell>
          <cell r="D107" t="str">
            <v>1211 Equipment</v>
          </cell>
          <cell r="E107" t="str">
            <v>Equipment</v>
          </cell>
          <cell r="F107" t="str">
            <v>Dewatering/Pit Pumping/Drainage</v>
          </cell>
          <cell r="G107" t="str">
            <v>Lubrication</v>
          </cell>
        </row>
        <row r="108">
          <cell r="B108" t="str">
            <v>12.11.19.13</v>
          </cell>
          <cell r="C108" t="str">
            <v>12 Support</v>
          </cell>
          <cell r="D108" t="str">
            <v>1211 Equipment</v>
          </cell>
          <cell r="E108" t="str">
            <v>Equipment</v>
          </cell>
          <cell r="F108" t="str">
            <v>Dewatering/Pit Pumping/Drainage</v>
          </cell>
          <cell r="G108" t="str">
            <v>Equip Rental</v>
          </cell>
        </row>
        <row r="109">
          <cell r="B109" t="str">
            <v>12.11.19.14</v>
          </cell>
          <cell r="C109" t="str">
            <v>12 Support</v>
          </cell>
          <cell r="D109" t="str">
            <v>1211 Equipment</v>
          </cell>
          <cell r="E109" t="str">
            <v>Equipment</v>
          </cell>
          <cell r="F109" t="str">
            <v>Dewatering/Pit Pumping/Drainage</v>
          </cell>
          <cell r="G109" t="str">
            <v>Equip repairs</v>
          </cell>
        </row>
        <row r="110">
          <cell r="B110" t="str">
            <v>12.11.19.15</v>
          </cell>
          <cell r="C110" t="str">
            <v>12 Support</v>
          </cell>
          <cell r="D110" t="str">
            <v>1211 Equipment</v>
          </cell>
          <cell r="E110" t="str">
            <v>Equipment</v>
          </cell>
          <cell r="F110" t="str">
            <v>Dewatering/Pit Pumping/Drainage</v>
          </cell>
          <cell r="G110" t="str">
            <v>Vehicle repairs</v>
          </cell>
        </row>
        <row r="111">
          <cell r="B111" t="str">
            <v>12.11.19.16</v>
          </cell>
          <cell r="C111" t="str">
            <v>12 Support</v>
          </cell>
          <cell r="D111" t="str">
            <v>1211 Equipment</v>
          </cell>
          <cell r="E111" t="str">
            <v>Equipment</v>
          </cell>
          <cell r="F111" t="str">
            <v>Dewatering/Pit Pumping/Drainage</v>
          </cell>
          <cell r="G111" t="str">
            <v>Depreciation</v>
          </cell>
        </row>
        <row r="112">
          <cell r="B112" t="str">
            <v>12.11.19.17</v>
          </cell>
          <cell r="C112" t="str">
            <v>12 Support</v>
          </cell>
          <cell r="D112" t="str">
            <v>1211 Equipment</v>
          </cell>
          <cell r="E112" t="str">
            <v>Equipment</v>
          </cell>
          <cell r="F112" t="str">
            <v>Dewatering/Pit Pumping/Drainage</v>
          </cell>
          <cell r="G112" t="str">
            <v>Back Up generator</v>
          </cell>
        </row>
        <row r="113">
          <cell r="B113" t="str">
            <v>12.11.19.18</v>
          </cell>
          <cell r="C113" t="str">
            <v>12 Support</v>
          </cell>
          <cell r="D113" t="str">
            <v>1211 Equipment</v>
          </cell>
          <cell r="E113" t="str">
            <v>Equipment</v>
          </cell>
          <cell r="F113" t="str">
            <v>Dewatering/Pit Pumping/Drainage</v>
          </cell>
          <cell r="G113" t="str">
            <v>Diesel</v>
          </cell>
        </row>
        <row r="114">
          <cell r="B114" t="str">
            <v>12.11.19.19</v>
          </cell>
          <cell r="C114" t="str">
            <v>12 Support</v>
          </cell>
          <cell r="D114" t="str">
            <v>1211 Equipment</v>
          </cell>
          <cell r="E114" t="str">
            <v>Equipment</v>
          </cell>
          <cell r="F114" t="str">
            <v>Dewatering/Pit Pumping/Drainage</v>
          </cell>
          <cell r="G114" t="str">
            <v>Dewatering pipe</v>
          </cell>
        </row>
        <row r="115">
          <cell r="B115" t="str">
            <v>12.11.19.20</v>
          </cell>
          <cell r="C115" t="str">
            <v>12 Support</v>
          </cell>
          <cell r="D115" t="str">
            <v>1211 Equipment</v>
          </cell>
          <cell r="E115" t="str">
            <v>Equipment</v>
          </cell>
          <cell r="F115" t="str">
            <v>Dewatering/Pit Pumping/Drainage</v>
          </cell>
          <cell r="G115" t="str">
            <v>Dozer</v>
          </cell>
        </row>
        <row r="116">
          <cell r="B116" t="str">
            <v>12.11.20.10</v>
          </cell>
          <cell r="C116" t="str">
            <v>12 Support</v>
          </cell>
          <cell r="D116" t="str">
            <v>1211 Equipment</v>
          </cell>
          <cell r="E116" t="str">
            <v>Equipment</v>
          </cell>
          <cell r="F116" t="str">
            <v>Dumps/Reclamation/Topsoil</v>
          </cell>
          <cell r="G116" t="str">
            <v>Vehicles</v>
          </cell>
        </row>
        <row r="117">
          <cell r="B117" t="str">
            <v>12.11.20.11</v>
          </cell>
          <cell r="C117" t="str">
            <v>12 Support</v>
          </cell>
          <cell r="D117" t="str">
            <v>1211 Equipment</v>
          </cell>
          <cell r="E117" t="str">
            <v>Equipment</v>
          </cell>
          <cell r="F117" t="str">
            <v>Dumps/Reclamation/Topsoil</v>
          </cell>
          <cell r="G117" t="str">
            <v>Fuel</v>
          </cell>
        </row>
        <row r="118">
          <cell r="B118" t="str">
            <v>12.11.20.12</v>
          </cell>
          <cell r="C118" t="str">
            <v>12 Support</v>
          </cell>
          <cell r="D118" t="str">
            <v>1211 Equipment</v>
          </cell>
          <cell r="E118" t="str">
            <v>Equipment</v>
          </cell>
          <cell r="F118" t="str">
            <v>Dumps/Reclamation/Topsoil</v>
          </cell>
          <cell r="G118" t="str">
            <v>Lubrication</v>
          </cell>
        </row>
        <row r="119">
          <cell r="B119" t="str">
            <v>12.11.20.13</v>
          </cell>
          <cell r="C119" t="str">
            <v>12 Support</v>
          </cell>
          <cell r="D119" t="str">
            <v>1211 Equipment</v>
          </cell>
          <cell r="E119" t="str">
            <v>Equipment</v>
          </cell>
          <cell r="F119" t="str">
            <v>Dumps/Reclamation/Topsoil</v>
          </cell>
          <cell r="G119" t="str">
            <v>Equip Rental</v>
          </cell>
        </row>
        <row r="120">
          <cell r="B120" t="str">
            <v>12.11.20.14</v>
          </cell>
          <cell r="C120" t="str">
            <v>12 Support</v>
          </cell>
          <cell r="D120" t="str">
            <v>1211 Equipment</v>
          </cell>
          <cell r="E120" t="str">
            <v>Equipment</v>
          </cell>
          <cell r="F120" t="str">
            <v>Dumps/Reclamation/Topsoil</v>
          </cell>
          <cell r="G120" t="str">
            <v>Equip repairs</v>
          </cell>
        </row>
        <row r="121">
          <cell r="B121" t="str">
            <v>12.11.20.15</v>
          </cell>
          <cell r="C121" t="str">
            <v>12 Support</v>
          </cell>
          <cell r="D121" t="str">
            <v>1211 Equipment</v>
          </cell>
          <cell r="E121" t="str">
            <v>Equipment</v>
          </cell>
          <cell r="F121" t="str">
            <v>Dumps/Reclamation/Topsoil</v>
          </cell>
          <cell r="G121" t="str">
            <v>Vehicle repairs</v>
          </cell>
        </row>
        <row r="122">
          <cell r="B122" t="str">
            <v>12.11.20.16</v>
          </cell>
          <cell r="C122" t="str">
            <v>12 Support</v>
          </cell>
          <cell r="D122" t="str">
            <v>1211 Equipment</v>
          </cell>
          <cell r="E122" t="str">
            <v>Equipment</v>
          </cell>
          <cell r="F122" t="str">
            <v>Dumps/Reclamation/Topsoil</v>
          </cell>
          <cell r="G122" t="str">
            <v>Depreciation</v>
          </cell>
        </row>
        <row r="123">
          <cell r="B123" t="str">
            <v>12.11.21.10</v>
          </cell>
          <cell r="C123" t="str">
            <v>12 Support</v>
          </cell>
          <cell r="D123" t="str">
            <v>1211 Equipment</v>
          </cell>
          <cell r="E123" t="str">
            <v>Equipment</v>
          </cell>
          <cell r="F123" t="str">
            <v>Watering</v>
          </cell>
          <cell r="G123" t="str">
            <v>Vehicles</v>
          </cell>
        </row>
        <row r="124">
          <cell r="B124" t="str">
            <v>12.11.21.11</v>
          </cell>
          <cell r="C124" t="str">
            <v>12 Support</v>
          </cell>
          <cell r="D124" t="str">
            <v>1211 Equipment</v>
          </cell>
          <cell r="E124" t="str">
            <v>Equipment</v>
          </cell>
          <cell r="F124" t="str">
            <v>Watering</v>
          </cell>
          <cell r="G124" t="str">
            <v>Fuel</v>
          </cell>
        </row>
        <row r="125">
          <cell r="B125" t="str">
            <v>12.11.21.12</v>
          </cell>
          <cell r="C125" t="str">
            <v>12 Support</v>
          </cell>
          <cell r="D125" t="str">
            <v>1211 Equipment</v>
          </cell>
          <cell r="E125" t="str">
            <v>Equipment</v>
          </cell>
          <cell r="F125" t="str">
            <v>Watering</v>
          </cell>
          <cell r="G125" t="str">
            <v>Lubrication</v>
          </cell>
        </row>
        <row r="126">
          <cell r="B126" t="str">
            <v>12.11.21.13</v>
          </cell>
          <cell r="C126" t="str">
            <v>12 Support</v>
          </cell>
          <cell r="D126" t="str">
            <v>1211 Equipment</v>
          </cell>
          <cell r="E126" t="str">
            <v>Equipment</v>
          </cell>
          <cell r="F126" t="str">
            <v>Watering</v>
          </cell>
          <cell r="G126" t="str">
            <v>Equip Rental</v>
          </cell>
        </row>
        <row r="127">
          <cell r="B127" t="str">
            <v>12.11.21.14</v>
          </cell>
          <cell r="C127" t="str">
            <v>12 Support</v>
          </cell>
          <cell r="D127" t="str">
            <v>1211 Equipment</v>
          </cell>
          <cell r="E127" t="str">
            <v>Equipment</v>
          </cell>
          <cell r="F127" t="str">
            <v>Watering</v>
          </cell>
          <cell r="G127" t="str">
            <v>Equip rental</v>
          </cell>
        </row>
        <row r="128">
          <cell r="B128" t="str">
            <v>12.11.21.15</v>
          </cell>
          <cell r="C128" t="str">
            <v>12 Support</v>
          </cell>
          <cell r="D128" t="str">
            <v>1211 Equipment</v>
          </cell>
          <cell r="E128" t="str">
            <v>Equipment</v>
          </cell>
          <cell r="F128" t="str">
            <v>Watering</v>
          </cell>
          <cell r="G128" t="str">
            <v>Vehicle repairs</v>
          </cell>
        </row>
        <row r="129">
          <cell r="B129" t="str">
            <v>12.11.21.16</v>
          </cell>
          <cell r="C129" t="str">
            <v>12 Support</v>
          </cell>
          <cell r="D129" t="str">
            <v>1211 Equipment</v>
          </cell>
          <cell r="E129" t="str">
            <v>Equipment</v>
          </cell>
          <cell r="F129" t="str">
            <v>Watering</v>
          </cell>
          <cell r="G129" t="str">
            <v>Depreciation</v>
          </cell>
        </row>
        <row r="130">
          <cell r="B130" t="str">
            <v>12.11.21.17</v>
          </cell>
          <cell r="C130" t="str">
            <v>12 Support</v>
          </cell>
          <cell r="D130" t="str">
            <v>1211 Equipment</v>
          </cell>
          <cell r="E130" t="str">
            <v>Equipment</v>
          </cell>
          <cell r="F130" t="str">
            <v>Medical Service</v>
          </cell>
          <cell r="G130" t="str">
            <v>Vehicles</v>
          </cell>
        </row>
        <row r="131">
          <cell r="B131" t="str">
            <v>12.11.21.18</v>
          </cell>
          <cell r="C131" t="str">
            <v>12 Support</v>
          </cell>
          <cell r="D131" t="str">
            <v>1211 Equipment</v>
          </cell>
          <cell r="E131" t="str">
            <v>Equipment</v>
          </cell>
          <cell r="F131" t="str">
            <v>Medical Service</v>
          </cell>
          <cell r="G131" t="str">
            <v>Fuel</v>
          </cell>
        </row>
        <row r="132">
          <cell r="B132" t="str">
            <v>12.11.21.19</v>
          </cell>
          <cell r="C132" t="str">
            <v>12 Support</v>
          </cell>
          <cell r="D132" t="str">
            <v>1211 Equipment</v>
          </cell>
          <cell r="E132" t="str">
            <v>Equipment</v>
          </cell>
          <cell r="F132" t="str">
            <v>Medical Service</v>
          </cell>
          <cell r="G132" t="str">
            <v>Lubrication</v>
          </cell>
        </row>
        <row r="133">
          <cell r="B133" t="str">
            <v>12.11.21.20</v>
          </cell>
          <cell r="C133" t="str">
            <v>12 Support</v>
          </cell>
          <cell r="D133" t="str">
            <v>1211 Equipment</v>
          </cell>
          <cell r="E133" t="str">
            <v>Equipment</v>
          </cell>
          <cell r="F133" t="str">
            <v>Medical Service</v>
          </cell>
          <cell r="G133" t="str">
            <v>Equip Rental</v>
          </cell>
        </row>
        <row r="134">
          <cell r="B134" t="str">
            <v>12.11.21.21</v>
          </cell>
          <cell r="C134" t="str">
            <v>12 Support</v>
          </cell>
          <cell r="D134" t="str">
            <v>1211 Equipment</v>
          </cell>
          <cell r="E134" t="str">
            <v>Equipment</v>
          </cell>
          <cell r="F134" t="str">
            <v>Medical Service</v>
          </cell>
          <cell r="G134" t="str">
            <v>Equip rental</v>
          </cell>
        </row>
        <row r="135">
          <cell r="B135" t="str">
            <v>12.11.21.22</v>
          </cell>
          <cell r="C135" t="str">
            <v>12 Support</v>
          </cell>
          <cell r="D135" t="str">
            <v>1211 Equipment</v>
          </cell>
          <cell r="E135" t="str">
            <v>Equipment</v>
          </cell>
          <cell r="F135" t="str">
            <v>Medical Service</v>
          </cell>
          <cell r="G135" t="str">
            <v>Vehicle repairs</v>
          </cell>
        </row>
        <row r="136">
          <cell r="B136" t="str">
            <v>12.11.21.23</v>
          </cell>
          <cell r="C136" t="str">
            <v>12 Support</v>
          </cell>
          <cell r="D136" t="str">
            <v>1211 Equipment</v>
          </cell>
          <cell r="E136" t="str">
            <v>Equipment</v>
          </cell>
          <cell r="F136" t="str">
            <v>Medical Service</v>
          </cell>
          <cell r="G136" t="str">
            <v>Depreciation</v>
          </cell>
        </row>
        <row r="137">
          <cell r="B137" t="str">
            <v>12.11.22.10</v>
          </cell>
          <cell r="C137" t="str">
            <v>12 Support</v>
          </cell>
          <cell r="D137" t="str">
            <v>1211 Equipment</v>
          </cell>
          <cell r="E137" t="str">
            <v>Equipment</v>
          </cell>
          <cell r="F137" t="str">
            <v>Administration</v>
          </cell>
          <cell r="G137" t="str">
            <v>Vehicles</v>
          </cell>
        </row>
        <row r="138">
          <cell r="B138" t="str">
            <v>12.11.22.11</v>
          </cell>
          <cell r="C138" t="str">
            <v>12 Support</v>
          </cell>
          <cell r="D138" t="str">
            <v>1211 Equipment</v>
          </cell>
          <cell r="E138" t="str">
            <v>Equipment</v>
          </cell>
          <cell r="F138" t="str">
            <v>Administration</v>
          </cell>
          <cell r="G138" t="str">
            <v>Fuel</v>
          </cell>
        </row>
        <row r="139">
          <cell r="B139" t="str">
            <v>12.11.22.12</v>
          </cell>
          <cell r="C139" t="str">
            <v>12 Support</v>
          </cell>
          <cell r="D139" t="str">
            <v>1211 Equipment</v>
          </cell>
          <cell r="E139" t="str">
            <v>Equipment</v>
          </cell>
          <cell r="F139" t="str">
            <v>Administration</v>
          </cell>
          <cell r="G139" t="str">
            <v>Lubrication</v>
          </cell>
        </row>
        <row r="140">
          <cell r="B140" t="str">
            <v>12.11.22.13</v>
          </cell>
          <cell r="C140" t="str">
            <v>12 Support</v>
          </cell>
          <cell r="D140" t="str">
            <v>1211 Equipment</v>
          </cell>
          <cell r="E140" t="str">
            <v>Equipment</v>
          </cell>
          <cell r="F140" t="str">
            <v>Administration</v>
          </cell>
          <cell r="G140" t="str">
            <v>Equip Rental</v>
          </cell>
        </row>
        <row r="141">
          <cell r="B141" t="str">
            <v>12.11.22.14</v>
          </cell>
          <cell r="C141" t="str">
            <v>12 Support</v>
          </cell>
          <cell r="D141" t="str">
            <v>1211 Equipment</v>
          </cell>
          <cell r="E141" t="str">
            <v>Equipment</v>
          </cell>
          <cell r="F141" t="str">
            <v>Administration</v>
          </cell>
          <cell r="G141" t="str">
            <v>Equip repairs</v>
          </cell>
        </row>
        <row r="142">
          <cell r="B142" t="str">
            <v>12.11.22.15</v>
          </cell>
          <cell r="C142" t="str">
            <v>12 Support</v>
          </cell>
          <cell r="D142" t="str">
            <v>1211 Equipment</v>
          </cell>
          <cell r="E142" t="str">
            <v>Equipment</v>
          </cell>
          <cell r="F142" t="str">
            <v>Administration</v>
          </cell>
          <cell r="G142" t="str">
            <v>Vehicle repairs</v>
          </cell>
        </row>
        <row r="143">
          <cell r="B143" t="str">
            <v>12.11.22.16</v>
          </cell>
          <cell r="C143" t="str">
            <v>12 Support</v>
          </cell>
          <cell r="D143" t="str">
            <v>1211 Equipment</v>
          </cell>
          <cell r="E143" t="str">
            <v>Equipment</v>
          </cell>
          <cell r="F143" t="str">
            <v>Administration</v>
          </cell>
          <cell r="G143" t="str">
            <v>Depreciation</v>
          </cell>
        </row>
        <row r="144">
          <cell r="B144" t="str">
            <v>12.12.10.10</v>
          </cell>
          <cell r="C144" t="str">
            <v>12 Support</v>
          </cell>
          <cell r="D144" t="str">
            <v>1212 General Expenses</v>
          </cell>
          <cell r="E144" t="str">
            <v>General Expenses</v>
          </cell>
          <cell r="F144" t="str">
            <v>General Expenses</v>
          </cell>
          <cell r="G144" t="str">
            <v>Surveying</v>
          </cell>
        </row>
        <row r="145">
          <cell r="B145" t="str">
            <v>12.12.10.11</v>
          </cell>
          <cell r="C145" t="str">
            <v>12 Support</v>
          </cell>
          <cell r="D145" t="str">
            <v>1212 General Expenses</v>
          </cell>
          <cell r="E145" t="str">
            <v>General Expenses</v>
          </cell>
          <cell r="F145" t="str">
            <v>General Expenses</v>
          </cell>
          <cell r="G145" t="str">
            <v>Geology</v>
          </cell>
        </row>
        <row r="146">
          <cell r="B146" t="str">
            <v>12.12.10.12</v>
          </cell>
          <cell r="C146" t="str">
            <v>12 Support</v>
          </cell>
          <cell r="D146" t="str">
            <v>1212 General Expenses</v>
          </cell>
          <cell r="E146" t="str">
            <v>General Expenses</v>
          </cell>
          <cell r="F146" t="str">
            <v>General Expenses</v>
          </cell>
          <cell r="G146" t="str">
            <v>Coal Quality</v>
          </cell>
        </row>
        <row r="147">
          <cell r="B147" t="str">
            <v>12.12.10.13</v>
          </cell>
          <cell r="C147" t="str">
            <v>12 Support</v>
          </cell>
          <cell r="D147" t="str">
            <v>1212 General Expenses</v>
          </cell>
          <cell r="E147" t="str">
            <v>General Expenses</v>
          </cell>
          <cell r="F147" t="str">
            <v>General Expenses</v>
          </cell>
          <cell r="G147" t="str">
            <v>Mine Engineering</v>
          </cell>
        </row>
        <row r="148">
          <cell r="B148" t="str">
            <v>12.12.10.14</v>
          </cell>
          <cell r="C148" t="str">
            <v>12 Support</v>
          </cell>
          <cell r="D148" t="str">
            <v>1212 General Expenses</v>
          </cell>
          <cell r="E148" t="str">
            <v>General Expenses</v>
          </cell>
          <cell r="F148" t="str">
            <v>General Expenses</v>
          </cell>
          <cell r="G148" t="str">
            <v>Mine Planning</v>
          </cell>
        </row>
        <row r="149">
          <cell r="B149" t="str">
            <v>12.12.10.15</v>
          </cell>
          <cell r="C149" t="str">
            <v>12 Support</v>
          </cell>
          <cell r="D149" t="str">
            <v>1212 General Expenses</v>
          </cell>
          <cell r="E149" t="str">
            <v>General Expenses</v>
          </cell>
          <cell r="F149" t="str">
            <v>General Expenses</v>
          </cell>
          <cell r="G149" t="str">
            <v>Environmental studies/supplies</v>
          </cell>
        </row>
        <row r="150">
          <cell r="B150" t="str">
            <v>12.12.10.16</v>
          </cell>
          <cell r="C150" t="str">
            <v>12 Support</v>
          </cell>
          <cell r="D150" t="str">
            <v>1212 General Expenses</v>
          </cell>
          <cell r="E150" t="str">
            <v>General Expenses</v>
          </cell>
          <cell r="F150" t="str">
            <v>General Expenses</v>
          </cell>
          <cell r="G150" t="str">
            <v>Civil works/workshops/cranes</v>
          </cell>
        </row>
        <row r="151">
          <cell r="B151" t="str">
            <v>12.12.10.17</v>
          </cell>
          <cell r="C151" t="str">
            <v>12 Support</v>
          </cell>
          <cell r="D151" t="str">
            <v>1212 General Expenses</v>
          </cell>
          <cell r="E151" t="str">
            <v>General Expenses</v>
          </cell>
          <cell r="F151" t="str">
            <v>General Expenses</v>
          </cell>
          <cell r="G151" t="str">
            <v>Warehouse</v>
          </cell>
        </row>
        <row r="152">
          <cell r="B152" t="str">
            <v>12.12.10.18</v>
          </cell>
          <cell r="C152" t="str">
            <v>12 Support</v>
          </cell>
          <cell r="D152" t="str">
            <v>1212 General Expenses</v>
          </cell>
          <cell r="E152" t="str">
            <v>General Expenses</v>
          </cell>
          <cell r="F152" t="str">
            <v>General Expenses</v>
          </cell>
          <cell r="G152" t="str">
            <v>Pit pumping</v>
          </cell>
        </row>
        <row r="153">
          <cell r="B153" t="str">
            <v>12.12.10.19</v>
          </cell>
          <cell r="C153" t="str">
            <v>12 Support</v>
          </cell>
          <cell r="D153" t="str">
            <v>1212 General Expenses</v>
          </cell>
          <cell r="E153" t="str">
            <v>General Expenses</v>
          </cell>
          <cell r="F153" t="str">
            <v>General Expenses</v>
          </cell>
          <cell r="G153" t="str">
            <v>Drainage works</v>
          </cell>
        </row>
        <row r="154">
          <cell r="B154" t="str">
            <v>12.12.10.20</v>
          </cell>
          <cell r="C154" t="str">
            <v>12 Support</v>
          </cell>
          <cell r="D154" t="str">
            <v>1212 General Expenses</v>
          </cell>
          <cell r="E154" t="str">
            <v>General Expenses</v>
          </cell>
          <cell r="F154" t="str">
            <v>General Expenses</v>
          </cell>
          <cell r="G154" t="str">
            <v>Sedimentation ponds</v>
          </cell>
        </row>
        <row r="155">
          <cell r="B155" t="str">
            <v>12.12.10.21</v>
          </cell>
          <cell r="C155" t="str">
            <v>12 Support</v>
          </cell>
          <cell r="D155" t="str">
            <v>1212 General Expenses</v>
          </cell>
          <cell r="E155" t="str">
            <v>General Expenses</v>
          </cell>
          <cell r="F155" t="str">
            <v>General Expenses</v>
          </cell>
          <cell r="G155" t="str">
            <v>Dewatering works</v>
          </cell>
        </row>
        <row r="156">
          <cell r="B156" t="str">
            <v>12.12.10.22</v>
          </cell>
          <cell r="C156" t="str">
            <v>12 Support</v>
          </cell>
          <cell r="D156" t="str">
            <v>1212 General Expenses</v>
          </cell>
          <cell r="E156" t="str">
            <v>General Expenses</v>
          </cell>
          <cell r="F156" t="str">
            <v>General Expenses</v>
          </cell>
          <cell r="G156" t="str">
            <v>Surface haul roads</v>
          </cell>
        </row>
        <row r="157">
          <cell r="B157" t="str">
            <v>12.12.10.23</v>
          </cell>
          <cell r="C157" t="str">
            <v>12 Support</v>
          </cell>
          <cell r="D157" t="str">
            <v>1212 General Expenses</v>
          </cell>
          <cell r="E157" t="str">
            <v>General Expenses</v>
          </cell>
          <cell r="F157" t="str">
            <v>General Expenses</v>
          </cell>
          <cell r="G157" t="str">
            <v>Topsoil removal</v>
          </cell>
        </row>
        <row r="158">
          <cell r="B158" t="str">
            <v>12.12.10.24</v>
          </cell>
          <cell r="C158" t="str">
            <v>12 Support</v>
          </cell>
          <cell r="D158" t="str">
            <v>1212 General Expenses</v>
          </cell>
          <cell r="E158" t="str">
            <v>General Expenses</v>
          </cell>
          <cell r="F158" t="str">
            <v>General Expenses</v>
          </cell>
          <cell r="G158" t="str">
            <v>Land reclamation</v>
          </cell>
        </row>
        <row r="159">
          <cell r="B159" t="str">
            <v>12.12.10.25</v>
          </cell>
          <cell r="C159" t="str">
            <v>12 Support</v>
          </cell>
          <cell r="D159" t="str">
            <v>1212 General Expenses</v>
          </cell>
          <cell r="E159" t="str">
            <v>General Expenses</v>
          </cell>
          <cell r="F159" t="str">
            <v>General Expenses</v>
          </cell>
          <cell r="G159" t="str">
            <v>Training</v>
          </cell>
        </row>
        <row r="160">
          <cell r="B160" t="str">
            <v>12.12.10.26</v>
          </cell>
          <cell r="C160" t="str">
            <v>12 Support</v>
          </cell>
          <cell r="D160" t="str">
            <v>1212 General Expenses</v>
          </cell>
          <cell r="E160" t="str">
            <v>General Expenses</v>
          </cell>
          <cell r="F160" t="str">
            <v>General Expenses</v>
          </cell>
          <cell r="G160" t="str">
            <v>Safety supplies &amp; equip</v>
          </cell>
        </row>
        <row r="161">
          <cell r="B161" t="str">
            <v>12.12.10.27</v>
          </cell>
          <cell r="C161" t="str">
            <v>12 Support</v>
          </cell>
          <cell r="D161" t="str">
            <v>1212 General Expenses</v>
          </cell>
          <cell r="E161" t="str">
            <v>General Expenses</v>
          </cell>
          <cell r="F161" t="str">
            <v>General Expenses</v>
          </cell>
          <cell r="G161" t="str">
            <v>Operations vehicles</v>
          </cell>
        </row>
        <row r="162">
          <cell r="B162" t="str">
            <v>12.12.10.28</v>
          </cell>
          <cell r="C162" t="str">
            <v>12 Support</v>
          </cell>
          <cell r="D162" t="str">
            <v>1212 General Expenses</v>
          </cell>
          <cell r="E162" t="str">
            <v>General Expenses</v>
          </cell>
          <cell r="F162" t="str">
            <v>General Expenses</v>
          </cell>
          <cell r="G162" t="str">
            <v>Pit communications equip maintenance</v>
          </cell>
        </row>
        <row r="163">
          <cell r="B163" t="str">
            <v>12.12.10.29</v>
          </cell>
          <cell r="C163" t="str">
            <v>12 Support</v>
          </cell>
          <cell r="D163" t="str">
            <v>1212 General Expenses</v>
          </cell>
          <cell r="E163" t="str">
            <v>General Expenses</v>
          </cell>
          <cell r="F163" t="str">
            <v>General Expenses</v>
          </cell>
          <cell r="G163" t="str">
            <v>Misc equip rental</v>
          </cell>
        </row>
        <row r="164">
          <cell r="B164" t="str">
            <v>12.12.10.30</v>
          </cell>
          <cell r="C164" t="str">
            <v>12 Support</v>
          </cell>
          <cell r="D164" t="str">
            <v>1212 General Expenses</v>
          </cell>
          <cell r="E164" t="str">
            <v>General Expenses</v>
          </cell>
          <cell r="F164" t="str">
            <v>General Expenses</v>
          </cell>
          <cell r="G164" t="str">
            <v>Mine personnel transport</v>
          </cell>
        </row>
        <row r="165">
          <cell r="B165" t="str">
            <v>12.12.10.31</v>
          </cell>
          <cell r="C165" t="str">
            <v>12 Support</v>
          </cell>
          <cell r="D165" t="str">
            <v>1212 General Expenses</v>
          </cell>
          <cell r="E165" t="str">
            <v>General Expenses</v>
          </cell>
          <cell r="F165" t="str">
            <v>General Expenses</v>
          </cell>
          <cell r="G165" t="str">
            <v>Workshop</v>
          </cell>
        </row>
        <row r="166">
          <cell r="B166" t="str">
            <v>12.12.10.32</v>
          </cell>
          <cell r="C166" t="str">
            <v>12 Support</v>
          </cell>
          <cell r="D166" t="str">
            <v>1212 General Expenses</v>
          </cell>
          <cell r="E166" t="str">
            <v>General Expenses</v>
          </cell>
          <cell r="F166" t="str">
            <v>General Expenses</v>
          </cell>
          <cell r="G166" t="str">
            <v>General Expenses</v>
          </cell>
        </row>
        <row r="167">
          <cell r="B167" t="str">
            <v>12.12.10.33</v>
          </cell>
          <cell r="C167" t="str">
            <v>12 Support</v>
          </cell>
          <cell r="D167" t="str">
            <v>1212 General Expenses</v>
          </cell>
          <cell r="E167" t="str">
            <v>General Expenses</v>
          </cell>
          <cell r="F167" t="str">
            <v>General Expenses</v>
          </cell>
          <cell r="G167" t="str">
            <v>Depreciation</v>
          </cell>
        </row>
        <row r="168">
          <cell r="B168" t="str">
            <v>12.12.10.34</v>
          </cell>
          <cell r="C168" t="str">
            <v>12 Support</v>
          </cell>
          <cell r="D168" t="str">
            <v>1212 General Expenses</v>
          </cell>
          <cell r="E168" t="str">
            <v>General Expenses</v>
          </cell>
          <cell r="F168" t="str">
            <v>General Expenses</v>
          </cell>
          <cell r="G168" t="str">
            <v>Safety elements</v>
          </cell>
        </row>
        <row r="169">
          <cell r="B169" t="str">
            <v>12.12.10.35</v>
          </cell>
          <cell r="C169" t="str">
            <v>12 Support</v>
          </cell>
          <cell r="D169" t="str">
            <v>1212 General Expenses</v>
          </cell>
          <cell r="E169" t="str">
            <v>General Expenses</v>
          </cell>
          <cell r="F169" t="str">
            <v>General Expenses</v>
          </cell>
          <cell r="G169" t="str">
            <v>Technical Office (Consumables)</v>
          </cell>
        </row>
        <row r="170">
          <cell r="B170" t="str">
            <v>12.13.10.10</v>
          </cell>
          <cell r="C170" t="str">
            <v>12 Support</v>
          </cell>
          <cell r="D170" t="str">
            <v>1213 Power</v>
          </cell>
          <cell r="E170" t="str">
            <v>Power</v>
          </cell>
          <cell r="F170" t="str">
            <v>Power</v>
          </cell>
          <cell r="G170" t="str">
            <v>Electricity</v>
          </cell>
        </row>
        <row r="171">
          <cell r="B171" t="str">
            <v>12.13.10.11</v>
          </cell>
          <cell r="C171" t="str">
            <v>12 Support</v>
          </cell>
          <cell r="D171" t="str">
            <v>1213 Power</v>
          </cell>
          <cell r="E171" t="str">
            <v>Power</v>
          </cell>
          <cell r="F171" t="str">
            <v>Power</v>
          </cell>
          <cell r="G171" t="str">
            <v>Diesel</v>
          </cell>
        </row>
        <row r="172">
          <cell r="B172" t="str">
            <v>12.13.10.12</v>
          </cell>
          <cell r="C172" t="str">
            <v>12 Support</v>
          </cell>
          <cell r="D172" t="str">
            <v>1213 Power</v>
          </cell>
          <cell r="E172" t="str">
            <v>Power</v>
          </cell>
          <cell r="F172" t="str">
            <v>Power</v>
          </cell>
          <cell r="G172" t="str">
            <v>Maint: Spares</v>
          </cell>
        </row>
        <row r="173">
          <cell r="B173" t="str">
            <v>12.13.10.13</v>
          </cell>
          <cell r="C173" t="str">
            <v>12 Support</v>
          </cell>
          <cell r="D173" t="str">
            <v>1213 Power</v>
          </cell>
          <cell r="E173" t="str">
            <v>Power</v>
          </cell>
          <cell r="F173" t="str">
            <v>Power</v>
          </cell>
          <cell r="G173" t="str">
            <v>Maint: Labour/Services</v>
          </cell>
        </row>
        <row r="174">
          <cell r="B174" t="str">
            <v>12.13.10.14</v>
          </cell>
          <cell r="C174" t="str">
            <v>12 Support</v>
          </cell>
          <cell r="D174" t="str">
            <v>1213 Power</v>
          </cell>
          <cell r="E174" t="str">
            <v>Power</v>
          </cell>
          <cell r="F174" t="str">
            <v>Power</v>
          </cell>
          <cell r="G174" t="str">
            <v>Depreciation</v>
          </cell>
        </row>
        <row r="175">
          <cell r="B175" t="str">
            <v>12.14.10.10</v>
          </cell>
          <cell r="C175" t="str">
            <v>12 Support</v>
          </cell>
          <cell r="D175" t="str">
            <v>1214 Fuel &amp; Lub</v>
          </cell>
          <cell r="E175" t="str">
            <v>Fuel &amp; Lub</v>
          </cell>
          <cell r="F175" t="str">
            <v>Fuel</v>
          </cell>
          <cell r="G175" t="str">
            <v>Survey</v>
          </cell>
        </row>
        <row r="176">
          <cell r="B176" t="str">
            <v>12.14.10.11</v>
          </cell>
          <cell r="C176" t="str">
            <v>12 Support</v>
          </cell>
          <cell r="D176" t="str">
            <v>1214 Fuel &amp; Lub</v>
          </cell>
          <cell r="E176" t="str">
            <v>Fuel &amp; Lub</v>
          </cell>
          <cell r="F176" t="str">
            <v>Fuel</v>
          </cell>
          <cell r="G176" t="str">
            <v>Geology</v>
          </cell>
        </row>
        <row r="177">
          <cell r="B177" t="str">
            <v>12.14.10.12</v>
          </cell>
          <cell r="C177" t="str">
            <v>12 Support</v>
          </cell>
          <cell r="D177" t="str">
            <v>1214 Fuel &amp; Lub</v>
          </cell>
          <cell r="E177" t="str">
            <v>Fuel &amp; Lub</v>
          </cell>
          <cell r="F177" t="str">
            <v>Fuel</v>
          </cell>
          <cell r="G177" t="str">
            <v>Coal Quality</v>
          </cell>
        </row>
        <row r="178">
          <cell r="B178" t="str">
            <v>12.14.10.13</v>
          </cell>
          <cell r="C178" t="str">
            <v>12 Support</v>
          </cell>
          <cell r="D178" t="str">
            <v>1214 Fuel &amp; Lub</v>
          </cell>
          <cell r="E178" t="str">
            <v>Fuel &amp; Lub</v>
          </cell>
          <cell r="F178" t="str">
            <v>Fuel</v>
          </cell>
          <cell r="G178" t="str">
            <v>Mine Engineering</v>
          </cell>
        </row>
        <row r="179">
          <cell r="B179" t="str">
            <v>12.14.10.14</v>
          </cell>
          <cell r="C179" t="str">
            <v>12 Support</v>
          </cell>
          <cell r="D179" t="str">
            <v>1214 Fuel &amp; Lub</v>
          </cell>
          <cell r="E179" t="str">
            <v>Fuel &amp; Lub</v>
          </cell>
          <cell r="F179" t="str">
            <v>Fuel</v>
          </cell>
          <cell r="G179" t="str">
            <v>Mine Planning</v>
          </cell>
        </row>
        <row r="180">
          <cell r="B180" t="str">
            <v>12.14.10.15</v>
          </cell>
          <cell r="C180" t="str">
            <v>12 Support</v>
          </cell>
          <cell r="D180" t="str">
            <v>1214 Fuel &amp; Lub</v>
          </cell>
          <cell r="E180" t="str">
            <v>Fuel &amp; Lub</v>
          </cell>
          <cell r="F180" t="str">
            <v>Fuel</v>
          </cell>
          <cell r="G180" t="str">
            <v>Environmental</v>
          </cell>
        </row>
        <row r="181">
          <cell r="B181" t="str">
            <v>12.14.10.16</v>
          </cell>
          <cell r="C181" t="str">
            <v>12 Support</v>
          </cell>
          <cell r="D181" t="str">
            <v>1214 Fuel &amp; Lub</v>
          </cell>
          <cell r="E181" t="str">
            <v>Fuel &amp; Lub</v>
          </cell>
          <cell r="F181" t="str">
            <v>Fuel</v>
          </cell>
          <cell r="G181" t="str">
            <v>Warehouse</v>
          </cell>
        </row>
        <row r="182">
          <cell r="B182" t="str">
            <v>12.14.10.17</v>
          </cell>
          <cell r="C182" t="str">
            <v>12 Support</v>
          </cell>
          <cell r="D182" t="str">
            <v>1214 Fuel &amp; Lub</v>
          </cell>
          <cell r="E182" t="str">
            <v>Fuel &amp; Lub</v>
          </cell>
          <cell r="F182" t="str">
            <v>Fuel</v>
          </cell>
          <cell r="G182" t="str">
            <v>Workshops</v>
          </cell>
        </row>
        <row r="183">
          <cell r="B183" t="str">
            <v>12.14.10.18</v>
          </cell>
          <cell r="C183" t="str">
            <v>12 Support</v>
          </cell>
          <cell r="D183" t="str">
            <v>1214 Fuel &amp; Lub</v>
          </cell>
          <cell r="E183" t="str">
            <v>Fuel &amp; Lub</v>
          </cell>
          <cell r="F183" t="str">
            <v>Fuel</v>
          </cell>
          <cell r="G183" t="str">
            <v>Infrastructure(Roads etc)</v>
          </cell>
        </row>
        <row r="184">
          <cell r="B184" t="str">
            <v>12.14.10.19</v>
          </cell>
          <cell r="C184" t="str">
            <v>12 Support</v>
          </cell>
          <cell r="D184" t="str">
            <v>1214 Fuel &amp; Lub</v>
          </cell>
          <cell r="E184" t="str">
            <v>Fuel &amp; Lub</v>
          </cell>
          <cell r="F184" t="str">
            <v>Fuel</v>
          </cell>
          <cell r="G184" t="str">
            <v>Dewatering/Pit Pumping/Drainage</v>
          </cell>
        </row>
        <row r="185">
          <cell r="B185" t="str">
            <v>12.14.10.20</v>
          </cell>
          <cell r="C185" t="str">
            <v>12 Support</v>
          </cell>
          <cell r="D185" t="str">
            <v>1214 Fuel &amp; Lub</v>
          </cell>
          <cell r="E185" t="str">
            <v>Fuel &amp; Lub</v>
          </cell>
          <cell r="F185" t="str">
            <v>Fuel</v>
          </cell>
          <cell r="G185" t="str">
            <v>Dumps/Reclamation/Topsoil</v>
          </cell>
        </row>
        <row r="186">
          <cell r="B186" t="str">
            <v>12.14.11.10</v>
          </cell>
          <cell r="C186" t="str">
            <v>12 Support</v>
          </cell>
          <cell r="D186" t="str">
            <v>1214 Fuel &amp; Lub</v>
          </cell>
          <cell r="E186" t="str">
            <v>Fuel &amp; Lub</v>
          </cell>
          <cell r="F186" t="str">
            <v>Lubrication</v>
          </cell>
          <cell r="G186" t="str">
            <v>Survey</v>
          </cell>
        </row>
        <row r="187">
          <cell r="B187" t="str">
            <v>12.14.11.11</v>
          </cell>
          <cell r="C187" t="str">
            <v>12 Support</v>
          </cell>
          <cell r="D187" t="str">
            <v>1214 Fuel &amp; Lub</v>
          </cell>
          <cell r="E187" t="str">
            <v>Fuel &amp; Lub</v>
          </cell>
          <cell r="F187" t="str">
            <v>Lubrication</v>
          </cell>
          <cell r="G187" t="str">
            <v>Geology</v>
          </cell>
        </row>
        <row r="188">
          <cell r="B188" t="str">
            <v>12.14.11.12</v>
          </cell>
          <cell r="C188" t="str">
            <v>12 Support</v>
          </cell>
          <cell r="D188" t="str">
            <v>1214 Fuel &amp; Lub</v>
          </cell>
          <cell r="E188" t="str">
            <v>Fuel &amp; Lub</v>
          </cell>
          <cell r="F188" t="str">
            <v>Lubrication</v>
          </cell>
          <cell r="G188" t="str">
            <v>Coal Quality</v>
          </cell>
        </row>
        <row r="189">
          <cell r="B189" t="str">
            <v>12.14.11.13</v>
          </cell>
          <cell r="C189" t="str">
            <v>12 Support</v>
          </cell>
          <cell r="D189" t="str">
            <v>1214 Fuel &amp; Lub</v>
          </cell>
          <cell r="E189" t="str">
            <v>Fuel &amp; Lub</v>
          </cell>
          <cell r="F189" t="str">
            <v>Lubrication</v>
          </cell>
          <cell r="G189" t="str">
            <v>Mine Engineering</v>
          </cell>
        </row>
        <row r="190">
          <cell r="B190" t="str">
            <v>12.14.11.14</v>
          </cell>
          <cell r="C190" t="str">
            <v>12 Support</v>
          </cell>
          <cell r="D190" t="str">
            <v>1214 Fuel &amp; Lub</v>
          </cell>
          <cell r="E190" t="str">
            <v>Fuel &amp; Lub</v>
          </cell>
          <cell r="F190" t="str">
            <v>Lubrication</v>
          </cell>
          <cell r="G190" t="str">
            <v>Mine Planning</v>
          </cell>
        </row>
        <row r="191">
          <cell r="B191" t="str">
            <v>12.14.11.15</v>
          </cell>
          <cell r="C191" t="str">
            <v>12 Support</v>
          </cell>
          <cell r="D191" t="str">
            <v>1214 Fuel &amp; Lub</v>
          </cell>
          <cell r="E191" t="str">
            <v>Fuel &amp; Lub</v>
          </cell>
          <cell r="F191" t="str">
            <v>Lubrication</v>
          </cell>
          <cell r="G191" t="str">
            <v>Environmental</v>
          </cell>
        </row>
        <row r="192">
          <cell r="B192" t="str">
            <v>12.14.11.16</v>
          </cell>
          <cell r="C192" t="str">
            <v>12 Support</v>
          </cell>
          <cell r="D192" t="str">
            <v>1214 Fuel &amp; Lub</v>
          </cell>
          <cell r="E192" t="str">
            <v>Fuel &amp; Lub</v>
          </cell>
          <cell r="F192" t="str">
            <v>Lubrication</v>
          </cell>
          <cell r="G192" t="str">
            <v>Warehouse</v>
          </cell>
        </row>
        <row r="193">
          <cell r="B193" t="str">
            <v>12.14.11.17</v>
          </cell>
          <cell r="C193" t="str">
            <v>12 Support</v>
          </cell>
          <cell r="D193" t="str">
            <v>1214 Fuel &amp; Lub</v>
          </cell>
          <cell r="E193" t="str">
            <v>Fuel &amp; Lub</v>
          </cell>
          <cell r="F193" t="str">
            <v>Lubrication</v>
          </cell>
          <cell r="G193" t="str">
            <v>Workshops</v>
          </cell>
        </row>
        <row r="194">
          <cell r="B194" t="str">
            <v>12.14.11.18</v>
          </cell>
          <cell r="C194" t="str">
            <v>12 Support</v>
          </cell>
          <cell r="D194" t="str">
            <v>1214 Fuel &amp; Lub</v>
          </cell>
          <cell r="E194" t="str">
            <v>Fuel &amp; Lub</v>
          </cell>
          <cell r="F194" t="str">
            <v>Lubrication</v>
          </cell>
          <cell r="G194" t="str">
            <v>Infrastructure(Roads etc)</v>
          </cell>
        </row>
        <row r="195">
          <cell r="B195" t="str">
            <v>12.14.11.19</v>
          </cell>
          <cell r="C195" t="str">
            <v>12 Support</v>
          </cell>
          <cell r="D195" t="str">
            <v>1214 Fuel &amp; Lub</v>
          </cell>
          <cell r="E195" t="str">
            <v>Fuel &amp; Lub</v>
          </cell>
          <cell r="F195" t="str">
            <v>Lubrication</v>
          </cell>
          <cell r="G195" t="str">
            <v>Dewatering/Pit Pumping/Drainage</v>
          </cell>
        </row>
        <row r="196">
          <cell r="B196" t="str">
            <v>12.14.11.20</v>
          </cell>
          <cell r="C196" t="str">
            <v>12 Support</v>
          </cell>
          <cell r="D196" t="str">
            <v>1214 Fuel &amp; Lub</v>
          </cell>
          <cell r="E196" t="str">
            <v>Fuel &amp; Lub</v>
          </cell>
          <cell r="F196" t="str">
            <v>Lubrication</v>
          </cell>
          <cell r="G196" t="str">
            <v>Dumps/Reclamation/Topsoil</v>
          </cell>
        </row>
        <row r="197">
          <cell r="B197" t="str">
            <v>13.10</v>
          </cell>
          <cell r="C197" t="str">
            <v>13 Coal Handling</v>
          </cell>
          <cell r="D197" t="str">
            <v>1310 Labour</v>
          </cell>
          <cell r="E197" t="str">
            <v>Labour</v>
          </cell>
          <cell r="F197" t="str">
            <v>Labour</v>
          </cell>
          <cell r="G197" t="str">
            <v>Labour</v>
          </cell>
        </row>
        <row r="198">
          <cell r="B198" t="str">
            <v>13.10.10</v>
          </cell>
          <cell r="C198" t="str">
            <v>13 Coal Handling</v>
          </cell>
          <cell r="D198" t="str">
            <v>1310 Labour</v>
          </cell>
          <cell r="E198" t="str">
            <v>Temporary Employees</v>
          </cell>
          <cell r="F198" t="str">
            <v>Temporary Employees</v>
          </cell>
          <cell r="G198" t="str">
            <v>Temporary Employees</v>
          </cell>
        </row>
        <row r="199">
          <cell r="B199" t="str">
            <v>13.11</v>
          </cell>
          <cell r="C199" t="str">
            <v>13 Coal Handling</v>
          </cell>
          <cell r="D199" t="str">
            <v xml:space="preserve">1311 Crushing </v>
          </cell>
          <cell r="E199" t="str">
            <v xml:space="preserve">Crushing </v>
          </cell>
          <cell r="F199" t="str">
            <v>Crushing</v>
          </cell>
          <cell r="G199" t="str">
            <v xml:space="preserve">Crushing </v>
          </cell>
        </row>
        <row r="200">
          <cell r="B200" t="str">
            <v>13.12</v>
          </cell>
          <cell r="C200" t="str">
            <v>13 Coal Handling</v>
          </cell>
          <cell r="D200" t="str">
            <v xml:space="preserve">1311 Crushing </v>
          </cell>
          <cell r="E200" t="str">
            <v xml:space="preserve">Crushing </v>
          </cell>
          <cell r="F200" t="str">
            <v>Crushing</v>
          </cell>
          <cell r="G200" t="str">
            <v>Depreciation</v>
          </cell>
        </row>
        <row r="201">
          <cell r="B201" t="str">
            <v>14.10</v>
          </cell>
          <cell r="C201" t="str">
            <v>14 Admin &amp; Infrastructure</v>
          </cell>
          <cell r="D201" t="str">
            <v>1410 Labour</v>
          </cell>
          <cell r="E201" t="str">
            <v>Labour</v>
          </cell>
          <cell r="F201" t="str">
            <v>Labour</v>
          </cell>
          <cell r="G201" t="str">
            <v>Labour</v>
          </cell>
        </row>
        <row r="202">
          <cell r="B202" t="str">
            <v>14.10.10</v>
          </cell>
          <cell r="C202" t="str">
            <v>14 Admin &amp; Infrastructure</v>
          </cell>
          <cell r="D202" t="str">
            <v>1410 Labour</v>
          </cell>
          <cell r="E202" t="str">
            <v>Temporary Employees</v>
          </cell>
          <cell r="F202" t="str">
            <v>Temporary Employees</v>
          </cell>
          <cell r="G202" t="str">
            <v>Temporary Employees</v>
          </cell>
        </row>
        <row r="203">
          <cell r="B203" t="str">
            <v>14.11.10.10</v>
          </cell>
          <cell r="C203" t="str">
            <v>14 Admin &amp; Infrastructure</v>
          </cell>
          <cell r="D203" t="str">
            <v>1411 General Expenses</v>
          </cell>
          <cell r="E203" t="str">
            <v>Fees</v>
          </cell>
          <cell r="F203" t="str">
            <v>Plan Vallejo</v>
          </cell>
          <cell r="G203" t="str">
            <v>Plan Vallejo</v>
          </cell>
        </row>
        <row r="204">
          <cell r="B204" t="str">
            <v>14.11.10.11</v>
          </cell>
          <cell r="C204" t="str">
            <v>14 Admin &amp; Infrastructure</v>
          </cell>
          <cell r="D204" t="str">
            <v>1411 General Expenses</v>
          </cell>
          <cell r="E204" t="str">
            <v>Fees</v>
          </cell>
          <cell r="F204" t="str">
            <v>Parra Rodriguez - Ingeominas</v>
          </cell>
          <cell r="G204" t="str">
            <v>Parra Rodriguez - Ingeominas</v>
          </cell>
        </row>
        <row r="205">
          <cell r="B205" t="str">
            <v>14.11.10.12</v>
          </cell>
          <cell r="C205" t="str">
            <v>14 Admin &amp; Infrastructure</v>
          </cell>
          <cell r="D205" t="str">
            <v>1411 General Expenses</v>
          </cell>
          <cell r="E205" t="str">
            <v>Fees</v>
          </cell>
          <cell r="F205" t="str">
            <v>Lewis &amp; Willis - Tax Issues</v>
          </cell>
          <cell r="G205" t="str">
            <v>Lewis &amp; Willis - Tax Issues</v>
          </cell>
        </row>
        <row r="206">
          <cell r="B206" t="str">
            <v>14.11.10.13</v>
          </cell>
          <cell r="C206" t="str">
            <v>14 Admin &amp; Infrastructure</v>
          </cell>
          <cell r="D206" t="str">
            <v>1411 General Expenses</v>
          </cell>
          <cell r="E206" t="str">
            <v>Fees</v>
          </cell>
          <cell r="F206" t="str">
            <v>Mine Planning Consulting Fees</v>
          </cell>
          <cell r="G206" t="str">
            <v>Mine Planning Consulting Fees</v>
          </cell>
        </row>
        <row r="207">
          <cell r="B207" t="str">
            <v>14.11.10.14</v>
          </cell>
          <cell r="C207" t="str">
            <v>14 Admin &amp; Infrastructure</v>
          </cell>
          <cell r="D207" t="str">
            <v>1411 General Expenses</v>
          </cell>
          <cell r="E207" t="str">
            <v>Fees</v>
          </cell>
          <cell r="F207" t="str">
            <v>Other</v>
          </cell>
          <cell r="G207" t="str">
            <v>Other</v>
          </cell>
        </row>
        <row r="208">
          <cell r="B208" t="str">
            <v>14.11.11</v>
          </cell>
          <cell r="C208" t="str">
            <v>14 Admin &amp; Infrastructure</v>
          </cell>
          <cell r="D208" t="str">
            <v>1411 General Expenses</v>
          </cell>
          <cell r="E208" t="str">
            <v>Taxes</v>
          </cell>
          <cell r="F208" t="str">
            <v>Taxes</v>
          </cell>
          <cell r="G208" t="str">
            <v>Taxes</v>
          </cell>
        </row>
        <row r="209">
          <cell r="B209" t="str">
            <v>14.11.12</v>
          </cell>
          <cell r="C209" t="str">
            <v>14 Admin &amp; Infrastructure</v>
          </cell>
          <cell r="D209" t="str">
            <v>1411 General Expenses</v>
          </cell>
          <cell r="E209" t="str">
            <v>Contract Stamp Tax</v>
          </cell>
          <cell r="F209" t="str">
            <v>Contract Stamp Tax</v>
          </cell>
          <cell r="G209" t="str">
            <v>Contract Stamp Tax</v>
          </cell>
        </row>
        <row r="210">
          <cell r="B210" t="str">
            <v>14.11.13.10</v>
          </cell>
          <cell r="C210" t="str">
            <v>14 Admin &amp; Infrastructure</v>
          </cell>
          <cell r="D210" t="str">
            <v>1411 General Expenses</v>
          </cell>
          <cell r="E210" t="str">
            <v>Rentals</v>
          </cell>
          <cell r="F210" t="str">
            <v>Land Surface Amortization</v>
          </cell>
          <cell r="G210" t="str">
            <v>Ingeominas</v>
          </cell>
        </row>
        <row r="211">
          <cell r="B211" t="str">
            <v>14.11.13.11</v>
          </cell>
          <cell r="C211" t="str">
            <v>14 Admin &amp; Infrastructure</v>
          </cell>
          <cell r="D211" t="str">
            <v>1411 General Expenses</v>
          </cell>
          <cell r="E211" t="str">
            <v>Rentals</v>
          </cell>
          <cell r="F211" t="str">
            <v>Expats Apartments (Barr &amp; SM)</v>
          </cell>
          <cell r="G211" t="str">
            <v>Expats Apartments (Barr &amp; SM)</v>
          </cell>
        </row>
        <row r="212">
          <cell r="B212" t="str">
            <v>14.11.13.12</v>
          </cell>
          <cell r="C212" t="str">
            <v>14 Admin &amp; Infrastructure</v>
          </cell>
          <cell r="D212" t="str">
            <v>1411 General Expenses</v>
          </cell>
          <cell r="E212" t="str">
            <v>Rentals</v>
          </cell>
          <cell r="F212" t="str">
            <v>Rental Space for Antenna</v>
          </cell>
          <cell r="G212" t="str">
            <v>Rental Space for Antenna</v>
          </cell>
        </row>
        <row r="213">
          <cell r="B213" t="str">
            <v>14.11.13.13</v>
          </cell>
          <cell r="C213" t="str">
            <v>14 Admin &amp; Infrastructure</v>
          </cell>
          <cell r="D213" t="str">
            <v>1411 General Expenses</v>
          </cell>
          <cell r="E213" t="str">
            <v>Rentals</v>
          </cell>
          <cell r="F213" t="str">
            <v>Light Vehicles</v>
          </cell>
          <cell r="G213" t="str">
            <v>Light Vehicles</v>
          </cell>
        </row>
        <row r="214">
          <cell r="B214" t="str">
            <v>14.11.13.14</v>
          </cell>
          <cell r="C214" t="str">
            <v>14 Admin &amp; Infrastructure</v>
          </cell>
          <cell r="D214" t="str">
            <v>1411 General Expenses</v>
          </cell>
          <cell r="E214" t="str">
            <v>Rentals</v>
          </cell>
          <cell r="F214" t="str">
            <v>Other Rentals</v>
          </cell>
          <cell r="G214" t="str">
            <v>Other Rentals</v>
          </cell>
        </row>
        <row r="215">
          <cell r="B215" t="str">
            <v>14.11.14</v>
          </cell>
          <cell r="C215" t="str">
            <v>14 Admin &amp; Infrastructure</v>
          </cell>
          <cell r="D215" t="str">
            <v>1411 General Expenses</v>
          </cell>
          <cell r="E215" t="str">
            <v>Contributions</v>
          </cell>
          <cell r="F215" t="str">
            <v>Contributions</v>
          </cell>
          <cell r="G215" t="str">
            <v>Contributions</v>
          </cell>
        </row>
        <row r="216">
          <cell r="B216" t="str">
            <v>14.11.15</v>
          </cell>
          <cell r="C216" t="str">
            <v>14 Admin &amp; Infrastructure</v>
          </cell>
          <cell r="D216" t="str">
            <v>1411 General Expenses</v>
          </cell>
          <cell r="E216" t="str">
            <v>Insurance</v>
          </cell>
          <cell r="F216" t="str">
            <v>Insurance</v>
          </cell>
          <cell r="G216" t="str">
            <v>Insurance</v>
          </cell>
        </row>
        <row r="217">
          <cell r="B217" t="str">
            <v>14.11.16</v>
          </cell>
          <cell r="C217" t="str">
            <v>14 Admin &amp; Infrastructure</v>
          </cell>
          <cell r="D217" t="str">
            <v>1411 General Expenses</v>
          </cell>
          <cell r="E217" t="str">
            <v>Contractor Special &amp; Personnel Insurance</v>
          </cell>
          <cell r="F217" t="str">
            <v>Contractor Special &amp; Personnel Insurance</v>
          </cell>
          <cell r="G217" t="str">
            <v>Contractor Special &amp; Personnel Insurance</v>
          </cell>
        </row>
        <row r="218">
          <cell r="B218" t="str">
            <v>14.11.17</v>
          </cell>
          <cell r="C218" t="str">
            <v>14 Admin &amp; Infrastructure</v>
          </cell>
          <cell r="D218" t="str">
            <v>1411 General Expenses</v>
          </cell>
          <cell r="E218" t="str">
            <v>Legal Expenses</v>
          </cell>
          <cell r="F218" t="str">
            <v>Legal Expenses</v>
          </cell>
          <cell r="G218" t="str">
            <v>Legal Expenses</v>
          </cell>
        </row>
        <row r="219">
          <cell r="B219" t="str">
            <v>14.11.18</v>
          </cell>
          <cell r="C219" t="str">
            <v>14 Admin &amp; Infrastructure</v>
          </cell>
          <cell r="D219" t="str">
            <v>1411 General Expenses</v>
          </cell>
          <cell r="E219" t="str">
            <v>Maintenance &amp; Repairs</v>
          </cell>
          <cell r="F219" t="str">
            <v>Maintenance &amp; Repairs</v>
          </cell>
          <cell r="G219" t="str">
            <v>Maintenance &amp; Repairs</v>
          </cell>
        </row>
        <row r="220">
          <cell r="B220" t="str">
            <v>14.11.19</v>
          </cell>
          <cell r="C220" t="str">
            <v>14 Admin &amp; Infrastructure</v>
          </cell>
          <cell r="D220" t="str">
            <v>1411 General Expenses</v>
          </cell>
          <cell r="E220" t="str">
            <v>Travel Expenses</v>
          </cell>
          <cell r="F220" t="str">
            <v>Travel Expenses</v>
          </cell>
          <cell r="G220" t="str">
            <v>Travel Expenses</v>
          </cell>
        </row>
        <row r="221">
          <cell r="B221" t="str">
            <v>14.11.20.10</v>
          </cell>
          <cell r="C221" t="str">
            <v>14 Admin &amp; Infrastructure</v>
          </cell>
          <cell r="D221" t="str">
            <v>1411 General Expenses</v>
          </cell>
          <cell r="E221" t="str">
            <v>Fuel &amp; Lubs</v>
          </cell>
          <cell r="F221" t="str">
            <v>Fuel &amp; Lubs</v>
          </cell>
          <cell r="G221" t="str">
            <v>Fuel</v>
          </cell>
        </row>
        <row r="222">
          <cell r="B222" t="str">
            <v>14.11.20.11</v>
          </cell>
          <cell r="C222" t="str">
            <v>14 Admin &amp; Infrastructure</v>
          </cell>
          <cell r="D222" t="str">
            <v>1411 General Expenses</v>
          </cell>
          <cell r="E222" t="str">
            <v>Fuel &amp; Lubs</v>
          </cell>
          <cell r="F222" t="str">
            <v>Fuel &amp; Lubs</v>
          </cell>
          <cell r="G222" t="str">
            <v>Lubrication</v>
          </cell>
        </row>
        <row r="223">
          <cell r="B223" t="str">
            <v>14.11.21</v>
          </cell>
          <cell r="C223" t="str">
            <v>14 Admin &amp; Infrastructure</v>
          </cell>
          <cell r="D223" t="str">
            <v>1411 General Expenses</v>
          </cell>
          <cell r="E223" t="str">
            <v>Spare Parts &amp; Supplies</v>
          </cell>
          <cell r="F223" t="str">
            <v>Spare Parts &amp; Supplies</v>
          </cell>
          <cell r="G223" t="str">
            <v>Spare Parts &amp; Supplies</v>
          </cell>
        </row>
        <row r="224">
          <cell r="B224" t="str">
            <v>14.11.22</v>
          </cell>
          <cell r="C224" t="str">
            <v>14 Admin &amp; Infrastructure</v>
          </cell>
          <cell r="D224" t="str">
            <v>1411 General Expenses</v>
          </cell>
          <cell r="E224" t="str">
            <v>Social Investment (separate cost item)</v>
          </cell>
          <cell r="F224" t="str">
            <v>Social Investment (separate cost item)</v>
          </cell>
          <cell r="G224" t="str">
            <v>Social Investment (separate cost item)</v>
          </cell>
        </row>
        <row r="225">
          <cell r="B225" t="str">
            <v>14.11.23</v>
          </cell>
          <cell r="C225" t="str">
            <v>14 Admin &amp; Infrastructure</v>
          </cell>
          <cell r="D225" t="str">
            <v>1411 General Expenses</v>
          </cell>
          <cell r="E225" t="str">
            <v>Royalties (separate cost item)</v>
          </cell>
          <cell r="F225" t="str">
            <v>Royalties (separate cost item)</v>
          </cell>
          <cell r="G225" t="str">
            <v>Royalties (separate cost item)</v>
          </cell>
        </row>
        <row r="226">
          <cell r="B226" t="str">
            <v>14.11.24</v>
          </cell>
          <cell r="C226" t="str">
            <v>14 Admin &amp; Infrastructure</v>
          </cell>
          <cell r="D226" t="str">
            <v>1411 General Expenses</v>
          </cell>
          <cell r="E226" t="str">
            <v>TV Service</v>
          </cell>
          <cell r="F226" t="str">
            <v>TV Service</v>
          </cell>
          <cell r="G226" t="str">
            <v>TV Service</v>
          </cell>
        </row>
        <row r="227">
          <cell r="B227" t="str">
            <v>14.11.25</v>
          </cell>
          <cell r="C227" t="str">
            <v>14 Admin &amp; Infrastructure</v>
          </cell>
          <cell r="D227" t="str">
            <v>1411 General Expenses</v>
          </cell>
          <cell r="E227" t="str">
            <v>Protective Clothing</v>
          </cell>
          <cell r="F227" t="str">
            <v>Protective Clothing</v>
          </cell>
          <cell r="G227" t="str">
            <v>Protective Clothing</v>
          </cell>
        </row>
        <row r="228">
          <cell r="B228" t="str">
            <v>14.11.26</v>
          </cell>
          <cell r="C228" t="str">
            <v>14 Admin &amp; Infrastructure</v>
          </cell>
          <cell r="D228" t="str">
            <v>1411 General Expenses</v>
          </cell>
          <cell r="E228" t="str">
            <v>Expats Permits</v>
          </cell>
          <cell r="F228" t="str">
            <v>Expats Permits</v>
          </cell>
          <cell r="G228" t="str">
            <v>Expats Permits</v>
          </cell>
        </row>
        <row r="229">
          <cell r="B229" t="str">
            <v>14.11.27</v>
          </cell>
          <cell r="C229" t="str">
            <v>14 Admin &amp; Infrastructure</v>
          </cell>
          <cell r="D229" t="str">
            <v>1411 General Expenses</v>
          </cell>
          <cell r="E229" t="str">
            <v>Other (stationary, tea/coffee, water, etc)</v>
          </cell>
          <cell r="F229" t="str">
            <v>Other (stationary, tea/coffee, water, etc)</v>
          </cell>
          <cell r="G229" t="str">
            <v>Other (stationary, tea/coffee, water, etc)</v>
          </cell>
        </row>
        <row r="230">
          <cell r="B230" t="str">
            <v>14.11.28</v>
          </cell>
          <cell r="C230" t="str">
            <v>14 Admin &amp; Infrastructure</v>
          </cell>
          <cell r="D230" t="str">
            <v>1411 General Expenses</v>
          </cell>
          <cell r="E230" t="str">
            <v>Medical Expenses</v>
          </cell>
          <cell r="F230" t="str">
            <v>Medical Expenses</v>
          </cell>
          <cell r="G230" t="str">
            <v>Medical expenses &amp; Medicines</v>
          </cell>
        </row>
        <row r="231">
          <cell r="B231" t="str">
            <v>14.11.29</v>
          </cell>
          <cell r="C231" t="str">
            <v>14 Admin &amp; Infrastructure</v>
          </cell>
          <cell r="D231" t="str">
            <v>1411 General Expenses</v>
          </cell>
          <cell r="E231" t="str">
            <v>Safety elements</v>
          </cell>
          <cell r="F231" t="str">
            <v>Safety elements</v>
          </cell>
          <cell r="G231" t="str">
            <v>Safety elements</v>
          </cell>
        </row>
        <row r="232">
          <cell r="B232" t="str">
            <v>14.12</v>
          </cell>
          <cell r="C232" t="str">
            <v>14 Admin &amp; Infrastructure</v>
          </cell>
          <cell r="D232" t="str">
            <v>1412 Power</v>
          </cell>
          <cell r="E232" t="str">
            <v>Power</v>
          </cell>
          <cell r="F232" t="str">
            <v>Power</v>
          </cell>
          <cell r="G232" t="str">
            <v>Power</v>
          </cell>
        </row>
        <row r="233">
          <cell r="B233" t="str">
            <v>14.13.10</v>
          </cell>
          <cell r="C233" t="str">
            <v>14 Admin &amp; Infrastructure</v>
          </cell>
          <cell r="D233" t="str">
            <v>1413 Contracted Services</v>
          </cell>
          <cell r="E233" t="str">
            <v>Carbofood Cleaning Services</v>
          </cell>
          <cell r="F233" t="str">
            <v>Carbofood Cleaning Services</v>
          </cell>
          <cell r="G233" t="str">
            <v>Carbofood Cleaning Services</v>
          </cell>
        </row>
        <row r="234">
          <cell r="B234" t="str">
            <v>14.13.11</v>
          </cell>
          <cell r="C234" t="str">
            <v>14 Admin &amp; Infrastructure</v>
          </cell>
          <cell r="D234" t="str">
            <v>1413 Contracted Services</v>
          </cell>
          <cell r="E234" t="str">
            <v>Meals</v>
          </cell>
          <cell r="F234" t="str">
            <v>Meals</v>
          </cell>
          <cell r="G234" t="str">
            <v>Meals</v>
          </cell>
        </row>
        <row r="235">
          <cell r="B235" t="str">
            <v>14.13.12</v>
          </cell>
          <cell r="C235" t="str">
            <v>14 Admin &amp; Infrastructure</v>
          </cell>
          <cell r="D235" t="str">
            <v>1413 Contracted Services</v>
          </cell>
          <cell r="E235" t="str">
            <v>Temporary Employees</v>
          </cell>
          <cell r="F235" t="str">
            <v>Temporary Employees</v>
          </cell>
          <cell r="G235" t="str">
            <v>Temporary Employees</v>
          </cell>
        </row>
        <row r="236">
          <cell r="B236" t="str">
            <v>14.13.13</v>
          </cell>
          <cell r="C236" t="str">
            <v>14 Admin &amp; Infrastructure</v>
          </cell>
          <cell r="D236" t="str">
            <v>1413 Contracted Services</v>
          </cell>
          <cell r="E236" t="str">
            <v>Electricity (separate cost item)</v>
          </cell>
          <cell r="F236" t="str">
            <v>Electricity (separate cost item)</v>
          </cell>
          <cell r="G236" t="str">
            <v>Electricity (separate cost item)</v>
          </cell>
        </row>
        <row r="237">
          <cell r="B237" t="str">
            <v>14.13.14</v>
          </cell>
          <cell r="C237" t="str">
            <v>14 Admin &amp; Infrastructure</v>
          </cell>
          <cell r="D237" t="str">
            <v>1413 Contracted Services</v>
          </cell>
          <cell r="E237" t="str">
            <v>Telephone &amp; mobiles</v>
          </cell>
          <cell r="F237" t="str">
            <v>Telephone &amp; mobiles</v>
          </cell>
          <cell r="G237" t="str">
            <v>Telephone &amp; mobiles</v>
          </cell>
        </row>
        <row r="238">
          <cell r="B238" t="str">
            <v>14.13.15</v>
          </cell>
          <cell r="C238" t="str">
            <v>14 Admin &amp; Infrastructure</v>
          </cell>
          <cell r="D238" t="str">
            <v>1413 Contracted Services</v>
          </cell>
          <cell r="E238" t="str">
            <v>Internet mail service</v>
          </cell>
          <cell r="F238" t="str">
            <v>Internet mail service</v>
          </cell>
          <cell r="G238" t="str">
            <v>Internet mail service</v>
          </cell>
        </row>
        <row r="239">
          <cell r="B239" t="str">
            <v>14.13.16</v>
          </cell>
          <cell r="C239" t="str">
            <v>14 Admin &amp; Infrastructure</v>
          </cell>
          <cell r="D239" t="str">
            <v>1413 Contracted Services</v>
          </cell>
          <cell r="E239" t="str">
            <v>Transport of Employees</v>
          </cell>
          <cell r="F239" t="str">
            <v>Transport of Employees</v>
          </cell>
          <cell r="G239" t="str">
            <v>Transport of Employees</v>
          </cell>
        </row>
        <row r="240">
          <cell r="B240" t="str">
            <v>14.13.17</v>
          </cell>
          <cell r="C240" t="str">
            <v>14 Admin &amp; Infrastructure</v>
          </cell>
          <cell r="D240" t="str">
            <v>1413 Contracted Services</v>
          </cell>
          <cell r="E240" t="str">
            <v>Transport of Materials</v>
          </cell>
          <cell r="F240" t="str">
            <v>Transport of Materials</v>
          </cell>
          <cell r="G240" t="str">
            <v>Transport of Materials</v>
          </cell>
        </row>
        <row r="241">
          <cell r="B241" t="str">
            <v>14.13.18</v>
          </cell>
          <cell r="C241" t="str">
            <v>14 Admin &amp; Infrastructure</v>
          </cell>
          <cell r="D241" t="str">
            <v>1413 Contracted Services</v>
          </cell>
          <cell r="E241" t="str">
            <v>EIS fees</v>
          </cell>
          <cell r="F241" t="str">
            <v>EIS fees</v>
          </cell>
          <cell r="G241" t="str">
            <v>EIS fees</v>
          </cell>
        </row>
        <row r="242">
          <cell r="B242" t="str">
            <v>14.13.19</v>
          </cell>
          <cell r="C242" t="str">
            <v>14 Admin &amp; Infrastructure</v>
          </cell>
          <cell r="D242" t="str">
            <v>1413 Contracted Services</v>
          </cell>
          <cell r="E242" t="str">
            <v>Airplane</v>
          </cell>
          <cell r="F242" t="str">
            <v>Airplane</v>
          </cell>
          <cell r="G242" t="str">
            <v>Airplane</v>
          </cell>
        </row>
        <row r="243">
          <cell r="B243" t="str">
            <v>14.13.20</v>
          </cell>
          <cell r="C243" t="str">
            <v>14 Admin &amp; Infrastructure</v>
          </cell>
          <cell r="D243" t="str">
            <v>1413 Contracted Services</v>
          </cell>
          <cell r="E243" t="str">
            <v>Freight Services</v>
          </cell>
          <cell r="F243" t="str">
            <v>Freight Services</v>
          </cell>
          <cell r="G243" t="str">
            <v>Freight Services</v>
          </cell>
        </row>
        <row r="244">
          <cell r="B244" t="str">
            <v>14.13.21</v>
          </cell>
          <cell r="C244" t="str">
            <v>14 Admin &amp; Infrastructure</v>
          </cell>
          <cell r="D244" t="str">
            <v>1413 Contracted Services</v>
          </cell>
          <cell r="E244" t="str">
            <v>Other Services</v>
          </cell>
          <cell r="F244" t="str">
            <v>Other Services</v>
          </cell>
          <cell r="G244" t="str">
            <v>Other Services</v>
          </cell>
        </row>
        <row r="245">
          <cell r="B245" t="str">
            <v>15.11</v>
          </cell>
          <cell r="C245" t="str">
            <v>15 Contractor</v>
          </cell>
          <cell r="D245" t="str">
            <v>1511 Contractor Margin</v>
          </cell>
          <cell r="E245" t="str">
            <v>Contractor Margin</v>
          </cell>
          <cell r="F245" t="str">
            <v>Contractor Margin</v>
          </cell>
          <cell r="G245" t="str">
            <v>Contractor Margin</v>
          </cell>
        </row>
        <row r="246">
          <cell r="B246" t="str">
            <v>15.14</v>
          </cell>
          <cell r="C246" t="str">
            <v>15 Contractor</v>
          </cell>
          <cell r="D246" t="str">
            <v>1514 Mobilisation of Equipment</v>
          </cell>
          <cell r="E246" t="str">
            <v>Mobilisation of Equipment</v>
          </cell>
          <cell r="F246" t="str">
            <v>Mobilisation of Equipment</v>
          </cell>
          <cell r="G246" t="str">
            <v>Mobilisation of Equipment</v>
          </cell>
        </row>
        <row r="247">
          <cell r="B247" t="str">
            <v>15.12</v>
          </cell>
          <cell r="C247" t="str">
            <v>15 Contractor</v>
          </cell>
          <cell r="D247" t="str">
            <v>1512 Contractor Ratio</v>
          </cell>
          <cell r="E247" t="str">
            <v>Contractor Ratio</v>
          </cell>
          <cell r="F247" t="str">
            <v>Contractor Ratio</v>
          </cell>
          <cell r="G247" t="str">
            <v>Contractor Ratio</v>
          </cell>
        </row>
        <row r="248">
          <cell r="B248" t="str">
            <v>16.11</v>
          </cell>
          <cell r="C248" t="str">
            <v>16 Rail &amp; Transport</v>
          </cell>
          <cell r="D248" t="str">
            <v>1611 Labour</v>
          </cell>
          <cell r="E248" t="str">
            <v>Labour</v>
          </cell>
          <cell r="F248" t="str">
            <v>Labour</v>
          </cell>
          <cell r="G248" t="str">
            <v>Labour</v>
          </cell>
        </row>
        <row r="249">
          <cell r="B249" t="str">
            <v>16.12</v>
          </cell>
          <cell r="C249" t="str">
            <v>16 Rail &amp; Transport</v>
          </cell>
          <cell r="D249" t="str">
            <v>1612 General Expenses</v>
          </cell>
          <cell r="E249" t="str">
            <v>General Expenses</v>
          </cell>
          <cell r="F249" t="str">
            <v>General Expenses</v>
          </cell>
          <cell r="G249" t="str">
            <v>General Expenses</v>
          </cell>
        </row>
        <row r="250">
          <cell r="B250" t="str">
            <v>16.13</v>
          </cell>
          <cell r="C250" t="str">
            <v>16 Rail &amp; Transport</v>
          </cell>
          <cell r="D250" t="str">
            <v>1613 Fuel &amp; Lub</v>
          </cell>
          <cell r="E250" t="str">
            <v>Fuel &amp; Lub</v>
          </cell>
          <cell r="F250" t="str">
            <v>Fuel &amp; Lub</v>
          </cell>
          <cell r="G250" t="str">
            <v>Fuel &amp; Lub</v>
          </cell>
        </row>
        <row r="251">
          <cell r="B251" t="str">
            <v>16.14</v>
          </cell>
          <cell r="C251" t="str">
            <v>16 Rail &amp; Transport</v>
          </cell>
          <cell r="D251" t="str">
            <v>1614 Spare Parts</v>
          </cell>
          <cell r="E251" t="str">
            <v>Spare Parts</v>
          </cell>
          <cell r="F251" t="str">
            <v>Spare Parts</v>
          </cell>
          <cell r="G251" t="str">
            <v>Spare Parts</v>
          </cell>
        </row>
        <row r="252">
          <cell r="B252" t="str">
            <v>16.15</v>
          </cell>
          <cell r="C252" t="str">
            <v>16 Rail &amp; Transport</v>
          </cell>
          <cell r="D252" t="str">
            <v>1615 Trasnport</v>
          </cell>
          <cell r="E252" t="str">
            <v>Transport</v>
          </cell>
          <cell r="F252" t="str">
            <v>Transport</v>
          </cell>
          <cell r="G252" t="str">
            <v>Transport</v>
          </cell>
        </row>
        <row r="253">
          <cell r="B253" t="str">
            <v>16.16</v>
          </cell>
          <cell r="C253" t="str">
            <v>16 Rail &amp; Transport</v>
          </cell>
          <cell r="D253" t="str">
            <v>1616 Contracted Services</v>
          </cell>
          <cell r="E253" t="str">
            <v>Contracted Services</v>
          </cell>
          <cell r="F253" t="str">
            <v>Contracted Services</v>
          </cell>
          <cell r="G253" t="str">
            <v>Contracted Services</v>
          </cell>
        </row>
        <row r="254">
          <cell r="B254" t="str">
            <v>16.20</v>
          </cell>
          <cell r="C254" t="str">
            <v>16 Rail &amp; Transport</v>
          </cell>
          <cell r="D254" t="str">
            <v>1616 Contracted Services</v>
          </cell>
          <cell r="E254" t="str">
            <v>Road Maintenance</v>
          </cell>
          <cell r="F254" t="str">
            <v>Road Maintenance</v>
          </cell>
          <cell r="G254" t="str">
            <v xml:space="preserve">La Loma - Plan Bonito Road </v>
          </cell>
        </row>
        <row r="255">
          <cell r="B255" t="str">
            <v>17.11</v>
          </cell>
          <cell r="C255" t="str">
            <v>17 Port</v>
          </cell>
          <cell r="D255" t="str">
            <v>1711 Labour</v>
          </cell>
          <cell r="E255" t="str">
            <v>Labour</v>
          </cell>
          <cell r="F255" t="str">
            <v>Labour</v>
          </cell>
          <cell r="G255" t="str">
            <v>Labour</v>
          </cell>
        </row>
        <row r="256">
          <cell r="B256" t="str">
            <v>17.12</v>
          </cell>
          <cell r="C256" t="str">
            <v>17 Port</v>
          </cell>
          <cell r="D256" t="str">
            <v>1712 Fuel &amp; Lub</v>
          </cell>
          <cell r="E256" t="str">
            <v>Fuel &amp; Lub</v>
          </cell>
          <cell r="F256" t="str">
            <v>Fuel &amp; Lub</v>
          </cell>
          <cell r="G256" t="str">
            <v>Fuel &amp; Lub</v>
          </cell>
        </row>
        <row r="257">
          <cell r="B257" t="str">
            <v>17.13</v>
          </cell>
          <cell r="C257" t="str">
            <v>17 Port</v>
          </cell>
          <cell r="D257" t="str">
            <v>1713 Power</v>
          </cell>
          <cell r="E257" t="str">
            <v>Power</v>
          </cell>
          <cell r="F257" t="str">
            <v>Power</v>
          </cell>
          <cell r="G257" t="str">
            <v>Power</v>
          </cell>
        </row>
        <row r="258">
          <cell r="B258" t="str">
            <v>17.14</v>
          </cell>
          <cell r="C258" t="str">
            <v>17 Port</v>
          </cell>
          <cell r="D258" t="str">
            <v>1714 Spare Parts</v>
          </cell>
          <cell r="E258" t="str">
            <v>Spare Parts</v>
          </cell>
          <cell r="F258" t="str">
            <v>Spare Parts</v>
          </cell>
          <cell r="G258" t="str">
            <v>Spare Parts</v>
          </cell>
        </row>
        <row r="259">
          <cell r="B259" t="str">
            <v>17.15</v>
          </cell>
          <cell r="C259" t="str">
            <v>17 Port</v>
          </cell>
          <cell r="D259" t="str">
            <v>1715 Port - Calenturitas</v>
          </cell>
          <cell r="E259" t="str">
            <v>Port - Calenturitas</v>
          </cell>
          <cell r="F259" t="str">
            <v>Port - Calenturitas</v>
          </cell>
          <cell r="G259" t="str">
            <v>Port - Calenturitas</v>
          </cell>
        </row>
        <row r="260">
          <cell r="B260" t="str">
            <v>17.16</v>
          </cell>
          <cell r="C260" t="str">
            <v>17 Port</v>
          </cell>
          <cell r="D260" t="str">
            <v>1716 Port Buy-Ins</v>
          </cell>
          <cell r="E260" t="str">
            <v>Port Buy-Ins</v>
          </cell>
          <cell r="F260" t="str">
            <v>Port Buy-Ins</v>
          </cell>
          <cell r="G260" t="str">
            <v>Port Buy-Ins</v>
          </cell>
        </row>
        <row r="261">
          <cell r="B261" t="str">
            <v>17.17</v>
          </cell>
          <cell r="C261" t="str">
            <v>17 Port</v>
          </cell>
          <cell r="D261" t="str">
            <v>1717 Tarriff</v>
          </cell>
          <cell r="E261" t="str">
            <v>Tarriff</v>
          </cell>
          <cell r="F261" t="str">
            <v>Tarriff</v>
          </cell>
          <cell r="G261" t="str">
            <v>Tarriff</v>
          </cell>
        </row>
        <row r="262">
          <cell r="B262" t="str">
            <v>17.18</v>
          </cell>
          <cell r="C262" t="str">
            <v>17 Port</v>
          </cell>
          <cell r="D262" t="str">
            <v>1718 Demurrage</v>
          </cell>
          <cell r="E262" t="str">
            <v>Demurrage</v>
          </cell>
          <cell r="F262" t="str">
            <v>Demurrage</v>
          </cell>
          <cell r="G262" t="str">
            <v>Demurrage</v>
          </cell>
        </row>
        <row r="263">
          <cell r="B263" t="str">
            <v>17.19</v>
          </cell>
          <cell r="C263" t="str">
            <v>17 Port</v>
          </cell>
          <cell r="D263" t="str">
            <v>1719 General Expenses</v>
          </cell>
          <cell r="E263" t="str">
            <v>General Expenses</v>
          </cell>
          <cell r="F263" t="str">
            <v>General Expenses</v>
          </cell>
          <cell r="G263" t="str">
            <v>General Expenses</v>
          </cell>
        </row>
        <row r="264">
          <cell r="B264" t="str">
            <v>17.20</v>
          </cell>
          <cell r="C264" t="str">
            <v>17 Port</v>
          </cell>
          <cell r="D264" t="str">
            <v>1720 Contracted Services</v>
          </cell>
          <cell r="E264" t="str">
            <v>Contracted Services</v>
          </cell>
          <cell r="F264" t="str">
            <v>Contracted Services</v>
          </cell>
          <cell r="G264" t="str">
            <v>Contracted Services</v>
          </cell>
        </row>
        <row r="265">
          <cell r="B265" t="str">
            <v>18.11</v>
          </cell>
          <cell r="C265" t="str">
            <v>18 Royalty</v>
          </cell>
          <cell r="D265" t="str">
            <v>1811 Labour</v>
          </cell>
          <cell r="E265" t="str">
            <v>Labour</v>
          </cell>
          <cell r="F265" t="str">
            <v>Labour</v>
          </cell>
          <cell r="G265" t="str">
            <v>Labour</v>
          </cell>
        </row>
        <row r="266">
          <cell r="B266" t="str">
            <v>18.12</v>
          </cell>
          <cell r="C266" t="str">
            <v>18 Royalty</v>
          </cell>
          <cell r="D266" t="str">
            <v>1812 Royalty</v>
          </cell>
          <cell r="E266" t="str">
            <v xml:space="preserve">Royalty </v>
          </cell>
          <cell r="F266" t="str">
            <v>Royalty</v>
          </cell>
          <cell r="G266" t="str">
            <v>Royalty</v>
          </cell>
        </row>
        <row r="267">
          <cell r="B267" t="str">
            <v>19.11</v>
          </cell>
          <cell r="C267" t="str">
            <v>19 Prodeco Head Office &amp; Marketing</v>
          </cell>
          <cell r="D267" t="str">
            <v>1911 Labor</v>
          </cell>
          <cell r="E267" t="str">
            <v>Labour</v>
          </cell>
          <cell r="F267" t="str">
            <v>Labour</v>
          </cell>
          <cell r="G267" t="str">
            <v>Labour</v>
          </cell>
        </row>
        <row r="268">
          <cell r="B268" t="str">
            <v>19.12</v>
          </cell>
          <cell r="C268" t="str">
            <v>19 Prodeco Head Office &amp; Marketing</v>
          </cell>
          <cell r="D268" t="str">
            <v>1912 Security</v>
          </cell>
          <cell r="E268" t="str">
            <v>Security</v>
          </cell>
          <cell r="F268" t="str">
            <v>Security</v>
          </cell>
          <cell r="G268" t="str">
            <v>Security</v>
          </cell>
        </row>
        <row r="269">
          <cell r="B269" t="str">
            <v>19.12.10.10.10</v>
          </cell>
          <cell r="C269" t="str">
            <v>19 Prodeco Head Office &amp; Marketing</v>
          </cell>
          <cell r="D269" t="str">
            <v>1912 Security</v>
          </cell>
          <cell r="E269" t="str">
            <v>Mine</v>
          </cell>
          <cell r="F269" t="str">
            <v>Salaries &amp; Wages</v>
          </cell>
          <cell r="G269" t="str">
            <v>Salaries &amp; Wages</v>
          </cell>
        </row>
        <row r="270">
          <cell r="B270" t="str">
            <v>19.12.10.11.11</v>
          </cell>
          <cell r="C270" t="str">
            <v>19 Prodeco Head Office &amp; Marketing</v>
          </cell>
          <cell r="D270" t="str">
            <v>1912 Security</v>
          </cell>
          <cell r="E270" t="str">
            <v>Mine</v>
          </cell>
          <cell r="F270" t="str">
            <v>Fees</v>
          </cell>
          <cell r="G270" t="str">
            <v>Consulting Technical</v>
          </cell>
        </row>
        <row r="271">
          <cell r="B271" t="str">
            <v>19.12.10.11.10</v>
          </cell>
          <cell r="C271" t="str">
            <v>19 Prodeco Head Office &amp; Marketing</v>
          </cell>
          <cell r="D271" t="str">
            <v>1912 Security</v>
          </cell>
          <cell r="E271" t="str">
            <v>Mine</v>
          </cell>
          <cell r="F271" t="str">
            <v>Fees</v>
          </cell>
          <cell r="G271" t="str">
            <v>Consulting Fees</v>
          </cell>
        </row>
        <row r="272">
          <cell r="B272" t="str">
            <v>19.12.10.12.10</v>
          </cell>
          <cell r="C272" t="str">
            <v>19 Prodeco Head Office &amp; Marketing</v>
          </cell>
          <cell r="D272" t="str">
            <v>1912 Security</v>
          </cell>
          <cell r="E272" t="str">
            <v>Mine</v>
          </cell>
          <cell r="F272" t="str">
            <v>Taxes &amp; Contributions</v>
          </cell>
          <cell r="G272" t="str">
            <v>Taxes</v>
          </cell>
        </row>
        <row r="273">
          <cell r="B273" t="str">
            <v>19.12.10.12.11</v>
          </cell>
          <cell r="C273" t="str">
            <v>19 Prodeco Head Office &amp; Marketing</v>
          </cell>
          <cell r="D273" t="str">
            <v>1912 Security</v>
          </cell>
          <cell r="E273" t="str">
            <v>Mine</v>
          </cell>
          <cell r="F273" t="str">
            <v>Taxes &amp; Contributions</v>
          </cell>
          <cell r="G273" t="str">
            <v>Contributions (Army Contract)</v>
          </cell>
        </row>
        <row r="274">
          <cell r="B274" t="str">
            <v>19.12.10.13.10</v>
          </cell>
          <cell r="C274" t="str">
            <v>19 Prodeco Head Office &amp; Marketing</v>
          </cell>
          <cell r="D274" t="str">
            <v>1912 Security</v>
          </cell>
          <cell r="E274" t="str">
            <v>Mine</v>
          </cell>
          <cell r="F274" t="str">
            <v>Equipment Rentals</v>
          </cell>
          <cell r="G274" t="str">
            <v>Vehicle Rental</v>
          </cell>
        </row>
        <row r="275">
          <cell r="B275" t="str">
            <v>19.12.10.13.11</v>
          </cell>
          <cell r="C275" t="str">
            <v>19 Prodeco Head Office &amp; Marketing</v>
          </cell>
          <cell r="D275" t="str">
            <v>1912 Security</v>
          </cell>
          <cell r="E275" t="str">
            <v>Mine</v>
          </cell>
          <cell r="F275" t="str">
            <v>Equipment Rentals</v>
          </cell>
          <cell r="G275" t="str">
            <v>Communications</v>
          </cell>
        </row>
        <row r="276">
          <cell r="B276" t="str">
            <v>19.12.10.13.12</v>
          </cell>
          <cell r="C276" t="str">
            <v>19 Prodeco Head Office &amp; Marketing</v>
          </cell>
          <cell r="D276" t="str">
            <v>1912 Security</v>
          </cell>
          <cell r="E276" t="str">
            <v>Mine</v>
          </cell>
          <cell r="F276" t="str">
            <v>Equipment Rentals</v>
          </cell>
          <cell r="G276" t="str">
            <v>Fleet &amp; Transport (Aircraft)</v>
          </cell>
        </row>
        <row r="277">
          <cell r="B277" t="str">
            <v>19.12.10.13.13</v>
          </cell>
          <cell r="C277" t="str">
            <v>19 Prodeco Head Office &amp; Marketing</v>
          </cell>
          <cell r="D277" t="str">
            <v>1912 Security</v>
          </cell>
          <cell r="E277" t="str">
            <v>Mine</v>
          </cell>
          <cell r="F277" t="str">
            <v>Equipment Rentals</v>
          </cell>
          <cell r="G277" t="str">
            <v>Vehicle repairs</v>
          </cell>
        </row>
        <row r="278">
          <cell r="B278" t="str">
            <v>19.12.10.14.10</v>
          </cell>
          <cell r="C278" t="str">
            <v>19 Prodeco Head Office &amp; Marketing</v>
          </cell>
          <cell r="D278" t="str">
            <v>1912 Security</v>
          </cell>
          <cell r="E278" t="str">
            <v>Mine</v>
          </cell>
          <cell r="F278" t="str">
            <v>Services</v>
          </cell>
          <cell r="G278" t="str">
            <v>Telephone &amp; Cellular</v>
          </cell>
        </row>
        <row r="279">
          <cell r="B279" t="str">
            <v>19.12.10.14.11</v>
          </cell>
          <cell r="C279" t="str">
            <v>19 Prodeco Head Office &amp; Marketing</v>
          </cell>
          <cell r="D279" t="str">
            <v>1912 Security</v>
          </cell>
          <cell r="E279" t="str">
            <v>Mine</v>
          </cell>
          <cell r="F279" t="str">
            <v>Services</v>
          </cell>
          <cell r="G279" t="str">
            <v>Courier</v>
          </cell>
        </row>
        <row r="280">
          <cell r="B280" t="str">
            <v>19.12.10.14.12</v>
          </cell>
          <cell r="C280" t="str">
            <v>19 Prodeco Head Office &amp; Marketing</v>
          </cell>
          <cell r="D280" t="str">
            <v>1912 Security</v>
          </cell>
          <cell r="E280" t="str">
            <v>Mine</v>
          </cell>
          <cell r="F280" t="str">
            <v>Services</v>
          </cell>
          <cell r="G280" t="str">
            <v>Contracted Services (Colviseg)</v>
          </cell>
        </row>
        <row r="281">
          <cell r="B281" t="str">
            <v>19.12.10.14.13</v>
          </cell>
          <cell r="C281" t="str">
            <v>19 Prodeco Head Office &amp; Marketing</v>
          </cell>
          <cell r="D281" t="str">
            <v>1912 Security</v>
          </cell>
          <cell r="E281" t="str">
            <v>Mine</v>
          </cell>
          <cell r="F281" t="str">
            <v>Services</v>
          </cell>
          <cell r="G281" t="str">
            <v>Contracted Services (Searca)</v>
          </cell>
        </row>
        <row r="282">
          <cell r="B282" t="str">
            <v>19.12.10.15.10</v>
          </cell>
          <cell r="C282" t="str">
            <v>19 Prodeco Head Office &amp; Marketing</v>
          </cell>
          <cell r="D282" t="str">
            <v>1912 Security</v>
          </cell>
          <cell r="E282" t="str">
            <v>Mine</v>
          </cell>
          <cell r="F282" t="str">
            <v>Maintenance &amp; Repairs</v>
          </cell>
          <cell r="G282" t="str">
            <v>Maintenance &amp; Repairs</v>
          </cell>
        </row>
        <row r="283">
          <cell r="B283" t="str">
            <v>19.12.10.15.11</v>
          </cell>
          <cell r="C283" t="str">
            <v>19 Prodeco Head Office &amp; Marketing</v>
          </cell>
          <cell r="D283" t="str">
            <v>1912 Security</v>
          </cell>
          <cell r="E283" t="str">
            <v>Mine</v>
          </cell>
          <cell r="F283" t="str">
            <v>Maintenance &amp; Repairs</v>
          </cell>
          <cell r="G283" t="str">
            <v>Fleet &amp; Transport Equipment</v>
          </cell>
        </row>
        <row r="284">
          <cell r="B284" t="str">
            <v>19.12.10.15.12</v>
          </cell>
          <cell r="C284" t="str">
            <v>19 Prodeco Head Office &amp; Marketing</v>
          </cell>
          <cell r="D284" t="str">
            <v>1912 Security</v>
          </cell>
          <cell r="E284" t="str">
            <v>Mine</v>
          </cell>
          <cell r="F284" t="str">
            <v>Maintenance &amp; Repairs</v>
          </cell>
          <cell r="G284" t="str">
            <v>Office Equipment</v>
          </cell>
        </row>
        <row r="285">
          <cell r="B285" t="str">
            <v>19.12.10.15.13</v>
          </cell>
          <cell r="C285" t="str">
            <v>19 Prodeco Head Office &amp; Marketing</v>
          </cell>
          <cell r="D285" t="str">
            <v>1912 Security</v>
          </cell>
          <cell r="E285" t="str">
            <v>Mine</v>
          </cell>
          <cell r="F285" t="str">
            <v>Maintenance &amp; Repairs</v>
          </cell>
          <cell r="G285" t="str">
            <v>Maintenance Computers &amp; Communications</v>
          </cell>
        </row>
        <row r="286">
          <cell r="B286" t="str">
            <v>19.12.10.15.14</v>
          </cell>
          <cell r="C286" t="str">
            <v>19 Prodeco Head Office &amp; Marketing</v>
          </cell>
          <cell r="D286" t="str">
            <v>1912 Security</v>
          </cell>
          <cell r="E286" t="str">
            <v>Mine</v>
          </cell>
          <cell r="F286" t="str">
            <v>Maintenance &amp; Repairs</v>
          </cell>
          <cell r="G286" t="str">
            <v>Maintenance Arms</v>
          </cell>
        </row>
        <row r="287">
          <cell r="B287" t="str">
            <v>19.12.10.16.10</v>
          </cell>
          <cell r="C287" t="str">
            <v>19 Prodeco Head Office &amp; Marketing</v>
          </cell>
          <cell r="D287" t="str">
            <v>1912 Security</v>
          </cell>
          <cell r="E287" t="str">
            <v>Mine</v>
          </cell>
          <cell r="F287" t="str">
            <v>Office Maintenance</v>
          </cell>
          <cell r="G287" t="str">
            <v>Locative Maintenance</v>
          </cell>
        </row>
        <row r="288">
          <cell r="B288" t="str">
            <v>19.12.10.17.10</v>
          </cell>
          <cell r="C288" t="str">
            <v>19 Prodeco Head Office &amp; Marketing</v>
          </cell>
          <cell r="D288" t="str">
            <v>1912 Security</v>
          </cell>
          <cell r="E288" t="str">
            <v>Mine</v>
          </cell>
          <cell r="F288" t="str">
            <v>Travel Expenses</v>
          </cell>
          <cell r="G288" t="str">
            <v>Accommodation &amp; Hotels</v>
          </cell>
        </row>
        <row r="289">
          <cell r="B289" t="str">
            <v>19.12.10.18.10</v>
          </cell>
          <cell r="C289" t="str">
            <v>19 Prodeco Head Office &amp; Marketing</v>
          </cell>
          <cell r="D289" t="str">
            <v>1912 Security</v>
          </cell>
          <cell r="E289" t="str">
            <v>Mine</v>
          </cell>
          <cell r="F289" t="str">
            <v>Other Expenses</v>
          </cell>
          <cell r="G289" t="str">
            <v>Subcriptions</v>
          </cell>
        </row>
        <row r="290">
          <cell r="B290" t="str">
            <v>19.12.10.18.11</v>
          </cell>
          <cell r="C290" t="str">
            <v>19 Prodeco Head Office &amp; Marketing</v>
          </cell>
          <cell r="D290" t="str">
            <v>1912 Security</v>
          </cell>
          <cell r="E290" t="str">
            <v>Mine</v>
          </cell>
          <cell r="F290" t="str">
            <v>Other Expenses</v>
          </cell>
          <cell r="G290" t="str">
            <v>Fuel</v>
          </cell>
        </row>
        <row r="291">
          <cell r="B291" t="str">
            <v>19.12.10.18.12</v>
          </cell>
          <cell r="C291" t="str">
            <v>19 Prodeco Head Office &amp; Marketing</v>
          </cell>
          <cell r="D291" t="str">
            <v>1912 Security</v>
          </cell>
          <cell r="E291" t="str">
            <v>Mine</v>
          </cell>
          <cell r="F291" t="str">
            <v>Other Expenses</v>
          </cell>
          <cell r="G291" t="str">
            <v>Meals (incl in camp cost)</v>
          </cell>
        </row>
        <row r="292">
          <cell r="B292" t="str">
            <v>19.12.10.18.13</v>
          </cell>
          <cell r="C292" t="str">
            <v>19 Prodeco Head Office &amp; Marketing</v>
          </cell>
          <cell r="D292" t="str">
            <v>1912 Security</v>
          </cell>
          <cell r="E292" t="str">
            <v>Mine</v>
          </cell>
          <cell r="F292" t="str">
            <v>Other Expenses</v>
          </cell>
          <cell r="G292" t="str">
            <v>Training</v>
          </cell>
        </row>
        <row r="293">
          <cell r="B293" t="str">
            <v>19.12.10.18.14</v>
          </cell>
          <cell r="C293" t="str">
            <v>19 Prodeco Head Office &amp; Marketing</v>
          </cell>
          <cell r="D293" t="str">
            <v>1912 Security</v>
          </cell>
          <cell r="E293" t="str">
            <v>Mine</v>
          </cell>
          <cell r="F293" t="str">
            <v>Other Expenses</v>
          </cell>
          <cell r="G293" t="str">
            <v>Taxis &amp; Buses</v>
          </cell>
        </row>
        <row r="294">
          <cell r="B294" t="str">
            <v>19.12.10.18.15</v>
          </cell>
          <cell r="C294" t="str">
            <v>19 Prodeco Head Office &amp; Marketing</v>
          </cell>
          <cell r="D294" t="str">
            <v>1912 Security</v>
          </cell>
          <cell r="E294" t="str">
            <v>Mine</v>
          </cell>
          <cell r="F294" t="str">
            <v>Other Expenses</v>
          </cell>
          <cell r="G294" t="str">
            <v>Other Minor</v>
          </cell>
        </row>
        <row r="295">
          <cell r="B295" t="str">
            <v>19.12.11.10.10</v>
          </cell>
          <cell r="C295" t="str">
            <v>19 Prodeco Head Office &amp; Marketing</v>
          </cell>
          <cell r="D295" t="str">
            <v>1912 Security</v>
          </cell>
          <cell r="E295" t="str">
            <v>Barranquilla</v>
          </cell>
          <cell r="F295" t="str">
            <v>Salaries &amp; Wages</v>
          </cell>
          <cell r="G295" t="str">
            <v>Salaries &amp; Wages</v>
          </cell>
        </row>
        <row r="296">
          <cell r="B296" t="str">
            <v>19.12.11.11.10</v>
          </cell>
          <cell r="C296" t="str">
            <v>19 Prodeco Head Office &amp; Marketing</v>
          </cell>
          <cell r="D296" t="str">
            <v>1912 Security</v>
          </cell>
          <cell r="E296" t="str">
            <v>Barranquilla</v>
          </cell>
          <cell r="F296" t="str">
            <v>Fees</v>
          </cell>
          <cell r="G296" t="str">
            <v>Consulting Fees</v>
          </cell>
        </row>
        <row r="297">
          <cell r="B297" t="str">
            <v>19.12.11.11.11</v>
          </cell>
          <cell r="C297" t="str">
            <v>19 Prodeco Head Office &amp; Marketing</v>
          </cell>
          <cell r="D297" t="str">
            <v>1912 Security</v>
          </cell>
          <cell r="E297" t="str">
            <v>Barranquilla</v>
          </cell>
          <cell r="F297" t="str">
            <v>Fees</v>
          </cell>
          <cell r="G297" t="str">
            <v>Consulting Technical</v>
          </cell>
        </row>
        <row r="298">
          <cell r="B298" t="str">
            <v>19.12.11.12.10</v>
          </cell>
          <cell r="C298" t="str">
            <v>19 Prodeco Head Office &amp; Marketing</v>
          </cell>
          <cell r="D298" t="str">
            <v>1912 Security</v>
          </cell>
          <cell r="E298" t="str">
            <v>Barranquilla</v>
          </cell>
          <cell r="F298" t="str">
            <v>Taxes &amp; Contributions</v>
          </cell>
          <cell r="G298" t="str">
            <v>Taxes</v>
          </cell>
        </row>
        <row r="299">
          <cell r="B299" t="str">
            <v>19.12.11.12.11</v>
          </cell>
          <cell r="C299" t="str">
            <v>19 Prodeco Head Office &amp; Marketing</v>
          </cell>
          <cell r="D299" t="str">
            <v>1912 Security</v>
          </cell>
          <cell r="E299" t="str">
            <v>Barranquilla</v>
          </cell>
          <cell r="F299" t="str">
            <v>Taxes &amp; Contributions</v>
          </cell>
          <cell r="G299" t="str">
            <v>Contributions</v>
          </cell>
        </row>
        <row r="300">
          <cell r="B300" t="str">
            <v>19.12.11.13.10</v>
          </cell>
          <cell r="C300" t="str">
            <v>19 Prodeco Head Office &amp; Marketing</v>
          </cell>
          <cell r="D300" t="str">
            <v>1912 Security</v>
          </cell>
          <cell r="E300" t="str">
            <v>Barranquilla</v>
          </cell>
          <cell r="F300" t="str">
            <v>Equipment Rentals</v>
          </cell>
          <cell r="G300" t="str">
            <v>Communications</v>
          </cell>
        </row>
        <row r="301">
          <cell r="B301" t="str">
            <v>19.12.11.13.11</v>
          </cell>
          <cell r="C301" t="str">
            <v>19 Prodeco Head Office &amp; Marketing</v>
          </cell>
          <cell r="D301" t="str">
            <v>1912 Security</v>
          </cell>
          <cell r="E301" t="str">
            <v>Barranquilla</v>
          </cell>
          <cell r="F301" t="str">
            <v>Equipment Rentals</v>
          </cell>
          <cell r="G301" t="str">
            <v>Fleet &amp; Transport</v>
          </cell>
        </row>
        <row r="302">
          <cell r="B302" t="str">
            <v>19.12.11.14.10</v>
          </cell>
          <cell r="C302" t="str">
            <v>19 Prodeco Head Office &amp; Marketing</v>
          </cell>
          <cell r="D302" t="str">
            <v>1912 Security</v>
          </cell>
          <cell r="E302" t="str">
            <v>Barranquilla</v>
          </cell>
          <cell r="F302" t="str">
            <v>Services</v>
          </cell>
          <cell r="G302" t="str">
            <v>Telephone &amp; Cellular</v>
          </cell>
        </row>
        <row r="303">
          <cell r="B303" t="str">
            <v>19.12.11.14.11</v>
          </cell>
          <cell r="C303" t="str">
            <v>19 Prodeco Head Office &amp; Marketing</v>
          </cell>
          <cell r="D303" t="str">
            <v>1912 Security</v>
          </cell>
          <cell r="E303" t="str">
            <v>Barranquilla</v>
          </cell>
          <cell r="F303" t="str">
            <v>Services</v>
          </cell>
          <cell r="G303" t="str">
            <v>Courier</v>
          </cell>
        </row>
        <row r="304">
          <cell r="B304" t="str">
            <v>19.12.11.14.12</v>
          </cell>
          <cell r="C304" t="str">
            <v>19 Prodeco Head Office &amp; Marketing</v>
          </cell>
          <cell r="D304" t="str">
            <v>1912 Security</v>
          </cell>
          <cell r="E304" t="str">
            <v>Barranquilla</v>
          </cell>
          <cell r="F304" t="str">
            <v>Services</v>
          </cell>
          <cell r="G304" t="str">
            <v>Contracted Services (Colviseg)</v>
          </cell>
        </row>
        <row r="305">
          <cell r="B305" t="str">
            <v>19.12.11.15.10</v>
          </cell>
          <cell r="C305" t="str">
            <v>19 Prodeco Head Office &amp; Marketing</v>
          </cell>
          <cell r="D305" t="str">
            <v>1912 Security</v>
          </cell>
          <cell r="E305" t="str">
            <v>Barranquilla</v>
          </cell>
          <cell r="F305" t="str">
            <v>Maintenance &amp; Repairs</v>
          </cell>
          <cell r="G305" t="str">
            <v>Maintenance &amp; Repairs</v>
          </cell>
        </row>
        <row r="306">
          <cell r="B306" t="str">
            <v>19.12.11.15.11</v>
          </cell>
          <cell r="C306" t="str">
            <v>19 Prodeco Head Office &amp; Marketing</v>
          </cell>
          <cell r="D306" t="str">
            <v>1912 Security</v>
          </cell>
          <cell r="E306" t="str">
            <v>Barranquilla</v>
          </cell>
          <cell r="F306" t="str">
            <v>Maintenance &amp; Repairs</v>
          </cell>
          <cell r="G306" t="str">
            <v>Fleet &amp; Transport Equipment</v>
          </cell>
        </row>
        <row r="307">
          <cell r="B307" t="str">
            <v>19.12.11.15.12</v>
          </cell>
          <cell r="C307" t="str">
            <v>19 Prodeco Head Office &amp; Marketing</v>
          </cell>
          <cell r="D307" t="str">
            <v>1912 Security</v>
          </cell>
          <cell r="E307" t="str">
            <v>Barranquilla</v>
          </cell>
          <cell r="F307" t="str">
            <v>Maintenance &amp; Repairs</v>
          </cell>
          <cell r="G307" t="str">
            <v>Office Equipment</v>
          </cell>
        </row>
        <row r="308">
          <cell r="B308" t="str">
            <v>19.12.11.15.13</v>
          </cell>
          <cell r="C308" t="str">
            <v>19 Prodeco Head Office &amp; Marketing</v>
          </cell>
          <cell r="D308" t="str">
            <v>1912 Security</v>
          </cell>
          <cell r="E308" t="str">
            <v>Barranquilla</v>
          </cell>
          <cell r="F308" t="str">
            <v>Maintenance &amp; Repairs</v>
          </cell>
          <cell r="G308" t="str">
            <v>Maintenance Computers &amp; Communications</v>
          </cell>
        </row>
        <row r="309">
          <cell r="B309" t="str">
            <v>19.12.11.15.14</v>
          </cell>
          <cell r="C309" t="str">
            <v>19 Prodeco Head Office &amp; Marketing</v>
          </cell>
          <cell r="D309" t="str">
            <v>1912 Security</v>
          </cell>
          <cell r="E309" t="str">
            <v>Barranquilla</v>
          </cell>
          <cell r="F309" t="str">
            <v>Maintenance &amp; Repairs</v>
          </cell>
          <cell r="G309" t="str">
            <v>Maintenance Arms</v>
          </cell>
        </row>
        <row r="310">
          <cell r="B310" t="str">
            <v>19.12.11.16.10</v>
          </cell>
          <cell r="C310" t="str">
            <v>19 Prodeco Head Office &amp; Marketing</v>
          </cell>
          <cell r="D310" t="str">
            <v>1912 Security</v>
          </cell>
          <cell r="E310" t="str">
            <v>Barranquilla</v>
          </cell>
          <cell r="F310" t="str">
            <v>Office Maintenance</v>
          </cell>
          <cell r="G310" t="str">
            <v>Locative Maintenance</v>
          </cell>
        </row>
        <row r="311">
          <cell r="B311" t="str">
            <v>19.12.11.17.10</v>
          </cell>
          <cell r="C311" t="str">
            <v>19 Prodeco Head Office &amp; Marketing</v>
          </cell>
          <cell r="D311" t="str">
            <v>1912 Security</v>
          </cell>
          <cell r="E311" t="str">
            <v>Barranquilla</v>
          </cell>
          <cell r="F311" t="str">
            <v>Travel Expenses</v>
          </cell>
          <cell r="G311" t="str">
            <v>Accommodations &amp; Hotels</v>
          </cell>
        </row>
        <row r="312">
          <cell r="B312" t="str">
            <v>19.12.11.18.10</v>
          </cell>
          <cell r="C312" t="str">
            <v>19 Prodeco Head Office &amp; Marketing</v>
          </cell>
          <cell r="D312" t="str">
            <v>1912 Security</v>
          </cell>
          <cell r="E312" t="str">
            <v>Barranquilla</v>
          </cell>
          <cell r="F312" t="str">
            <v>Other Expenses</v>
          </cell>
          <cell r="G312" t="str">
            <v>Subcriptions</v>
          </cell>
        </row>
        <row r="313">
          <cell r="B313" t="str">
            <v>19.12.11.18.11</v>
          </cell>
          <cell r="C313" t="str">
            <v>19 Prodeco Head Office &amp; Marketing</v>
          </cell>
          <cell r="D313" t="str">
            <v>1912 Security</v>
          </cell>
          <cell r="E313" t="str">
            <v>Barranquilla</v>
          </cell>
          <cell r="F313" t="str">
            <v>Other Expenses</v>
          </cell>
          <cell r="G313" t="str">
            <v>Fuel &amp; Lub</v>
          </cell>
        </row>
        <row r="314">
          <cell r="B314" t="str">
            <v>19.12.11.18.12</v>
          </cell>
          <cell r="C314" t="str">
            <v>19 Prodeco Head Office &amp; Marketing</v>
          </cell>
          <cell r="D314" t="str">
            <v>1912 Security</v>
          </cell>
          <cell r="E314" t="str">
            <v>Barranquilla</v>
          </cell>
          <cell r="F314" t="str">
            <v>Other Expenses</v>
          </cell>
          <cell r="G314" t="str">
            <v>Meals</v>
          </cell>
        </row>
        <row r="315">
          <cell r="B315" t="str">
            <v>19.12.11.18.13</v>
          </cell>
          <cell r="C315" t="str">
            <v>19 Prodeco Head Office &amp; Marketing</v>
          </cell>
          <cell r="D315" t="str">
            <v>1912 Security</v>
          </cell>
          <cell r="E315" t="str">
            <v>Barranquilla</v>
          </cell>
          <cell r="F315" t="str">
            <v>Other Expenses</v>
          </cell>
          <cell r="G315" t="str">
            <v>Training</v>
          </cell>
        </row>
        <row r="316">
          <cell r="B316" t="str">
            <v>19.12.11.18.14</v>
          </cell>
          <cell r="C316" t="str">
            <v>19 Prodeco Head Office &amp; Marketing</v>
          </cell>
          <cell r="D316" t="str">
            <v>1912 Security</v>
          </cell>
          <cell r="E316" t="str">
            <v>Barranquilla</v>
          </cell>
          <cell r="F316" t="str">
            <v>Other Expenses</v>
          </cell>
          <cell r="G316" t="str">
            <v>Taxis &amp; Buses</v>
          </cell>
        </row>
        <row r="317">
          <cell r="B317" t="str">
            <v>19.12.11.18.15</v>
          </cell>
          <cell r="C317" t="str">
            <v>19 Prodeco Head Office &amp; Marketing</v>
          </cell>
          <cell r="D317" t="str">
            <v>1912 Security</v>
          </cell>
          <cell r="E317" t="str">
            <v>Barranquilla</v>
          </cell>
          <cell r="F317" t="str">
            <v>Other Expenses</v>
          </cell>
          <cell r="G317" t="str">
            <v>Other Minor</v>
          </cell>
        </row>
        <row r="318">
          <cell r="B318" t="str">
            <v>19.13.10</v>
          </cell>
          <cell r="C318" t="str">
            <v>19 Prodeco Head Office &amp; Marketing</v>
          </cell>
          <cell r="D318" t="str">
            <v>1913 Insurance</v>
          </cell>
          <cell r="E318" t="str">
            <v>Insurance Infrastructure</v>
          </cell>
          <cell r="F318" t="str">
            <v>Insurance Infrastructure</v>
          </cell>
          <cell r="G318" t="str">
            <v>Insurance Infrastructure</v>
          </cell>
        </row>
        <row r="319">
          <cell r="B319" t="str">
            <v>19.13.20</v>
          </cell>
          <cell r="C319" t="str">
            <v>19 Prodeco Head Office &amp; Marketing</v>
          </cell>
          <cell r="D319" t="str">
            <v>1913 Insurance</v>
          </cell>
          <cell r="E319" t="str">
            <v>Insurance Public Liability</v>
          </cell>
          <cell r="F319" t="str">
            <v>Insurance Public Liability</v>
          </cell>
          <cell r="G319" t="str">
            <v>Insurance Public Liability</v>
          </cell>
        </row>
        <row r="320">
          <cell r="B320" t="str">
            <v>19.13.30</v>
          </cell>
          <cell r="C320" t="str">
            <v>19 Prodeco Head Office &amp; Marketing</v>
          </cell>
          <cell r="D320" t="str">
            <v>1913 Insurance</v>
          </cell>
          <cell r="E320" t="str">
            <v>Insurance Loss of Profits</v>
          </cell>
          <cell r="F320" t="str">
            <v>Insurance Loss of Profits</v>
          </cell>
          <cell r="G320" t="str">
            <v>Insurance Loss of Profits</v>
          </cell>
        </row>
        <row r="321">
          <cell r="B321" t="str">
            <v>19.13.40</v>
          </cell>
          <cell r="C321" t="str">
            <v>19 Prodeco Head Office &amp; Marketing</v>
          </cell>
          <cell r="D321" t="str">
            <v>1913 Insurance</v>
          </cell>
          <cell r="E321" t="str">
            <v>Insurance</v>
          </cell>
          <cell r="F321" t="str">
            <v>Insurance</v>
          </cell>
          <cell r="G321" t="str">
            <v>Insurance</v>
          </cell>
        </row>
        <row r="322">
          <cell r="B322" t="str">
            <v>19.14</v>
          </cell>
          <cell r="C322" t="str">
            <v>19 Prodeco Head Office &amp; Marketing</v>
          </cell>
          <cell r="D322" t="str">
            <v>1914 Surface Right Payment</v>
          </cell>
          <cell r="E322" t="str">
            <v>Surface Righ Payment</v>
          </cell>
          <cell r="F322" t="str">
            <v>Surface Righ Payment</v>
          </cell>
          <cell r="G322" t="str">
            <v>Surface Righ Payment</v>
          </cell>
        </row>
        <row r="323">
          <cell r="B323" t="str">
            <v>19.15</v>
          </cell>
          <cell r="C323" t="str">
            <v>19 Prodeco Head Office &amp; Marketing</v>
          </cell>
          <cell r="D323" t="str">
            <v>1915 Regional Development</v>
          </cell>
          <cell r="E323" t="str">
            <v>Regional Development</v>
          </cell>
          <cell r="F323" t="str">
            <v>Regional Development</v>
          </cell>
          <cell r="G323" t="str">
            <v>Regional Development</v>
          </cell>
        </row>
        <row r="324">
          <cell r="B324" t="str">
            <v>19.16</v>
          </cell>
          <cell r="C324" t="str">
            <v>19 Prodeco Head Office &amp; Marketing</v>
          </cell>
          <cell r="D324" t="str">
            <v>1916 Shareholder Fee</v>
          </cell>
          <cell r="E324" t="str">
            <v>Shareholder Fee</v>
          </cell>
          <cell r="F324" t="str">
            <v>Shareholder Fee</v>
          </cell>
          <cell r="G324" t="str">
            <v>Shareholder Fee</v>
          </cell>
        </row>
        <row r="325">
          <cell r="B325" t="str">
            <v>19.17</v>
          </cell>
          <cell r="C325" t="str">
            <v>19 Prodeco Head Office &amp; Marketing</v>
          </cell>
          <cell r="D325" t="str">
            <v>1917 Marketing</v>
          </cell>
          <cell r="E325" t="str">
            <v>Marketing</v>
          </cell>
          <cell r="F325" t="str">
            <v>Marketing</v>
          </cell>
          <cell r="G325" t="str">
            <v>Marketing</v>
          </cell>
        </row>
        <row r="326">
          <cell r="B326" t="str">
            <v>19.20</v>
          </cell>
          <cell r="C326" t="str">
            <v>19 Prodeco Head Office &amp; Marketing</v>
          </cell>
          <cell r="D326" t="str">
            <v>1920 Depreciation: Non Prod Assets</v>
          </cell>
          <cell r="E326" t="str">
            <v>Depreciation: Non Prod Assets</v>
          </cell>
          <cell r="F326" t="str">
            <v>Depreciation: Non Prod Assets</v>
          </cell>
          <cell r="G326" t="str">
            <v>Depreciation: Non Prod Assets</v>
          </cell>
        </row>
        <row r="327">
          <cell r="B327" t="str">
            <v>19.21</v>
          </cell>
          <cell r="C327" t="str">
            <v>19 Prodeco Head Office &amp; Marketing</v>
          </cell>
          <cell r="D327" t="str">
            <v>1921 Amortization: Deferred Assets</v>
          </cell>
          <cell r="E327" t="str">
            <v>Amortization: Deferred Assets</v>
          </cell>
          <cell r="F327" t="str">
            <v>Amortization: Deferred Assets</v>
          </cell>
          <cell r="G327" t="str">
            <v>Amortization: Deferred Assets</v>
          </cell>
        </row>
        <row r="328">
          <cell r="B328" t="str">
            <v>20.12</v>
          </cell>
          <cell r="C328" t="str">
            <v>20 Spare</v>
          </cell>
          <cell r="D328" t="str">
            <v>2012 Labour</v>
          </cell>
          <cell r="E328" t="str">
            <v>Labour</v>
          </cell>
          <cell r="F328" t="str">
            <v>Labour</v>
          </cell>
          <cell r="G328" t="str">
            <v>Labour</v>
          </cell>
        </row>
        <row r="329">
          <cell r="B329" t="str">
            <v>20.13</v>
          </cell>
          <cell r="C329" t="str">
            <v>20 Spare</v>
          </cell>
          <cell r="D329" t="str">
            <v>2013 BuyIn Coal FOT</v>
          </cell>
          <cell r="E329" t="str">
            <v>BuyIn Coal FOT</v>
          </cell>
          <cell r="F329" t="str">
            <v>BuyIn Coal FOT</v>
          </cell>
          <cell r="G329" t="str">
            <v>BuyIn Coal FOT</v>
          </cell>
        </row>
        <row r="330">
          <cell r="B330" t="str">
            <v>20.14</v>
          </cell>
          <cell r="C330" t="str">
            <v>20 Spare</v>
          </cell>
          <cell r="D330" t="str">
            <v>2014 BuyIn Coal Tpt</v>
          </cell>
          <cell r="E330" t="str">
            <v>BuyIn Coal Tpt</v>
          </cell>
          <cell r="F330" t="str">
            <v>BuyIn Coal Tpt</v>
          </cell>
          <cell r="G330" t="str">
            <v>BuyIn Coal Tpt</v>
          </cell>
        </row>
        <row r="331">
          <cell r="B331" t="str">
            <v>15.13</v>
          </cell>
          <cell r="C331" t="str">
            <v>15 Contractor</v>
          </cell>
          <cell r="D331" t="str">
            <v>1513 Contractor Cost 1</v>
          </cell>
          <cell r="E331" t="str">
            <v>Contractor Cost 1</v>
          </cell>
          <cell r="F331" t="str">
            <v>Contractor Cost 1</v>
          </cell>
          <cell r="G331" t="str">
            <v>Contractor Cost 1</v>
          </cell>
        </row>
        <row r="332">
          <cell r="B332" t="str">
            <v>13.12.10.10</v>
          </cell>
          <cell r="C332" t="str">
            <v>13 Coal Handling</v>
          </cell>
          <cell r="D332" t="str">
            <v>1312 Contractor Cost</v>
          </cell>
          <cell r="E332" t="str">
            <v>Contractor Cost</v>
          </cell>
          <cell r="F332" t="str">
            <v>Contractor Cost</v>
          </cell>
          <cell r="G332" t="str">
            <v>ROM coal</v>
          </cell>
        </row>
        <row r="333">
          <cell r="B333" t="str">
            <v>13.12.10.11</v>
          </cell>
          <cell r="C333" t="str">
            <v>13 Coal Handling</v>
          </cell>
          <cell r="D333" t="str">
            <v>1312 Contractor Cost</v>
          </cell>
          <cell r="E333" t="str">
            <v>Contractor Cost</v>
          </cell>
          <cell r="F333" t="str">
            <v>Contractor Cost</v>
          </cell>
          <cell r="G333" t="str">
            <v>Product coal</v>
          </cell>
        </row>
        <row r="334">
          <cell r="B334" t="str">
            <v>13.13.10.10</v>
          </cell>
          <cell r="C334" t="str">
            <v>13 Coal Handling</v>
          </cell>
          <cell r="D334" t="str">
            <v>1313 Sampling</v>
          </cell>
          <cell r="E334" t="str">
            <v>Sampling</v>
          </cell>
          <cell r="F334" t="str">
            <v>Sampling</v>
          </cell>
          <cell r="G334" t="str">
            <v>Analysis</v>
          </cell>
        </row>
        <row r="335">
          <cell r="B335" t="str">
            <v>13.13.10.11</v>
          </cell>
          <cell r="C335" t="str">
            <v>13 Coal Handling</v>
          </cell>
          <cell r="D335" t="str">
            <v>1313 Sampling</v>
          </cell>
          <cell r="E335" t="str">
            <v>Sampling</v>
          </cell>
          <cell r="F335" t="str">
            <v>Sampling</v>
          </cell>
          <cell r="G335" t="str">
            <v>Other sampling</v>
          </cell>
        </row>
        <row r="336">
          <cell r="B336" t="str">
            <v>13.14.10.10</v>
          </cell>
          <cell r="C336" t="str">
            <v>13 Coal Handling</v>
          </cell>
          <cell r="D336" t="str">
            <v>1314 Maintenance</v>
          </cell>
          <cell r="E336" t="str">
            <v>Maintenance</v>
          </cell>
          <cell r="F336" t="str">
            <v>Maintenance</v>
          </cell>
          <cell r="G336" t="str">
            <v>Maint: Spares</v>
          </cell>
        </row>
        <row r="337">
          <cell r="B337" t="str">
            <v>13.14.10.11</v>
          </cell>
          <cell r="C337" t="str">
            <v>13 Coal Handling</v>
          </cell>
          <cell r="D337" t="str">
            <v>1314 Maintenance</v>
          </cell>
          <cell r="E337" t="str">
            <v>Maintenance</v>
          </cell>
          <cell r="F337" t="str">
            <v>Maintenance</v>
          </cell>
          <cell r="G337" t="str">
            <v>Maint: Labour/Services</v>
          </cell>
        </row>
        <row r="338">
          <cell r="B338" t="str">
            <v>13.15.10.10</v>
          </cell>
          <cell r="C338" t="str">
            <v>13 Coal Handling</v>
          </cell>
          <cell r="D338" t="str">
            <v>1315 Power</v>
          </cell>
          <cell r="E338" t="str">
            <v>Power</v>
          </cell>
          <cell r="F338" t="str">
            <v>Power</v>
          </cell>
          <cell r="G338" t="str">
            <v>Electricity</v>
          </cell>
        </row>
        <row r="339">
          <cell r="B339" t="str">
            <v>13.15.10.11</v>
          </cell>
          <cell r="C339" t="str">
            <v>13 Coal Handling</v>
          </cell>
          <cell r="D339" t="str">
            <v>1315 Power</v>
          </cell>
          <cell r="E339" t="str">
            <v>Power</v>
          </cell>
          <cell r="F339" t="str">
            <v>Power</v>
          </cell>
          <cell r="G339" t="str">
            <v>Diesel</v>
          </cell>
        </row>
        <row r="340">
          <cell r="B340" t="str">
            <v>13.15.10.12</v>
          </cell>
          <cell r="C340" t="str">
            <v>13 Coal Handling</v>
          </cell>
          <cell r="D340" t="str">
            <v>1315 Power</v>
          </cell>
          <cell r="E340" t="str">
            <v>Power</v>
          </cell>
          <cell r="F340" t="str">
            <v>Power</v>
          </cell>
          <cell r="G340" t="str">
            <v>Maint: Spares</v>
          </cell>
        </row>
        <row r="341">
          <cell r="B341" t="str">
            <v>13.15.10.13</v>
          </cell>
          <cell r="C341" t="str">
            <v>13 Coal Handling</v>
          </cell>
          <cell r="D341" t="str">
            <v>1315 Power</v>
          </cell>
          <cell r="E341" t="str">
            <v>Power</v>
          </cell>
          <cell r="F341" t="str">
            <v>Power</v>
          </cell>
          <cell r="G341" t="str">
            <v>Maint: Labour/Services</v>
          </cell>
        </row>
        <row r="342">
          <cell r="B342" t="str">
            <v>13.15.10.15</v>
          </cell>
          <cell r="C342" t="str">
            <v>13 Coal Handling</v>
          </cell>
          <cell r="D342" t="str">
            <v>1315 Power</v>
          </cell>
          <cell r="E342" t="str">
            <v>Power</v>
          </cell>
          <cell r="F342" t="str">
            <v>Power</v>
          </cell>
          <cell r="G342" t="str">
            <v>Hired Generator</v>
          </cell>
        </row>
        <row r="343">
          <cell r="B343" t="str">
            <v>13.16.10</v>
          </cell>
          <cell r="C343" t="str">
            <v>13 Coal Handling</v>
          </cell>
          <cell r="D343" t="str">
            <v>1316 Equipment</v>
          </cell>
          <cell r="E343" t="str">
            <v>Equipment</v>
          </cell>
          <cell r="F343" t="str">
            <v>Equipment Rentals</v>
          </cell>
          <cell r="G343" t="str">
            <v>Loader 966 / Grader</v>
          </cell>
        </row>
        <row r="344">
          <cell r="B344" t="str">
            <v>13.16.20</v>
          </cell>
          <cell r="C344" t="str">
            <v>13 Coal Handling</v>
          </cell>
          <cell r="D344" t="str">
            <v>1316 Equipment</v>
          </cell>
          <cell r="E344" t="str">
            <v>Equipment</v>
          </cell>
          <cell r="F344" t="str">
            <v>Equipment Rentals</v>
          </cell>
          <cell r="G344" t="str">
            <v>Loader 988</v>
          </cell>
        </row>
        <row r="345">
          <cell r="B345" t="str">
            <v>13.16.30</v>
          </cell>
          <cell r="C345" t="str">
            <v>13 Coal Handling</v>
          </cell>
          <cell r="D345" t="str">
            <v>1316 Equipment</v>
          </cell>
          <cell r="E345" t="str">
            <v>Equipment</v>
          </cell>
          <cell r="F345" t="str">
            <v>Equipment Rentals</v>
          </cell>
          <cell r="G345" t="str">
            <v>Dozer</v>
          </cell>
        </row>
        <row r="346">
          <cell r="B346" t="str">
            <v>13.16.40</v>
          </cell>
          <cell r="C346" t="str">
            <v>13 Coal Handling</v>
          </cell>
          <cell r="D346" t="str">
            <v>1316 Equipment</v>
          </cell>
          <cell r="E346" t="str">
            <v>Equipment</v>
          </cell>
          <cell r="F346" t="str">
            <v>Equipment Rentals</v>
          </cell>
          <cell r="G346" t="str">
            <v>Diesel</v>
          </cell>
        </row>
        <row r="347">
          <cell r="B347" t="str">
            <v>13.16.50</v>
          </cell>
          <cell r="C347" t="str">
            <v>13 Coal Handling</v>
          </cell>
          <cell r="D347" t="str">
            <v>1316 Equipment</v>
          </cell>
          <cell r="E347" t="str">
            <v>Equipment</v>
          </cell>
          <cell r="F347" t="str">
            <v>Equipment Rentals</v>
          </cell>
          <cell r="G347" t="str">
            <v>Lighting Towers</v>
          </cell>
        </row>
        <row r="348">
          <cell r="B348" t="str">
            <v>14.11</v>
          </cell>
          <cell r="C348" t="str">
            <v>14 Admin &amp; Infrastructure</v>
          </cell>
          <cell r="D348" t="str">
            <v>1411 General Expenses</v>
          </cell>
          <cell r="E348" t="str">
            <v>General Expenses</v>
          </cell>
          <cell r="F348" t="str">
            <v>General Expenses</v>
          </cell>
          <cell r="G348" t="str">
            <v>General Expenses</v>
          </cell>
        </row>
        <row r="349">
          <cell r="B349" t="str">
            <v>14.13</v>
          </cell>
          <cell r="C349" t="str">
            <v>14 Admin &amp; Infrastructure</v>
          </cell>
          <cell r="D349" t="str">
            <v>1413 Contracted Services</v>
          </cell>
          <cell r="E349" t="str">
            <v>Contracted Services</v>
          </cell>
          <cell r="F349" t="str">
            <v>Contracted Services</v>
          </cell>
          <cell r="G349" t="str">
            <v>Contracted Services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Materiales"/>
      <sheetName val="Equipo"/>
      <sheetName val="Otros"/>
      <sheetName val="Densidades"/>
      <sheetName val="200.1"/>
      <sheetName val="200.2"/>
      <sheetName val="201.7"/>
      <sheetName val="201.8"/>
      <sheetName val="201.9"/>
      <sheetName val="201.10"/>
      <sheetName val="201.11"/>
      <sheetName val="201.12"/>
      <sheetName val="201.14 (2)"/>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2)"/>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500.1"/>
      <sheetName val="501.1"/>
      <sheetName val="510.1"/>
      <sheetName val="600.1"/>
      <sheetName val="600.2"/>
      <sheetName val="600.3"/>
      <sheetName val="600.4"/>
      <sheetName val="600.5"/>
      <sheetName val="610.1"/>
      <sheetName val="610.2"/>
      <sheetName val="620.1"/>
      <sheetName val="620.2"/>
      <sheetName val="620.3"/>
      <sheetName val="621.1"/>
      <sheetName val="621.1P7"/>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1"/>
      <sheetName val="673.1 "/>
      <sheetName val="673.2 "/>
      <sheetName val="673.2p"/>
      <sheetName val="673.3"/>
      <sheetName val="674.1"/>
      <sheetName val="674.2"/>
      <sheetName val="680.1 "/>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 val="200.1 Descapote"/>
      <sheetName val="630.4"/>
      <sheetName val="Cuadrillas"/>
      <sheetName val="Equ"/>
      <sheetName val="Trans"/>
      <sheetName val="Mat"/>
    </sheetNames>
    <sheetDataSet>
      <sheetData sheetId="0" refreshError="1"/>
      <sheetData sheetId="1" refreshError="1"/>
      <sheetData sheetId="2" refreshError="1">
        <row r="1">
          <cell r="A1" t="str">
            <v>MATERIALES</v>
          </cell>
          <cell r="B1" t="str">
            <v>UNIDAD</v>
          </cell>
          <cell r="C1" t="str">
            <v>CONCERTADO</v>
          </cell>
        </row>
        <row r="2">
          <cell r="A2" t="str">
            <v>Acero A-36 para estructura metalica</v>
          </cell>
          <cell r="B2" t="str">
            <v>KG</v>
          </cell>
          <cell r="C2">
            <v>2284</v>
          </cell>
        </row>
        <row r="3">
          <cell r="A3" t="str">
            <v>Acero A-37</v>
          </cell>
          <cell r="B3" t="str">
            <v>KG</v>
          </cell>
          <cell r="C3">
            <v>3160</v>
          </cell>
        </row>
        <row r="4">
          <cell r="A4" t="str">
            <v>Acero A-40</v>
          </cell>
          <cell r="B4" t="str">
            <v>KG</v>
          </cell>
          <cell r="C4">
            <v>2479</v>
          </cell>
        </row>
        <row r="5">
          <cell r="A5" t="str">
            <v>Acero PDR-60</v>
          </cell>
          <cell r="B5" t="str">
            <v>KG</v>
          </cell>
          <cell r="C5">
            <v>2375</v>
          </cell>
        </row>
        <row r="6">
          <cell r="A6" t="str">
            <v>Aditivo (Acelerante plastificante para concretos (plastocrete 169 HE)</v>
          </cell>
          <cell r="B6" t="str">
            <v>KG</v>
          </cell>
          <cell r="C6">
            <v>3335</v>
          </cell>
        </row>
        <row r="7">
          <cell r="A7" t="str">
            <v>Aditivo (Retardante plastificante redutor de fraguado) (sikament 320)</v>
          </cell>
          <cell r="B7" t="str">
            <v>KG</v>
          </cell>
          <cell r="C7">
            <v>8096</v>
          </cell>
        </row>
        <row r="8">
          <cell r="A8" t="str">
            <v>Adoquin color 10X20X6</v>
          </cell>
          <cell r="B8" t="str">
            <v>U</v>
          </cell>
          <cell r="C8">
            <v>770</v>
          </cell>
        </row>
        <row r="9">
          <cell r="A9" t="str">
            <v>Adoquin e=5cm</v>
          </cell>
          <cell r="B9" t="str">
            <v>M²</v>
          </cell>
          <cell r="C9">
            <v>31679</v>
          </cell>
        </row>
        <row r="10">
          <cell r="A10" t="str">
            <v>Adoquin grama 10X20X6</v>
          </cell>
          <cell r="B10" t="str">
            <v>U</v>
          </cell>
          <cell r="C10">
            <v>2179</v>
          </cell>
        </row>
        <row r="11">
          <cell r="A11" t="str">
            <v>Agregado para concreto hidraulico</v>
          </cell>
          <cell r="B11" t="str">
            <v>M³</v>
          </cell>
          <cell r="C11">
            <v>39142</v>
          </cell>
        </row>
        <row r="12">
          <cell r="A12" t="str">
            <v>Agregado para tratamiento superf. Simple</v>
          </cell>
          <cell r="B12" t="str">
            <v>M³</v>
          </cell>
          <cell r="C12">
            <v>37534</v>
          </cell>
        </row>
        <row r="13">
          <cell r="A13" t="str">
            <v>Agregado petreo para mezclas asfálticas</v>
          </cell>
          <cell r="B13" t="str">
            <v>M³</v>
          </cell>
          <cell r="C13">
            <v>39045</v>
          </cell>
        </row>
        <row r="14">
          <cell r="A14" t="str">
            <v>Agregado petreo para triturar (crudo)</v>
          </cell>
          <cell r="B14" t="str">
            <v>M³</v>
          </cell>
          <cell r="C14">
            <v>17312</v>
          </cell>
        </row>
        <row r="15">
          <cell r="A15" t="str">
            <v>Agregado petreo para TSD</v>
          </cell>
          <cell r="B15" t="str">
            <v>M³</v>
          </cell>
          <cell r="C15">
            <v>37660</v>
          </cell>
        </row>
        <row r="16">
          <cell r="A16" t="str">
            <v>Agregado tipo LA1 (lechadas)</v>
          </cell>
          <cell r="B16" t="str">
            <v>M³</v>
          </cell>
          <cell r="C16">
            <v>36799</v>
          </cell>
        </row>
        <row r="17">
          <cell r="A17" t="str">
            <v>Agregado tipo LA2 (lechadas)</v>
          </cell>
          <cell r="B17" t="str">
            <v>M³</v>
          </cell>
          <cell r="C17">
            <v>36902</v>
          </cell>
        </row>
        <row r="18">
          <cell r="A18" t="str">
            <v>Agregado tipo LA3 (lechadas)</v>
          </cell>
          <cell r="B18" t="str">
            <v>M³</v>
          </cell>
          <cell r="C18">
            <v>36902</v>
          </cell>
        </row>
        <row r="19">
          <cell r="A19" t="str">
            <v>Agregado tipo LA4 (lechadas)</v>
          </cell>
          <cell r="B19" t="str">
            <v>M³</v>
          </cell>
          <cell r="C19">
            <v>35949</v>
          </cell>
        </row>
        <row r="20">
          <cell r="A20" t="str">
            <v>Agregados seleccionados (tamaño máximo 1") (bandas sonoras reduce velocidad)</v>
          </cell>
          <cell r="B20" t="str">
            <v>M³</v>
          </cell>
          <cell r="C20">
            <v>37768</v>
          </cell>
        </row>
        <row r="21">
          <cell r="A21" t="str">
            <v>Agua</v>
          </cell>
          <cell r="B21" t="str">
            <v>LT</v>
          </cell>
          <cell r="C21">
            <v>30</v>
          </cell>
        </row>
        <row r="22">
          <cell r="A22" t="str">
            <v>Alambre de pua calibre 12 (340 m)</v>
          </cell>
          <cell r="B22" t="str">
            <v>ML</v>
          </cell>
          <cell r="C22">
            <v>466</v>
          </cell>
        </row>
        <row r="23">
          <cell r="A23" t="str">
            <v>Alambre galvanizado No. 12</v>
          </cell>
          <cell r="B23" t="str">
            <v>KG</v>
          </cell>
          <cell r="C23">
            <v>4234</v>
          </cell>
        </row>
        <row r="24">
          <cell r="A24" t="str">
            <v>Alambre galvanizado No. 9</v>
          </cell>
          <cell r="B24" t="str">
            <v>KG</v>
          </cell>
          <cell r="C24">
            <v>4213</v>
          </cell>
        </row>
        <row r="25">
          <cell r="A25" t="str">
            <v>Alambre negro para amarre</v>
          </cell>
          <cell r="B25" t="str">
            <v>KG</v>
          </cell>
          <cell r="C25">
            <v>3481</v>
          </cell>
        </row>
        <row r="26">
          <cell r="A26" t="str">
            <v>Almohadillas de neopreno dureza 60 (35cm*45cm*5cm con 2 láminas de 3mm)</v>
          </cell>
          <cell r="B26" t="str">
            <v>U</v>
          </cell>
          <cell r="C26">
            <v>373269</v>
          </cell>
        </row>
        <row r="27">
          <cell r="A27" t="str">
            <v>Amortiguadores (para defensas metálicas)</v>
          </cell>
          <cell r="B27" t="str">
            <v>U</v>
          </cell>
          <cell r="C27">
            <v>20893</v>
          </cell>
        </row>
        <row r="28">
          <cell r="A28" t="str">
            <v>Anfo</v>
          </cell>
          <cell r="B28" t="str">
            <v>KG</v>
          </cell>
          <cell r="C28">
            <v>3495</v>
          </cell>
        </row>
        <row r="29">
          <cell r="A29" t="str">
            <v>Angulo de 1-1/2" x 1/4" (cerramiento en malla)</v>
          </cell>
          <cell r="B29" t="str">
            <v>ML</v>
          </cell>
          <cell r="C29">
            <v>9372</v>
          </cell>
        </row>
        <row r="30">
          <cell r="A30" t="str">
            <v>Antisol blanco (presentacion 20 kg)</v>
          </cell>
          <cell r="B30" t="str">
            <v>KG</v>
          </cell>
          <cell r="C30">
            <v>6318</v>
          </cell>
        </row>
        <row r="31">
          <cell r="A31" t="str">
            <v>Arbol de 0,6 m</v>
          </cell>
          <cell r="B31" t="str">
            <v>U</v>
          </cell>
          <cell r="C31">
            <v>7619</v>
          </cell>
        </row>
        <row r="32">
          <cell r="A32" t="str">
            <v>Arbol de 1.2 m</v>
          </cell>
          <cell r="B32" t="str">
            <v>U</v>
          </cell>
          <cell r="C32">
            <v>16483</v>
          </cell>
        </row>
        <row r="33">
          <cell r="A33" t="str">
            <v>Arena de sello (fina) (para adoquines)</v>
          </cell>
          <cell r="B33" t="str">
            <v>M³</v>
          </cell>
          <cell r="C33">
            <v>22944</v>
          </cell>
        </row>
        <row r="34">
          <cell r="A34" t="str">
            <v>Arena de soporte (media) (para adoquines)</v>
          </cell>
          <cell r="B34" t="str">
            <v>M³</v>
          </cell>
          <cell r="C34">
            <v>23851</v>
          </cell>
        </row>
        <row r="35">
          <cell r="A35" t="str">
            <v>Arena de trituracion (sellos de arena-asfalto)</v>
          </cell>
          <cell r="B35" t="str">
            <v>M³</v>
          </cell>
          <cell r="C35">
            <v>36486</v>
          </cell>
        </row>
        <row r="36">
          <cell r="A36" t="str">
            <v>Arena lavada</v>
          </cell>
          <cell r="B36" t="str">
            <v>M³</v>
          </cell>
          <cell r="C36">
            <v>37458</v>
          </cell>
        </row>
        <row r="37">
          <cell r="A37" t="str">
            <v>Asfalto AP 190 (brea)</v>
          </cell>
          <cell r="B37" t="str">
            <v>KG</v>
          </cell>
          <cell r="C37">
            <v>2030</v>
          </cell>
        </row>
        <row r="38">
          <cell r="A38" t="str">
            <v>Asfalto liquido RC 250</v>
          </cell>
          <cell r="B38" t="str">
            <v>GALON</v>
          </cell>
          <cell r="C38">
            <v>6325</v>
          </cell>
        </row>
        <row r="39">
          <cell r="A39" t="str">
            <v xml:space="preserve">Armadura Galvanizada </v>
          </cell>
          <cell r="B39" t="str">
            <v>ML</v>
          </cell>
          <cell r="C39">
            <v>78000</v>
          </cell>
        </row>
        <row r="40">
          <cell r="A40" t="str">
            <v>Barras de transferencia de carga 1"</v>
          </cell>
          <cell r="B40" t="str">
            <v>KG</v>
          </cell>
          <cell r="C40">
            <v>4041</v>
          </cell>
        </row>
        <row r="41">
          <cell r="A41" t="str">
            <v>Barras de unión 1/2"</v>
          </cell>
          <cell r="B41" t="str">
            <v>KG</v>
          </cell>
          <cell r="C41">
            <v>2528</v>
          </cell>
        </row>
        <row r="42">
          <cell r="A42" t="str">
            <v>Bentonita</v>
          </cell>
          <cell r="B42" t="str">
            <v>KG</v>
          </cell>
          <cell r="C42">
            <v>800</v>
          </cell>
        </row>
        <row r="43">
          <cell r="A43" t="str">
            <v>Biomanto</v>
          </cell>
          <cell r="B43" t="str">
            <v>M²</v>
          </cell>
        </row>
        <row r="44">
          <cell r="A44" t="str">
            <v>Bolsacreto de 1m3</v>
          </cell>
          <cell r="B44" t="str">
            <v>U</v>
          </cell>
          <cell r="C44">
            <v>19638</v>
          </cell>
        </row>
        <row r="45">
          <cell r="A45" t="str">
            <v>Cable de 1/2" (para anclajes)</v>
          </cell>
          <cell r="B45" t="str">
            <v>ML</v>
          </cell>
          <cell r="C45">
            <v>8145</v>
          </cell>
        </row>
        <row r="46">
          <cell r="A46" t="str">
            <v>Cal</v>
          </cell>
          <cell r="B46" t="str">
            <v>KG</v>
          </cell>
          <cell r="C46">
            <v>696</v>
          </cell>
        </row>
        <row r="47">
          <cell r="A47" t="str">
            <v>Camisa metálica en acero A-37 (camisa de pilotes)</v>
          </cell>
          <cell r="B47" t="str">
            <v>KG</v>
          </cell>
          <cell r="C47">
            <v>10331</v>
          </cell>
        </row>
        <row r="48">
          <cell r="A48" t="str">
            <v>Camisas y formaleta en concreto</v>
          </cell>
          <cell r="B48" t="str">
            <v>ML</v>
          </cell>
        </row>
        <row r="49">
          <cell r="A49" t="str">
            <v>Captafaro</v>
          </cell>
          <cell r="B49" t="str">
            <v>U</v>
          </cell>
          <cell r="C49">
            <v>9784</v>
          </cell>
        </row>
        <row r="50">
          <cell r="A50" t="str">
            <v>Casquete para pasador de juntas</v>
          </cell>
          <cell r="B50" t="str">
            <v>U</v>
          </cell>
          <cell r="C50">
            <v>230</v>
          </cell>
        </row>
        <row r="51">
          <cell r="A51" t="str">
            <v>CELDA ESPECIAL DE CARGA</v>
          </cell>
          <cell r="B51" t="str">
            <v>U</v>
          </cell>
          <cell r="C51">
            <v>20363221</v>
          </cell>
        </row>
        <row r="52">
          <cell r="A52" t="str">
            <v>Cemento Asfáltico 60-70</v>
          </cell>
          <cell r="B52" t="str">
            <v>KG</v>
          </cell>
          <cell r="C52">
            <v>1072</v>
          </cell>
        </row>
        <row r="53">
          <cell r="A53" t="str">
            <v>Cemento Asfáltico 80-100</v>
          </cell>
          <cell r="B53" t="str">
            <v>KG</v>
          </cell>
          <cell r="C53">
            <v>1024</v>
          </cell>
        </row>
        <row r="54">
          <cell r="A54" t="str">
            <v>Cemento asfáltico modificado con polimeros tipo I</v>
          </cell>
          <cell r="B54" t="str">
            <v>KG</v>
          </cell>
          <cell r="C54">
            <v>1679</v>
          </cell>
        </row>
        <row r="55">
          <cell r="A55" t="str">
            <v>Cemento asfáltico modificado con polímeros tipo II</v>
          </cell>
          <cell r="B55" t="str">
            <v>KG</v>
          </cell>
          <cell r="C55">
            <v>1779</v>
          </cell>
        </row>
        <row r="56">
          <cell r="A56" t="str">
            <v>Cemento asfaltico modificado con polimeros tipo III</v>
          </cell>
          <cell r="B56" t="str">
            <v>KG</v>
          </cell>
          <cell r="C56">
            <v>1870</v>
          </cell>
        </row>
        <row r="57">
          <cell r="A57" t="str">
            <v>Cemento asfaltico modificado con polimeros tipo IV</v>
          </cell>
          <cell r="B57" t="str">
            <v>KG</v>
          </cell>
          <cell r="C57">
            <v>2007</v>
          </cell>
        </row>
        <row r="58">
          <cell r="A58" t="str">
            <v>Cemento asfaltico modificado con polimeros tipo V</v>
          </cell>
          <cell r="B58" t="str">
            <v>KG</v>
          </cell>
          <cell r="C58">
            <v>2023</v>
          </cell>
        </row>
        <row r="59">
          <cell r="A59" t="str">
            <v>Cemento gris</v>
          </cell>
          <cell r="B59" t="str">
            <v>KG</v>
          </cell>
          <cell r="C59">
            <v>467</v>
          </cell>
        </row>
        <row r="60">
          <cell r="A60" t="str">
            <v>Cespedones</v>
          </cell>
          <cell r="B60" t="str">
            <v>KG</v>
          </cell>
          <cell r="C60">
            <v>6645</v>
          </cell>
        </row>
        <row r="61">
          <cell r="A61" t="str">
            <v>Cicatrizante (para remoción de especies vegetales) (item 201.9)</v>
          </cell>
          <cell r="B61" t="str">
            <v>M²</v>
          </cell>
          <cell r="C61">
            <v>44658</v>
          </cell>
        </row>
        <row r="62">
          <cell r="A62" t="str">
            <v>Cinta Sika PVC 0,22 (sello para junta de puentes) (item 642.2)</v>
          </cell>
          <cell r="B62" t="str">
            <v>ML</v>
          </cell>
          <cell r="C62">
            <v>33728</v>
          </cell>
        </row>
        <row r="63">
          <cell r="A63" t="str">
            <v>Cintilla de poliuretano (Sikarod) (pavimentos de concreto hidráulico) (item 500)</v>
          </cell>
          <cell r="B63" t="str">
            <v>KG</v>
          </cell>
          <cell r="C63">
            <v>650</v>
          </cell>
        </row>
        <row r="64">
          <cell r="A64" t="str">
            <v>Cloruro de calcio en esféras</v>
          </cell>
          <cell r="B64" t="str">
            <v>KG</v>
          </cell>
          <cell r="C64">
            <v>2795</v>
          </cell>
        </row>
        <row r="65">
          <cell r="A65" t="str">
            <v>Cloruro de calcio en hojuelas</v>
          </cell>
          <cell r="B65" t="str">
            <v>KG</v>
          </cell>
          <cell r="C65">
            <v>2626</v>
          </cell>
        </row>
        <row r="66">
          <cell r="A66" t="str">
            <v>Cloruro de calcio liquido</v>
          </cell>
          <cell r="B66" t="str">
            <v>LT</v>
          </cell>
          <cell r="C66">
            <v>0</v>
          </cell>
        </row>
        <row r="67">
          <cell r="A67" t="str">
            <v>Combustible y otros</v>
          </cell>
          <cell r="B67" t="str">
            <v>GALÓN</v>
          </cell>
          <cell r="C67">
            <v>8897</v>
          </cell>
        </row>
        <row r="68">
          <cell r="A68" t="str">
            <v>Concreto clase A</v>
          </cell>
          <cell r="B68" t="str">
            <v>M3</v>
          </cell>
          <cell r="C68">
            <v>691072.02187499998</v>
          </cell>
        </row>
        <row r="69">
          <cell r="A69" t="str">
            <v>Concreto clase A(Uraba)</v>
          </cell>
          <cell r="C69">
            <v>479067</v>
          </cell>
        </row>
        <row r="70">
          <cell r="A70" t="str">
            <v>Concreto clase B</v>
          </cell>
          <cell r="B70" t="str">
            <v>M³</v>
          </cell>
          <cell r="C70">
            <v>662915.25624999998</v>
          </cell>
        </row>
        <row r="71">
          <cell r="A71" t="str">
            <v>Concreto clase B(Uraba)</v>
          </cell>
        </row>
        <row r="72">
          <cell r="A72" t="str">
            <v>Concreto clase C</v>
          </cell>
          <cell r="B72" t="str">
            <v>M³</v>
          </cell>
          <cell r="C72">
            <v>652581.15625</v>
          </cell>
        </row>
        <row r="73">
          <cell r="A73" t="str">
            <v>Concreto clase C(Uraba)</v>
          </cell>
        </row>
        <row r="74">
          <cell r="A74" t="str">
            <v>Concreto clase D</v>
          </cell>
          <cell r="B74" t="str">
            <v>M³</v>
          </cell>
          <cell r="C74">
            <v>435320.16104166664</v>
          </cell>
        </row>
        <row r="75">
          <cell r="A75" t="str">
            <v>Concreto clase D(Uraba)</v>
          </cell>
        </row>
        <row r="76">
          <cell r="A76" t="str">
            <v>Concreto clase E</v>
          </cell>
          <cell r="B76" t="str">
            <v>M³</v>
          </cell>
          <cell r="C76">
            <v>490375.75652173907</v>
          </cell>
        </row>
        <row r="77">
          <cell r="A77" t="str">
            <v>Concreto clase E(Uraba)</v>
          </cell>
        </row>
        <row r="78">
          <cell r="A78" t="str">
            <v>Concreto clase F</v>
          </cell>
          <cell r="B78" t="str">
            <v>M³</v>
          </cell>
          <cell r="C78">
            <v>308412.72760416666</v>
          </cell>
        </row>
        <row r="79">
          <cell r="A79" t="str">
            <v>Concreto clase G</v>
          </cell>
          <cell r="B79" t="str">
            <v>M³</v>
          </cell>
          <cell r="C79">
            <v>287748</v>
          </cell>
        </row>
        <row r="80">
          <cell r="A80" t="str">
            <v>Concreto hidraulico para pavimento MR-43</v>
          </cell>
          <cell r="B80" t="str">
            <v>M3</v>
          </cell>
          <cell r="C80">
            <v>348187</v>
          </cell>
        </row>
        <row r="81">
          <cell r="A81" t="str">
            <v>Cordón detonante(12grxmt)</v>
          </cell>
          <cell r="B81" t="str">
            <v>M.L</v>
          </cell>
          <cell r="C81">
            <v>913</v>
          </cell>
        </row>
        <row r="82">
          <cell r="A82" t="str">
            <v>Costal de fibra o fique</v>
          </cell>
          <cell r="B82" t="str">
            <v>U</v>
          </cell>
          <cell r="C82">
            <v>501</v>
          </cell>
        </row>
        <row r="83">
          <cell r="A83" t="str">
            <v>CUNETA PREFABRICADA EN CONCRETO L=1.0 m</v>
          </cell>
          <cell r="B83" t="str">
            <v>ML</v>
          </cell>
          <cell r="C83">
            <v>97000</v>
          </cell>
        </row>
        <row r="84">
          <cell r="A84" t="str">
            <v>Cuñas para el tensionamiento (acero de preesfuerzo) (item 641)</v>
          </cell>
          <cell r="B84" t="str">
            <v>U</v>
          </cell>
          <cell r="C84">
            <v>14279</v>
          </cell>
        </row>
        <row r="85">
          <cell r="A85" t="str">
            <v>Disolvente para pintura (especificar el tipo de disolvente que está utilizando)</v>
          </cell>
          <cell r="B85" t="str">
            <v>GALON</v>
          </cell>
          <cell r="C85">
            <v>23598</v>
          </cell>
        </row>
        <row r="86">
          <cell r="A86" t="str">
            <v>Disolvente para pintura (especificar el tipo de disolvente que está utilizando)</v>
          </cell>
          <cell r="B86" t="str">
            <v>GALON</v>
          </cell>
          <cell r="C86">
            <v>17753</v>
          </cell>
        </row>
        <row r="87">
          <cell r="A87" t="str">
            <v>Ductos para tensionimiento (acero de preesfuerzo) (item 641)</v>
          </cell>
          <cell r="B87" t="str">
            <v>M:L</v>
          </cell>
          <cell r="C87">
            <v>6141</v>
          </cell>
        </row>
        <row r="88">
          <cell r="A88" t="str">
            <v>Emulsión Asfáltica de rotura lenta CRL-1h</v>
          </cell>
          <cell r="B88" t="str">
            <v>LT</v>
          </cell>
          <cell r="C88">
            <v>1226</v>
          </cell>
        </row>
        <row r="89">
          <cell r="A89" t="str">
            <v>Emulsión CRL-0</v>
          </cell>
          <cell r="B89" t="str">
            <v>LT</v>
          </cell>
          <cell r="C89">
            <v>1124</v>
          </cell>
        </row>
        <row r="90">
          <cell r="A90" t="str">
            <v>Emulsión CRL-1</v>
          </cell>
          <cell r="B90" t="str">
            <v>LT</v>
          </cell>
          <cell r="C90">
            <v>1297</v>
          </cell>
        </row>
        <row r="91">
          <cell r="A91" t="str">
            <v>Emulsión CRL-1hm</v>
          </cell>
          <cell r="B91" t="str">
            <v>LT</v>
          </cell>
          <cell r="C91">
            <v>1333</v>
          </cell>
        </row>
        <row r="92">
          <cell r="A92" t="str">
            <v>Emulsión CRM</v>
          </cell>
          <cell r="B92" t="str">
            <v>LT</v>
          </cell>
          <cell r="C92">
            <v>1393</v>
          </cell>
        </row>
        <row r="93">
          <cell r="A93" t="str">
            <v>Emulsión CRR-1</v>
          </cell>
          <cell r="B93" t="str">
            <v>LT</v>
          </cell>
          <cell r="C93">
            <v>1306</v>
          </cell>
        </row>
        <row r="94">
          <cell r="A94" t="str">
            <v>Emulsión CRR-1m</v>
          </cell>
          <cell r="B94" t="str">
            <v>LT</v>
          </cell>
          <cell r="C94">
            <v>1468</v>
          </cell>
        </row>
        <row r="95">
          <cell r="A95" t="str">
            <v>Emulsión CRR-2</v>
          </cell>
          <cell r="B95" t="str">
            <v>LT</v>
          </cell>
          <cell r="C95">
            <v>1158</v>
          </cell>
        </row>
        <row r="96">
          <cell r="A96" t="str">
            <v>Emulsión CRR-2m</v>
          </cell>
          <cell r="B96" t="str">
            <v>LT</v>
          </cell>
          <cell r="C96">
            <v>1499</v>
          </cell>
        </row>
        <row r="97">
          <cell r="A97" t="str">
            <v>Emulsión CRMm</v>
          </cell>
          <cell r="B97" t="str">
            <v>LT</v>
          </cell>
          <cell r="C97">
            <v>1791</v>
          </cell>
        </row>
        <row r="98">
          <cell r="A98" t="str">
            <v>Esferas reflectivas</v>
          </cell>
          <cell r="B98" t="str">
            <v>KG</v>
          </cell>
          <cell r="C98">
            <v>4937</v>
          </cell>
        </row>
        <row r="99">
          <cell r="A99" t="str">
            <v>Estacas, Pintura, Tachuela, Hilo</v>
          </cell>
          <cell r="B99" t="str">
            <v>GLOBAL</v>
          </cell>
          <cell r="C99">
            <v>1077</v>
          </cell>
        </row>
        <row r="100">
          <cell r="A100" t="str">
            <v>Explosivos  75% (INDUGEL)</v>
          </cell>
          <cell r="B100" t="str">
            <v>LB</v>
          </cell>
          <cell r="C100">
            <v>8782</v>
          </cell>
        </row>
        <row r="101">
          <cell r="A101" t="str">
            <v>Fertilizantes e Insecticidas (triple 15)</v>
          </cell>
          <cell r="B101" t="str">
            <v>KG</v>
          </cell>
          <cell r="C101">
            <v>1382</v>
          </cell>
        </row>
        <row r="102">
          <cell r="A102" t="str">
            <v>Fibra o Mulch Hidráulico</v>
          </cell>
          <cell r="B102" t="str">
            <v>KG</v>
          </cell>
          <cell r="C102">
            <v>34200</v>
          </cell>
        </row>
        <row r="103">
          <cell r="A103" t="str">
            <v>Fijador o Aglomerante Estabilizador (Agropim)</v>
          </cell>
          <cell r="B103" t="str">
            <v>KG</v>
          </cell>
          <cell r="C103">
            <v>12300</v>
          </cell>
        </row>
        <row r="104">
          <cell r="A104" t="str">
            <v>Formaleta (gaviones, juntas de bordillos, juntas de cunetas, muros, concreto clase D,E y G)</v>
          </cell>
          <cell r="B104" t="str">
            <v>M2</v>
          </cell>
          <cell r="C104">
            <v>3723</v>
          </cell>
        </row>
        <row r="105">
          <cell r="A105" t="str">
            <v>Formaleta concreto clase A,B y C</v>
          </cell>
          <cell r="B105" t="str">
            <v>M²</v>
          </cell>
          <cell r="C105">
            <v>13767</v>
          </cell>
        </row>
        <row r="106">
          <cell r="A106" t="str">
            <v>Formaleta para baranda de concreto</v>
          </cell>
          <cell r="B106" t="str">
            <v>M²</v>
          </cell>
          <cell r="C106">
            <v>13134</v>
          </cell>
        </row>
        <row r="107">
          <cell r="A107" t="str">
            <v>Formaleta para muros (para muros de contencion) (item 682)</v>
          </cell>
          <cell r="B107" t="str">
            <v>M2</v>
          </cell>
          <cell r="C107">
            <v>7537</v>
          </cell>
        </row>
        <row r="108">
          <cell r="A108" t="str">
            <v>Formaleta, platina y accesorios (escamas en concreto)</v>
          </cell>
          <cell r="B108" t="str">
            <v>M2</v>
          </cell>
          <cell r="C108">
            <v>3154</v>
          </cell>
        </row>
        <row r="109">
          <cell r="A109" t="str">
            <v>Formaletas para Juntas</v>
          </cell>
          <cell r="B109" t="str">
            <v>ML</v>
          </cell>
          <cell r="C109">
            <v>2844</v>
          </cell>
        </row>
        <row r="110">
          <cell r="A110" t="str">
            <v>Fulminantes</v>
          </cell>
          <cell r="B110" t="str">
            <v>U</v>
          </cell>
          <cell r="C110">
            <v>550</v>
          </cell>
        </row>
        <row r="111">
          <cell r="A111" t="str">
            <v>Fundente</v>
          </cell>
          <cell r="B111" t="str">
            <v>Kg</v>
          </cell>
          <cell r="C111">
            <v>109828</v>
          </cell>
        </row>
        <row r="112">
          <cell r="A112" t="str">
            <v>Gas propano</v>
          </cell>
          <cell r="B112" t="str">
            <v>KG</v>
          </cell>
          <cell r="C112">
            <v>2139</v>
          </cell>
        </row>
        <row r="113">
          <cell r="A113" t="str">
            <v>Geodrén Planar(1 ML de H)</v>
          </cell>
          <cell r="B113" t="str">
            <v>ML</v>
          </cell>
          <cell r="C113">
            <v>25102</v>
          </cell>
        </row>
        <row r="114">
          <cell r="A114" t="str">
            <v>Geodrén Tubular(100 mm)</v>
          </cell>
          <cell r="B114" t="str">
            <v>ML</v>
          </cell>
        </row>
        <row r="115">
          <cell r="A115" t="str">
            <v>Geomanto</v>
          </cell>
          <cell r="B115" t="str">
            <v>M2</v>
          </cell>
        </row>
        <row r="116">
          <cell r="A116" t="str">
            <v>Geomenbrana 80 mils de  2 mm</v>
          </cell>
          <cell r="B116" t="str">
            <v>M2</v>
          </cell>
          <cell r="C116">
            <v>23081</v>
          </cell>
        </row>
        <row r="117">
          <cell r="A117" t="str">
            <v>Geoterxtil T-2400 o similar (provedores Lafayet, Tensar, Omnes u otros)</v>
          </cell>
          <cell r="B117" t="str">
            <v>M2</v>
          </cell>
          <cell r="C117">
            <v>5401</v>
          </cell>
        </row>
        <row r="118">
          <cell r="A118" t="str">
            <v>Geotextil NT REPAV 450 o similar (provedores Lafayet, Tensar, Omnes u otros)</v>
          </cell>
          <cell r="B118" t="str">
            <v>M²</v>
          </cell>
          <cell r="C118">
            <v>3958</v>
          </cell>
        </row>
        <row r="119">
          <cell r="A119" t="str">
            <v>Geotextil NT-2500 o similar (provedores Tensar, Omnes u otros)</v>
          </cell>
          <cell r="B119" t="str">
            <v>M²</v>
          </cell>
          <cell r="C119">
            <v>4829</v>
          </cell>
        </row>
        <row r="120">
          <cell r="A120" t="str">
            <v>Geotextil T-2100 o similar (provedores Lafayet, Tensar, Omnes u otros)</v>
          </cell>
          <cell r="B120" t="str">
            <v>M²</v>
          </cell>
          <cell r="C120">
            <v>4789</v>
          </cell>
        </row>
        <row r="121">
          <cell r="A121" t="str">
            <v>Grapas</v>
          </cell>
          <cell r="B121" t="str">
            <v>KG</v>
          </cell>
          <cell r="C121">
            <v>5125</v>
          </cell>
        </row>
        <row r="122">
          <cell r="A122" t="str">
            <v>Grapas de Fijación</v>
          </cell>
          <cell r="B122" t="str">
            <v>U</v>
          </cell>
          <cell r="C122">
            <v>1110</v>
          </cell>
        </row>
        <row r="123">
          <cell r="A123" t="str">
            <v>Grasa</v>
          </cell>
          <cell r="B123" t="str">
            <v>KG</v>
          </cell>
          <cell r="C123">
            <v>6801</v>
          </cell>
        </row>
        <row r="124">
          <cell r="A124" t="str">
            <v>Grata de limpieza</v>
          </cell>
          <cell r="B124" t="str">
            <v>U</v>
          </cell>
          <cell r="C124">
            <v>23391</v>
          </cell>
        </row>
        <row r="125">
          <cell r="A125" t="str">
            <v>Hidroretenedor (stockosorb)</v>
          </cell>
          <cell r="B125" t="str">
            <v>KG</v>
          </cell>
          <cell r="C125">
            <v>40031</v>
          </cell>
        </row>
        <row r="126">
          <cell r="A126" t="str">
            <v>Hito de arista  (TUBULAR)</v>
          </cell>
          <cell r="B126" t="str">
            <v>U</v>
          </cell>
          <cell r="C126">
            <v>98600</v>
          </cell>
        </row>
        <row r="127">
          <cell r="A127" t="str">
            <v>Hito de arista(Grado diamante de 0.90m)</v>
          </cell>
          <cell r="B127" t="str">
            <v>U</v>
          </cell>
          <cell r="D127" t="str">
            <v>sin referncia</v>
          </cell>
        </row>
        <row r="128">
          <cell r="A128" t="str">
            <v>Hito de arista(Grado diamante de 1.10m)</v>
          </cell>
          <cell r="B128" t="str">
            <v>U</v>
          </cell>
          <cell r="D128" t="str">
            <v>sin referncia</v>
          </cell>
        </row>
        <row r="129">
          <cell r="A129" t="str">
            <v>IMPERMEABILIZANTE PARA CONCRETO</v>
          </cell>
          <cell r="B129" t="str">
            <v>KG</v>
          </cell>
          <cell r="C129">
            <v>16685.439999999999</v>
          </cell>
        </row>
        <row r="130">
          <cell r="A130" t="str">
            <v>JUNTA ELASTOMERICA JEENE (J 8097 VV)</v>
          </cell>
          <cell r="B130" t="str">
            <v>ML</v>
          </cell>
          <cell r="C130">
            <v>997959</v>
          </cell>
        </row>
        <row r="131">
          <cell r="A131" t="str">
            <v xml:space="preserve">Larguero madera común (2"x4") L=3,0 m, </v>
          </cell>
          <cell r="B131" t="str">
            <v>U</v>
          </cell>
          <cell r="C131">
            <v>4514</v>
          </cell>
        </row>
        <row r="132">
          <cell r="A132" t="str">
            <v>Lechada para ductos (acero de preesfuerzo)</v>
          </cell>
          <cell r="B132" t="str">
            <v>LT</v>
          </cell>
          <cell r="C132">
            <v>766.28459821428567</v>
          </cell>
        </row>
        <row r="133">
          <cell r="A133" t="str">
            <v>Limpiador 1/4 de galón (anclajes)</v>
          </cell>
          <cell r="B133" t="str">
            <v>U</v>
          </cell>
          <cell r="C133">
            <v>14546</v>
          </cell>
        </row>
        <row r="134">
          <cell r="A134" t="str">
            <v>Listón en guadua para empradizar</v>
          </cell>
          <cell r="B134" t="str">
            <v>U</v>
          </cell>
          <cell r="C134">
            <v>1775</v>
          </cell>
        </row>
        <row r="135">
          <cell r="A135" t="str">
            <v>MALLA ELECTROSOLDADA 40 k.s.i</v>
          </cell>
          <cell r="B135" t="str">
            <v>kg</v>
          </cell>
          <cell r="C135">
            <v>2232</v>
          </cell>
        </row>
        <row r="136">
          <cell r="A136" t="str">
            <v>Malla eslabonada, calibre 10, 6 ojos</v>
          </cell>
          <cell r="B136" t="str">
            <v>M2</v>
          </cell>
          <cell r="C136">
            <v>10939</v>
          </cell>
        </row>
        <row r="137">
          <cell r="A137" t="str">
            <v>Malla para gaviones (2M3)</v>
          </cell>
          <cell r="B137" t="str">
            <v>M3</v>
          </cell>
          <cell r="C137">
            <v>55485</v>
          </cell>
        </row>
        <row r="138">
          <cell r="A138" t="str">
            <v>MANGUERA DE ALTA PRESION</v>
          </cell>
          <cell r="B138" t="str">
            <v>ML</v>
          </cell>
          <cell r="C138">
            <v>114869</v>
          </cell>
        </row>
        <row r="139">
          <cell r="A139" t="str">
            <v>Manguera de polietileno de 3"</v>
          </cell>
          <cell r="B139" t="str">
            <v>ML</v>
          </cell>
          <cell r="C139">
            <v>7588</v>
          </cell>
        </row>
        <row r="140">
          <cell r="A140" t="str">
            <v>Manto para el refuerzo de la vegetación Tipo 5A</v>
          </cell>
          <cell r="B140" t="str">
            <v>M²</v>
          </cell>
          <cell r="C140">
            <v>13886</v>
          </cell>
        </row>
        <row r="141">
          <cell r="A141" t="str">
            <v>Manto para el refuerzo de la vegetación Tipo 5B</v>
          </cell>
          <cell r="B141" t="str">
            <v>M²</v>
          </cell>
          <cell r="C141">
            <v>13886</v>
          </cell>
        </row>
        <row r="142">
          <cell r="A142" t="str">
            <v>Manto para el refuerzo de la vegetación Tipo 5C</v>
          </cell>
          <cell r="B142" t="str">
            <v>M²</v>
          </cell>
          <cell r="C142">
            <v>13886</v>
          </cell>
        </row>
        <row r="143">
          <cell r="A143" t="str">
            <v>Manto para el refuerzo de la vegetación Tipo 5D</v>
          </cell>
          <cell r="B143" t="str">
            <v>M²</v>
          </cell>
          <cell r="D143" t="str">
            <v>sin referncia</v>
          </cell>
        </row>
        <row r="144">
          <cell r="A144" t="str">
            <v>Material de afirmado</v>
          </cell>
          <cell r="B144" t="str">
            <v>M3</v>
          </cell>
          <cell r="C144">
            <v>19323</v>
          </cell>
        </row>
        <row r="145">
          <cell r="A145" t="str">
            <v>Material de base</v>
          </cell>
          <cell r="B145" t="str">
            <v>M3</v>
          </cell>
          <cell r="C145">
            <v>31426</v>
          </cell>
        </row>
        <row r="146">
          <cell r="A146" t="str">
            <v>Material de base (gradación 1)</v>
          </cell>
          <cell r="B146" t="str">
            <v>M3</v>
          </cell>
          <cell r="C146">
            <v>31496</v>
          </cell>
        </row>
        <row r="147">
          <cell r="A147" t="str">
            <v>Material de base (gradación 2)</v>
          </cell>
          <cell r="B147" t="str">
            <v>M³</v>
          </cell>
          <cell r="C147">
            <v>33231</v>
          </cell>
        </row>
        <row r="148">
          <cell r="A148" t="str">
            <v>Material de la zona (para estabilizar bases)</v>
          </cell>
          <cell r="B148" t="str">
            <v>M³</v>
          </cell>
          <cell r="C148">
            <v>14813</v>
          </cell>
        </row>
        <row r="149">
          <cell r="A149" t="str">
            <v xml:space="preserve">Material de Sub- Base </v>
          </cell>
          <cell r="B149" t="str">
            <v>M3</v>
          </cell>
          <cell r="C149">
            <v>27244</v>
          </cell>
        </row>
        <row r="150">
          <cell r="A150" t="str">
            <v>Material de Sub- Base para Bacheo</v>
          </cell>
          <cell r="B150" t="str">
            <v>M3</v>
          </cell>
          <cell r="C150">
            <v>27577</v>
          </cell>
        </row>
        <row r="151">
          <cell r="A151" t="str">
            <v>Material drenante (tamaño máximo 3") (item 673.2)</v>
          </cell>
          <cell r="B151" t="str">
            <v>M3</v>
          </cell>
          <cell r="C151">
            <v>28705</v>
          </cell>
        </row>
        <row r="152">
          <cell r="A152" t="str">
            <v>Material filtrante (tamaño máximo 6") (item 610.2)</v>
          </cell>
          <cell r="B152" t="str">
            <v>M3</v>
          </cell>
          <cell r="C152">
            <v>22935</v>
          </cell>
        </row>
        <row r="153">
          <cell r="A153" t="str">
            <v>Material para pedraplén</v>
          </cell>
          <cell r="B153" t="str">
            <v>M3</v>
          </cell>
          <cell r="C153">
            <v>21849</v>
          </cell>
        </row>
        <row r="154">
          <cell r="A154" t="str">
            <v>Material seleccionado para relleno</v>
          </cell>
          <cell r="B154" t="str">
            <v>M3</v>
          </cell>
          <cell r="C154">
            <v>11094</v>
          </cell>
        </row>
        <row r="155">
          <cell r="A155" t="str">
            <v>Mecha Lenta</v>
          </cell>
          <cell r="B155" t="str">
            <v>M.L</v>
          </cell>
          <cell r="C155">
            <v>438</v>
          </cell>
        </row>
        <row r="156">
          <cell r="A156" t="str">
            <v>Mezcla abierta en caliente MAC-1</v>
          </cell>
          <cell r="B156" t="str">
            <v>M3</v>
          </cell>
          <cell r="C156">
            <v>339000</v>
          </cell>
        </row>
        <row r="157">
          <cell r="A157" t="str">
            <v>Mezcla abierta en caliente MAC-2</v>
          </cell>
          <cell r="B157" t="str">
            <v>M3</v>
          </cell>
          <cell r="C157">
            <v>339000</v>
          </cell>
        </row>
        <row r="158">
          <cell r="A158" t="str">
            <v>Mezcla abierta en caliente MAC-3</v>
          </cell>
          <cell r="B158" t="str">
            <v>M3</v>
          </cell>
          <cell r="C158">
            <v>339000</v>
          </cell>
        </row>
        <row r="159">
          <cell r="A159" t="str">
            <v>Mezcla abierta en caliente para bacheo</v>
          </cell>
          <cell r="B159" t="str">
            <v>M3</v>
          </cell>
          <cell r="C159">
            <v>339000</v>
          </cell>
        </row>
        <row r="160">
          <cell r="A160" t="str">
            <v>Mezcla abierta en frio MAF-1</v>
          </cell>
          <cell r="B160" t="str">
            <v>M3</v>
          </cell>
          <cell r="C160">
            <v>263167</v>
          </cell>
        </row>
        <row r="161">
          <cell r="A161" t="str">
            <v>Mezcla abierta en frio MAF-2</v>
          </cell>
          <cell r="B161" t="str">
            <v>M3</v>
          </cell>
          <cell r="C161">
            <v>263167</v>
          </cell>
        </row>
        <row r="162">
          <cell r="A162" t="str">
            <v>Mezcla abierta en frio MAF-3</v>
          </cell>
          <cell r="B162" t="str">
            <v>M3</v>
          </cell>
          <cell r="C162">
            <v>266586</v>
          </cell>
        </row>
        <row r="163">
          <cell r="A163" t="str">
            <v>Mezcla abierta en frio para bacheo</v>
          </cell>
          <cell r="B163" t="str">
            <v>M3</v>
          </cell>
          <cell r="C163">
            <v>263167</v>
          </cell>
        </row>
        <row r="164">
          <cell r="A164" t="str">
            <v>Mezcla asfáltica reciclada en caliente tipo MDC-2</v>
          </cell>
          <cell r="B164" t="str">
            <v>M³</v>
          </cell>
        </row>
        <row r="165">
          <cell r="A165" t="str">
            <v>Mezcla asfáltica reciclada en caliente tipo MSC-1</v>
          </cell>
          <cell r="B165" t="str">
            <v>M³</v>
          </cell>
        </row>
        <row r="166">
          <cell r="A166" t="str">
            <v xml:space="preserve">Mezcla de alto módulo </v>
          </cell>
          <cell r="B166" t="str">
            <v>M3</v>
          </cell>
          <cell r="C166">
            <v>482444</v>
          </cell>
        </row>
        <row r="167">
          <cell r="A167" t="str">
            <v>Mezcla densa en caliente MDC-1</v>
          </cell>
          <cell r="B167" t="str">
            <v>M3</v>
          </cell>
          <cell r="C167">
            <v>358915</v>
          </cell>
        </row>
        <row r="168">
          <cell r="A168" t="str">
            <v>Mezcla densa en caliente MDC-2</v>
          </cell>
          <cell r="B168" t="str">
            <v>M3</v>
          </cell>
          <cell r="C168">
            <v>371279</v>
          </cell>
        </row>
        <row r="169">
          <cell r="A169" t="str">
            <v>Mezcla densa en caliente MDC-3</v>
          </cell>
          <cell r="B169" t="str">
            <v>M3</v>
          </cell>
          <cell r="C169">
            <v>415088</v>
          </cell>
        </row>
        <row r="170">
          <cell r="A170" t="str">
            <v>Mezcla densa en frio MDF-1</v>
          </cell>
          <cell r="B170" t="str">
            <v>M3</v>
          </cell>
          <cell r="C170">
            <v>257000</v>
          </cell>
        </row>
        <row r="171">
          <cell r="A171" t="str">
            <v>Mezcla densa en frio MDF-2</v>
          </cell>
          <cell r="B171" t="str">
            <v>M3</v>
          </cell>
          <cell r="C171">
            <v>263000</v>
          </cell>
        </row>
        <row r="172">
          <cell r="A172" t="str">
            <v>Mezcla densa en frio MDF-3</v>
          </cell>
          <cell r="B172" t="str">
            <v>M3</v>
          </cell>
          <cell r="C172">
            <v>263000</v>
          </cell>
        </row>
        <row r="173">
          <cell r="A173" t="str">
            <v>Mezcla densa en frio para bacheo</v>
          </cell>
          <cell r="B173" t="str">
            <v>M3</v>
          </cell>
          <cell r="C173">
            <v>257000</v>
          </cell>
        </row>
        <row r="174">
          <cell r="A174" t="str">
            <v>Mezcla discontinua en caliente F-1</v>
          </cell>
          <cell r="B174" t="str">
            <v>M3</v>
          </cell>
          <cell r="C174">
            <v>585794</v>
          </cell>
        </row>
        <row r="175">
          <cell r="A175" t="str">
            <v>Mezcla discontinua en caliente F-2</v>
          </cell>
          <cell r="B175" t="str">
            <v>M3</v>
          </cell>
          <cell r="C175">
            <v>585794</v>
          </cell>
        </row>
        <row r="176">
          <cell r="A176" t="str">
            <v>Mezcla discontinua en caliente M-1</v>
          </cell>
          <cell r="B176" t="str">
            <v>M3</v>
          </cell>
          <cell r="C176">
            <v>449000</v>
          </cell>
        </row>
        <row r="177">
          <cell r="A177" t="str">
            <v>Mezcla discontinua en caliente M-2</v>
          </cell>
          <cell r="B177" t="str">
            <v>M3</v>
          </cell>
          <cell r="C177">
            <v>449000</v>
          </cell>
        </row>
        <row r="178">
          <cell r="A178" t="str">
            <v>Mezcla drenante</v>
          </cell>
          <cell r="B178" t="str">
            <v>M³</v>
          </cell>
          <cell r="C178">
            <v>528864</v>
          </cell>
        </row>
        <row r="179">
          <cell r="A179" t="str">
            <v>Mezcla en caliente para bacheo</v>
          </cell>
          <cell r="B179" t="str">
            <v>M3</v>
          </cell>
          <cell r="C179">
            <v>371279</v>
          </cell>
        </row>
        <row r="180">
          <cell r="A180" t="str">
            <v>Mezcla gruesa en caliente tipo MGC-0</v>
          </cell>
          <cell r="B180" t="str">
            <v>M3</v>
          </cell>
          <cell r="C180">
            <v>342853</v>
          </cell>
        </row>
        <row r="181">
          <cell r="A181" t="str">
            <v>Mezcla gruesa en caliente tipo MGC-1</v>
          </cell>
          <cell r="B181" t="str">
            <v>M3</v>
          </cell>
        </row>
        <row r="182">
          <cell r="A182" t="str">
            <v>Mezcla semidensa en caliente tipo MSC-1</v>
          </cell>
          <cell r="B182" t="str">
            <v>M3</v>
          </cell>
          <cell r="C182">
            <v>342082</v>
          </cell>
        </row>
        <row r="183">
          <cell r="A183" t="str">
            <v>Mezcla semidensa en caliente tipo MSC-2</v>
          </cell>
          <cell r="B183" t="str">
            <v>M3</v>
          </cell>
          <cell r="C183">
            <v>342620</v>
          </cell>
        </row>
        <row r="184">
          <cell r="A184" t="str">
            <v>Mortero 1:3</v>
          </cell>
          <cell r="B184" t="str">
            <v>M3</v>
          </cell>
          <cell r="C184">
            <v>357058</v>
          </cell>
        </row>
        <row r="185">
          <cell r="A185" t="str">
            <v>Mortero 1:4</v>
          </cell>
          <cell r="B185" t="str">
            <v>M3</v>
          </cell>
          <cell r="C185">
            <v>303336</v>
          </cell>
        </row>
        <row r="186">
          <cell r="A186" t="str">
            <v>MORTERO ALTA RESISTENCIA (EUCOCRETE)</v>
          </cell>
          <cell r="B186" t="str">
            <v>M³</v>
          </cell>
          <cell r="C186">
            <v>8886775</v>
          </cell>
        </row>
        <row r="187">
          <cell r="A187" t="str">
            <v xml:space="preserve">Nutrientes (para remoción de especies vegetales) (dap, triple 15, urea o similar) (item 201.9) </v>
          </cell>
          <cell r="B187" t="str">
            <v>M³</v>
          </cell>
          <cell r="C187">
            <v>1496</v>
          </cell>
        </row>
        <row r="188">
          <cell r="A188" t="str">
            <v>Obra falsa concreto clase A y B (puntal de 3m metálico)</v>
          </cell>
          <cell r="B188" t="str">
            <v>M³</v>
          </cell>
          <cell r="C188">
            <v>36625</v>
          </cell>
        </row>
        <row r="189">
          <cell r="A189" t="str">
            <v>Oxigeno industrial</v>
          </cell>
          <cell r="B189" t="str">
            <v>KG</v>
          </cell>
          <cell r="C189">
            <v>1176</v>
          </cell>
        </row>
        <row r="190">
          <cell r="A190" t="str">
            <v>Paral en madera rolliza de 3" (tablestacados)</v>
          </cell>
          <cell r="B190" t="str">
            <v>M.L</v>
          </cell>
          <cell r="C190">
            <v>6940</v>
          </cell>
        </row>
        <row r="191">
          <cell r="A191" t="str">
            <v>Paral en madera rolliza de 5" y 4,5 m de longitud (tablestacados)</v>
          </cell>
          <cell r="B191" t="str">
            <v>U</v>
          </cell>
          <cell r="C191">
            <v>85725</v>
          </cell>
        </row>
        <row r="192">
          <cell r="A192" t="str">
            <v>Paral en madera rolliza de 6" y 5m de longitud (tablestacados)</v>
          </cell>
          <cell r="B192" t="str">
            <v>U</v>
          </cell>
          <cell r="C192">
            <v>123597</v>
          </cell>
        </row>
        <row r="193">
          <cell r="A193" t="str">
            <v>Paral en madera rolliza de 6" y 8m de longitud (tablestacados)</v>
          </cell>
          <cell r="B193" t="str">
            <v>U</v>
          </cell>
          <cell r="C193">
            <v>245730</v>
          </cell>
        </row>
        <row r="194">
          <cell r="A194" t="str">
            <v>Pegante epóxico</v>
          </cell>
          <cell r="B194" t="str">
            <v>KG</v>
          </cell>
          <cell r="C194">
            <v>23331</v>
          </cell>
        </row>
        <row r="195">
          <cell r="A195" t="str">
            <v>Piedra para concreto ciclópeo (rajón o canto rodado)</v>
          </cell>
          <cell r="B195" t="str">
            <v>M3</v>
          </cell>
          <cell r="C195">
            <v>32178</v>
          </cell>
        </row>
        <row r="196">
          <cell r="A196" t="str">
            <v>Piedra para gavión</v>
          </cell>
          <cell r="B196" t="str">
            <v>M3</v>
          </cell>
          <cell r="C196">
            <v>32029</v>
          </cell>
        </row>
        <row r="197">
          <cell r="A197" t="str">
            <v>Pilote en madera barbosco de 15*15</v>
          </cell>
          <cell r="B197" t="str">
            <v>M.L</v>
          </cell>
          <cell r="C197">
            <v>68620</v>
          </cell>
        </row>
        <row r="198">
          <cell r="A198" t="str">
            <v>Pilote prefabricado de concreto diametro 30 cm</v>
          </cell>
          <cell r="B198" t="str">
            <v>ML</v>
          </cell>
          <cell r="C198">
            <v>78992</v>
          </cell>
        </row>
        <row r="199">
          <cell r="A199" t="str">
            <v>Pilote prefabricado de concreto diametro 35 cm</v>
          </cell>
          <cell r="B199" t="str">
            <v>ML</v>
          </cell>
          <cell r="C199">
            <v>105418</v>
          </cell>
        </row>
        <row r="200">
          <cell r="A200" t="str">
            <v>Pilote prefabricado de concreto diametro 40 cm</v>
          </cell>
          <cell r="B200" t="str">
            <v>ML</v>
          </cell>
          <cell r="C200">
            <v>136815</v>
          </cell>
        </row>
        <row r="201">
          <cell r="A201" t="str">
            <v>Pintura acrilica pura para tráfico</v>
          </cell>
          <cell r="B201" t="str">
            <v>GALON</v>
          </cell>
          <cell r="C201">
            <v>70320</v>
          </cell>
        </row>
        <row r="202">
          <cell r="A202" t="str">
            <v>Pintura acrilica, esmalte o similar (pintura de estructuras metálicas) (item 650.4)</v>
          </cell>
          <cell r="B202" t="str">
            <v>GALON</v>
          </cell>
          <cell r="C202">
            <v>83833</v>
          </cell>
        </row>
        <row r="203">
          <cell r="A203" t="str">
            <v>Pintura anticorrosiva</v>
          </cell>
          <cell r="B203" t="str">
            <v>GALON</v>
          </cell>
          <cell r="C203">
            <v>36668</v>
          </cell>
        </row>
        <row r="204">
          <cell r="A204" t="str">
            <v>PINTURA TERMOPLASTICA</v>
          </cell>
          <cell r="B204" t="str">
            <v>GL</v>
          </cell>
          <cell r="D204" t="str">
            <v>sin referncia</v>
          </cell>
        </row>
        <row r="205">
          <cell r="A205" t="str">
            <v>Platina de 1" x 1/4" (cerramiento en malla)</v>
          </cell>
          <cell r="B205" t="str">
            <v>M.L</v>
          </cell>
          <cell r="C205">
            <v>2788</v>
          </cell>
        </row>
        <row r="206">
          <cell r="A206" t="str">
            <v>Poliflex o similar</v>
          </cell>
          <cell r="B206" t="str">
            <v>kg</v>
          </cell>
          <cell r="C206">
            <v>3500</v>
          </cell>
        </row>
        <row r="207">
          <cell r="A207" t="str">
            <v>Poste de kilometraje</v>
          </cell>
          <cell r="B207" t="str">
            <v>U</v>
          </cell>
          <cell r="C207">
            <v>50286</v>
          </cell>
        </row>
        <row r="208">
          <cell r="A208" t="str">
            <v>Poste de madera para cercas</v>
          </cell>
          <cell r="B208" t="str">
            <v>ML</v>
          </cell>
          <cell r="C208">
            <v>12622</v>
          </cell>
        </row>
        <row r="209">
          <cell r="A209" t="str">
            <v>Poste en angulo de 2*2*1/4 de 3,5m para señal</v>
          </cell>
          <cell r="B209" t="str">
            <v>U</v>
          </cell>
          <cell r="C209">
            <v>114475</v>
          </cell>
        </row>
        <row r="210">
          <cell r="A210" t="str">
            <v>Postes de concreto para cercas</v>
          </cell>
          <cell r="B210" t="str">
            <v>U</v>
          </cell>
          <cell r="C210">
            <v>42663</v>
          </cell>
        </row>
        <row r="211">
          <cell r="A211" t="str">
            <v>Postes para defensa metálica (1,80m)</v>
          </cell>
          <cell r="B211" t="str">
            <v>U</v>
          </cell>
          <cell r="C211">
            <v>104931</v>
          </cell>
        </row>
        <row r="212">
          <cell r="A212" t="str">
            <v>Producto enrollado para control de erosion tipo 1A</v>
          </cell>
          <cell r="B212" t="str">
            <v>M2</v>
          </cell>
          <cell r="C212">
            <v>2872</v>
          </cell>
        </row>
        <row r="213">
          <cell r="A213" t="str">
            <v>Producto enrollado para control de erosion tipo 1B</v>
          </cell>
          <cell r="B213" t="str">
            <v>M2</v>
          </cell>
          <cell r="C213">
            <v>2872</v>
          </cell>
        </row>
        <row r="214">
          <cell r="A214" t="str">
            <v>Producto enrollado para control de erosion tipo 1C</v>
          </cell>
          <cell r="B214" t="str">
            <v>M2</v>
          </cell>
          <cell r="C214">
            <v>3316</v>
          </cell>
        </row>
        <row r="215">
          <cell r="A215" t="str">
            <v>Producto enrollado para control de erosión Tipo 1D</v>
          </cell>
          <cell r="B215" t="str">
            <v>M²</v>
          </cell>
          <cell r="C215">
            <v>4024</v>
          </cell>
        </row>
        <row r="216">
          <cell r="A216" t="str">
            <v>Producto enrollado para control de erosion tipo 2A</v>
          </cell>
          <cell r="B216" t="str">
            <v>M2</v>
          </cell>
          <cell r="C216">
            <v>2872</v>
          </cell>
        </row>
        <row r="217">
          <cell r="A217" t="str">
            <v>Producto enrollado para control de erosión Tipo 2B</v>
          </cell>
          <cell r="B217" t="str">
            <v>M²</v>
          </cell>
          <cell r="C217">
            <v>3489</v>
          </cell>
        </row>
        <row r="218">
          <cell r="A218" t="str">
            <v>Producto enrollado para control de erosion tipo 2C</v>
          </cell>
          <cell r="B218" t="str">
            <v>M2</v>
          </cell>
          <cell r="C218">
            <v>3489</v>
          </cell>
        </row>
        <row r="219">
          <cell r="A219" t="str">
            <v>Producto enrollado para control de erosion tipo 2D</v>
          </cell>
          <cell r="B219" t="str">
            <v>M2</v>
          </cell>
          <cell r="C219">
            <v>4022</v>
          </cell>
        </row>
        <row r="220">
          <cell r="A220" t="str">
            <v>Producto enrollado para control de erosión Tipo 3A</v>
          </cell>
          <cell r="B220" t="str">
            <v>M²</v>
          </cell>
          <cell r="C220">
            <v>3489</v>
          </cell>
        </row>
        <row r="221">
          <cell r="A221" t="str">
            <v>Producto enrollado para control de erosión Tipo 3B</v>
          </cell>
          <cell r="B221" t="str">
            <v>M²</v>
          </cell>
          <cell r="C221">
            <v>4016</v>
          </cell>
        </row>
        <row r="222">
          <cell r="A222" t="str">
            <v>Producto enrollado para control de erosión Tipo 4</v>
          </cell>
          <cell r="B222" t="str">
            <v>M²</v>
          </cell>
          <cell r="C222">
            <v>4771</v>
          </cell>
        </row>
        <row r="223">
          <cell r="A223" t="str">
            <v>Producto enrollado para control de erosion tipo 5A</v>
          </cell>
          <cell r="B223" t="str">
            <v>M2</v>
          </cell>
          <cell r="C223">
            <v>13889</v>
          </cell>
        </row>
        <row r="224">
          <cell r="A224" t="str">
            <v>Producto enrollado para control de erosion tipo 5B</v>
          </cell>
          <cell r="B224" t="str">
            <v>M2</v>
          </cell>
          <cell r="C224">
            <v>13889</v>
          </cell>
        </row>
        <row r="225">
          <cell r="A225" t="str">
            <v>Producto enrollado para control de erosion tipo 5C</v>
          </cell>
          <cell r="B225" t="str">
            <v>M2</v>
          </cell>
          <cell r="C225">
            <v>13889</v>
          </cell>
        </row>
        <row r="226">
          <cell r="A226" t="str">
            <v>Quimico estabilizante (probase)</v>
          </cell>
          <cell r="B226" t="str">
            <v>LT</v>
          </cell>
          <cell r="C226">
            <v>565196</v>
          </cell>
        </row>
        <row r="227">
          <cell r="A227" t="str">
            <v>Resina termoplastica</v>
          </cell>
          <cell r="B227" t="str">
            <v>KG</v>
          </cell>
          <cell r="C227">
            <v>13912</v>
          </cell>
        </row>
        <row r="228">
          <cell r="A228" t="str">
            <v>Salida en PVC D=2" (accesorio para drenes horizontales de 2")</v>
          </cell>
          <cell r="B228" t="str">
            <v>M.L</v>
          </cell>
          <cell r="C228">
            <v>3038</v>
          </cell>
        </row>
        <row r="229">
          <cell r="A229" t="str">
            <v>Sección final de defensa metálica</v>
          </cell>
          <cell r="B229" t="str">
            <v>U</v>
          </cell>
          <cell r="C229">
            <v>41717</v>
          </cell>
        </row>
        <row r="230">
          <cell r="A230" t="str">
            <v>Sello de silicona o sellador autonivelante</v>
          </cell>
          <cell r="B230" t="str">
            <v>U</v>
          </cell>
          <cell r="C230">
            <v>7713</v>
          </cell>
        </row>
        <row r="231">
          <cell r="A231" t="str">
            <v>Semillas para empradizar</v>
          </cell>
          <cell r="B231" t="str">
            <v>KG</v>
          </cell>
          <cell r="C231">
            <v>41416</v>
          </cell>
        </row>
        <row r="232">
          <cell r="A232" t="str">
            <v>Señal (grupo 1). Tablero en lámina galvanizada de 75cm*75cm, calibre 16, reflectivo tipo 1.</v>
          </cell>
          <cell r="B232" t="str">
            <v>U</v>
          </cell>
          <cell r="C232">
            <v>111905</v>
          </cell>
        </row>
        <row r="233">
          <cell r="A233" t="str">
            <v xml:space="preserve">Señal (grupo 2). Tablero en lámina galvanizado de 1,2m*0,4m, calibre 16, reflectivo tipo 1. </v>
          </cell>
          <cell r="B233" t="str">
            <v>U</v>
          </cell>
          <cell r="C233">
            <v>232880</v>
          </cell>
        </row>
        <row r="234">
          <cell r="A234" t="str">
            <v xml:space="preserve">Señal (grupo 3 ferrocarril) (SP-54). Tablero en lámina galvanizado de 2,4m*0,3m, calibre 16, reflectivo tipo 1. </v>
          </cell>
          <cell r="B234" t="str">
            <v>U</v>
          </cell>
          <cell r="C234">
            <v>200300</v>
          </cell>
        </row>
        <row r="235">
          <cell r="A235" t="str">
            <v>Señal (grupo 4). Tablero en lámina galvanizado de 60cm*75cm, calibre 16, reflectivo tipo 1. (delineador de curva horizontal)</v>
          </cell>
          <cell r="B235" t="str">
            <v>U</v>
          </cell>
          <cell r="C235">
            <v>75645</v>
          </cell>
        </row>
        <row r="236">
          <cell r="A236" t="str">
            <v xml:space="preserve">Señal (grupo 5). Tablero en lámina galvanizado de 0,90m*1,13m, calibre 16, reflectivo tipo 1. </v>
          </cell>
          <cell r="B236" t="str">
            <v>U</v>
          </cell>
          <cell r="C236">
            <v>117797</v>
          </cell>
        </row>
        <row r="237">
          <cell r="A237" t="str">
            <v>Soldadura 6013 de 1/8</v>
          </cell>
          <cell r="B237" t="str">
            <v>KG</v>
          </cell>
          <cell r="C237">
            <v>7095</v>
          </cell>
        </row>
        <row r="238">
          <cell r="A238" t="str">
            <v>Soldadura 7018</v>
          </cell>
          <cell r="B238" t="str">
            <v>KG</v>
          </cell>
          <cell r="C238">
            <v>7797</v>
          </cell>
        </row>
        <row r="239">
          <cell r="A239" t="str">
            <v>Soldadura en PVC 1/8 de galón (anclajes)</v>
          </cell>
          <cell r="B239" t="str">
            <v>U</v>
          </cell>
          <cell r="C239">
            <v>28158</v>
          </cell>
        </row>
        <row r="240">
          <cell r="A240" t="str">
            <v>Soldadura L-70</v>
          </cell>
          <cell r="B240" t="str">
            <v>U</v>
          </cell>
          <cell r="C240">
            <v>8598</v>
          </cell>
        </row>
        <row r="241">
          <cell r="A241" t="str">
            <v>Superplastificante sikament</v>
          </cell>
          <cell r="B241" t="str">
            <v>KG</v>
          </cell>
          <cell r="C241">
            <v>7907</v>
          </cell>
        </row>
        <row r="242">
          <cell r="A242" t="str">
            <v>Tabla madera común L=3,0 m, e=3 cm, b=20 cm</v>
          </cell>
          <cell r="B242" t="str">
            <v>U</v>
          </cell>
          <cell r="C242">
            <v>9156</v>
          </cell>
        </row>
        <row r="243">
          <cell r="A243" t="str">
            <v>Tablestaca en madera aserrada (0,23*0,05*3)</v>
          </cell>
          <cell r="B243" t="str">
            <v>U</v>
          </cell>
          <cell r="C243">
            <v>50435</v>
          </cell>
        </row>
        <row r="244">
          <cell r="A244" t="str">
            <v>Tablestaca en madera aserrada (0,3*0,03*3)</v>
          </cell>
          <cell r="B244" t="str">
            <v>U</v>
          </cell>
          <cell r="C244">
            <v>50082</v>
          </cell>
        </row>
        <row r="245">
          <cell r="A245" t="str">
            <v>Tablestaca metálica (riel de 70 lb/yarda)</v>
          </cell>
          <cell r="B245" t="str">
            <v>M</v>
          </cell>
          <cell r="C245">
            <v>142158</v>
          </cell>
        </row>
        <row r="246">
          <cell r="A246" t="str">
            <v>Tacha reflectiva</v>
          </cell>
          <cell r="B246" t="str">
            <v>U</v>
          </cell>
          <cell r="C246">
            <v>4750</v>
          </cell>
        </row>
        <row r="247">
          <cell r="A247" t="str">
            <v>Taco redondo L=2,80 m</v>
          </cell>
          <cell r="B247" t="str">
            <v>U</v>
          </cell>
          <cell r="C247">
            <v>1801</v>
          </cell>
        </row>
        <row r="248">
          <cell r="A248" t="str">
            <v>Tapón en PVC RD21 de 1" (para anclajes)</v>
          </cell>
          <cell r="B248" t="str">
            <v>U</v>
          </cell>
          <cell r="C248">
            <v>813</v>
          </cell>
        </row>
        <row r="249">
          <cell r="A249" t="str">
            <v>Textil de tejido abierto TTA</v>
          </cell>
          <cell r="B249" t="str">
            <v>M2</v>
          </cell>
          <cell r="C249">
            <v>4485</v>
          </cell>
        </row>
        <row r="250">
          <cell r="A250" t="str">
            <v xml:space="preserve">Tierra abonada </v>
          </cell>
          <cell r="B250" t="str">
            <v>M3</v>
          </cell>
          <cell r="C250">
            <v>62336</v>
          </cell>
        </row>
        <row r="251">
          <cell r="A251" t="str">
            <v>Tornillos de Fijacion L=12mm</v>
          </cell>
          <cell r="B251" t="str">
            <v>U</v>
          </cell>
          <cell r="C251">
            <v>1163</v>
          </cell>
        </row>
        <row r="252">
          <cell r="A252" t="str">
            <v>Tornillos para defensa metálica</v>
          </cell>
          <cell r="B252" t="str">
            <v>U</v>
          </cell>
          <cell r="C252">
            <v>1740</v>
          </cell>
        </row>
        <row r="253">
          <cell r="A253" t="str">
            <v>Torón de tensionmiento 1/2" o 5/8" (acero de preesfuerzo) (item 641)</v>
          </cell>
          <cell r="B253" t="str">
            <v>KG</v>
          </cell>
          <cell r="C253">
            <v>4079</v>
          </cell>
        </row>
        <row r="254">
          <cell r="A254" t="str">
            <v>Tramo recto para defensas metalicas</v>
          </cell>
          <cell r="B254" t="str">
            <v>M</v>
          </cell>
          <cell r="C254">
            <v>54057</v>
          </cell>
        </row>
        <row r="255">
          <cell r="A255" t="str">
            <v>TRANSDUCTORES ELECTRONICOS (INCLUYE CABLES, PROTECCION CONTRA EL CONCRETO Y PANEL DE LECTURA)</v>
          </cell>
          <cell r="B255" t="str">
            <v>U</v>
          </cell>
          <cell r="C255">
            <v>1723042</v>
          </cell>
        </row>
        <row r="256">
          <cell r="A256" t="str">
            <v>TRANSDUCTORES MECANICOS (INCLUYE CABLES, PROTECCION CONTRA EL CONCRETO Y PANEL DE LECTURA)</v>
          </cell>
          <cell r="B256" t="str">
            <v>U</v>
          </cell>
          <cell r="C256">
            <v>1023382</v>
          </cell>
        </row>
        <row r="257">
          <cell r="A257" t="str">
            <v>Triturado tamaño maximo 3/4" y 1"</v>
          </cell>
          <cell r="B257" t="str">
            <v>U</v>
          </cell>
          <cell r="C257">
            <v>32400</v>
          </cell>
        </row>
        <row r="258">
          <cell r="A258" t="str">
            <v>Trompetas de 12 torones (acero de preesfuerzo) (item 641)</v>
          </cell>
          <cell r="B258" t="str">
            <v>KG</v>
          </cell>
          <cell r="C258">
            <v>269911</v>
          </cell>
        </row>
        <row r="259">
          <cell r="A259" t="str">
            <v>Tubería D=4" tipo pesado, E=2mm (baranda metálica)</v>
          </cell>
          <cell r="B259" t="str">
            <v>ML</v>
          </cell>
          <cell r="C259">
            <v>19174</v>
          </cell>
        </row>
        <row r="260">
          <cell r="A260" t="str">
            <v>Tuberia de 10" paRa vaciado tremi de 4 mts</v>
          </cell>
          <cell r="B260" t="str">
            <v>ML</v>
          </cell>
          <cell r="C260">
            <v>65706</v>
          </cell>
        </row>
        <row r="261">
          <cell r="A261" t="str">
            <v>Tubería en H de D=1/4", H=1.40m, A=0.20m (baranda metálica)</v>
          </cell>
          <cell r="B261" t="str">
            <v>KG</v>
          </cell>
          <cell r="C261">
            <v>61412</v>
          </cell>
        </row>
        <row r="262">
          <cell r="A262" t="str">
            <v>Tuberia Perforada en PVC de 2" (drenes horizontales de 2")</v>
          </cell>
          <cell r="B262" t="str">
            <v>ML</v>
          </cell>
          <cell r="C262">
            <v>11979</v>
          </cell>
        </row>
        <row r="263">
          <cell r="A263" t="str">
            <v>Tuberia PVC de 1" (para escamas en concreto)</v>
          </cell>
          <cell r="B263" t="str">
            <v>ML</v>
          </cell>
          <cell r="C263">
            <v>11445</v>
          </cell>
        </row>
        <row r="264">
          <cell r="A264" t="str">
            <v>Tuberia PVC RD21 de 1" (para anclajes)</v>
          </cell>
          <cell r="B264" t="str">
            <v>ML</v>
          </cell>
          <cell r="C264">
            <v>6076</v>
          </cell>
        </row>
        <row r="265">
          <cell r="A265" t="str">
            <v>Tubo concreto reforzado 900mm (tipo 1)</v>
          </cell>
          <cell r="B265" t="str">
            <v>ML</v>
          </cell>
          <cell r="C265">
            <v>324481</v>
          </cell>
        </row>
        <row r="266">
          <cell r="A266" t="str">
            <v>Tubo concreto reforzado 900mm (tipo 2)</v>
          </cell>
          <cell r="B266" t="str">
            <v>ML</v>
          </cell>
          <cell r="C266">
            <v>328059</v>
          </cell>
        </row>
        <row r="267">
          <cell r="A267" t="str">
            <v>Tubo concreto simple 450mm</v>
          </cell>
          <cell r="B267" t="str">
            <v>ML</v>
          </cell>
          <cell r="C267">
            <v>72597</v>
          </cell>
        </row>
        <row r="268">
          <cell r="A268" t="str">
            <v>Tubo concreto simple 500 mm</v>
          </cell>
          <cell r="B268" t="str">
            <v>ML</v>
          </cell>
          <cell r="C268">
            <v>92030</v>
          </cell>
        </row>
        <row r="269">
          <cell r="A269" t="str">
            <v>Tubo concreto simple 600 mm</v>
          </cell>
          <cell r="B269" t="str">
            <v>ML</v>
          </cell>
          <cell r="C269">
            <v>132104</v>
          </cell>
        </row>
        <row r="270">
          <cell r="A270" t="str">
            <v>Tubo corrugado de acero galvanizado MP-68</v>
          </cell>
          <cell r="B270" t="str">
            <v>ML</v>
          </cell>
          <cell r="C270">
            <v>461577</v>
          </cell>
        </row>
        <row r="271">
          <cell r="A271" t="str">
            <v>TUBO METALICO DE ALTA RESISTENCIA</v>
          </cell>
          <cell r="B271" t="str">
            <v>ML</v>
          </cell>
          <cell r="C271">
            <v>64202</v>
          </cell>
        </row>
        <row r="272">
          <cell r="A272" t="str">
            <v>Tubo para cerramiento, calibre 16 de 2,7m (cerramientos en malla) de 2" de diámetro</v>
          </cell>
          <cell r="B272" t="str">
            <v>UN</v>
          </cell>
          <cell r="C272">
            <v>50732</v>
          </cell>
        </row>
        <row r="273">
          <cell r="A273" t="str">
            <v>Unión en PVC D=2" (accesorio para drenes horizontales de 2")</v>
          </cell>
          <cell r="B273" t="str">
            <v>U</v>
          </cell>
          <cell r="C273">
            <v>3192</v>
          </cell>
        </row>
        <row r="274">
          <cell r="A274" t="str">
            <v>Unión en PVC RD21 de 1" (para anclajes)</v>
          </cell>
          <cell r="B274" t="str">
            <v>U</v>
          </cell>
          <cell r="C274">
            <v>780</v>
          </cell>
        </row>
        <row r="275">
          <cell r="A275" t="str">
            <v>UNIONES ESPECIALES DE ALTA RESISTENCIA PARA TUBERIA</v>
          </cell>
          <cell r="B275" t="str">
            <v>U</v>
          </cell>
          <cell r="C275">
            <v>48631</v>
          </cell>
        </row>
        <row r="278">
          <cell r="F278">
            <v>0.64</v>
          </cell>
        </row>
        <row r="280">
          <cell r="A280" t="str">
            <v>Formaleta para camisa de pilote</v>
          </cell>
          <cell r="B280" t="str">
            <v>M2</v>
          </cell>
          <cell r="C280">
            <v>1400</v>
          </cell>
        </row>
        <row r="281">
          <cell r="A281" t="str">
            <v>Cuñas para tensionamiento de 0.5"</v>
          </cell>
          <cell r="B281" t="str">
            <v>U</v>
          </cell>
          <cell r="C281">
            <v>11426</v>
          </cell>
        </row>
        <row r="282">
          <cell r="A282" t="str">
            <v>Cuñas para tensionamiento de 0.6"</v>
          </cell>
          <cell r="B282" t="str">
            <v>U</v>
          </cell>
          <cell r="C282">
            <v>13803.999999999998</v>
          </cell>
        </row>
        <row r="283">
          <cell r="A283" t="str">
            <v>Ducto para tensionamiento 7 torones de 0.5"</v>
          </cell>
          <cell r="B283" t="str">
            <v>ML</v>
          </cell>
          <cell r="C283">
            <v>4872</v>
          </cell>
        </row>
        <row r="284">
          <cell r="A284" t="str">
            <v>Ducto para tensionamiento 12 torones de 0.5 o 7 torones de 0.6"</v>
          </cell>
          <cell r="B284" t="str">
            <v>ML</v>
          </cell>
          <cell r="C284">
            <v>5800</v>
          </cell>
        </row>
        <row r="285">
          <cell r="A285" t="str">
            <v>Ducto para tensionamiento 12 torones de 0.6"</v>
          </cell>
          <cell r="B285" t="str">
            <v>ML</v>
          </cell>
          <cell r="C285">
            <v>6380</v>
          </cell>
        </row>
        <row r="286">
          <cell r="A286" t="str">
            <v>Anclajes (Botones) VSL para 7 torones de 0.5"</v>
          </cell>
          <cell r="B286" t="str">
            <v>U</v>
          </cell>
          <cell r="C286">
            <v>121799.99999999999</v>
          </cell>
        </row>
        <row r="287">
          <cell r="A287" t="str">
            <v>Anclajes (Botones) VSL para 12 torones de 0.5"</v>
          </cell>
          <cell r="B287" t="str">
            <v>U</v>
          </cell>
          <cell r="C287">
            <v>168200</v>
          </cell>
        </row>
        <row r="288">
          <cell r="A288" t="str">
            <v>Anclajes (Botones) VSL para 7 torones de 0.6"</v>
          </cell>
          <cell r="B288" t="str">
            <v>U</v>
          </cell>
          <cell r="C288">
            <v>150800</v>
          </cell>
        </row>
        <row r="289">
          <cell r="A289" t="str">
            <v>Anclajes (Botones) VSL para 12 torones de 0.6"</v>
          </cell>
          <cell r="B289" t="str">
            <v>U</v>
          </cell>
          <cell r="C289">
            <v>208800</v>
          </cell>
        </row>
        <row r="290">
          <cell r="A290" t="str">
            <v>Trompeta para 7 torones de 0.5"</v>
          </cell>
          <cell r="B290" t="str">
            <v>U</v>
          </cell>
          <cell r="C290">
            <v>45001.16</v>
          </cell>
        </row>
        <row r="291">
          <cell r="A291" t="str">
            <v>Trompeta para 12 torones de 0.5"</v>
          </cell>
          <cell r="B291" t="str">
            <v>U</v>
          </cell>
          <cell r="C291">
            <v>80001.16</v>
          </cell>
        </row>
        <row r="292">
          <cell r="A292" t="str">
            <v>Trompeta para 7 torones de 0.6"</v>
          </cell>
          <cell r="B292" t="str">
            <v>U</v>
          </cell>
          <cell r="C292">
            <v>60001.16</v>
          </cell>
        </row>
        <row r="293">
          <cell r="A293" t="str">
            <v>Trompeta para 12 torones de 0.6"</v>
          </cell>
          <cell r="B293" t="str">
            <v>U</v>
          </cell>
          <cell r="C293">
            <v>110001.16</v>
          </cell>
        </row>
        <row r="295">
          <cell r="A295" t="str">
            <v>CELDA ESPECIAL DE CARGA</v>
          </cell>
          <cell r="B295" t="str">
            <v>U</v>
          </cell>
          <cell r="C295">
            <v>20377500</v>
          </cell>
        </row>
        <row r="296">
          <cell r="A296" t="str">
            <v>MANGUERA DE ALTA PRESION</v>
          </cell>
          <cell r="B296" t="str">
            <v>ML</v>
          </cell>
          <cell r="C296">
            <v>114950</v>
          </cell>
        </row>
        <row r="297">
          <cell r="A297" t="str">
            <v>TUBO METALICO DE ALTA RESISTENCIA</v>
          </cell>
          <cell r="B297" t="str">
            <v>ML</v>
          </cell>
          <cell r="C297">
            <v>64247</v>
          </cell>
        </row>
        <row r="298">
          <cell r="A298" t="str">
            <v>UNIONES ESPECIALES DE ALTA RESISTENCIA PARA TUBERIA</v>
          </cell>
          <cell r="B298" t="str">
            <v>U</v>
          </cell>
          <cell r="C298">
            <v>48666</v>
          </cell>
        </row>
        <row r="299">
          <cell r="A299" t="str">
            <v>TRANSDUCTORES ELECTRONICOS (INCLUYE CABLES, PROTECCION CONTRA EL CONCRETO Y PANEL DE LECTURA)</v>
          </cell>
          <cell r="B299" t="str">
            <v>U</v>
          </cell>
          <cell r="C299">
            <v>1724250</v>
          </cell>
        </row>
        <row r="300">
          <cell r="A300" t="str">
            <v>TRANSDUCTORES MECANICOS (INCLUYE CABLES, PROTECCION CONTRA EL CONCRETO Y PANEL DE LECTURA)</v>
          </cell>
          <cell r="B300" t="str">
            <v>U</v>
          </cell>
          <cell r="C300">
            <v>1024100</v>
          </cell>
        </row>
      </sheetData>
      <sheetData sheetId="3" refreshError="1">
        <row r="1">
          <cell r="A1" t="str">
            <v>EQUI</v>
          </cell>
          <cell r="B1" t="str">
            <v>UNIDAD</v>
          </cell>
          <cell r="C1" t="str">
            <v>TARIFA 2011</v>
          </cell>
        </row>
        <row r="2">
          <cell r="A2" t="str">
            <v>Aspersor manual</v>
          </cell>
          <cell r="B2" t="str">
            <v>$/HORA</v>
          </cell>
          <cell r="C2">
            <v>711</v>
          </cell>
        </row>
        <row r="3">
          <cell r="A3" t="str">
            <v>Barredora mecánica de cepillo</v>
          </cell>
          <cell r="B3" t="str">
            <v>$/HORA</v>
          </cell>
          <cell r="C3">
            <v>50000</v>
          </cell>
        </row>
        <row r="4">
          <cell r="A4" t="str">
            <v>Bomba de concreto</v>
          </cell>
          <cell r="B4" t="str">
            <v>$/HORA</v>
          </cell>
          <cell r="C4">
            <v>44053</v>
          </cell>
        </row>
        <row r="5">
          <cell r="A5" t="str">
            <v>Bomba de inyección de lechada</v>
          </cell>
          <cell r="B5" t="str">
            <v>$/HORA</v>
          </cell>
          <cell r="C5">
            <v>30000</v>
          </cell>
        </row>
        <row r="6">
          <cell r="A6" t="str">
            <v>BOMBA ELECTRICA PARA ACCIONAR CELDA (PRUEBA DE CARGA PILOTE PREEXCAVADO)</v>
          </cell>
          <cell r="B6" t="str">
            <v>ML-KM</v>
          </cell>
          <cell r="C6">
            <v>59839</v>
          </cell>
        </row>
        <row r="7">
          <cell r="A7" t="str">
            <v>BOMBA ELECTRICA PARA ACCIONAR LA CELDA</v>
          </cell>
          <cell r="B7" t="str">
            <v>$/HORA</v>
          </cell>
          <cell r="C7">
            <v>60088</v>
          </cell>
        </row>
        <row r="8">
          <cell r="A8" t="str">
            <v>Bomba para gato de tensionamiento</v>
          </cell>
          <cell r="B8" t="str">
            <v>$/HORA</v>
          </cell>
          <cell r="C8">
            <v>33554</v>
          </cell>
        </row>
        <row r="9">
          <cell r="A9" t="str">
            <v>Buldozer D4</v>
          </cell>
          <cell r="B9" t="str">
            <v>$/HORA</v>
          </cell>
          <cell r="C9">
            <v>91601</v>
          </cell>
        </row>
        <row r="10">
          <cell r="A10" t="str">
            <v>Buldozer D6</v>
          </cell>
          <cell r="B10" t="str">
            <v>$/HORA</v>
          </cell>
          <cell r="C10">
            <v>147519</v>
          </cell>
        </row>
        <row r="11">
          <cell r="A11" t="str">
            <v>Buldozer D8 (Inluido Ripper)</v>
          </cell>
          <cell r="B11" t="str">
            <v>$/HORA</v>
          </cell>
          <cell r="C11">
            <v>222421</v>
          </cell>
        </row>
        <row r="12">
          <cell r="A12" t="str">
            <v>Calentador a gas</v>
          </cell>
          <cell r="B12" t="str">
            <v>$/HORA</v>
          </cell>
          <cell r="C12">
            <v>56878</v>
          </cell>
        </row>
        <row r="13">
          <cell r="A13" t="str">
            <v>Camion 350</v>
          </cell>
          <cell r="B13" t="str">
            <v>$/HORA</v>
          </cell>
          <cell r="C13">
            <v>40940</v>
          </cell>
        </row>
        <row r="14">
          <cell r="A14" t="str">
            <v>Camión de Slurry</v>
          </cell>
          <cell r="B14" t="str">
            <v>$/HORA</v>
          </cell>
          <cell r="C14">
            <v>200000</v>
          </cell>
        </row>
        <row r="15">
          <cell r="A15" t="str">
            <v>Camioneta D-300</v>
          </cell>
          <cell r="B15" t="str">
            <v>$/HORA</v>
          </cell>
          <cell r="C15">
            <v>46381</v>
          </cell>
        </row>
        <row r="16">
          <cell r="A16" t="str">
            <v>Cargador CAT 920 o equivalente</v>
          </cell>
          <cell r="B16" t="str">
            <v>$/HORA</v>
          </cell>
          <cell r="C16">
            <v>133764</v>
          </cell>
        </row>
        <row r="17">
          <cell r="A17" t="str">
            <v>Cargador CAT 930 o equivalente</v>
          </cell>
          <cell r="B17" t="str">
            <v>$/HORA</v>
          </cell>
          <cell r="C17">
            <v>167697</v>
          </cell>
        </row>
        <row r="18">
          <cell r="A18" t="str">
            <v>Carrotanque de agua 10000 Litros</v>
          </cell>
          <cell r="B18" t="str">
            <v>$/HORA</v>
          </cell>
          <cell r="C18">
            <v>63129</v>
          </cell>
        </row>
        <row r="19">
          <cell r="A19" t="str">
            <v>Carrotanque Irrigador de asfalto</v>
          </cell>
          <cell r="B19" t="str">
            <v>$/HORA</v>
          </cell>
          <cell r="C19">
            <v>101408</v>
          </cell>
        </row>
        <row r="20">
          <cell r="A20" t="str">
            <v>Cicatrizante (para remoción de especies vegetales) (item 201.9)</v>
          </cell>
          <cell r="B20" t="str">
            <v>$/HORA</v>
          </cell>
          <cell r="C20">
            <v>7767</v>
          </cell>
        </row>
        <row r="21">
          <cell r="A21" t="str">
            <v>Cizalla</v>
          </cell>
          <cell r="B21" t="str">
            <v>$/HORA</v>
          </cell>
          <cell r="C21">
            <v>2431</v>
          </cell>
        </row>
        <row r="22">
          <cell r="A22" t="str">
            <v>Compactador Benitin</v>
          </cell>
          <cell r="B22" t="str">
            <v>$/HORA</v>
          </cell>
          <cell r="C22">
            <v>58883</v>
          </cell>
        </row>
        <row r="23">
          <cell r="A23" t="str">
            <v>Compactador manual (RANA)</v>
          </cell>
          <cell r="B23" t="str">
            <v>$/HORA</v>
          </cell>
          <cell r="C23">
            <v>8858</v>
          </cell>
        </row>
        <row r="24">
          <cell r="A24" t="str">
            <v>Compactador manual (SALTARIN)</v>
          </cell>
          <cell r="B24" t="str">
            <v>$/HORA</v>
          </cell>
          <cell r="C24">
            <v>9635</v>
          </cell>
        </row>
        <row r="25">
          <cell r="A25" t="str">
            <v>Compactador manual de rodillo</v>
          </cell>
          <cell r="B25" t="str">
            <v>$/HORA</v>
          </cell>
          <cell r="C25">
            <v>10869</v>
          </cell>
        </row>
        <row r="26">
          <cell r="A26" t="str">
            <v>Compactador manual vibratorio (CANGURO) (Apisonadores)</v>
          </cell>
          <cell r="B26" t="str">
            <v>$/HORA</v>
          </cell>
          <cell r="C26">
            <v>9625</v>
          </cell>
        </row>
        <row r="27">
          <cell r="A27" t="str">
            <v>Compactador neumatico</v>
          </cell>
          <cell r="B27" t="str">
            <v>$/HORA</v>
          </cell>
          <cell r="C27">
            <v>89000</v>
          </cell>
        </row>
        <row r="28">
          <cell r="A28" t="str">
            <v>Compactador vibratorio tipo DD-20</v>
          </cell>
          <cell r="B28" t="str">
            <v>$/HORA</v>
          </cell>
          <cell r="C28">
            <v>65529</v>
          </cell>
        </row>
        <row r="29">
          <cell r="A29" t="str">
            <v>Compresor (barrido y soplado)</v>
          </cell>
          <cell r="B29" t="str">
            <v>$/HORA</v>
          </cell>
          <cell r="C29">
            <v>37767</v>
          </cell>
        </row>
        <row r="30">
          <cell r="A30" t="str">
            <v>Compresor 125 pies 3 con martillo</v>
          </cell>
          <cell r="B30" t="str">
            <v>$/HORA</v>
          </cell>
          <cell r="C30">
            <v>64121</v>
          </cell>
        </row>
        <row r="31">
          <cell r="A31" t="str">
            <v>Compresor 250 pies 3 con martillo</v>
          </cell>
          <cell r="B31" t="str">
            <v>$/HORA</v>
          </cell>
          <cell r="C31">
            <v>72999</v>
          </cell>
        </row>
        <row r="32">
          <cell r="A32" t="str">
            <v>Compresor para penetrar roca</v>
          </cell>
          <cell r="B32" t="str">
            <v>$/HORA</v>
          </cell>
          <cell r="C32">
            <v>72397</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18000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Grua (Capacidad 15 ton)</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6655</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sheetData>
      <sheetData sheetId="4" refreshError="1">
        <row r="1">
          <cell r="A1" t="str">
            <v>EQUI</v>
          </cell>
          <cell r="B1" t="str">
            <v>UNIDAD</v>
          </cell>
          <cell r="C1" t="str">
            <v>TARIFA 2011</v>
          </cell>
        </row>
        <row r="2">
          <cell r="A2" t="str">
            <v>Aspersor manual</v>
          </cell>
          <cell r="B2" t="str">
            <v>$/HORA</v>
          </cell>
          <cell r="C2">
            <v>711</v>
          </cell>
        </row>
        <row r="3">
          <cell r="A3" t="str">
            <v>ADMINISTRACION</v>
          </cell>
          <cell r="B3" t="str">
            <v>%</v>
          </cell>
          <cell r="C3">
            <v>0.19999999999999998</v>
          </cell>
        </row>
        <row r="4">
          <cell r="A4" t="str">
            <v>IMPREVISTOS</v>
          </cell>
          <cell r="B4" t="str">
            <v>%</v>
          </cell>
          <cell r="C4">
            <v>4.9999999999999996E-2</v>
          </cell>
        </row>
        <row r="5">
          <cell r="A5" t="str">
            <v>UTILIDAD</v>
          </cell>
          <cell r="B5" t="str">
            <v>%</v>
          </cell>
          <cell r="C5">
            <v>4.9999999999999996E-2</v>
          </cell>
        </row>
        <row r="6">
          <cell r="A6" t="str">
            <v>PRESTACIONES</v>
          </cell>
          <cell r="B6" t="str">
            <v>%</v>
          </cell>
          <cell r="C6">
            <v>1.8499999999999999</v>
          </cell>
        </row>
        <row r="7">
          <cell r="A7" t="str">
            <v>DISTANCIA ACARREO 1</v>
          </cell>
          <cell r="B7" t="str">
            <v>KM</v>
          </cell>
          <cell r="C7">
            <v>10</v>
          </cell>
          <cell r="D7">
            <v>10</v>
          </cell>
        </row>
        <row r="8">
          <cell r="A8" t="str">
            <v>DISTANCIA ACARREO 2</v>
          </cell>
          <cell r="B8" t="str">
            <v>KM</v>
          </cell>
          <cell r="C8">
            <v>50</v>
          </cell>
          <cell r="D8">
            <v>100</v>
          </cell>
        </row>
        <row r="9">
          <cell r="A9" t="str">
            <v>DISTANCIA SUMINISTRO</v>
          </cell>
          <cell r="B9" t="str">
            <v>KM</v>
          </cell>
          <cell r="C9">
            <v>50</v>
          </cell>
          <cell r="D9">
            <v>50</v>
          </cell>
        </row>
        <row r="10">
          <cell r="A10" t="str">
            <v>DISTANCIA SUMINISTRO BASES SUB BASES AFIRMADOS</v>
          </cell>
          <cell r="B10" t="str">
            <v>KM</v>
          </cell>
          <cell r="C10">
            <v>50</v>
          </cell>
          <cell r="D10">
            <v>50</v>
          </cell>
        </row>
        <row r="11">
          <cell r="A11" t="str">
            <v>DISTANCIA DE SUMINISTRO CONCRETOS</v>
          </cell>
          <cell r="B11" t="str">
            <v>KM</v>
          </cell>
          <cell r="C11">
            <v>50</v>
          </cell>
          <cell r="D11">
            <v>50</v>
          </cell>
        </row>
        <row r="12">
          <cell r="A12" t="str">
            <v>DISTANCIA DE SUMINISTRO MEZCLAS ASFALTICAS</v>
          </cell>
          <cell r="B12" t="str">
            <v>KM</v>
          </cell>
          <cell r="C12">
            <v>75</v>
          </cell>
          <cell r="D12">
            <v>75</v>
          </cell>
        </row>
        <row r="13">
          <cell r="A13" t="str">
            <v>DISTANCIA TRANSPORTE ESTRUCTURA METALICA</v>
          </cell>
          <cell r="B13" t="str">
            <v>KM</v>
          </cell>
          <cell r="C13">
            <v>100</v>
          </cell>
          <cell r="D13">
            <v>100</v>
          </cell>
        </row>
        <row r="14">
          <cell r="A14" t="str">
            <v>DISTANCIA ACARREO MATERIALES  PETREOS</v>
          </cell>
          <cell r="B14" t="str">
            <v>KM</v>
          </cell>
          <cell r="C14">
            <v>50</v>
          </cell>
          <cell r="D14">
            <v>50</v>
          </cell>
        </row>
        <row r="15">
          <cell r="A15" t="str">
            <v>CADENERO</v>
          </cell>
          <cell r="B15" t="str">
            <v>DIA</v>
          </cell>
          <cell r="C15">
            <v>31110</v>
          </cell>
        </row>
        <row r="16">
          <cell r="A16" t="str">
            <v>INSPECTOR DE FABRICACION Y MONTAJE</v>
          </cell>
          <cell r="B16" t="str">
            <v>DIA</v>
          </cell>
          <cell r="C16">
            <v>40000</v>
          </cell>
        </row>
        <row r="17">
          <cell r="A17" t="str">
            <v>OBRERO</v>
          </cell>
          <cell r="B17" t="str">
            <v>DIA</v>
          </cell>
          <cell r="C17">
            <v>30000</v>
          </cell>
        </row>
        <row r="18">
          <cell r="A18" t="str">
            <v>OFICIAL</v>
          </cell>
          <cell r="B18" t="str">
            <v>DIA</v>
          </cell>
          <cell r="C18">
            <v>50000</v>
          </cell>
        </row>
        <row r="19">
          <cell r="A19" t="str">
            <v>OFICIAL EXPERTO EN DESMONTAJE</v>
          </cell>
          <cell r="B19" t="str">
            <v>DIA</v>
          </cell>
          <cell r="C19">
            <v>50000</v>
          </cell>
        </row>
        <row r="20">
          <cell r="A20" t="str">
            <v>PALETEROS</v>
          </cell>
          <cell r="B20" t="str">
            <v>DIA</v>
          </cell>
          <cell r="C20">
            <v>20000</v>
          </cell>
        </row>
        <row r="21">
          <cell r="A21" t="str">
            <v>RASTRILLEROS</v>
          </cell>
          <cell r="B21" t="str">
            <v>DIA</v>
          </cell>
          <cell r="C21">
            <v>35000</v>
          </cell>
        </row>
        <row r="22">
          <cell r="A22" t="str">
            <v>SOLDADOR</v>
          </cell>
          <cell r="B22" t="str">
            <v>DIA</v>
          </cell>
          <cell r="C22">
            <v>44000</v>
          </cell>
        </row>
        <row r="23">
          <cell r="A23" t="str">
            <v>TOPOGRAFO</v>
          </cell>
          <cell r="B23" t="str">
            <v>DIA</v>
          </cell>
          <cell r="C23">
            <v>51200</v>
          </cell>
        </row>
        <row r="24">
          <cell r="A24" t="str">
            <v>LIGUERO</v>
          </cell>
          <cell r="B24" t="str">
            <v>$/HORA</v>
          </cell>
          <cell r="C24">
            <v>25000</v>
          </cell>
        </row>
        <row r="25">
          <cell r="A25" t="str">
            <v>CUADRILLA DE DESMONTAJE (10 PERSONAS)</v>
          </cell>
          <cell r="B25" t="str">
            <v>DIA</v>
          </cell>
          <cell r="C25">
            <v>200000</v>
          </cell>
        </row>
        <row r="26">
          <cell r="A26" t="str">
            <v>CALCULISTA</v>
          </cell>
          <cell r="B26" t="str">
            <v>DIA</v>
          </cell>
          <cell r="C26">
            <v>300000</v>
          </cell>
        </row>
        <row r="27">
          <cell r="A27" t="str">
            <v>DIBUJANTE</v>
          </cell>
          <cell r="B27" t="str">
            <v>DIA</v>
          </cell>
          <cell r="C27">
            <v>32000</v>
          </cell>
        </row>
        <row r="28">
          <cell r="A28" t="str">
            <v>INGENIERO DE MONTAJE Y PRUEBA</v>
          </cell>
          <cell r="B28" t="str">
            <v>DIA</v>
          </cell>
          <cell r="C28">
            <v>150000</v>
          </cell>
        </row>
        <row r="29">
          <cell r="A29" t="str">
            <v>INGENIERO SUPERVISOR Y DIRECTOR DE PRUEBA</v>
          </cell>
          <cell r="B29" t="str">
            <v>DIA</v>
          </cell>
          <cell r="C29">
            <v>200000</v>
          </cell>
        </row>
        <row r="30">
          <cell r="A30" t="str">
            <v>DISTANCIA SUMINISTRO (MATERIAL DE LA ZONA)</v>
          </cell>
          <cell r="B30" t="str">
            <v>KM</v>
          </cell>
          <cell r="C30">
            <v>50</v>
          </cell>
        </row>
        <row r="31">
          <cell r="A31" t="str">
            <v>DERECHOS DE EXPLOTACIÓN MATERIAL PETREO</v>
          </cell>
          <cell r="B31" t="str">
            <v>M3</v>
          </cell>
          <cell r="C31">
            <v>1500</v>
          </cell>
        </row>
        <row r="32">
          <cell r="A32" t="str">
            <v>ESCOLTA Y TRANSPORTE EXPLOSIVOS</v>
          </cell>
          <cell r="B32" t="str">
            <v>$/HORA</v>
          </cell>
          <cell r="C32">
            <v>5000</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25000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Cicatrizante (para remoción de especies vegetales) (item 201.9)</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10000</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row r="183">
          <cell r="A183" t="str">
            <v xml:space="preserve">Nutrientes (para remoción de especies vegetales) (dap, triple 15, urea o similar) (item 201.9)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Materiales"/>
      <sheetName val="Equipo"/>
      <sheetName val="Otros"/>
      <sheetName val="Densidades"/>
      <sheetName val="200.1 Descapote"/>
      <sheetName val="200.2"/>
      <sheetName val="201.7"/>
      <sheetName val="201.8"/>
      <sheetName val="201.9"/>
      <sheetName val="201.10"/>
      <sheetName val="201.11"/>
      <sheetName val="201.12"/>
      <sheetName val="201.14 (2)"/>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2)"/>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500.1"/>
      <sheetName val="501.1"/>
      <sheetName val="510.1"/>
      <sheetName val="600.1"/>
      <sheetName val="600.2"/>
      <sheetName val="600.3"/>
      <sheetName val="600.4"/>
      <sheetName val="600.5"/>
      <sheetName val="610.1"/>
      <sheetName val="610.2"/>
      <sheetName val="620.1"/>
      <sheetName val="620.2"/>
      <sheetName val="620.3"/>
      <sheetName val="621.1"/>
      <sheetName val="621.1P7"/>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4"/>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1"/>
      <sheetName val="673.1 "/>
      <sheetName val="673.2 "/>
      <sheetName val="673.2p"/>
      <sheetName val="673.3"/>
      <sheetName val="674.1"/>
      <sheetName val="674.2"/>
      <sheetName val="680.1 "/>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 val="200.1"/>
      <sheetName val="Cuadrillas"/>
      <sheetName val="Equ"/>
      <sheetName val="Trans"/>
      <sheetName val="Mat"/>
    </sheetNames>
    <sheetDataSet>
      <sheetData sheetId="0" refreshError="1"/>
      <sheetData sheetId="1" refreshError="1"/>
      <sheetData sheetId="2" refreshError="1"/>
      <sheetData sheetId="3" refreshError="1">
        <row r="1">
          <cell r="A1" t="str">
            <v>EQUI</v>
          </cell>
          <cell r="B1" t="str">
            <v>UNIDAD</v>
          </cell>
          <cell r="C1" t="str">
            <v>TARIFA 2011</v>
          </cell>
        </row>
        <row r="2">
          <cell r="A2" t="str">
            <v>Aspersor manual</v>
          </cell>
          <cell r="B2" t="str">
            <v>$/HORA</v>
          </cell>
          <cell r="C2">
            <v>711</v>
          </cell>
        </row>
        <row r="3">
          <cell r="A3" t="str">
            <v>Barredora mecánica de cepillo</v>
          </cell>
          <cell r="B3" t="str">
            <v>$/HORA</v>
          </cell>
          <cell r="C3">
            <v>50000</v>
          </cell>
        </row>
        <row r="4">
          <cell r="A4" t="str">
            <v>Bomba de concreto</v>
          </cell>
          <cell r="B4" t="str">
            <v>$/HORA</v>
          </cell>
          <cell r="C4">
            <v>44053</v>
          </cell>
        </row>
        <row r="5">
          <cell r="A5" t="str">
            <v>Bomba de inyección de lechada</v>
          </cell>
          <cell r="B5" t="str">
            <v>$/HORA</v>
          </cell>
          <cell r="C5">
            <v>30000</v>
          </cell>
        </row>
        <row r="6">
          <cell r="A6" t="str">
            <v>BOMBA ELECTRICA PARA ACCIONAR CELDA (PRUEBA DE CARGA PILOTE PREEXCAVADO)</v>
          </cell>
          <cell r="B6" t="str">
            <v>ML-KM</v>
          </cell>
          <cell r="C6">
            <v>59839</v>
          </cell>
        </row>
        <row r="7">
          <cell r="A7" t="str">
            <v>BOMBA ELECTRICA PARA ACCIONAR LA CELDA</v>
          </cell>
          <cell r="B7" t="str">
            <v>$/HORA</v>
          </cell>
          <cell r="C7">
            <v>60088</v>
          </cell>
        </row>
        <row r="8">
          <cell r="A8" t="str">
            <v>Bomba para gato de tensionamiento</v>
          </cell>
          <cell r="B8" t="str">
            <v>$/HORA</v>
          </cell>
          <cell r="C8">
            <v>33554</v>
          </cell>
        </row>
        <row r="9">
          <cell r="A9" t="str">
            <v>Buldozer D4</v>
          </cell>
          <cell r="B9" t="str">
            <v>$/HORA</v>
          </cell>
          <cell r="C9">
            <v>91601</v>
          </cell>
        </row>
        <row r="10">
          <cell r="A10" t="str">
            <v>Buldozer D6</v>
          </cell>
          <cell r="B10" t="str">
            <v>$/HORA</v>
          </cell>
          <cell r="C10">
            <v>147519</v>
          </cell>
        </row>
        <row r="11">
          <cell r="A11" t="str">
            <v>Buldozer D8 (Inluido Ripper)</v>
          </cell>
          <cell r="B11" t="str">
            <v>$/HORA</v>
          </cell>
          <cell r="C11">
            <v>222421</v>
          </cell>
        </row>
        <row r="12">
          <cell r="A12" t="str">
            <v>Calentador a gas</v>
          </cell>
          <cell r="B12" t="str">
            <v>$/HORA</v>
          </cell>
          <cell r="C12">
            <v>56878</v>
          </cell>
        </row>
        <row r="13">
          <cell r="A13" t="str">
            <v>Camion 350</v>
          </cell>
          <cell r="B13" t="str">
            <v>$/HORA</v>
          </cell>
          <cell r="C13">
            <v>40940</v>
          </cell>
        </row>
        <row r="14">
          <cell r="A14" t="str">
            <v>Camión de Slurry</v>
          </cell>
          <cell r="B14" t="str">
            <v>$/HORA</v>
          </cell>
          <cell r="C14">
            <v>200000</v>
          </cell>
        </row>
        <row r="15">
          <cell r="A15" t="str">
            <v>Camioneta D-300</v>
          </cell>
          <cell r="B15" t="str">
            <v>$/HORA</v>
          </cell>
          <cell r="C15">
            <v>46381</v>
          </cell>
        </row>
        <row r="16">
          <cell r="A16" t="str">
            <v>Cargador CAT 920 o equivalente</v>
          </cell>
          <cell r="B16" t="str">
            <v>$/HORA</v>
          </cell>
          <cell r="C16">
            <v>133764</v>
          </cell>
        </row>
        <row r="17">
          <cell r="A17" t="str">
            <v>Cargador CAT 930 o equivalente</v>
          </cell>
          <cell r="B17" t="str">
            <v>$/HORA</v>
          </cell>
          <cell r="C17">
            <v>167697</v>
          </cell>
        </row>
        <row r="18">
          <cell r="A18" t="str">
            <v>Carrotanque de agua 10000 Litros</v>
          </cell>
          <cell r="B18" t="str">
            <v>$/HORA</v>
          </cell>
          <cell r="C18">
            <v>63129</v>
          </cell>
        </row>
        <row r="19">
          <cell r="A19" t="str">
            <v>Carrotanque Irrigador de asfalto</v>
          </cell>
          <cell r="B19" t="str">
            <v>$/HORA</v>
          </cell>
          <cell r="C19">
            <v>101408</v>
          </cell>
        </row>
        <row r="20">
          <cell r="A20" t="str">
            <v>Cicatrizante (para remoción de especies vegetales) (item 201.9)</v>
          </cell>
          <cell r="B20" t="str">
            <v>$/HORA</v>
          </cell>
          <cell r="C20">
            <v>7767</v>
          </cell>
        </row>
        <row r="21">
          <cell r="A21" t="str">
            <v>Cizalla</v>
          </cell>
          <cell r="B21" t="str">
            <v>$/HORA</v>
          </cell>
          <cell r="C21">
            <v>2431</v>
          </cell>
        </row>
        <row r="22">
          <cell r="A22" t="str">
            <v>Compactador Benitin</v>
          </cell>
          <cell r="B22" t="str">
            <v>$/HORA</v>
          </cell>
          <cell r="C22">
            <v>58883</v>
          </cell>
        </row>
        <row r="23">
          <cell r="A23" t="str">
            <v>Compactador manual (RANA)</v>
          </cell>
          <cell r="B23" t="str">
            <v>$/HORA</v>
          </cell>
          <cell r="C23">
            <v>8858</v>
          </cell>
        </row>
        <row r="24">
          <cell r="A24" t="str">
            <v>Compactador manual (SALTARIN)</v>
          </cell>
          <cell r="B24" t="str">
            <v>$/HORA</v>
          </cell>
          <cell r="C24">
            <v>9635</v>
          </cell>
        </row>
        <row r="25">
          <cell r="A25" t="str">
            <v>Compactador manual de rodillo</v>
          </cell>
          <cell r="B25" t="str">
            <v>$/HORA</v>
          </cell>
          <cell r="C25">
            <v>10869</v>
          </cell>
        </row>
        <row r="26">
          <cell r="A26" t="str">
            <v>Compactador manual vibratorio (CANGURO) (Apisonadores)</v>
          </cell>
          <cell r="B26" t="str">
            <v>$/HORA</v>
          </cell>
          <cell r="C26">
            <v>9625</v>
          </cell>
        </row>
        <row r="27">
          <cell r="A27" t="str">
            <v>Compactador neumatico</v>
          </cell>
          <cell r="B27" t="str">
            <v>$/HORA</v>
          </cell>
          <cell r="C27">
            <v>89000</v>
          </cell>
        </row>
        <row r="28">
          <cell r="A28" t="str">
            <v>Compactador vibratorio tipo DD-20</v>
          </cell>
          <cell r="B28" t="str">
            <v>$/HORA</v>
          </cell>
          <cell r="C28">
            <v>65529</v>
          </cell>
        </row>
        <row r="29">
          <cell r="A29" t="str">
            <v>Compresor (barrido y soplado)</v>
          </cell>
          <cell r="B29" t="str">
            <v>$/HORA</v>
          </cell>
          <cell r="C29">
            <v>37767</v>
          </cell>
        </row>
        <row r="30">
          <cell r="A30" t="str">
            <v>Compresor 125 pies 3 con martillo</v>
          </cell>
          <cell r="B30" t="str">
            <v>$/HORA</v>
          </cell>
          <cell r="C30">
            <v>64121</v>
          </cell>
        </row>
        <row r="31">
          <cell r="A31" t="str">
            <v>Compresor 250 pies 3 con martillo</v>
          </cell>
          <cell r="B31" t="str">
            <v>$/HORA</v>
          </cell>
          <cell r="C31">
            <v>72999</v>
          </cell>
        </row>
        <row r="32">
          <cell r="A32" t="str">
            <v>Compresor para penetrar roca</v>
          </cell>
          <cell r="B32" t="str">
            <v>$/HORA</v>
          </cell>
          <cell r="C32">
            <v>72397</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25000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Grua (Capacidad 15 ton)</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10000</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sheetData>
      <sheetData sheetId="4" refreshError="1">
        <row r="1">
          <cell r="A1" t="str">
            <v>EQUI</v>
          </cell>
          <cell r="B1" t="str">
            <v>UNIDAD</v>
          </cell>
          <cell r="C1" t="str">
            <v>TARIFA 2011</v>
          </cell>
        </row>
        <row r="2">
          <cell r="A2" t="str">
            <v>Aspersor manual</v>
          </cell>
          <cell r="B2" t="str">
            <v>$/HORA</v>
          </cell>
          <cell r="C2">
            <v>711</v>
          </cell>
        </row>
        <row r="3">
          <cell r="A3" t="str">
            <v>ADMINISTRACION</v>
          </cell>
          <cell r="B3" t="str">
            <v>%</v>
          </cell>
          <cell r="C3">
            <v>0.19999999999999998</v>
          </cell>
        </row>
        <row r="4">
          <cell r="A4" t="str">
            <v>IMPREVISTOS</v>
          </cell>
          <cell r="B4" t="str">
            <v>%</v>
          </cell>
          <cell r="C4">
            <v>4.9999999999999996E-2</v>
          </cell>
        </row>
        <row r="5">
          <cell r="A5" t="str">
            <v>UTILIDAD</v>
          </cell>
          <cell r="B5" t="str">
            <v>%</v>
          </cell>
          <cell r="C5">
            <v>4.9999999999999996E-2</v>
          </cell>
        </row>
        <row r="6">
          <cell r="A6" t="str">
            <v>PRESTACIONES</v>
          </cell>
          <cell r="B6" t="str">
            <v>%</v>
          </cell>
          <cell r="C6">
            <v>1.8499999999999999</v>
          </cell>
        </row>
        <row r="7">
          <cell r="A7" t="str">
            <v>DISTANCIA ACARREO 1</v>
          </cell>
          <cell r="B7" t="str">
            <v>KM</v>
          </cell>
          <cell r="C7">
            <v>10</v>
          </cell>
          <cell r="D7">
            <v>10</v>
          </cell>
        </row>
        <row r="8">
          <cell r="A8" t="str">
            <v>DISTANCIA ACARREO 2</v>
          </cell>
          <cell r="B8" t="str">
            <v>KM</v>
          </cell>
          <cell r="C8">
            <v>50</v>
          </cell>
          <cell r="D8">
            <v>100</v>
          </cell>
        </row>
        <row r="9">
          <cell r="A9" t="str">
            <v>DISTANCIA SUMINISTRO</v>
          </cell>
          <cell r="B9" t="str">
            <v>KM</v>
          </cell>
          <cell r="C9">
            <v>50</v>
          </cell>
          <cell r="D9">
            <v>50</v>
          </cell>
        </row>
        <row r="10">
          <cell r="A10" t="str">
            <v>DISTANCIA SUMINISTRO BASES SUB BASES AFIRMADOS</v>
          </cell>
          <cell r="B10" t="str">
            <v>KM</v>
          </cell>
          <cell r="C10">
            <v>50</v>
          </cell>
          <cell r="D10">
            <v>50</v>
          </cell>
        </row>
        <row r="11">
          <cell r="A11" t="str">
            <v>DISTANCIA DE SUMINISTRO CONCRETOS</v>
          </cell>
          <cell r="B11" t="str">
            <v>KM</v>
          </cell>
          <cell r="C11">
            <v>50</v>
          </cell>
          <cell r="D11">
            <v>50</v>
          </cell>
        </row>
        <row r="12">
          <cell r="A12" t="str">
            <v>DISTANCIA DE SUMINISTRO MEZCLAS ASFALTICAS</v>
          </cell>
          <cell r="B12" t="str">
            <v>KM</v>
          </cell>
          <cell r="C12">
            <v>75</v>
          </cell>
          <cell r="D12">
            <v>75</v>
          </cell>
        </row>
        <row r="13">
          <cell r="A13" t="str">
            <v>DISTANCIA TRANSPORTE ESTRUCTURA METALICA</v>
          </cell>
          <cell r="B13" t="str">
            <v>KM</v>
          </cell>
          <cell r="C13">
            <v>100</v>
          </cell>
          <cell r="D13">
            <v>100</v>
          </cell>
        </row>
        <row r="14">
          <cell r="A14" t="str">
            <v>DISTANCIA ACARREO MATERIALES  PETREOS</v>
          </cell>
          <cell r="B14" t="str">
            <v>KM</v>
          </cell>
          <cell r="C14">
            <v>50</v>
          </cell>
          <cell r="D14">
            <v>50</v>
          </cell>
        </row>
        <row r="15">
          <cell r="A15" t="str">
            <v>CADENERO</v>
          </cell>
          <cell r="B15" t="str">
            <v>DIA</v>
          </cell>
          <cell r="C15">
            <v>31110</v>
          </cell>
        </row>
        <row r="16">
          <cell r="A16" t="str">
            <v>INSPECTOR DE FABRICACION Y MONTAJE</v>
          </cell>
          <cell r="B16" t="str">
            <v>DIA</v>
          </cell>
          <cell r="C16">
            <v>40000</v>
          </cell>
        </row>
        <row r="17">
          <cell r="A17" t="str">
            <v>OBRERO</v>
          </cell>
          <cell r="B17" t="str">
            <v>DIA</v>
          </cell>
          <cell r="C17">
            <v>30000</v>
          </cell>
        </row>
        <row r="18">
          <cell r="A18" t="str">
            <v>OFICIAL</v>
          </cell>
          <cell r="B18" t="str">
            <v>DIA</v>
          </cell>
          <cell r="C18">
            <v>50000</v>
          </cell>
        </row>
        <row r="19">
          <cell r="A19" t="str">
            <v>OFICIAL EXPERTO EN DESMONTAJE</v>
          </cell>
          <cell r="B19" t="str">
            <v>DIA</v>
          </cell>
          <cell r="C19">
            <v>41346</v>
          </cell>
        </row>
        <row r="20">
          <cell r="A20" t="str">
            <v>PALETEROS</v>
          </cell>
          <cell r="B20" t="str">
            <v>DIA</v>
          </cell>
          <cell r="C20">
            <v>20000</v>
          </cell>
        </row>
        <row r="21">
          <cell r="A21" t="str">
            <v>RASTRILLEROS</v>
          </cell>
          <cell r="B21" t="str">
            <v>DIA</v>
          </cell>
          <cell r="C21">
            <v>35000</v>
          </cell>
        </row>
        <row r="22">
          <cell r="A22" t="str">
            <v>SOLDADOR</v>
          </cell>
          <cell r="B22" t="str">
            <v>DIA</v>
          </cell>
          <cell r="C22">
            <v>44000</v>
          </cell>
        </row>
        <row r="23">
          <cell r="A23" t="str">
            <v>TOPOGRAFO</v>
          </cell>
          <cell r="B23" t="str">
            <v>DIA</v>
          </cell>
          <cell r="C23">
            <v>51200</v>
          </cell>
        </row>
        <row r="24">
          <cell r="A24" t="str">
            <v>LIGUERO</v>
          </cell>
          <cell r="B24" t="str">
            <v>$/HORA</v>
          </cell>
          <cell r="C24">
            <v>25000</v>
          </cell>
        </row>
        <row r="25">
          <cell r="A25" t="str">
            <v>CUADRILLA DE DESMONTAJE (10 PERSONAS)</v>
          </cell>
          <cell r="B25" t="str">
            <v>DIA</v>
          </cell>
          <cell r="C25">
            <v>200000</v>
          </cell>
        </row>
        <row r="26">
          <cell r="A26" t="str">
            <v>CALCULISTA</v>
          </cell>
          <cell r="B26" t="str">
            <v>DIA</v>
          </cell>
          <cell r="C26">
            <v>300000</v>
          </cell>
        </row>
        <row r="27">
          <cell r="A27" t="str">
            <v>DIBUJANTE</v>
          </cell>
          <cell r="B27" t="str">
            <v>DIA</v>
          </cell>
          <cell r="C27">
            <v>32000</v>
          </cell>
        </row>
        <row r="28">
          <cell r="A28" t="str">
            <v>INGENIERO DE MONTAJE Y PRUEBA</v>
          </cell>
          <cell r="B28" t="str">
            <v>DIA</v>
          </cell>
          <cell r="C28">
            <v>150000</v>
          </cell>
        </row>
        <row r="29">
          <cell r="A29" t="str">
            <v>INGENIERO SUPERVISOR Y DIRECTOR DE PRUEBA</v>
          </cell>
          <cell r="B29" t="str">
            <v>DIA</v>
          </cell>
          <cell r="C29">
            <v>200000</v>
          </cell>
        </row>
        <row r="30">
          <cell r="A30" t="str">
            <v>DISTANCIA SUMINISTRO (MATERIAL DE LA ZONA)</v>
          </cell>
          <cell r="B30" t="str">
            <v>KM</v>
          </cell>
          <cell r="C30">
            <v>50</v>
          </cell>
        </row>
        <row r="31">
          <cell r="A31" t="str">
            <v>DERECHOS DE EXPLOTACIÓN MATERIAL PETREO</v>
          </cell>
          <cell r="B31" t="str">
            <v>M3</v>
          </cell>
          <cell r="C31">
            <v>1500</v>
          </cell>
        </row>
        <row r="32">
          <cell r="A32" t="str">
            <v>ESCOLTA Y TRANSPORTE EXPLOSIVOS</v>
          </cell>
          <cell r="B32" t="str">
            <v>$/HORA</v>
          </cell>
          <cell r="C32">
            <v>5000</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25000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Cicatrizante (para remoción de especies vegetales) (item 201.9)</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10000</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row r="183">
          <cell r="A183" t="str">
            <v xml:space="preserve">Nutrientes (para remoción de especies vegetales) (dap, triple 15, urea o similar) (item 201.9)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UVIAS"/>
      <sheetName val="DIMENSIONADO"/>
      <sheetName val="CIMENTACIÓN"/>
      <sheetName val="TABLAS"/>
      <sheetName val="NUEVO"/>
      <sheetName val="INSERTAR"/>
      <sheetName val="ELIMINAR"/>
      <sheetName val="Sombrear"/>
      <sheetName val="No sombra"/>
      <sheetName val="320.1"/>
      <sheetName val="330.2"/>
      <sheetName val="700.1"/>
    </sheetNames>
    <sheetDataSet>
      <sheetData sheetId="0" refreshError="1"/>
      <sheetData sheetId="1" refreshError="1"/>
      <sheetData sheetId="2" refreshError="1"/>
      <sheetData sheetId="3">
        <row r="63">
          <cell r="B63" t="str">
            <v>AEROPUERTO OLAYA HERRERA</v>
          </cell>
          <cell r="D63">
            <v>10</v>
          </cell>
          <cell r="E63">
            <v>-0.88958000000000004</v>
          </cell>
        </row>
        <row r="64">
          <cell r="B64" t="str">
            <v>CALDAS</v>
          </cell>
          <cell r="D64">
            <v>34</v>
          </cell>
          <cell r="E64">
            <v>-1.4129100000000001</v>
          </cell>
        </row>
        <row r="65">
          <cell r="B65" t="str">
            <v>CHORRILLOS</v>
          </cell>
          <cell r="D65">
            <v>34</v>
          </cell>
          <cell r="E65">
            <v>-1.23658</v>
          </cell>
        </row>
        <row r="66">
          <cell r="B66" t="str">
            <v>EL CHUSCAL</v>
          </cell>
          <cell r="D66">
            <v>28</v>
          </cell>
          <cell r="E66">
            <v>-1.2185600000000001</v>
          </cell>
        </row>
        <row r="67">
          <cell r="B67" t="str">
            <v>FABRICATO</v>
          </cell>
          <cell r="D67">
            <v>22</v>
          </cell>
          <cell r="E67">
            <v>-0.97202999999999995</v>
          </cell>
        </row>
        <row r="68">
          <cell r="B68" t="str">
            <v>LA FE</v>
          </cell>
          <cell r="D68">
            <v>22</v>
          </cell>
          <cell r="E68">
            <v>-1.1150199999999999</v>
          </cell>
        </row>
        <row r="69">
          <cell r="B69" t="str">
            <v>LAS PALMAS</v>
          </cell>
          <cell r="D69">
            <v>34</v>
          </cell>
          <cell r="E69">
            <v>-1.27885</v>
          </cell>
        </row>
        <row r="70">
          <cell r="B70" t="str">
            <v>MAZO</v>
          </cell>
          <cell r="D70">
            <v>42</v>
          </cell>
          <cell r="E70">
            <v>-1.4463900000000001</v>
          </cell>
        </row>
        <row r="71">
          <cell r="B71" t="str">
            <v>MIGUEL DE AGUINAGA</v>
          </cell>
          <cell r="D71">
            <v>60</v>
          </cell>
          <cell r="E71">
            <v>-1.6540999999999999</v>
          </cell>
        </row>
        <row r="72">
          <cell r="B72" t="str">
            <v>PLANTA DE FILTROS DE VILLA HERMOSA</v>
          </cell>
          <cell r="D72">
            <v>22</v>
          </cell>
          <cell r="E72">
            <v>-1.1675800000000001</v>
          </cell>
        </row>
        <row r="73">
          <cell r="B73" t="str">
            <v>PLANTA DE TRATAMIENTO LA AYURA</v>
          </cell>
          <cell r="D73">
            <v>18</v>
          </cell>
          <cell r="E73">
            <v>-1.1547099999999999</v>
          </cell>
        </row>
        <row r="74">
          <cell r="B74" t="str">
            <v>RIONEGRO-LA MACARENA</v>
          </cell>
          <cell r="D74">
            <v>18</v>
          </cell>
          <cell r="E74">
            <v>-1.03952</v>
          </cell>
        </row>
        <row r="75">
          <cell r="B75" t="str">
            <v>SAN ANDRES</v>
          </cell>
          <cell r="D75">
            <v>14</v>
          </cell>
          <cell r="E75">
            <v>-0.90659999999999996</v>
          </cell>
        </row>
        <row r="76">
          <cell r="B76" t="str">
            <v>SAN ANTONIO DE PRADO</v>
          </cell>
          <cell r="D76">
            <v>32</v>
          </cell>
          <cell r="E76">
            <v>-1.3447100000000001</v>
          </cell>
        </row>
        <row r="77">
          <cell r="B77" t="str">
            <v>SAN CRISTOBAL</v>
          </cell>
          <cell r="D77">
            <v>28</v>
          </cell>
          <cell r="E77">
            <v>-1.0817699999999999</v>
          </cell>
        </row>
        <row r="78">
          <cell r="B78" t="str">
            <v>VASCONIA</v>
          </cell>
          <cell r="D78">
            <v>10</v>
          </cell>
          <cell r="E78">
            <v>-0.99514000000000002</v>
          </cell>
        </row>
        <row r="252">
          <cell r="C252">
            <v>1600</v>
          </cell>
          <cell r="D252">
            <v>0.19239999999999999</v>
          </cell>
        </row>
        <row r="253">
          <cell r="C253">
            <v>1950</v>
          </cell>
          <cell r="D253">
            <v>0.16500000000000001</v>
          </cell>
        </row>
        <row r="254">
          <cell r="C254">
            <v>1800</v>
          </cell>
          <cell r="D254">
            <v>0.15</v>
          </cell>
        </row>
        <row r="255">
          <cell r="C255">
            <v>1800</v>
          </cell>
          <cell r="D255">
            <v>0.13</v>
          </cell>
        </row>
        <row r="256">
          <cell r="C256">
            <v>2100</v>
          </cell>
          <cell r="D256">
            <v>0.11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Parameters"/>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Control"/>
      <sheetName val="New Acc Trans"/>
      <sheetName val="invoice control"/>
      <sheetName val=" mts drilled &amp; invoices"/>
      <sheetName val="details for unit price"/>
      <sheetName val="summary unit price"/>
      <sheetName val="for accounting"/>
      <sheetName val="cost codes"/>
      <sheetName val="Sheet1"/>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 val="EquipData"/>
      <sheetName val="Title"/>
      <sheetName val="Project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C5101</v>
          </cell>
          <cell r="C2" t="str">
            <v>C51 DRILLING</v>
          </cell>
          <cell r="D2" t="str">
            <v>C510 Drilling</v>
          </cell>
          <cell r="E2" t="str">
            <v>Coal Quality/Core Drilling</v>
          </cell>
          <cell r="F2" t="str">
            <v>Core Drilling</v>
          </cell>
        </row>
        <row r="3">
          <cell r="B3" t="str">
            <v>C5102</v>
          </cell>
          <cell r="C3" t="str">
            <v>C51 DRILLING</v>
          </cell>
          <cell r="D3" t="str">
            <v>C510 Drilling</v>
          </cell>
          <cell r="E3" t="str">
            <v>Structure/Non Core Drilling</v>
          </cell>
          <cell r="F3" t="str">
            <v>Open Drilling</v>
          </cell>
        </row>
        <row r="4">
          <cell r="B4" t="str">
            <v>C5111</v>
          </cell>
          <cell r="C4" t="str">
            <v>C51 DRILLING</v>
          </cell>
          <cell r="D4" t="str">
            <v>C511 Drilling Support</v>
          </cell>
          <cell r="E4" t="str">
            <v>Casing</v>
          </cell>
          <cell r="F4" t="str">
            <v>Casing</v>
          </cell>
        </row>
        <row r="5">
          <cell r="B5" t="str">
            <v>C5112</v>
          </cell>
          <cell r="C5" t="str">
            <v>C51 DRILLING</v>
          </cell>
          <cell r="D5" t="str">
            <v>C511 Drilling Support</v>
          </cell>
          <cell r="E5" t="str">
            <v>Drill Rig Moves</v>
          </cell>
          <cell r="F5" t="str">
            <v>Drill Rig Moves</v>
          </cell>
        </row>
        <row r="6">
          <cell r="B6" t="str">
            <v>C5113</v>
          </cell>
          <cell r="C6" t="str">
            <v>C51 DRILLING</v>
          </cell>
          <cell r="D6" t="str">
            <v>C511 Drilling Support</v>
          </cell>
          <cell r="E6" t="str">
            <v>Drill Rig Mobilisation/Demobilisation- Core</v>
          </cell>
          <cell r="F6" t="str">
            <v>Core Drilling Mobilization</v>
          </cell>
        </row>
        <row r="7">
          <cell r="B7" t="str">
            <v>C5114</v>
          </cell>
          <cell r="C7" t="str">
            <v>C51 DRILLING</v>
          </cell>
          <cell r="D7" t="str">
            <v>C511 Drilling Support</v>
          </cell>
          <cell r="E7" t="str">
            <v>Drill Rig Mobilisation/Demobilisation - Non Core</v>
          </cell>
          <cell r="F7" t="str">
            <v>Open Drilling Mobilization</v>
          </cell>
        </row>
        <row r="8">
          <cell r="B8" t="str">
            <v>C5115</v>
          </cell>
          <cell r="C8" t="str">
            <v>C51 DRILLING</v>
          </cell>
          <cell r="D8" t="str">
            <v>C511 Drilling Support</v>
          </cell>
          <cell r="E8" t="str">
            <v>Drill Site Preparation</v>
          </cell>
          <cell r="F8" t="str">
            <v>Mud Pools</v>
          </cell>
        </row>
        <row r="9">
          <cell r="B9" t="str">
            <v>C5116</v>
          </cell>
          <cell r="C9" t="str">
            <v>C51 DRILLING</v>
          </cell>
          <cell r="D9" t="str">
            <v>C511 Drilling Support</v>
          </cell>
          <cell r="E9" t="str">
            <v>Drill Site Preparation</v>
          </cell>
          <cell r="F9" t="str">
            <v>Other Prep Costs</v>
          </cell>
        </row>
        <row r="10">
          <cell r="B10" t="str">
            <v>C5201</v>
          </cell>
          <cell r="C10" t="str">
            <v>C52 GEOLOGICAL</v>
          </cell>
          <cell r="D10" t="str">
            <v>C520 Geol. Supervision &amp; Reporting</v>
          </cell>
          <cell r="E10" t="str">
            <v>Project Geologists (Local)</v>
          </cell>
          <cell r="F10" t="str">
            <v>Local Geologists</v>
          </cell>
        </row>
        <row r="11">
          <cell r="B11" t="str">
            <v>C5202</v>
          </cell>
          <cell r="C11" t="str">
            <v>C52 GEOLOGICAL</v>
          </cell>
          <cell r="D11" t="str">
            <v>C520 Geol. Supervision &amp; Reporting</v>
          </cell>
          <cell r="E11" t="str">
            <v>Supervising Geologist (Expat)</v>
          </cell>
          <cell r="F11" t="str">
            <v>Expat Geologist</v>
          </cell>
        </row>
        <row r="12">
          <cell r="B12" t="str">
            <v>C5203</v>
          </cell>
          <cell r="C12" t="str">
            <v>C52 GEOLOGICAL</v>
          </cell>
          <cell r="D12" t="str">
            <v>C520 Geol. Supervision &amp; Reporting</v>
          </cell>
          <cell r="E12" t="str">
            <v>Computer Geologist</v>
          </cell>
          <cell r="F12" t="str">
            <v>Computer Geologist</v>
          </cell>
        </row>
        <row r="13">
          <cell r="B13" t="str">
            <v>C5204</v>
          </cell>
          <cell r="C13" t="str">
            <v>C52 GEOLOGICAL</v>
          </cell>
          <cell r="D13" t="str">
            <v>C520 Geol. Supervision &amp; Reporting</v>
          </cell>
          <cell r="E13" t="str">
            <v>Project Management MBGS</v>
          </cell>
          <cell r="F13" t="str">
            <v>MBGS Management</v>
          </cell>
        </row>
        <row r="14">
          <cell r="B14" t="str">
            <v>C5205</v>
          </cell>
          <cell r="C14" t="str">
            <v>C52 GEOLOGICAL</v>
          </cell>
          <cell r="D14" t="str">
            <v>C520 Geol. Supervision &amp; Reporting</v>
          </cell>
          <cell r="E14" t="str">
            <v>Report</v>
          </cell>
          <cell r="F14" t="str">
            <v>Report</v>
          </cell>
        </row>
        <row r="15">
          <cell r="B15" t="str">
            <v>C5206</v>
          </cell>
          <cell r="C15" t="str">
            <v>C52 GEOLOGICAL</v>
          </cell>
          <cell r="D15" t="str">
            <v>C520 Geol. Supervision &amp; Reporting</v>
          </cell>
          <cell r="E15" t="str">
            <v>Computer Geologist &amp; Report</v>
          </cell>
          <cell r="F15" t="str">
            <v>Computer Geologist &amp; Report</v>
          </cell>
        </row>
        <row r="16">
          <cell r="B16" t="str">
            <v>C5211</v>
          </cell>
          <cell r="C16" t="str">
            <v>C52 GEOLOGICAL</v>
          </cell>
          <cell r="D16" t="str">
            <v>C521 Geological Supplies</v>
          </cell>
          <cell r="E16" t="str">
            <v>Core Shed &amp; Core Racks</v>
          </cell>
          <cell r="F16" t="str">
            <v>Core Racks</v>
          </cell>
        </row>
        <row r="17">
          <cell r="B17" t="str">
            <v>C5212</v>
          </cell>
          <cell r="C17" t="str">
            <v>C52 GEOLOGICAL</v>
          </cell>
          <cell r="D17" t="str">
            <v>C521 Geological Supplies</v>
          </cell>
          <cell r="E17" t="str">
            <v>Refrigerator</v>
          </cell>
          <cell r="F17" t="str">
            <v>Refrigerator</v>
          </cell>
        </row>
        <row r="18">
          <cell r="B18" t="str">
            <v>C5213</v>
          </cell>
          <cell r="C18" t="str">
            <v>C52 GEOLOGICAL</v>
          </cell>
          <cell r="D18" t="str">
            <v>C521 Geological Supplies</v>
          </cell>
          <cell r="E18" t="str">
            <v>Field Supplies/Sampling Materials</v>
          </cell>
          <cell r="F18" t="str">
            <v>Sampling &amp; Drilling Supplies</v>
          </cell>
        </row>
        <row r="19">
          <cell r="B19" t="str">
            <v>C5214</v>
          </cell>
          <cell r="C19" t="str">
            <v>C52 GEOLOGICAL</v>
          </cell>
          <cell r="D19" t="str">
            <v>C521 Geological Supplies</v>
          </cell>
          <cell r="E19" t="str">
            <v>Core Boxes</v>
          </cell>
          <cell r="F19" t="str">
            <v>Core Boxes</v>
          </cell>
        </row>
        <row r="20">
          <cell r="B20" t="str">
            <v>C5215</v>
          </cell>
          <cell r="C20" t="str">
            <v>C52 GEOLOGICAL</v>
          </cell>
          <cell r="D20" t="str">
            <v>C521 Geological Supplies</v>
          </cell>
          <cell r="E20" t="str">
            <v>Portable Toilets</v>
          </cell>
          <cell r="F20" t="str">
            <v>Portable Toilets</v>
          </cell>
        </row>
        <row r="21">
          <cell r="B21" t="str">
            <v>C5216</v>
          </cell>
          <cell r="C21" t="str">
            <v>C52 GEOLOGICAL</v>
          </cell>
          <cell r="D21" t="str">
            <v>C521 Geological Supplies</v>
          </cell>
          <cell r="E21" t="str">
            <v>Core Shed &amp; Core Racks</v>
          </cell>
          <cell r="F21" t="str">
            <v>Core Shed</v>
          </cell>
        </row>
        <row r="22">
          <cell r="B22" t="str">
            <v>C531</v>
          </cell>
          <cell r="C22" t="str">
            <v>C53 GEOPHYSICAL</v>
          </cell>
          <cell r="D22" t="str">
            <v>C530 Down Hole Logging</v>
          </cell>
          <cell r="E22" t="str">
            <v>Century Training</v>
          </cell>
          <cell r="F22" t="str">
            <v>Expat E-logging Engineer</v>
          </cell>
        </row>
        <row r="23">
          <cell r="B23" t="str">
            <v>C532</v>
          </cell>
          <cell r="C23" t="str">
            <v>C53 GEOPHYSICAL</v>
          </cell>
          <cell r="D23" t="str">
            <v>C530 Down Hole Logging</v>
          </cell>
          <cell r="E23" t="str">
            <v>Logging Engineer (Local)</v>
          </cell>
          <cell r="F23" t="str">
            <v>E-logging Tech</v>
          </cell>
        </row>
        <row r="24">
          <cell r="B24" t="str">
            <v>C533</v>
          </cell>
          <cell r="C24" t="str">
            <v>C53 GEOPHYSICAL</v>
          </cell>
          <cell r="D24" t="str">
            <v>C530 Down Hole Logging</v>
          </cell>
          <cell r="E24" t="str">
            <v>Tools &amp; Spare parts</v>
          </cell>
          <cell r="F24" t="str">
            <v>Tools &amp; Spare parts</v>
          </cell>
        </row>
        <row r="25">
          <cell r="B25" t="str">
            <v>C534</v>
          </cell>
          <cell r="C25" t="str">
            <v>C53 GEOPHYSICAL</v>
          </cell>
          <cell r="D25" t="str">
            <v>C530 Down Hole Logging</v>
          </cell>
          <cell r="E25" t="str">
            <v>Radioactive Materials Permit</v>
          </cell>
          <cell r="F25" t="str">
            <v>Monitoring Services</v>
          </cell>
        </row>
        <row r="26">
          <cell r="B26" t="str">
            <v>C535</v>
          </cell>
          <cell r="C26" t="str">
            <v>C53 GEOPHYSICAL</v>
          </cell>
          <cell r="D26" t="str">
            <v>C530 Down Hole Logging</v>
          </cell>
          <cell r="E26" t="str">
            <v>Radioactive Materials Permit</v>
          </cell>
          <cell r="F26" t="str">
            <v>Training</v>
          </cell>
        </row>
        <row r="27">
          <cell r="B27" t="str">
            <v>C541</v>
          </cell>
          <cell r="C27" t="str">
            <v>C54 COAL QUALITY</v>
          </cell>
          <cell r="D27" t="str">
            <v>C540 COAL QUALITY</v>
          </cell>
          <cell r="E27" t="str">
            <v>Raw Coal Analyses</v>
          </cell>
          <cell r="F27" t="str">
            <v>QC Test</v>
          </cell>
        </row>
        <row r="28">
          <cell r="B28" t="str">
            <v>C551</v>
          </cell>
          <cell r="C28" t="str">
            <v>C55 GROUNDWATER STUDIES</v>
          </cell>
          <cell r="D28" t="str">
            <v>C550 GROUNDWATER STUDIES</v>
          </cell>
          <cell r="E28" t="str">
            <v>Piezometer Supplies</v>
          </cell>
          <cell r="F28" t="str">
            <v>Piezometer Supplies</v>
          </cell>
        </row>
        <row r="29">
          <cell r="B29" t="str">
            <v>C552</v>
          </cell>
          <cell r="C29" t="str">
            <v>C55 GROUNDWATER STUDIES</v>
          </cell>
          <cell r="D29" t="str">
            <v>C550 GROUNDWATER STUDIES</v>
          </cell>
          <cell r="E29" t="str">
            <v>Drilling for piezometers</v>
          </cell>
          <cell r="F29" t="str">
            <v>Drilling for Piezometers</v>
          </cell>
        </row>
        <row r="30">
          <cell r="B30" t="str">
            <v>C561</v>
          </cell>
          <cell r="C30" t="str">
            <v>C56 FIELD SUPPORT</v>
          </cell>
          <cell r="D30" t="str">
            <v>C560 Field Support</v>
          </cell>
          <cell r="E30" t="str">
            <v>4WD Hire/Fuel</v>
          </cell>
          <cell r="F30" t="str">
            <v>4WD Hire/Fuel</v>
          </cell>
        </row>
        <row r="31">
          <cell r="B31" t="str">
            <v>C562</v>
          </cell>
          <cell r="C31" t="str">
            <v>C56 FIELD SUPPORT</v>
          </cell>
          <cell r="D31" t="str">
            <v>C560 Field Support</v>
          </cell>
          <cell r="E31" t="str">
            <v>Travel and other Expenses in Colombia</v>
          </cell>
          <cell r="F31" t="str">
            <v>Travel and Other Expenses (Expat)</v>
          </cell>
        </row>
        <row r="32">
          <cell r="B32" t="str">
            <v>C563</v>
          </cell>
          <cell r="C32" t="str">
            <v>C56 FIELD SUPPORT</v>
          </cell>
          <cell r="D32" t="str">
            <v>C560 Field Support</v>
          </cell>
          <cell r="E32" t="str">
            <v>Travel and other Expenses</v>
          </cell>
          <cell r="F32" t="str">
            <v>Traveling MBGS</v>
          </cell>
        </row>
        <row r="33">
          <cell r="B33" t="str">
            <v>C571</v>
          </cell>
          <cell r="C33" t="str">
            <v>C57 SUNDRIES</v>
          </cell>
          <cell r="D33" t="str">
            <v>C570 SUNDRIES</v>
          </cell>
          <cell r="E33" t="str">
            <v>SUNDRIES</v>
          </cell>
          <cell r="F33" t="str">
            <v>SUNDRIES</v>
          </cell>
        </row>
        <row r="34">
          <cell r="B34" t="str">
            <v>C572</v>
          </cell>
          <cell r="C34" t="str">
            <v>C57 SUNDRIES</v>
          </cell>
          <cell r="D34" t="str">
            <v>C570 SUNDRIES</v>
          </cell>
          <cell r="E34" t="str">
            <v>SUNDRIES (original budget distributed on other items)</v>
          </cell>
          <cell r="F34" t="str">
            <v>SUNDRIES (original budget distributed on other items)</v>
          </cell>
        </row>
        <row r="35">
          <cell r="B35" t="str">
            <v>C5811</v>
          </cell>
          <cell r="C35" t="str">
            <v>C58 Geotech &amp; Hydro Consultant</v>
          </cell>
          <cell r="D35" t="str">
            <v>C581 Geotechnical</v>
          </cell>
          <cell r="E35" t="str">
            <v>Sampling Costs/ Drilling</v>
          </cell>
          <cell r="F35" t="str">
            <v>Sampling Costs/ Drilling</v>
          </cell>
        </row>
        <row r="36">
          <cell r="B36" t="str">
            <v>C5812</v>
          </cell>
          <cell r="C36" t="str">
            <v>C58 Geotech &amp; Hydro Consultant</v>
          </cell>
          <cell r="D36" t="str">
            <v>C581 Geotechnical</v>
          </cell>
          <cell r="E36" t="str">
            <v>Tests Costs</v>
          </cell>
          <cell r="F36" t="str">
            <v>Tests Costs</v>
          </cell>
        </row>
        <row r="37">
          <cell r="B37" t="str">
            <v>C5813</v>
          </cell>
          <cell r="C37" t="str">
            <v>C58 Geotech &amp; Hydro Consultant</v>
          </cell>
          <cell r="D37" t="str">
            <v>C581 Geotechnical</v>
          </cell>
          <cell r="E37" t="str">
            <v>Geotech Engineer</v>
          </cell>
          <cell r="F37" t="str">
            <v>Geotech Engineer</v>
          </cell>
        </row>
        <row r="38">
          <cell r="B38" t="str">
            <v>C5814</v>
          </cell>
          <cell r="C38" t="str">
            <v>C58 Geotech &amp; Hydro Consultant</v>
          </cell>
          <cell r="D38" t="str">
            <v>C581 Geotechnical</v>
          </cell>
          <cell r="E38" t="str">
            <v>Trenching</v>
          </cell>
          <cell r="F38" t="str">
            <v>Trenching</v>
          </cell>
        </row>
        <row r="39">
          <cell r="B39" t="str">
            <v>C5815</v>
          </cell>
          <cell r="C39" t="str">
            <v>C58 Geotech &amp; Hydro Consultant</v>
          </cell>
          <cell r="D39" t="str">
            <v>C581 Geotechnical</v>
          </cell>
          <cell r="E39" t="str">
            <v>Other Costs</v>
          </cell>
          <cell r="F39" t="str">
            <v>Other Costs</v>
          </cell>
        </row>
        <row r="40">
          <cell r="B40" t="str">
            <v>C5821</v>
          </cell>
          <cell r="C40" t="str">
            <v>C58 Geotech &amp; Hydro Consultant</v>
          </cell>
          <cell r="D40" t="str">
            <v>C582 Hydrology</v>
          </cell>
          <cell r="E40" t="str">
            <v>Hydrology Engineer</v>
          </cell>
          <cell r="F40" t="str">
            <v>Hydrology Engineer</v>
          </cell>
        </row>
        <row r="41">
          <cell r="B41" t="str">
            <v>C5822</v>
          </cell>
          <cell r="C41" t="str">
            <v>C58 Geotech &amp; Hydro Consultant</v>
          </cell>
          <cell r="D41" t="str">
            <v>C582 Hydrology</v>
          </cell>
          <cell r="E41" t="str">
            <v>Hydrology Data</v>
          </cell>
          <cell r="F41" t="str">
            <v>Hydrology Data</v>
          </cell>
        </row>
        <row r="42">
          <cell r="B42" t="str">
            <v>C5823</v>
          </cell>
          <cell r="C42" t="str">
            <v>C58 Geotech &amp; Hydro Consultant</v>
          </cell>
          <cell r="D42" t="str">
            <v>C582 Hydrology</v>
          </cell>
          <cell r="E42" t="str">
            <v>Other Costs</v>
          </cell>
          <cell r="F42" t="str">
            <v>Other Costs</v>
          </cell>
        </row>
        <row r="43">
          <cell r="B43" t="str">
            <v>C5831</v>
          </cell>
          <cell r="C43" t="str">
            <v>C58 Geotech &amp; Hydro Consultant</v>
          </cell>
          <cell r="D43" t="str">
            <v>C583 Hydrogeology</v>
          </cell>
          <cell r="E43" t="str">
            <v>Hydrogeology Engineer</v>
          </cell>
          <cell r="F43" t="str">
            <v>Hydrogeology Engineer</v>
          </cell>
        </row>
        <row r="44">
          <cell r="B44" t="str">
            <v>C5833</v>
          </cell>
          <cell r="C44" t="str">
            <v>C58 Geotech &amp; Hydro Consultant</v>
          </cell>
          <cell r="D44" t="str">
            <v>C583 Hydrogeology</v>
          </cell>
          <cell r="E44" t="str">
            <v>Pumping Tests</v>
          </cell>
          <cell r="F44" t="str">
            <v>Pumping Test</v>
          </cell>
        </row>
        <row r="45">
          <cell r="B45" t="str">
            <v>C5841</v>
          </cell>
          <cell r="C45" t="str">
            <v>C58 Geotech &amp; Hydro Consultant</v>
          </cell>
          <cell r="D45" t="str">
            <v>C584 Water Management</v>
          </cell>
          <cell r="E45" t="str">
            <v>Hidraulics/Hidrology Engineers</v>
          </cell>
          <cell r="F45" t="str">
            <v>Hidraulics/Hidrology Engineers</v>
          </cell>
        </row>
        <row r="46">
          <cell r="B46" t="str">
            <v>C5842</v>
          </cell>
          <cell r="C46" t="str">
            <v>C58 Geotech &amp; Hydro Consultant</v>
          </cell>
          <cell r="D46" t="str">
            <v>C584 Water Management</v>
          </cell>
          <cell r="E46" t="str">
            <v>Water Quality Tests</v>
          </cell>
          <cell r="F46" t="str">
            <v>Water Quality Tests</v>
          </cell>
        </row>
        <row r="47">
          <cell r="B47" t="str">
            <v>C5881</v>
          </cell>
          <cell r="C47" t="str">
            <v>C58 Geotech &amp; Hydro Consultant</v>
          </cell>
          <cell r="D47" t="str">
            <v>C588 Prodeco Suport</v>
          </cell>
          <cell r="E47" t="str">
            <v>Food and Lodge at camp</v>
          </cell>
          <cell r="F47" t="str">
            <v>Food and Lodge at camp</v>
          </cell>
        </row>
        <row r="48">
          <cell r="B48" t="str">
            <v>C5882</v>
          </cell>
          <cell r="C48" t="str">
            <v>C58 Geotech &amp; Hydro Consultant</v>
          </cell>
          <cell r="D48" t="str">
            <v>C588 Prodeco Suport</v>
          </cell>
          <cell r="E48" t="str">
            <v>4WD Hire/Fuel</v>
          </cell>
          <cell r="F48" t="str">
            <v>4WD Hire/Fuel</v>
          </cell>
        </row>
        <row r="49">
          <cell r="B49" t="str">
            <v>C5883</v>
          </cell>
          <cell r="C49" t="str">
            <v>C58 Geotech &amp; Hydro Consultant</v>
          </cell>
          <cell r="D49" t="str">
            <v>C588 Prodeco Suport</v>
          </cell>
          <cell r="E49" t="str">
            <v>Other Expenses</v>
          </cell>
          <cell r="F49" t="str">
            <v>Other Expenses</v>
          </cell>
        </row>
        <row r="50">
          <cell r="B50" t="str">
            <v>C5891</v>
          </cell>
          <cell r="C50" t="str">
            <v>C58 Geotech &amp; Hydro Consultant</v>
          </cell>
          <cell r="D50" t="str">
            <v>C589 Global Project</v>
          </cell>
          <cell r="E50" t="str">
            <v>Report Copies</v>
          </cell>
          <cell r="F50" t="str">
            <v>Report Copies</v>
          </cell>
        </row>
        <row r="51">
          <cell r="B51" t="str">
            <v>C5893</v>
          </cell>
          <cell r="C51" t="str">
            <v>C58 Geotech &amp; Hydro Consultant</v>
          </cell>
          <cell r="D51" t="str">
            <v>C589 Global Project</v>
          </cell>
          <cell r="E51" t="str">
            <v>Management Fees</v>
          </cell>
          <cell r="F51" t="str">
            <v>Management Fees</v>
          </cell>
        </row>
        <row r="52">
          <cell r="B52" t="str">
            <v>C5894</v>
          </cell>
          <cell r="C52" t="str">
            <v>C58 Geotech &amp; Hydro Consultant</v>
          </cell>
          <cell r="D52" t="str">
            <v>C589 Global Project</v>
          </cell>
          <cell r="E52" t="str">
            <v>Travel Expenses</v>
          </cell>
          <cell r="F52" t="str">
            <v>Travel Expenses</v>
          </cell>
        </row>
        <row r="53">
          <cell r="B53" t="str">
            <v>C5895</v>
          </cell>
          <cell r="C53" t="str">
            <v>C58 Geotech &amp; Hydro Consultant</v>
          </cell>
          <cell r="D53" t="str">
            <v>C589 Global Project</v>
          </cell>
          <cell r="E53" t="str">
            <v>Telephone</v>
          </cell>
          <cell r="F53" t="str">
            <v>Telephone</v>
          </cell>
        </row>
        <row r="54">
          <cell r="B54" t="str">
            <v>C5896</v>
          </cell>
          <cell r="C54" t="str">
            <v>C58 Geotech &amp; Hydro Consultant</v>
          </cell>
          <cell r="D54" t="str">
            <v>C589 Global Project</v>
          </cell>
          <cell r="E54" t="str">
            <v>Other Expenses</v>
          </cell>
          <cell r="F54" t="str">
            <v>Other Expenses</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tats"/>
      <sheetName val="Notes"/>
      <sheetName val="Rosters MA UA"/>
      <sheetName val="Inputs"/>
      <sheetName val="Bige"/>
      <sheetName val="Fixed Plant"/>
      <sheetName val="MineMaintenance"/>
      <sheetName val="Fixed Plant Maintenance"/>
      <sheetName val="Template Feed Posting"/>
      <sheetName val="Fixed Plant Consumables"/>
      <sheetName val="Machine Requirements Summary"/>
      <sheetName val="Loading Type 1 - hours"/>
      <sheetName val="Loading Type 2 - hours"/>
      <sheetName val="Loading Type 3 - hours"/>
      <sheetName val="Ancillary Hours"/>
      <sheetName val="Drill&amp;Blast"/>
      <sheetName val="Ancillary Fleet CapRep"/>
      <sheetName val="Truck Fleet CapRep"/>
      <sheetName val="Capital Replacement Summary"/>
      <sheetName val="Discount Analysis (2)"/>
      <sheetName val="cost codes"/>
    </sheetNames>
    <sheetDataSet>
      <sheetData sheetId="0"/>
      <sheetData sheetId="1" refreshError="1"/>
      <sheetData sheetId="2"/>
      <sheetData sheetId="3">
        <row r="25">
          <cell r="J25">
            <v>3.5000000000000003E-2</v>
          </cell>
        </row>
        <row r="26">
          <cell r="J26">
            <v>0.1</v>
          </cell>
        </row>
        <row r="127">
          <cell r="L127" t="str">
            <v>2200</v>
          </cell>
          <cell r="M127" t="str">
            <v xml:space="preserve"> MINE PRODUCTION MGR</v>
          </cell>
          <cell r="N127" t="str">
            <v>010</v>
          </cell>
          <cell r="O127" t="str">
            <v>Marion DRILLING</v>
          </cell>
          <cell r="P127">
            <v>100</v>
          </cell>
          <cell r="Q127" t="str">
            <v>Emulsion</v>
          </cell>
        </row>
        <row r="128">
          <cell r="L128" t="str">
            <v>2480</v>
          </cell>
          <cell r="M128" t="str">
            <v xml:space="preserve"> MINE MAINTENANCE MGR</v>
          </cell>
          <cell r="N128" t="str">
            <v>011</v>
          </cell>
          <cell r="O128" t="str">
            <v>New Drill</v>
          </cell>
          <cell r="P128">
            <v>101</v>
          </cell>
          <cell r="Q128" t="str">
            <v>Blast Accessories</v>
          </cell>
        </row>
        <row r="129">
          <cell r="L129" t="str">
            <v>2300</v>
          </cell>
          <cell r="M129" t="str">
            <v xml:space="preserve"> MILL PRODUCTION MGR</v>
          </cell>
          <cell r="N129" t="str">
            <v>020</v>
          </cell>
          <cell r="O129" t="str">
            <v>Blasting</v>
          </cell>
          <cell r="P129">
            <v>102</v>
          </cell>
          <cell r="Q129" t="str">
            <v>Stemming - Lime Rock in Blast Holes</v>
          </cell>
        </row>
        <row r="130">
          <cell r="L130" t="str">
            <v>2400</v>
          </cell>
          <cell r="M130" t="str">
            <v xml:space="preserve"> MILL MAINTENANCE MGR</v>
          </cell>
          <cell r="N130" t="str">
            <v>030</v>
          </cell>
          <cell r="O130" t="str">
            <v>Rope Shovels</v>
          </cell>
          <cell r="P130">
            <v>103</v>
          </cell>
          <cell r="Q130" t="str">
            <v>Chemicals - Other</v>
          </cell>
        </row>
        <row r="131">
          <cell r="L131" t="str">
            <v>2500</v>
          </cell>
          <cell r="M131" t="str">
            <v xml:space="preserve"> PROCESS CONTROL MGR</v>
          </cell>
          <cell r="N131" t="str">
            <v>031</v>
          </cell>
          <cell r="O131" t="str">
            <v>O&amp;K Hydraulic Shovels</v>
          </cell>
          <cell r="P131">
            <v>104</v>
          </cell>
          <cell r="Q131" t="str">
            <v>Collector - Primary</v>
          </cell>
        </row>
        <row r="132">
          <cell r="L132" t="str">
            <v>2600</v>
          </cell>
          <cell r="M132" t="str">
            <v xml:space="preserve"> KIUNGA &amp; BIGE PRODUCTION MGR</v>
          </cell>
          <cell r="N132" t="str">
            <v>040</v>
          </cell>
          <cell r="O132" t="str">
            <v>Loading 992 FEL</v>
          </cell>
          <cell r="P132">
            <v>106</v>
          </cell>
          <cell r="Q132" t="str">
            <v>Flocculants</v>
          </cell>
        </row>
        <row r="133">
          <cell r="L133" t="str">
            <v>2601</v>
          </cell>
          <cell r="M133" t="str">
            <v xml:space="preserve"> BIGE PLANT FOREMAN</v>
          </cell>
          <cell r="N133" t="str">
            <v>050</v>
          </cell>
          <cell r="O133" t="str">
            <v>777 Haulage</v>
          </cell>
          <cell r="P133">
            <v>107</v>
          </cell>
          <cell r="Q133" t="str">
            <v>Frother</v>
          </cell>
        </row>
        <row r="134">
          <cell r="L134" t="str">
            <v>2610</v>
          </cell>
          <cell r="M134" t="str">
            <v xml:space="preserve"> KIUNGA &amp; K59 MAINTENANCE TC</v>
          </cell>
          <cell r="N134" t="str">
            <v>051</v>
          </cell>
          <cell r="O134" t="str">
            <v>789 Haulage</v>
          </cell>
          <cell r="P134">
            <v>108</v>
          </cell>
          <cell r="Q134" t="str">
            <v xml:space="preserve">Lime </v>
          </cell>
        </row>
        <row r="135">
          <cell r="L135" t="str">
            <v>2420</v>
          </cell>
          <cell r="M135" t="str">
            <v xml:space="preserve"> MAINTENANCE ENGINEERING &amp; PLA</v>
          </cell>
          <cell r="N135" t="str">
            <v>060</v>
          </cell>
          <cell r="O135" t="str">
            <v>Contract Mining</v>
          </cell>
          <cell r="P135">
            <v>109</v>
          </cell>
          <cell r="Q135" t="str">
            <v>Raw Limestone</v>
          </cell>
        </row>
        <row r="136">
          <cell r="L136" t="str">
            <v>2430</v>
          </cell>
          <cell r="M136" t="str">
            <v xml:space="preserve"> ELECTRICAL MAINTENANCE TC</v>
          </cell>
          <cell r="N136" t="str">
            <v>070</v>
          </cell>
          <cell r="O136" t="str">
            <v>D10 Dozing</v>
          </cell>
          <cell r="P136">
            <v>110</v>
          </cell>
          <cell r="Q136" t="str">
            <v>Anti-scalant</v>
          </cell>
        </row>
        <row r="137">
          <cell r="L137" t="str">
            <v>2450</v>
          </cell>
          <cell r="M137" t="str">
            <v xml:space="preserve"> FIXED PLANT TC</v>
          </cell>
          <cell r="N137" t="str">
            <v>071</v>
          </cell>
          <cell r="O137" t="str">
            <v>D11 Dozing</v>
          </cell>
          <cell r="P137">
            <v>111</v>
          </cell>
          <cell r="Q137" t="str">
            <v>NaSH</v>
          </cell>
        </row>
        <row r="138">
          <cell r="L138" t="str">
            <v>2460</v>
          </cell>
          <cell r="M138" t="str">
            <v xml:space="preserve"> MAINTENANCE SERVICES TC</v>
          </cell>
          <cell r="N138" t="str">
            <v>080</v>
          </cell>
          <cell r="O138" t="str">
            <v>Grading</v>
          </cell>
          <cell r="P138">
            <v>112</v>
          </cell>
          <cell r="Q138" t="str">
            <v>Grinding Balls</v>
          </cell>
        </row>
        <row r="139">
          <cell r="L139" t="str">
            <v>2470</v>
          </cell>
          <cell r="M139" t="str">
            <v xml:space="preserve"> FABRICATION &amp; BOILERMAKING TC</v>
          </cell>
          <cell r="N139" t="str">
            <v>090</v>
          </cell>
          <cell r="O139" t="str">
            <v>Pit Stabilisation</v>
          </cell>
          <cell r="P139">
            <v>113</v>
          </cell>
          <cell r="Q139" t="str">
            <v>Liners &amp; Bolts</v>
          </cell>
        </row>
        <row r="140">
          <cell r="N140" t="str">
            <v>100</v>
          </cell>
          <cell r="O140" t="str">
            <v>Dewatering</v>
          </cell>
          <cell r="P140">
            <v>130</v>
          </cell>
          <cell r="Q140" t="str">
            <v>Components &amp; Parts - General</v>
          </cell>
        </row>
        <row r="141">
          <cell r="N141" t="str">
            <v>110</v>
          </cell>
          <cell r="O141" t="str">
            <v>Mining Support (Lighting Plants, RTD)</v>
          </cell>
          <cell r="P141">
            <v>131</v>
          </cell>
          <cell r="Q141" t="str">
            <v>Components &amp; Parts - Ground Engaging Tools</v>
          </cell>
        </row>
        <row r="142">
          <cell r="N142" t="str">
            <v>120</v>
          </cell>
          <cell r="O142" t="str">
            <v>Inpit Cushing</v>
          </cell>
          <cell r="P142">
            <v>132</v>
          </cell>
          <cell r="Q142" t="str">
            <v>Components &amp; Parts - Piping / Plumbing</v>
          </cell>
        </row>
        <row r="143">
          <cell r="N143" t="str">
            <v>121</v>
          </cell>
          <cell r="O143" t="str">
            <v>Taranaki crushing</v>
          </cell>
          <cell r="P143">
            <v>133</v>
          </cell>
          <cell r="Q143" t="str">
            <v>Components &amp; Parts - Buildings</v>
          </cell>
        </row>
        <row r="144">
          <cell r="N144" t="str">
            <v>130</v>
          </cell>
          <cell r="O144" t="str">
            <v>Conveying and feeding</v>
          </cell>
          <cell r="P144">
            <v>134</v>
          </cell>
          <cell r="Q144" t="str">
            <v>Rubber Wear Parts</v>
          </cell>
        </row>
        <row r="145">
          <cell r="N145" t="str">
            <v>200</v>
          </cell>
          <cell r="O145" t="str">
            <v>Grinding Line #1</v>
          </cell>
          <cell r="P145">
            <v>135</v>
          </cell>
          <cell r="Q145" t="str">
            <v>Steel Sections</v>
          </cell>
        </row>
        <row r="146">
          <cell r="N146" t="str">
            <v>201</v>
          </cell>
          <cell r="O146" t="str">
            <v>Grinding Line #2</v>
          </cell>
          <cell r="P146">
            <v>136</v>
          </cell>
          <cell r="Q146" t="str">
            <v>Components &amp; Parts - Undercarriage</v>
          </cell>
        </row>
        <row r="147">
          <cell r="N147" t="str">
            <v>210</v>
          </cell>
          <cell r="O147" t="str">
            <v>Flotation Line #1</v>
          </cell>
          <cell r="P147">
            <v>161</v>
          </cell>
          <cell r="Q147" t="str">
            <v>Consumables - General</v>
          </cell>
        </row>
        <row r="148">
          <cell r="N148" t="str">
            <v>211</v>
          </cell>
          <cell r="O148" t="str">
            <v>Flotation Line #2</v>
          </cell>
          <cell r="P148">
            <v>165</v>
          </cell>
          <cell r="Q148" t="str">
            <v>Filter Cloths and parts</v>
          </cell>
        </row>
        <row r="149">
          <cell r="N149" t="str">
            <v>240</v>
          </cell>
          <cell r="O149" t="str">
            <v>Concentrate Dewatering</v>
          </cell>
          <cell r="P149">
            <v>166</v>
          </cell>
          <cell r="Q149" t="str">
            <v>Tyres</v>
          </cell>
        </row>
        <row r="150">
          <cell r="N150" t="str">
            <v>250</v>
          </cell>
          <cell r="O150" t="str">
            <v>Thickner/Tailings</v>
          </cell>
          <cell r="P150">
            <v>167</v>
          </cell>
          <cell r="Q150" t="str">
            <v>Concrete</v>
          </cell>
        </row>
        <row r="151">
          <cell r="N151" t="str">
            <v>260</v>
          </cell>
          <cell r="O151" t="str">
            <v>Water systems</v>
          </cell>
          <cell r="P151">
            <v>168</v>
          </cell>
          <cell r="Q151" t="str">
            <v>Rigging/Cables</v>
          </cell>
        </row>
        <row r="152">
          <cell r="N152" t="str">
            <v>270</v>
          </cell>
          <cell r="O152" t="str">
            <v>Lime Production</v>
          </cell>
          <cell r="P152">
            <v>169</v>
          </cell>
          <cell r="Q152" t="str">
            <v>Culverts</v>
          </cell>
        </row>
        <row r="153">
          <cell r="N153" t="str">
            <v>280</v>
          </cell>
          <cell r="O153" t="str">
            <v>Plant Service</v>
          </cell>
          <cell r="P153">
            <v>180</v>
          </cell>
          <cell r="Q153" t="str">
            <v>Distillate</v>
          </cell>
        </row>
        <row r="154">
          <cell r="N154" t="str">
            <v>290</v>
          </cell>
          <cell r="O154" t="str">
            <v>Laboratory Services - XRF</v>
          </cell>
          <cell r="P154">
            <v>183</v>
          </cell>
          <cell r="Q154" t="str">
            <v>Oil and Grease</v>
          </cell>
        </row>
        <row r="155">
          <cell r="N155" t="str">
            <v>300</v>
          </cell>
          <cell r="O155" t="str">
            <v>Fire Assay</v>
          </cell>
          <cell r="P155">
            <v>184</v>
          </cell>
          <cell r="Q155" t="str">
            <v>Petrol</v>
          </cell>
        </row>
        <row r="156">
          <cell r="N156" t="str">
            <v>310</v>
          </cell>
          <cell r="O156" t="str">
            <v>Sample Preparation</v>
          </cell>
          <cell r="P156">
            <v>185</v>
          </cell>
          <cell r="Q156" t="str">
            <v>Distillate Subsidy</v>
          </cell>
        </row>
        <row r="157">
          <cell r="N157" t="str">
            <v>320</v>
          </cell>
          <cell r="O157" t="str">
            <v>Laboratory Services - Other</v>
          </cell>
          <cell r="P157">
            <v>200</v>
          </cell>
          <cell r="Q157" t="str">
            <v>Contractors</v>
          </cell>
        </row>
        <row r="158">
          <cell r="N158" t="str">
            <v>330</v>
          </cell>
          <cell r="O158" t="str">
            <v>Metallurgical Laboratory</v>
          </cell>
          <cell r="P158">
            <v>201</v>
          </cell>
          <cell r="Q158" t="str">
            <v xml:space="preserve">Consultants </v>
          </cell>
        </row>
        <row r="159">
          <cell r="N159" t="str">
            <v>340</v>
          </cell>
          <cell r="O159" t="str">
            <v>Gravity Gold Production</v>
          </cell>
          <cell r="P159">
            <v>202</v>
          </cell>
          <cell r="Q159" t="str">
            <v>Aircraft Hire - Fixed Wing &amp; Helicopter</v>
          </cell>
        </row>
        <row r="160">
          <cell r="N160" t="str">
            <v>350</v>
          </cell>
          <cell r="O160" t="str">
            <v>Concentrate Handling - Pipeline &amp; K59</v>
          </cell>
          <cell r="P160">
            <v>203</v>
          </cell>
          <cell r="Q160" t="str">
            <v>Assaying / Laboratory Charges</v>
          </cell>
        </row>
        <row r="161">
          <cell r="N161" t="str">
            <v>360</v>
          </cell>
          <cell r="O161" t="str">
            <v>Kunga Thickening</v>
          </cell>
          <cell r="P161">
            <v>204</v>
          </cell>
          <cell r="Q161" t="str">
            <v>Equipment Hire / lease</v>
          </cell>
        </row>
        <row r="162">
          <cell r="N162" t="str">
            <v>370</v>
          </cell>
          <cell r="O162" t="str">
            <v>Kiunga Dewatering</v>
          </cell>
        </row>
        <row r="163">
          <cell r="N163" t="str">
            <v>380</v>
          </cell>
          <cell r="O163" t="str">
            <v>Kiunga Drying</v>
          </cell>
        </row>
        <row r="164">
          <cell r="N164" t="str">
            <v>390</v>
          </cell>
          <cell r="O164" t="str">
            <v>Kiunga Stockpiling</v>
          </cell>
        </row>
        <row r="165">
          <cell r="N165" t="str">
            <v>400</v>
          </cell>
          <cell r="O165" t="str">
            <v>Barge Loading - Concentrate</v>
          </cell>
        </row>
        <row r="166">
          <cell r="N166" t="str">
            <v>410</v>
          </cell>
          <cell r="O166" t="str">
            <v>River Navigation</v>
          </cell>
        </row>
        <row r="167">
          <cell r="N167" t="str">
            <v>420</v>
          </cell>
          <cell r="O167" t="str">
            <v>Barge Shipping Concentrate &amp; General Cargo</v>
          </cell>
        </row>
        <row r="168">
          <cell r="N168" t="str">
            <v>430</v>
          </cell>
          <cell r="O168" t="str">
            <v>Silo Vessel Ops</v>
          </cell>
        </row>
        <row r="169">
          <cell r="N169" t="str">
            <v>450</v>
          </cell>
          <cell r="O169" t="str">
            <v>Dredging</v>
          </cell>
        </row>
        <row r="170">
          <cell r="N170" t="str">
            <v>460</v>
          </cell>
          <cell r="O170" t="str">
            <v>Rehabilitation (planting/Mulching)</v>
          </cell>
        </row>
        <row r="171">
          <cell r="N171" t="str">
            <v>470</v>
          </cell>
          <cell r="O171" t="str">
            <v>Earthmoving and Drainage</v>
          </cell>
        </row>
        <row r="172">
          <cell r="N172" t="str">
            <v>490</v>
          </cell>
          <cell r="O172" t="str">
            <v>Reclaimation</v>
          </cell>
        </row>
        <row r="173">
          <cell r="N173" t="str">
            <v>860</v>
          </cell>
          <cell r="O173" t="str">
            <v>Administration</v>
          </cell>
        </row>
      </sheetData>
      <sheetData sheetId="4" refreshError="1"/>
      <sheetData sheetId="5">
        <row r="109">
          <cell r="F109" t="str">
            <v>Feeder FE05</v>
          </cell>
          <cell r="G109" t="str">
            <v>Calc</v>
          </cell>
          <cell r="H109" t="str">
            <v>t/rate</v>
          </cell>
          <cell r="I109">
            <v>1.1111111111111112E-5</v>
          </cell>
          <cell r="J109">
            <v>25.729399999999995</v>
          </cell>
          <cell r="K109">
            <v>24.550866666666668</v>
          </cell>
          <cell r="L109">
            <v>25.418500000000002</v>
          </cell>
          <cell r="M109">
            <v>26.577166666666667</v>
          </cell>
          <cell r="N109">
            <v>26.684233333333335</v>
          </cell>
          <cell r="O109">
            <v>27.786944444444444</v>
          </cell>
          <cell r="P109">
            <v>26.840011111111114</v>
          </cell>
          <cell r="Q109">
            <v>29.273822222222222</v>
          </cell>
          <cell r="R109">
            <v>26.769522222222225</v>
          </cell>
          <cell r="S109">
            <v>28.834444444444447</v>
          </cell>
          <cell r="T109">
            <v>26.102688888888888</v>
          </cell>
          <cell r="U109">
            <v>27.276177777777779</v>
          </cell>
          <cell r="V109">
            <v>322.30222222222221</v>
          </cell>
          <cell r="W109">
            <v>322.33222222222224</v>
          </cell>
          <cell r="X109">
            <v>321.86</v>
          </cell>
          <cell r="Y109">
            <v>329.12111111111113</v>
          </cell>
          <cell r="Z109">
            <v>330.51888888888891</v>
          </cell>
          <cell r="AA109">
            <v>326.81</v>
          </cell>
        </row>
        <row r="110">
          <cell r="F110" t="str">
            <v>Crusher GCR01</v>
          </cell>
          <cell r="G110" t="str">
            <v>Calc</v>
          </cell>
          <cell r="H110" t="str">
            <v>Link</v>
          </cell>
          <cell r="J110">
            <v>25.729399999999995</v>
          </cell>
          <cell r="K110">
            <v>24.550866666666668</v>
          </cell>
          <cell r="L110">
            <v>25.418500000000002</v>
          </cell>
          <cell r="M110">
            <v>26.577166666666667</v>
          </cell>
          <cell r="N110">
            <v>26.684233333333335</v>
          </cell>
          <cell r="O110">
            <v>27.786944444444444</v>
          </cell>
          <cell r="P110">
            <v>26.840011111111114</v>
          </cell>
          <cell r="Q110">
            <v>29.273822222222222</v>
          </cell>
          <cell r="R110">
            <v>26.769522222222225</v>
          </cell>
          <cell r="S110">
            <v>28.834444444444447</v>
          </cell>
          <cell r="T110">
            <v>26.102688888888888</v>
          </cell>
          <cell r="U110">
            <v>27.276177777777779</v>
          </cell>
          <cell r="V110">
            <v>322.30222222222221</v>
          </cell>
          <cell r="W110">
            <v>322.33222222222224</v>
          </cell>
          <cell r="X110">
            <v>321.86</v>
          </cell>
          <cell r="Y110">
            <v>329.12111111111113</v>
          </cell>
          <cell r="Z110">
            <v>330.51888888888891</v>
          </cell>
          <cell r="AA110">
            <v>326.81</v>
          </cell>
        </row>
        <row r="111">
          <cell r="F111" t="str">
            <v>Taranaki Conveyors</v>
          </cell>
          <cell r="G111" t="str">
            <v>Calc</v>
          </cell>
          <cell r="H111" t="str">
            <v>Link</v>
          </cell>
          <cell r="J111">
            <v>25.729399999999995</v>
          </cell>
          <cell r="K111">
            <v>24.550866666666668</v>
          </cell>
          <cell r="L111">
            <v>25.418500000000002</v>
          </cell>
          <cell r="M111">
            <v>26.577166666666667</v>
          </cell>
          <cell r="N111">
            <v>26.684233333333335</v>
          </cell>
          <cell r="O111">
            <v>27.786944444444444</v>
          </cell>
          <cell r="P111">
            <v>26.840011111111114</v>
          </cell>
          <cell r="Q111">
            <v>29.273822222222222</v>
          </cell>
          <cell r="R111">
            <v>26.769522222222225</v>
          </cell>
          <cell r="S111">
            <v>28.834444444444447</v>
          </cell>
          <cell r="T111">
            <v>26.102688888888888</v>
          </cell>
          <cell r="U111">
            <v>27.276177777777779</v>
          </cell>
          <cell r="V111">
            <v>322.30222222222221</v>
          </cell>
          <cell r="W111">
            <v>322.33222222222224</v>
          </cell>
          <cell r="X111">
            <v>321.86</v>
          </cell>
          <cell r="Y111">
            <v>329.12111111111113</v>
          </cell>
          <cell r="Z111">
            <v>330.51888888888891</v>
          </cell>
          <cell r="AA111">
            <v>326.81</v>
          </cell>
        </row>
        <row r="112">
          <cell r="F112" t="str">
            <v>Feeder FE02</v>
          </cell>
          <cell r="G112" t="str">
            <v>Calc</v>
          </cell>
          <cell r="H112" t="str">
            <v>t/rate</v>
          </cell>
          <cell r="I112">
            <v>2.1111111111111111E-4</v>
          </cell>
          <cell r="J112">
            <v>488.85859999999991</v>
          </cell>
          <cell r="K112">
            <v>466.46646666666663</v>
          </cell>
          <cell r="L112">
            <v>482.95150000000001</v>
          </cell>
          <cell r="M112">
            <v>504.96616666666665</v>
          </cell>
          <cell r="N112">
            <v>507.00043333333332</v>
          </cell>
          <cell r="O112">
            <v>527.95194444444439</v>
          </cell>
          <cell r="P112">
            <v>509.96021111111111</v>
          </cell>
          <cell r="Q112">
            <v>556.2026222222222</v>
          </cell>
          <cell r="R112">
            <v>508.62092222222219</v>
          </cell>
          <cell r="S112">
            <v>547.85444444444443</v>
          </cell>
          <cell r="T112">
            <v>495.95108888888888</v>
          </cell>
          <cell r="U112">
            <v>518.24737777777773</v>
          </cell>
          <cell r="V112">
            <v>6123.7422222222222</v>
          </cell>
          <cell r="W112">
            <v>6124.3122222222219</v>
          </cell>
          <cell r="X112">
            <v>6115.34</v>
          </cell>
          <cell r="Y112">
            <v>6253.3011111111109</v>
          </cell>
          <cell r="Z112">
            <v>6279.8588888888889</v>
          </cell>
          <cell r="AA112">
            <v>6209.39</v>
          </cell>
        </row>
        <row r="113">
          <cell r="F113" t="str">
            <v>Crusher GCR02</v>
          </cell>
          <cell r="G113" t="str">
            <v>Calc</v>
          </cell>
          <cell r="H113" t="str">
            <v>Link</v>
          </cell>
          <cell r="J113">
            <v>488.85859999999991</v>
          </cell>
          <cell r="K113">
            <v>466.46646666666663</v>
          </cell>
          <cell r="L113">
            <v>482.95150000000001</v>
          </cell>
          <cell r="M113">
            <v>504.96616666666665</v>
          </cell>
          <cell r="N113">
            <v>507.00043333333332</v>
          </cell>
          <cell r="O113">
            <v>527.95194444444439</v>
          </cell>
          <cell r="P113">
            <v>509.96021111111111</v>
          </cell>
          <cell r="Q113">
            <v>556.2026222222222</v>
          </cell>
          <cell r="R113">
            <v>508.62092222222219</v>
          </cell>
          <cell r="S113">
            <v>547.85444444444443</v>
          </cell>
          <cell r="T113">
            <v>495.95108888888888</v>
          </cell>
          <cell r="U113">
            <v>518.24737777777773</v>
          </cell>
          <cell r="V113">
            <v>6123.7422222222222</v>
          </cell>
          <cell r="W113">
            <v>6124.3122222222219</v>
          </cell>
          <cell r="X113">
            <v>6115.34</v>
          </cell>
          <cell r="Y113">
            <v>6253.3011111111109</v>
          </cell>
          <cell r="Z113">
            <v>6279.8588888888889</v>
          </cell>
          <cell r="AA113">
            <v>6209.39</v>
          </cell>
        </row>
        <row r="114">
          <cell r="F114" t="str">
            <v>Inpit Conveyors</v>
          </cell>
          <cell r="G114" t="str">
            <v>Calc</v>
          </cell>
          <cell r="H114" t="str">
            <v>Link</v>
          </cell>
          <cell r="J114">
            <v>488.85859999999991</v>
          </cell>
          <cell r="K114">
            <v>466.46646666666663</v>
          </cell>
          <cell r="L114">
            <v>482.95150000000001</v>
          </cell>
          <cell r="M114">
            <v>504.96616666666665</v>
          </cell>
          <cell r="N114">
            <v>507.00043333333332</v>
          </cell>
          <cell r="O114">
            <v>527.95194444444439</v>
          </cell>
          <cell r="P114">
            <v>509.96021111111111</v>
          </cell>
          <cell r="Q114">
            <v>556.2026222222222</v>
          </cell>
          <cell r="R114">
            <v>508.62092222222219</v>
          </cell>
          <cell r="S114">
            <v>547.85444444444443</v>
          </cell>
          <cell r="T114">
            <v>495.95108888888888</v>
          </cell>
          <cell r="U114">
            <v>518.24737777777773</v>
          </cell>
          <cell r="V114">
            <v>6123.7422222222222</v>
          </cell>
          <cell r="W114">
            <v>6124.3122222222219</v>
          </cell>
          <cell r="X114">
            <v>6115.34</v>
          </cell>
          <cell r="Y114">
            <v>6253.3011111111109</v>
          </cell>
          <cell r="Z114">
            <v>6279.8588888888889</v>
          </cell>
          <cell r="AA114">
            <v>6209.39</v>
          </cell>
        </row>
        <row r="115">
          <cell r="F115" t="str">
            <v>ISP Feeders</v>
          </cell>
          <cell r="G115" t="str">
            <v>Calc</v>
          </cell>
          <cell r="H115" t="str">
            <v>t/hr</v>
          </cell>
          <cell r="I115">
            <v>5000</v>
          </cell>
          <cell r="J115">
            <v>452.27758311522473</v>
          </cell>
          <cell r="K115">
            <v>433.05777493967588</v>
          </cell>
          <cell r="L115">
            <v>445.81563351769222</v>
          </cell>
          <cell r="M115">
            <v>468.24519824819703</v>
          </cell>
          <cell r="N115">
            <v>469.28466607724448</v>
          </cell>
          <cell r="O115">
            <v>489.32781591434684</v>
          </cell>
          <cell r="P115">
            <v>471.3634455841638</v>
          </cell>
          <cell r="Q115">
            <v>515.69247325133392</v>
          </cell>
          <cell r="R115">
            <v>471.2127693541575</v>
          </cell>
          <cell r="S115">
            <v>506.51469652452164</v>
          </cell>
          <cell r="T115">
            <v>458.15373277208181</v>
          </cell>
          <cell r="U115">
            <v>478.58079653446117</v>
          </cell>
          <cell r="V115">
            <v>5658</v>
          </cell>
          <cell r="W115">
            <v>5668.74</v>
          </cell>
          <cell r="X115">
            <v>5649.18</v>
          </cell>
          <cell r="Y115">
            <v>5773.28</v>
          </cell>
          <cell r="Z115">
            <v>5794.82</v>
          </cell>
          <cell r="AA115">
            <v>5720.52</v>
          </cell>
        </row>
        <row r="116">
          <cell r="F116" t="str">
            <v>ISP Conveyors</v>
          </cell>
          <cell r="G116" t="str">
            <v>Calc</v>
          </cell>
          <cell r="H116" t="str">
            <v>Link</v>
          </cell>
          <cell r="J116">
            <v>452.27758311522473</v>
          </cell>
          <cell r="K116">
            <v>433.05777493967588</v>
          </cell>
          <cell r="L116">
            <v>445.81563351769222</v>
          </cell>
          <cell r="M116">
            <v>468.24519824819703</v>
          </cell>
          <cell r="N116">
            <v>469.28466607724448</v>
          </cell>
          <cell r="O116">
            <v>489.32781591434684</v>
          </cell>
          <cell r="P116">
            <v>471.3634455841638</v>
          </cell>
          <cell r="Q116">
            <v>515.69247325133392</v>
          </cell>
          <cell r="R116">
            <v>471.2127693541575</v>
          </cell>
          <cell r="S116">
            <v>506.51469652452164</v>
          </cell>
          <cell r="T116">
            <v>458.15373277208181</v>
          </cell>
          <cell r="U116">
            <v>478.58079653446117</v>
          </cell>
          <cell r="V116">
            <v>5658</v>
          </cell>
          <cell r="W116">
            <v>5668.74</v>
          </cell>
          <cell r="X116">
            <v>5649.18</v>
          </cell>
          <cell r="Y116">
            <v>5773.28</v>
          </cell>
          <cell r="Z116">
            <v>5794.82</v>
          </cell>
          <cell r="AA116">
            <v>5720.52</v>
          </cell>
        </row>
        <row r="117">
          <cell r="F117" t="str">
            <v>Sag mill 01</v>
          </cell>
          <cell r="G117" t="str">
            <v>Feed</v>
          </cell>
          <cell r="H117" t="str">
            <v>UAMA Prod</v>
          </cell>
          <cell r="J117">
            <v>719.84963692456631</v>
          </cell>
          <cell r="K117">
            <v>645.67954004515298</v>
          </cell>
          <cell r="L117">
            <v>575.28973495357036</v>
          </cell>
          <cell r="M117">
            <v>691.90229048309709</v>
          </cell>
          <cell r="N117">
            <v>712.77332947153468</v>
          </cell>
          <cell r="O117">
            <v>694.71071517294376</v>
          </cell>
          <cell r="P117">
            <v>681.59581148767325</v>
          </cell>
          <cell r="Q117">
            <v>716.60490061234179</v>
          </cell>
          <cell r="R117">
            <v>688.5480924459431</v>
          </cell>
          <cell r="S117">
            <v>715.15929852390184</v>
          </cell>
          <cell r="T117">
            <v>595.07966129184092</v>
          </cell>
          <cell r="U117">
            <v>717.53687894601694</v>
          </cell>
          <cell r="V117">
            <v>8212.8332691298001</v>
          </cell>
          <cell r="W117">
            <v>8210.4748253942707</v>
          </cell>
          <cell r="X117">
            <v>8215.0521174083206</v>
          </cell>
          <cell r="Y117">
            <v>8239.2272174499994</v>
          </cell>
          <cell r="Z117">
            <v>8215.387871254632</v>
          </cell>
          <cell r="AA117">
            <v>8208.9743395146652</v>
          </cell>
        </row>
        <row r="118">
          <cell r="F118" t="str">
            <v>Ball Mill 1A</v>
          </cell>
          <cell r="G118" t="str">
            <v>Calc</v>
          </cell>
          <cell r="H118" t="str">
            <v>Link</v>
          </cell>
          <cell r="J118">
            <v>719.84963692456631</v>
          </cell>
          <cell r="K118">
            <v>645.67954004515298</v>
          </cell>
          <cell r="L118">
            <v>575.28973495357036</v>
          </cell>
          <cell r="M118">
            <v>691.90229048309709</v>
          </cell>
          <cell r="N118">
            <v>712.77332947153468</v>
          </cell>
          <cell r="O118">
            <v>694.71071517294376</v>
          </cell>
          <cell r="P118">
            <v>681.59581148767325</v>
          </cell>
          <cell r="Q118">
            <v>716.60490061234179</v>
          </cell>
          <cell r="R118">
            <v>688.5480924459431</v>
          </cell>
          <cell r="S118">
            <v>715.15929852390184</v>
          </cell>
          <cell r="T118">
            <v>595.07966129184092</v>
          </cell>
          <cell r="U118">
            <v>717.53687894601694</v>
          </cell>
          <cell r="V118">
            <v>8212.8332691298001</v>
          </cell>
          <cell r="W118">
            <v>8210.4748253942707</v>
          </cell>
          <cell r="X118">
            <v>8215.0521174083206</v>
          </cell>
          <cell r="Y118">
            <v>8239.2272174499994</v>
          </cell>
          <cell r="Z118">
            <v>8215.387871254632</v>
          </cell>
          <cell r="AA118">
            <v>8208.9743395146652</v>
          </cell>
        </row>
        <row r="119">
          <cell r="F119" t="str">
            <v>Ball Mill 1B</v>
          </cell>
          <cell r="G119" t="str">
            <v>Calc</v>
          </cell>
          <cell r="H119" t="str">
            <v>Link</v>
          </cell>
          <cell r="J119">
            <v>719.84963692456631</v>
          </cell>
          <cell r="K119">
            <v>645.67954004515298</v>
          </cell>
          <cell r="L119">
            <v>575.28973495357036</v>
          </cell>
          <cell r="M119">
            <v>691.90229048309709</v>
          </cell>
          <cell r="N119">
            <v>712.77332947153468</v>
          </cell>
          <cell r="O119">
            <v>694.71071517294376</v>
          </cell>
          <cell r="P119">
            <v>681.59581148767325</v>
          </cell>
          <cell r="Q119">
            <v>716.60490061234179</v>
          </cell>
          <cell r="R119">
            <v>688.5480924459431</v>
          </cell>
          <cell r="S119">
            <v>715.15929852390184</v>
          </cell>
          <cell r="T119">
            <v>595.07966129184092</v>
          </cell>
          <cell r="U119">
            <v>717.53687894601694</v>
          </cell>
          <cell r="V119">
            <v>8212.8332691298001</v>
          </cell>
          <cell r="W119">
            <v>8210.4748253942707</v>
          </cell>
          <cell r="X119">
            <v>8215.0521174083206</v>
          </cell>
          <cell r="Y119">
            <v>8239.2272174499994</v>
          </cell>
          <cell r="Z119">
            <v>8215.387871254632</v>
          </cell>
          <cell r="AA119">
            <v>8208.9743395146652</v>
          </cell>
        </row>
        <row r="120">
          <cell r="F120" t="str">
            <v>Cyclone Circuit 1</v>
          </cell>
          <cell r="G120" t="str">
            <v>Calc</v>
          </cell>
          <cell r="H120" t="str">
            <v>Link</v>
          </cell>
          <cell r="J120">
            <v>719.84963692456631</v>
          </cell>
          <cell r="K120">
            <v>645.67954004515298</v>
          </cell>
          <cell r="L120">
            <v>575.28973495357036</v>
          </cell>
          <cell r="M120">
            <v>691.90229048309709</v>
          </cell>
          <cell r="N120">
            <v>712.77332947153468</v>
          </cell>
          <cell r="O120">
            <v>694.71071517294376</v>
          </cell>
          <cell r="P120">
            <v>681.59581148767325</v>
          </cell>
          <cell r="Q120">
            <v>716.60490061234179</v>
          </cell>
          <cell r="R120">
            <v>688.5480924459431</v>
          </cell>
          <cell r="S120">
            <v>715.15929852390184</v>
          </cell>
          <cell r="T120">
            <v>595.07966129184092</v>
          </cell>
          <cell r="U120">
            <v>717.53687894601694</v>
          </cell>
          <cell r="V120">
            <v>8212.8332691298001</v>
          </cell>
          <cell r="W120">
            <v>8210.4748253942707</v>
          </cell>
          <cell r="X120">
            <v>8215.0521174083206</v>
          </cell>
          <cell r="Y120">
            <v>8239.2272174499994</v>
          </cell>
          <cell r="Z120">
            <v>8215.387871254632</v>
          </cell>
          <cell r="AA120">
            <v>8208.9743395146652</v>
          </cell>
        </row>
        <row r="121">
          <cell r="F121" t="str">
            <v>Flash flotation cells 1</v>
          </cell>
          <cell r="G121" t="str">
            <v>Calc</v>
          </cell>
          <cell r="H121" t="str">
            <v>UA</v>
          </cell>
          <cell r="I121">
            <v>40</v>
          </cell>
          <cell r="J121">
            <v>287.93985476982652</v>
          </cell>
          <cell r="K121">
            <v>258.2718160180612</v>
          </cell>
          <cell r="L121">
            <v>230.11589398142814</v>
          </cell>
          <cell r="M121">
            <v>276.76091619323887</v>
          </cell>
          <cell r="N121">
            <v>285.10933178861387</v>
          </cell>
          <cell r="O121">
            <v>277.88428606917751</v>
          </cell>
          <cell r="P121">
            <v>272.63832459506932</v>
          </cell>
          <cell r="Q121">
            <v>286.64196024493674</v>
          </cell>
          <cell r="R121">
            <v>275.41923697837723</v>
          </cell>
          <cell r="S121">
            <v>286.06371940956075</v>
          </cell>
          <cell r="T121">
            <v>238.03186451673639</v>
          </cell>
          <cell r="U121">
            <v>287.01475157840679</v>
          </cell>
          <cell r="V121">
            <v>3285.1333076519204</v>
          </cell>
          <cell r="W121">
            <v>3284.1899301577087</v>
          </cell>
          <cell r="X121">
            <v>3286.0208469633285</v>
          </cell>
          <cell r="Y121">
            <v>3295.69088698</v>
          </cell>
          <cell r="Z121">
            <v>3286.1551485018531</v>
          </cell>
          <cell r="AA121">
            <v>3283.5897358058664</v>
          </cell>
        </row>
        <row r="122">
          <cell r="F122" t="str">
            <v>Ancillary Grinding</v>
          </cell>
          <cell r="G122" t="str">
            <v>Calc</v>
          </cell>
          <cell r="H122" t="str">
            <v>UA</v>
          </cell>
          <cell r="I122">
            <v>50</v>
          </cell>
          <cell r="J122">
            <v>359.92481846228316</v>
          </cell>
          <cell r="K122">
            <v>322.83977002257649</v>
          </cell>
          <cell r="L122">
            <v>287.64486747678518</v>
          </cell>
          <cell r="M122">
            <v>345.95114524154855</v>
          </cell>
          <cell r="N122">
            <v>356.38666473576734</v>
          </cell>
          <cell r="O122">
            <v>347.35535758647188</v>
          </cell>
          <cell r="P122">
            <v>340.79790574383662</v>
          </cell>
          <cell r="Q122">
            <v>358.3024503061709</v>
          </cell>
          <cell r="R122">
            <v>344.27404622297155</v>
          </cell>
          <cell r="S122">
            <v>357.57964926195092</v>
          </cell>
          <cell r="T122">
            <v>297.53983064592046</v>
          </cell>
          <cell r="U122">
            <v>358.76843947300847</v>
          </cell>
          <cell r="V122">
            <v>4106.4166345649001</v>
          </cell>
          <cell r="W122">
            <v>4105.2374126971354</v>
          </cell>
          <cell r="X122">
            <v>4107.5260587041603</v>
          </cell>
          <cell r="Y122">
            <v>4119.6136087249997</v>
          </cell>
          <cell r="Z122">
            <v>4107.693935627316</v>
          </cell>
          <cell r="AA122">
            <v>4104.4871697573326</v>
          </cell>
        </row>
        <row r="123">
          <cell r="F123" t="str">
            <v>Rougher cells 1</v>
          </cell>
          <cell r="G123" t="str">
            <v>Calc</v>
          </cell>
          <cell r="H123" t="str">
            <v>Link</v>
          </cell>
          <cell r="J123">
            <v>719.84963692456631</v>
          </cell>
          <cell r="K123">
            <v>645.67954004515298</v>
          </cell>
          <cell r="L123">
            <v>575.28973495357036</v>
          </cell>
          <cell r="M123">
            <v>691.90229048309709</v>
          </cell>
          <cell r="N123">
            <v>712.77332947153468</v>
          </cell>
          <cell r="O123">
            <v>694.71071517294376</v>
          </cell>
          <cell r="P123">
            <v>681.59581148767325</v>
          </cell>
          <cell r="Q123">
            <v>716.60490061234179</v>
          </cell>
          <cell r="R123">
            <v>688.5480924459431</v>
          </cell>
          <cell r="S123">
            <v>715.15929852390184</v>
          </cell>
          <cell r="T123">
            <v>595.07966129184092</v>
          </cell>
          <cell r="U123">
            <v>717.53687894601694</v>
          </cell>
          <cell r="V123">
            <v>8212.8332691298001</v>
          </cell>
          <cell r="W123">
            <v>8210.4748253942707</v>
          </cell>
          <cell r="X123">
            <v>8215.0521174083206</v>
          </cell>
          <cell r="Y123">
            <v>8239.2272174499994</v>
          </cell>
          <cell r="Z123">
            <v>8215.387871254632</v>
          </cell>
          <cell r="AA123">
            <v>8208.9743395146652</v>
          </cell>
        </row>
        <row r="124">
          <cell r="F124" t="str">
            <v>Hi Grade Circuit 1</v>
          </cell>
          <cell r="G124" t="str">
            <v>Calc</v>
          </cell>
          <cell r="H124" t="str">
            <v>Link</v>
          </cell>
          <cell r="J124">
            <v>719.84963692456631</v>
          </cell>
          <cell r="K124">
            <v>645.67954004515298</v>
          </cell>
          <cell r="L124">
            <v>575.28973495357036</v>
          </cell>
          <cell r="M124">
            <v>691.90229048309709</v>
          </cell>
          <cell r="N124">
            <v>712.77332947153468</v>
          </cell>
          <cell r="O124">
            <v>694.71071517294376</v>
          </cell>
          <cell r="P124">
            <v>681.59581148767325</v>
          </cell>
          <cell r="Q124">
            <v>716.60490061234179</v>
          </cell>
          <cell r="R124">
            <v>688.5480924459431</v>
          </cell>
          <cell r="S124">
            <v>715.15929852390184</v>
          </cell>
          <cell r="T124">
            <v>595.07966129184092</v>
          </cell>
          <cell r="U124">
            <v>717.53687894601694</v>
          </cell>
          <cell r="V124">
            <v>8212.8332691298001</v>
          </cell>
          <cell r="W124">
            <v>8210.4748253942707</v>
          </cell>
          <cell r="X124">
            <v>8215.0521174083206</v>
          </cell>
          <cell r="Y124">
            <v>8239.2272174499994</v>
          </cell>
          <cell r="Z124">
            <v>8215.387871254632</v>
          </cell>
          <cell r="AA124">
            <v>8208.9743395146652</v>
          </cell>
        </row>
        <row r="125">
          <cell r="F125" t="str">
            <v>Cleaner/Recleaner 1</v>
          </cell>
          <cell r="G125" t="str">
            <v>Calc</v>
          </cell>
          <cell r="H125" t="str">
            <v>Link</v>
          </cell>
          <cell r="J125">
            <v>719.84963692456631</v>
          </cell>
          <cell r="K125">
            <v>645.67954004515298</v>
          </cell>
          <cell r="L125">
            <v>575.28973495357036</v>
          </cell>
          <cell r="M125">
            <v>691.90229048309709</v>
          </cell>
          <cell r="N125">
            <v>712.77332947153468</v>
          </cell>
          <cell r="O125">
            <v>694.71071517294376</v>
          </cell>
          <cell r="P125">
            <v>681.59581148767325</v>
          </cell>
          <cell r="Q125">
            <v>716.60490061234179</v>
          </cell>
          <cell r="R125">
            <v>688.5480924459431</v>
          </cell>
          <cell r="S125">
            <v>715.15929852390184</v>
          </cell>
          <cell r="T125">
            <v>595.07966129184092</v>
          </cell>
          <cell r="U125">
            <v>717.53687894601694</v>
          </cell>
          <cell r="V125">
            <v>8212.8332691298001</v>
          </cell>
          <cell r="W125">
            <v>8210.4748253942707</v>
          </cell>
          <cell r="X125">
            <v>8215.0521174083206</v>
          </cell>
          <cell r="Y125">
            <v>8239.2272174499994</v>
          </cell>
          <cell r="Z125">
            <v>8215.387871254632</v>
          </cell>
          <cell r="AA125">
            <v>8208.9743395146652</v>
          </cell>
        </row>
        <row r="126">
          <cell r="F126" t="str">
            <v>Lo-Grade Circuit 1</v>
          </cell>
          <cell r="G126" t="str">
            <v>Calc</v>
          </cell>
          <cell r="H126" t="str">
            <v>Link</v>
          </cell>
          <cell r="J126">
            <v>719.84963692456631</v>
          </cell>
          <cell r="K126">
            <v>645.67954004515298</v>
          </cell>
          <cell r="L126">
            <v>575.28973495357036</v>
          </cell>
          <cell r="M126">
            <v>691.90229048309709</v>
          </cell>
          <cell r="N126">
            <v>712.77332947153468</v>
          </cell>
          <cell r="O126">
            <v>694.71071517294376</v>
          </cell>
          <cell r="P126">
            <v>681.59581148767325</v>
          </cell>
          <cell r="Q126">
            <v>716.60490061234179</v>
          </cell>
          <cell r="R126">
            <v>688.5480924459431</v>
          </cell>
          <cell r="S126">
            <v>715.15929852390184</v>
          </cell>
          <cell r="T126">
            <v>595.07966129184092</v>
          </cell>
          <cell r="U126">
            <v>717.53687894601694</v>
          </cell>
          <cell r="V126">
            <v>8212.8332691298001</v>
          </cell>
          <cell r="W126">
            <v>8210.4748253942707</v>
          </cell>
          <cell r="X126">
            <v>8215.0521174083206</v>
          </cell>
          <cell r="Y126">
            <v>8239.2272174499994</v>
          </cell>
          <cell r="Z126">
            <v>8215.387871254632</v>
          </cell>
          <cell r="AA126">
            <v>8208.9743395146652</v>
          </cell>
        </row>
        <row r="127">
          <cell r="F127" t="str">
            <v>Air Blowers 1</v>
          </cell>
          <cell r="G127" t="str">
            <v>Calc</v>
          </cell>
          <cell r="H127" t="str">
            <v>UA</v>
          </cell>
          <cell r="I127">
            <v>66</v>
          </cell>
          <cell r="J127">
            <v>475.10076037021378</v>
          </cell>
          <cell r="K127">
            <v>426.14849642980096</v>
          </cell>
          <cell r="L127">
            <v>379.69122506935645</v>
          </cell>
          <cell r="M127">
            <v>456.65551171884408</v>
          </cell>
          <cell r="N127">
            <v>470.43039745121291</v>
          </cell>
          <cell r="O127">
            <v>458.50907201414293</v>
          </cell>
          <cell r="P127">
            <v>449.85323558186434</v>
          </cell>
          <cell r="Q127">
            <v>472.9592344041456</v>
          </cell>
          <cell r="R127">
            <v>454.44174101432247</v>
          </cell>
          <cell r="S127">
            <v>472.00513702577524</v>
          </cell>
          <cell r="T127">
            <v>392.75257645261502</v>
          </cell>
          <cell r="U127">
            <v>473.57434010437123</v>
          </cell>
          <cell r="V127">
            <v>5420.469957625668</v>
          </cell>
          <cell r="W127">
            <v>5418.9133847602188</v>
          </cell>
          <cell r="X127">
            <v>5421.9343974894919</v>
          </cell>
          <cell r="Y127">
            <v>5437.8899635170001</v>
          </cell>
          <cell r="Z127">
            <v>5422.1559950280571</v>
          </cell>
          <cell r="AA127">
            <v>5417.9230640796795</v>
          </cell>
        </row>
        <row r="128">
          <cell r="F128" t="str">
            <v>Ancillary Flotation</v>
          </cell>
          <cell r="G128" t="str">
            <v>Calc</v>
          </cell>
          <cell r="H128" t="str">
            <v>UA</v>
          </cell>
          <cell r="I128">
            <v>60</v>
          </cell>
          <cell r="J128">
            <v>431.90978215473979</v>
          </cell>
          <cell r="K128">
            <v>387.40772402709177</v>
          </cell>
          <cell r="L128">
            <v>345.17384097214222</v>
          </cell>
          <cell r="M128">
            <v>415.14137428985822</v>
          </cell>
          <cell r="N128">
            <v>427.66399768292081</v>
          </cell>
          <cell r="O128">
            <v>416.82642910376626</v>
          </cell>
          <cell r="P128">
            <v>408.95748689260392</v>
          </cell>
          <cell r="Q128">
            <v>429.96294036740505</v>
          </cell>
          <cell r="R128">
            <v>413.12885546756587</v>
          </cell>
          <cell r="S128">
            <v>429.09557911434109</v>
          </cell>
          <cell r="T128">
            <v>357.04779677510453</v>
          </cell>
          <cell r="U128">
            <v>430.52212736761015</v>
          </cell>
          <cell r="V128">
            <v>4927.6999614778797</v>
          </cell>
          <cell r="W128">
            <v>4926.2848952365621</v>
          </cell>
          <cell r="X128">
            <v>4929.0312704449925</v>
          </cell>
          <cell r="Y128">
            <v>4943.5363304699995</v>
          </cell>
          <cell r="Z128">
            <v>4929.2327227527794</v>
          </cell>
          <cell r="AA128">
            <v>4925.3846037087987</v>
          </cell>
        </row>
        <row r="129">
          <cell r="F129" t="str">
            <v>Sag mill 02</v>
          </cell>
          <cell r="G129" t="str">
            <v>Feed</v>
          </cell>
          <cell r="H129" t="str">
            <v>UAMA Prod</v>
          </cell>
          <cell r="J129">
            <v>653.36437334443644</v>
          </cell>
          <cell r="K129">
            <v>645.02535611400288</v>
          </cell>
          <cell r="L129">
            <v>709.64461225719253</v>
          </cell>
          <cell r="M129">
            <v>691.20127499121941</v>
          </cell>
          <cell r="N129">
            <v>646.21554828149306</v>
          </cell>
          <cell r="O129">
            <v>694.00685426598034</v>
          </cell>
          <cell r="P129">
            <v>711.8405670559938</v>
          </cell>
          <cell r="Q129">
            <v>715.87885714667584</v>
          </cell>
          <cell r="R129">
            <v>645.31799168400312</v>
          </cell>
          <cell r="S129">
            <v>714.43471970067594</v>
          </cell>
          <cell r="T129">
            <v>687.06279773697759</v>
          </cell>
          <cell r="U129">
            <v>647.01907017421979</v>
          </cell>
          <cell r="V129">
            <v>8204.0253744994443</v>
          </cell>
          <cell r="W129">
            <v>8201.6694600888404</v>
          </cell>
          <cell r="X129">
            <v>8206.2418431628903</v>
          </cell>
          <cell r="Y129">
            <v>8230.3910164961053</v>
          </cell>
          <cell r="Z129">
            <v>8206.5772369282895</v>
          </cell>
          <cell r="AA129">
            <v>8200.1705834129152</v>
          </cell>
        </row>
        <row r="130">
          <cell r="F130" t="str">
            <v>Ball Mill 2A</v>
          </cell>
          <cell r="G130" t="str">
            <v>Calc</v>
          </cell>
          <cell r="H130" t="str">
            <v>Link</v>
          </cell>
          <cell r="J130">
            <v>653.36437334443644</v>
          </cell>
          <cell r="K130">
            <v>645.02535611400288</v>
          </cell>
          <cell r="L130">
            <v>709.64461225719253</v>
          </cell>
          <cell r="M130">
            <v>691.20127499121941</v>
          </cell>
          <cell r="N130">
            <v>646.21554828149306</v>
          </cell>
          <cell r="O130">
            <v>694.00685426598034</v>
          </cell>
          <cell r="P130">
            <v>711.8405670559938</v>
          </cell>
          <cell r="Q130">
            <v>715.87885714667584</v>
          </cell>
          <cell r="R130">
            <v>645.31799168400312</v>
          </cell>
          <cell r="S130">
            <v>714.43471970067594</v>
          </cell>
          <cell r="T130">
            <v>687.06279773697759</v>
          </cell>
          <cell r="U130">
            <v>647.01907017421979</v>
          </cell>
          <cell r="V130">
            <v>8204.0253744994443</v>
          </cell>
          <cell r="W130">
            <v>8201.6694600888404</v>
          </cell>
          <cell r="X130">
            <v>8206.2418431628903</v>
          </cell>
          <cell r="Y130">
            <v>8230.3910164961053</v>
          </cell>
          <cell r="Z130">
            <v>8206.5772369282895</v>
          </cell>
          <cell r="AA130">
            <v>8200.1705834129152</v>
          </cell>
        </row>
        <row r="131">
          <cell r="F131" t="str">
            <v>Ball Mill 2B</v>
          </cell>
          <cell r="G131" t="str">
            <v>Calc</v>
          </cell>
          <cell r="H131" t="str">
            <v>Link</v>
          </cell>
          <cell r="J131">
            <v>653.36437334443644</v>
          </cell>
          <cell r="K131">
            <v>645.02535611400288</v>
          </cell>
          <cell r="L131">
            <v>709.64461225719253</v>
          </cell>
          <cell r="M131">
            <v>691.20127499121941</v>
          </cell>
          <cell r="N131">
            <v>646.21554828149306</v>
          </cell>
          <cell r="O131">
            <v>694.00685426598034</v>
          </cell>
          <cell r="P131">
            <v>711.8405670559938</v>
          </cell>
          <cell r="Q131">
            <v>715.87885714667584</v>
          </cell>
          <cell r="R131">
            <v>645.31799168400312</v>
          </cell>
          <cell r="S131">
            <v>714.43471970067594</v>
          </cell>
          <cell r="T131">
            <v>687.06279773697759</v>
          </cell>
          <cell r="U131">
            <v>647.01907017421979</v>
          </cell>
          <cell r="V131">
            <v>8204.0253744994443</v>
          </cell>
          <cell r="W131">
            <v>8201.6694600888404</v>
          </cell>
          <cell r="X131">
            <v>8206.2418431628903</v>
          </cell>
          <cell r="Y131">
            <v>8230.3910164961053</v>
          </cell>
          <cell r="Z131">
            <v>8206.5772369282895</v>
          </cell>
          <cell r="AA131">
            <v>8200.1705834129152</v>
          </cell>
        </row>
        <row r="132">
          <cell r="F132" t="str">
            <v>Cyclone Circuit 2</v>
          </cell>
          <cell r="G132" t="str">
            <v>Calc</v>
          </cell>
          <cell r="H132" t="str">
            <v>Link</v>
          </cell>
          <cell r="J132">
            <v>653.36437334443644</v>
          </cell>
          <cell r="K132">
            <v>645.02535611400288</v>
          </cell>
          <cell r="L132">
            <v>709.64461225719253</v>
          </cell>
          <cell r="M132">
            <v>691.20127499121941</v>
          </cell>
          <cell r="N132">
            <v>646.21554828149306</v>
          </cell>
          <cell r="O132">
            <v>694.00685426598034</v>
          </cell>
          <cell r="P132">
            <v>711.8405670559938</v>
          </cell>
          <cell r="Q132">
            <v>715.87885714667584</v>
          </cell>
          <cell r="R132">
            <v>645.31799168400312</v>
          </cell>
          <cell r="S132">
            <v>714.43471970067594</v>
          </cell>
          <cell r="T132">
            <v>687.06279773697759</v>
          </cell>
          <cell r="U132">
            <v>647.01907017421979</v>
          </cell>
          <cell r="V132">
            <v>8204.0253744994443</v>
          </cell>
          <cell r="W132">
            <v>8201.6694600888404</v>
          </cell>
          <cell r="X132">
            <v>8206.2418431628903</v>
          </cell>
          <cell r="Y132">
            <v>8230.3910164961053</v>
          </cell>
          <cell r="Z132">
            <v>8206.5772369282895</v>
          </cell>
          <cell r="AA132">
            <v>8200.1705834129152</v>
          </cell>
        </row>
        <row r="133">
          <cell r="F133" t="str">
            <v>Flash flotation cells 2</v>
          </cell>
          <cell r="G133" t="str">
            <v>Calc</v>
          </cell>
          <cell r="H133" t="str">
            <v>UA</v>
          </cell>
          <cell r="I133">
            <v>40</v>
          </cell>
          <cell r="J133">
            <v>287.93985476982652</v>
          </cell>
          <cell r="K133">
            <v>258.2718160180612</v>
          </cell>
          <cell r="L133">
            <v>230.11589398142814</v>
          </cell>
          <cell r="M133">
            <v>276.76091619323887</v>
          </cell>
          <cell r="N133">
            <v>285.10933178861387</v>
          </cell>
          <cell r="O133">
            <v>277.88428606917751</v>
          </cell>
          <cell r="P133">
            <v>272.63832459506932</v>
          </cell>
          <cell r="Q133">
            <v>286.64196024493674</v>
          </cell>
          <cell r="R133">
            <v>275.41923697837723</v>
          </cell>
          <cell r="S133">
            <v>286.06371940956075</v>
          </cell>
          <cell r="T133">
            <v>238.03186451673639</v>
          </cell>
          <cell r="U133">
            <v>287.01475157840679</v>
          </cell>
          <cell r="V133">
            <v>3285.1333076519204</v>
          </cell>
          <cell r="W133">
            <v>3284.1899301577087</v>
          </cell>
          <cell r="X133">
            <v>3286.0208469633285</v>
          </cell>
          <cell r="Y133">
            <v>3295.69088698</v>
          </cell>
          <cell r="Z133">
            <v>3286.1551485018531</v>
          </cell>
          <cell r="AA133">
            <v>3283.5897358058664</v>
          </cell>
        </row>
        <row r="134">
          <cell r="F134" t="str">
            <v>Rougher cells 2</v>
          </cell>
          <cell r="G134" t="str">
            <v>Calc</v>
          </cell>
          <cell r="H134" t="str">
            <v>Link</v>
          </cell>
          <cell r="J134">
            <v>653.36437334443644</v>
          </cell>
          <cell r="K134">
            <v>645.02535611400288</v>
          </cell>
          <cell r="L134">
            <v>709.64461225719253</v>
          </cell>
          <cell r="M134">
            <v>691.20127499121941</v>
          </cell>
          <cell r="N134">
            <v>646.21554828149306</v>
          </cell>
          <cell r="O134">
            <v>694.00685426598034</v>
          </cell>
          <cell r="P134">
            <v>711.8405670559938</v>
          </cell>
          <cell r="Q134">
            <v>715.87885714667584</v>
          </cell>
          <cell r="R134">
            <v>645.31799168400312</v>
          </cell>
          <cell r="S134">
            <v>714.43471970067594</v>
          </cell>
          <cell r="T134">
            <v>687.06279773697759</v>
          </cell>
          <cell r="U134">
            <v>647.01907017421979</v>
          </cell>
          <cell r="V134">
            <v>8204.0253744994443</v>
          </cell>
          <cell r="W134">
            <v>8201.6694600888404</v>
          </cell>
          <cell r="X134">
            <v>8206.2418431628903</v>
          </cell>
          <cell r="Y134">
            <v>8230.3910164961053</v>
          </cell>
          <cell r="Z134">
            <v>8206.5772369282895</v>
          </cell>
          <cell r="AA134">
            <v>8200.1705834129152</v>
          </cell>
        </row>
        <row r="135">
          <cell r="F135" t="str">
            <v>Hi Grade Circuit 2</v>
          </cell>
          <cell r="G135" t="str">
            <v>Calc</v>
          </cell>
          <cell r="H135" t="str">
            <v>Link</v>
          </cell>
          <cell r="J135">
            <v>653.36437334443644</v>
          </cell>
          <cell r="K135">
            <v>645.02535611400288</v>
          </cell>
          <cell r="L135">
            <v>709.64461225719253</v>
          </cell>
          <cell r="M135">
            <v>691.20127499121941</v>
          </cell>
          <cell r="N135">
            <v>646.21554828149306</v>
          </cell>
          <cell r="O135">
            <v>694.00685426598034</v>
          </cell>
          <cell r="P135">
            <v>711.8405670559938</v>
          </cell>
          <cell r="Q135">
            <v>715.87885714667584</v>
          </cell>
          <cell r="R135">
            <v>645.31799168400312</v>
          </cell>
          <cell r="S135">
            <v>714.43471970067594</v>
          </cell>
          <cell r="T135">
            <v>687.06279773697759</v>
          </cell>
          <cell r="U135">
            <v>647.01907017421979</v>
          </cell>
          <cell r="V135">
            <v>8204.0253744994443</v>
          </cell>
          <cell r="W135">
            <v>8201.6694600888404</v>
          </cell>
          <cell r="X135">
            <v>8206.2418431628903</v>
          </cell>
          <cell r="Y135">
            <v>8230.3910164961053</v>
          </cell>
          <cell r="Z135">
            <v>8206.5772369282895</v>
          </cell>
          <cell r="AA135">
            <v>8200.1705834129152</v>
          </cell>
        </row>
        <row r="136">
          <cell r="F136" t="str">
            <v>Cleaner/Recleaner 2</v>
          </cell>
          <cell r="G136" t="str">
            <v>Calc</v>
          </cell>
          <cell r="H136" t="str">
            <v>Link</v>
          </cell>
          <cell r="J136">
            <v>653.36437334443644</v>
          </cell>
          <cell r="K136">
            <v>645.02535611400288</v>
          </cell>
          <cell r="L136">
            <v>709.64461225719253</v>
          </cell>
          <cell r="M136">
            <v>691.20127499121941</v>
          </cell>
          <cell r="N136">
            <v>646.21554828149306</v>
          </cell>
          <cell r="O136">
            <v>694.00685426598034</v>
          </cell>
          <cell r="P136">
            <v>711.8405670559938</v>
          </cell>
          <cell r="Q136">
            <v>715.87885714667584</v>
          </cell>
          <cell r="R136">
            <v>645.31799168400312</v>
          </cell>
          <cell r="S136">
            <v>714.43471970067594</v>
          </cell>
          <cell r="T136">
            <v>687.06279773697759</v>
          </cell>
          <cell r="U136">
            <v>647.01907017421979</v>
          </cell>
          <cell r="V136">
            <v>8204.0253744994443</v>
          </cell>
          <cell r="W136">
            <v>8201.6694600888404</v>
          </cell>
          <cell r="X136">
            <v>8206.2418431628903</v>
          </cell>
          <cell r="Y136">
            <v>8230.3910164961053</v>
          </cell>
          <cell r="Z136">
            <v>8206.5772369282895</v>
          </cell>
          <cell r="AA136">
            <v>8200.1705834129152</v>
          </cell>
        </row>
        <row r="137">
          <cell r="F137" t="str">
            <v>Lo-Grade Circuit 2</v>
          </cell>
          <cell r="G137" t="str">
            <v>Calc</v>
          </cell>
          <cell r="H137" t="str">
            <v>Link</v>
          </cell>
          <cell r="J137">
            <v>653.36437334443644</v>
          </cell>
          <cell r="K137">
            <v>645.02535611400288</v>
          </cell>
          <cell r="L137">
            <v>709.64461225719253</v>
          </cell>
          <cell r="M137">
            <v>691.20127499121941</v>
          </cell>
          <cell r="N137">
            <v>646.21554828149306</v>
          </cell>
          <cell r="O137">
            <v>694.00685426598034</v>
          </cell>
          <cell r="P137">
            <v>711.8405670559938</v>
          </cell>
          <cell r="Q137">
            <v>715.87885714667584</v>
          </cell>
          <cell r="R137">
            <v>645.31799168400312</v>
          </cell>
          <cell r="S137">
            <v>714.43471970067594</v>
          </cell>
          <cell r="T137">
            <v>687.06279773697759</v>
          </cell>
          <cell r="U137">
            <v>647.01907017421979</v>
          </cell>
          <cell r="V137">
            <v>8204.0253744994443</v>
          </cell>
          <cell r="W137">
            <v>8201.6694600888404</v>
          </cell>
          <cell r="X137">
            <v>8206.2418431628903</v>
          </cell>
          <cell r="Y137">
            <v>8230.3910164961053</v>
          </cell>
          <cell r="Z137">
            <v>8206.5772369282895</v>
          </cell>
          <cell r="AA137">
            <v>8200.1705834129152</v>
          </cell>
        </row>
        <row r="138">
          <cell r="F138" t="str">
            <v>Concentrate Thickener 01</v>
          </cell>
          <cell r="G138" t="str">
            <v>Calc</v>
          </cell>
          <cell r="H138" t="str">
            <v>t/hr</v>
          </cell>
          <cell r="I138">
            <v>150</v>
          </cell>
          <cell r="J138">
            <v>361.7205628258389</v>
          </cell>
          <cell r="K138">
            <v>295.26083534413607</v>
          </cell>
          <cell r="L138">
            <v>390.57888274359198</v>
          </cell>
          <cell r="M138">
            <v>338.12672506009829</v>
          </cell>
          <cell r="N138">
            <v>367.71779742518527</v>
          </cell>
          <cell r="O138">
            <v>361.23946952177175</v>
          </cell>
          <cell r="P138">
            <v>391.89181386120532</v>
          </cell>
          <cell r="Q138">
            <v>374.54422495553661</v>
          </cell>
          <cell r="R138">
            <v>354.62102152808205</v>
          </cell>
          <cell r="S138">
            <v>416.84344918261502</v>
          </cell>
          <cell r="T138">
            <v>389.82224093060796</v>
          </cell>
          <cell r="U138">
            <v>413.01344885129612</v>
          </cell>
          <cell r="V138">
            <v>4686.4246800000001</v>
          </cell>
          <cell r="W138">
            <v>4351.6011466666669</v>
          </cell>
          <cell r="X138">
            <v>4714.7571333333326</v>
          </cell>
          <cell r="Y138">
            <v>4929.8057200000003</v>
          </cell>
          <cell r="Z138">
            <v>5047.4632133333334</v>
          </cell>
          <cell r="AA138">
            <v>5293.4072800000004</v>
          </cell>
        </row>
        <row r="139">
          <cell r="F139" t="str">
            <v>Concentrate Thickener 02</v>
          </cell>
          <cell r="G139" t="str">
            <v>Calc</v>
          </cell>
          <cell r="H139" t="str">
            <v>t/hr</v>
          </cell>
          <cell r="I139">
            <v>150</v>
          </cell>
          <cell r="J139">
            <v>361.7205628258389</v>
          </cell>
          <cell r="K139">
            <v>295.26083534413607</v>
          </cell>
          <cell r="L139">
            <v>390.57888274359198</v>
          </cell>
          <cell r="M139">
            <v>338.12672506009829</v>
          </cell>
          <cell r="N139">
            <v>367.71779742518527</v>
          </cell>
          <cell r="O139">
            <v>361.23946952177175</v>
          </cell>
          <cell r="P139">
            <v>391.89181386120532</v>
          </cell>
          <cell r="Q139">
            <v>374.54422495553661</v>
          </cell>
          <cell r="R139">
            <v>354.62102152808205</v>
          </cell>
          <cell r="S139">
            <v>416.84344918261502</v>
          </cell>
          <cell r="T139">
            <v>389.82224093060796</v>
          </cell>
          <cell r="U139">
            <v>413.01344885129612</v>
          </cell>
          <cell r="V139">
            <v>4686.4246800000001</v>
          </cell>
          <cell r="W139">
            <v>4351.6011466666669</v>
          </cell>
          <cell r="X139">
            <v>4714.7571333333326</v>
          </cell>
          <cell r="Y139">
            <v>4929.8057200000003</v>
          </cell>
          <cell r="Z139">
            <v>5047.4632133333334</v>
          </cell>
          <cell r="AA139">
            <v>5293.4072800000004</v>
          </cell>
        </row>
        <row r="140">
          <cell r="F140" t="str">
            <v>Tailings Thickener 01</v>
          </cell>
          <cell r="G140" t="str">
            <v>Calc</v>
          </cell>
          <cell r="H140" t="str">
            <v>t/hr</v>
          </cell>
          <cell r="I140">
            <v>6000</v>
          </cell>
          <cell r="J140">
            <v>376.89798592935392</v>
          </cell>
          <cell r="K140">
            <v>360.88147911639658</v>
          </cell>
          <cell r="L140">
            <v>371.51302793141019</v>
          </cell>
          <cell r="M140">
            <v>390.20433187349755</v>
          </cell>
          <cell r="N140">
            <v>391.07055506437041</v>
          </cell>
          <cell r="O140">
            <v>407.77317992862237</v>
          </cell>
          <cell r="P140">
            <v>392.80287132013649</v>
          </cell>
          <cell r="Q140">
            <v>429.74372770944495</v>
          </cell>
          <cell r="R140">
            <v>392.67730779513124</v>
          </cell>
          <cell r="S140">
            <v>422.09558043710132</v>
          </cell>
          <cell r="T140">
            <v>381.79477731006818</v>
          </cell>
          <cell r="U140">
            <v>398.8173304453843</v>
          </cell>
          <cell r="V140">
            <v>4715</v>
          </cell>
          <cell r="W140">
            <v>4723.95</v>
          </cell>
          <cell r="X140">
            <v>4707.6499999999996</v>
          </cell>
          <cell r="Y140">
            <v>4811.0666666666666</v>
          </cell>
          <cell r="Z140">
            <v>4829.0166666666664</v>
          </cell>
          <cell r="AA140">
            <v>4767.1000000000004</v>
          </cell>
        </row>
        <row r="141">
          <cell r="F141" t="str">
            <v>Tailings Thickener 02</v>
          </cell>
          <cell r="G141" t="str">
            <v>Calc</v>
          </cell>
          <cell r="H141" t="str">
            <v>t/hr</v>
          </cell>
          <cell r="I141">
            <v>6000</v>
          </cell>
          <cell r="J141">
            <v>376.89798592935392</v>
          </cell>
          <cell r="K141">
            <v>360.88147911639658</v>
          </cell>
          <cell r="L141">
            <v>371.51302793141019</v>
          </cell>
          <cell r="M141">
            <v>390.20433187349755</v>
          </cell>
          <cell r="N141">
            <v>391.07055506437041</v>
          </cell>
          <cell r="O141">
            <v>407.77317992862237</v>
          </cell>
          <cell r="P141">
            <v>392.80287132013649</v>
          </cell>
          <cell r="Q141">
            <v>429.74372770944495</v>
          </cell>
          <cell r="R141">
            <v>392.67730779513124</v>
          </cell>
          <cell r="S141">
            <v>422.09558043710132</v>
          </cell>
          <cell r="T141">
            <v>381.79477731006818</v>
          </cell>
          <cell r="U141">
            <v>398.8173304453843</v>
          </cell>
          <cell r="V141">
            <v>4715</v>
          </cell>
          <cell r="W141">
            <v>4723.95</v>
          </cell>
          <cell r="X141">
            <v>4707.6499999999996</v>
          </cell>
          <cell r="Y141">
            <v>4811.0666666666666</v>
          </cell>
          <cell r="Z141">
            <v>4829.0166666666664</v>
          </cell>
          <cell r="AA141">
            <v>4767.1000000000004</v>
          </cell>
        </row>
        <row r="142">
          <cell r="F142" t="str">
            <v>Tailings Thickener 03</v>
          </cell>
          <cell r="G142" t="str">
            <v>Calc</v>
          </cell>
          <cell r="H142" t="str">
            <v>t/hr</v>
          </cell>
          <cell r="I142">
            <v>6000</v>
          </cell>
          <cell r="J142">
            <v>376.89798592935392</v>
          </cell>
          <cell r="K142">
            <v>360.88147911639658</v>
          </cell>
          <cell r="L142">
            <v>371.51302793141019</v>
          </cell>
          <cell r="M142">
            <v>390.20433187349755</v>
          </cell>
          <cell r="N142">
            <v>391.07055506437041</v>
          </cell>
          <cell r="O142">
            <v>407.77317992862237</v>
          </cell>
          <cell r="P142">
            <v>392.80287132013649</v>
          </cell>
          <cell r="Q142">
            <v>429.74372770944495</v>
          </cell>
          <cell r="R142">
            <v>392.67730779513124</v>
          </cell>
          <cell r="S142">
            <v>422.09558043710132</v>
          </cell>
          <cell r="T142">
            <v>381.79477731006818</v>
          </cell>
          <cell r="U142">
            <v>398.8173304453843</v>
          </cell>
          <cell r="V142">
            <v>4715</v>
          </cell>
          <cell r="W142">
            <v>4723.95</v>
          </cell>
          <cell r="X142">
            <v>4707.6499999999996</v>
          </cell>
          <cell r="Y142">
            <v>4811.0666666666666</v>
          </cell>
          <cell r="Z142">
            <v>4829.0166666666664</v>
          </cell>
          <cell r="AA142">
            <v>4767.1000000000004</v>
          </cell>
        </row>
        <row r="143">
          <cell r="F143" t="str">
            <v>Plant Process Water</v>
          </cell>
          <cell r="G143" t="str">
            <v>Calc</v>
          </cell>
          <cell r="H143" t="str">
            <v>m3/hr</v>
          </cell>
          <cell r="I143">
            <v>2160</v>
          </cell>
          <cell r="J143">
            <v>572.29613967057708</v>
          </cell>
          <cell r="K143">
            <v>548.58665471144309</v>
          </cell>
          <cell r="L143">
            <v>461.89995277109773</v>
          </cell>
          <cell r="M143">
            <v>593.99924462455056</v>
          </cell>
          <cell r="N143">
            <v>593.47865781253415</v>
          </cell>
          <cell r="O143">
            <v>621.09416398932365</v>
          </cell>
          <cell r="P143">
            <v>572.04010839572436</v>
          </cell>
          <cell r="Q143">
            <v>654.28486221124979</v>
          </cell>
          <cell r="R143">
            <v>595.16402685542323</v>
          </cell>
          <cell r="S143">
            <v>644.81461121332234</v>
          </cell>
          <cell r="T143">
            <v>505.13471258632694</v>
          </cell>
          <cell r="U143">
            <v>610.10422129368635</v>
          </cell>
          <cell r="V143">
            <v>6819.4220136429904</v>
          </cell>
          <cell r="W143">
            <v>6817.105425542607</v>
          </cell>
          <cell r="X143">
            <v>6810.373854777079</v>
          </cell>
          <cell r="Y143">
            <v>6964.9322620436396</v>
          </cell>
          <cell r="Z143">
            <v>6995.3256545409386</v>
          </cell>
          <cell r="AA143">
            <v>6919.4264452997577</v>
          </cell>
        </row>
        <row r="144">
          <cell r="F144" t="str">
            <v>Recycled Water</v>
          </cell>
          <cell r="G144" t="str">
            <v>Calc</v>
          </cell>
          <cell r="H144" t="str">
            <v>m3/hr</v>
          </cell>
          <cell r="I144">
            <v>7200</v>
          </cell>
          <cell r="J144">
            <v>251.13722678109681</v>
          </cell>
          <cell r="K144">
            <v>182.69819083917608</v>
          </cell>
          <cell r="L144">
            <v>313.47257436879664</v>
          </cell>
          <cell r="M144">
            <v>235.81667430511692</v>
          </cell>
          <cell r="N144">
            <v>281.27181426172803</v>
          </cell>
          <cell r="O144">
            <v>237.71293962199528</v>
          </cell>
          <cell r="P144">
            <v>285.39822471013292</v>
          </cell>
          <cell r="Q144">
            <v>238.06638190208585</v>
          </cell>
          <cell r="R144">
            <v>268.31122214950625</v>
          </cell>
          <cell r="S144">
            <v>212.63804461354468</v>
          </cell>
          <cell r="T144">
            <v>265.08496832735273</v>
          </cell>
          <cell r="U144">
            <v>286.02297572333453</v>
          </cell>
          <cell r="V144">
            <v>3111.0800625737684</v>
          </cell>
          <cell r="W144">
            <v>3112.2372612261079</v>
          </cell>
          <cell r="X144">
            <v>3106.6833991224321</v>
          </cell>
          <cell r="Y144">
            <v>3176.4580991646858</v>
          </cell>
          <cell r="Z144">
            <v>3176.1400814154963</v>
          </cell>
          <cell r="AA144">
            <v>3152.9187330767395</v>
          </cell>
        </row>
        <row r="145">
          <cell r="F145" t="str">
            <v>KILN</v>
          </cell>
          <cell r="G145" t="str">
            <v>Calc</v>
          </cell>
          <cell r="H145" t="str">
            <v>t/hr</v>
          </cell>
          <cell r="I145">
            <v>10</v>
          </cell>
          <cell r="J145">
            <v>744</v>
          </cell>
          <cell r="K145">
            <v>672</v>
          </cell>
          <cell r="L145">
            <v>744</v>
          </cell>
          <cell r="M145">
            <v>720</v>
          </cell>
          <cell r="N145">
            <v>744</v>
          </cell>
          <cell r="O145">
            <v>720</v>
          </cell>
          <cell r="P145">
            <v>744</v>
          </cell>
          <cell r="Q145">
            <v>744</v>
          </cell>
          <cell r="R145">
            <v>720</v>
          </cell>
          <cell r="S145">
            <v>744</v>
          </cell>
          <cell r="T145">
            <v>720</v>
          </cell>
          <cell r="U145">
            <v>744</v>
          </cell>
          <cell r="V145">
            <v>8760</v>
          </cell>
          <cell r="W145">
            <v>8760</v>
          </cell>
          <cell r="X145">
            <v>8784</v>
          </cell>
          <cell r="Y145">
            <v>8760</v>
          </cell>
          <cell r="Z145">
            <v>8760</v>
          </cell>
          <cell r="AA145">
            <v>8760</v>
          </cell>
        </row>
        <row r="146">
          <cell r="F146" t="str">
            <v>Kiln Discharge and Crushing</v>
          </cell>
          <cell r="G146" t="str">
            <v>Calc</v>
          </cell>
          <cell r="H146" t="str">
            <v>Link</v>
          </cell>
          <cell r="J146">
            <v>744</v>
          </cell>
          <cell r="K146">
            <v>672</v>
          </cell>
          <cell r="L146">
            <v>744</v>
          </cell>
          <cell r="M146">
            <v>720</v>
          </cell>
          <cell r="N146">
            <v>744</v>
          </cell>
          <cell r="O146">
            <v>720</v>
          </cell>
          <cell r="P146">
            <v>744</v>
          </cell>
          <cell r="Q146">
            <v>744</v>
          </cell>
          <cell r="R146">
            <v>720</v>
          </cell>
          <cell r="S146">
            <v>744</v>
          </cell>
          <cell r="T146">
            <v>720</v>
          </cell>
          <cell r="U146">
            <v>744</v>
          </cell>
          <cell r="V146">
            <v>8760</v>
          </cell>
          <cell r="W146">
            <v>8760</v>
          </cell>
          <cell r="X146">
            <v>8784</v>
          </cell>
          <cell r="Y146">
            <v>8760</v>
          </cell>
          <cell r="Z146">
            <v>8760</v>
          </cell>
          <cell r="AA146">
            <v>8760</v>
          </cell>
        </row>
        <row r="147">
          <cell r="F147" t="str">
            <v>Slaker Mill Feed system</v>
          </cell>
          <cell r="G147" t="str">
            <v>Calc</v>
          </cell>
          <cell r="H147" t="str">
            <v>Link</v>
          </cell>
          <cell r="J147">
            <v>744</v>
          </cell>
          <cell r="K147">
            <v>672</v>
          </cell>
          <cell r="L147">
            <v>744</v>
          </cell>
          <cell r="M147">
            <v>720</v>
          </cell>
          <cell r="N147">
            <v>744</v>
          </cell>
          <cell r="O147">
            <v>720</v>
          </cell>
          <cell r="P147">
            <v>744</v>
          </cell>
          <cell r="Q147">
            <v>744</v>
          </cell>
          <cell r="R147">
            <v>720</v>
          </cell>
          <cell r="S147">
            <v>744</v>
          </cell>
          <cell r="T147">
            <v>720</v>
          </cell>
          <cell r="U147">
            <v>744</v>
          </cell>
          <cell r="V147">
            <v>8760</v>
          </cell>
          <cell r="W147">
            <v>8760</v>
          </cell>
          <cell r="X147">
            <v>8784</v>
          </cell>
          <cell r="Y147">
            <v>8760</v>
          </cell>
          <cell r="Z147">
            <v>8760</v>
          </cell>
          <cell r="AA147">
            <v>8760</v>
          </cell>
        </row>
        <row r="148">
          <cell r="F148" t="str">
            <v>Air Compressors</v>
          </cell>
          <cell r="G148" t="str">
            <v>Calc</v>
          </cell>
          <cell r="H148" t="str">
            <v>UA</v>
          </cell>
          <cell r="I148">
            <v>66</v>
          </cell>
          <cell r="J148">
            <v>475.10076037021378</v>
          </cell>
          <cell r="K148">
            <v>426.14849642980096</v>
          </cell>
          <cell r="L148">
            <v>379.69122506935645</v>
          </cell>
          <cell r="M148">
            <v>456.65551171884408</v>
          </cell>
          <cell r="N148">
            <v>470.43039745121291</v>
          </cell>
          <cell r="O148">
            <v>458.50907201414293</v>
          </cell>
          <cell r="P148">
            <v>449.85323558186434</v>
          </cell>
          <cell r="Q148">
            <v>472.9592344041456</v>
          </cell>
          <cell r="R148">
            <v>454.44174101432247</v>
          </cell>
          <cell r="S148">
            <v>472.00513702577524</v>
          </cell>
          <cell r="T148">
            <v>392.75257645261502</v>
          </cell>
          <cell r="U148">
            <v>473.57434010437123</v>
          </cell>
          <cell r="V148">
            <v>5420.469957625668</v>
          </cell>
          <cell r="W148">
            <v>5418.9133847602188</v>
          </cell>
          <cell r="X148">
            <v>5421.9343974894919</v>
          </cell>
          <cell r="Y148">
            <v>5437.8899635170001</v>
          </cell>
          <cell r="Z148">
            <v>5422.1559950280571</v>
          </cell>
          <cell r="AA148">
            <v>5417.9230640796795</v>
          </cell>
        </row>
        <row r="149">
          <cell r="F149" t="str">
            <v>Plant Reagents</v>
          </cell>
          <cell r="G149" t="str">
            <v>Calc</v>
          </cell>
          <cell r="H149" t="str">
            <v>Max Link</v>
          </cell>
          <cell r="J149">
            <v>719.84963692456631</v>
          </cell>
          <cell r="K149">
            <v>645.67954004515298</v>
          </cell>
          <cell r="L149">
            <v>709.64461225719253</v>
          </cell>
          <cell r="M149">
            <v>691.90229048309709</v>
          </cell>
          <cell r="N149">
            <v>712.77332947153468</v>
          </cell>
          <cell r="O149">
            <v>694.71071517294376</v>
          </cell>
          <cell r="P149">
            <v>711.8405670559938</v>
          </cell>
          <cell r="Q149">
            <v>716.60490061234179</v>
          </cell>
          <cell r="R149">
            <v>688.5480924459431</v>
          </cell>
          <cell r="S149">
            <v>715.15929852390184</v>
          </cell>
          <cell r="T149">
            <v>687.06279773697759</v>
          </cell>
          <cell r="U149">
            <v>717.53687894601694</v>
          </cell>
          <cell r="V149">
            <v>8212.8332691298001</v>
          </cell>
          <cell r="W149">
            <v>8210.4748253942707</v>
          </cell>
          <cell r="X149">
            <v>8215.0521174083206</v>
          </cell>
          <cell r="Y149">
            <v>8239.2272174499994</v>
          </cell>
          <cell r="Z149">
            <v>8215.387871254632</v>
          </cell>
          <cell r="AA149">
            <v>8208.9743395146652</v>
          </cell>
        </row>
        <row r="150">
          <cell r="F150" t="str">
            <v>Plant gland seal pumps</v>
          </cell>
          <cell r="G150" t="str">
            <v>Calc</v>
          </cell>
          <cell r="H150" t="str">
            <v>UA</v>
          </cell>
          <cell r="I150">
            <v>50</v>
          </cell>
          <cell r="J150">
            <v>359.92481846228316</v>
          </cell>
          <cell r="K150">
            <v>322.83977002257649</v>
          </cell>
          <cell r="L150">
            <v>354.82230612859627</v>
          </cell>
          <cell r="M150">
            <v>345.95114524154849</v>
          </cell>
          <cell r="N150">
            <v>356.38666473576734</v>
          </cell>
          <cell r="O150">
            <v>347.35535758647188</v>
          </cell>
          <cell r="P150">
            <v>355.92028352799684</v>
          </cell>
          <cell r="Q150">
            <v>358.30245030617084</v>
          </cell>
          <cell r="R150">
            <v>344.27404622297149</v>
          </cell>
          <cell r="S150">
            <v>357.57964926195092</v>
          </cell>
          <cell r="T150">
            <v>343.53139886848874</v>
          </cell>
          <cell r="U150">
            <v>358.76843947300847</v>
          </cell>
          <cell r="V150">
            <v>4106.4166345649001</v>
          </cell>
          <cell r="W150">
            <v>4105.2374126971354</v>
          </cell>
          <cell r="X150">
            <v>4107.5260587041603</v>
          </cell>
          <cell r="Y150">
            <v>4119.6136087249997</v>
          </cell>
          <cell r="Z150">
            <v>4107.693935627316</v>
          </cell>
          <cell r="AA150">
            <v>4104.4871697573326</v>
          </cell>
        </row>
        <row r="151">
          <cell r="F151" t="str">
            <v>Ancillary Plant Services</v>
          </cell>
          <cell r="G151" t="str">
            <v>Calc</v>
          </cell>
          <cell r="H151" t="str">
            <v>Link</v>
          </cell>
          <cell r="J151">
            <v>719.84963692456631</v>
          </cell>
          <cell r="K151">
            <v>645.67954004515298</v>
          </cell>
          <cell r="L151">
            <v>709.64461225719253</v>
          </cell>
          <cell r="M151">
            <v>691.90229048309709</v>
          </cell>
          <cell r="N151">
            <v>712.77332947153468</v>
          </cell>
          <cell r="O151">
            <v>694.71071517294376</v>
          </cell>
          <cell r="P151">
            <v>711.8405670559938</v>
          </cell>
          <cell r="Q151">
            <v>716.60490061234179</v>
          </cell>
          <cell r="R151">
            <v>688.5480924459431</v>
          </cell>
          <cell r="S151">
            <v>715.15929852390184</v>
          </cell>
          <cell r="T151">
            <v>687.06279773697759</v>
          </cell>
          <cell r="U151">
            <v>717.53687894601694</v>
          </cell>
          <cell r="V151">
            <v>8212.8332691298001</v>
          </cell>
          <cell r="W151">
            <v>8210.4748253942707</v>
          </cell>
          <cell r="X151">
            <v>8215.0521174083206</v>
          </cell>
          <cell r="Y151">
            <v>8239.2272174499994</v>
          </cell>
          <cell r="Z151">
            <v>8215.387871254632</v>
          </cell>
          <cell r="AA151">
            <v>8208.9743395146652</v>
          </cell>
        </row>
        <row r="152">
          <cell r="F152" t="str">
            <v>Gravity Gold</v>
          </cell>
          <cell r="G152" t="str">
            <v>Calc</v>
          </cell>
          <cell r="H152" t="str">
            <v>Max Link</v>
          </cell>
          <cell r="J152">
            <v>719.84963692456631</v>
          </cell>
          <cell r="K152">
            <v>645.67954004515298</v>
          </cell>
          <cell r="L152">
            <v>709.64461225719253</v>
          </cell>
          <cell r="M152">
            <v>691.90229048309709</v>
          </cell>
          <cell r="N152">
            <v>712.77332947153468</v>
          </cell>
          <cell r="O152">
            <v>694.71071517294376</v>
          </cell>
          <cell r="P152">
            <v>711.8405670559938</v>
          </cell>
          <cell r="Q152">
            <v>716.60490061234179</v>
          </cell>
          <cell r="R152">
            <v>688.5480924459431</v>
          </cell>
          <cell r="S152">
            <v>715.15929852390184</v>
          </cell>
          <cell r="T152">
            <v>687.06279773697759</v>
          </cell>
          <cell r="U152">
            <v>717.53687894601694</v>
          </cell>
          <cell r="V152">
            <v>8212.8332691298001</v>
          </cell>
          <cell r="W152">
            <v>8210.4748253942707</v>
          </cell>
          <cell r="X152">
            <v>8215.0521174083206</v>
          </cell>
          <cell r="Y152">
            <v>8239.2272174499994</v>
          </cell>
          <cell r="Z152">
            <v>8215.387871254632</v>
          </cell>
          <cell r="AA152">
            <v>8208.9743395146652</v>
          </cell>
        </row>
        <row r="153">
          <cell r="F153" t="str">
            <v>K59 Stage 1</v>
          </cell>
          <cell r="G153" t="str">
            <v>Calc</v>
          </cell>
          <cell r="H153" t="str">
            <v>t/hr</v>
          </cell>
          <cell r="I153">
            <v>140</v>
          </cell>
          <cell r="J153">
            <v>387.5577458848274</v>
          </cell>
          <cell r="K153">
            <v>316.35089501157432</v>
          </cell>
          <cell r="L153">
            <v>418.47737436813424</v>
          </cell>
          <cell r="M153">
            <v>362.27863399296245</v>
          </cell>
          <cell r="N153">
            <v>393.9833543841271</v>
          </cell>
          <cell r="O153">
            <v>387.04228877332685</v>
          </cell>
          <cell r="P153">
            <v>419.88408627986286</v>
          </cell>
          <cell r="Q153">
            <v>401.29738388093205</v>
          </cell>
          <cell r="R153">
            <v>379.95109449437365</v>
          </cell>
          <cell r="S153">
            <v>446.61798126708749</v>
          </cell>
          <cell r="T153">
            <v>417.66668671136568</v>
          </cell>
          <cell r="U153">
            <v>442.51440948353155</v>
          </cell>
          <cell r="V153">
            <v>5021.1693000000005</v>
          </cell>
          <cell r="W153">
            <v>4662.4297999999999</v>
          </cell>
          <cell r="X153">
            <v>5051.5254999999997</v>
          </cell>
          <cell r="Y153">
            <v>5281.9346999999998</v>
          </cell>
          <cell r="Z153">
            <v>5407.9962999999998</v>
          </cell>
          <cell r="AA153">
            <v>5671.5078000000003</v>
          </cell>
        </row>
        <row r="154">
          <cell r="F154" t="str">
            <v>K59 Stage 2</v>
          </cell>
          <cell r="G154" t="str">
            <v>Calc</v>
          </cell>
          <cell r="H154" t="str">
            <v>t/hr</v>
          </cell>
          <cell r="I154">
            <v>140</v>
          </cell>
          <cell r="J154">
            <v>387.5577458848274</v>
          </cell>
          <cell r="K154">
            <v>316.35089501157432</v>
          </cell>
          <cell r="L154">
            <v>418.47737436813424</v>
          </cell>
          <cell r="M154">
            <v>362.27863399296245</v>
          </cell>
          <cell r="N154">
            <v>393.9833543841271</v>
          </cell>
          <cell r="O154">
            <v>387.04228877332685</v>
          </cell>
          <cell r="P154">
            <v>419.88408627986286</v>
          </cell>
          <cell r="Q154">
            <v>401.29738388093205</v>
          </cell>
          <cell r="R154">
            <v>379.95109449437365</v>
          </cell>
          <cell r="S154">
            <v>446.61798126708749</v>
          </cell>
          <cell r="T154">
            <v>417.66668671136568</v>
          </cell>
          <cell r="U154">
            <v>442.51440948353155</v>
          </cell>
          <cell r="V154">
            <v>5021.1693000000005</v>
          </cell>
          <cell r="W154">
            <v>4662.4297999999999</v>
          </cell>
          <cell r="X154">
            <v>5051.5254999999997</v>
          </cell>
          <cell r="Y154">
            <v>5281.9346999999998</v>
          </cell>
          <cell r="Z154">
            <v>5407.9962999999998</v>
          </cell>
          <cell r="AA154">
            <v>5671.5078000000003</v>
          </cell>
        </row>
        <row r="155">
          <cell r="F155" t="str">
            <v>Kiunga TM01</v>
          </cell>
          <cell r="G155" t="str">
            <v>Calc</v>
          </cell>
          <cell r="H155" t="str">
            <v>UA</v>
          </cell>
          <cell r="I155">
            <v>40</v>
          </cell>
          <cell r="J155">
            <v>217.03233769550334</v>
          </cell>
          <cell r="K155">
            <v>177.15650120648164</v>
          </cell>
          <cell r="L155">
            <v>234.3473296461552</v>
          </cell>
          <cell r="M155">
            <v>202.87603503605899</v>
          </cell>
          <cell r="N155">
            <v>220.63067845511119</v>
          </cell>
          <cell r="O155">
            <v>216.74368171306304</v>
          </cell>
          <cell r="P155">
            <v>235.1350883167232</v>
          </cell>
          <cell r="Q155">
            <v>224.72653497332195</v>
          </cell>
          <cell r="R155">
            <v>212.7726129168492</v>
          </cell>
          <cell r="S155">
            <v>250.10606950956898</v>
          </cell>
          <cell r="T155">
            <v>233.89334455836476</v>
          </cell>
          <cell r="U155">
            <v>247.80806931077768</v>
          </cell>
          <cell r="V155">
            <v>2811.854808</v>
          </cell>
          <cell r="W155">
            <v>2610.9606880000001</v>
          </cell>
          <cell r="X155">
            <v>2828.85428</v>
          </cell>
          <cell r="Y155">
            <v>2957.8834320000001</v>
          </cell>
          <cell r="Z155">
            <v>3028.4779279999998</v>
          </cell>
          <cell r="AA155">
            <v>3176.0443680000003</v>
          </cell>
        </row>
        <row r="156">
          <cell r="F156" t="str">
            <v>Kiunga TM02</v>
          </cell>
          <cell r="G156" t="str">
            <v>Calc</v>
          </cell>
          <cell r="H156" t="str">
            <v>Link</v>
          </cell>
          <cell r="I156">
            <v>40</v>
          </cell>
          <cell r="J156">
            <v>217.03233769550334</v>
          </cell>
          <cell r="K156">
            <v>177.15650120648164</v>
          </cell>
          <cell r="L156">
            <v>234.3473296461552</v>
          </cell>
          <cell r="M156">
            <v>202.87603503605899</v>
          </cell>
          <cell r="N156">
            <v>220.63067845511119</v>
          </cell>
          <cell r="O156">
            <v>216.74368171306304</v>
          </cell>
          <cell r="P156">
            <v>235.1350883167232</v>
          </cell>
          <cell r="Q156">
            <v>224.72653497332195</v>
          </cell>
          <cell r="R156">
            <v>212.7726129168492</v>
          </cell>
          <cell r="S156">
            <v>250.10606950956898</v>
          </cell>
          <cell r="T156">
            <v>233.89334455836476</v>
          </cell>
          <cell r="U156">
            <v>247.80806931077768</v>
          </cell>
          <cell r="V156">
            <v>2811.854808</v>
          </cell>
          <cell r="W156">
            <v>2610.9606880000001</v>
          </cell>
          <cell r="X156">
            <v>2828.85428</v>
          </cell>
          <cell r="Y156">
            <v>2957.8834320000001</v>
          </cell>
          <cell r="Z156">
            <v>3028.4779279999998</v>
          </cell>
          <cell r="AA156">
            <v>3176.0443680000003</v>
          </cell>
        </row>
        <row r="157">
          <cell r="F157" t="str">
            <v>Kiunga Ponds</v>
          </cell>
          <cell r="G157" t="str">
            <v>Calc</v>
          </cell>
          <cell r="H157" t="str">
            <v>UA</v>
          </cell>
          <cell r="I157">
            <v>30</v>
          </cell>
          <cell r="J157">
            <v>162.77425327162749</v>
          </cell>
          <cell r="K157">
            <v>132.86737590486121</v>
          </cell>
          <cell r="L157">
            <v>175.76049723461637</v>
          </cell>
          <cell r="M157">
            <v>152.15702627704425</v>
          </cell>
          <cell r="N157">
            <v>165.47300884133338</v>
          </cell>
          <cell r="O157">
            <v>162.55776128479729</v>
          </cell>
          <cell r="P157">
            <v>176.35131623754242</v>
          </cell>
          <cell r="Q157">
            <v>168.54490122999144</v>
          </cell>
          <cell r="R157">
            <v>159.57945968763693</v>
          </cell>
          <cell r="S157">
            <v>187.57955213217676</v>
          </cell>
          <cell r="T157">
            <v>175.42000841877359</v>
          </cell>
          <cell r="U157">
            <v>185.85605198308326</v>
          </cell>
          <cell r="V157">
            <v>2108.891106</v>
          </cell>
          <cell r="W157">
            <v>1958.2205160000001</v>
          </cell>
          <cell r="X157">
            <v>2121.6407100000001</v>
          </cell>
          <cell r="Y157">
            <v>2218.4125739999999</v>
          </cell>
          <cell r="Z157">
            <v>2271.3584459999997</v>
          </cell>
          <cell r="AA157">
            <v>2382.0332760000001</v>
          </cell>
        </row>
        <row r="158">
          <cell r="F158" t="str">
            <v>Dewatering Stage 1</v>
          </cell>
          <cell r="H158" t="str">
            <v>t/hr</v>
          </cell>
          <cell r="I158">
            <v>100</v>
          </cell>
          <cell r="J158">
            <v>542.58084423875835</v>
          </cell>
          <cell r="K158">
            <v>442.89125301620408</v>
          </cell>
          <cell r="L158">
            <v>585.86832411538796</v>
          </cell>
          <cell r="M158">
            <v>507.19008759014747</v>
          </cell>
          <cell r="N158">
            <v>551.57669613777796</v>
          </cell>
          <cell r="O158">
            <v>541.85920428265763</v>
          </cell>
          <cell r="P158">
            <v>587.83772079180801</v>
          </cell>
          <cell r="Q158">
            <v>561.81633743330485</v>
          </cell>
          <cell r="R158">
            <v>531.93153229212305</v>
          </cell>
          <cell r="S158">
            <v>625.26517377392247</v>
          </cell>
          <cell r="T158">
            <v>584.73336139591197</v>
          </cell>
          <cell r="U158">
            <v>619.52017327694421</v>
          </cell>
          <cell r="V158">
            <v>7029.6370200000001</v>
          </cell>
          <cell r="W158">
            <v>6527.4017199999998</v>
          </cell>
          <cell r="X158">
            <v>7072.1356999999998</v>
          </cell>
          <cell r="Y158">
            <v>7394.7085800000004</v>
          </cell>
          <cell r="Z158">
            <v>7571.1948199999997</v>
          </cell>
          <cell r="AA158">
            <v>7940.110920000001</v>
          </cell>
        </row>
        <row r="159">
          <cell r="F159" t="str">
            <v>Dewatering Stage 2</v>
          </cell>
          <cell r="H159" t="str">
            <v>t/hr</v>
          </cell>
          <cell r="I159">
            <v>100</v>
          </cell>
          <cell r="J159">
            <v>542.58084423875835</v>
          </cell>
          <cell r="K159">
            <v>442.89125301620408</v>
          </cell>
          <cell r="L159">
            <v>585.86832411538796</v>
          </cell>
          <cell r="M159">
            <v>507.19008759014747</v>
          </cell>
          <cell r="N159">
            <v>551.57669613777796</v>
          </cell>
          <cell r="O159">
            <v>541.85920428265763</v>
          </cell>
          <cell r="P159">
            <v>587.83772079180801</v>
          </cell>
          <cell r="Q159">
            <v>561.81633743330485</v>
          </cell>
          <cell r="R159">
            <v>531.93153229212305</v>
          </cell>
          <cell r="S159">
            <v>625.26517377392247</v>
          </cell>
          <cell r="T159">
            <v>584.73336139591197</v>
          </cell>
          <cell r="U159">
            <v>619.52017327694421</v>
          </cell>
          <cell r="V159">
            <v>7029.6370200000001</v>
          </cell>
          <cell r="W159">
            <v>6527.4017199999998</v>
          </cell>
          <cell r="X159">
            <v>7072.1356999999998</v>
          </cell>
          <cell r="Y159">
            <v>7394.7085800000004</v>
          </cell>
          <cell r="Z159">
            <v>7571.1948199999997</v>
          </cell>
          <cell r="AA159">
            <v>7940.110920000001</v>
          </cell>
        </row>
        <row r="160">
          <cell r="F160" t="str">
            <v>Kiunga Vacuum Pumps/Blowers</v>
          </cell>
          <cell r="H160" t="str">
            <v>Link</v>
          </cell>
          <cell r="J160">
            <v>542.58084423875835</v>
          </cell>
          <cell r="K160">
            <v>442.89125301620408</v>
          </cell>
          <cell r="L160">
            <v>585.86832411538796</v>
          </cell>
          <cell r="M160">
            <v>507.19008759014747</v>
          </cell>
          <cell r="N160">
            <v>551.57669613777796</v>
          </cell>
          <cell r="O160">
            <v>541.85920428265763</v>
          </cell>
          <cell r="P160">
            <v>587.83772079180801</v>
          </cell>
          <cell r="Q160">
            <v>561.81633743330485</v>
          </cell>
          <cell r="R160">
            <v>531.93153229212305</v>
          </cell>
          <cell r="S160">
            <v>625.26517377392247</v>
          </cell>
          <cell r="T160">
            <v>584.73336139591197</v>
          </cell>
          <cell r="U160">
            <v>619.52017327694421</v>
          </cell>
          <cell r="V160">
            <v>7029.6370200000001</v>
          </cell>
          <cell r="W160">
            <v>6527.4017199999998</v>
          </cell>
          <cell r="X160">
            <v>7072.1356999999998</v>
          </cell>
          <cell r="Y160">
            <v>7394.7085800000004</v>
          </cell>
          <cell r="Z160">
            <v>7571.1948199999997</v>
          </cell>
          <cell r="AA160">
            <v>7940.110920000001</v>
          </cell>
        </row>
        <row r="161">
          <cell r="F161" t="str">
            <v>Kiunga Ancillary</v>
          </cell>
          <cell r="H161" t="str">
            <v>Link</v>
          </cell>
          <cell r="J161">
            <v>542.58084423875835</v>
          </cell>
          <cell r="K161">
            <v>442.89125301620408</v>
          </cell>
          <cell r="L161">
            <v>585.86832411538796</v>
          </cell>
          <cell r="M161">
            <v>507.19008759014747</v>
          </cell>
          <cell r="N161">
            <v>551.57669613777796</v>
          </cell>
          <cell r="O161">
            <v>541.85920428265763</v>
          </cell>
          <cell r="P161">
            <v>587.83772079180801</v>
          </cell>
          <cell r="Q161">
            <v>561.81633743330485</v>
          </cell>
          <cell r="R161">
            <v>531.93153229212305</v>
          </cell>
          <cell r="S161">
            <v>625.26517377392247</v>
          </cell>
          <cell r="T161">
            <v>584.73336139591197</v>
          </cell>
          <cell r="U161">
            <v>619.52017327694421</v>
          </cell>
          <cell r="V161">
            <v>7029.6370200000001</v>
          </cell>
          <cell r="W161">
            <v>6527.4017199999998</v>
          </cell>
          <cell r="X161">
            <v>7072.1356999999998</v>
          </cell>
          <cell r="Y161">
            <v>7394.7085800000004</v>
          </cell>
          <cell r="Z161">
            <v>7571.1948199999997</v>
          </cell>
          <cell r="AA161">
            <v>7940.110920000001</v>
          </cell>
        </row>
        <row r="162">
          <cell r="F162" t="str">
            <v>Kiunga Water Systems</v>
          </cell>
          <cell r="H162" t="str">
            <v>Link</v>
          </cell>
          <cell r="J162">
            <v>542.58084423875835</v>
          </cell>
          <cell r="K162">
            <v>442.89125301620408</v>
          </cell>
          <cell r="L162">
            <v>585.86832411538796</v>
          </cell>
          <cell r="M162">
            <v>507.19008759014747</v>
          </cell>
          <cell r="N162">
            <v>551.57669613777796</v>
          </cell>
          <cell r="O162">
            <v>541.85920428265763</v>
          </cell>
          <cell r="P162">
            <v>587.83772079180801</v>
          </cell>
          <cell r="Q162">
            <v>561.81633743330485</v>
          </cell>
          <cell r="R162">
            <v>531.93153229212305</v>
          </cell>
          <cell r="S162">
            <v>625.26517377392247</v>
          </cell>
          <cell r="T162">
            <v>584.73336139591197</v>
          </cell>
          <cell r="U162">
            <v>619.52017327694421</v>
          </cell>
          <cell r="V162">
            <v>7029.6370200000001</v>
          </cell>
          <cell r="W162">
            <v>6527.4017199999998</v>
          </cell>
          <cell r="X162">
            <v>7072.1356999999998</v>
          </cell>
          <cell r="Y162">
            <v>7394.7085800000004</v>
          </cell>
          <cell r="Z162">
            <v>7571.1948199999997</v>
          </cell>
          <cell r="AA162">
            <v>7940.110920000001</v>
          </cell>
        </row>
        <row r="163">
          <cell r="F163" t="str">
            <v>Drying Stage 1</v>
          </cell>
          <cell r="H163" t="str">
            <v>UA</v>
          </cell>
          <cell r="I163">
            <v>80</v>
          </cell>
          <cell r="J163">
            <v>434.06467539100669</v>
          </cell>
          <cell r="K163">
            <v>354.31300241296327</v>
          </cell>
          <cell r="L163">
            <v>468.6946592923104</v>
          </cell>
          <cell r="M163">
            <v>405.75207007211799</v>
          </cell>
          <cell r="N163">
            <v>441.26135691022239</v>
          </cell>
          <cell r="O163">
            <v>433.48736342612608</v>
          </cell>
          <cell r="P163">
            <v>470.2701766334464</v>
          </cell>
          <cell r="Q163">
            <v>449.45306994664389</v>
          </cell>
          <cell r="R163">
            <v>425.5452258336984</v>
          </cell>
          <cell r="S163">
            <v>500.21213901913796</v>
          </cell>
          <cell r="T163">
            <v>467.78668911672952</v>
          </cell>
          <cell r="U163">
            <v>495.61613862155536</v>
          </cell>
          <cell r="V163">
            <v>5623.7096160000001</v>
          </cell>
          <cell r="W163">
            <v>5221.9213760000002</v>
          </cell>
          <cell r="X163">
            <v>5657.70856</v>
          </cell>
          <cell r="Y163">
            <v>5915.7668640000002</v>
          </cell>
          <cell r="Z163">
            <v>6056.9558559999996</v>
          </cell>
          <cell r="AA163">
            <v>6352.0887360000006</v>
          </cell>
        </row>
        <row r="164">
          <cell r="F164" t="str">
            <v>Drying Stage 2</v>
          </cell>
          <cell r="H164" t="str">
            <v>UA</v>
          </cell>
          <cell r="I164">
            <v>80</v>
          </cell>
          <cell r="J164">
            <v>434.06467539100669</v>
          </cell>
          <cell r="K164">
            <v>354.31300241296327</v>
          </cell>
          <cell r="L164">
            <v>468.6946592923104</v>
          </cell>
          <cell r="M164">
            <v>405.75207007211799</v>
          </cell>
          <cell r="N164">
            <v>441.26135691022239</v>
          </cell>
          <cell r="O164">
            <v>433.48736342612608</v>
          </cell>
          <cell r="P164">
            <v>470.2701766334464</v>
          </cell>
          <cell r="Q164">
            <v>449.45306994664389</v>
          </cell>
          <cell r="R164">
            <v>425.5452258336984</v>
          </cell>
          <cell r="S164">
            <v>500.21213901913796</v>
          </cell>
          <cell r="T164">
            <v>467.78668911672952</v>
          </cell>
          <cell r="U164">
            <v>495.61613862155536</v>
          </cell>
          <cell r="V164">
            <v>5623.7096160000001</v>
          </cell>
          <cell r="W164">
            <v>5221.9213760000002</v>
          </cell>
          <cell r="X164">
            <v>5657.70856</v>
          </cell>
          <cell r="Y164">
            <v>5915.7668640000002</v>
          </cell>
          <cell r="Z164">
            <v>6056.9558559999996</v>
          </cell>
          <cell r="AA164">
            <v>6352.0887360000006</v>
          </cell>
        </row>
        <row r="165">
          <cell r="F165" t="str">
            <v>Kiunga CV04</v>
          </cell>
          <cell r="H165" t="str">
            <v>Max Link</v>
          </cell>
          <cell r="J165">
            <v>542.58084423875835</v>
          </cell>
          <cell r="K165">
            <v>442.89125301620408</v>
          </cell>
          <cell r="L165">
            <v>585.86832411538796</v>
          </cell>
          <cell r="M165">
            <v>507.19008759014747</v>
          </cell>
          <cell r="N165">
            <v>551.57669613777796</v>
          </cell>
          <cell r="O165">
            <v>541.85920428265763</v>
          </cell>
          <cell r="P165">
            <v>587.83772079180801</v>
          </cell>
          <cell r="Q165">
            <v>561.81633743330485</v>
          </cell>
          <cell r="R165">
            <v>531.93153229212305</v>
          </cell>
          <cell r="S165">
            <v>625.26517377392247</v>
          </cell>
          <cell r="T165">
            <v>584.73336139591197</v>
          </cell>
          <cell r="U165">
            <v>619.52017327694421</v>
          </cell>
          <cell r="V165">
            <v>7029.6370200000001</v>
          </cell>
          <cell r="W165">
            <v>6527.4017199999998</v>
          </cell>
          <cell r="X165">
            <v>7072.1356999999998</v>
          </cell>
          <cell r="Y165">
            <v>7394.7085800000004</v>
          </cell>
          <cell r="Z165">
            <v>7571.1948199999997</v>
          </cell>
          <cell r="AA165">
            <v>7940.110920000001</v>
          </cell>
        </row>
        <row r="166">
          <cell r="F166" t="str">
            <v>Kiunga CV05</v>
          </cell>
          <cell r="H166" t="str">
            <v>Link</v>
          </cell>
          <cell r="J166">
            <v>542.58084423875835</v>
          </cell>
          <cell r="K166">
            <v>442.89125301620408</v>
          </cell>
          <cell r="L166">
            <v>585.86832411538796</v>
          </cell>
          <cell r="M166">
            <v>507.19008759014747</v>
          </cell>
          <cell r="N166">
            <v>551.57669613777796</v>
          </cell>
          <cell r="O166">
            <v>541.85920428265763</v>
          </cell>
          <cell r="P166">
            <v>587.83772079180801</v>
          </cell>
          <cell r="Q166">
            <v>561.81633743330485</v>
          </cell>
          <cell r="R166">
            <v>531.93153229212305</v>
          </cell>
          <cell r="S166">
            <v>625.26517377392247</v>
          </cell>
          <cell r="T166">
            <v>584.73336139591197</v>
          </cell>
          <cell r="U166">
            <v>619.52017327694421</v>
          </cell>
          <cell r="V166">
            <v>7029.6370200000001</v>
          </cell>
          <cell r="W166">
            <v>6527.4017199999998</v>
          </cell>
          <cell r="X166">
            <v>7072.1356999999998</v>
          </cell>
          <cell r="Y166">
            <v>7394.7085800000004</v>
          </cell>
          <cell r="Z166">
            <v>7571.1948199999997</v>
          </cell>
          <cell r="AA166">
            <v>7940.110920000001</v>
          </cell>
        </row>
        <row r="167">
          <cell r="F167" t="str">
            <v>Kiunga CV06</v>
          </cell>
          <cell r="H167" t="str">
            <v>t/hr</v>
          </cell>
          <cell r="I167">
            <v>600</v>
          </cell>
          <cell r="J167">
            <v>90.430140706459724</v>
          </cell>
          <cell r="K167">
            <v>73.815208836034017</v>
          </cell>
          <cell r="L167">
            <v>97.644720685897994</v>
          </cell>
          <cell r="M167">
            <v>84.531681265024574</v>
          </cell>
          <cell r="N167">
            <v>91.929449356296317</v>
          </cell>
          <cell r="O167">
            <v>90.309867380442938</v>
          </cell>
          <cell r="P167">
            <v>97.97295346530133</v>
          </cell>
          <cell r="Q167">
            <v>93.636056238884152</v>
          </cell>
          <cell r="R167">
            <v>88.655255382020513</v>
          </cell>
          <cell r="S167">
            <v>104.21086229565375</v>
          </cell>
          <cell r="T167">
            <v>97.45556023265199</v>
          </cell>
          <cell r="U167">
            <v>103.25336221282403</v>
          </cell>
          <cell r="V167">
            <v>1171.60617</v>
          </cell>
          <cell r="W167">
            <v>1087.9002866666667</v>
          </cell>
          <cell r="X167">
            <v>1178.6892833333332</v>
          </cell>
          <cell r="Y167">
            <v>1232.4514300000001</v>
          </cell>
          <cell r="Z167">
            <v>1261.8658033333334</v>
          </cell>
          <cell r="AA167">
            <v>1323.3518200000001</v>
          </cell>
        </row>
        <row r="168">
          <cell r="F168" t="str">
            <v>Kiunga CV10/shiploader</v>
          </cell>
          <cell r="H168" t="str">
            <v>Link</v>
          </cell>
          <cell r="J168">
            <v>90.430140706459724</v>
          </cell>
          <cell r="K168">
            <v>73.815208836034017</v>
          </cell>
          <cell r="L168">
            <v>97.644720685897994</v>
          </cell>
          <cell r="M168">
            <v>84.531681265024574</v>
          </cell>
          <cell r="N168">
            <v>91.929449356296317</v>
          </cell>
          <cell r="O168">
            <v>90.309867380442938</v>
          </cell>
          <cell r="P168">
            <v>97.97295346530133</v>
          </cell>
          <cell r="Q168">
            <v>93.636056238884152</v>
          </cell>
          <cell r="R168">
            <v>88.655255382020513</v>
          </cell>
          <cell r="S168">
            <v>104.21086229565375</v>
          </cell>
          <cell r="T168">
            <v>97.45556023265199</v>
          </cell>
          <cell r="U168">
            <v>103.25336221282403</v>
          </cell>
          <cell r="V168">
            <v>1171.60617</v>
          </cell>
          <cell r="W168">
            <v>1087.9002866666667</v>
          </cell>
          <cell r="X168">
            <v>1178.6892833333332</v>
          </cell>
          <cell r="Y168">
            <v>1232.4514300000001</v>
          </cell>
          <cell r="Z168">
            <v>1261.8658033333334</v>
          </cell>
          <cell r="AA168">
            <v>1323.3518200000001</v>
          </cell>
        </row>
      </sheetData>
      <sheetData sheetId="6" refreshError="1"/>
      <sheetData sheetId="7">
        <row r="12">
          <cell r="C12" t="str">
            <v>2400121113</v>
          </cell>
          <cell r="D12" t="str">
            <v>Taranaki</v>
          </cell>
          <cell r="F12" t="str">
            <v>Feeder FE05</v>
          </cell>
          <cell r="G12" t="str">
            <v>Input</v>
          </cell>
          <cell r="H12" t="str">
            <v>USD</v>
          </cell>
          <cell r="J12">
            <v>0</v>
          </cell>
          <cell r="K12">
            <v>0</v>
          </cell>
          <cell r="L12">
            <v>0</v>
          </cell>
          <cell r="M12">
            <v>0</v>
          </cell>
          <cell r="N12">
            <v>0</v>
          </cell>
          <cell r="O12">
            <v>0</v>
          </cell>
          <cell r="P12">
            <v>0</v>
          </cell>
          <cell r="Q12">
            <v>0</v>
          </cell>
          <cell r="R12">
            <v>0</v>
          </cell>
          <cell r="S12">
            <v>0</v>
          </cell>
          <cell r="T12">
            <v>0</v>
          </cell>
          <cell r="U12">
            <v>0</v>
          </cell>
          <cell r="V12">
            <v>0</v>
          </cell>
        </row>
        <row r="13">
          <cell r="C13" t="str">
            <v>2400121113</v>
          </cell>
          <cell r="F13" t="str">
            <v>Crusher GCR01</v>
          </cell>
          <cell r="G13" t="str">
            <v>Input</v>
          </cell>
          <cell r="H13" t="str">
            <v>USD</v>
          </cell>
        </row>
        <row r="14">
          <cell r="C14" t="str">
            <v>2400120113</v>
          </cell>
          <cell r="D14" t="str">
            <v>Inpit</v>
          </cell>
          <cell r="F14" t="str">
            <v>Feeder FE02</v>
          </cell>
          <cell r="G14" t="str">
            <v>Input</v>
          </cell>
          <cell r="H14" t="str">
            <v>USD</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C15" t="str">
            <v>2400120113</v>
          </cell>
          <cell r="F15" t="str">
            <v>Crusher GCR02</v>
          </cell>
          <cell r="G15" t="str">
            <v>Input</v>
          </cell>
          <cell r="H15" t="str">
            <v>USD</v>
          </cell>
        </row>
        <row r="16">
          <cell r="C16" t="str">
            <v>2400130113</v>
          </cell>
          <cell r="D16" t="str">
            <v>Reclaim</v>
          </cell>
          <cell r="F16" t="str">
            <v>ISP Feeders</v>
          </cell>
          <cell r="G16" t="str">
            <v>Input</v>
          </cell>
          <cell r="H16" t="str">
            <v>USD</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C17" t="str">
            <v>2400130113</v>
          </cell>
          <cell r="F17" t="str">
            <v>ISP Conveyors</v>
          </cell>
          <cell r="G17" t="str">
            <v>Input</v>
          </cell>
          <cell r="H17" t="str">
            <v>USD</v>
          </cell>
        </row>
        <row r="18">
          <cell r="C18" t="str">
            <v>2400200113</v>
          </cell>
          <cell r="D18" t="str">
            <v>Grinding</v>
          </cell>
          <cell r="F18" t="str">
            <v>Sag mill 01</v>
          </cell>
          <cell r="G18" t="str">
            <v>Input</v>
          </cell>
          <cell r="H18" t="str">
            <v>USD</v>
          </cell>
          <cell r="J18">
            <v>0</v>
          </cell>
          <cell r="K18">
            <v>0</v>
          </cell>
          <cell r="L18">
            <v>618250</v>
          </cell>
          <cell r="M18">
            <v>0</v>
          </cell>
          <cell r="N18">
            <v>0</v>
          </cell>
          <cell r="O18">
            <v>0</v>
          </cell>
          <cell r="P18">
            <v>0</v>
          </cell>
          <cell r="Q18">
            <v>0</v>
          </cell>
          <cell r="R18">
            <v>0</v>
          </cell>
          <cell r="S18">
            <v>0</v>
          </cell>
          <cell r="T18">
            <v>702750</v>
          </cell>
          <cell r="U18">
            <v>0</v>
          </cell>
          <cell r="V18">
            <v>1321000</v>
          </cell>
          <cell r="W18">
            <v>1321000</v>
          </cell>
          <cell r="X18">
            <v>1321000</v>
          </cell>
          <cell r="Y18">
            <v>1321000</v>
          </cell>
          <cell r="Z18">
            <v>1321000</v>
          </cell>
          <cell r="AA18">
            <v>1321000</v>
          </cell>
        </row>
        <row r="19">
          <cell r="C19" t="str">
            <v>2400200113</v>
          </cell>
          <cell r="F19" t="str">
            <v>Ball Mill 1A</v>
          </cell>
          <cell r="G19" t="str">
            <v>Input</v>
          </cell>
          <cell r="H19" t="str">
            <v>USD</v>
          </cell>
        </row>
        <row r="20">
          <cell r="C20" t="str">
            <v>2400200113</v>
          </cell>
          <cell r="F20" t="str">
            <v>Ball Mill 1B</v>
          </cell>
          <cell r="G20" t="str">
            <v>Input</v>
          </cell>
          <cell r="H20" t="str">
            <v>USD</v>
          </cell>
        </row>
        <row r="21">
          <cell r="C21" t="str">
            <v>2400210113</v>
          </cell>
          <cell r="D21" t="str">
            <v>Flotation</v>
          </cell>
          <cell r="F21" t="str">
            <v>Rougher cells 1</v>
          </cell>
          <cell r="G21" t="str">
            <v>Input</v>
          </cell>
          <cell r="H21" t="str">
            <v>USD</v>
          </cell>
          <cell r="J21">
            <v>0</v>
          </cell>
          <cell r="K21">
            <v>0</v>
          </cell>
          <cell r="L21">
            <v>0</v>
          </cell>
          <cell r="M21">
            <v>0</v>
          </cell>
          <cell r="N21">
            <v>0</v>
          </cell>
          <cell r="O21">
            <v>0</v>
          </cell>
          <cell r="P21">
            <v>87500</v>
          </cell>
          <cell r="Q21">
            <v>0</v>
          </cell>
          <cell r="R21">
            <v>0</v>
          </cell>
          <cell r="S21">
            <v>0</v>
          </cell>
          <cell r="T21">
            <v>0</v>
          </cell>
          <cell r="U21">
            <v>0</v>
          </cell>
          <cell r="V21">
            <v>87500</v>
          </cell>
          <cell r="W21">
            <v>87500</v>
          </cell>
          <cell r="X21">
            <v>87500</v>
          </cell>
          <cell r="Y21">
            <v>87500</v>
          </cell>
          <cell r="Z21">
            <v>87500</v>
          </cell>
          <cell r="AA21">
            <v>87500</v>
          </cell>
        </row>
        <row r="22">
          <cell r="C22" t="str">
            <v>2400210113</v>
          </cell>
          <cell r="F22" t="str">
            <v>Hi Grade Circuit 1</v>
          </cell>
          <cell r="G22" t="str">
            <v>Input</v>
          </cell>
          <cell r="H22" t="str">
            <v>USD</v>
          </cell>
        </row>
        <row r="23">
          <cell r="C23" t="str">
            <v>2400210113</v>
          </cell>
          <cell r="F23" t="str">
            <v>Cleaner/Recleaner 1</v>
          </cell>
          <cell r="G23" t="str">
            <v>Input</v>
          </cell>
          <cell r="H23" t="str">
            <v>USD</v>
          </cell>
        </row>
        <row r="24">
          <cell r="C24" t="str">
            <v>2400210113</v>
          </cell>
          <cell r="F24" t="str">
            <v>Lo-Grade Circuit 1</v>
          </cell>
          <cell r="G24" t="str">
            <v>Input</v>
          </cell>
          <cell r="H24" t="str">
            <v>USD</v>
          </cell>
        </row>
        <row r="25">
          <cell r="C25" t="str">
            <v>2400201113</v>
          </cell>
          <cell r="D25" t="str">
            <v>Grinding</v>
          </cell>
          <cell r="F25" t="str">
            <v>Sag mill 02</v>
          </cell>
          <cell r="G25" t="str">
            <v>Input</v>
          </cell>
          <cell r="H25" t="str">
            <v>USD</v>
          </cell>
          <cell r="J25">
            <v>198750</v>
          </cell>
          <cell r="K25">
            <v>0</v>
          </cell>
          <cell r="L25">
            <v>0</v>
          </cell>
          <cell r="M25">
            <v>0</v>
          </cell>
          <cell r="N25">
            <v>567500</v>
          </cell>
          <cell r="O25">
            <v>0</v>
          </cell>
          <cell r="P25">
            <v>0</v>
          </cell>
          <cell r="Q25">
            <v>0</v>
          </cell>
          <cell r="R25">
            <v>227500</v>
          </cell>
          <cell r="S25">
            <v>0</v>
          </cell>
          <cell r="T25">
            <v>0</v>
          </cell>
          <cell r="U25">
            <v>190990.86249999999</v>
          </cell>
          <cell r="V25">
            <v>1184740.8625</v>
          </cell>
          <cell r="W25">
            <v>1184740.8625</v>
          </cell>
          <cell r="X25">
            <v>1184740.8625</v>
          </cell>
          <cell r="Y25">
            <v>1184740.8625</v>
          </cell>
          <cell r="Z25">
            <v>1184740.8625</v>
          </cell>
          <cell r="AA25">
            <v>1184740.8625</v>
          </cell>
        </row>
        <row r="26">
          <cell r="C26" t="str">
            <v>2400201113</v>
          </cell>
          <cell r="F26" t="str">
            <v>Ball Mill 2A</v>
          </cell>
          <cell r="G26" t="str">
            <v>Input</v>
          </cell>
          <cell r="H26" t="str">
            <v>USD</v>
          </cell>
        </row>
        <row r="27">
          <cell r="C27" t="str">
            <v>2400201113</v>
          </cell>
          <cell r="F27" t="str">
            <v>Ball Mill 2B</v>
          </cell>
          <cell r="G27" t="str">
            <v>Input</v>
          </cell>
          <cell r="H27" t="str">
            <v>USD</v>
          </cell>
        </row>
        <row r="28">
          <cell r="C28" t="str">
            <v>2400211113</v>
          </cell>
          <cell r="D28" t="str">
            <v>Flotation</v>
          </cell>
          <cell r="F28" t="str">
            <v>Rougher cells 2</v>
          </cell>
          <cell r="G28" t="str">
            <v>Input</v>
          </cell>
          <cell r="H28" t="str">
            <v>USD</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C29" t="str">
            <v>2400211113</v>
          </cell>
          <cell r="F29" t="str">
            <v>Hi Grade Circuit 2</v>
          </cell>
          <cell r="G29" t="str">
            <v>Input</v>
          </cell>
          <cell r="H29" t="str">
            <v>USD</v>
          </cell>
        </row>
        <row r="30">
          <cell r="C30" t="str">
            <v>2400211113</v>
          </cell>
          <cell r="F30" t="str">
            <v>Cleaner/Recleaner 2</v>
          </cell>
          <cell r="G30" t="str">
            <v>Input</v>
          </cell>
          <cell r="H30" t="str">
            <v>USD</v>
          </cell>
        </row>
        <row r="31">
          <cell r="C31" t="str">
            <v>2400211113</v>
          </cell>
          <cell r="F31" t="str">
            <v>Lo-Grade Circuit 2</v>
          </cell>
          <cell r="G31" t="str">
            <v>Input</v>
          </cell>
          <cell r="H31" t="str">
            <v>USD</v>
          </cell>
        </row>
        <row r="32">
          <cell r="C32" t="str">
            <v>2400270113</v>
          </cell>
          <cell r="F32" t="str">
            <v>Kiln Discharge and Crushing</v>
          </cell>
          <cell r="G32" t="str">
            <v>Input</v>
          </cell>
          <cell r="H32" t="str">
            <v>USD</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sheetData>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otes"/>
      <sheetName val="Parameters"/>
      <sheetName val="InitFleet"/>
      <sheetName val="ReplFleet"/>
      <sheetName val="PASTE IN REP"/>
      <sheetName val="Paste In Op Hrs"/>
      <sheetName val="FleetOpHrs"/>
      <sheetName val="Paste in Fleet Nos"/>
      <sheetName val="Fleet"/>
      <sheetName val="MARC_Rates"/>
      <sheetName val="EquipData"/>
      <sheetName val="Fixed Plant"/>
      <sheetName val="Inputs"/>
      <sheetName val="Fixed Plant Maintenance"/>
    </sheetNames>
    <sheetDataSet>
      <sheetData sheetId="0"/>
      <sheetData sheetId="1"/>
      <sheetData sheetId="2" refreshError="1">
        <row r="9">
          <cell r="C9" t="str">
            <v>Y1</v>
          </cell>
          <cell r="E9">
            <v>38353</v>
          </cell>
        </row>
        <row r="10">
          <cell r="C10" t="str">
            <v>Y2</v>
          </cell>
          <cell r="E10">
            <v>38718</v>
          </cell>
        </row>
        <row r="11">
          <cell r="C11" t="str">
            <v>Y3</v>
          </cell>
          <cell r="E11">
            <v>39083</v>
          </cell>
        </row>
        <row r="12">
          <cell r="C12" t="str">
            <v>Y4</v>
          </cell>
          <cell r="E12">
            <v>39448</v>
          </cell>
        </row>
        <row r="13">
          <cell r="C13" t="str">
            <v>Y5</v>
          </cell>
          <cell r="E13">
            <v>39814</v>
          </cell>
        </row>
        <row r="14">
          <cell r="C14" t="str">
            <v>Y6</v>
          </cell>
          <cell r="E14">
            <v>40179</v>
          </cell>
        </row>
        <row r="15">
          <cell r="C15" t="str">
            <v>Y7</v>
          </cell>
          <cell r="E15">
            <v>40544</v>
          </cell>
        </row>
        <row r="16">
          <cell r="C16" t="str">
            <v>Y8</v>
          </cell>
          <cell r="E16">
            <v>40909</v>
          </cell>
        </row>
        <row r="17">
          <cell r="C17" t="str">
            <v>Y9</v>
          </cell>
          <cell r="E17">
            <v>41275</v>
          </cell>
        </row>
        <row r="18">
          <cell r="C18" t="str">
            <v>Y10</v>
          </cell>
          <cell r="E18">
            <v>41640</v>
          </cell>
        </row>
        <row r="19">
          <cell r="C19" t="str">
            <v>Y11</v>
          </cell>
          <cell r="E19">
            <v>42005</v>
          </cell>
        </row>
        <row r="20">
          <cell r="C20" t="str">
            <v>Y12</v>
          </cell>
          <cell r="E20">
            <v>42370</v>
          </cell>
        </row>
        <row r="21">
          <cell r="C21" t="str">
            <v>Y13</v>
          </cell>
          <cell r="E21">
            <v>42736</v>
          </cell>
        </row>
        <row r="22">
          <cell r="C22" t="str">
            <v>Y14</v>
          </cell>
          <cell r="E22">
            <v>43101</v>
          </cell>
        </row>
        <row r="23">
          <cell r="C23" t="str">
            <v>Y15</v>
          </cell>
          <cell r="E23">
            <v>43466</v>
          </cell>
        </row>
        <row r="24">
          <cell r="C24" t="str">
            <v>Y16</v>
          </cell>
          <cell r="E24">
            <v>43831</v>
          </cell>
        </row>
        <row r="25">
          <cell r="C25" t="str">
            <v>Y17</v>
          </cell>
          <cell r="E25">
            <v>44197</v>
          </cell>
        </row>
        <row r="26">
          <cell r="C26" t="str">
            <v>Y18</v>
          </cell>
          <cell r="E26">
            <v>44562</v>
          </cell>
        </row>
        <row r="27">
          <cell r="C27" t="str">
            <v>Y19</v>
          </cell>
          <cell r="E27">
            <v>44927</v>
          </cell>
        </row>
        <row r="28">
          <cell r="C28" t="str">
            <v>Y20</v>
          </cell>
          <cell r="E28">
            <v>45292</v>
          </cell>
        </row>
        <row r="29">
          <cell r="C29" t="str">
            <v>Y21</v>
          </cell>
          <cell r="E29">
            <v>45658</v>
          </cell>
        </row>
        <row r="30">
          <cell r="C30" t="str">
            <v>Y22</v>
          </cell>
          <cell r="E30">
            <v>46023</v>
          </cell>
        </row>
        <row r="31">
          <cell r="C31" t="str">
            <v>Y23</v>
          </cell>
          <cell r="E31">
            <v>46388</v>
          </cell>
        </row>
        <row r="32">
          <cell r="C32" t="str">
            <v>Y24</v>
          </cell>
          <cell r="E32">
            <v>46753</v>
          </cell>
        </row>
        <row r="33">
          <cell r="C33" t="str">
            <v>Y25</v>
          </cell>
          <cell r="E33">
            <v>47119</v>
          </cell>
        </row>
        <row r="34">
          <cell r="C34" t="str">
            <v>Y26</v>
          </cell>
          <cell r="E34">
            <v>47484</v>
          </cell>
        </row>
        <row r="35">
          <cell r="C35" t="str">
            <v>Y27</v>
          </cell>
          <cell r="E35">
            <v>47849</v>
          </cell>
        </row>
        <row r="36">
          <cell r="C36" t="str">
            <v>Y28</v>
          </cell>
          <cell r="E36">
            <v>48214</v>
          </cell>
        </row>
        <row r="37">
          <cell r="C37" t="str">
            <v>Y29</v>
          </cell>
          <cell r="E37">
            <v>48580</v>
          </cell>
        </row>
        <row r="38">
          <cell r="C38" t="str">
            <v>Y30</v>
          </cell>
          <cell r="E38">
            <v>48945</v>
          </cell>
        </row>
      </sheetData>
      <sheetData sheetId="3"/>
      <sheetData sheetId="4"/>
      <sheetData sheetId="5"/>
      <sheetData sheetId="6"/>
      <sheetData sheetId="7"/>
      <sheetData sheetId="8"/>
      <sheetData sheetId="9" refreshError="1">
        <row r="12">
          <cell r="B12">
            <v>110</v>
          </cell>
        </row>
        <row r="13">
          <cell r="B13">
            <v>111</v>
          </cell>
        </row>
        <row r="14">
          <cell r="B14">
            <v>118</v>
          </cell>
        </row>
        <row r="15">
          <cell r="B15">
            <v>202</v>
          </cell>
        </row>
        <row r="16">
          <cell r="B16">
            <v>204</v>
          </cell>
        </row>
        <row r="17">
          <cell r="B17">
            <v>218</v>
          </cell>
        </row>
        <row r="18">
          <cell r="B18">
            <v>229</v>
          </cell>
        </row>
        <row r="19">
          <cell r="B19">
            <v>230</v>
          </cell>
        </row>
        <row r="20">
          <cell r="B20">
            <v>231</v>
          </cell>
        </row>
        <row r="21">
          <cell r="B21">
            <v>232</v>
          </cell>
        </row>
        <row r="22">
          <cell r="B22">
            <v>300</v>
          </cell>
        </row>
        <row r="23">
          <cell r="B23">
            <v>301</v>
          </cell>
        </row>
        <row r="24">
          <cell r="B24">
            <v>302</v>
          </cell>
        </row>
        <row r="25">
          <cell r="B25">
            <v>303</v>
          </cell>
        </row>
        <row r="26">
          <cell r="B26">
            <v>304</v>
          </cell>
        </row>
        <row r="27">
          <cell r="B27">
            <v>305</v>
          </cell>
        </row>
        <row r="28">
          <cell r="B28">
            <v>604</v>
          </cell>
        </row>
        <row r="29">
          <cell r="B29">
            <v>605</v>
          </cell>
        </row>
        <row r="30">
          <cell r="B30">
            <v>701</v>
          </cell>
        </row>
        <row r="31">
          <cell r="B31">
            <v>703</v>
          </cell>
        </row>
        <row r="32">
          <cell r="B32">
            <v>704</v>
          </cell>
        </row>
        <row r="33">
          <cell r="B33">
            <v>705</v>
          </cell>
        </row>
        <row r="34">
          <cell r="B34">
            <v>800</v>
          </cell>
        </row>
        <row r="35">
          <cell r="B35">
            <v>802</v>
          </cell>
        </row>
        <row r="36">
          <cell r="B36">
            <v>803</v>
          </cell>
        </row>
        <row r="37">
          <cell r="B37">
            <v>811</v>
          </cell>
        </row>
        <row r="38">
          <cell r="B38">
            <v>1102</v>
          </cell>
        </row>
        <row r="39">
          <cell r="B39">
            <v>1103</v>
          </cell>
        </row>
        <row r="40">
          <cell r="B40">
            <v>1107</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0</v>
          </cell>
        </row>
        <row r="63">
          <cell r="B63">
            <v>0</v>
          </cell>
        </row>
        <row r="64">
          <cell r="B64">
            <v>0</v>
          </cell>
        </row>
        <row r="65">
          <cell r="B65">
            <v>0</v>
          </cell>
        </row>
        <row r="66">
          <cell r="B66">
            <v>0</v>
          </cell>
        </row>
        <row r="67">
          <cell r="B67">
            <v>0</v>
          </cell>
        </row>
        <row r="68">
          <cell r="B68">
            <v>0</v>
          </cell>
        </row>
        <row r="69">
          <cell r="B69">
            <v>0</v>
          </cell>
        </row>
        <row r="70">
          <cell r="B70">
            <v>0</v>
          </cell>
        </row>
        <row r="71">
          <cell r="B71">
            <v>0</v>
          </cell>
        </row>
        <row r="72">
          <cell r="B72">
            <v>0</v>
          </cell>
        </row>
        <row r="73">
          <cell r="B73">
            <v>0</v>
          </cell>
        </row>
        <row r="74">
          <cell r="B74">
            <v>0</v>
          </cell>
        </row>
        <row r="75">
          <cell r="B75">
            <v>0</v>
          </cell>
        </row>
        <row r="76">
          <cell r="B76">
            <v>0</v>
          </cell>
        </row>
        <row r="77">
          <cell r="B77">
            <v>0</v>
          </cell>
        </row>
        <row r="78">
          <cell r="B78">
            <v>0</v>
          </cell>
        </row>
        <row r="79">
          <cell r="B79">
            <v>0</v>
          </cell>
        </row>
        <row r="80">
          <cell r="B80">
            <v>0</v>
          </cell>
        </row>
      </sheetData>
      <sheetData sheetId="10"/>
      <sheetData sheetId="1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_Database Pate In"/>
      <sheetName val="Database Acces"/>
      <sheetName val="Sheet2"/>
      <sheetName val="Hoja3"/>
      <sheetName val="Forecast"/>
      <sheetName val="2008 Database"/>
      <sheetName val="Report CCS"/>
      <sheetName val="Report - Cash Flow"/>
      <sheetName val="Glencore report"/>
      <sheetName val="afe status summary"/>
      <sheetName val="Spent to date"/>
      <sheetName val="Calenturitas - CAPITAL 2007"/>
      <sheetName val="Hoja1"/>
      <sheetName val="La Jagua - CAPITAL  2007"/>
      <sheetName val="JAG Total Cap"/>
      <sheetName val="JAG Other Cap"/>
      <sheetName val="CAL Total Cap"/>
      <sheetName val="CAL Other Cap"/>
      <sheetName val="Sheet1"/>
      <sheetName val="Report - CCS not used"/>
      <sheetName val="La Jagua - CAPITAL 2008"/>
      <sheetName val="REF - 2007 Database"/>
      <sheetName val="REF - Listas"/>
      <sheetName val="REF - Notas"/>
      <sheetName val="REF - Access Fee"/>
      <sheetName val="REF - 2004 thru 2006 Database"/>
      <sheetName val="REF - CASH FLOW FEB 19 07"/>
      <sheetName val="REF - Capex in Models"/>
      <sheetName val="Paste in Cash Flow (2)"/>
      <sheetName val="Paste in Cash Flow"/>
      <sheetName val="REF - 2008 budget cash flow"/>
      <sheetName val="Hoja2"/>
      <sheetName val="Sheet3"/>
    </sheetNames>
    <sheetDataSet>
      <sheetData sheetId="0"/>
      <sheetData sheetId="1"/>
      <sheetData sheetId="2"/>
      <sheetData sheetId="3"/>
      <sheetData sheetId="4"/>
      <sheetData sheetId="5">
        <row r="2">
          <cell r="D2" t="str">
            <v>No AFE  - Cal2</v>
          </cell>
        </row>
        <row r="3">
          <cell r="D3" t="str">
            <v>No AFE</v>
          </cell>
        </row>
        <row r="4">
          <cell r="D4" t="str">
            <v>No AFE  - Cal3</v>
          </cell>
        </row>
        <row r="5">
          <cell r="D5" t="str">
            <v>NO AFE CMU</v>
          </cell>
        </row>
        <row r="6">
          <cell r="D6" t="str">
            <v>No AFE  - Cal1</v>
          </cell>
        </row>
        <row r="7">
          <cell r="D7" t="str">
            <v>No AFE  - Cal</v>
          </cell>
        </row>
        <row r="8">
          <cell r="D8" t="str">
            <v xml:space="preserve">No AFE </v>
          </cell>
        </row>
        <row r="9">
          <cell r="D9" t="str">
            <v>No AFE  - Jag</v>
          </cell>
        </row>
        <row r="10">
          <cell r="D10" t="str">
            <v>No AFE - Admin1</v>
          </cell>
        </row>
        <row r="11">
          <cell r="D11" t="str">
            <v>P1-186</v>
          </cell>
        </row>
        <row r="12">
          <cell r="D12" t="str">
            <v>P1-152</v>
          </cell>
        </row>
        <row r="13">
          <cell r="D13" t="str">
            <v>M2-211</v>
          </cell>
        </row>
        <row r="14">
          <cell r="D14" t="str">
            <v>M2-207</v>
          </cell>
        </row>
        <row r="15">
          <cell r="D15" t="str">
            <v>M2-133</v>
          </cell>
        </row>
        <row r="16">
          <cell r="D16" t="str">
            <v>F1-031</v>
          </cell>
        </row>
        <row r="17">
          <cell r="D17" t="str">
            <v>P1-173</v>
          </cell>
        </row>
        <row r="18">
          <cell r="D18" t="str">
            <v>P1-189</v>
          </cell>
        </row>
        <row r="19">
          <cell r="D19" t="str">
            <v>P1-188</v>
          </cell>
        </row>
        <row r="20">
          <cell r="D20" t="str">
            <v>P1-187</v>
          </cell>
        </row>
        <row r="21">
          <cell r="D21" t="str">
            <v>P1-128</v>
          </cell>
        </row>
        <row r="22">
          <cell r="D22" t="str">
            <v>P1-138</v>
          </cell>
        </row>
        <row r="23">
          <cell r="D23" t="str">
            <v>P1-127</v>
          </cell>
        </row>
        <row r="24">
          <cell r="D24" t="str">
            <v>P1-185</v>
          </cell>
        </row>
        <row r="25">
          <cell r="D25" t="str">
            <v>P1-172</v>
          </cell>
        </row>
        <row r="26">
          <cell r="D26" t="str">
            <v>P1-115</v>
          </cell>
        </row>
        <row r="27">
          <cell r="D27" t="str">
            <v>P1-133</v>
          </cell>
        </row>
        <row r="28">
          <cell r="D28" t="str">
            <v>P1-119</v>
          </cell>
        </row>
        <row r="29">
          <cell r="D29" t="str">
            <v>P1-132</v>
          </cell>
        </row>
        <row r="30">
          <cell r="D30" t="str">
            <v>P1-190</v>
          </cell>
        </row>
        <row r="31">
          <cell r="D31" t="str">
            <v>P1-169</v>
          </cell>
        </row>
        <row r="32">
          <cell r="D32" t="str">
            <v>P1-136</v>
          </cell>
        </row>
        <row r="33">
          <cell r="D33" t="str">
            <v>P1-135</v>
          </cell>
        </row>
        <row r="34">
          <cell r="D34" t="str">
            <v>P1-134</v>
          </cell>
        </row>
        <row r="35">
          <cell r="D35" t="str">
            <v>P1-098</v>
          </cell>
        </row>
        <row r="36">
          <cell r="D36" t="str">
            <v>P1-205</v>
          </cell>
        </row>
        <row r="37">
          <cell r="D37" t="str">
            <v>P1-197</v>
          </cell>
        </row>
        <row r="38">
          <cell r="D38" t="str">
            <v>P1-191</v>
          </cell>
        </row>
        <row r="39">
          <cell r="D39" t="str">
            <v>No AFE  - Port1</v>
          </cell>
        </row>
        <row r="40">
          <cell r="D40" t="str">
            <v>P1-206</v>
          </cell>
        </row>
        <row r="41">
          <cell r="D41" t="str">
            <v>P1-203</v>
          </cell>
        </row>
        <row r="42">
          <cell r="D42" t="str">
            <v>P1-200</v>
          </cell>
        </row>
        <row r="43">
          <cell r="D43" t="str">
            <v>P1-194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MOER Register"/>
      <sheetName val="Hoja1"/>
      <sheetName val="LISTS-FOR INTERNAL USE ONLY"/>
      <sheetName val="Fleet"/>
      <sheetName val="Parameters"/>
    </sheetNames>
    <sheetDataSet>
      <sheetData sheetId="0" refreshError="1"/>
      <sheetData sheetId="1" refreshError="1"/>
      <sheetData sheetId="2" refreshError="1">
        <row r="8">
          <cell r="B8" t="str">
            <v>In Progress</v>
          </cell>
        </row>
        <row r="9">
          <cell r="B9" t="str">
            <v>For Approval</v>
          </cell>
        </row>
        <row r="10">
          <cell r="B10" t="str">
            <v>Approved</v>
          </cell>
        </row>
        <row r="11">
          <cell r="B11" t="str">
            <v>Defining scope</v>
          </cell>
        </row>
        <row r="12">
          <cell r="B12" t="str">
            <v>TBD</v>
          </cell>
        </row>
        <row r="13">
          <cell r="B13" t="str">
            <v>Voided</v>
          </cell>
        </row>
        <row r="17">
          <cell r="B17" t="str">
            <v>Johnny Campo</v>
          </cell>
        </row>
        <row r="18">
          <cell r="B18" t="str">
            <v>Operation Manager</v>
          </cell>
        </row>
        <row r="19">
          <cell r="B19" t="str">
            <v>Purchasing</v>
          </cell>
        </row>
        <row r="20">
          <cell r="B20" t="str">
            <v>Peter Tilston</v>
          </cell>
        </row>
        <row r="21">
          <cell r="B21" t="str">
            <v>Jaime Urjel</v>
          </cell>
        </row>
        <row r="22">
          <cell r="B22" t="str">
            <v>Harold McBride</v>
          </cell>
        </row>
        <row r="23">
          <cell r="B23" t="str">
            <v>Chris Phillips</v>
          </cell>
        </row>
        <row r="24">
          <cell r="B24" t="str">
            <v>Reinhold Schmidt</v>
          </cell>
        </row>
        <row r="25">
          <cell r="B25" t="str">
            <v>Gary Nagle</v>
          </cell>
        </row>
      </sheetData>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ADY MIX"/>
      <sheetName val="READY MIX CLIENTE"/>
      <sheetName val="SILOS"/>
      <sheetName val="SILOS CLIENTE"/>
      <sheetName val="TRITURADORA"/>
      <sheetName val="TRITURADORA CLIENTE"/>
      <sheetName val="OTROS MONTAJES"/>
      <sheetName val="OTROS MONTAJES CLIENTE"/>
      <sheetName val="TARIFAS DE VENTA "/>
      <sheetName val="TARIFAS DE VENTA CLIENTE"/>
      <sheetName val="CONTROL VALOR VENTA"/>
      <sheetName val="APUS"/>
      <sheetName val="VAR"/>
      <sheetName val="RESUMEN"/>
      <sheetName val="DESGLOSE"/>
      <sheetName val="FABRICACIONES"/>
      <sheetName val="QAQC FABRIC"/>
      <sheetName val="PINTURA"/>
      <sheetName val="GROUTING"/>
      <sheetName val="RENDIMIENTOS"/>
      <sheetName val="TOPOGRAFIA"/>
      <sheetName val="SUBCON"/>
      <sheetName val="OTROS MO"/>
      <sheetName val="CONS"/>
      <sheetName val="EQUI"/>
      <sheetName val="SUPERV"/>
      <sheetName val="INDIR"/>
      <sheetName val="CALC-MOD"/>
      <sheetName val="MOD GUATEMALA"/>
      <sheetName val="F-IIA-320"/>
      <sheetName val="SALAR"/>
      <sheetName val="DOT"/>
      <sheetName val="NOM-1T"/>
      <sheetName val="NOM-2T"/>
      <sheetName val="NOM-3T"/>
      <sheetName val="BASE EQUI"/>
      <sheetName val="BASE CONS"/>
      <sheetName val="referencia dotación"/>
      <sheetName val="LISTS-FOR INTERNAL USE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GLOSE"/>
      <sheetName val="VAR"/>
      <sheetName val="INDIR"/>
      <sheetName val="SUPERV"/>
      <sheetName val="SUBCON"/>
      <sheetName val="APU"/>
      <sheetName val="CALC-MOD"/>
      <sheetName val="CONS"/>
      <sheetName val="MOD PERU"/>
      <sheetName val="FACT. PREST PERU"/>
      <sheetName val="OTROS MO"/>
      <sheetName val="EQUI"/>
      <sheetName val="F-IIA-320"/>
      <sheetName val="SALAR"/>
      <sheetName val="DOT"/>
      <sheetName val="BASE EQUI"/>
      <sheetName val="BASE CONS"/>
      <sheetName val="referencia dotación"/>
      <sheetName val="INSTAL"/>
      <sheetName val="NOM-1T"/>
      <sheetName val="SUMINISTRO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otización"/>
      <sheetName val="Indicadores Gestión"/>
      <sheetName val="PR-04"/>
      <sheetName val="Hoja1"/>
      <sheetName val="tipo_recurso"/>
      <sheetName val="Listado"/>
      <sheetName val="tipos_entidad"/>
      <sheetName val="Unidades"/>
    </sheetNames>
    <sheetDataSet>
      <sheetData sheetId="0"/>
      <sheetData sheetId="1">
        <row r="2">
          <cell r="A2" t="str">
            <v>REGIONAL CUNDINAMARCA</v>
          </cell>
        </row>
      </sheetData>
      <sheetData sheetId="2">
        <row r="2">
          <cell r="A2" t="str">
            <v>REGIONAL CUNDINAMARCA</v>
          </cell>
        </row>
      </sheetData>
      <sheetData sheetId="3">
        <row r="9">
          <cell r="E9" t="str">
            <v>EDGAR EDUARDO HERNANDEZ Q.</v>
          </cell>
        </row>
      </sheetData>
      <sheetData sheetId="4">
        <row r="9">
          <cell r="E9" t="str">
            <v>EDGAR EDUARDO HERNANDEZ Q.</v>
          </cell>
        </row>
      </sheetData>
      <sheetData sheetId="5"/>
      <sheetData sheetId="6"/>
      <sheetData sheetId="7">
        <row r="8">
          <cell r="E8" t="str">
            <v>BIMESTRE: JULIO - AGOSTO DE 2001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MAIN"/>
      <sheetName val="DIV INC"/>
      <sheetName val="LBO Analysis"/>
      <sheetName val="Multiple"/>
      <sheetName val="Perpetuity"/>
      <sheetName val="DCF 3"/>
      <sheetName val="WACC II"/>
      <sheetName val="S&amp;P"/>
      <sheetName val="Developer Notes"/>
      <sheetName val="EQ. IRR"/>
      <sheetName val="COVEN"/>
      <sheetName val="SUMMARY"/>
      <sheetName val="Reconciliation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CONS"/>
      <sheetName val="EQUI"/>
      <sheetName val="OTROS MO"/>
      <sheetName val="O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1998</v>
          </cell>
          <cell r="H522">
            <v>1999</v>
          </cell>
          <cell r="I522">
            <v>2000</v>
          </cell>
          <cell r="J522">
            <v>2001</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1998</v>
          </cell>
          <cell r="H742">
            <v>1999</v>
          </cell>
          <cell r="I742">
            <v>2000</v>
          </cell>
          <cell r="J742">
            <v>2001</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D7H"/>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SNO HONDA (2)"/>
      <sheetName val="INDICE"/>
      <sheetName val="Equipo"/>
      <sheetName val="materiales"/>
      <sheetName val="otros"/>
      <sheetName val="LOCALIZACION ESTRUCTURAS"/>
      <sheetName val="LOCALIZACION CARRETERAS"/>
      <sheetName val="200.1"/>
      <sheetName val="200.2"/>
      <sheetName val="200P ROCERIA"/>
      <sheetName val="201.1"/>
      <sheetName val="201.2"/>
      <sheetName val="201.1 ciclopeo"/>
      <sheetName val="201.2 reforzado"/>
      <sheetName val="201.3"/>
      <sheetName val="201.3P"/>
      <sheetName val="201.4"/>
      <sheetName val="201.8P"/>
      <sheetName val="201.9"/>
      <sheetName val="201.10"/>
      <sheetName val="201.11"/>
      <sheetName val="201.12"/>
      <sheetName val="201.13"/>
      <sheetName val="201.14"/>
      <sheetName val="210.1"/>
      <sheetName val="210.2"/>
      <sheetName val="210.2 OTRA"/>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20.3"/>
      <sheetName val="320.4"/>
      <sheetName val="330.1"/>
      <sheetName val="330.2"/>
      <sheetName val="340.1"/>
      <sheetName val="340.2"/>
      <sheetName val="340.3"/>
      <sheetName val="341.1"/>
      <sheetName val="341.2"/>
      <sheetName val="342P"/>
      <sheetName val="410.1"/>
      <sheetName val="410.2"/>
      <sheetName val="411.1"/>
      <sheetName val="411.2"/>
      <sheetName val="411.3"/>
      <sheetName val="413"/>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1"/>
      <sheetName val="450.1P COMPRADA"/>
      <sheetName val="450.2"/>
      <sheetName val="450.2P COMPRADA"/>
      <sheetName val="450.3"/>
      <sheetName val="450.3P COMPRADA"/>
      <sheetName val="450.4"/>
      <sheetName val="450.4P COMPRADA"/>
      <sheetName val="450.5"/>
      <sheetName val="451.1"/>
      <sheetName val="451.1P COMPRADA"/>
      <sheetName val="451.2"/>
      <sheetName val="451.2P COMPRADA"/>
      <sheetName val="451.3"/>
      <sheetName val="451.3P COMPRADA"/>
      <sheetName val="452.1"/>
      <sheetName val="452.1P COMPRADA"/>
      <sheetName val="452.2"/>
      <sheetName val="452.2P COMPRADA"/>
      <sheetName val="452.3"/>
      <sheetName val="452.3P COMPRADA"/>
      <sheetName val="452.4"/>
      <sheetName val="452.4P COMPRADA"/>
      <sheetName val="453"/>
      <sheetName val="460"/>
      <sheetName val="460P"/>
      <sheetName val="461.1"/>
      <sheetName val="461.2"/>
      <sheetName val="462.1P"/>
      <sheetName val="462.2P"/>
      <sheetName val="462.3P"/>
      <sheetName val="462.4P"/>
      <sheetName val="462.5"/>
      <sheetName val="500"/>
      <sheetName val="510"/>
      <sheetName val="510P1"/>
      <sheetName val="510P2"/>
      <sheetName val="510P3"/>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MORTERO 1,3"/>
      <sheetName val="631P BOLSACRETO"/>
      <sheetName val="632"/>
      <sheetName val="632P"/>
      <sheetName val="640.1"/>
      <sheetName val="640.2"/>
      <sheetName val="640.3"/>
      <sheetName val="641"/>
      <sheetName val="641P ANCLAJES"/>
      <sheetName val="642.1"/>
      <sheetName val="642.2"/>
      <sheetName val="642P1 JUNTAS"/>
      <sheetName val="642P2 JUNTAS"/>
      <sheetName val="642P3 JUNTAS"/>
      <sheetName val="650.1"/>
      <sheetName val="650.2"/>
      <sheetName val="650.3"/>
      <sheetName val="650.3 OTRO"/>
      <sheetName val="650.4"/>
      <sheetName val="660.1"/>
      <sheetName val="660.2"/>
      <sheetName val="660.3"/>
      <sheetName val="661 TIPO 1"/>
      <sheetName val="661 TIPO 2"/>
      <sheetName val="661 OTRO"/>
      <sheetName val="662.1"/>
      <sheetName val="662.2"/>
      <sheetName val="670.1P"/>
      <sheetName val="670.2"/>
      <sheetName val="671"/>
      <sheetName val="672"/>
      <sheetName val="673,2"/>
      <sheetName val="673,1"/>
      <sheetName val="673.3"/>
      <sheetName val="674P"/>
      <sheetName val="674,1 Y 674,2"/>
      <sheetName val="675.1"/>
      <sheetName val="675.2"/>
      <sheetName val="675.3"/>
      <sheetName val="676"/>
      <sheetName val="680.1"/>
      <sheetName val="680.2"/>
      <sheetName val="680.3"/>
      <sheetName val="810P"/>
      <sheetName val="681,1"/>
      <sheetName val="682,1"/>
      <sheetName val="700.1"/>
      <sheetName val="700.3"/>
      <sheetName val="700P BANDAS SONORAS "/>
      <sheetName val="701,1"/>
      <sheetName val="710.1"/>
      <sheetName val="710.2"/>
      <sheetName val="710.3"/>
      <sheetName val="710.4"/>
      <sheetName val="710.5"/>
      <sheetName val="720"/>
      <sheetName val="730.1"/>
      <sheetName val="730.2"/>
      <sheetName val="740"/>
      <sheetName val="800.1"/>
      <sheetName val="800.2"/>
      <sheetName val="800.3"/>
      <sheetName val="800.4"/>
      <sheetName val="800P"/>
      <sheetName val="810.1"/>
      <sheetName val="810.1P"/>
      <sheetName val="810.2"/>
      <sheetName val="812.1"/>
      <sheetName val="815P"/>
      <sheetName val="900.1"/>
      <sheetName val="900.2"/>
      <sheetName val="900.3"/>
      <sheetName val="MURO TIERRA ARMADA EN GEOTEXTIL"/>
      <sheetName val="234,1 AFIN DE TALUDES"/>
      <sheetName val="Hoja1"/>
      <sheetName val="Hoja2"/>
      <sheetName val="Hoja3"/>
      <sheetName val="Hoja4"/>
    </sheetNames>
    <sheetDataSet>
      <sheetData sheetId="0" refreshError="1"/>
      <sheetData sheetId="1" refreshError="1">
        <row r="1">
          <cell r="A1" t="str">
            <v>ITEM</v>
          </cell>
          <cell r="B1" t="str">
            <v>DESCRIPCION</v>
          </cell>
          <cell r="C1" t="str">
            <v xml:space="preserve">UNIDAD </v>
          </cell>
          <cell r="D1" t="str">
            <v>COSTO TOTAL</v>
          </cell>
          <cell r="E1" t="str">
            <v>CUBS</v>
          </cell>
        </row>
        <row r="2">
          <cell r="A2" t="str">
            <v>200.1</v>
          </cell>
          <cell r="B2" t="str">
            <v xml:space="preserve"> DESMONTE Y LIMPIEZA EN BOSQUE           </v>
          </cell>
          <cell r="C2" t="str">
            <v xml:space="preserve"> HA</v>
          </cell>
          <cell r="D2">
            <v>1488047</v>
          </cell>
          <cell r="E2" t="str">
            <v>3.6.1.2.1</v>
          </cell>
        </row>
        <row r="3">
          <cell r="A3" t="str">
            <v>200.2</v>
          </cell>
          <cell r="B3" t="str">
            <v xml:space="preserve">DESMONTE Y LIMPIEZA EN ZONAS NO BOSCOSAS           </v>
          </cell>
          <cell r="C3" t="str">
            <v xml:space="preserve"> HA</v>
          </cell>
          <cell r="D3">
            <v>606549.62797619053</v>
          </cell>
          <cell r="E3" t="str">
            <v>3.6.1.2.3</v>
          </cell>
        </row>
        <row r="4">
          <cell r="A4" t="str">
            <v>200P1</v>
          </cell>
          <cell r="B4" t="str">
            <v>LOCALIZACION ESTRUCTURAS</v>
          </cell>
          <cell r="C4" t="str">
            <v>M²</v>
          </cell>
          <cell r="D4">
            <v>253</v>
          </cell>
          <cell r="E4" t="str">
            <v>3.6.1.1.1 </v>
          </cell>
        </row>
        <row r="5">
          <cell r="A5" t="str">
            <v>200P2</v>
          </cell>
          <cell r="B5" t="str">
            <v>LOCALIZACION CARRETERAS</v>
          </cell>
          <cell r="C5" t="str">
            <v>ML</v>
          </cell>
          <cell r="D5">
            <v>368</v>
          </cell>
          <cell r="E5" t="str">
            <v> 3.6.1.1.2 </v>
          </cell>
        </row>
        <row r="6">
          <cell r="A6" t="str">
            <v>200P3</v>
          </cell>
          <cell r="B6" t="str">
            <v>ROCERIA</v>
          </cell>
          <cell r="C6" t="str">
            <v>HA</v>
          </cell>
          <cell r="D6">
            <v>291400.41666666669</v>
          </cell>
          <cell r="E6" t="str">
            <v>3.2.1.17.1</v>
          </cell>
        </row>
        <row r="7">
          <cell r="A7" t="str">
            <v>201.1</v>
          </cell>
          <cell r="B7" t="str">
            <v>DEMOLICIÓN DE EDIFICACIONES.</v>
          </cell>
          <cell r="C7" t="str">
            <v>M²</v>
          </cell>
          <cell r="D7">
            <v>8280</v>
          </cell>
          <cell r="E7" t="str">
            <v>3.6.1.3.11</v>
          </cell>
        </row>
        <row r="8">
          <cell r="A8" t="str">
            <v>201.10</v>
          </cell>
          <cell r="B8" t="str">
            <v>REMOCION DE OBSTACULOS</v>
          </cell>
          <cell r="C8" t="str">
            <v>U Y ML</v>
          </cell>
          <cell r="D8">
            <v>0</v>
          </cell>
          <cell r="E8" t="str">
            <v>3.6.1.3.35</v>
          </cell>
        </row>
        <row r="9">
          <cell r="A9" t="str">
            <v>201.11</v>
          </cell>
          <cell r="B9" t="str">
            <v xml:space="preserve">REMOCION SERVICIOS EXISTENTES    </v>
          </cell>
          <cell r="C9" t="str">
            <v>U</v>
          </cell>
          <cell r="D9">
            <v>0</v>
          </cell>
          <cell r="E9" t="str">
            <v>3.6.1.3</v>
          </cell>
        </row>
        <row r="10">
          <cell r="A10" t="str">
            <v>201.12</v>
          </cell>
          <cell r="B10" t="str">
            <v>REMOCION DE ALCANTARILLAS</v>
          </cell>
          <cell r="C10" t="str">
            <v>ML</v>
          </cell>
          <cell r="D10">
            <v>44722</v>
          </cell>
          <cell r="E10" t="str">
            <v>3.6.1.3.47</v>
          </cell>
        </row>
        <row r="11">
          <cell r="A11" t="str">
            <v>201.13</v>
          </cell>
          <cell r="B11" t="str">
            <v xml:space="preserve">REMOCION DE CERCAS DE ALAMBRE       </v>
          </cell>
          <cell r="C11" t="str">
            <v>ML</v>
          </cell>
          <cell r="D11">
            <v>2442</v>
          </cell>
          <cell r="E11" t="str">
            <v>3.6.1.3</v>
          </cell>
        </row>
        <row r="12">
          <cell r="A12" t="str">
            <v>201.14</v>
          </cell>
          <cell r="B12" t="str">
            <v xml:space="preserve">REMOCION SERVICIOS EXISTENTES </v>
          </cell>
          <cell r="C12" t="str">
            <v>ML</v>
          </cell>
          <cell r="D12">
            <v>0</v>
          </cell>
          <cell r="E12" t="str">
            <v>3.6.1.3.9</v>
          </cell>
        </row>
        <row r="13">
          <cell r="A13" t="str">
            <v>201.15</v>
          </cell>
          <cell r="B13" t="str">
            <v>REMOCION DE OBSTACULOS</v>
          </cell>
          <cell r="C13" t="str">
            <v>U Y ML</v>
          </cell>
          <cell r="D13">
            <v>0</v>
          </cell>
          <cell r="E13" t="str">
            <v>3.6.1.3</v>
          </cell>
        </row>
        <row r="14">
          <cell r="A14" t="str">
            <v>201.2</v>
          </cell>
          <cell r="B14" t="str">
            <v>DEMOLICION DE ESTRUCTURAS</v>
          </cell>
          <cell r="C14" t="str">
            <v>M³</v>
          </cell>
          <cell r="D14">
            <v>80803</v>
          </cell>
          <cell r="E14" t="str">
            <v>3.6.1.3.11</v>
          </cell>
        </row>
        <row r="15">
          <cell r="A15" t="str">
            <v>201.2P</v>
          </cell>
          <cell r="B15" t="str">
            <v>DEMOLICION DE ESTRUCTURAS (CONCRETO CICLOPEO)</v>
          </cell>
          <cell r="C15" t="str">
            <v>M³</v>
          </cell>
          <cell r="D15">
            <v>45956</v>
          </cell>
          <cell r="E15" t="str">
            <v>3.6.1.3.11</v>
          </cell>
        </row>
        <row r="16">
          <cell r="A16" t="str">
            <v>201.2P</v>
          </cell>
          <cell r="B16" t="str">
            <v>DEMOLICION DE ESTRUCTURAS (CONCRETO REFORZADO)</v>
          </cell>
          <cell r="C16" t="str">
            <v>M³</v>
          </cell>
          <cell r="D16">
            <v>67179</v>
          </cell>
          <cell r="E16" t="str">
            <v>3.6.1.3.11</v>
          </cell>
        </row>
        <row r="17">
          <cell r="A17" t="str">
            <v>201.3</v>
          </cell>
          <cell r="B17" t="str">
            <v xml:space="preserve">DEMOLICION PISOS, ANDENES Y BORDILLOS DE CONCRETO.  </v>
          </cell>
          <cell r="C17" t="str">
            <v>M³</v>
          </cell>
          <cell r="D17">
            <v>71285</v>
          </cell>
          <cell r="E17" t="str">
            <v>3.6.1.3.15</v>
          </cell>
        </row>
        <row r="18">
          <cell r="A18" t="str">
            <v>201.3P</v>
          </cell>
          <cell r="B18" t="str">
            <v xml:space="preserve">DEMOLICION DE PAVIMENTOS DE CONCRETO.    </v>
          </cell>
          <cell r="C18" t="str">
            <v>M³</v>
          </cell>
          <cell r="D18">
            <v>115633</v>
          </cell>
          <cell r="E18" t="str">
            <v>3.6.1.3.15</v>
          </cell>
        </row>
        <row r="19">
          <cell r="A19" t="str">
            <v>201.4</v>
          </cell>
          <cell r="B19" t="str">
            <v xml:space="preserve">DEMOLICION DE OBSTACULOS.   </v>
          </cell>
          <cell r="C19" t="str">
            <v>M³</v>
          </cell>
          <cell r="D19">
            <v>0</v>
          </cell>
          <cell r="E19" t="str">
            <v>3.6.1.3.14</v>
          </cell>
        </row>
        <row r="20">
          <cell r="A20" t="str">
            <v>201.5</v>
          </cell>
          <cell r="B20" t="str">
            <v>DEMOLICIÓN DE EDIFICACIONES.</v>
          </cell>
          <cell r="C20" t="str">
            <v>M²</v>
          </cell>
          <cell r="D20">
            <v>8280</v>
          </cell>
          <cell r="E20" t="str">
            <v>3.3.1.1</v>
          </cell>
        </row>
        <row r="21">
          <cell r="A21" t="str">
            <v>201.6</v>
          </cell>
          <cell r="B21" t="str">
            <v>DEMOLICION DE ESTRUCTURAS</v>
          </cell>
          <cell r="C21" t="str">
            <v>M³</v>
          </cell>
          <cell r="D21">
            <v>80803</v>
          </cell>
          <cell r="E21" t="str">
            <v>3.6.1.3.11</v>
          </cell>
        </row>
        <row r="22">
          <cell r="A22" t="str">
            <v>201.7</v>
          </cell>
          <cell r="B22" t="str">
            <v xml:space="preserve">DEMOLICION PISOS, ANDENES Y BORDILLOS DE CONCRETO.  </v>
          </cell>
          <cell r="C22" t="str">
            <v>M³</v>
          </cell>
          <cell r="D22">
            <v>71285</v>
          </cell>
          <cell r="E22" t="str">
            <v xml:space="preserve">3.6.1.3.13  </v>
          </cell>
        </row>
        <row r="23">
          <cell r="A23" t="str">
            <v>201.8P</v>
          </cell>
          <cell r="B23" t="str">
            <v xml:space="preserve">DESMONTAJE Y TRASLADO DE ESTRUCTURAS METALICAS. </v>
          </cell>
          <cell r="C23" t="str">
            <v>KG</v>
          </cell>
          <cell r="D23">
            <v>336</v>
          </cell>
          <cell r="E23" t="str">
            <v>3.6.1.3</v>
          </cell>
        </row>
        <row r="24">
          <cell r="A24" t="str">
            <v>201.9</v>
          </cell>
          <cell r="B24" t="str">
            <v xml:space="preserve">REMOCION DE ESPECIES VEGETALES    </v>
          </cell>
          <cell r="C24" t="str">
            <v xml:space="preserve">UNIDAD </v>
          </cell>
          <cell r="D24">
            <v>356650</v>
          </cell>
          <cell r="E24" t="str">
            <v>3.6.1.3.33</v>
          </cell>
        </row>
        <row r="25">
          <cell r="A25" t="str">
            <v>210.1</v>
          </cell>
          <cell r="B25" t="str">
            <v>EXCAVACIÓN SIN CLASIFICAR DE LA EXPLANACIÓN, CANALES Y PRÉSTAMOS</v>
          </cell>
          <cell r="C25" t="str">
            <v>M³</v>
          </cell>
          <cell r="D25">
            <v>3048</v>
          </cell>
          <cell r="E25" t="str">
            <v>3.6.2.1.1 </v>
          </cell>
        </row>
        <row r="26">
          <cell r="A26" t="str">
            <v>210.2</v>
          </cell>
          <cell r="B26" t="str">
            <v xml:space="preserve">EXCAVACION EN ROCA DE LA EXPLANACION, CANALES Y PRESTAMOS </v>
          </cell>
          <cell r="C26" t="str">
            <v>M³</v>
          </cell>
          <cell r="D26">
            <v>28312</v>
          </cell>
          <cell r="E26" t="str">
            <v>3.6.2.1.3</v>
          </cell>
        </row>
        <row r="27">
          <cell r="A27" t="str">
            <v>210.2 OTRA</v>
          </cell>
          <cell r="B27" t="str">
            <v xml:space="preserve"> EXCAVACION EN ROCA DE LA EXPLANACION, CANALES Y PRESTAMOS (sin explosivos)        </v>
          </cell>
          <cell r="C27" t="str">
            <v>M³</v>
          </cell>
          <cell r="D27">
            <v>18844</v>
          </cell>
          <cell r="E27" t="str">
            <v>3.6.1.3.11</v>
          </cell>
        </row>
        <row r="28">
          <cell r="A28" t="str">
            <v>210.3</v>
          </cell>
          <cell r="B28" t="str">
            <v xml:space="preserve">EXCAVACION EN MATERIAL COMUN DE LA EXPLANACION, CANALES Y PRESTAMOS         </v>
          </cell>
          <cell r="C28" t="str">
            <v>M³</v>
          </cell>
          <cell r="D28">
            <v>3125</v>
          </cell>
          <cell r="E28" t="str">
            <v>3.6.2.1.5</v>
          </cell>
        </row>
        <row r="29">
          <cell r="A29" t="str">
            <v>211.1</v>
          </cell>
          <cell r="B29" t="str">
            <v>REMOCION DE DERRUMBES</v>
          </cell>
          <cell r="C29" t="str">
            <v>M³</v>
          </cell>
          <cell r="D29">
            <v>4649</v>
          </cell>
          <cell r="E29" t="str">
            <v xml:space="preserve">3.6.2.2.1  </v>
          </cell>
        </row>
        <row r="30">
          <cell r="A30" t="str">
            <v>220.1</v>
          </cell>
          <cell r="B30" t="str">
            <v>TERRAPLEN</v>
          </cell>
          <cell r="C30" t="str">
            <v>M³</v>
          </cell>
          <cell r="D30">
            <v>9416</v>
          </cell>
          <cell r="E30" t="str">
            <v>3.6.2.3.1</v>
          </cell>
        </row>
        <row r="31">
          <cell r="A31" t="str">
            <v>221.1</v>
          </cell>
          <cell r="B31" t="str">
            <v>PEDRAPLEN COMPACTO</v>
          </cell>
          <cell r="C31" t="str">
            <v>M³</v>
          </cell>
          <cell r="D31">
            <v>78691</v>
          </cell>
          <cell r="E31" t="str">
            <v>3.6.2.4.2</v>
          </cell>
        </row>
        <row r="32">
          <cell r="A32" t="str">
            <v>221.2</v>
          </cell>
          <cell r="B32" t="str">
            <v>PEDRAPLEN SUELTO</v>
          </cell>
          <cell r="C32" t="str">
            <v>M³</v>
          </cell>
          <cell r="D32">
            <v>58986</v>
          </cell>
          <cell r="E32" t="str">
            <v>3.6.2.4.1</v>
          </cell>
        </row>
        <row r="33">
          <cell r="A33" t="str">
            <v>225P</v>
          </cell>
          <cell r="B33" t="str">
            <v xml:space="preserve">CONFORMACION DE BOTADERO O ESCOMBRERAS </v>
          </cell>
          <cell r="C33" t="str">
            <v>M³</v>
          </cell>
          <cell r="D33">
            <v>5950</v>
          </cell>
          <cell r="E33" t="str">
            <v>3.2.8.1.1 </v>
          </cell>
        </row>
        <row r="34">
          <cell r="A34" t="str">
            <v>230.1</v>
          </cell>
          <cell r="B34" t="str">
            <v>MEJORAMIENTO DE LA SUBRASANTE INVOLUCRA SUELO EXISTENTE</v>
          </cell>
          <cell r="C34" t="str">
            <v>M²</v>
          </cell>
          <cell r="D34">
            <v>1128</v>
          </cell>
          <cell r="E34" t="str">
            <v>3.6.2.5.1</v>
          </cell>
        </row>
        <row r="35">
          <cell r="A35" t="str">
            <v>230.2</v>
          </cell>
          <cell r="B35" t="str">
            <v>MEJORAMIENTO DE LA SUBRASANTE ADICIONANDO MATERIAL</v>
          </cell>
          <cell r="C35" t="str">
            <v>M³</v>
          </cell>
          <cell r="D35">
            <v>28002</v>
          </cell>
          <cell r="E35" t="str">
            <v>3.6.2.5.2</v>
          </cell>
        </row>
        <row r="36">
          <cell r="A36" t="str">
            <v>310.1</v>
          </cell>
          <cell r="B36" t="str">
            <v>CONFORMACION DE LA CALZADA EXISTENTE</v>
          </cell>
          <cell r="C36" t="str">
            <v>M²</v>
          </cell>
          <cell r="D36">
            <v>451</v>
          </cell>
          <cell r="E36" t="str">
            <v>3.6.3.1.1</v>
          </cell>
        </row>
        <row r="37">
          <cell r="A37" t="str">
            <v>311.1</v>
          </cell>
          <cell r="B37" t="str">
            <v>AFIRMADO</v>
          </cell>
          <cell r="C37" t="str">
            <v>M³</v>
          </cell>
          <cell r="D37">
            <v>66421</v>
          </cell>
          <cell r="E37" t="str">
            <v>3.6.3.2.1</v>
          </cell>
        </row>
        <row r="38">
          <cell r="A38" t="str">
            <v>311P1</v>
          </cell>
          <cell r="B38" t="str">
            <v>AFIRMADO ESTABILIZADO CON CEMENTO</v>
          </cell>
          <cell r="C38" t="str">
            <v>M³</v>
          </cell>
          <cell r="D38">
            <v>103113</v>
          </cell>
          <cell r="E38" t="str">
            <v>3.6.3.2</v>
          </cell>
        </row>
        <row r="39">
          <cell r="A39" t="str">
            <v>311P2</v>
          </cell>
          <cell r="B39" t="str">
            <v>AFIRMADO ESTABILIZADO CON CAL</v>
          </cell>
          <cell r="C39" t="str">
            <v>M³</v>
          </cell>
          <cell r="D39">
            <v>98753</v>
          </cell>
          <cell r="E39" t="str">
            <v>3.6.3.2</v>
          </cell>
        </row>
        <row r="40">
          <cell r="A40" t="str">
            <v>311P3</v>
          </cell>
          <cell r="B40" t="str">
            <v>BACHEO DE CARRETERAS EN AFIRMADO</v>
          </cell>
          <cell r="C40" t="str">
            <v>M³</v>
          </cell>
          <cell r="D40">
            <v>60945</v>
          </cell>
          <cell r="E40" t="str">
            <v>3.6.3.2</v>
          </cell>
        </row>
        <row r="41">
          <cell r="A41" t="str">
            <v>320.1</v>
          </cell>
          <cell r="B41" t="str">
            <v>SUBBASE GRANULAR CBR&gt;20%</v>
          </cell>
          <cell r="C41" t="str">
            <v>M³</v>
          </cell>
          <cell r="D41">
            <v>103796</v>
          </cell>
          <cell r="E41" t="str">
            <v xml:space="preserve"> 3.6.3.4.2</v>
          </cell>
        </row>
        <row r="42">
          <cell r="A42" t="str">
            <v>320.2</v>
          </cell>
          <cell r="B42" t="str">
            <v>SUBBASE GRANULAR CBR&gt;30%</v>
          </cell>
          <cell r="C42" t="str">
            <v>M³</v>
          </cell>
          <cell r="D42">
            <v>103796</v>
          </cell>
          <cell r="E42" t="str">
            <v>3.6.3.4.4</v>
          </cell>
        </row>
        <row r="43">
          <cell r="A43" t="str">
            <v>320.3</v>
          </cell>
          <cell r="B43" t="str">
            <v>SUBBASE GRANULAR CBR&gt;40%</v>
          </cell>
          <cell r="C43" t="str">
            <v>M³</v>
          </cell>
          <cell r="D43">
            <v>103796</v>
          </cell>
          <cell r="E43" t="str">
            <v> 3.6.3.4.4</v>
          </cell>
        </row>
        <row r="44">
          <cell r="A44" t="str">
            <v>320.4</v>
          </cell>
          <cell r="B44" t="str">
            <v>SUBBASE GRANULAR PARA BACHEO</v>
          </cell>
          <cell r="C44" t="str">
            <v>M³</v>
          </cell>
          <cell r="D44">
            <v>127592</v>
          </cell>
          <cell r="E44" t="str">
            <v>3.6.3.4.7</v>
          </cell>
        </row>
        <row r="45">
          <cell r="A45" t="str">
            <v>330.1</v>
          </cell>
          <cell r="B45" t="str">
            <v>BASE GRANULAR</v>
          </cell>
          <cell r="C45" t="str">
            <v>M³</v>
          </cell>
          <cell r="D45">
            <v>108671</v>
          </cell>
          <cell r="E45" t="str">
            <v>3.6.3.6.2</v>
          </cell>
        </row>
        <row r="46">
          <cell r="A46" t="str">
            <v>330.2</v>
          </cell>
          <cell r="B46" t="str">
            <v>BASE GRANULAR PARA BACHEO</v>
          </cell>
          <cell r="C46" t="str">
            <v>M³</v>
          </cell>
          <cell r="D46">
            <v>132467</v>
          </cell>
          <cell r="E46" t="str">
            <v>3.6.3.6.3</v>
          </cell>
        </row>
        <row r="47">
          <cell r="A47" t="str">
            <v>340.1</v>
          </cell>
          <cell r="B47" t="str">
            <v>BASE ESTABILIZADA CON EMULSION ASFALTICA BEE-1</v>
          </cell>
          <cell r="C47" t="str">
            <v>M³</v>
          </cell>
          <cell r="D47">
            <v>130344</v>
          </cell>
          <cell r="E47" t="str">
            <v>3.6.3.7.1</v>
          </cell>
          <cell r="F47">
            <v>525539.76</v>
          </cell>
          <cell r="G47" t="str">
            <v>CON EMULSION</v>
          </cell>
        </row>
        <row r="48">
          <cell r="A48" t="str">
            <v>340.2</v>
          </cell>
          <cell r="B48" t="str">
            <v>BASE ESTABILIZADA CON EMULSION ASFALTICA BEE-2</v>
          </cell>
          <cell r="C48" t="str">
            <v>M³</v>
          </cell>
          <cell r="D48">
            <v>130344</v>
          </cell>
          <cell r="E48" t="str">
            <v>3.6.3.7.3</v>
          </cell>
          <cell r="F48">
            <v>512366.56799999997</v>
          </cell>
          <cell r="G48" t="str">
            <v>CON EMULSION</v>
          </cell>
        </row>
        <row r="49">
          <cell r="A49" t="str">
            <v>340.3</v>
          </cell>
          <cell r="B49" t="str">
            <v>BASE ESTABILIZADA CON EMULSION ASFALTICA BEE-3</v>
          </cell>
          <cell r="C49" t="str">
            <v>M³</v>
          </cell>
          <cell r="D49">
            <v>130344</v>
          </cell>
          <cell r="E49" t="str">
            <v>3.6.3.7.5</v>
          </cell>
          <cell r="F49">
            <v>499193.37599999999</v>
          </cell>
          <cell r="G49" t="str">
            <v>CON EMULSION</v>
          </cell>
        </row>
        <row r="50">
          <cell r="A50" t="str">
            <v>341.1</v>
          </cell>
          <cell r="B50" t="str">
            <v>BASE ESTABILIZADA CON CEMENTO</v>
          </cell>
          <cell r="C50" t="str">
            <v>M³</v>
          </cell>
          <cell r="D50">
            <v>65365</v>
          </cell>
          <cell r="E50" t="str">
            <v>3.6.3.7</v>
          </cell>
          <cell r="F50">
            <v>104893</v>
          </cell>
          <cell r="G50" t="str">
            <v>CON CEMEMTO</v>
          </cell>
        </row>
        <row r="51">
          <cell r="A51" t="str">
            <v>341.2</v>
          </cell>
          <cell r="B51" t="str">
            <v>CEMENTO</v>
          </cell>
          <cell r="C51" t="str">
            <v>KG</v>
          </cell>
          <cell r="D51">
            <v>549</v>
          </cell>
          <cell r="E51" t="str">
            <v>3.6.4.1.8</v>
          </cell>
        </row>
        <row r="52">
          <cell r="A52" t="str">
            <v>342P</v>
          </cell>
          <cell r="B52" t="str">
            <v>BASE GRANULAR ESTABILIZADA CON CAL</v>
          </cell>
          <cell r="C52" t="str">
            <v>M³</v>
          </cell>
          <cell r="D52">
            <v>146134</v>
          </cell>
          <cell r="E52" t="str">
            <v>3.6.3.7.16 </v>
          </cell>
        </row>
        <row r="53">
          <cell r="A53" t="str">
            <v>410.1</v>
          </cell>
          <cell r="B53" t="str">
            <v>CEMENTO ASFALTICO DE PENETRACION 60-70</v>
          </cell>
          <cell r="C53" t="str">
            <v>KG</v>
          </cell>
          <cell r="D53">
            <v>1963</v>
          </cell>
          <cell r="E53" t="str">
            <v>3.6.4.1.1</v>
          </cell>
        </row>
        <row r="54">
          <cell r="A54" t="str">
            <v>410.2</v>
          </cell>
          <cell r="B54" t="str">
            <v>CEMENTO ASFALTICO DE PENETRACION 80-100</v>
          </cell>
          <cell r="C54" t="str">
            <v>KG</v>
          </cell>
          <cell r="D54">
            <v>1963</v>
          </cell>
          <cell r="E54" t="str">
            <v>3.6.4.1.2</v>
          </cell>
        </row>
        <row r="55">
          <cell r="A55" t="str">
            <v>411.1</v>
          </cell>
          <cell r="B55" t="str">
            <v>EMULSION ASFALTICA DE ROTURA MEDIA CRM</v>
          </cell>
          <cell r="C55" t="str">
            <v>LT</v>
          </cell>
          <cell r="D55">
            <v>2533</v>
          </cell>
          <cell r="E55" t="str">
            <v>3.6.4.2.1</v>
          </cell>
        </row>
        <row r="56">
          <cell r="A56" t="str">
            <v>411.2</v>
          </cell>
          <cell r="B56" t="str">
            <v>EMULSION ASFALTICA DE ROTURA LENTA CRL</v>
          </cell>
          <cell r="C56" t="str">
            <v>LT</v>
          </cell>
          <cell r="D56">
            <v>2533</v>
          </cell>
          <cell r="E56" t="str">
            <v>3.6.4.2.2</v>
          </cell>
        </row>
        <row r="57">
          <cell r="A57" t="str">
            <v>411.3</v>
          </cell>
          <cell r="B57" t="str">
            <v>EMULSION ASFALTICA DE ROTURA LENTA CRL-1H</v>
          </cell>
          <cell r="C57" t="str">
            <v>LT</v>
          </cell>
          <cell r="D57">
            <v>2533</v>
          </cell>
          <cell r="E57" t="str">
            <v>3.6.4.2.3</v>
          </cell>
        </row>
        <row r="58">
          <cell r="A58" t="str">
            <v>413.1</v>
          </cell>
          <cell r="B58" t="str">
            <v>EXCAVACIONES PARA REPARACION DE PAVIMENTO EXISTENTE</v>
          </cell>
          <cell r="C58" t="str">
            <v>M³</v>
          </cell>
          <cell r="D58">
            <v>69495</v>
          </cell>
          <cell r="E58" t="str">
            <v>3.6.2.1</v>
          </cell>
        </row>
        <row r="59">
          <cell r="A59" t="str">
            <v>414.1</v>
          </cell>
          <cell r="B59" t="str">
            <v>CEMENTO ASFALTICO MODIFICADO CON POLIMEROS TIPO 1</v>
          </cell>
          <cell r="C59" t="str">
            <v>KG</v>
          </cell>
          <cell r="D59">
            <v>2334</v>
          </cell>
          <cell r="E59" t="str">
            <v>3.6.4.1.3</v>
          </cell>
        </row>
        <row r="60">
          <cell r="A60" t="str">
            <v>414.2</v>
          </cell>
          <cell r="B60" t="str">
            <v>CEMENTO ASFALTICO MODIFICADO CON POLIMEROS TIPO 2</v>
          </cell>
          <cell r="C60" t="str">
            <v>KG</v>
          </cell>
          <cell r="D60">
            <v>2400</v>
          </cell>
          <cell r="E60" t="str">
            <v>3.6.4.1.4</v>
          </cell>
        </row>
        <row r="61">
          <cell r="A61" t="str">
            <v>414.3</v>
          </cell>
          <cell r="B61" t="str">
            <v>CEMENTO ASFALTICO MODIFICADO CON POLIMEROS TIPO 3</v>
          </cell>
          <cell r="C61" t="str">
            <v>KG</v>
          </cell>
          <cell r="D61">
            <v>2400</v>
          </cell>
          <cell r="E61" t="str">
            <v>3.6.4.1.5</v>
          </cell>
        </row>
        <row r="62">
          <cell r="A62" t="str">
            <v>414.4</v>
          </cell>
          <cell r="B62" t="str">
            <v>CEMENTO ASFALTICO MODIFICADO CON POLIMEROS TIPO 4</v>
          </cell>
          <cell r="C62" t="str">
            <v>KG</v>
          </cell>
          <cell r="D62">
            <v>2400</v>
          </cell>
          <cell r="E62" t="str">
            <v>3.6.4.1.6</v>
          </cell>
        </row>
        <row r="63">
          <cell r="A63" t="str">
            <v>415.1</v>
          </cell>
          <cell r="B63" t="str">
            <v>EMULSION ASFALTICA DE ROTURA MEDIA MODIFICADA CON POLIMEROS CRMm</v>
          </cell>
          <cell r="C63" t="str">
            <v>LT</v>
          </cell>
          <cell r="D63">
            <v>2864</v>
          </cell>
          <cell r="E63" t="str">
            <v>3.6.4.2.5</v>
          </cell>
        </row>
        <row r="64">
          <cell r="A64" t="str">
            <v>420.1</v>
          </cell>
          <cell r="B64" t="str">
            <v>IMPRIMACION</v>
          </cell>
          <cell r="C64" t="str">
            <v>M²</v>
          </cell>
          <cell r="D64">
            <v>2114</v>
          </cell>
          <cell r="E64" t="str">
            <v xml:space="preserve">3.6.4.3.1 </v>
          </cell>
        </row>
        <row r="65">
          <cell r="A65" t="str">
            <v>421.1</v>
          </cell>
          <cell r="B65" t="str">
            <v>RIEGO DE LIGA CON EMULSION ASFALTICA CRR-1</v>
          </cell>
          <cell r="C65" t="str">
            <v>M²</v>
          </cell>
          <cell r="D65">
            <v>1149</v>
          </cell>
          <cell r="E65" t="str">
            <v>3.6.4.4.2</v>
          </cell>
        </row>
        <row r="66">
          <cell r="A66" t="str">
            <v>421.2</v>
          </cell>
          <cell r="B66" t="str">
            <v>RIEGO DE LIGA CON EMULSION ASFALTICA CRR-2</v>
          </cell>
          <cell r="C66" t="str">
            <v>M²</v>
          </cell>
          <cell r="D66">
            <v>1149</v>
          </cell>
          <cell r="E66" t="str">
            <v>3.6.4.4.3</v>
          </cell>
        </row>
        <row r="67">
          <cell r="A67" t="str">
            <v>421.3</v>
          </cell>
          <cell r="B67" t="str">
            <v>RIEGO DE LIGA CON EMULSION MODIFICADA CON POLIMEROS CRR-1M</v>
          </cell>
          <cell r="C67" t="str">
            <v>M²</v>
          </cell>
          <cell r="D67">
            <v>1149</v>
          </cell>
          <cell r="E67" t="str">
            <v>3.6.4.4.4</v>
          </cell>
        </row>
        <row r="68">
          <cell r="A68" t="str">
            <v>421.4</v>
          </cell>
          <cell r="B68" t="str">
            <v>RIEGO DE LIGA CON EMULSION MODIFICADA CON POLIMEROS CRR-2M</v>
          </cell>
          <cell r="C68" t="str">
            <v>M²</v>
          </cell>
          <cell r="D68">
            <v>1149</v>
          </cell>
          <cell r="E68" t="str">
            <v>3.6.4.4.5</v>
          </cell>
        </row>
        <row r="69">
          <cell r="A69" t="str">
            <v>430.1</v>
          </cell>
          <cell r="B69" t="str">
            <v>TRATAMIENTO SUPERFICIAL SIMPLE CON EMULSION CRR-2</v>
          </cell>
          <cell r="C69" t="str">
            <v>M²</v>
          </cell>
          <cell r="D69">
            <v>6250</v>
          </cell>
          <cell r="E69" t="str">
            <v>3.6.4.5.1</v>
          </cell>
        </row>
        <row r="70">
          <cell r="A70" t="str">
            <v>430.2</v>
          </cell>
          <cell r="B70" t="str">
            <v>TRATAMIENTO SUPERFICIAL SIMPLE CON EMULSION CRR-2M</v>
          </cell>
          <cell r="C70" t="str">
            <v>M²</v>
          </cell>
          <cell r="D70">
            <v>6250</v>
          </cell>
          <cell r="E70" t="str">
            <v>3.6.4.5.2</v>
          </cell>
        </row>
        <row r="71">
          <cell r="A71" t="str">
            <v>431.1</v>
          </cell>
          <cell r="B71" t="str">
            <v>TRATAMIENTO SUPERFICIAL DOBLE CON EMULSION CRR-2</v>
          </cell>
          <cell r="C71" t="str">
            <v>M²</v>
          </cell>
          <cell r="D71">
            <v>11107</v>
          </cell>
          <cell r="E71" t="str">
            <v>3.6.4.6.1</v>
          </cell>
        </row>
        <row r="72">
          <cell r="A72" t="str">
            <v>431.2</v>
          </cell>
          <cell r="B72" t="str">
            <v>TRATAMIENTO SUPERFICIAL DOBLE CON EMULSION CRR-2M</v>
          </cell>
          <cell r="C72" t="str">
            <v>M²</v>
          </cell>
          <cell r="D72">
            <v>11107</v>
          </cell>
          <cell r="E72" t="str">
            <v>3.6.4.6.2</v>
          </cell>
        </row>
        <row r="73">
          <cell r="A73" t="str">
            <v>432.1</v>
          </cell>
          <cell r="B73" t="str">
            <v>SELLO DE ARENA-ASFALTO</v>
          </cell>
          <cell r="C73" t="str">
            <v>M²</v>
          </cell>
          <cell r="D73">
            <v>4131</v>
          </cell>
          <cell r="E73" t="str">
            <v>3.6.4.7.1</v>
          </cell>
        </row>
        <row r="74">
          <cell r="A74" t="str">
            <v>433.1</v>
          </cell>
          <cell r="B74" t="str">
            <v>LECHADA ASFALTICA CON EMULSION CRL-1H LA-1</v>
          </cell>
          <cell r="C74" t="str">
            <v>M²</v>
          </cell>
          <cell r="D74">
            <v>4294</v>
          </cell>
          <cell r="E74" t="str">
            <v>3.6.4.8.1</v>
          </cell>
        </row>
        <row r="75">
          <cell r="A75" t="str">
            <v>433.2</v>
          </cell>
          <cell r="B75" t="str">
            <v>LECHADA ASFALTICA CON EMULSION CRL-1H LA-2</v>
          </cell>
          <cell r="C75" t="str">
            <v>M²</v>
          </cell>
          <cell r="D75">
            <v>6060</v>
          </cell>
          <cell r="E75" t="str">
            <v>3.6.4.8.2</v>
          </cell>
        </row>
        <row r="76">
          <cell r="A76" t="str">
            <v>433.3</v>
          </cell>
          <cell r="B76" t="str">
            <v>LECHADA ASFALTICA CON EMULSION CRL-1H LA-3</v>
          </cell>
          <cell r="C76" t="str">
            <v>M²</v>
          </cell>
          <cell r="D76">
            <v>7329</v>
          </cell>
          <cell r="E76" t="str">
            <v>3.6.4.8.3</v>
          </cell>
        </row>
        <row r="77">
          <cell r="A77" t="str">
            <v>433.4</v>
          </cell>
          <cell r="B77" t="str">
            <v>LECHADA ASFALTICA CON EMULSION CRL-1H LA-4</v>
          </cell>
          <cell r="C77" t="str">
            <v>M²</v>
          </cell>
          <cell r="D77">
            <v>8121</v>
          </cell>
          <cell r="E77" t="str">
            <v>3.6.4.8.4</v>
          </cell>
        </row>
        <row r="78">
          <cell r="A78" t="str">
            <v>433.5</v>
          </cell>
          <cell r="B78" t="str">
            <v>LECHADA ASFALTICA CON EMULSION CRL-1HM LA-1</v>
          </cell>
          <cell r="C78" t="str">
            <v>M²</v>
          </cell>
          <cell r="D78">
            <v>4553</v>
          </cell>
          <cell r="E78" t="str">
            <v>3.6.4.8.5</v>
          </cell>
        </row>
        <row r="79">
          <cell r="A79" t="str">
            <v>433.6</v>
          </cell>
          <cell r="B79" t="str">
            <v>LECHADA ASFALTICA CON EMULSION CRL-1HM LA-2</v>
          </cell>
          <cell r="C79" t="str">
            <v>M²</v>
          </cell>
          <cell r="D79">
            <v>6060</v>
          </cell>
          <cell r="E79" t="str">
            <v>3.6.4.8.6</v>
          </cell>
        </row>
        <row r="80">
          <cell r="A80" t="str">
            <v>433.7</v>
          </cell>
          <cell r="B80" t="str">
            <v>LECHADA ASFALTICA CON EMULSION CRL-1HM LA-3</v>
          </cell>
          <cell r="C80" t="str">
            <v>M²</v>
          </cell>
          <cell r="D80">
            <v>7329</v>
          </cell>
          <cell r="E80" t="str">
            <v>3.6.4.8.7</v>
          </cell>
        </row>
        <row r="81">
          <cell r="A81" t="str">
            <v>433.8</v>
          </cell>
          <cell r="B81" t="str">
            <v>LECHADA ASFALTICA CON EMULSION CRL-1HM LA-4</v>
          </cell>
          <cell r="C81" t="str">
            <v>M²</v>
          </cell>
          <cell r="D81">
            <v>8121</v>
          </cell>
          <cell r="E81" t="str">
            <v>3.6.4.8.8</v>
          </cell>
        </row>
        <row r="82">
          <cell r="A82" t="str">
            <v>440.1</v>
          </cell>
          <cell r="B82" t="str">
            <v>MEZCLA DENSA EN FRIO MDF-1</v>
          </cell>
          <cell r="C82" t="str">
            <v>M³</v>
          </cell>
          <cell r="D82">
            <v>237275</v>
          </cell>
          <cell r="E82" t="str">
            <v>3.6.4.9.1</v>
          </cell>
          <cell r="F82">
            <v>526811</v>
          </cell>
          <cell r="G82" t="str">
            <v>CON EMULSION</v>
          </cell>
        </row>
        <row r="83">
          <cell r="A83" t="str">
            <v>440.1P</v>
          </cell>
          <cell r="B83" t="str">
            <v>MEZCLA DENSA EN FRIO MDF-1</v>
          </cell>
          <cell r="C83" t="str">
            <v>M³</v>
          </cell>
          <cell r="D83">
            <v>594392</v>
          </cell>
          <cell r="E83" t="str">
            <v>3.6.4.9</v>
          </cell>
        </row>
        <row r="84">
          <cell r="A84" t="str">
            <v>440.2</v>
          </cell>
          <cell r="B84" t="str">
            <v>MEZCLA DENSA EN FRIO MDF-2</v>
          </cell>
          <cell r="C84" t="str">
            <v>M³</v>
          </cell>
          <cell r="D84">
            <v>237275</v>
          </cell>
          <cell r="E84" t="str">
            <v>3.6.4.9.2</v>
          </cell>
          <cell r="F84">
            <v>571355</v>
          </cell>
          <cell r="G84" t="str">
            <v>CON EMULSION</v>
          </cell>
        </row>
        <row r="85">
          <cell r="A85" t="str">
            <v>440.2P</v>
          </cell>
          <cell r="B85" t="str">
            <v>MEZCLA DENSA EN FRIO MDF-2</v>
          </cell>
          <cell r="C85" t="str">
            <v>M³</v>
          </cell>
          <cell r="D85">
            <v>594392</v>
          </cell>
          <cell r="E85" t="str">
            <v>3.6.4.9</v>
          </cell>
        </row>
        <row r="86">
          <cell r="A86" t="str">
            <v>440.3</v>
          </cell>
          <cell r="B86" t="str">
            <v>MEZCLA DENSA EN FRIO MDF-3</v>
          </cell>
          <cell r="C86" t="str">
            <v>M³</v>
          </cell>
          <cell r="D86">
            <v>237275</v>
          </cell>
          <cell r="E86" t="str">
            <v>3.6.4.9.3</v>
          </cell>
          <cell r="F86">
            <v>571355</v>
          </cell>
          <cell r="G86" t="str">
            <v>CON EMULSION</v>
          </cell>
        </row>
        <row r="87">
          <cell r="A87" t="str">
            <v>440.3P</v>
          </cell>
          <cell r="B87" t="str">
            <v>MEZCLA DENSA EN FRIO MDF-3</v>
          </cell>
          <cell r="C87" t="str">
            <v>M³</v>
          </cell>
          <cell r="D87">
            <v>597422</v>
          </cell>
          <cell r="E87" t="str">
            <v>3.6.4.9</v>
          </cell>
        </row>
        <row r="88">
          <cell r="A88" t="str">
            <v>440.4</v>
          </cell>
          <cell r="B88" t="str">
            <v>MEZCLA DENSA EN FRIO PARA BACHEO</v>
          </cell>
          <cell r="C88" t="str">
            <v>M³</v>
          </cell>
          <cell r="D88">
            <v>639473</v>
          </cell>
          <cell r="E88" t="str">
            <v>3.6.4.9.4</v>
          </cell>
        </row>
        <row r="89">
          <cell r="A89" t="str">
            <v>441.1</v>
          </cell>
          <cell r="B89" t="str">
            <v>MEZCLA ABIERTA EN FRIO TIPO MAF-1</v>
          </cell>
          <cell r="C89" t="str">
            <v>M³</v>
          </cell>
          <cell r="D89">
            <v>237275</v>
          </cell>
          <cell r="E89" t="str">
            <v>3.6.4.10.1</v>
          </cell>
          <cell r="F89">
            <v>571355</v>
          </cell>
          <cell r="G89" t="str">
            <v>CON EMULSION</v>
          </cell>
        </row>
        <row r="90">
          <cell r="A90" t="str">
            <v>441.1P</v>
          </cell>
          <cell r="B90" t="str">
            <v>MEZCLA ABIERTA EN FRIO TIPO MAF-1</v>
          </cell>
          <cell r="C90" t="str">
            <v>M³</v>
          </cell>
          <cell r="D90">
            <v>594392</v>
          </cell>
          <cell r="E90" t="str">
            <v>3.6.4.10</v>
          </cell>
        </row>
        <row r="91">
          <cell r="A91" t="str">
            <v>441.2</v>
          </cell>
          <cell r="B91" t="str">
            <v>MEZCLA ABIERTA EN FRIO TIPO MAF-2</v>
          </cell>
          <cell r="C91" t="str">
            <v>M³</v>
          </cell>
          <cell r="D91">
            <v>237275</v>
          </cell>
          <cell r="E91" t="str">
            <v>3.6.4.10.2</v>
          </cell>
          <cell r="F91">
            <v>517902.19999999995</v>
          </cell>
          <cell r="G91" t="str">
            <v>CON EMULSION</v>
          </cell>
        </row>
        <row r="92">
          <cell r="A92" t="str">
            <v>441.2P</v>
          </cell>
          <cell r="B92" t="str">
            <v>MEZCLA ABIERTA EN FRIO TIPO MAF-2</v>
          </cell>
          <cell r="C92" t="str">
            <v>M³</v>
          </cell>
          <cell r="D92">
            <v>594392</v>
          </cell>
          <cell r="E92" t="str">
            <v>3.6.4.10</v>
          </cell>
        </row>
        <row r="93">
          <cell r="A93" t="str">
            <v>441.3</v>
          </cell>
          <cell r="B93" t="str">
            <v>MEZCLA ABIERTA EN FRIO TIPO MAF-3</v>
          </cell>
          <cell r="C93" t="str">
            <v>M³</v>
          </cell>
          <cell r="D93">
            <v>237275</v>
          </cell>
          <cell r="E93" t="str">
            <v>3.6.4.10.3</v>
          </cell>
          <cell r="F93">
            <v>526811</v>
          </cell>
          <cell r="G93" t="str">
            <v>CON EMULSION</v>
          </cell>
        </row>
        <row r="94">
          <cell r="A94" t="str">
            <v>441.3P</v>
          </cell>
          <cell r="B94" t="str">
            <v>MEZCLA ABIERTA EN FRIO TIPO MAF-3</v>
          </cell>
          <cell r="C94" t="str">
            <v>M³</v>
          </cell>
          <cell r="D94">
            <v>594392</v>
          </cell>
          <cell r="E94" t="str">
            <v>3.6.4.10</v>
          </cell>
        </row>
        <row r="95">
          <cell r="A95" t="str">
            <v>441.4</v>
          </cell>
          <cell r="B95" t="str">
            <v>MEZCLA ABIERTA EN FRIO PARA BACHEO</v>
          </cell>
          <cell r="C95" t="str">
            <v>M³</v>
          </cell>
          <cell r="D95">
            <v>639473</v>
          </cell>
          <cell r="E95" t="str">
            <v>3.6.4.10.4</v>
          </cell>
        </row>
        <row r="96">
          <cell r="A96" t="str">
            <v>450.1</v>
          </cell>
          <cell r="B96" t="str">
            <v>MEZCLA DENSA EN CALIENTE MDC-0</v>
          </cell>
          <cell r="C96" t="str">
            <v>M³</v>
          </cell>
          <cell r="D96">
            <v>248683</v>
          </cell>
          <cell r="E96" t="str">
            <v>3.6.4.11.2</v>
          </cell>
          <cell r="F96">
            <v>460687</v>
          </cell>
          <cell r="G96" t="str">
            <v>CON CEMENTO ASFALTICO</v>
          </cell>
        </row>
        <row r="97">
          <cell r="A97" t="str">
            <v>450.1P</v>
          </cell>
          <cell r="B97" t="str">
            <v>MEZCLA DENSA EN CALIENTE MDC-0</v>
          </cell>
          <cell r="C97" t="str">
            <v>M³</v>
          </cell>
          <cell r="D97">
            <v>506143</v>
          </cell>
          <cell r="E97" t="str">
            <v>3.6.4.11</v>
          </cell>
        </row>
        <row r="98">
          <cell r="A98" t="str">
            <v>450.2</v>
          </cell>
          <cell r="B98" t="str">
            <v>MEZCLA DENSA EN CALIENTE MDC-1</v>
          </cell>
          <cell r="C98" t="str">
            <v>M³</v>
          </cell>
          <cell r="D98">
            <v>248683</v>
          </cell>
          <cell r="E98" t="str">
            <v>3.6.4.11.3</v>
          </cell>
          <cell r="F98">
            <v>460687</v>
          </cell>
          <cell r="G98" t="str">
            <v>CON CEMENTO ASFALTICO</v>
          </cell>
        </row>
        <row r="99">
          <cell r="A99" t="str">
            <v>450.2P</v>
          </cell>
          <cell r="B99" t="str">
            <v>MEZCLA DENSA EN CALIENTE MDC-1</v>
          </cell>
          <cell r="C99" t="str">
            <v>M³</v>
          </cell>
          <cell r="D99">
            <v>506143</v>
          </cell>
          <cell r="E99" t="str">
            <v>3.6.4.11</v>
          </cell>
        </row>
        <row r="100">
          <cell r="A100" t="str">
            <v>450.3</v>
          </cell>
          <cell r="B100" t="str">
            <v>MEZCLA DENSA EN CALIENTE MDC-2</v>
          </cell>
          <cell r="C100" t="str">
            <v>M³</v>
          </cell>
          <cell r="D100">
            <v>228777</v>
          </cell>
          <cell r="E100" t="str">
            <v>3.6.4.11.4</v>
          </cell>
          <cell r="F100">
            <v>448633</v>
          </cell>
          <cell r="G100" t="str">
            <v>CON CEMENTO ASFALTICO</v>
          </cell>
        </row>
        <row r="101">
          <cell r="A101" t="str">
            <v>450.3P</v>
          </cell>
          <cell r="B101" t="str">
            <v>MEZCLA DENSA EN CALIENTE MDC-2</v>
          </cell>
          <cell r="C101" t="str">
            <v>M³</v>
          </cell>
          <cell r="D101">
            <v>509173</v>
          </cell>
          <cell r="E101" t="str">
            <v>3.6.4.11</v>
          </cell>
        </row>
        <row r="102">
          <cell r="A102" t="str">
            <v>450.4</v>
          </cell>
          <cell r="B102" t="str">
            <v>MEZCLA DENSA EN CALIENTE MDC-3</v>
          </cell>
          <cell r="C102" t="str">
            <v>M³</v>
          </cell>
          <cell r="D102">
            <v>228777</v>
          </cell>
          <cell r="E102" t="str">
            <v>3.6.4</v>
          </cell>
          <cell r="F102">
            <v>464337</v>
          </cell>
          <cell r="G102" t="str">
            <v>CON CEMENTO ASFALTICO</v>
          </cell>
        </row>
        <row r="103">
          <cell r="A103" t="str">
            <v>450.4</v>
          </cell>
          <cell r="B103" t="str">
            <v>MEZCLA DENSA EN CALIENTE MDC-3</v>
          </cell>
          <cell r="C103" t="str">
            <v>M³</v>
          </cell>
          <cell r="D103">
            <v>506143</v>
          </cell>
          <cell r="E103" t="str">
            <v>3.6.4</v>
          </cell>
        </row>
        <row r="104">
          <cell r="A104" t="str">
            <v>450.5</v>
          </cell>
          <cell r="B104" t="str">
            <v>MEZCLA DENSA EN CALIENTE PARA BACHEO</v>
          </cell>
          <cell r="C104" t="str">
            <v>M³</v>
          </cell>
          <cell r="D104">
            <v>339385</v>
          </cell>
          <cell r="E104" t="str">
            <v>3.6.4</v>
          </cell>
          <cell r="F104">
            <v>339385</v>
          </cell>
          <cell r="G104" t="str">
            <v>CON CEMENTO ASFALTICO</v>
          </cell>
        </row>
        <row r="105">
          <cell r="A105" t="str">
            <v>451.1</v>
          </cell>
          <cell r="B105" t="str">
            <v>MEZCLA ABIERTA EN CALIENTE TIPO MAC-1</v>
          </cell>
          <cell r="C105" t="str">
            <v>M³</v>
          </cell>
          <cell r="D105">
            <v>228777</v>
          </cell>
          <cell r="E105" t="str">
            <v>3.6.4.12.1</v>
          </cell>
          <cell r="F105">
            <v>366187</v>
          </cell>
          <cell r="G105" t="str">
            <v>CON CEMENTO ASFALTICO</v>
          </cell>
        </row>
        <row r="106">
          <cell r="A106" t="str">
            <v>451.1P</v>
          </cell>
          <cell r="B106" t="str">
            <v>MEZCLA ABIERTA EN CALIENTE TIPO MAC-1</v>
          </cell>
          <cell r="C106" t="str">
            <v>M³</v>
          </cell>
          <cell r="D106">
            <v>506143</v>
          </cell>
          <cell r="E106" t="str">
            <v>3.6.4.12</v>
          </cell>
        </row>
        <row r="107">
          <cell r="A107" t="str">
            <v>451.2</v>
          </cell>
          <cell r="B107" t="str">
            <v>MEZCLA ABIERTA EN CALIENTE TIPO MAC-2</v>
          </cell>
          <cell r="C107" t="str">
            <v>M³</v>
          </cell>
          <cell r="D107">
            <v>228777</v>
          </cell>
          <cell r="E107" t="str">
            <v>3.6.4.12.2</v>
          </cell>
          <cell r="F107">
            <v>385817</v>
          </cell>
          <cell r="G107" t="str">
            <v>CON CEMENTO ASFALTICO</v>
          </cell>
        </row>
        <row r="108">
          <cell r="A108" t="str">
            <v>451.2P</v>
          </cell>
          <cell r="B108" t="str">
            <v>MEZCLA ABIERTA EN CALIENTE TIPO MAC-2</v>
          </cell>
          <cell r="C108" t="str">
            <v>M³</v>
          </cell>
          <cell r="D108">
            <v>506143</v>
          </cell>
          <cell r="E108" t="str">
            <v>3.6.4.12</v>
          </cell>
        </row>
        <row r="109">
          <cell r="A109" t="str">
            <v>451.3</v>
          </cell>
          <cell r="B109" t="str">
            <v>MEZCLA ABIERTA EN CALIENTE TIPO MAC-3</v>
          </cell>
          <cell r="C109" t="str">
            <v>M³</v>
          </cell>
          <cell r="D109">
            <v>228777</v>
          </cell>
          <cell r="E109" t="str">
            <v>3.6.4.12.3</v>
          </cell>
          <cell r="F109">
            <v>425077</v>
          </cell>
          <cell r="G109" t="str">
            <v>CON CEMENTO ASFALTICO</v>
          </cell>
        </row>
        <row r="110">
          <cell r="A110" t="str">
            <v>451.3P</v>
          </cell>
          <cell r="B110" t="str">
            <v>MEZCLA ABIERTA EN CALIENTE TIPO MAC-3</v>
          </cell>
          <cell r="C110" t="str">
            <v>M³</v>
          </cell>
          <cell r="D110">
            <v>506143</v>
          </cell>
          <cell r="E110" t="str">
            <v>3.6.4.12</v>
          </cell>
        </row>
        <row r="111">
          <cell r="A111" t="str">
            <v>452.1</v>
          </cell>
          <cell r="B111" t="str">
            <v>MEZCLA DISCONTINUA EN CALIENTE TIPO M-1</v>
          </cell>
          <cell r="C111" t="str">
            <v>M³</v>
          </cell>
          <cell r="D111">
            <v>228777</v>
          </cell>
          <cell r="E111" t="str">
            <v>3.6.4.13.1</v>
          </cell>
          <cell r="F111">
            <v>482901</v>
          </cell>
          <cell r="G111" t="str">
            <v>CON CEMENTO ASFALTICO</v>
          </cell>
        </row>
        <row r="112">
          <cell r="A112" t="str">
            <v>452.1P</v>
          </cell>
          <cell r="B112" t="str">
            <v>MEZCLA DISCONTINUA EN CALIENTE TIPO M-1</v>
          </cell>
          <cell r="C112" t="str">
            <v>M³</v>
          </cell>
          <cell r="D112">
            <v>506143</v>
          </cell>
          <cell r="E112" t="str">
            <v>3.6.4.13.1 </v>
          </cell>
        </row>
        <row r="113">
          <cell r="A113" t="str">
            <v>452.2</v>
          </cell>
          <cell r="B113" t="str">
            <v>MEZCLA DISCONTINUA EN CALIENTE TIPO M-2</v>
          </cell>
          <cell r="C113" t="str">
            <v>M³</v>
          </cell>
          <cell r="D113">
            <v>228777</v>
          </cell>
          <cell r="E113" t="str">
            <v>3.6.4.13.2</v>
          </cell>
          <cell r="F113">
            <v>482901</v>
          </cell>
          <cell r="G113" t="str">
            <v>CON CEMENTO ASFALTICO</v>
          </cell>
        </row>
        <row r="114">
          <cell r="A114" t="str">
            <v>452.2P</v>
          </cell>
          <cell r="B114" t="str">
            <v>MEZCLA DISCONTINUA EN CALIENTE TIPO M-2</v>
          </cell>
          <cell r="C114" t="str">
            <v>M³</v>
          </cell>
          <cell r="D114">
            <v>506143</v>
          </cell>
          <cell r="E114" t="str">
            <v>3.6.4.13.2</v>
          </cell>
        </row>
        <row r="115">
          <cell r="A115" t="str">
            <v>452.3</v>
          </cell>
          <cell r="B115" t="str">
            <v>MEZCLA DISCONTINUA EN CALIENTE TIPO F-1</v>
          </cell>
          <cell r="C115" t="str">
            <v>M³</v>
          </cell>
          <cell r="D115">
            <v>228777</v>
          </cell>
          <cell r="E115" t="str">
            <v>3.6.4.13.7</v>
          </cell>
          <cell r="F115">
            <v>482901</v>
          </cell>
          <cell r="G115" t="str">
            <v>CON CEMENTO ASFALTICO</v>
          </cell>
        </row>
        <row r="116">
          <cell r="A116" t="str">
            <v>452.3P</v>
          </cell>
          <cell r="B116" t="str">
            <v>MEZCLA DISCONTINUA EN CALIENTE TIPO F-1</v>
          </cell>
          <cell r="C116" t="str">
            <v>M³</v>
          </cell>
          <cell r="D116">
            <v>509173</v>
          </cell>
          <cell r="E116" t="str">
            <v>3.6.4.13.7</v>
          </cell>
        </row>
        <row r="117">
          <cell r="A117" t="str">
            <v>452.4</v>
          </cell>
          <cell r="B117" t="str">
            <v>MEZCLA DISCONTINUA EN CALIENTE TIPO F-2</v>
          </cell>
          <cell r="C117" t="str">
            <v>M³</v>
          </cell>
          <cell r="D117">
            <v>228777</v>
          </cell>
          <cell r="E117" t="str">
            <v>3.6.4.13.8</v>
          </cell>
          <cell r="F117">
            <v>482901</v>
          </cell>
          <cell r="G117" t="str">
            <v>CON CEMENTO ASFALTICO</v>
          </cell>
        </row>
        <row r="118">
          <cell r="A118" t="str">
            <v>452.4P</v>
          </cell>
          <cell r="B118" t="str">
            <v>MEZCLA DISCONTINUA EN CALIENTE TIPO F-2</v>
          </cell>
          <cell r="C118" t="str">
            <v>M³</v>
          </cell>
          <cell r="D118">
            <v>506143</v>
          </cell>
          <cell r="E118" t="str">
            <v>3.6.4.13.8 </v>
          </cell>
        </row>
        <row r="119">
          <cell r="A119" t="str">
            <v>453.1</v>
          </cell>
          <cell r="B119" t="str">
            <v>MEZCLA DRENANTE</v>
          </cell>
          <cell r="C119" t="str">
            <v>M³</v>
          </cell>
          <cell r="D119">
            <v>228777</v>
          </cell>
          <cell r="E119" t="str">
            <v>3.6.4.13.7</v>
          </cell>
          <cell r="F119">
            <v>482901</v>
          </cell>
          <cell r="G119" t="str">
            <v>CON CEMENTO ASFALTICO</v>
          </cell>
        </row>
        <row r="120">
          <cell r="A120" t="str">
            <v>460.1</v>
          </cell>
          <cell r="B120" t="str">
            <v>FRESADO DE UN PAVIMENTO ASFALTICO</v>
          </cell>
          <cell r="C120" t="str">
            <v>M²</v>
          </cell>
          <cell r="D120">
            <v>2157</v>
          </cell>
          <cell r="E120" t="str">
            <v>3.6.4.15.2</v>
          </cell>
        </row>
        <row r="121">
          <cell r="A121" t="str">
            <v>460P</v>
          </cell>
          <cell r="B121" t="str">
            <v>FRESADO DE UN PAVIMENTO ASFALTICO</v>
          </cell>
          <cell r="C121" t="str">
            <v>M³</v>
          </cell>
          <cell r="D121">
            <v>42141</v>
          </cell>
          <cell r="E121" t="str">
            <v>3.6.4.15</v>
          </cell>
        </row>
        <row r="122">
          <cell r="A122" t="str">
            <v>461.1</v>
          </cell>
          <cell r="B122" t="str">
            <v>PAVIMENTO ASFALTICO RECICLADO EN FRIO EN EL LUGAR CON EMULSION ASFALTICA</v>
          </cell>
          <cell r="C122" t="str">
            <v>M³</v>
          </cell>
          <cell r="D122">
            <v>86372</v>
          </cell>
          <cell r="E122" t="str">
            <v>3.6.4.16.1</v>
          </cell>
          <cell r="F122">
            <v>194948</v>
          </cell>
          <cell r="G122" t="str">
            <v>CON EMULSION</v>
          </cell>
        </row>
        <row r="123">
          <cell r="A123" t="str">
            <v>461.2</v>
          </cell>
          <cell r="B123" t="str">
            <v>PAVIMENTO ASFALTICO RECICLADO EN FRIO EN EL LUGAR CON CEMENTO ASFALTICO ESPUMADO</v>
          </cell>
          <cell r="C123" t="str">
            <v>M³</v>
          </cell>
          <cell r="D123">
            <v>77593</v>
          </cell>
          <cell r="E123" t="str">
            <v>3.6.4.16.2</v>
          </cell>
          <cell r="F123">
            <v>289597</v>
          </cell>
          <cell r="G123" t="str">
            <v>CON CEMENTO ASFALTICO</v>
          </cell>
        </row>
        <row r="124">
          <cell r="A124" t="str">
            <v>462.1P</v>
          </cell>
          <cell r="B124" t="str">
            <v>PAVIMENTO ASFALTICO RECICLADO EN CALIENTE MDC-0</v>
          </cell>
          <cell r="C124" t="str">
            <v>M³</v>
          </cell>
          <cell r="D124">
            <v>180286</v>
          </cell>
          <cell r="E124" t="str">
            <v>3.6.4.17</v>
          </cell>
        </row>
        <row r="125">
          <cell r="A125" t="str">
            <v>462.2P</v>
          </cell>
          <cell r="B125" t="str">
            <v>PAVIMENTO ASFALTICO RECICLADO EN CALIENTE MDC-1</v>
          </cell>
          <cell r="C125" t="str">
            <v>M³</v>
          </cell>
          <cell r="D125">
            <v>180286</v>
          </cell>
          <cell r="E125" t="str">
            <v>3.6.4.17</v>
          </cell>
        </row>
        <row r="126">
          <cell r="A126" t="str">
            <v>462.3P</v>
          </cell>
          <cell r="B126" t="str">
            <v>PAVIMENTO ASFALTICO RECICLADO EN CALIENTE MDC-2</v>
          </cell>
          <cell r="C126" t="str">
            <v>M³</v>
          </cell>
          <cell r="D126">
            <v>180286</v>
          </cell>
          <cell r="E126" t="str">
            <v>3.6.4.17</v>
          </cell>
        </row>
        <row r="127">
          <cell r="A127" t="str">
            <v>462.4P</v>
          </cell>
          <cell r="B127" t="str">
            <v>PAVIMENTO ASFALTICO RECICLADO EN CALIENTE MDC-3</v>
          </cell>
          <cell r="C127" t="str">
            <v>M³</v>
          </cell>
          <cell r="D127">
            <v>180286</v>
          </cell>
          <cell r="E127" t="str">
            <v>3.6.4.17</v>
          </cell>
        </row>
        <row r="128">
          <cell r="A128" t="str">
            <v>462.5</v>
          </cell>
          <cell r="B128" t="str">
            <v>PAVIMENTO ASFALTICO RECICLADO EN CALIENTE PARA BACHEO</v>
          </cell>
          <cell r="C128" t="str">
            <v>M³</v>
          </cell>
          <cell r="D128">
            <v>0</v>
          </cell>
          <cell r="E128" t="str">
            <v>3.6.4.17</v>
          </cell>
        </row>
        <row r="129">
          <cell r="A129" t="str">
            <v>500.1</v>
          </cell>
          <cell r="B129" t="str">
            <v>PAVIMENTO DE CONCRETO HIDRAULICO</v>
          </cell>
          <cell r="C129" t="str">
            <v>M³</v>
          </cell>
          <cell r="D129">
            <v>722180</v>
          </cell>
          <cell r="E129" t="str">
            <v>3.6.5.1</v>
          </cell>
        </row>
        <row r="130">
          <cell r="A130" t="str">
            <v>510.1</v>
          </cell>
          <cell r="B130" t="str">
            <v>PAVIMENTO DE ADOQUINES DE CONCRETO</v>
          </cell>
          <cell r="C130" t="str">
            <v>M²</v>
          </cell>
          <cell r="D130">
            <v>61618</v>
          </cell>
          <cell r="E130" t="str">
            <v>3.6.5.2.10</v>
          </cell>
        </row>
        <row r="131">
          <cell r="A131" t="str">
            <v>510P1</v>
          </cell>
          <cell r="B131" t="str">
            <v>ADOQUIN GRAMA</v>
          </cell>
          <cell r="C131" t="str">
            <v>M²</v>
          </cell>
          <cell r="D131">
            <v>64639.765568181814</v>
          </cell>
          <cell r="E131" t="str">
            <v>3.6.5.2</v>
          </cell>
        </row>
        <row r="132">
          <cell r="A132" t="str">
            <v>510P2</v>
          </cell>
          <cell r="B132" t="str">
            <v>ADOQUIN COLOR</v>
          </cell>
          <cell r="C132" t="str">
            <v>M²</v>
          </cell>
          <cell r="D132">
            <v>69964.992499999993</v>
          </cell>
          <cell r="E132" t="str">
            <v>3.6.5.2.2</v>
          </cell>
        </row>
        <row r="133">
          <cell r="A133" t="str">
            <v>510P3</v>
          </cell>
          <cell r="B133" t="str">
            <v>DILATACION ADOQUIN</v>
          </cell>
          <cell r="C133" t="str">
            <v>M²</v>
          </cell>
          <cell r="D133">
            <v>10628.329833333333</v>
          </cell>
          <cell r="E133" t="str">
            <v>3.6.5.2</v>
          </cell>
        </row>
        <row r="134">
          <cell r="A134" t="str">
            <v>600.1</v>
          </cell>
          <cell r="B134" t="str">
            <v>EXCAVACIONES VARIAS SIN CLASIFICAR</v>
          </cell>
          <cell r="C134" t="str">
            <v>M³</v>
          </cell>
          <cell r="D134">
            <v>11285</v>
          </cell>
          <cell r="E134" t="str">
            <v>3.6.6.1.9</v>
          </cell>
        </row>
        <row r="135">
          <cell r="A135" t="str">
            <v>600.2</v>
          </cell>
          <cell r="B135" t="str">
            <v>EXCAVACIONES VARIAS EN ROCA EN SECO</v>
          </cell>
          <cell r="C135" t="str">
            <v>M³</v>
          </cell>
          <cell r="D135">
            <v>62298</v>
          </cell>
          <cell r="E135" t="str">
            <v>3.6.6.1.9</v>
          </cell>
        </row>
        <row r="136">
          <cell r="A136" t="str">
            <v>600.3</v>
          </cell>
          <cell r="B136" t="str">
            <v>EXCAVACIONES VARIAS EN ROCA BAJO AGUA</v>
          </cell>
          <cell r="C136" t="str">
            <v>M³</v>
          </cell>
          <cell r="D136">
            <v>65154</v>
          </cell>
          <cell r="E136" t="str">
            <v>3.6.6.1.9</v>
          </cell>
        </row>
        <row r="137">
          <cell r="A137" t="str">
            <v>600.4</v>
          </cell>
          <cell r="B137" t="str">
            <v>EXCAVACIONES VARIAS EN MATERIAL COMUN EN SECO</v>
          </cell>
          <cell r="C137" t="str">
            <v>M³</v>
          </cell>
          <cell r="D137">
            <v>11892</v>
          </cell>
          <cell r="E137" t="str">
            <v xml:space="preserve">3.6.6.1.10  </v>
          </cell>
        </row>
        <row r="138">
          <cell r="A138" t="str">
            <v>600.4P</v>
          </cell>
          <cell r="B138" t="str">
            <v>EXCAVACIONES VARIAS EN MATERIA COMUN EN SECO A MANO</v>
          </cell>
          <cell r="C138" t="str">
            <v>M³</v>
          </cell>
          <cell r="D138">
            <v>25985</v>
          </cell>
          <cell r="E138" t="str">
            <v>3.6.6.1</v>
          </cell>
        </row>
        <row r="139">
          <cell r="A139" t="str">
            <v>600.5</v>
          </cell>
          <cell r="B139" t="str">
            <v>EXCAVACIONES VARIAS EN MATERIAL COMUN BAJO AGUA</v>
          </cell>
          <cell r="C139" t="str">
            <v>M³</v>
          </cell>
          <cell r="D139">
            <v>31327</v>
          </cell>
          <cell r="E139" t="str">
            <v>3.6.6.1.11</v>
          </cell>
        </row>
        <row r="140">
          <cell r="A140" t="str">
            <v>600.5P</v>
          </cell>
          <cell r="B140" t="str">
            <v>EXCAVACIONES VARIAS EN MATERIAL COMUN BAJO AGUA A MANO</v>
          </cell>
          <cell r="C140" t="str">
            <v>M³</v>
          </cell>
          <cell r="D140">
            <v>43678</v>
          </cell>
          <cell r="E140" t="str">
            <v>3.6.6.1</v>
          </cell>
        </row>
        <row r="141">
          <cell r="A141" t="str">
            <v>610.1</v>
          </cell>
          <cell r="B141" t="str">
            <v>RELLENO PARA ESTRUCTURAS</v>
          </cell>
          <cell r="C141" t="str">
            <v>M³</v>
          </cell>
          <cell r="D141">
            <v>73249</v>
          </cell>
          <cell r="E141" t="str">
            <v xml:space="preserve">3.6.6.2.1   </v>
          </cell>
        </row>
        <row r="142">
          <cell r="A142" t="str">
            <v>610.2</v>
          </cell>
          <cell r="B142" t="str">
            <v>MATERIAL FILTRANTE</v>
          </cell>
          <cell r="C142" t="str">
            <v>M³</v>
          </cell>
          <cell r="D142">
            <v>103160</v>
          </cell>
          <cell r="E142" t="str">
            <v>3.6.6.2.4</v>
          </cell>
        </row>
        <row r="143">
          <cell r="A143" t="str">
            <v>620.1</v>
          </cell>
          <cell r="B143" t="str">
            <v>PILOTES PREFABRICADOS DE CONCRETO</v>
          </cell>
          <cell r="C143" t="str">
            <v>ML</v>
          </cell>
          <cell r="D143">
            <v>0</v>
          </cell>
          <cell r="E143" t="str">
            <v>3.6.6.3.1</v>
          </cell>
        </row>
        <row r="144">
          <cell r="A144" t="str">
            <v>620.2</v>
          </cell>
          <cell r="B144" t="str">
            <v>EXTENSION DE PILOTES PREFABRICADOS</v>
          </cell>
          <cell r="C144" t="str">
            <v>ML</v>
          </cell>
          <cell r="D144">
            <v>0</v>
          </cell>
          <cell r="E144" t="str">
            <v>3.6.6.3.2</v>
          </cell>
        </row>
        <row r="145">
          <cell r="A145" t="str">
            <v>620.3</v>
          </cell>
          <cell r="B145" t="str">
            <v>PRUEBA DE CARGA DE PILOTE PREFABRICADO</v>
          </cell>
          <cell r="C145" t="str">
            <v>ML</v>
          </cell>
          <cell r="D145">
            <v>0</v>
          </cell>
          <cell r="E145" t="str">
            <v>3.6.6.4.6</v>
          </cell>
        </row>
        <row r="146">
          <cell r="A146" t="str">
            <v>620P</v>
          </cell>
          <cell r="B146" t="str">
            <v>PILOTE EN MADERA DE D=15CM</v>
          </cell>
          <cell r="C146" t="str">
            <v>ML</v>
          </cell>
          <cell r="D146">
            <v>83178</v>
          </cell>
          <cell r="E146" t="str">
            <v>3.6.6.4</v>
          </cell>
        </row>
        <row r="147">
          <cell r="A147" t="str">
            <v>621.1</v>
          </cell>
          <cell r="B147" t="str">
            <v>PILOTE DE CONCRETO FUNDIDO EN SITIO D=1M L=15M</v>
          </cell>
          <cell r="C147" t="str">
            <v>ML</v>
          </cell>
          <cell r="D147">
            <v>1699634</v>
          </cell>
          <cell r="E147" t="str">
            <v>3.6.6.4.1</v>
          </cell>
        </row>
        <row r="148">
          <cell r="A148" t="str">
            <v>621.2</v>
          </cell>
          <cell r="B148" t="str">
            <v>BASE ACAMPANADA FUNDIDA EN SITIO</v>
          </cell>
          <cell r="C148" t="str">
            <v>M³</v>
          </cell>
          <cell r="D148">
            <v>1890166</v>
          </cell>
          <cell r="E148" t="str">
            <v>3.6.6.4.2</v>
          </cell>
        </row>
        <row r="149">
          <cell r="A149" t="str">
            <v>621.3</v>
          </cell>
          <cell r="B149" t="str">
            <v>PILOTE DE PRUEBA (EN SITIO)</v>
          </cell>
          <cell r="C149" t="str">
            <v>ML</v>
          </cell>
          <cell r="D149">
            <v>0</v>
          </cell>
          <cell r="E149" t="str">
            <v>3.6.6.4.3</v>
          </cell>
        </row>
        <row r="150">
          <cell r="A150" t="str">
            <v>621.4</v>
          </cell>
          <cell r="B150" t="str">
            <v>BASE ACAMPANADA DE PRUEBA (EN SITIO)</v>
          </cell>
          <cell r="C150" t="str">
            <v>M³</v>
          </cell>
          <cell r="D150">
            <v>0</v>
          </cell>
          <cell r="E150" t="str">
            <v xml:space="preserve"> 3.6.6.4.4</v>
          </cell>
        </row>
        <row r="151">
          <cell r="A151" t="str">
            <v>621.5</v>
          </cell>
          <cell r="B151" t="str">
            <v>CAMISA PERMANENTE DE DIAMETRO EXTERIOR</v>
          </cell>
          <cell r="C151" t="str">
            <v>ML</v>
          </cell>
          <cell r="D151">
            <v>2778394</v>
          </cell>
          <cell r="E151" t="str">
            <v>3.6.6.5.5</v>
          </cell>
        </row>
        <row r="152">
          <cell r="A152" t="str">
            <v>621.5P</v>
          </cell>
          <cell r="B152" t="str">
            <v>CAMISA PERMANENTE DE DIAMETRO INTERIOR D=1M EN CONCRETO</v>
          </cell>
          <cell r="C152" t="str">
            <v>ML</v>
          </cell>
          <cell r="D152">
            <v>708141</v>
          </cell>
          <cell r="E152" t="str">
            <v>3.6.6.4.5</v>
          </cell>
        </row>
        <row r="153">
          <cell r="A153" t="str">
            <v>621.6</v>
          </cell>
          <cell r="B153" t="str">
            <v>PRUEBA DE CARGA DE PILOTE FUNDIDO EN SITIO</v>
          </cell>
          <cell r="C153" t="str">
            <v>U</v>
          </cell>
          <cell r="D153">
            <v>0</v>
          </cell>
          <cell r="E153" t="str">
            <v xml:space="preserve"> 3.6.6.4.6 </v>
          </cell>
        </row>
        <row r="154">
          <cell r="A154" t="str">
            <v>621.7</v>
          </cell>
          <cell r="B154" t="str">
            <v>CAISSONS DE DIAMETRO INTERIOR 1,20 M EN CONCRETO CLASE C Y ANILLO E = 0,15 INCLUYE EXCAVACION BAJO AGUA Y BOMBEOS MAS PLASTIFICANTE SIKAMENT (SEGÚN REQUERIMIENTOS DE FABRICANTE) ( NO INCLUYE ACERO DE REFUERZO)</v>
          </cell>
          <cell r="C154" t="str">
            <v>M³</v>
          </cell>
          <cell r="D154">
            <v>1904399</v>
          </cell>
          <cell r="E154" t="str">
            <v>3.6.6.4</v>
          </cell>
        </row>
        <row r="155">
          <cell r="A155" t="str">
            <v>622.1</v>
          </cell>
          <cell r="B155" t="str">
            <v>TABLESTACADO DE MADERA</v>
          </cell>
          <cell r="C155" t="str">
            <v>M²</v>
          </cell>
          <cell r="D155">
            <v>123066</v>
          </cell>
          <cell r="E155" t="str">
            <v>3.6.6.5.1</v>
          </cell>
        </row>
        <row r="156">
          <cell r="A156" t="str">
            <v>622.2</v>
          </cell>
          <cell r="B156" t="str">
            <v>TABLESTACADO METALICO</v>
          </cell>
          <cell r="C156" t="str">
            <v>M²</v>
          </cell>
          <cell r="D156">
            <v>510796</v>
          </cell>
          <cell r="E156" t="str">
            <v>3.6.6.5.3</v>
          </cell>
        </row>
        <row r="157">
          <cell r="A157" t="str">
            <v>622.3</v>
          </cell>
          <cell r="B157" t="str">
            <v>TABLESTACADO DE CONCRETO REFORZADO</v>
          </cell>
          <cell r="C157" t="str">
            <v>M²</v>
          </cell>
          <cell r="D157">
            <v>298962</v>
          </cell>
          <cell r="E157" t="str">
            <v>3.6.6.5.2</v>
          </cell>
        </row>
        <row r="158">
          <cell r="A158" t="str">
            <v>622.4</v>
          </cell>
          <cell r="B158" t="str">
            <v>TABLESTACADO DE CONCRETO PREESFORZADO</v>
          </cell>
          <cell r="C158" t="str">
            <v>M²</v>
          </cell>
          <cell r="D158">
            <v>333276</v>
          </cell>
          <cell r="E158" t="str">
            <v>3.6.6.5.4 </v>
          </cell>
        </row>
        <row r="159">
          <cell r="A159" t="str">
            <v>622.5</v>
          </cell>
          <cell r="B159" t="str">
            <v>CORTE DEL EXTREMO SUPERIOR DEL ELEMENTO</v>
          </cell>
          <cell r="C159" t="str">
            <v>ML</v>
          </cell>
          <cell r="D159">
            <v>97200.74</v>
          </cell>
          <cell r="E159" t="str">
            <v>3.6.6.5.5</v>
          </cell>
        </row>
        <row r="160">
          <cell r="A160" t="str">
            <v>630.1</v>
          </cell>
          <cell r="B160" t="str">
            <v>CONCRETO CLASE A</v>
          </cell>
          <cell r="C160" t="str">
            <v>M³</v>
          </cell>
          <cell r="D160">
            <v>1200844</v>
          </cell>
          <cell r="E160" t="str">
            <v>3.6.6.6.8</v>
          </cell>
        </row>
        <row r="161">
          <cell r="A161" t="str">
            <v>630.2</v>
          </cell>
          <cell r="B161" t="str">
            <v>CONCRETO CLASE B</v>
          </cell>
          <cell r="C161" t="str">
            <v>M³</v>
          </cell>
          <cell r="D161">
            <v>1094189</v>
          </cell>
          <cell r="E161" t="str">
            <v>3.6.6.6.17</v>
          </cell>
        </row>
        <row r="162">
          <cell r="A162" t="str">
            <v>630.3</v>
          </cell>
          <cell r="B162" t="str">
            <v>CONCRETO CLASE C</v>
          </cell>
          <cell r="C162" t="str">
            <v>M³</v>
          </cell>
          <cell r="D162">
            <v>882756</v>
          </cell>
          <cell r="E162" t="str">
            <v xml:space="preserve"> 3.6.6.6.26</v>
          </cell>
        </row>
        <row r="163">
          <cell r="A163" t="str">
            <v>630.4</v>
          </cell>
          <cell r="B163" t="str">
            <v>CONCRETO CLASE D</v>
          </cell>
          <cell r="C163" t="str">
            <v>M³</v>
          </cell>
          <cell r="D163">
            <v>479577</v>
          </cell>
          <cell r="E163" t="str">
            <v xml:space="preserve">3.6.6.6.35 </v>
          </cell>
        </row>
        <row r="164">
          <cell r="A164" t="str">
            <v>630.5</v>
          </cell>
          <cell r="B164" t="str">
            <v>CONCRETO CLASE E</v>
          </cell>
          <cell r="C164" t="str">
            <v>M³</v>
          </cell>
          <cell r="D164">
            <v>442327</v>
          </cell>
          <cell r="E164" t="str">
            <v>3.6.6.6.44</v>
          </cell>
        </row>
        <row r="165">
          <cell r="A165" t="str">
            <v>630.6</v>
          </cell>
          <cell r="B165" t="str">
            <v>CONCRETO CLASE F</v>
          </cell>
          <cell r="C165" t="str">
            <v>M³</v>
          </cell>
          <cell r="D165">
            <v>340016</v>
          </cell>
          <cell r="E165" t="str">
            <v>3.6.6.6.46</v>
          </cell>
        </row>
        <row r="166">
          <cell r="A166" t="str">
            <v>630.7</v>
          </cell>
          <cell r="B166" t="str">
            <v>CONCRETO CLASE G</v>
          </cell>
          <cell r="C166" t="str">
            <v>M³</v>
          </cell>
          <cell r="D166">
            <v>356076</v>
          </cell>
          <cell r="E166" t="str">
            <v>3.6.6.6.47</v>
          </cell>
        </row>
        <row r="167">
          <cell r="A167" t="str">
            <v>630P</v>
          </cell>
          <cell r="B167" t="str">
            <v>MORTERO 1.3</v>
          </cell>
          <cell r="C167" t="str">
            <v>M³</v>
          </cell>
          <cell r="D167">
            <v>355631</v>
          </cell>
          <cell r="E167" t="str">
            <v>3.3.5.3.6</v>
          </cell>
        </row>
        <row r="168">
          <cell r="A168" t="str">
            <v>631P</v>
          </cell>
          <cell r="B168" t="str">
            <v>BOLSACRETOS</v>
          </cell>
          <cell r="C168" t="str">
            <v>M³</v>
          </cell>
          <cell r="D168">
            <v>625514.01791666669</v>
          </cell>
          <cell r="E168" t="str">
            <v>3.6.6.21.2</v>
          </cell>
        </row>
        <row r="169">
          <cell r="A169" t="str">
            <v>632.1</v>
          </cell>
          <cell r="B169" t="str">
            <v>BARANDA DE CONCRETO 0.15*0.20</v>
          </cell>
          <cell r="C169" t="str">
            <v>ML</v>
          </cell>
          <cell r="D169">
            <v>113773</v>
          </cell>
          <cell r="E169" t="str">
            <v>3.6.6.7.1</v>
          </cell>
        </row>
        <row r="170">
          <cell r="A170" t="str">
            <v>632P</v>
          </cell>
          <cell r="B170" t="str">
            <v>BARANDA METALICA</v>
          </cell>
          <cell r="C170" t="str">
            <v>ML</v>
          </cell>
          <cell r="D170">
            <v>330104</v>
          </cell>
          <cell r="E170" t="str">
            <v>3.6.6.11</v>
          </cell>
        </row>
        <row r="171">
          <cell r="A171" t="str">
            <v>640.1</v>
          </cell>
          <cell r="B171" t="str">
            <v>ACERO DE REFUERZO GRADO 37</v>
          </cell>
          <cell r="C171" t="str">
            <v>KG</v>
          </cell>
          <cell r="D171">
            <v>3298</v>
          </cell>
          <cell r="E171" t="str">
            <v>3.6.6.8.1 </v>
          </cell>
        </row>
        <row r="172">
          <cell r="A172" t="str">
            <v>640.2</v>
          </cell>
          <cell r="B172" t="str">
            <v>ACERO DE REFUERZO GRADO 40</v>
          </cell>
          <cell r="C172" t="str">
            <v>KG</v>
          </cell>
          <cell r="D172">
            <v>3298</v>
          </cell>
          <cell r="E172" t="str">
            <v> 3.6.6.8.2 </v>
          </cell>
        </row>
        <row r="173">
          <cell r="A173" t="str">
            <v>640.3</v>
          </cell>
          <cell r="B173" t="str">
            <v>ACERO DE REFUERZO GRADO 60</v>
          </cell>
          <cell r="C173" t="str">
            <v>KG</v>
          </cell>
          <cell r="D173">
            <v>3298</v>
          </cell>
          <cell r="E173" t="str">
            <v> 3.6.6.8.3 </v>
          </cell>
        </row>
        <row r="174">
          <cell r="A174" t="str">
            <v>641.1</v>
          </cell>
          <cell r="B174" t="str">
            <v>ACERO DE PREESFUERZO</v>
          </cell>
          <cell r="C174" t="str">
            <v>TON-M</v>
          </cell>
          <cell r="D174">
            <v>1096</v>
          </cell>
          <cell r="E174" t="str">
            <v>3.6.6.9.1</v>
          </cell>
        </row>
        <row r="175">
          <cell r="A175" t="str">
            <v>641.1P</v>
          </cell>
          <cell r="B175" t="str">
            <v>ANCLAJE EN ROCA DE D=4" CON 3 TORONES DE 1/2" POSTENSADOS</v>
          </cell>
          <cell r="C175" t="str">
            <v>TON-M</v>
          </cell>
          <cell r="D175">
            <v>303033</v>
          </cell>
          <cell r="E175" t="str">
            <v>3.6.6.9</v>
          </cell>
        </row>
        <row r="176">
          <cell r="A176" t="str">
            <v>642.1</v>
          </cell>
          <cell r="B176" t="str">
            <v>APOYO ELASTOMERICO</v>
          </cell>
          <cell r="C176" t="str">
            <v>U (DM³)</v>
          </cell>
          <cell r="D176">
            <v>502159</v>
          </cell>
          <cell r="E176" t="str">
            <v>3.6.6.10.1</v>
          </cell>
        </row>
        <row r="177">
          <cell r="A177" t="str">
            <v>642.2</v>
          </cell>
          <cell r="B177" t="str">
            <v>SELLO PARA JUNTAS DE PUENTES</v>
          </cell>
          <cell r="C177" t="str">
            <v>ML</v>
          </cell>
          <cell r="D177">
            <v>39246</v>
          </cell>
          <cell r="E177" t="str">
            <v>3.6.6.10.2</v>
          </cell>
        </row>
        <row r="178">
          <cell r="A178" t="str">
            <v>642P1</v>
          </cell>
          <cell r="B178" t="str">
            <v>CONSTRUCCION JUNTAS ELASTOMERICAS DE 30CM DE ANCHO</v>
          </cell>
          <cell r="C178" t="str">
            <v>ML</v>
          </cell>
          <cell r="D178">
            <v>747193</v>
          </cell>
          <cell r="E178" t="str">
            <v>3.6.6.10</v>
          </cell>
        </row>
        <row r="179">
          <cell r="A179" t="str">
            <v>642P2</v>
          </cell>
          <cell r="B179" t="str">
            <v>JUNTAS ELASTOMERICAS M100</v>
          </cell>
          <cell r="C179" t="str">
            <v>ML</v>
          </cell>
          <cell r="D179">
            <v>1819600.6764874654</v>
          </cell>
          <cell r="E179" t="str">
            <v>3.6.6.10</v>
          </cell>
        </row>
        <row r="180">
          <cell r="A180" t="str">
            <v>642P3</v>
          </cell>
          <cell r="B180" t="str">
            <v>JUNTAS ELASTOMERICAS M60</v>
          </cell>
          <cell r="C180" t="str">
            <v>ML</v>
          </cell>
          <cell r="D180">
            <v>1552934.5736303227</v>
          </cell>
          <cell r="E180" t="str">
            <v>3.6.6.10</v>
          </cell>
        </row>
        <row r="181">
          <cell r="A181" t="str">
            <v>650.1</v>
          </cell>
          <cell r="B181" t="str">
            <v>DISEÑO Y FABRICACION DE ESTRUCTURA METALICA</v>
          </cell>
          <cell r="C181" t="str">
            <v>KG</v>
          </cell>
          <cell r="D181">
            <v>15579</v>
          </cell>
          <cell r="E181" t="str">
            <v>3.6.6.11.1</v>
          </cell>
        </row>
        <row r="182">
          <cell r="A182" t="str">
            <v>650.2</v>
          </cell>
          <cell r="B182" t="str">
            <v>FABRICACION DE LA ESTRUCTURA METALICA</v>
          </cell>
          <cell r="C182" t="str">
            <v>KG</v>
          </cell>
          <cell r="D182">
            <v>10761</v>
          </cell>
          <cell r="E182" t="str">
            <v>3.6.6.11.2</v>
          </cell>
        </row>
        <row r="183">
          <cell r="A183" t="str">
            <v>650.3</v>
          </cell>
          <cell r="B183" t="str">
            <v>TRANSPORTE DE LA ESTRUCTURA METALICA</v>
          </cell>
          <cell r="C183" t="str">
            <v>KG</v>
          </cell>
          <cell r="D183">
            <v>0.65</v>
          </cell>
          <cell r="E183" t="str">
            <v>3.6.6.11.7</v>
          </cell>
        </row>
        <row r="184">
          <cell r="A184" t="str">
            <v>650.3 OTRO</v>
          </cell>
          <cell r="B184" t="str">
            <v>TRANSPORTE DE LA ESTRUCTURA METALICA</v>
          </cell>
          <cell r="C184" t="str">
            <v>KG</v>
          </cell>
          <cell r="D184">
            <v>1</v>
          </cell>
          <cell r="E184" t="str">
            <v>3.6.6.11.7</v>
          </cell>
        </row>
        <row r="185">
          <cell r="A185" t="str">
            <v>650.4</v>
          </cell>
          <cell r="B185" t="str">
            <v>MONTAJE Y PINTURA DE ESTRUCTURA METALICA</v>
          </cell>
          <cell r="C185" t="str">
            <v>KG</v>
          </cell>
          <cell r="D185">
            <v>3532</v>
          </cell>
          <cell r="E185" t="str">
            <v>3.6.6.11.6</v>
          </cell>
        </row>
        <row r="186">
          <cell r="A186" t="str">
            <v>660.1</v>
          </cell>
          <cell r="B186" t="str">
            <v>TUBERIA DE CONCRETO SIMPLE 450 MM</v>
          </cell>
          <cell r="C186" t="str">
            <v>ML</v>
          </cell>
          <cell r="D186">
            <v>0</v>
          </cell>
          <cell r="E186" t="str">
            <v>3.6.6.12.9 </v>
          </cell>
        </row>
        <row r="187">
          <cell r="A187" t="str">
            <v>660.2</v>
          </cell>
          <cell r="B187" t="str">
            <v>TUBERIA DE CONCRETO SIMPLE 600 MM</v>
          </cell>
          <cell r="C187" t="str">
            <v>ML</v>
          </cell>
          <cell r="D187">
            <v>408511</v>
          </cell>
          <cell r="E187" t="str">
            <v>3.6.6.12.8</v>
          </cell>
        </row>
        <row r="188">
          <cell r="A188" t="str">
            <v>660.3</v>
          </cell>
          <cell r="B188" t="str">
            <v>TUBERIA DE CONCRETO SIMPLE 750 MM</v>
          </cell>
          <cell r="C188" t="str">
            <v>ML</v>
          </cell>
          <cell r="D188">
            <v>0</v>
          </cell>
          <cell r="E188" t="str">
            <v>3.6.6.12.9</v>
          </cell>
        </row>
        <row r="189">
          <cell r="A189" t="str">
            <v>661.1</v>
          </cell>
          <cell r="B189" t="str">
            <v>TUBERIA DE CONCRETO REFORZADO 900 MM (TIPO 1)</v>
          </cell>
          <cell r="C189" t="str">
            <v>ML</v>
          </cell>
          <cell r="D189">
            <v>503041</v>
          </cell>
          <cell r="E189" t="str">
            <v>3.6.6.13.4</v>
          </cell>
        </row>
        <row r="190">
          <cell r="A190" t="str">
            <v>661.2</v>
          </cell>
          <cell r="B190" t="str">
            <v>TUBERIA DE CONCRETO REFORZADO 900 MM (TIPO 2)</v>
          </cell>
          <cell r="C190" t="str">
            <v>ML</v>
          </cell>
          <cell r="D190">
            <v>513271</v>
          </cell>
          <cell r="E190" t="str">
            <v>3.6.6.13.20</v>
          </cell>
        </row>
        <row r="191">
          <cell r="A191" t="str">
            <v>661 OTRO</v>
          </cell>
          <cell r="B191" t="str">
            <v>TUBERIA DE CONCRETO REFORZADO 900 MM</v>
          </cell>
          <cell r="C191" t="str">
            <v>ML</v>
          </cell>
          <cell r="D191">
            <v>463346</v>
          </cell>
          <cell r="E191" t="str">
            <v>3.6.6.13</v>
          </cell>
        </row>
        <row r="192">
          <cell r="A192" t="str">
            <v>662.1</v>
          </cell>
          <cell r="B192" t="str">
            <v>TUBERIA CORRUGADA DE ACERO GALVANIZADO</v>
          </cell>
          <cell r="C192" t="str">
            <v>ML</v>
          </cell>
          <cell r="D192">
            <v>866382</v>
          </cell>
          <cell r="E192" t="str">
            <v>3.3.14.19.1</v>
          </cell>
        </row>
        <row r="193">
          <cell r="A193" t="str">
            <v>662.2</v>
          </cell>
          <cell r="B193" t="str">
            <v>TUBERIA CORRUGADA DE ACERO CON RECUBRIMIENTO</v>
          </cell>
          <cell r="C193" t="str">
            <v>ML</v>
          </cell>
          <cell r="D193">
            <v>0</v>
          </cell>
          <cell r="E193" t="str">
            <v>3.6.6.14</v>
          </cell>
        </row>
        <row r="194">
          <cell r="A194" t="str">
            <v>670.1P</v>
          </cell>
          <cell r="B194" t="str">
            <v>DISIPADOR DE ENERGIA Y SEDIMENTADOR EN GAVIONES (con recubrimiento)</v>
          </cell>
          <cell r="C194" t="str">
            <v>M³</v>
          </cell>
          <cell r="D194">
            <v>280169</v>
          </cell>
          <cell r="E194" t="str">
            <v>3.6.6.15.2</v>
          </cell>
        </row>
        <row r="195">
          <cell r="A195" t="str">
            <v>670.2</v>
          </cell>
          <cell r="B195" t="str">
            <v>DISIPADOR DE ENERGIA Y SEDIMENTADOR EN CONCRETO CICLOPEO</v>
          </cell>
          <cell r="C195" t="str">
            <v>M³</v>
          </cell>
          <cell r="D195">
            <v>526293</v>
          </cell>
          <cell r="E195" t="str">
            <v>3.6.6.15.2</v>
          </cell>
        </row>
        <row r="196">
          <cell r="A196" t="str">
            <v>671.1</v>
          </cell>
          <cell r="B196" t="str">
            <v>CUNETAS DE CONCRETO FUNDIDA EN SITIO</v>
          </cell>
          <cell r="C196" t="str">
            <v>M³</v>
          </cell>
          <cell r="D196">
            <v>496161</v>
          </cell>
          <cell r="E196" t="str">
            <v>3.6.6.16.1</v>
          </cell>
        </row>
        <row r="197">
          <cell r="A197" t="str">
            <v>672.1</v>
          </cell>
          <cell r="B197" t="str">
            <v>BORDILLOS</v>
          </cell>
          <cell r="C197" t="str">
            <v>ML</v>
          </cell>
          <cell r="D197">
            <v>73351</v>
          </cell>
          <cell r="E197" t="str">
            <v>3.6.6.19.2</v>
          </cell>
        </row>
        <row r="198">
          <cell r="A198" t="str">
            <v>673.1</v>
          </cell>
          <cell r="B198" t="str">
            <v>MATERIAL DRENANTE</v>
          </cell>
          <cell r="C198" t="str">
            <v>M³</v>
          </cell>
          <cell r="D198">
            <v>110857</v>
          </cell>
          <cell r="E198" t="str">
            <v>3.6.6.19.2</v>
          </cell>
        </row>
        <row r="199">
          <cell r="A199" t="str">
            <v>673.2</v>
          </cell>
          <cell r="B199" t="str">
            <v>GEOTEXTIL</v>
          </cell>
          <cell r="C199" t="str">
            <v>M²</v>
          </cell>
          <cell r="D199">
            <v>6003</v>
          </cell>
          <cell r="E199" t="str">
            <v>3.6.8.1.2</v>
          </cell>
        </row>
        <row r="200">
          <cell r="A200" t="str">
            <v>673.3</v>
          </cell>
          <cell r="B200" t="str">
            <v>MATERIAL DE COBERTURA</v>
          </cell>
          <cell r="C200" t="str">
            <v>M³</v>
          </cell>
          <cell r="D200">
            <v>101281</v>
          </cell>
          <cell r="E200" t="str">
            <v>3.6.8.1.2</v>
          </cell>
        </row>
        <row r="201">
          <cell r="A201" t="str">
            <v>674.1</v>
          </cell>
          <cell r="B201" t="str">
            <v>DRENES HORIZONTALES TUBERIA PERFORADA 2"</v>
          </cell>
          <cell r="C201" t="str">
            <v>M²</v>
          </cell>
          <cell r="D201">
            <v>123342</v>
          </cell>
          <cell r="E201" t="str">
            <v>3.6.6.20.1</v>
          </cell>
        </row>
        <row r="202">
          <cell r="A202" t="str">
            <v>675.1</v>
          </cell>
          <cell r="B202" t="str">
            <v>GEOTEXTIL PARA PAVIMENTACION Y REPAVIMENTACION</v>
          </cell>
          <cell r="C202" t="str">
            <v>M²</v>
          </cell>
          <cell r="D202">
            <v>5388</v>
          </cell>
          <cell r="E202" t="str">
            <v> 3.6.8.2.6 </v>
          </cell>
        </row>
        <row r="203">
          <cell r="A203" t="str">
            <v>675.2</v>
          </cell>
          <cell r="B203" t="str">
            <v>EMULSION ASFALTICA PARA RETENCION DE GEOTEXTILES</v>
          </cell>
          <cell r="C203" t="str">
            <v>LT</v>
          </cell>
          <cell r="D203">
            <v>2467</v>
          </cell>
          <cell r="E203" t="str">
            <v>3.6.4.2</v>
          </cell>
        </row>
        <row r="204">
          <cell r="A204" t="str">
            <v>675.3</v>
          </cell>
          <cell r="B204" t="str">
            <v>CEMENTO ASFALTICO PARA RETENCION DE GEOTEXTILES</v>
          </cell>
          <cell r="C204" t="str">
            <v>KG</v>
          </cell>
          <cell r="D204">
            <v>1969</v>
          </cell>
          <cell r="E204" t="str">
            <v>3.6.4.1.2</v>
          </cell>
        </row>
        <row r="205">
          <cell r="A205" t="str">
            <v>676.1</v>
          </cell>
          <cell r="B205" t="str">
            <v>GEOTEXTIL PARA ESTABILIZACION DE SUELOS DE SUBRASANTE Y CAPAS GRANULARES</v>
          </cell>
          <cell r="C205" t="str">
            <v>M²</v>
          </cell>
          <cell r="D205">
            <v>7273</v>
          </cell>
          <cell r="E205" t="str">
            <v> 3.6.8.2.2 </v>
          </cell>
        </row>
        <row r="206">
          <cell r="A206" t="str">
            <v>680.1</v>
          </cell>
          <cell r="B206" t="str">
            <v>ESCAMAS EN CONCRETO</v>
          </cell>
          <cell r="C206" t="str">
            <v>M²</v>
          </cell>
          <cell r="D206">
            <v>218504</v>
          </cell>
          <cell r="E206" t="str">
            <v>3.6.6.20.1</v>
          </cell>
        </row>
        <row r="207">
          <cell r="A207" t="str">
            <v>680.2</v>
          </cell>
          <cell r="B207" t="str">
            <v>ARMADURA GALVANIZADA</v>
          </cell>
          <cell r="C207" t="str">
            <v>ML</v>
          </cell>
          <cell r="D207">
            <v>7694</v>
          </cell>
          <cell r="E207" t="str">
            <v>3.6.6.20.2</v>
          </cell>
        </row>
        <row r="208">
          <cell r="A208" t="str">
            <v>680.3</v>
          </cell>
          <cell r="B208" t="str">
            <v>RELLENO GRANULAR PARA TIERRA ARMADA</v>
          </cell>
          <cell r="C208" t="str">
            <v>M³</v>
          </cell>
          <cell r="D208">
            <v>72423</v>
          </cell>
          <cell r="E208" t="str">
            <v>3.6.6.20.3</v>
          </cell>
        </row>
        <row r="209">
          <cell r="A209" t="str">
            <v>681.1</v>
          </cell>
          <cell r="B209" t="str">
            <v>GAVIONES</v>
          </cell>
          <cell r="C209" t="str">
            <v>M³</v>
          </cell>
          <cell r="D209">
            <v>199765</v>
          </cell>
          <cell r="E209" t="str">
            <v xml:space="preserve">3.6.6.21.1  </v>
          </cell>
        </row>
        <row r="210">
          <cell r="A210" t="str">
            <v>682.1</v>
          </cell>
          <cell r="B210" t="str">
            <v>COLCHOGAVION</v>
          </cell>
          <cell r="C210" t="str">
            <v>M³</v>
          </cell>
          <cell r="D210">
            <v>204705</v>
          </cell>
          <cell r="E210" t="str">
            <v>3.2.7.5.3</v>
          </cell>
        </row>
        <row r="211">
          <cell r="A211" t="str">
            <v>674.2</v>
          </cell>
          <cell r="B211" t="str">
            <v>DRENES HORIZONTALES TUBERIA PERFORADA 2" SIN CLASIFICAR</v>
          </cell>
          <cell r="C211" t="str">
            <v>ML</v>
          </cell>
          <cell r="D211">
            <v>121259</v>
          </cell>
          <cell r="E211" t="str">
            <v>3.6.6.20.2</v>
          </cell>
        </row>
        <row r="212">
          <cell r="A212" t="str">
            <v>700.1</v>
          </cell>
          <cell r="B212" t="str">
            <v>LINEA DE DEMARCACION</v>
          </cell>
          <cell r="C212" t="str">
            <v>ML</v>
          </cell>
          <cell r="D212">
            <v>2576</v>
          </cell>
          <cell r="E212" t="str">
            <v>3.6.7.1.1</v>
          </cell>
        </row>
        <row r="213">
          <cell r="A213" t="str">
            <v>700.2</v>
          </cell>
          <cell r="B213" t="str">
            <v>MARCA VIAL</v>
          </cell>
          <cell r="C213" t="str">
            <v>M²</v>
          </cell>
          <cell r="D213">
            <v>39736</v>
          </cell>
          <cell r="E213" t="str">
            <v>3.6.7.1.6</v>
          </cell>
        </row>
        <row r="214">
          <cell r="A214" t="str">
            <v>700P</v>
          </cell>
          <cell r="B214" t="str">
            <v>BANDAS SONORAS REDUCTORAS DE VELOCIDAD</v>
          </cell>
          <cell r="C214" t="str">
            <v>M²</v>
          </cell>
          <cell r="D214">
            <v>154345.0675</v>
          </cell>
          <cell r="E214" t="str">
            <v>3.6.7</v>
          </cell>
        </row>
        <row r="215">
          <cell r="A215" t="str">
            <v>701.1</v>
          </cell>
          <cell r="B215" t="str">
            <v>TACHAS REFLECTIVAS</v>
          </cell>
          <cell r="C215" t="str">
            <v>U</v>
          </cell>
          <cell r="D215">
            <v>6606</v>
          </cell>
          <cell r="E215" t="str">
            <v>3.6.7.2.1</v>
          </cell>
        </row>
        <row r="216">
          <cell r="A216" t="str">
            <v>710.1</v>
          </cell>
          <cell r="B216" t="str">
            <v>SEÑALES DE TRANSITO GRUPO 1 (75*75)</v>
          </cell>
          <cell r="C216" t="str">
            <v>U</v>
          </cell>
          <cell r="D216">
            <v>310803</v>
          </cell>
          <cell r="E216" t="str">
            <v>3.6.7.3.13</v>
          </cell>
        </row>
        <row r="217">
          <cell r="A217" t="str">
            <v>710.2</v>
          </cell>
          <cell r="B217" t="str">
            <v>SEÑALES DE TRANSITO GRUPO 2 (1.20*0.4)</v>
          </cell>
          <cell r="C217" t="str">
            <v>U</v>
          </cell>
          <cell r="D217">
            <v>381029</v>
          </cell>
          <cell r="E217" t="str">
            <v>3.6.7.3</v>
          </cell>
        </row>
        <row r="218">
          <cell r="A218" t="str">
            <v>710.3</v>
          </cell>
          <cell r="B218" t="str">
            <v>SEÑALES DE TRANSITO GRUPO 3 (SP-54 LA FERREA)</v>
          </cell>
          <cell r="C218" t="str">
            <v>U</v>
          </cell>
          <cell r="D218">
            <v>381029</v>
          </cell>
          <cell r="E218" t="str">
            <v>3.6.7.3</v>
          </cell>
        </row>
        <row r="219">
          <cell r="A219" t="str">
            <v>710.4</v>
          </cell>
          <cell r="B219" t="str">
            <v>SEÑALES DE TRANSITO GRUPO 4 (DELINEADORES DE CURVA)</v>
          </cell>
          <cell r="C219" t="str">
            <v>U</v>
          </cell>
          <cell r="D219">
            <v>286926</v>
          </cell>
          <cell r="E219" t="str">
            <v>3.6.7.3</v>
          </cell>
        </row>
        <row r="220">
          <cell r="A220" t="str">
            <v>710.5</v>
          </cell>
          <cell r="B220" t="str">
            <v>SEÑALES DE TRANSITO GRUPO 5 (INFORMATIVAS)</v>
          </cell>
          <cell r="C220" t="str">
            <v>M²</v>
          </cell>
          <cell r="D220">
            <v>377077</v>
          </cell>
          <cell r="E220" t="str">
            <v>3.6.7.3</v>
          </cell>
        </row>
        <row r="221">
          <cell r="A221" t="str">
            <v>720.1</v>
          </cell>
          <cell r="B221" t="str">
            <v>POSTE DE KILOMETRAJE</v>
          </cell>
          <cell r="C221" t="str">
            <v>U</v>
          </cell>
          <cell r="D221">
            <v>80114</v>
          </cell>
          <cell r="E221" t="str">
            <v>3.6.7.4.1</v>
          </cell>
        </row>
        <row r="222">
          <cell r="A222" t="str">
            <v>730.1</v>
          </cell>
          <cell r="B222" t="str">
            <v>DEFENSAS METALICAS</v>
          </cell>
          <cell r="C222" t="str">
            <v>ML</v>
          </cell>
          <cell r="D222">
            <v>147500</v>
          </cell>
          <cell r="E222" t="str">
            <v>3.6.7.5.1</v>
          </cell>
        </row>
        <row r="223">
          <cell r="A223" t="str">
            <v>730.2</v>
          </cell>
          <cell r="B223" t="str">
            <v>SECCION FINAL DE DEFENSAS METALICAS</v>
          </cell>
          <cell r="C223" t="str">
            <v>U</v>
          </cell>
          <cell r="D223">
            <v>67302</v>
          </cell>
          <cell r="E223" t="str">
            <v>3.6.7.5.2</v>
          </cell>
        </row>
        <row r="224">
          <cell r="A224" t="str">
            <v>740.1</v>
          </cell>
          <cell r="B224" t="str">
            <v>CAPTAFAROS</v>
          </cell>
          <cell r="C224" t="str">
            <v>U</v>
          </cell>
          <cell r="D224">
            <v>14660</v>
          </cell>
          <cell r="E224" t="str">
            <v>3.6.7.6.1</v>
          </cell>
        </row>
        <row r="225">
          <cell r="A225" t="str">
            <v>800.1</v>
          </cell>
          <cell r="B225" t="str">
            <v>CERCA DE ALAMBRE DE PUAS CON POSTES DE MADERA</v>
          </cell>
          <cell r="C225" t="str">
            <v>ML</v>
          </cell>
          <cell r="D225">
            <v>12216</v>
          </cell>
          <cell r="E225" t="str">
            <v>3.6.9.1.4</v>
          </cell>
        </row>
        <row r="226">
          <cell r="A226" t="str">
            <v>800.2</v>
          </cell>
          <cell r="B226" t="str">
            <v>CERCA DE ALAMBRE DE PUAS CON POSTES DE CONCRETO</v>
          </cell>
          <cell r="C226" t="str">
            <v>ML</v>
          </cell>
          <cell r="D226">
            <v>21506</v>
          </cell>
          <cell r="E226" t="str">
            <v>3.6.9.1.10</v>
          </cell>
        </row>
        <row r="227">
          <cell r="A227" t="str">
            <v>800.3</v>
          </cell>
          <cell r="B227" t="str">
            <v>CERCAS DE MALLA CON POSTES DE MADERA</v>
          </cell>
          <cell r="C227" t="str">
            <v>ML</v>
          </cell>
          <cell r="D227">
            <v>21704</v>
          </cell>
          <cell r="E227" t="str">
            <v>3.6.9.1.6</v>
          </cell>
        </row>
        <row r="228">
          <cell r="A228" t="str">
            <v>800.4</v>
          </cell>
          <cell r="B228" t="str">
            <v>CERCAS DE MALLA CON POSTES DE CONCRETO</v>
          </cell>
          <cell r="C228" t="str">
            <v>ML</v>
          </cell>
          <cell r="D228">
            <v>34468</v>
          </cell>
          <cell r="E228" t="str">
            <v>3.6.9.1.13</v>
          </cell>
        </row>
        <row r="229">
          <cell r="A229" t="str">
            <v>800P</v>
          </cell>
          <cell r="B229" t="str">
            <v>CERRAMIENTO EN MALLA ESLABONADA</v>
          </cell>
          <cell r="C229" t="str">
            <v>ML</v>
          </cell>
          <cell r="D229">
            <v>81449.287833333336</v>
          </cell>
          <cell r="E229" t="str">
            <v>3.6.9.1.30</v>
          </cell>
        </row>
        <row r="230">
          <cell r="A230" t="str">
            <v>810.1</v>
          </cell>
          <cell r="B230" t="str">
            <v>EMPRADIZACION DE TALUDES CON BLOQUES DE CESPED</v>
          </cell>
          <cell r="C230" t="str">
            <v>M²</v>
          </cell>
          <cell r="D230">
            <v>6845</v>
          </cell>
          <cell r="E230" t="str">
            <v>3.6.9.2.1</v>
          </cell>
        </row>
        <row r="231">
          <cell r="A231" t="str">
            <v>810.1P</v>
          </cell>
          <cell r="B231" t="str">
            <v>EMPRADIZACION DE TALUDES CON BIOMANTO</v>
          </cell>
          <cell r="C231" t="str">
            <v>M²</v>
          </cell>
          <cell r="D231">
            <v>11405</v>
          </cell>
          <cell r="E231" t="str">
            <v> 3.6.9.2</v>
          </cell>
        </row>
        <row r="232">
          <cell r="A232" t="str">
            <v>810.2</v>
          </cell>
          <cell r="B232" t="str">
            <v>EMPRADIZACION DE TALUDES CON TIERRA ORGANICA Y SEMILLAS</v>
          </cell>
          <cell r="C232" t="str">
            <v>M²</v>
          </cell>
          <cell r="D232">
            <v>16988</v>
          </cell>
          <cell r="E232" t="str">
            <v>3.6.9.2.2</v>
          </cell>
        </row>
        <row r="233">
          <cell r="A233" t="str">
            <v>810.2P</v>
          </cell>
          <cell r="B233" t="str">
            <v>EMPEDRADO PARA TALUDES</v>
          </cell>
          <cell r="C233" t="str">
            <v>M²</v>
          </cell>
          <cell r="D233">
            <v>55627.520000000004</v>
          </cell>
          <cell r="E233" t="str">
            <v> 3.6.9.2</v>
          </cell>
        </row>
        <row r="234">
          <cell r="A234" t="str">
            <v>812.1</v>
          </cell>
          <cell r="B234" t="str">
            <v>RECUBRIMIENTO DE TALUD CON MALLA Y MORTERO 1:4 DE e= 5 cm.</v>
          </cell>
          <cell r="C234" t="str">
            <v>M²</v>
          </cell>
          <cell r="D234">
            <v>69246</v>
          </cell>
          <cell r="E234" t="str">
            <v> 3.3.6.10.3 </v>
          </cell>
        </row>
        <row r="235">
          <cell r="A235" t="str">
            <v>815P</v>
          </cell>
          <cell r="B235" t="str">
            <v>ARBORIZACION</v>
          </cell>
          <cell r="C235" t="str">
            <v>U</v>
          </cell>
          <cell r="D235">
            <v>34301</v>
          </cell>
          <cell r="E235" t="str">
            <v>3.2.10.3</v>
          </cell>
        </row>
        <row r="236">
          <cell r="A236" t="str">
            <v>900.1</v>
          </cell>
          <cell r="B236" t="str">
            <v>TRANSPORTE DE MATERIALES PROVENIENTES DE LA EXPLAN, CANAL, PRESTA ENTRE 100 Y 1000 M</v>
          </cell>
          <cell r="C236" t="str">
            <v>M³-ESTACION</v>
          </cell>
          <cell r="D236">
            <v>1828</v>
          </cell>
          <cell r="E236" t="str">
            <v xml:space="preserve">3.6.9.3.1   </v>
          </cell>
        </row>
        <row r="237">
          <cell r="A237" t="str">
            <v>900.2</v>
          </cell>
          <cell r="B237" t="str">
            <v>TRANSPORTE DE MATERIALES PROVENIENTES DE LA EXPLAN, CANAL, PRESTA MAYOR A 1000 M</v>
          </cell>
          <cell r="C237" t="str">
            <v>M³-KM</v>
          </cell>
          <cell r="D237">
            <v>1239</v>
          </cell>
          <cell r="E237" t="str">
            <v xml:space="preserve">3.6.9.3.1   </v>
          </cell>
        </row>
        <row r="238">
          <cell r="A238" t="str">
            <v>900.3</v>
          </cell>
          <cell r="B238" t="str">
            <v>TRANSPORTE DE MATERIAL PROVENIENTE DE DERRUMBES</v>
          </cell>
          <cell r="C238" t="str">
            <v>M³-KM</v>
          </cell>
          <cell r="D238">
            <v>1239</v>
          </cell>
          <cell r="E238" t="str">
            <v xml:space="preserve">3.6.9.3.1   </v>
          </cell>
        </row>
        <row r="239">
          <cell r="A239" t="str">
            <v>680P</v>
          </cell>
          <cell r="B239" t="str">
            <v>MURO TIERRA ARMADA CON GEOTEXTIL</v>
          </cell>
          <cell r="C239" t="str">
            <v>M3</v>
          </cell>
          <cell r="D239">
            <v>123655</v>
          </cell>
          <cell r="E239" t="str">
            <v>3.3.11.3</v>
          </cell>
        </row>
        <row r="240">
          <cell r="A240" t="str">
            <v>234.1</v>
          </cell>
          <cell r="B240" t="str">
            <v>AFINAMIENTO TALUDES</v>
          </cell>
          <cell r="C240" t="str">
            <v>M2</v>
          </cell>
          <cell r="D240">
            <v>8029</v>
          </cell>
          <cell r="E240" t="str">
            <v>3.6.8.2 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O CONCRETO"/>
      <sheetName val="PAVIMENTO MR 45"/>
      <sheetName val="ESPACIO PUBLICO"/>
      <sheetName val="CARPETA ASFALTICA"/>
      <sheetName val="1.1"/>
      <sheetName val="2.1"/>
      <sheetName val="4.1 "/>
      <sheetName val="4.2"/>
      <sheetName val="4.3"/>
      <sheetName val="4.4"/>
      <sheetName val="4.5"/>
      <sheetName val="5.1"/>
      <sheetName val="5.2"/>
      <sheetName val="5.3"/>
      <sheetName val="5.4"/>
      <sheetName val="5.5"/>
      <sheetName val="6.1"/>
      <sheetName val="6.2"/>
      <sheetName val="6.3"/>
      <sheetName val="6.4"/>
      <sheetName val="6.5"/>
      <sheetName val="6.6"/>
      <sheetName val="6.7"/>
      <sheetName val="6.8"/>
      <sheetName val="6.9"/>
      <sheetName val="6.10"/>
      <sheetName val="6.11"/>
      <sheetName val="7.1"/>
      <sheetName val="7.2"/>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8">
          <cell r="A8" t="str">
            <v>Aguja e hilo para geotextil</v>
          </cell>
          <cell r="G8" t="str">
            <v>Retroexcavadora 330 ME</v>
          </cell>
        </row>
        <row r="9">
          <cell r="A9" t="str">
            <v>Geotextil NT 2000</v>
          </cell>
          <cell r="G9" t="str">
            <v>Carrotanque 3000 galones</v>
          </cell>
        </row>
        <row r="10">
          <cell r="A10" t="str">
            <v>Cordren circular 6"</v>
          </cell>
          <cell r="G10" t="str">
            <v>Motoniveladora CAT 12G</v>
          </cell>
        </row>
        <row r="11">
          <cell r="A11" t="str">
            <v>Grava</v>
          </cell>
          <cell r="G11" t="str">
            <v>Vibrocompactador IR SD100C</v>
          </cell>
        </row>
        <row r="12">
          <cell r="A12" t="str">
            <v>Subbase Granular</v>
          </cell>
          <cell r="G12" t="str">
            <v>Minicargador tipo Bobcat</v>
          </cell>
        </row>
        <row r="13">
          <cell r="A13" t="str">
            <v>Geotextil TR 4000</v>
          </cell>
          <cell r="G13" t="str">
            <v>Compactador tipo Mickey</v>
          </cell>
        </row>
        <row r="14">
          <cell r="A14" t="str">
            <v>Geotextil planar</v>
          </cell>
          <cell r="G14" t="str">
            <v>Compactador Manual tipo Rana</v>
          </cell>
        </row>
        <row r="15">
          <cell r="A15" t="str">
            <v>Geodren Circular</v>
          </cell>
          <cell r="G15" t="str">
            <v>Recicladora de Pavimento</v>
          </cell>
        </row>
        <row r="16">
          <cell r="A16" t="str">
            <v>Afirmado</v>
          </cell>
          <cell r="G16" t="str">
            <v>Formaleta para pavimento</v>
          </cell>
        </row>
        <row r="17">
          <cell r="A17" t="str">
            <v>Cemento estructural</v>
          </cell>
          <cell r="G17" t="str">
            <v>Torre Iluminacion</v>
          </cell>
        </row>
        <row r="18">
          <cell r="A18" t="str">
            <v>Material tipo base</v>
          </cell>
          <cell r="G18" t="str">
            <v>Formaleta para bordillo</v>
          </cell>
        </row>
        <row r="19">
          <cell r="A19" t="str">
            <v>Acero de refuerzo ( parrilla pasadores de carga) 1 1/4"</v>
          </cell>
          <cell r="G19" t="str">
            <v>Carrotanque Irrigador</v>
          </cell>
        </row>
        <row r="20">
          <cell r="A20" t="str">
            <v>Curaseal Rojo</v>
          </cell>
          <cell r="G20" t="str">
            <v>Compresor</v>
          </cell>
        </row>
        <row r="21">
          <cell r="A21" t="str">
            <v>Concreto MR 45 Kg/cm2</v>
          </cell>
          <cell r="G21" t="str">
            <v>Compactador de llantas PT125R</v>
          </cell>
        </row>
        <row r="22">
          <cell r="A22" t="str">
            <v>Sellasil 3/8</v>
          </cell>
          <cell r="G22" t="str">
            <v>Compactador Tandem DD65</v>
          </cell>
        </row>
        <row r="23">
          <cell r="A23" t="str">
            <v>Eucobar</v>
          </cell>
          <cell r="G23" t="str">
            <v>Pavimentadora BG2455C</v>
          </cell>
        </row>
        <row r="24">
          <cell r="A24" t="str">
            <v>Vulkem 45 gris</v>
          </cell>
          <cell r="G24" t="str">
            <v>Herramienta Menores</v>
          </cell>
        </row>
        <row r="25">
          <cell r="A25" t="str">
            <v>Acero de Barra de Anclaje 5/8"</v>
          </cell>
          <cell r="G25" t="str">
            <v>Formaleta para muro</v>
          </cell>
        </row>
        <row r="26">
          <cell r="A26" t="str">
            <v>Arena para sopore de losetas (JUAN DE ACOSTA)</v>
          </cell>
          <cell r="G26" t="str">
            <v>Vibrador para concretos</v>
          </cell>
        </row>
        <row r="27">
          <cell r="A27" t="str">
            <v>Arena para sello de losetas (STO. TOMAS)</v>
          </cell>
          <cell r="G27" t="str">
            <v>Bomba para concretos</v>
          </cell>
        </row>
        <row r="28">
          <cell r="A28" t="str">
            <v>Loseta de concreto 40X40 color gris claro</v>
          </cell>
        </row>
        <row r="29">
          <cell r="A29" t="str">
            <v>Loseta de concreto 40X40 tactil color amarillo</v>
          </cell>
        </row>
        <row r="30">
          <cell r="A30" t="str">
            <v>Loseta de concreto 40X40 toperol</v>
          </cell>
        </row>
        <row r="31">
          <cell r="A31" t="str">
            <v>Adoquin peatonal color verde</v>
          </cell>
        </row>
        <row r="32">
          <cell r="A32" t="str">
            <v>Adoquin peatonal color rojo</v>
          </cell>
        </row>
        <row r="33">
          <cell r="A33" t="str">
            <v>Concreto 3000 PSI</v>
          </cell>
        </row>
        <row r="34">
          <cell r="A34" t="str">
            <v>Concreto 2000 psi</v>
          </cell>
        </row>
        <row r="35">
          <cell r="A35" t="str">
            <v>Acero Grado 60</v>
          </cell>
        </row>
        <row r="36">
          <cell r="A36" t="str">
            <v>Desmoldante</v>
          </cell>
        </row>
        <row r="37">
          <cell r="A37" t="str">
            <v>Protestor de fraguado</v>
          </cell>
        </row>
        <row r="38">
          <cell r="A38" t="str">
            <v>Tubo Sanitario D=4"</v>
          </cell>
        </row>
        <row r="39">
          <cell r="A39" t="str">
            <v>Emulsion Asfaltica CRL-0 ó CRL-1</v>
          </cell>
        </row>
        <row r="40">
          <cell r="A40" t="str">
            <v>Mezcla Densa en Caliente tipo MDC-2</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3"/>
      <sheetName val="Cantidades_de_Obra3"/>
      <sheetName val="SUB_APU1"/>
      <sheetName val="Cantidades_de_Obra1"/>
      <sheetName val="SUB_APU2"/>
      <sheetName val="Cantidades_de_Obra2"/>
      <sheetName val="Itemes Renovación"/>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Base Datos Insumos"/>
      <sheetName val="Base Datos Sueldo"/>
      <sheetName val="Resumen"/>
      <sheetName val="Resumen (2)"/>
      <sheetName val="MINICAR. 753 (011-01)"/>
      <sheetName val="MINICAR.873 (011-02)"/>
      <sheetName val="MINICAR. 751 (011-03)"/>
      <sheetName val="CARGADOR 966C (011-05)"/>
      <sheetName val="CARGADOR 950B (011-06)"/>
      <sheetName val="CARGADOR 966D (011-08)"/>
      <sheetName val="CARGADOR 966E (011-09)"/>
      <sheetName val="MINICAR. S130 (011-20)"/>
      <sheetName val="MINICAR. S130 (011-21)"/>
      <sheetName val="MINICAR. 175 (011-22)"/>
      <sheetName val="BARREDORAS (012-01)"/>
      <sheetName val="BARREDORAS (012-02)"/>
      <sheetName val="VIBRO SD77DATF (022-01)"/>
      <sheetName val="VIBRO CS533E (022-02)"/>
      <sheetName val="VIBRO SD100 (022-05)"/>
      <sheetName val="VIBRO SD100 (022-06)"/>
      <sheetName val="VIBRO SD100 (022-07)"/>
      <sheetName val="VIBRO SD100 (022-08)"/>
      <sheetName val="VIBRO CS433B (022-09)"/>
      <sheetName val="VIBRO CS433B (022-12)"/>
      <sheetName val="VIBRO CS433B (022-13)"/>
      <sheetName val="VIBRO HYSTER 850A (022-14)"/>
      <sheetName val="VIBRO DYNAPAC CA-15 (022-15)"/>
      <sheetName val="VIBRO TANDEN DD65 (023-02)"/>
      <sheetName val="VIBRO TANDEN CB434C (023-03)"/>
      <sheetName val="VIBRO TANDEM DD-22 (023-12)"/>
      <sheetName val="VIBRO HYSTER C530A (024-03)"/>
      <sheetName val="VIBRO ING.RAND PT125R (024-05)"/>
      <sheetName val="VIBRO HYSTER C530A (024-11)"/>
      <sheetName val="VIBRO HYSTER C530A (024-15)"/>
      <sheetName val="COMPRESOR QUINCY QTH-15 (030-01"/>
      <sheetName val="COMPRESOR KHOLER (030-02)"/>
      <sheetName val="COMPRESOR INGERSOLL (030-07)"/>
      <sheetName val="COMPRESOR KAESER (030-08)"/>
      <sheetName val="COMPRESOR KAESER (030-09)"/>
      <sheetName val="COMPRESOR KAESER (030-10)"/>
      <sheetName val="MARTILLO H. KRUPP (031-01)"/>
      <sheetName val="MARTILLO H. KRUPP (031-04)"/>
      <sheetName val="MARTILLO H. KRUPP (031-05)"/>
      <sheetName val="MARTILLO H. KRUPP (031-06)"/>
      <sheetName val="DERRETIDORA (033-01)"/>
      <sheetName val="DERRETIDORA (033-02)"/>
      <sheetName val="RETRO 428 B (051-02)"/>
      <sheetName val="RETRO 436 B (051-03)"/>
      <sheetName val="RETRO VOLVO BL60 (051-10)"/>
      <sheetName val="RETRO VOLVO BL60 (051-11)"/>
      <sheetName val="RETRO 320R (052-03)"/>
      <sheetName val="RETRO 320R (052-04)"/>
      <sheetName val="RETRO 690ELC (052-05)"/>
      <sheetName val="RETRO 330ME (052-06)"/>
      <sheetName val="RETRO 330ME (052-07)"/>
      <sheetName val="RETRO 200C LC (052-08)"/>
      <sheetName val="RETRO 200C LC (052-09)"/>
      <sheetName val="RETRO 345BL (052-10)"/>
      <sheetName val="RETRO 200C LC (052-11)"/>
      <sheetName val="IRRIGADOR( 060-01)"/>
      <sheetName val="IRRIGADOR 211(060-03)"/>
      <sheetName val="PAVIMENTADORA BG260 (071-01)"/>
      <sheetName val="PAVIMENTADORA SB140 (071-12)"/>
      <sheetName val="PAVIMENTADORA BG245B (072-01)"/>
      <sheetName val="PAVIMENTADORA BG2455C (072-02)"/>
      <sheetName val="MOTO 670CH (090-01)"/>
      <sheetName val="MOTO 12G (090-03)"/>
      <sheetName val="MOTO 12G (090-04)"/>
      <sheetName val="MOTO 12G (090-05)"/>
      <sheetName val="MOTO 120G (090-06)"/>
      <sheetName val="MOTO 12G (090-07)"/>
      <sheetName val="MOTO 670CH (090-09)"/>
      <sheetName val="MOTO 12G (090-16)"/>
      <sheetName val="RECUPERADORA RM350 (100-01)"/>
      <sheetName val="FRESADORA ASFALTO 1000R (100-02"/>
      <sheetName val="FRESADORA PAV. W-1900 (100-03)"/>
      <sheetName val="PERFILADORA PAV. PR-450 (101-01"/>
      <sheetName val="TRACTOR AGRICOLA (111-06)"/>
      <sheetName val="TRACTOR-ORUGAS CAT-D6D (112-01)"/>
      <sheetName val="TRACTOR-ORUGA CAT-D8N (112-02)"/>
      <sheetName val="TRACTOR CAT-D7G (112-06)"/>
      <sheetName val="TRACTOR CAT-D7H (112-07)"/>
      <sheetName val="TRITURADORA MANDIBULA (120-03)"/>
      <sheetName val="VOLQ. CHEVROLET 131-05"/>
      <sheetName val="VOLQ. KENWORTH (132-10)"/>
      <sheetName val="VOLQ. KENWORTH (132-11)"/>
      <sheetName val="VOLQ. KENWORTH (132-12)"/>
      <sheetName val="VOLQ. INTERN.(132-14)"/>
      <sheetName val="VOLQ. INTERN.(132-15)"/>
      <sheetName val="VOLQ. INTERN.(132-16)"/>
      <sheetName val="VOLQ. INTERN.(132-17)"/>
      <sheetName val="VOLQ. INTERN.(132-18)"/>
      <sheetName val="VOLQ. INTERN.(132-19)"/>
      <sheetName val="VOLQ. INTERN.(132-20)"/>
      <sheetName val="VOLQ. INTERN.(132-21)"/>
      <sheetName val="VOLQ. (132-25)"/>
      <sheetName val="VOLQ. (132-26)"/>
      <sheetName val="VOLQ. (132-27)"/>
      <sheetName val="VOLQ. (132-28)"/>
      <sheetName val="VOLQ. (132-31)"/>
      <sheetName val="VOLQ. (132-32)"/>
      <sheetName val="VOLQ. (132-33)"/>
      <sheetName val="VOLQ. (132-34)"/>
      <sheetName val="VOLQ. (132-35)"/>
      <sheetName val="VOLQ. (132-36)"/>
      <sheetName val="VOLQ. (132-37)"/>
      <sheetName val="VOLQ. (132-38)"/>
      <sheetName val="VOLQ. (132-39)"/>
      <sheetName val="VOLQ. (132-41)"/>
      <sheetName val="VOLQ. (132-42)"/>
      <sheetName val="VOLQ. 132-43"/>
      <sheetName val="CARROTANQUE 140-04"/>
      <sheetName val="CARROTANQUE 140-05"/>
      <sheetName val="CARROTANQUE 140-07"/>
      <sheetName val="TRACTOMULA 150-03"/>
      <sheetName val="CAMABAJA 3 EJES 155-10"/>
      <sheetName val="CAMABAJA 2 EJES (155)-11-13"/>
      <sheetName val="CAMIONETA 161-01"/>
      <sheetName val="CAMIONETA 161-02"/>
      <sheetName val="CAMIONETA 161-04"/>
      <sheetName val="CAMIONETA 161-08"/>
      <sheetName val="CAMPERO 161-11"/>
      <sheetName val="CAMION FURGON 162-01"/>
      <sheetName val="CAMION ESTACA 162-05"/>
      <sheetName val="CAMION CABINADO 162-06"/>
      <sheetName val="CAMION FURGO 162-07"/>
      <sheetName val="CAMION FERRETERO 163-02"/>
      <sheetName val="CAMION MTTO. 163-03"/>
      <sheetName val="CAMION MTTO. 163-06"/>
      <sheetName val="MOTOBOMBA THOMPSON (182)-01-03"/>
      <sheetName val="MOTOBOMBA THOMPSON 182-02"/>
      <sheetName val="CORTADORA PAV. GRAFCO 232-04"/>
      <sheetName val="GENERADOR CAT 240-08"/>
      <sheetName val="GENERADOR CUMMINS 240-09"/>
      <sheetName val="GENERADOR WILSON 240-10"/>
      <sheetName val="TORRE ILUMIN ING.RAND 242-01"/>
      <sheetName val="TORRE ILUMIN ING.RAND 242-04"/>
      <sheetName val="TORRE ILUMIN ING.RAND 242-05"/>
      <sheetName val="TORRE SEÑALIZACION (243)-01-02"/>
      <sheetName val="TANQUE REMOLQUE (250)-03-04"/>
      <sheetName val="PLANTA ASFALTO (260-01)"/>
      <sheetName val="TRAILER-DOLLY (270) 01 AL 06"/>
      <sheetName val="Equipo107"/>
      <sheetName val="Equipo108"/>
      <sheetName val="Equipo109"/>
      <sheetName val="Equipo110"/>
      <sheetName val="Equipo111"/>
      <sheetName val="Equipo112"/>
      <sheetName val="Equipo113"/>
      <sheetName val="Equipo114"/>
      <sheetName val="Equipo115"/>
      <sheetName val="Equipo116"/>
      <sheetName val="Equipo117"/>
      <sheetName val="Equipo118"/>
      <sheetName val="Equipo119"/>
      <sheetName val="Equipo120"/>
      <sheetName val="Equipo121"/>
      <sheetName val="Equipo122"/>
      <sheetName val="Equipo123"/>
      <sheetName val="Equipo124"/>
      <sheetName val="Equipo125"/>
      <sheetName val="Equipo126"/>
      <sheetName val="Equipo127"/>
      <sheetName val="Equipo128"/>
      <sheetName val="Equipo129"/>
      <sheetName val="Equipo130"/>
      <sheetName val="Equipo131"/>
      <sheetName val="Equipo132"/>
      <sheetName val="Equipo133"/>
      <sheetName val="Equipo134"/>
      <sheetName val="Equipo135"/>
      <sheetName val="Equipo136"/>
      <sheetName val="Equipo137"/>
      <sheetName val="Equipo138"/>
      <sheetName val="Equipo139"/>
      <sheetName val="Equipo140"/>
      <sheetName val="Equipo141"/>
      <sheetName val="Equipo142"/>
      <sheetName val="Equipo143"/>
      <sheetName val="Equipo144"/>
      <sheetName val="Equipo145"/>
      <sheetName val="Equipo146"/>
      <sheetName val="Equipo147"/>
      <sheetName val="Equipo148"/>
      <sheetName val="Equipo149"/>
      <sheetName val="Equipo150"/>
      <sheetName val="Anexos"/>
      <sheetName val="PRESUPUESTO DE OPERACION"/>
      <sheetName val="C.OPER.CONSTRUPLAN"/>
      <sheetName val="TARIFAS DE EQUIPOS CTC"/>
      <sheetName val="C&amp;T"/>
      <sheetName val="U.T. Y CONSOR."/>
      <sheetName val="CAT-D7H"/>
      <sheetName val="INSUMOS"/>
      <sheetName val="Fixed Plant Maintenance"/>
    </sheetNames>
    <sheetDataSet>
      <sheetData sheetId="0" refreshError="1"/>
      <sheetData sheetId="1">
        <row r="4">
          <cell r="A4" t="str">
            <v>INSUMOS</v>
          </cell>
          <cell r="B4" t="str">
            <v>PRECIOS</v>
          </cell>
        </row>
        <row r="6">
          <cell r="A6" t="str">
            <v>1 Cuchilla 4T5318</v>
          </cell>
          <cell r="B6">
            <v>499826.6</v>
          </cell>
        </row>
        <row r="7">
          <cell r="A7" t="str">
            <v>1 Puntera 4J8844</v>
          </cell>
          <cell r="B7">
            <v>823134.84</v>
          </cell>
        </row>
        <row r="8">
          <cell r="A8" t="str">
            <v>1 Puntera-4j8843</v>
          </cell>
          <cell r="B8">
            <v>823134.84</v>
          </cell>
        </row>
        <row r="9">
          <cell r="A9" t="str">
            <v>2 Cuchillas 7T6936</v>
          </cell>
          <cell r="B9">
            <v>1412787.2</v>
          </cell>
        </row>
        <row r="10">
          <cell r="A10" t="str">
            <v>3 Pernos 8E6359</v>
          </cell>
          <cell r="B10">
            <v>167475</v>
          </cell>
        </row>
        <row r="11">
          <cell r="A11" t="str">
            <v>3 Puntas 6Y0359</v>
          </cell>
          <cell r="B11">
            <v>1378393.2</v>
          </cell>
        </row>
        <row r="12">
          <cell r="A12" t="str">
            <v>3 Retenedores 8E 6358</v>
          </cell>
          <cell r="B12">
            <v>167475</v>
          </cell>
        </row>
        <row r="13">
          <cell r="A13" t="str">
            <v>32 Tornillos 6F0196</v>
          </cell>
          <cell r="B13">
            <v>307984.64000000001</v>
          </cell>
        </row>
        <row r="14">
          <cell r="A14" t="str">
            <v>32 Tuercas 2J 3505</v>
          </cell>
          <cell r="B14">
            <v>170863.35999999999</v>
          </cell>
        </row>
        <row r="15">
          <cell r="A15" t="str">
            <v>Aceite Hidraulico</v>
          </cell>
          <cell r="B15">
            <v>20309</v>
          </cell>
        </row>
        <row r="16">
          <cell r="A16" t="str">
            <v>Aceite Motor</v>
          </cell>
          <cell r="B16">
            <v>20037</v>
          </cell>
        </row>
        <row r="17">
          <cell r="A17" t="str">
            <v>Aceite Motor 232-04</v>
          </cell>
          <cell r="B17">
            <v>55881.84</v>
          </cell>
        </row>
        <row r="18">
          <cell r="A18" t="str">
            <v>Aceite Transmisión</v>
          </cell>
          <cell r="B18">
            <v>21400</v>
          </cell>
        </row>
        <row r="19">
          <cell r="A19" t="str">
            <v>Aceite Transmisión 242-01</v>
          </cell>
          <cell r="B19">
            <v>5500</v>
          </cell>
        </row>
        <row r="20">
          <cell r="A20" t="str">
            <v>ACPM</v>
          </cell>
          <cell r="B20">
            <v>5497.8</v>
          </cell>
        </row>
        <row r="21">
          <cell r="A21" t="str">
            <v>Adapatador ref:8J7525 retrocargador 436B</v>
          </cell>
          <cell r="B21">
            <v>83412.12</v>
          </cell>
        </row>
        <row r="22">
          <cell r="A22" t="str">
            <v>Adaptador ref:8J7525 retrocargador 428B</v>
          </cell>
          <cell r="B22">
            <v>83412.12</v>
          </cell>
        </row>
        <row r="23">
          <cell r="A23" t="str">
            <v>Aire Primario 232-04</v>
          </cell>
          <cell r="B23">
            <v>34635.279999999999</v>
          </cell>
        </row>
        <row r="24">
          <cell r="A24" t="str">
            <v>Aire Primario 242-01</v>
          </cell>
          <cell r="B24">
            <v>176320</v>
          </cell>
        </row>
        <row r="25">
          <cell r="A25" t="str">
            <v>Aire Primario 242-04</v>
          </cell>
          <cell r="B25">
            <v>176320</v>
          </cell>
        </row>
        <row r="26">
          <cell r="A26" t="str">
            <v>Aire Primario 242-05</v>
          </cell>
          <cell r="B26">
            <v>176320</v>
          </cell>
        </row>
        <row r="27">
          <cell r="A27" t="str">
            <v>Aire Secundario 232-04</v>
          </cell>
          <cell r="B27">
            <v>174000</v>
          </cell>
        </row>
        <row r="28">
          <cell r="A28" t="str">
            <v>Aire Secundario 242-01</v>
          </cell>
          <cell r="B28">
            <v>176320</v>
          </cell>
        </row>
        <row r="29">
          <cell r="A29" t="str">
            <v>Aire Secundario 242-04</v>
          </cell>
          <cell r="B29">
            <v>176320</v>
          </cell>
        </row>
        <row r="30">
          <cell r="A30" t="str">
            <v>Aire Secundario 242-05</v>
          </cell>
          <cell r="B30">
            <v>176320</v>
          </cell>
        </row>
        <row r="31">
          <cell r="A31" t="str">
            <v>Arandela ref:5P8250</v>
          </cell>
          <cell r="B31">
            <v>6871.84</v>
          </cell>
        </row>
        <row r="32">
          <cell r="A32" t="str">
            <v>Bases ref:9U9617 perfiladora Pr450</v>
          </cell>
          <cell r="B32">
            <v>37472.639999999999</v>
          </cell>
        </row>
        <row r="33">
          <cell r="A33" t="str">
            <v>Bases ref:9U9617 perfiladora procut 1000R</v>
          </cell>
          <cell r="B33">
            <v>37472.639999999999</v>
          </cell>
        </row>
        <row r="34">
          <cell r="A34" t="str">
            <v>Combustible Final 242-01</v>
          </cell>
          <cell r="B34">
            <v>71813.45</v>
          </cell>
        </row>
        <row r="35">
          <cell r="A35" t="str">
            <v>Combustible Final 242-04</v>
          </cell>
          <cell r="B35">
            <v>71813.45</v>
          </cell>
        </row>
        <row r="36">
          <cell r="A36" t="str">
            <v>Combustible Final 242-05</v>
          </cell>
          <cell r="B36">
            <v>71813.45</v>
          </cell>
        </row>
        <row r="37">
          <cell r="A37" t="str">
            <v>Combustible Primario 242-01</v>
          </cell>
          <cell r="B37">
            <v>71813.45</v>
          </cell>
        </row>
        <row r="38">
          <cell r="A38" t="str">
            <v>Combustible Primario 242-04</v>
          </cell>
          <cell r="B38">
            <v>71813.45</v>
          </cell>
        </row>
        <row r="39">
          <cell r="A39" t="str">
            <v>Combustible Primario 242-05</v>
          </cell>
          <cell r="B39">
            <v>71813.45</v>
          </cell>
        </row>
        <row r="40">
          <cell r="A40" t="str">
            <v>Cuchilla ref.7T6936 CAT-D7H</v>
          </cell>
          <cell r="B40">
            <v>759924.12</v>
          </cell>
        </row>
        <row r="41">
          <cell r="A41" t="str">
            <v>Cuchilla ref: 6Y5540</v>
          </cell>
          <cell r="B41">
            <v>890194.44</v>
          </cell>
        </row>
        <row r="42">
          <cell r="A42" t="str">
            <v>Cuchilla ref:1U0593 cargador 966D</v>
          </cell>
          <cell r="B42">
            <v>1497457.9</v>
          </cell>
        </row>
        <row r="43">
          <cell r="A43" t="str">
            <v>Cuchilla ref:1U0593 cargador 966E</v>
          </cell>
          <cell r="B43">
            <v>1497457.9</v>
          </cell>
        </row>
        <row r="44">
          <cell r="A44" t="str">
            <v>Cuchilla ref:1U0601 cargador 950B</v>
          </cell>
          <cell r="B44">
            <v>1376570.8</v>
          </cell>
        </row>
        <row r="45">
          <cell r="A45" t="str">
            <v>Cuchilla ref:1U2406 cargador 966C</v>
          </cell>
          <cell r="B45">
            <v>1399102.7</v>
          </cell>
        </row>
        <row r="46">
          <cell r="A46" t="str">
            <v>Cuchilla ref:4T2921 CAT-D7G</v>
          </cell>
          <cell r="B46">
            <v>626144.80000000005</v>
          </cell>
        </row>
        <row r="47">
          <cell r="A47" t="str">
            <v>Cuchilla ref:4T2922 CAT-D7G</v>
          </cell>
          <cell r="B47">
            <v>466085.68</v>
          </cell>
        </row>
        <row r="48">
          <cell r="A48" t="str">
            <v>Cuchilla ref:4T5318 CAT-D6D</v>
          </cell>
          <cell r="B48">
            <v>537672.76</v>
          </cell>
        </row>
        <row r="49">
          <cell r="A49" t="str">
            <v>Cuchilla ref:4T5318 CAT-D7H</v>
          </cell>
          <cell r="B49">
            <v>537672.76</v>
          </cell>
        </row>
        <row r="50">
          <cell r="A50" t="str">
            <v>Cuchilla ref:4T6381</v>
          </cell>
          <cell r="B50">
            <v>1453136.6</v>
          </cell>
        </row>
        <row r="51">
          <cell r="A51" t="str">
            <v>Cuchilla ref:5D9553</v>
          </cell>
          <cell r="B51">
            <v>397650.32</v>
          </cell>
        </row>
        <row r="52">
          <cell r="A52" t="str">
            <v>Cuchilla ref:5D9553 motoniveladora 120G</v>
          </cell>
          <cell r="B52">
            <v>397650.32</v>
          </cell>
        </row>
        <row r="53">
          <cell r="A53" t="str">
            <v>Cuchilla ref:7t6936 CAT-D6D</v>
          </cell>
          <cell r="B53">
            <v>759924.12</v>
          </cell>
        </row>
        <row r="54">
          <cell r="A54" t="str">
            <v>Cuchilla ref:9R7621 retrocargador 428B</v>
          </cell>
          <cell r="B54">
            <v>108311.38</v>
          </cell>
        </row>
        <row r="55">
          <cell r="A55" t="str">
            <v>Cuchilla ref:9R7621 retrocargador 436B</v>
          </cell>
          <cell r="B55">
            <v>98996.72</v>
          </cell>
        </row>
        <row r="56">
          <cell r="A56" t="str">
            <v>Cuchilla ref:9R7622 retrocargador 428B</v>
          </cell>
          <cell r="B56">
            <v>98996.72</v>
          </cell>
        </row>
        <row r="57">
          <cell r="A57" t="str">
            <v>Cuchilla ref:9R7622 retrocargador 436B</v>
          </cell>
          <cell r="B57">
            <v>885434.96</v>
          </cell>
        </row>
        <row r="58">
          <cell r="A58" t="str">
            <v>Elementos de desgaste (CEPILLO)</v>
          </cell>
          <cell r="B58">
            <v>1572000</v>
          </cell>
        </row>
        <row r="59">
          <cell r="A59" t="str">
            <v>Elementos de desgaste (punta) (031)05-06</v>
          </cell>
          <cell r="B59">
            <v>1160000</v>
          </cell>
        </row>
        <row r="60">
          <cell r="A60" t="str">
            <v>Elementos de desgaste (punta) 031-01</v>
          </cell>
          <cell r="B60">
            <v>3479999.9999999995</v>
          </cell>
        </row>
        <row r="61">
          <cell r="A61" t="str">
            <v>Elementos de desgaste (punta) 031-04</v>
          </cell>
          <cell r="B61">
            <v>5336000</v>
          </cell>
        </row>
        <row r="62">
          <cell r="A62" t="str">
            <v>Escalificadores ref:1957218 motoniveladora 120G</v>
          </cell>
          <cell r="B62">
            <v>400147.8</v>
          </cell>
        </row>
        <row r="63">
          <cell r="A63" t="str">
            <v>Escarificador ref:1957219</v>
          </cell>
          <cell r="B63">
            <v>306323.52</v>
          </cell>
        </row>
        <row r="64">
          <cell r="A64" t="str">
            <v>Filtro  combustible final CAT-D7H ref:1R0750</v>
          </cell>
          <cell r="B64">
            <v>46154.080000000002</v>
          </cell>
        </row>
        <row r="65">
          <cell r="A65" t="str">
            <v>Filtro agua compac PT125R ref:59674044</v>
          </cell>
          <cell r="B65">
            <v>34289.599999999999</v>
          </cell>
        </row>
        <row r="66">
          <cell r="A66" t="str">
            <v>Filtro agua irrigador de asfalto ref:W-475</v>
          </cell>
          <cell r="B66">
            <v>4347.68</v>
          </cell>
        </row>
        <row r="67">
          <cell r="A67" t="str">
            <v>Filtro agua volqueta ref:W-475</v>
          </cell>
          <cell r="B67">
            <v>15999.88</v>
          </cell>
        </row>
        <row r="68">
          <cell r="A68" t="str">
            <v>Filtro aire compac Pt125R ref:36876423</v>
          </cell>
          <cell r="B68">
            <v>94127.039999999994</v>
          </cell>
        </row>
        <row r="69">
          <cell r="A69" t="str">
            <v>Filtro aire prim Bobcat 751 ref:6598492</v>
          </cell>
          <cell r="B69">
            <v>82448.160000000003</v>
          </cell>
        </row>
        <row r="70">
          <cell r="A70" t="str">
            <v>Filtro aire prim com.vib.SD77 ref:59825562</v>
          </cell>
          <cell r="B70">
            <v>131834</v>
          </cell>
        </row>
        <row r="71">
          <cell r="A71" t="str">
            <v>Filtro aire prim compac.vib.auto CS433B ref0773968</v>
          </cell>
          <cell r="B71">
            <v>86439.72</v>
          </cell>
        </row>
        <row r="72">
          <cell r="A72" t="str">
            <v>Filtro aire prim irrigador de asfalto ref:A2-595</v>
          </cell>
          <cell r="B72">
            <v>104999.72</v>
          </cell>
        </row>
        <row r="73">
          <cell r="A73" t="str">
            <v>Filtro aire prim motoniveladora 120G ref.7W5389</v>
          </cell>
          <cell r="B73">
            <v>165774.44</v>
          </cell>
        </row>
        <row r="74">
          <cell r="A74" t="str">
            <v>Filtro aire prim perfiladora Pr450 8T ref:P182049</v>
          </cell>
          <cell r="B74">
            <v>355798.68</v>
          </cell>
        </row>
        <row r="75">
          <cell r="A75" t="str">
            <v>Filtro aire prim retroexcavadora 330 ref:7Y1322</v>
          </cell>
          <cell r="B75">
            <v>230858.56</v>
          </cell>
        </row>
        <row r="76">
          <cell r="A76" t="str">
            <v>Filtro Aire Primario (030)-08-09-10</v>
          </cell>
          <cell r="B76">
            <v>176320</v>
          </cell>
        </row>
        <row r="77">
          <cell r="A77" t="str">
            <v>Filtro Aire Primario (030-07)</v>
          </cell>
          <cell r="B77">
            <v>176320</v>
          </cell>
        </row>
        <row r="78">
          <cell r="A78" t="str">
            <v>Filtro Aire Primario 033-01</v>
          </cell>
          <cell r="B78">
            <v>176320</v>
          </cell>
        </row>
        <row r="79">
          <cell r="A79" t="str">
            <v>Filtro Aire Primario 033-02</v>
          </cell>
          <cell r="B79">
            <v>176320</v>
          </cell>
        </row>
        <row r="80">
          <cell r="A80" t="str">
            <v>Filtro Aire Primario 120-03</v>
          </cell>
          <cell r="B80">
            <v>190454.6</v>
          </cell>
        </row>
        <row r="81">
          <cell r="A81" t="str">
            <v>Filtro aire primario 12G ref:7W5389</v>
          </cell>
          <cell r="B81">
            <v>165774.44</v>
          </cell>
        </row>
        <row r="82">
          <cell r="A82" t="str">
            <v>Filtro aire primario cargador 950B ref:7W5317</v>
          </cell>
          <cell r="B82">
            <v>175172.76</v>
          </cell>
        </row>
        <row r="83">
          <cell r="A83" t="str">
            <v>Filtro aire primario cargador 966C ref:7W5317</v>
          </cell>
          <cell r="B83">
            <v>175172.76</v>
          </cell>
        </row>
        <row r="84">
          <cell r="A84" t="str">
            <v>Filtro aire primario cargador 966D ref:7W5317</v>
          </cell>
          <cell r="B84">
            <v>175172.76</v>
          </cell>
        </row>
        <row r="85">
          <cell r="A85" t="str">
            <v>Filtro aire primario cargador 966E ref:7W5317</v>
          </cell>
          <cell r="B85">
            <v>175172.76</v>
          </cell>
        </row>
        <row r="86">
          <cell r="A86" t="str">
            <v>Filtro aire primario carro manten NPR ref:PA2712</v>
          </cell>
          <cell r="B86">
            <v>28000.080000000002</v>
          </cell>
        </row>
        <row r="87">
          <cell r="A87" t="str">
            <v>Filtro aire primario CAT-D6D ref.7W5495</v>
          </cell>
          <cell r="B87">
            <v>228441.17</v>
          </cell>
        </row>
        <row r="88">
          <cell r="A88" t="str">
            <v>Filtro aire primario CAT-D7G ref:7W5317</v>
          </cell>
          <cell r="B88">
            <v>175172.76</v>
          </cell>
        </row>
        <row r="89">
          <cell r="A89" t="str">
            <v>Filtro aire primario CAT-D7H ref:;7W5317</v>
          </cell>
          <cell r="B89">
            <v>175172.76</v>
          </cell>
        </row>
        <row r="90">
          <cell r="A90" t="str">
            <v>Filtro aire primario com.vib.SD-1000D ref:35318252</v>
          </cell>
          <cell r="B90">
            <v>131316.64000000001</v>
          </cell>
        </row>
        <row r="91">
          <cell r="A91" t="str">
            <v>Filtro aire primario compac. DD65 ref:59144170</v>
          </cell>
          <cell r="B91">
            <v>90455.64</v>
          </cell>
        </row>
        <row r="92">
          <cell r="A92" t="str">
            <v>Filtro aire primario D8N ref:1P7360</v>
          </cell>
          <cell r="B92">
            <v>151940.28</v>
          </cell>
        </row>
        <row r="93">
          <cell r="A93" t="str">
            <v>Filtro aire primario Finisher ref:254K</v>
          </cell>
          <cell r="B93">
            <v>42000.12</v>
          </cell>
        </row>
        <row r="94">
          <cell r="A94" t="str">
            <v>Filtro aire primario perfiladora procut 1000R</v>
          </cell>
          <cell r="B94">
            <v>457434.03</v>
          </cell>
        </row>
        <row r="95">
          <cell r="A95" t="str">
            <v>Filtro aire primario recuperadora RM350 ref:6I2505</v>
          </cell>
          <cell r="B95">
            <v>312986.56</v>
          </cell>
        </row>
        <row r="96">
          <cell r="A96" t="str">
            <v>Filtro aire primario retrocargador 428B ref:8N5504</v>
          </cell>
          <cell r="B96">
            <v>157427.07999999999</v>
          </cell>
        </row>
        <row r="97">
          <cell r="A97" t="str">
            <v>Filtro aire primario retrocargador 436B ref:8N5504</v>
          </cell>
          <cell r="B97">
            <v>157427.07999999999</v>
          </cell>
        </row>
        <row r="98">
          <cell r="A98" t="str">
            <v>Filtro aire primario retroexcavadora 320 ref7Y0404</v>
          </cell>
          <cell r="B98">
            <v>285085.08</v>
          </cell>
        </row>
        <row r="99">
          <cell r="A99" t="str">
            <v>Filtro aire primario retroexcavadora 345BL ref7Y0404</v>
          </cell>
          <cell r="B99">
            <v>285085.08</v>
          </cell>
        </row>
        <row r="100">
          <cell r="A100" t="str">
            <v>Filtro aire primario tanden DD-22 ref:59341560</v>
          </cell>
          <cell r="B100">
            <v>162168</v>
          </cell>
        </row>
        <row r="101">
          <cell r="A101" t="str">
            <v>Filtro aire primario tractor agricola ref:AR796</v>
          </cell>
          <cell r="B101">
            <v>127042.04</v>
          </cell>
        </row>
        <row r="102">
          <cell r="A102" t="str">
            <v>Filtro aire primario Volqueta ref:A2 595</v>
          </cell>
          <cell r="B102">
            <v>104999.72</v>
          </cell>
        </row>
        <row r="103">
          <cell r="A103" t="str">
            <v>Filtro aire primbobcat 873 ref:6666375</v>
          </cell>
          <cell r="B103">
            <v>106286.16</v>
          </cell>
        </row>
        <row r="104">
          <cell r="A104" t="str">
            <v>Filtro aire sec Bobcat 751 ref:6598462</v>
          </cell>
          <cell r="B104">
            <v>80795.16</v>
          </cell>
        </row>
        <row r="105">
          <cell r="A105" t="str">
            <v>Filtro aire sec bobcat 873 ref:6666376</v>
          </cell>
          <cell r="B105">
            <v>84417.84</v>
          </cell>
        </row>
        <row r="106">
          <cell r="A106" t="str">
            <v>Filtro aire sec com.vib. SD77 ref:59825554</v>
          </cell>
          <cell r="B106">
            <v>94743</v>
          </cell>
        </row>
        <row r="107">
          <cell r="A107" t="str">
            <v>Filtro aire sec com.vib.SD-1000D ref:35328442</v>
          </cell>
          <cell r="B107">
            <v>118184.28</v>
          </cell>
        </row>
        <row r="108">
          <cell r="A108" t="str">
            <v>Filtro aire sec irrigador de asfalto ref:A2-595</v>
          </cell>
          <cell r="B108">
            <v>104999.72</v>
          </cell>
        </row>
        <row r="109">
          <cell r="A109" t="str">
            <v>Filtro aire sec motoniveladora 120G ref:2S1285</v>
          </cell>
          <cell r="B109">
            <v>164490.32</v>
          </cell>
        </row>
        <row r="110">
          <cell r="A110" t="str">
            <v>Filtro aire sec perfiladora PR450 ref:P182049</v>
          </cell>
          <cell r="B110">
            <v>355798.68</v>
          </cell>
        </row>
        <row r="111">
          <cell r="A111" t="str">
            <v>Filtro aire sec recuperadora RM350 ref:6I2506</v>
          </cell>
          <cell r="B111">
            <v>286253.2</v>
          </cell>
        </row>
        <row r="112">
          <cell r="A112" t="str">
            <v>Filtro aire sec retrocargador 428B ref:4W6691</v>
          </cell>
          <cell r="B112">
            <v>142776.28</v>
          </cell>
        </row>
        <row r="113">
          <cell r="A113" t="str">
            <v>Filtro aire sec retrocargador 436B ref:4W6691</v>
          </cell>
          <cell r="B113">
            <v>142776.28</v>
          </cell>
        </row>
        <row r="114">
          <cell r="A114" t="str">
            <v>Filtro aire sec retroexcavadora 320 ref:5I5208</v>
          </cell>
          <cell r="B114">
            <v>142425.96</v>
          </cell>
        </row>
        <row r="115">
          <cell r="A115" t="str">
            <v>Filtro aire sec retroexcavadora 330 ref:7Y1323</v>
          </cell>
          <cell r="B115">
            <v>379063.64</v>
          </cell>
        </row>
        <row r="116">
          <cell r="A116" t="str">
            <v>Filtro aire sec retroexcavadora 345BL ref:5I5208</v>
          </cell>
          <cell r="B116">
            <v>142425.96</v>
          </cell>
        </row>
        <row r="117">
          <cell r="A117" t="str">
            <v>Filtro Aire Secundario (030)-08-09-10</v>
          </cell>
          <cell r="B117">
            <v>176320</v>
          </cell>
        </row>
        <row r="118">
          <cell r="A118" t="str">
            <v>Filtro Aire Secundario (030-07)</v>
          </cell>
          <cell r="B118">
            <v>176320</v>
          </cell>
        </row>
        <row r="119">
          <cell r="A119" t="str">
            <v>Filtro Aire Secundario 033-01</v>
          </cell>
          <cell r="B119">
            <v>176320</v>
          </cell>
        </row>
        <row r="120">
          <cell r="A120" t="str">
            <v>Filtro Aire Secundario 033-02</v>
          </cell>
          <cell r="B120">
            <v>176320</v>
          </cell>
        </row>
        <row r="121">
          <cell r="A121" t="str">
            <v>Filtro Aire Secundario 120-03</v>
          </cell>
          <cell r="B121">
            <v>195390.4</v>
          </cell>
        </row>
        <row r="122">
          <cell r="A122" t="str">
            <v>Filtro aire secundario 12G ref:2S1285</v>
          </cell>
          <cell r="B122">
            <v>164490.32</v>
          </cell>
        </row>
        <row r="123">
          <cell r="A123" t="str">
            <v>Filtro aire secundario caompac. DD65 ref:59144188</v>
          </cell>
          <cell r="B123">
            <v>67856.52</v>
          </cell>
        </row>
        <row r="124">
          <cell r="A124" t="str">
            <v>Filtro aire secundario cargador 950B ref:9S9972</v>
          </cell>
          <cell r="B124">
            <v>178149.32</v>
          </cell>
        </row>
        <row r="125">
          <cell r="A125" t="str">
            <v>Filtro aire secundario cargador 966C ref:2S1286</v>
          </cell>
          <cell r="B125">
            <v>184978.24</v>
          </cell>
        </row>
        <row r="126">
          <cell r="A126" t="str">
            <v>Filtro aire secundario cargador 966D ref:9S9972</v>
          </cell>
          <cell r="B126">
            <v>178149.32</v>
          </cell>
        </row>
        <row r="127">
          <cell r="A127" t="str">
            <v>Filtro aire secundario cargador 966E ref:9S9972</v>
          </cell>
          <cell r="B127">
            <v>178149.32</v>
          </cell>
        </row>
        <row r="128">
          <cell r="A128" t="str">
            <v>Filtro aire secundario CAT-D6D ref:1P7360</v>
          </cell>
          <cell r="B128">
            <v>228441.17</v>
          </cell>
        </row>
        <row r="129">
          <cell r="A129" t="str">
            <v>Filtro aire secundario CAT-D7G ref.9S9972</v>
          </cell>
          <cell r="B129">
            <v>178149.32</v>
          </cell>
        </row>
        <row r="130">
          <cell r="A130" t="str">
            <v>Filtro aire secundario CAT-D7H ref:9S9972</v>
          </cell>
          <cell r="B130">
            <v>178149.32</v>
          </cell>
        </row>
        <row r="131">
          <cell r="A131" t="str">
            <v>Filtro aire secundario compac. Cs 433B ref:0773968</v>
          </cell>
          <cell r="B131">
            <v>86439.72</v>
          </cell>
        </row>
        <row r="132">
          <cell r="A132" t="str">
            <v>Filtro aire secundario D8N ref:7W5495</v>
          </cell>
          <cell r="B132">
            <v>196827.64</v>
          </cell>
        </row>
        <row r="133">
          <cell r="A133" t="str">
            <v>Filtro aire secundario Finisher ref.254K</v>
          </cell>
          <cell r="B133">
            <v>42000.12</v>
          </cell>
        </row>
        <row r="134">
          <cell r="A134" t="str">
            <v>Filtro aire secundario perfiladora procut 1000R</v>
          </cell>
          <cell r="B134">
            <v>243552.25</v>
          </cell>
        </row>
        <row r="135">
          <cell r="A135" t="str">
            <v>Filtro aire secundario tractor agricola ref:AL671</v>
          </cell>
          <cell r="B135">
            <v>82959.72</v>
          </cell>
        </row>
        <row r="136">
          <cell r="A136" t="str">
            <v>Filtro aire secundario Volqueta ref:A2 595</v>
          </cell>
          <cell r="B136">
            <v>104999.72</v>
          </cell>
        </row>
        <row r="137">
          <cell r="A137" t="str">
            <v>Filtro comb compac PT125R ref:35308048</v>
          </cell>
          <cell r="B137">
            <v>72556.84</v>
          </cell>
        </row>
        <row r="138">
          <cell r="A138" t="str">
            <v>Filtro comble com.vib.SD77  ref35374677</v>
          </cell>
          <cell r="B138">
            <v>48071.56</v>
          </cell>
        </row>
        <row r="139">
          <cell r="A139" t="str">
            <v>Filtro comble final com.vib.SD-1000D ref:59728196</v>
          </cell>
          <cell r="B139">
            <v>47774.6</v>
          </cell>
        </row>
        <row r="140">
          <cell r="A140" t="str">
            <v>Filtro comble final irrigador de asfalto ref:BF877</v>
          </cell>
          <cell r="B140">
            <v>14999.96</v>
          </cell>
        </row>
        <row r="141">
          <cell r="A141" t="str">
            <v>Filtro comble final perfiladora PR-450 ref:1R0749</v>
          </cell>
          <cell r="B141">
            <v>67331.039999999994</v>
          </cell>
        </row>
        <row r="142">
          <cell r="A142" t="str">
            <v>Filtro comble final recuperadora RM350 ref:1R0749</v>
          </cell>
          <cell r="B142">
            <v>67331.039999999994</v>
          </cell>
        </row>
        <row r="143">
          <cell r="A143" t="str">
            <v>Filtro comble final retrocargador 428B ref:159610</v>
          </cell>
          <cell r="B143">
            <v>94021.48</v>
          </cell>
        </row>
        <row r="144">
          <cell r="A144" t="str">
            <v>Filtro comble final retroexcavador 330 ref:1R0750</v>
          </cell>
          <cell r="B144">
            <v>46154.080000000002</v>
          </cell>
        </row>
        <row r="145">
          <cell r="A145" t="str">
            <v>Filtro comble prim irrigador de asfalto ref:BF 876</v>
          </cell>
          <cell r="B145">
            <v>14999.96</v>
          </cell>
        </row>
        <row r="146">
          <cell r="A146" t="str">
            <v>Filtro comble prim tractor agricola ref:AL679</v>
          </cell>
          <cell r="B146">
            <v>15000</v>
          </cell>
        </row>
        <row r="147">
          <cell r="A147" t="str">
            <v>Filtro comble primario compac DD65 ref:54477153</v>
          </cell>
          <cell r="B147">
            <v>36205.919999999998</v>
          </cell>
        </row>
        <row r="148">
          <cell r="A148" t="str">
            <v>Filtro comble primario Hyster C-530A ref:PM228</v>
          </cell>
          <cell r="B148">
            <v>4999.6000000000004</v>
          </cell>
        </row>
        <row r="149">
          <cell r="A149" t="str">
            <v>Filtro comble sec compac.  DD65 ref:36855493</v>
          </cell>
          <cell r="B149">
            <v>41412</v>
          </cell>
        </row>
        <row r="150">
          <cell r="A150" t="str">
            <v>Filtro comble separadores agua Finisher ref:8N9803</v>
          </cell>
          <cell r="B150">
            <v>79552.800000000003</v>
          </cell>
        </row>
        <row r="151">
          <cell r="A151" t="str">
            <v>Filtro combustible Final (030)-08-09-10</v>
          </cell>
          <cell r="B151">
            <v>71813.45</v>
          </cell>
        </row>
        <row r="152">
          <cell r="A152" t="str">
            <v>Filtro combustible Final (030-07)</v>
          </cell>
          <cell r="B152">
            <v>71813.45</v>
          </cell>
        </row>
        <row r="153">
          <cell r="A153" t="str">
            <v>Filtro combustible Final 033-01</v>
          </cell>
          <cell r="B153">
            <v>71813.45</v>
          </cell>
        </row>
        <row r="154">
          <cell r="A154" t="str">
            <v>Filtro combustible Final 033-02</v>
          </cell>
          <cell r="B154">
            <v>71813.45</v>
          </cell>
        </row>
        <row r="155">
          <cell r="A155" t="str">
            <v>Filtro Combustible Final 120-03</v>
          </cell>
          <cell r="B155">
            <v>48751.32</v>
          </cell>
        </row>
        <row r="156">
          <cell r="A156" t="str">
            <v>Filtro combustible final 12G ref:1R0750</v>
          </cell>
          <cell r="B156">
            <v>46154.080000000002</v>
          </cell>
        </row>
        <row r="157">
          <cell r="A157" t="str">
            <v>Filtro Combustible Final 232-04</v>
          </cell>
          <cell r="B157">
            <v>36748.800000000003</v>
          </cell>
        </row>
        <row r="158">
          <cell r="A158" t="str">
            <v>Filtro combustible final cargador 950B ref:1R0750</v>
          </cell>
          <cell r="B158">
            <v>46154.080000000002</v>
          </cell>
        </row>
        <row r="159">
          <cell r="A159" t="str">
            <v>Filtro combustible final cargador 966C ref:1R0750</v>
          </cell>
          <cell r="B159">
            <v>46154.080000000002</v>
          </cell>
        </row>
        <row r="160">
          <cell r="A160" t="str">
            <v>Filtro combustible final cargador 966D ref:1R0750</v>
          </cell>
          <cell r="B160">
            <v>46154.080000000002</v>
          </cell>
        </row>
        <row r="161">
          <cell r="A161" t="str">
            <v>Filtro combustible final cargador 966E ref:1R0750</v>
          </cell>
          <cell r="B161">
            <v>46154.080000000002</v>
          </cell>
        </row>
        <row r="162">
          <cell r="A162" t="str">
            <v>Filtro combustible final carro mto C-70 ref:PM228</v>
          </cell>
          <cell r="B162">
            <v>4999.6000000000004</v>
          </cell>
        </row>
        <row r="163">
          <cell r="A163" t="str">
            <v>Filtro combustible final carro mto NPR ref:A-4052</v>
          </cell>
          <cell r="B163">
            <v>12760</v>
          </cell>
        </row>
        <row r="164">
          <cell r="A164" t="str">
            <v>Filtro combustible final CAT-D6D ref:1R0750</v>
          </cell>
          <cell r="B164">
            <v>53538.73</v>
          </cell>
        </row>
        <row r="165">
          <cell r="A165" t="str">
            <v>Filtro combustible final CAT-D7G ref.1R0750</v>
          </cell>
          <cell r="B165">
            <v>46154.080000000002</v>
          </cell>
        </row>
        <row r="166">
          <cell r="A166" t="str">
            <v>Filtro combustible final com CS433B ref:0676987</v>
          </cell>
          <cell r="B166">
            <v>23435.48</v>
          </cell>
        </row>
        <row r="167">
          <cell r="A167" t="str">
            <v>Filtro combustible final D8N ref:1R0749</v>
          </cell>
          <cell r="B167">
            <v>67331.039999999994</v>
          </cell>
        </row>
        <row r="168">
          <cell r="A168" t="str">
            <v>Filtro combustible final Hyster C-530A ref:PM228</v>
          </cell>
          <cell r="B168">
            <v>4999.6000000000004</v>
          </cell>
        </row>
        <row r="169">
          <cell r="A169" t="str">
            <v>Filtro combustible final moto 120G ref:1R0750</v>
          </cell>
          <cell r="B169">
            <v>46154.080000000002</v>
          </cell>
        </row>
        <row r="170">
          <cell r="A170" t="str">
            <v>Filtro combustible final perfiladora procut 1000R</v>
          </cell>
          <cell r="B170">
            <v>62772.24</v>
          </cell>
        </row>
        <row r="171">
          <cell r="A171" t="str">
            <v>Filtro combustible final retro 320 ref:5I7951</v>
          </cell>
          <cell r="B171">
            <v>45634.400000000001</v>
          </cell>
        </row>
        <row r="172">
          <cell r="A172" t="str">
            <v>Filtro combustible final retro 345BL ref:5I7951</v>
          </cell>
          <cell r="B172">
            <v>45634.400000000001</v>
          </cell>
        </row>
        <row r="173">
          <cell r="A173" t="str">
            <v>Filtro combustible final retro 436B ref:1596102</v>
          </cell>
          <cell r="B173">
            <v>94021.48</v>
          </cell>
        </row>
        <row r="174">
          <cell r="A174" t="str">
            <v>Filtro combustible final tanden DD-22 ref:59765511</v>
          </cell>
          <cell r="B174">
            <v>39208</v>
          </cell>
        </row>
        <row r="175">
          <cell r="A175" t="str">
            <v>Filtro combustible final Volqueta  ref:BF 877</v>
          </cell>
          <cell r="B175">
            <v>14999.96</v>
          </cell>
        </row>
        <row r="176">
          <cell r="A176" t="str">
            <v>Filtro combustible prim Bobcat 751 ref:6667352</v>
          </cell>
          <cell r="B176">
            <v>60517.2</v>
          </cell>
        </row>
        <row r="177">
          <cell r="A177" t="str">
            <v>Filtro combustible prim bobcat 873 ref:6667352</v>
          </cell>
          <cell r="B177">
            <v>60517.2</v>
          </cell>
        </row>
        <row r="178">
          <cell r="A178" t="str">
            <v>Filtro combustible prim carro mto NPR ref:A-4051</v>
          </cell>
          <cell r="B178">
            <v>11600</v>
          </cell>
        </row>
        <row r="179">
          <cell r="A179" t="str">
            <v>Filtro combustible prim carro mtoC-70 ref:PM228</v>
          </cell>
          <cell r="B179">
            <v>4999.6000000000004</v>
          </cell>
        </row>
        <row r="180">
          <cell r="A180" t="str">
            <v>Filtro combustible Primario (030)-08-09-10</v>
          </cell>
          <cell r="B180">
            <v>71813.45</v>
          </cell>
        </row>
        <row r="181">
          <cell r="A181" t="str">
            <v>Filtro combustible Primario (030-07)</v>
          </cell>
          <cell r="B181">
            <v>71813.45</v>
          </cell>
        </row>
        <row r="182">
          <cell r="A182" t="str">
            <v>Filtro combustible Primario 033-01</v>
          </cell>
          <cell r="B182">
            <v>71813.45</v>
          </cell>
        </row>
        <row r="183">
          <cell r="A183" t="str">
            <v>Filtro combustible Primario 033-02</v>
          </cell>
          <cell r="B183">
            <v>71813.45</v>
          </cell>
        </row>
        <row r="184">
          <cell r="A184" t="str">
            <v>Filtro Combustible Primario 120-03</v>
          </cell>
          <cell r="B184">
            <v>48751.32</v>
          </cell>
        </row>
        <row r="185">
          <cell r="A185" t="str">
            <v>Filtro combustible primario 12G ref:1R0750</v>
          </cell>
          <cell r="B185">
            <v>46154.080000000002</v>
          </cell>
        </row>
        <row r="186">
          <cell r="A186" t="str">
            <v>Filtro Combustible Primario 232-04</v>
          </cell>
          <cell r="B186">
            <v>25457.360000000001</v>
          </cell>
        </row>
        <row r="187">
          <cell r="A187" t="str">
            <v>Filtro combustible primario DD-22 ref:59765511</v>
          </cell>
          <cell r="B187">
            <v>39208</v>
          </cell>
        </row>
        <row r="188">
          <cell r="A188" t="str">
            <v>Filtro combustible primario Finisher ref:BF909</v>
          </cell>
          <cell r="B188">
            <v>43999.96</v>
          </cell>
        </row>
        <row r="189">
          <cell r="A189" t="str">
            <v>Filtro combustible primario recupRM350 ref:1R0749</v>
          </cell>
          <cell r="B189">
            <v>67331.039999999994</v>
          </cell>
        </row>
        <row r="190">
          <cell r="A190" t="str">
            <v>Filtro combustible primario retro 320 ref:5I7951</v>
          </cell>
          <cell r="B190">
            <v>45634.400000000001</v>
          </cell>
        </row>
        <row r="191">
          <cell r="A191" t="str">
            <v>Filtro combustible primario retro 345BL ref:5I7951</v>
          </cell>
          <cell r="B191">
            <v>45634.400000000001</v>
          </cell>
        </row>
        <row r="192">
          <cell r="A192" t="str">
            <v>Filtro combustible primario Volqueta ref:BF 876</v>
          </cell>
          <cell r="B192">
            <v>14999.96</v>
          </cell>
        </row>
        <row r="193">
          <cell r="A193" t="str">
            <v>Filtro combustible secundario Finisher ref: BF909</v>
          </cell>
          <cell r="B193">
            <v>43999.96</v>
          </cell>
        </row>
        <row r="194">
          <cell r="A194" t="str">
            <v>Filtro de motor irrigador de asfalto ref:FC-67</v>
          </cell>
          <cell r="B194">
            <v>17999.72</v>
          </cell>
        </row>
        <row r="195">
          <cell r="A195" t="str">
            <v>Filtro desechable gas Hyster C-530A ref:GF61</v>
          </cell>
          <cell r="B195">
            <v>5800</v>
          </cell>
        </row>
        <row r="196">
          <cell r="A196" t="str">
            <v>Filtro hdco compac PT125R ref:59490664</v>
          </cell>
          <cell r="B196">
            <v>117714.48</v>
          </cell>
        </row>
        <row r="197">
          <cell r="A197" t="str">
            <v>Filtro hdco compactador PT125R ref:59303123</v>
          </cell>
          <cell r="B197">
            <v>125072.36</v>
          </cell>
        </row>
        <row r="198">
          <cell r="A198" t="str">
            <v>Filtro Hidraulico 120-03</v>
          </cell>
          <cell r="B198">
            <v>112032.8</v>
          </cell>
        </row>
        <row r="199">
          <cell r="A199" t="str">
            <v>Filtro hidráulico 12G ref:1R0719</v>
          </cell>
          <cell r="B199">
            <v>41321.519999999997</v>
          </cell>
        </row>
        <row r="200">
          <cell r="A200" t="str">
            <v>Filtro Hidraulico 232-04</v>
          </cell>
          <cell r="B200">
            <v>20309.099999999999</v>
          </cell>
        </row>
        <row r="201">
          <cell r="A201" t="str">
            <v>Filtro hidraulico Bobcat 751 ref:6630977</v>
          </cell>
          <cell r="B201">
            <v>149575.04000000001</v>
          </cell>
        </row>
        <row r="202">
          <cell r="A202" t="str">
            <v>Filtro hidraulico Bobcat 873 ref:6630977</v>
          </cell>
          <cell r="B202">
            <v>149575.04000000001</v>
          </cell>
        </row>
        <row r="203">
          <cell r="A203" t="str">
            <v>Filtro hidraulico cam.vib.auto SD-100D ref58887936</v>
          </cell>
          <cell r="B203">
            <v>192709.64</v>
          </cell>
        </row>
        <row r="204">
          <cell r="A204" t="str">
            <v>Filtro hidraulico cargador  966C ref:1R0719</v>
          </cell>
          <cell r="B204">
            <v>41321.519999999997</v>
          </cell>
        </row>
        <row r="205">
          <cell r="A205" t="str">
            <v>Filtro hidraulico cargador 950B ref:1R0719</v>
          </cell>
          <cell r="B205">
            <v>41321.519999999997</v>
          </cell>
        </row>
        <row r="206">
          <cell r="A206" t="str">
            <v>Filtro hidraulico cargador 966D ref:1R0719</v>
          </cell>
          <cell r="B206">
            <v>41321.519999999997</v>
          </cell>
        </row>
        <row r="207">
          <cell r="A207" t="str">
            <v>Filtro hidraulico cargador 966E ref:1R0719</v>
          </cell>
          <cell r="B207">
            <v>41321.519999999997</v>
          </cell>
        </row>
        <row r="208">
          <cell r="A208" t="str">
            <v>Filtro hidraulico CAT-D6D ref:1R0741</v>
          </cell>
          <cell r="B208">
            <v>53538.73</v>
          </cell>
        </row>
        <row r="209">
          <cell r="A209" t="str">
            <v>Filtro hidraulico CAT-D7G ref:1R0735</v>
          </cell>
          <cell r="B209">
            <v>103168.08</v>
          </cell>
        </row>
        <row r="210">
          <cell r="A210" t="str">
            <v>Filtro hidraulico CAT-D7H ref:1R0735</v>
          </cell>
          <cell r="B210">
            <v>103168.08</v>
          </cell>
        </row>
        <row r="211">
          <cell r="A211" t="str">
            <v>Filtro hidraulico com.vib SD77 ref:58887936</v>
          </cell>
          <cell r="B211">
            <v>173686.8</v>
          </cell>
        </row>
        <row r="212">
          <cell r="A212" t="str">
            <v>Filtro hidraulico compactador DD65 ref:59026500</v>
          </cell>
          <cell r="B212">
            <v>58805.04</v>
          </cell>
        </row>
        <row r="213">
          <cell r="A213" t="str">
            <v>Filtro hidraulico D8N ref:1R0741</v>
          </cell>
          <cell r="B213">
            <v>46154.080000000002</v>
          </cell>
        </row>
        <row r="214">
          <cell r="A214" t="str">
            <v>Filtro hidraulico Finisher ref:BT287</v>
          </cell>
          <cell r="B214">
            <v>42000.12</v>
          </cell>
        </row>
        <row r="215">
          <cell r="A215" t="str">
            <v>Filtro hidraulico motoniveladora 120G ref:1R0719</v>
          </cell>
          <cell r="B215">
            <v>41321.519999999997</v>
          </cell>
        </row>
        <row r="216">
          <cell r="A216" t="str">
            <v>Filtro hidraulico perfiladora PR-450 ref:0541719</v>
          </cell>
          <cell r="B216">
            <v>41755.360000000001</v>
          </cell>
        </row>
        <row r="217">
          <cell r="A217" t="str">
            <v>Filtro hidraulico perfiladora procut 1000R</v>
          </cell>
          <cell r="B217">
            <v>305117.49</v>
          </cell>
        </row>
        <row r="218">
          <cell r="A218" t="str">
            <v>Filtro hidraulico retrocargador 428B ref:1194740</v>
          </cell>
          <cell r="B218">
            <v>50063.28</v>
          </cell>
        </row>
        <row r="219">
          <cell r="A219" t="str">
            <v>Filtro hidraulico retrocargador 436B ref:9T0973</v>
          </cell>
          <cell r="B219">
            <v>247439.6</v>
          </cell>
        </row>
        <row r="220">
          <cell r="A220" t="str">
            <v>Filtro hidraulico retroex330 ref:0944412</v>
          </cell>
          <cell r="B220">
            <v>38226.639999999999</v>
          </cell>
        </row>
        <row r="221">
          <cell r="A221" t="str">
            <v>Filtro hidraulico retroexcavadora 320 ref.4I3948</v>
          </cell>
          <cell r="B221">
            <v>170226.52</v>
          </cell>
        </row>
        <row r="222">
          <cell r="A222" t="str">
            <v>Filtro hidraulico retroexcavadora 345BL ref.4I3948</v>
          </cell>
          <cell r="B222">
            <v>170226.52</v>
          </cell>
        </row>
        <row r="223">
          <cell r="A223" t="str">
            <v>Filtro hidraulico tanden DD-22 ref:59480673</v>
          </cell>
          <cell r="B223">
            <v>41296</v>
          </cell>
        </row>
        <row r="224">
          <cell r="A224" t="str">
            <v>Filtro hidraulico tractor agricola ref:AR756</v>
          </cell>
          <cell r="B224">
            <v>19128.400000000001</v>
          </cell>
        </row>
        <row r="225">
          <cell r="A225" t="str">
            <v>Filtro hidrco compac.vib.auto CS433B ref:1446691</v>
          </cell>
          <cell r="B225">
            <v>157521.04</v>
          </cell>
        </row>
        <row r="226">
          <cell r="A226" t="str">
            <v>Filtro linea tandem DD-22 ref:36845493</v>
          </cell>
          <cell r="B226">
            <v>562600</v>
          </cell>
        </row>
        <row r="227">
          <cell r="A227" t="str">
            <v>Filtro Motor</v>
          </cell>
          <cell r="B227">
            <v>38537</v>
          </cell>
        </row>
        <row r="228">
          <cell r="A228" t="str">
            <v>Filtro Motor (030-07)</v>
          </cell>
          <cell r="B228">
            <v>38537</v>
          </cell>
        </row>
        <row r="229">
          <cell r="A229" t="str">
            <v>Filtro Motor 033-01</v>
          </cell>
          <cell r="B229">
            <v>38537</v>
          </cell>
        </row>
        <row r="230">
          <cell r="A230" t="str">
            <v>Filtro Motor 033-02</v>
          </cell>
          <cell r="B230">
            <v>38537</v>
          </cell>
        </row>
        <row r="231">
          <cell r="A231" t="str">
            <v>Filtro Motor 120-03</v>
          </cell>
          <cell r="B231">
            <v>42796.77</v>
          </cell>
        </row>
        <row r="232">
          <cell r="A232" t="str">
            <v>Filtro motor 12G ref:1R0739</v>
          </cell>
          <cell r="B232">
            <v>38226.639999999999</v>
          </cell>
        </row>
        <row r="233">
          <cell r="A233" t="str">
            <v>Filtro Motor 232-04</v>
          </cell>
          <cell r="B233">
            <v>20037</v>
          </cell>
        </row>
        <row r="234">
          <cell r="A234" t="str">
            <v xml:space="preserve">Filtro Motor 242-01 </v>
          </cell>
          <cell r="B234">
            <v>38537</v>
          </cell>
        </row>
        <row r="235">
          <cell r="A235" t="str">
            <v>Filtro Motor 242-05</v>
          </cell>
          <cell r="B235">
            <v>38537</v>
          </cell>
        </row>
        <row r="236">
          <cell r="A236" t="str">
            <v>Filtro motor cargador 950B ref:1R0739</v>
          </cell>
          <cell r="B236">
            <v>38226.639999999999</v>
          </cell>
        </row>
        <row r="237">
          <cell r="A237" t="str">
            <v>Filtro motor cargador 966C ref:1R0739</v>
          </cell>
          <cell r="B237">
            <v>38226.639999999999</v>
          </cell>
        </row>
        <row r="238">
          <cell r="A238" t="str">
            <v>Filtro motor cargador 966D ref:1R0739</v>
          </cell>
          <cell r="B238">
            <v>38226.639999999999</v>
          </cell>
        </row>
        <row r="239">
          <cell r="A239" t="str">
            <v>Filtro motor cargador 966E ref:1R0739</v>
          </cell>
          <cell r="B239">
            <v>38226.639999999999</v>
          </cell>
        </row>
        <row r="240">
          <cell r="A240" t="str">
            <v>Filtro motor carro manten C-70 ref: FC48</v>
          </cell>
          <cell r="B240">
            <v>10000.36</v>
          </cell>
        </row>
        <row r="241">
          <cell r="A241" t="str">
            <v>Filtro motor carro mto NPR ref: A4051</v>
          </cell>
          <cell r="B241">
            <v>9500.4</v>
          </cell>
        </row>
        <row r="242">
          <cell r="A242" t="str">
            <v>Filtro motor CAT-D6D ref:1R0739</v>
          </cell>
          <cell r="B242">
            <v>44342.9</v>
          </cell>
        </row>
        <row r="243">
          <cell r="A243" t="str">
            <v>Filtro motor CAT-D7G ref.1R0739</v>
          </cell>
          <cell r="B243">
            <v>38226.639999999999</v>
          </cell>
        </row>
        <row r="244">
          <cell r="A244" t="str">
            <v>Filtro motor CAT-D7H ref:1R0739</v>
          </cell>
          <cell r="B244">
            <v>38226.639999999999</v>
          </cell>
        </row>
        <row r="245">
          <cell r="A245" t="str">
            <v>Filtro motor com.vib SD77ref:59728170</v>
          </cell>
          <cell r="B245">
            <v>29975.56</v>
          </cell>
        </row>
        <row r="246">
          <cell r="A246" t="str">
            <v>Filtro motor compac PT125R ref:35308048</v>
          </cell>
          <cell r="B246">
            <v>61799</v>
          </cell>
        </row>
        <row r="247">
          <cell r="A247" t="str">
            <v>Filtro motor compac.vib.auto CS433B ref:7W2326</v>
          </cell>
          <cell r="B247">
            <v>33832.559999999998</v>
          </cell>
        </row>
        <row r="248">
          <cell r="A248" t="str">
            <v>Filtro motor compac.vibr.auto SD-100D ref:59728170</v>
          </cell>
          <cell r="B248">
            <v>33454.400000000001</v>
          </cell>
        </row>
        <row r="249">
          <cell r="A249" t="str">
            <v>Filtro motor compactador DD65 ref:97127328</v>
          </cell>
          <cell r="B249">
            <v>56971.08</v>
          </cell>
        </row>
        <row r="250">
          <cell r="A250" t="str">
            <v>Filtro motor D8N ref: 2P4005</v>
          </cell>
          <cell r="B250">
            <v>73466.28</v>
          </cell>
        </row>
        <row r="251">
          <cell r="A251" t="str">
            <v>Filtro motor finisher ref: A26</v>
          </cell>
          <cell r="B251">
            <v>12000.2</v>
          </cell>
        </row>
        <row r="252">
          <cell r="A252" t="str">
            <v>Filtro motor Hyster C-530A ref: PER49</v>
          </cell>
          <cell r="B252">
            <v>11600</v>
          </cell>
        </row>
        <row r="253">
          <cell r="A253" t="str">
            <v>Filtro motor minicargador Bobcat 751 ref:6665603</v>
          </cell>
          <cell r="B253">
            <v>32865.120000000003</v>
          </cell>
        </row>
        <row r="254">
          <cell r="A254" t="str">
            <v>Filtro motor minicargador Bobcat 873 ref:6665603</v>
          </cell>
          <cell r="B254">
            <v>32865.120000000003</v>
          </cell>
        </row>
        <row r="255">
          <cell r="A255" t="str">
            <v>Filtro motor motoniveladora 120G ref:1R0739</v>
          </cell>
          <cell r="B255">
            <v>38226.639999999999</v>
          </cell>
        </row>
        <row r="256">
          <cell r="A256" t="str">
            <v>Filtro motor perfiladora Pr-450 ref:1R0716</v>
          </cell>
          <cell r="B256">
            <v>76289.72</v>
          </cell>
        </row>
        <row r="257">
          <cell r="A257" t="str">
            <v>Filtro motor perfiladora procut 1000R</v>
          </cell>
          <cell r="B257">
            <v>103251.92</v>
          </cell>
        </row>
        <row r="258">
          <cell r="A258" t="str">
            <v>Filtro motor recuperadora RM350 ref:1R0716</v>
          </cell>
          <cell r="B258">
            <v>76289.72</v>
          </cell>
        </row>
        <row r="259">
          <cell r="A259" t="str">
            <v>Filtro motor retrocargador 428B 1R0739 ref:7W2326</v>
          </cell>
          <cell r="B259">
            <v>33832.559999999998</v>
          </cell>
        </row>
        <row r="260">
          <cell r="A260" t="str">
            <v>Filtro motor retrocargador 436B ref:7W2326</v>
          </cell>
          <cell r="B260">
            <v>33832.559999999998</v>
          </cell>
        </row>
        <row r="261">
          <cell r="A261" t="str">
            <v>Filtro motor retroexcavadora 320 ref:1R0739</v>
          </cell>
          <cell r="B261">
            <v>38226.639999999999</v>
          </cell>
        </row>
        <row r="262">
          <cell r="A262" t="str">
            <v>Filtro motor retroexcavadora 330 ref:1R0739</v>
          </cell>
          <cell r="B262">
            <v>32954</v>
          </cell>
        </row>
        <row r="263">
          <cell r="A263" t="str">
            <v>Filtro motor retroexcavadora 345BL ref:1R0739</v>
          </cell>
          <cell r="B263">
            <v>38226.639999999999</v>
          </cell>
        </row>
        <row r="264">
          <cell r="A264" t="str">
            <v>Filtro motor tandemDD-22 ref:59489583</v>
          </cell>
          <cell r="B264">
            <v>39904</v>
          </cell>
        </row>
        <row r="265">
          <cell r="A265" t="str">
            <v>Filtro motor tractor agricola ref: T19044</v>
          </cell>
          <cell r="B265">
            <v>15447.72</v>
          </cell>
        </row>
        <row r="266">
          <cell r="A266" t="str">
            <v>Filtro motor Volqueta  ref:FC-67</v>
          </cell>
          <cell r="B266">
            <v>17999.72</v>
          </cell>
        </row>
        <row r="267">
          <cell r="A267" t="str">
            <v>Filtro succion hco compac PT125R ref:59581595</v>
          </cell>
          <cell r="B267">
            <v>102811.96</v>
          </cell>
        </row>
        <row r="268">
          <cell r="A268" t="str">
            <v>Filtro Transmisión 120-03</v>
          </cell>
          <cell r="B268">
            <v>43964</v>
          </cell>
        </row>
        <row r="269">
          <cell r="A269" t="str">
            <v>Filtro transmisión 12G ref:1R0719</v>
          </cell>
          <cell r="B269">
            <v>41321.519999999997</v>
          </cell>
        </row>
        <row r="270">
          <cell r="A270" t="str">
            <v>Filtro transmision perfiladora procut 1000R</v>
          </cell>
          <cell r="B270">
            <v>305117.49</v>
          </cell>
        </row>
        <row r="271">
          <cell r="A271" t="str">
            <v>Filtro transmision recuperadora RM350 ref:1107464</v>
          </cell>
          <cell r="B271">
            <v>282130</v>
          </cell>
        </row>
        <row r="272">
          <cell r="A272" t="str">
            <v>Filtro transmision retrocargador 436B 1ref.194749</v>
          </cell>
          <cell r="B272">
            <v>50063.28</v>
          </cell>
        </row>
        <row r="273">
          <cell r="A273" t="str">
            <v>Filtro Transmisión232-04</v>
          </cell>
          <cell r="B273">
            <v>21400</v>
          </cell>
        </row>
        <row r="274">
          <cell r="A274" t="str">
            <v>Filtros hidraulicos recuperadora RM350 ref:0541719</v>
          </cell>
          <cell r="B274">
            <v>41755.360000000001</v>
          </cell>
        </row>
        <row r="275">
          <cell r="A275" t="str">
            <v>Frenos</v>
          </cell>
          <cell r="B275">
            <v>3000000</v>
          </cell>
        </row>
        <row r="276">
          <cell r="A276" t="str">
            <v>Frenos  (250)-03-04</v>
          </cell>
          <cell r="B276">
            <v>3000000</v>
          </cell>
        </row>
        <row r="277">
          <cell r="A277" t="str">
            <v>Frenos (270)01-02-03-04-05-06</v>
          </cell>
          <cell r="B277">
            <v>3000000</v>
          </cell>
        </row>
        <row r="278">
          <cell r="A278" t="str">
            <v>Frenos de irrigador de asfalto</v>
          </cell>
          <cell r="B278">
            <v>75</v>
          </cell>
        </row>
        <row r="279">
          <cell r="A279" t="str">
            <v>Frenos Volqueta</v>
          </cell>
          <cell r="B279">
            <v>75</v>
          </cell>
        </row>
        <row r="280">
          <cell r="A280" t="str">
            <v>Gasolina</v>
          </cell>
          <cell r="B280">
            <v>6200</v>
          </cell>
        </row>
        <row r="281">
          <cell r="A281" t="str">
            <v>Grasa</v>
          </cell>
          <cell r="B281">
            <v>5500</v>
          </cell>
        </row>
        <row r="282">
          <cell r="A282" t="str">
            <v>Grasa 232-04</v>
          </cell>
          <cell r="B282">
            <v>23200</v>
          </cell>
        </row>
        <row r="283">
          <cell r="A283" t="str">
            <v>Hidraulico 232-04</v>
          </cell>
          <cell r="B283">
            <v>57638.080000000002</v>
          </cell>
        </row>
        <row r="284">
          <cell r="A284" t="str">
            <v>Impacto, abrasión, factor Z - D8N</v>
          </cell>
          <cell r="B284">
            <v>25500</v>
          </cell>
        </row>
        <row r="285">
          <cell r="A285" t="str">
            <v>Impacto,abrasio,factor z perfiladora PR-450</v>
          </cell>
          <cell r="B285">
            <v>13200</v>
          </cell>
        </row>
        <row r="286">
          <cell r="A286" t="str">
            <v>Impacto,abrasion,factor z CAT-D6D</v>
          </cell>
          <cell r="B286">
            <v>15000</v>
          </cell>
        </row>
        <row r="287">
          <cell r="A287" t="str">
            <v>Impacto,abrasion,factor z CAT-D7G</v>
          </cell>
          <cell r="B287">
            <v>18000</v>
          </cell>
        </row>
        <row r="288">
          <cell r="A288" t="str">
            <v>Impacto,abrasion,factor z CAT-D7H</v>
          </cell>
          <cell r="B288">
            <v>18000</v>
          </cell>
        </row>
        <row r="289">
          <cell r="A289" t="str">
            <v>Impacto,abrasion,factor z finisher</v>
          </cell>
          <cell r="B289">
            <v>13200</v>
          </cell>
        </row>
        <row r="290">
          <cell r="A290" t="str">
            <v>Impacto,abrasion,factor z retroexcavadora 320</v>
          </cell>
          <cell r="B290">
            <v>10200</v>
          </cell>
        </row>
        <row r="291">
          <cell r="A291" t="str">
            <v>Impacto,abrasion,factor z retroexcavadora 345BL</v>
          </cell>
          <cell r="B291">
            <v>10200</v>
          </cell>
        </row>
        <row r="292">
          <cell r="A292" t="str">
            <v>Llantas</v>
          </cell>
          <cell r="B292">
            <v>400000</v>
          </cell>
        </row>
        <row r="293">
          <cell r="A293" t="str">
            <v>Llantas (030-07)</v>
          </cell>
          <cell r="B293">
            <v>400000</v>
          </cell>
        </row>
        <row r="294">
          <cell r="A294" t="str">
            <v>Llantas (250)-03-04</v>
          </cell>
          <cell r="B294">
            <v>7739993.2799999993</v>
          </cell>
        </row>
        <row r="295">
          <cell r="A295" t="str">
            <v>Llantas (270)01-02-03-04-05-06</v>
          </cell>
          <cell r="B295">
            <v>7739993.2799999993</v>
          </cell>
        </row>
        <row r="296">
          <cell r="A296" t="str">
            <v>Llantas 1100*20</v>
          </cell>
          <cell r="B296">
            <v>7739993.2799999993</v>
          </cell>
        </row>
        <row r="297">
          <cell r="A297" t="str">
            <v>Llantas 242-01</v>
          </cell>
          <cell r="B297">
            <v>400000</v>
          </cell>
        </row>
        <row r="298">
          <cell r="A298" t="str">
            <v>Llantas 242-05</v>
          </cell>
          <cell r="B298">
            <v>400000</v>
          </cell>
        </row>
        <row r="299">
          <cell r="A299" t="str">
            <v>Llantas cargador 950B ref:23.5*25</v>
          </cell>
          <cell r="B299">
            <v>5525776</v>
          </cell>
        </row>
        <row r="300">
          <cell r="A300" t="str">
            <v>Llantas cargador 966C ref:23.5*25</v>
          </cell>
          <cell r="B300">
            <v>5525776</v>
          </cell>
        </row>
        <row r="301">
          <cell r="A301" t="str">
            <v>Llantas cargador 966D ref:26.5*25</v>
          </cell>
          <cell r="B301">
            <v>9409920</v>
          </cell>
        </row>
        <row r="302">
          <cell r="A302" t="str">
            <v>LLantas cargador 966Eref:26.5*25</v>
          </cell>
          <cell r="B302">
            <v>9409920</v>
          </cell>
        </row>
        <row r="303">
          <cell r="A303" t="str">
            <v>Llantas carro mantenim C-70 750*16</v>
          </cell>
          <cell r="B303">
            <v>580000</v>
          </cell>
        </row>
        <row r="304">
          <cell r="A304" t="str">
            <v>LLantas com.vib.Dinapac CA15 ref:1400*24</v>
          </cell>
          <cell r="B304">
            <v>1781644</v>
          </cell>
        </row>
        <row r="305">
          <cell r="A305" t="str">
            <v>LLantas com.vibr-auto ingersoll rand ref:750*16</v>
          </cell>
          <cell r="B305">
            <v>4293160</v>
          </cell>
        </row>
        <row r="306">
          <cell r="A306" t="str">
            <v>Llantas compactador Hyster C-530A ref:750*16</v>
          </cell>
          <cell r="B306">
            <v>754000</v>
          </cell>
        </row>
        <row r="307">
          <cell r="A307" t="str">
            <v>Llantas copac.vib.auto Cs433B ref:14.9*24</v>
          </cell>
          <cell r="B307">
            <v>2441800</v>
          </cell>
        </row>
        <row r="308">
          <cell r="A308" t="str">
            <v>Llantas finisher 1800*25</v>
          </cell>
          <cell r="B308">
            <v>8352000</v>
          </cell>
        </row>
        <row r="309">
          <cell r="A309" t="str">
            <v>Llantas minicargador Bobcat 751 ref:10*16.5</v>
          </cell>
          <cell r="B309">
            <v>677400</v>
          </cell>
        </row>
        <row r="310">
          <cell r="A310" t="str">
            <v>LLantas minicargador Bobcat 873 ref:12*16.5</v>
          </cell>
          <cell r="B310">
            <v>871160</v>
          </cell>
        </row>
        <row r="311">
          <cell r="A311" t="str">
            <v>LLantas motoniveladora 120G ref:1300*24</v>
          </cell>
          <cell r="B311">
            <v>2709760</v>
          </cell>
        </row>
        <row r="312">
          <cell r="A312" t="str">
            <v>Llantas motoniveladora 12G ref:1400*24</v>
          </cell>
          <cell r="B312">
            <v>1781644</v>
          </cell>
        </row>
        <row r="313">
          <cell r="A313" t="str">
            <v>Llantas perfiladora procut 1000R ref:90513862</v>
          </cell>
          <cell r="B313">
            <v>2558728</v>
          </cell>
        </row>
        <row r="314">
          <cell r="A314" t="str">
            <v>Llantas recuperadora Rm350 15.5*25</v>
          </cell>
          <cell r="B314">
            <v>1977800</v>
          </cell>
        </row>
        <row r="315">
          <cell r="A315" t="str">
            <v>Llantas recuperadora RM350 23.5*25</v>
          </cell>
          <cell r="B315">
            <v>5525776</v>
          </cell>
        </row>
        <row r="316">
          <cell r="A316" t="str">
            <v>LLantas ref:1100*20 irrigador de asfalto</v>
          </cell>
          <cell r="B316">
            <v>800000</v>
          </cell>
        </row>
        <row r="317">
          <cell r="A317" t="str">
            <v>Llantas retrocargador 428B ref:12.5*18</v>
          </cell>
          <cell r="B317">
            <v>1318920</v>
          </cell>
        </row>
        <row r="318">
          <cell r="A318" t="str">
            <v>Llantas retrocargador 428B ref:19.5*24</v>
          </cell>
          <cell r="B318">
            <v>2460360</v>
          </cell>
        </row>
        <row r="319">
          <cell r="A319" t="str">
            <v>LLantas retrocargador 436B ref:1100*16</v>
          </cell>
          <cell r="B319">
            <v>600880</v>
          </cell>
        </row>
        <row r="320">
          <cell r="A320" t="str">
            <v>Llantas retrocargador 436B ref:19.5*24</v>
          </cell>
          <cell r="B320">
            <v>2460360</v>
          </cell>
        </row>
        <row r="321">
          <cell r="A321" t="str">
            <v>Llantas solidas de pavim finisher</v>
          </cell>
          <cell r="B321">
            <v>2588728</v>
          </cell>
        </row>
        <row r="322">
          <cell r="A322" t="str">
            <v>Llantas tractor agricola 13.6*38</v>
          </cell>
          <cell r="B322">
            <v>1405600</v>
          </cell>
        </row>
        <row r="323">
          <cell r="A323" t="str">
            <v>LLantas tractor agricola ref:1100*16</v>
          </cell>
          <cell r="B323">
            <v>601000</v>
          </cell>
        </row>
        <row r="324">
          <cell r="A324" t="str">
            <v>LLantas Volqueta ref:1100*20</v>
          </cell>
          <cell r="B324">
            <v>800000</v>
          </cell>
        </row>
        <row r="325">
          <cell r="A325" t="str">
            <v>Mando Final</v>
          </cell>
          <cell r="B325">
            <v>20037</v>
          </cell>
        </row>
        <row r="326">
          <cell r="A326" t="str">
            <v>Mano de obra</v>
          </cell>
          <cell r="B326">
            <v>5000000</v>
          </cell>
        </row>
        <row r="327">
          <cell r="A327" t="str">
            <v>Mano de obra  (250)-03-04</v>
          </cell>
          <cell r="B327">
            <v>5000000</v>
          </cell>
        </row>
        <row r="328">
          <cell r="A328" t="str">
            <v>Mano de obra (270)01-02-03-04-05-06</v>
          </cell>
          <cell r="B328">
            <v>5000000</v>
          </cell>
        </row>
        <row r="329">
          <cell r="A329" t="str">
            <v>Mano de obra 232-04</v>
          </cell>
          <cell r="B329">
            <v>2000000</v>
          </cell>
        </row>
        <row r="330">
          <cell r="A330" t="str">
            <v>Motor (030)-08-09</v>
          </cell>
          <cell r="B330">
            <v>38537</v>
          </cell>
        </row>
        <row r="331">
          <cell r="A331" t="str">
            <v>Motor 242-04</v>
          </cell>
          <cell r="B331">
            <v>38537</v>
          </cell>
        </row>
        <row r="332">
          <cell r="A332" t="str">
            <v>Multiproposito</v>
          </cell>
          <cell r="B332">
            <v>6380</v>
          </cell>
        </row>
        <row r="333">
          <cell r="A333" t="str">
            <v>Otro flitro</v>
          </cell>
          <cell r="B333">
            <v>25000</v>
          </cell>
        </row>
        <row r="334">
          <cell r="A334" t="str">
            <v>Pasador ref.8E6208 retrocargador 436B</v>
          </cell>
          <cell r="B334">
            <v>6600.4</v>
          </cell>
        </row>
        <row r="335">
          <cell r="A335" t="str">
            <v>Pasador ref: 1140468 retroexcavadora 330</v>
          </cell>
          <cell r="B335">
            <v>34260.6</v>
          </cell>
        </row>
        <row r="336">
          <cell r="A336" t="str">
            <v>Pasador ref: 1140468 retroexcavadora 345BL</v>
          </cell>
          <cell r="B336">
            <v>34260.6</v>
          </cell>
        </row>
        <row r="337">
          <cell r="A337" t="str">
            <v>Pasador ref:1140358 CAT-D7G</v>
          </cell>
          <cell r="B337">
            <v>19319.8</v>
          </cell>
        </row>
        <row r="338">
          <cell r="A338" t="str">
            <v>Pasador ref:1140358 retroexcavadora 320</v>
          </cell>
          <cell r="B338">
            <v>19319.8</v>
          </cell>
        </row>
        <row r="339">
          <cell r="A339" t="str">
            <v>Pasador ref:8E6208 retrocargador 428B</v>
          </cell>
          <cell r="B339">
            <v>6600.4</v>
          </cell>
        </row>
        <row r="340">
          <cell r="A340" t="str">
            <v>Perno ref.1140358 CAT D7H</v>
          </cell>
          <cell r="B340">
            <v>19319.8</v>
          </cell>
        </row>
        <row r="341">
          <cell r="A341" t="str">
            <v>Perno ref:4T2479</v>
          </cell>
          <cell r="B341">
            <v>85860.88</v>
          </cell>
        </row>
        <row r="342">
          <cell r="A342" t="str">
            <v>Perno ref:8E6359 CAT-D6D</v>
          </cell>
          <cell r="B342">
            <v>28147.4</v>
          </cell>
        </row>
        <row r="343">
          <cell r="A343" t="str">
            <v>Planchas Finisher ref:YB-876-2818</v>
          </cell>
          <cell r="B343">
            <v>1034035.6</v>
          </cell>
        </row>
        <row r="344">
          <cell r="A344" t="str">
            <v>Punta ref.1U3202 retrocargador 436B</v>
          </cell>
          <cell r="B344">
            <v>60268.959999999999</v>
          </cell>
        </row>
        <row r="345">
          <cell r="A345" t="str">
            <v>Punta ref.6Y0359 CAT-D6D</v>
          </cell>
          <cell r="B345">
            <v>436260.92</v>
          </cell>
        </row>
        <row r="346">
          <cell r="A346" t="str">
            <v>Punta ref.6Y0359 CAT-D7H</v>
          </cell>
          <cell r="B346">
            <v>436260.92</v>
          </cell>
        </row>
        <row r="347">
          <cell r="A347" t="str">
            <v>Punta ref: 6Y5230</v>
          </cell>
          <cell r="B347">
            <v>78354.52</v>
          </cell>
        </row>
        <row r="348">
          <cell r="A348" t="str">
            <v>Punta ref: 9W2452</v>
          </cell>
          <cell r="B348">
            <v>498945</v>
          </cell>
        </row>
        <row r="349">
          <cell r="A349" t="str">
            <v>Punta ref: 9W8452 retroexcavadora 330</v>
          </cell>
          <cell r="B349">
            <v>316841.24</v>
          </cell>
        </row>
        <row r="350">
          <cell r="A350" t="str">
            <v>Punta ref: 9W8452 retroexcavadora 345BL</v>
          </cell>
          <cell r="B350">
            <v>316841.24</v>
          </cell>
        </row>
        <row r="351">
          <cell r="A351" t="str">
            <v>Punta ref:1U3202 retrocargador 428B</v>
          </cell>
          <cell r="B351">
            <v>60268.959999999999</v>
          </cell>
        </row>
        <row r="352">
          <cell r="A352" t="str">
            <v>Punta ref:1U3352 retroexcavadora 320</v>
          </cell>
          <cell r="B352">
            <v>197834.52</v>
          </cell>
        </row>
        <row r="353">
          <cell r="A353" t="str">
            <v>Punta ref:6Y0359 CAT-D7G</v>
          </cell>
          <cell r="B353">
            <v>436260.92</v>
          </cell>
        </row>
        <row r="354">
          <cell r="A354" t="str">
            <v>Punta ref:6Y5230 motoniveladora 120G</v>
          </cell>
          <cell r="B354">
            <v>78354.52</v>
          </cell>
        </row>
        <row r="355">
          <cell r="A355" t="str">
            <v>Puntera ref.7Y0358 retroexcavadora 320</v>
          </cell>
          <cell r="B355">
            <v>1377507</v>
          </cell>
        </row>
        <row r="356">
          <cell r="A356" t="str">
            <v>Puntera ref.8E4194 CAT-D6D</v>
          </cell>
          <cell r="B356">
            <v>1137045.8999999999</v>
          </cell>
        </row>
        <row r="357">
          <cell r="A357" t="str">
            <v>Puntera ref: 3G6395 cargador 966C</v>
          </cell>
          <cell r="B357">
            <v>634612.80000000005</v>
          </cell>
        </row>
        <row r="358">
          <cell r="A358" t="str">
            <v>Puntera ref: 4T8101/3G9512 cargador 950B</v>
          </cell>
          <cell r="B358">
            <v>468430.04</v>
          </cell>
        </row>
        <row r="359">
          <cell r="A359" t="str">
            <v>Puntera ref: 8J9825 retroexcavadora 330</v>
          </cell>
          <cell r="B359">
            <v>2170369.2999999998</v>
          </cell>
        </row>
        <row r="360">
          <cell r="A360" t="str">
            <v>Puntera ref: 8J9825 retroexcavadora 345BL</v>
          </cell>
          <cell r="B360">
            <v>2170369.2999999998</v>
          </cell>
        </row>
        <row r="361">
          <cell r="A361" t="str">
            <v>Puntera ref:3G6395 cargador 966D</v>
          </cell>
          <cell r="B361">
            <v>634612.80000000005</v>
          </cell>
        </row>
        <row r="362">
          <cell r="A362" t="str">
            <v>Puntera ref:3G6395 cargador 966E</v>
          </cell>
          <cell r="B362">
            <v>634612.80000000005</v>
          </cell>
        </row>
        <row r="363">
          <cell r="A363" t="str">
            <v>Puntera ref:4j8843 CAT-D6D</v>
          </cell>
          <cell r="B363">
            <v>885540.52</v>
          </cell>
        </row>
        <row r="364">
          <cell r="A364" t="str">
            <v>Puntera ref:4j8843 CAT-D7G</v>
          </cell>
          <cell r="B364">
            <v>885540.52</v>
          </cell>
        </row>
        <row r="365">
          <cell r="A365" t="str">
            <v>Puntera ref:4j8843 CAT-D7H</v>
          </cell>
          <cell r="B365">
            <v>885540.52</v>
          </cell>
        </row>
        <row r="366">
          <cell r="A366" t="str">
            <v>Puntera ref:4J8844 CAT-D6D</v>
          </cell>
          <cell r="B366">
            <v>885540.52</v>
          </cell>
        </row>
        <row r="367">
          <cell r="A367" t="str">
            <v>Puntera ref:4J8844 CAT-D7G</v>
          </cell>
          <cell r="B367">
            <v>885540.52</v>
          </cell>
        </row>
        <row r="368">
          <cell r="A368" t="str">
            <v>Puntera ref:4J8844 CAT-D7H</v>
          </cell>
          <cell r="B368">
            <v>885540.52</v>
          </cell>
        </row>
        <row r="369">
          <cell r="A369" t="str">
            <v>Puntera ref:7Y0357 retroexcavadora 320</v>
          </cell>
          <cell r="B369">
            <v>1377507</v>
          </cell>
        </row>
        <row r="370">
          <cell r="A370" t="str">
            <v>Puntera ref:8E4193</v>
          </cell>
          <cell r="B370">
            <v>1137045.8999999999</v>
          </cell>
        </row>
        <row r="371">
          <cell r="A371" t="str">
            <v>Puntera ref:8E4194</v>
          </cell>
          <cell r="B371">
            <v>1137045.8999999999</v>
          </cell>
        </row>
        <row r="372">
          <cell r="A372" t="str">
            <v>Puntera ref:8J9826 retroexcavadora 330</v>
          </cell>
          <cell r="B372">
            <v>2170369.2999999998</v>
          </cell>
        </row>
        <row r="373">
          <cell r="A373" t="str">
            <v>Puntera ref:8J9826 retroexcavadora 345BL</v>
          </cell>
          <cell r="B373">
            <v>2170369.2999999998</v>
          </cell>
        </row>
        <row r="374">
          <cell r="A374" t="str">
            <v>Punteras ref: 2227570 perfiladora PR450</v>
          </cell>
          <cell r="B374">
            <v>18908</v>
          </cell>
        </row>
        <row r="375">
          <cell r="A375" t="str">
            <v>Punteras ref:2227570 perfiladora procut 1000R</v>
          </cell>
          <cell r="B375">
            <v>18908</v>
          </cell>
        </row>
        <row r="376">
          <cell r="A376" t="str">
            <v>ref:2227570recuperadora RM350</v>
          </cell>
          <cell r="B376">
            <v>18908</v>
          </cell>
        </row>
        <row r="377">
          <cell r="A377" t="str">
            <v>ref:5P8249 recuperadora RM350</v>
          </cell>
          <cell r="B377">
            <v>4049.56</v>
          </cell>
        </row>
        <row r="378">
          <cell r="A378" t="str">
            <v>ref:6K0545 recuperadora RM350</v>
          </cell>
          <cell r="B378">
            <v>11169.64</v>
          </cell>
        </row>
        <row r="379">
          <cell r="A379" t="str">
            <v>ref:6R3926 recuperadora RM350</v>
          </cell>
          <cell r="B379">
            <v>227669.72</v>
          </cell>
        </row>
        <row r="380">
          <cell r="A380" t="str">
            <v>ref:6R3927 recuperadora RM350</v>
          </cell>
          <cell r="B380">
            <v>113864.44</v>
          </cell>
        </row>
        <row r="381">
          <cell r="A381" t="str">
            <v>ref:7X0381 recuperadora RM350</v>
          </cell>
          <cell r="B381">
            <v>9608.2800000000007</v>
          </cell>
        </row>
        <row r="382">
          <cell r="A382" t="str">
            <v>ref:9U9617 recuperadora RM350</v>
          </cell>
          <cell r="B382">
            <v>37472.639999999999</v>
          </cell>
        </row>
        <row r="383">
          <cell r="A383" t="str">
            <v>Repuestos</v>
          </cell>
          <cell r="B383">
            <v>32000000</v>
          </cell>
        </row>
        <row r="384">
          <cell r="A384" t="str">
            <v>Repuestos (250)-03-04</v>
          </cell>
          <cell r="B384">
            <v>32000000</v>
          </cell>
        </row>
        <row r="385">
          <cell r="A385" t="str">
            <v>Repuestos (270)01-02-03-04-05-06</v>
          </cell>
          <cell r="B385">
            <v>32000000</v>
          </cell>
        </row>
        <row r="386">
          <cell r="A386" t="str">
            <v>Repuestos 232-04</v>
          </cell>
          <cell r="B386">
            <v>16000000</v>
          </cell>
        </row>
        <row r="387">
          <cell r="A387" t="str">
            <v>Reserva de mano de obra cargador 950B</v>
          </cell>
          <cell r="B387">
            <v>7000</v>
          </cell>
        </row>
        <row r="388">
          <cell r="A388" t="str">
            <v>Reserva de mano de obra cargador 966C</v>
          </cell>
          <cell r="B388">
            <v>7500</v>
          </cell>
        </row>
        <row r="389">
          <cell r="A389" t="str">
            <v>Reserva de mano de obra cargador 966D</v>
          </cell>
          <cell r="B389">
            <v>7500</v>
          </cell>
        </row>
        <row r="390">
          <cell r="A390" t="str">
            <v>Reserva de mano de obra cargador 966E</v>
          </cell>
          <cell r="B390">
            <v>7500</v>
          </cell>
        </row>
        <row r="391">
          <cell r="A391" t="str">
            <v>Reserva de mano de obra CAT-D7G</v>
          </cell>
          <cell r="B391">
            <v>7500</v>
          </cell>
        </row>
        <row r="392">
          <cell r="A392" t="str">
            <v>Reserva de mano de obra CAT-D7H</v>
          </cell>
          <cell r="B392">
            <v>7500</v>
          </cell>
        </row>
        <row r="393">
          <cell r="A393" t="str">
            <v>Reserva de mano de obra irrigador de asfalto</v>
          </cell>
          <cell r="B393">
            <v>25</v>
          </cell>
        </row>
        <row r="394">
          <cell r="A394" t="str">
            <v>Reserva de mano de obra minicargador Bobcat 75</v>
          </cell>
          <cell r="B394">
            <v>6250</v>
          </cell>
        </row>
        <row r="395">
          <cell r="A395" t="str">
            <v>Reserva de mano de obra minicargador Bobcat 873</v>
          </cell>
          <cell r="B395">
            <v>6250</v>
          </cell>
        </row>
        <row r="396">
          <cell r="A396" t="str">
            <v>Reserva de mano de obra motoniveladora 120G</v>
          </cell>
          <cell r="B396">
            <v>6250</v>
          </cell>
        </row>
        <row r="397">
          <cell r="A397" t="str">
            <v>Reserva de mano de obra perfiladora PR-450</v>
          </cell>
          <cell r="B397">
            <v>6250</v>
          </cell>
        </row>
        <row r="398">
          <cell r="A398" t="str">
            <v>Reserva de mano de obra retrocargador 436B</v>
          </cell>
          <cell r="B398">
            <v>9000</v>
          </cell>
        </row>
        <row r="399">
          <cell r="A399" t="str">
            <v>Reserva de mano de obra retroexcavadora 320</v>
          </cell>
          <cell r="B399">
            <v>6250</v>
          </cell>
        </row>
        <row r="400">
          <cell r="A400" t="str">
            <v>Reserva de mano de obra retroexcavadora 330</v>
          </cell>
          <cell r="B400">
            <v>7500</v>
          </cell>
        </row>
        <row r="401">
          <cell r="A401" t="str">
            <v>Reserva de mano de obra retroexcavadora 345BL</v>
          </cell>
          <cell r="B401">
            <v>6250</v>
          </cell>
        </row>
        <row r="402">
          <cell r="A402" t="str">
            <v>Reserva de mano de obra Volqueta</v>
          </cell>
          <cell r="B402">
            <v>11000</v>
          </cell>
        </row>
        <row r="403">
          <cell r="A403" t="str">
            <v>Reserva de mano de obra Volqueta</v>
          </cell>
          <cell r="B403">
            <v>25</v>
          </cell>
        </row>
        <row r="404">
          <cell r="A404" t="str">
            <v>Reserva de mano deobra compac.vib.SD77</v>
          </cell>
          <cell r="B404">
            <v>25</v>
          </cell>
        </row>
        <row r="405">
          <cell r="A405" t="str">
            <v>Reserva de reparaciones</v>
          </cell>
          <cell r="B405">
            <v>23368.2</v>
          </cell>
        </row>
        <row r="406">
          <cell r="A406" t="str">
            <v>Reserva de reparaciones cargador 950B</v>
          </cell>
          <cell r="B406">
            <v>23368.2</v>
          </cell>
        </row>
        <row r="407">
          <cell r="A407" t="str">
            <v>Reserva de reparaciones cargador 966C</v>
          </cell>
          <cell r="B407">
            <v>23368.2</v>
          </cell>
        </row>
        <row r="408">
          <cell r="A408" t="str">
            <v>Reserva de reparaciones cargador 966D</v>
          </cell>
          <cell r="B408">
            <v>10000</v>
          </cell>
        </row>
        <row r="409">
          <cell r="A409" t="str">
            <v>Reserva de reparaciones cargador 966E</v>
          </cell>
          <cell r="B409">
            <v>11250</v>
          </cell>
        </row>
        <row r="410">
          <cell r="A410" t="str">
            <v>Reserva de reparaciones CAT-D7H</v>
          </cell>
          <cell r="B410">
            <v>11250</v>
          </cell>
        </row>
        <row r="411">
          <cell r="A411" t="str">
            <v>Reserva de reparaciones comp.vib.auto. ingersoll</v>
          </cell>
          <cell r="B411">
            <v>11250</v>
          </cell>
        </row>
        <row r="412">
          <cell r="A412" t="str">
            <v>Reserva de reparaciones compac.vib.auto. CS433B</v>
          </cell>
          <cell r="B412">
            <v>6250</v>
          </cell>
        </row>
        <row r="413">
          <cell r="A413" t="str">
            <v>Reserva de reparaciones compac.vib.SD77</v>
          </cell>
          <cell r="B413">
            <v>6250</v>
          </cell>
        </row>
        <row r="414">
          <cell r="A414" t="str">
            <v>Reserva de reparaciones compactador tandem DD-22</v>
          </cell>
          <cell r="B414">
            <v>6250</v>
          </cell>
        </row>
        <row r="415">
          <cell r="A415" t="str">
            <v>Reserva de reparaciones minicargador Bobcat 75</v>
          </cell>
          <cell r="B415">
            <v>6250</v>
          </cell>
        </row>
        <row r="416">
          <cell r="A416" t="str">
            <v>Reserva de reparaciones minicargador Bobcat 873</v>
          </cell>
          <cell r="B416">
            <v>6250</v>
          </cell>
        </row>
        <row r="417">
          <cell r="A417" t="str">
            <v>Reserva de reparaciones motoniveladora 120G</v>
          </cell>
          <cell r="B417">
            <v>6250</v>
          </cell>
        </row>
        <row r="418">
          <cell r="A418" t="str">
            <v>Reserva de reparaciones perfiladora PR-450</v>
          </cell>
          <cell r="B418">
            <v>6250</v>
          </cell>
        </row>
        <row r="419">
          <cell r="A419" t="str">
            <v>Reserva de reparaciones- repuestos CAT-D6D</v>
          </cell>
          <cell r="B419">
            <v>21000</v>
          </cell>
        </row>
        <row r="420">
          <cell r="A420" t="str">
            <v>Reserva de reparaciones retrocargador 428B</v>
          </cell>
          <cell r="B420">
            <v>21000</v>
          </cell>
        </row>
        <row r="421">
          <cell r="A421" t="str">
            <v>Reserva de reparaciones retrocargador 436B</v>
          </cell>
          <cell r="B421">
            <v>9000</v>
          </cell>
        </row>
        <row r="422">
          <cell r="A422" t="str">
            <v>Reserva de reparaciones retroexcavadora 320</v>
          </cell>
          <cell r="B422">
            <v>7500</v>
          </cell>
        </row>
        <row r="423">
          <cell r="A423" t="str">
            <v>Reserva de reparaciones retroexcavadora 330</v>
          </cell>
          <cell r="B423">
            <v>7500</v>
          </cell>
        </row>
        <row r="424">
          <cell r="A424" t="str">
            <v>Reserva de reparaciones retroexcavadora 345BL</v>
          </cell>
          <cell r="B424">
            <v>6250</v>
          </cell>
        </row>
        <row r="425">
          <cell r="A425" t="str">
            <v>Reserva de repararaciones compactador DD65</v>
          </cell>
          <cell r="B425">
            <v>11000</v>
          </cell>
        </row>
        <row r="426">
          <cell r="A426" t="str">
            <v>Reserva de repuestos  irrigador de asfalto</v>
          </cell>
          <cell r="B426">
            <v>6250</v>
          </cell>
        </row>
        <row r="427">
          <cell r="A427" t="str">
            <v>Reserva de repuestos carro mantenim.NPR</v>
          </cell>
          <cell r="B427">
            <v>500</v>
          </cell>
        </row>
        <row r="428">
          <cell r="A428" t="str">
            <v>Reserva de repuestos CAT-D7G</v>
          </cell>
          <cell r="B428">
            <v>500</v>
          </cell>
        </row>
        <row r="429">
          <cell r="A429" t="str">
            <v>Reserva de repuestos de reparaciones C-70</v>
          </cell>
          <cell r="B429">
            <v>500</v>
          </cell>
        </row>
        <row r="430">
          <cell r="A430" t="str">
            <v>Reserva de repuestos de reparaciones Volqueta</v>
          </cell>
          <cell r="B430">
            <v>500</v>
          </cell>
        </row>
        <row r="431">
          <cell r="A431" t="str">
            <v>Reserva de repuestos Finisher</v>
          </cell>
          <cell r="B431">
            <v>11216.74</v>
          </cell>
        </row>
        <row r="432">
          <cell r="A432" t="str">
            <v>Reserva de repuestos Hyster C-530A</v>
          </cell>
          <cell r="B432">
            <v>11216.74</v>
          </cell>
        </row>
        <row r="433">
          <cell r="A433" t="str">
            <v>Reserva de repuestos perfiladora procut 1000R</v>
          </cell>
          <cell r="B433">
            <v>6250</v>
          </cell>
        </row>
        <row r="434">
          <cell r="A434" t="str">
            <v>Reserva de repuestos Recuperadora RM350</v>
          </cell>
          <cell r="B434">
            <v>6250</v>
          </cell>
        </row>
        <row r="435">
          <cell r="A435" t="str">
            <v>Reserva de repuestos tractor agricola</v>
          </cell>
          <cell r="B435">
            <v>6250</v>
          </cell>
        </row>
        <row r="436">
          <cell r="A436" t="str">
            <v>Reserva mano de obra carro mantenim. C-70</v>
          </cell>
          <cell r="B436">
            <v>6250</v>
          </cell>
        </row>
        <row r="437">
          <cell r="A437" t="str">
            <v>Reserva mano de obra carro mantenim.NPR</v>
          </cell>
          <cell r="B437">
            <v>25</v>
          </cell>
        </row>
        <row r="438">
          <cell r="A438" t="str">
            <v>Reserva mano de obra CAT-D6D</v>
          </cell>
          <cell r="B438">
            <v>25</v>
          </cell>
        </row>
        <row r="439">
          <cell r="A439" t="str">
            <v>Reserva mano de obra com.vib.auto.ingersoll rand</v>
          </cell>
          <cell r="B439">
            <v>6000</v>
          </cell>
        </row>
        <row r="440">
          <cell r="A440" t="str">
            <v>Reserva mano de obra compac PT125R</v>
          </cell>
          <cell r="B440">
            <v>6250</v>
          </cell>
        </row>
        <row r="441">
          <cell r="A441" t="str">
            <v>Reserva mano de obra compac.vib.auto.Cs433b</v>
          </cell>
          <cell r="B441">
            <v>6250</v>
          </cell>
        </row>
        <row r="442">
          <cell r="A442" t="str">
            <v>Reserva mano de obra compactador tandem DD-22</v>
          </cell>
          <cell r="B442">
            <v>6250</v>
          </cell>
        </row>
        <row r="443">
          <cell r="A443" t="str">
            <v>Reserva mano de obra Finisher</v>
          </cell>
          <cell r="B443">
            <v>8412.5499999999993</v>
          </cell>
        </row>
        <row r="444">
          <cell r="A444" t="str">
            <v>Reserva mano de obra Hyster C-530A</v>
          </cell>
          <cell r="B444">
            <v>8412.5499999999993</v>
          </cell>
        </row>
        <row r="445">
          <cell r="A445" t="str">
            <v>Reserva mano de obra perfiladora procut 1000R</v>
          </cell>
          <cell r="B445">
            <v>6250</v>
          </cell>
        </row>
        <row r="446">
          <cell r="A446" t="str">
            <v>Reserva mano de obra Recuperadora RM350</v>
          </cell>
          <cell r="B446">
            <v>6250</v>
          </cell>
        </row>
        <row r="447">
          <cell r="A447" t="str">
            <v>Reserva mano de obra retrocargador 428B</v>
          </cell>
          <cell r="B447">
            <v>6250</v>
          </cell>
        </row>
        <row r="448">
          <cell r="A448" t="str">
            <v>Reserva mano de obra tractor agricola</v>
          </cell>
          <cell r="B448">
            <v>6250</v>
          </cell>
        </row>
        <row r="449">
          <cell r="A449" t="str">
            <v>Reserva manode obra compactador DD65</v>
          </cell>
          <cell r="B449">
            <v>6250</v>
          </cell>
        </row>
        <row r="450">
          <cell r="A450" t="str">
            <v>Reserva repara ciones compac PT125R</v>
          </cell>
          <cell r="B450">
            <v>6250</v>
          </cell>
        </row>
        <row r="451">
          <cell r="A451" t="str">
            <v>Retenedor ref:1140358 CAT-D6D</v>
          </cell>
          <cell r="B451">
            <v>6250</v>
          </cell>
        </row>
        <row r="452">
          <cell r="A452" t="str">
            <v>Retenedor ref:1140358 CAT-D7H</v>
          </cell>
          <cell r="B452">
            <v>6250</v>
          </cell>
        </row>
        <row r="453">
          <cell r="A453" t="str">
            <v>Retenedor ref:8E6209 retrocargador 428B</v>
          </cell>
          <cell r="B453">
            <v>19319.8</v>
          </cell>
        </row>
        <row r="454">
          <cell r="A454" t="str">
            <v>Retenedor ref:8E6209 retrocargador 436B</v>
          </cell>
          <cell r="B454">
            <v>19319.8</v>
          </cell>
        </row>
        <row r="455">
          <cell r="A455" t="str">
            <v>Retenedor ref:8E6359 CAT-D7G</v>
          </cell>
          <cell r="B455">
            <v>14404.88</v>
          </cell>
        </row>
        <row r="456">
          <cell r="A456" t="str">
            <v>Retenedor ref:8E6359-3G9549 retroexcavadora 320</v>
          </cell>
          <cell r="B456">
            <v>14404.88</v>
          </cell>
        </row>
        <row r="457">
          <cell r="A457" t="str">
            <v>Retenedor ref:8E6359-3G9549 retroexcavadora 345BL</v>
          </cell>
          <cell r="B457">
            <v>28147.4</v>
          </cell>
        </row>
        <row r="458">
          <cell r="A458" t="str">
            <v>Retenedor ref:8E8469 retroexcavadora 330</v>
          </cell>
          <cell r="B458">
            <v>28147.4</v>
          </cell>
        </row>
        <row r="459">
          <cell r="A459" t="str">
            <v>SAE 10W</v>
          </cell>
          <cell r="B459">
            <v>32486.959999999999</v>
          </cell>
        </row>
        <row r="460">
          <cell r="A460" t="str">
            <v>SAE 40</v>
          </cell>
          <cell r="B460">
            <v>32486.959999999999</v>
          </cell>
        </row>
        <row r="461">
          <cell r="A461" t="str">
            <v>SAE 50</v>
          </cell>
          <cell r="B461">
            <v>23558.44</v>
          </cell>
        </row>
        <row r="462">
          <cell r="A462" t="str">
            <v>Tormillo ref:4J9058</v>
          </cell>
          <cell r="B462">
            <v>24824</v>
          </cell>
        </row>
        <row r="463">
          <cell r="A463" t="str">
            <v>Tornillo ref.5J4772 CAT-D7G</v>
          </cell>
          <cell r="B463">
            <v>23242.92</v>
          </cell>
        </row>
        <row r="464">
          <cell r="A464" t="str">
            <v>Tornillo ref.6F0196 CAT-D7H</v>
          </cell>
          <cell r="B464">
            <v>13853.88</v>
          </cell>
        </row>
        <row r="465">
          <cell r="A465" t="str">
            <v>Tornillo ref:3F5108</v>
          </cell>
          <cell r="B465">
            <v>9096.7199999999993</v>
          </cell>
        </row>
        <row r="466">
          <cell r="A466" t="str">
            <v>Tornillo ref:3F5108  motoniveladora 120G</v>
          </cell>
          <cell r="B466">
            <v>3804.8</v>
          </cell>
        </row>
        <row r="467">
          <cell r="A467" t="str">
            <v>Tornillo ref:4F4042 cargador 950B</v>
          </cell>
          <cell r="B467">
            <v>3804.8</v>
          </cell>
        </row>
        <row r="468">
          <cell r="A468" t="str">
            <v>Tornillo ref:5P8823 cargador 966D</v>
          </cell>
          <cell r="B468">
            <v>3804.8</v>
          </cell>
        </row>
        <row r="469">
          <cell r="A469" t="str">
            <v>Tornillo ref:6F0196 CAT-D6D</v>
          </cell>
          <cell r="B469">
            <v>12842.36</v>
          </cell>
        </row>
        <row r="470">
          <cell r="A470" t="str">
            <v>Tornillo ref:6F0196 CAT-D7G</v>
          </cell>
          <cell r="B470">
            <v>38469.08</v>
          </cell>
        </row>
        <row r="471">
          <cell r="A471" t="str">
            <v>Tornillo ref:6i6371 retroexcavadora 320</v>
          </cell>
          <cell r="B471">
            <v>9096.7199999999993</v>
          </cell>
        </row>
        <row r="472">
          <cell r="A472" t="str">
            <v>Tornillo ref:6i6371 retroexcavadora 320</v>
          </cell>
          <cell r="B472">
            <v>14103</v>
          </cell>
        </row>
        <row r="473">
          <cell r="A473" t="str">
            <v>Tornillo ref:6i6371 retroexcavadora 345BL</v>
          </cell>
          <cell r="B473">
            <v>14103</v>
          </cell>
        </row>
        <row r="474">
          <cell r="A474" t="str">
            <v>Tornillo ref:6V6535 cargador 966C</v>
          </cell>
          <cell r="B474">
            <v>14103</v>
          </cell>
        </row>
        <row r="475">
          <cell r="A475" t="str">
            <v>Tornillo ref:7Y2146 retroexcavadora 330</v>
          </cell>
          <cell r="B475">
            <v>34782.6</v>
          </cell>
        </row>
        <row r="476">
          <cell r="A476" t="str">
            <v>Tornillos ref:5P8823 cargador 966E</v>
          </cell>
          <cell r="B476">
            <v>18122.68</v>
          </cell>
        </row>
        <row r="477">
          <cell r="A477" t="str">
            <v>Transmisión 232-04</v>
          </cell>
          <cell r="B477">
            <v>18122.68</v>
          </cell>
        </row>
        <row r="478">
          <cell r="A478" t="str">
            <v>Transmisión 242-04</v>
          </cell>
          <cell r="B478">
            <v>38469.08</v>
          </cell>
        </row>
        <row r="479">
          <cell r="A479" t="str">
            <v>Transmisión 242-05</v>
          </cell>
          <cell r="B479">
            <v>92800</v>
          </cell>
        </row>
        <row r="480">
          <cell r="A480" t="str">
            <v>Tuerca ref.2J3505 CAT-D6D</v>
          </cell>
          <cell r="B480">
            <v>5500</v>
          </cell>
        </row>
        <row r="481">
          <cell r="A481" t="str">
            <v>Tuerca ref.2J3505 CAT-D7G</v>
          </cell>
          <cell r="B481">
            <v>5500</v>
          </cell>
        </row>
        <row r="482">
          <cell r="A482" t="str">
            <v>Tuerca ref.4K0367 motoniveladora 120G</v>
          </cell>
          <cell r="B482">
            <v>4897.5200000000004</v>
          </cell>
        </row>
        <row r="483">
          <cell r="A483" t="str">
            <v>Tuerca ref:2J 3505 CAT-D7H</v>
          </cell>
          <cell r="B483">
            <v>4897.5200000000004</v>
          </cell>
        </row>
      </sheetData>
      <sheetData sheetId="2">
        <row r="4">
          <cell r="A4" t="str">
            <v>INSUMOS</v>
          </cell>
        </row>
        <row r="7">
          <cell r="B7" t="str">
            <v xml:space="preserve"> SUELDOS</v>
          </cell>
        </row>
        <row r="8">
          <cell r="B8" t="str">
            <v>COND. CAMION</v>
          </cell>
          <cell r="C8">
            <v>433700</v>
          </cell>
        </row>
        <row r="9">
          <cell r="B9" t="str">
            <v>COND. CAMIONETA</v>
          </cell>
          <cell r="C9">
            <v>433700</v>
          </cell>
        </row>
        <row r="10">
          <cell r="B10" t="str">
            <v>COND. CARROTANQUE</v>
          </cell>
          <cell r="C10">
            <v>433700</v>
          </cell>
        </row>
        <row r="11">
          <cell r="B11" t="str">
            <v>COND. TANQUE</v>
          </cell>
          <cell r="C11">
            <v>433700</v>
          </cell>
        </row>
        <row r="12">
          <cell r="B12" t="str">
            <v>COND. TRAILER-DOLLY</v>
          </cell>
          <cell r="C12">
            <v>433700</v>
          </cell>
        </row>
        <row r="13">
          <cell r="B13" t="str">
            <v>COND. VEHICULO DE APOYO</v>
          </cell>
          <cell r="C13">
            <v>433700</v>
          </cell>
        </row>
        <row r="14">
          <cell r="B14" t="str">
            <v>COND. VOLQUETAS</v>
          </cell>
          <cell r="C14">
            <v>433700</v>
          </cell>
        </row>
        <row r="15">
          <cell r="B15" t="str">
            <v>OP. BULLDOZER</v>
          </cell>
          <cell r="C15">
            <v>620796</v>
          </cell>
        </row>
        <row r="16">
          <cell r="B16" t="str">
            <v>OP. CARGADORES</v>
          </cell>
          <cell r="C16">
            <v>644222</v>
          </cell>
        </row>
        <row r="17">
          <cell r="B17" t="str">
            <v>OP. COMPACTADORES</v>
          </cell>
          <cell r="C17">
            <v>500000</v>
          </cell>
        </row>
        <row r="18">
          <cell r="B18" t="str">
            <v>OP. COMPRENSOR</v>
          </cell>
          <cell r="C18">
            <v>500000</v>
          </cell>
        </row>
        <row r="19">
          <cell r="B19" t="str">
            <v>OP. CORTADORA PAV</v>
          </cell>
          <cell r="C19">
            <v>583000</v>
          </cell>
        </row>
        <row r="20">
          <cell r="B20" t="str">
            <v>OP. DERRETIDORA</v>
          </cell>
          <cell r="C20">
            <v>583000</v>
          </cell>
        </row>
        <row r="21">
          <cell r="B21" t="str">
            <v>OP. FRESADORA ASFALTO</v>
          </cell>
          <cell r="C21">
            <v>616000</v>
          </cell>
        </row>
        <row r="22">
          <cell r="B22" t="str">
            <v>OP. IRRIGADOR</v>
          </cell>
          <cell r="C22">
            <v>495000</v>
          </cell>
        </row>
        <row r="23">
          <cell r="B23" t="str">
            <v>OP. MINICARGADOR</v>
          </cell>
          <cell r="C23">
            <v>550000</v>
          </cell>
        </row>
        <row r="24">
          <cell r="B24" t="str">
            <v>OP. MOTONIVELADORA</v>
          </cell>
          <cell r="C24">
            <v>967474</v>
          </cell>
        </row>
        <row r="25">
          <cell r="B25" t="str">
            <v>OP. PAVIMENTADORA</v>
          </cell>
          <cell r="C25">
            <v>671000</v>
          </cell>
        </row>
        <row r="26">
          <cell r="B26" t="str">
            <v>OP. PAVIMENTADORA W1900 (100-03)</v>
          </cell>
          <cell r="C26">
            <v>1100000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Individual"/>
      <sheetName val="Datos de Entrada"/>
      <sheetName val="Mat"/>
      <sheetName val="MO"/>
      <sheetName val="Ac. Monof"/>
      <sheetName val="Ac Trifas"/>
      <sheetName val="Bandejas y Canaletas"/>
      <sheetName val="Cables"/>
      <sheetName val="Redes Exteriores"/>
      <sheetName val="Salidas PVC"/>
      <sheetName val="Salidas EMT"/>
      <sheetName val="Tuberías"/>
      <sheetName val="Tableros Y Cajas"/>
      <sheetName val="Voz y Datos"/>
      <sheetName val="Dólar"/>
      <sheetName val="Gastos"/>
      <sheetName val="lista-precio-mat-equipos"/>
    </sheetNames>
    <sheetDataSet>
      <sheetData sheetId="0" refreshError="1"/>
      <sheetData sheetId="1"/>
      <sheetData sheetId="2">
        <row r="2">
          <cell r="A2" t="str">
            <v>.</v>
          </cell>
        </row>
      </sheetData>
      <sheetData sheetId="3">
        <row r="2">
          <cell r="A2" t="str">
            <v>.</v>
          </cell>
        </row>
        <row r="3">
          <cell r="A3" t="str">
            <v>Acom. monofásica 3 hilos</v>
          </cell>
        </row>
        <row r="4">
          <cell r="A4" t="str">
            <v>Acom. monofásica 9 hilos</v>
          </cell>
        </row>
        <row r="5">
          <cell r="A5" t="str">
            <v>Acom. primaria XLPE 1/0</v>
          </cell>
        </row>
        <row r="6">
          <cell r="A6" t="str">
            <v>Acom. trifásica 4 hilos</v>
          </cell>
        </row>
        <row r="7">
          <cell r="A7" t="str">
            <v>Acom. trifásica 8 hilos</v>
          </cell>
        </row>
        <row r="8">
          <cell r="A8" t="str">
            <v>Al ACSR 1/0</v>
          </cell>
        </row>
        <row r="9">
          <cell r="A9" t="str">
            <v>Al ACSR 2</v>
          </cell>
        </row>
        <row r="10">
          <cell r="A10" t="str">
            <v>Al ACSR 2/0</v>
          </cell>
        </row>
        <row r="11">
          <cell r="A11" t="str">
            <v>Al ACSR 3/0</v>
          </cell>
        </row>
        <row r="12">
          <cell r="A12" t="str">
            <v>Al ACSR 4</v>
          </cell>
        </row>
        <row r="13">
          <cell r="A13" t="str">
            <v>Al ACSR 4/0</v>
          </cell>
        </row>
        <row r="14">
          <cell r="A14" t="str">
            <v>Bandeja de 10 cm</v>
          </cell>
        </row>
        <row r="15">
          <cell r="A15" t="str">
            <v>Bandeja de 20 cm</v>
          </cell>
        </row>
        <row r="16">
          <cell r="A16" t="str">
            <v>Bandeja de 30 cm</v>
          </cell>
        </row>
        <row r="17">
          <cell r="A17" t="str">
            <v>Bandeja de 40 cm</v>
          </cell>
        </row>
        <row r="18">
          <cell r="A18" t="str">
            <v>Bandeja de 60 cm</v>
          </cell>
        </row>
        <row r="19">
          <cell r="A19" t="str">
            <v>C. No. 1/0</v>
          </cell>
        </row>
        <row r="20">
          <cell r="A20" t="str">
            <v>C. No. 10</v>
          </cell>
        </row>
        <row r="21">
          <cell r="A21" t="str">
            <v>C. No. 12</v>
          </cell>
        </row>
        <row r="22">
          <cell r="A22" t="str">
            <v>C. No. 14</v>
          </cell>
        </row>
        <row r="23">
          <cell r="A23" t="str">
            <v>C. No. 2</v>
          </cell>
        </row>
        <row r="24">
          <cell r="A24" t="str">
            <v>C. No. 2/0</v>
          </cell>
        </row>
        <row r="25">
          <cell r="A25" t="str">
            <v>C. No. 250 mcm</v>
          </cell>
        </row>
        <row r="26">
          <cell r="A26" t="str">
            <v>C. No. 3/0</v>
          </cell>
        </row>
        <row r="27">
          <cell r="A27" t="str">
            <v>C. No. 300 mcm</v>
          </cell>
        </row>
        <row r="28">
          <cell r="A28" t="str">
            <v>C. No. 350 mcm</v>
          </cell>
        </row>
        <row r="29">
          <cell r="A29" t="str">
            <v>C. No. 4</v>
          </cell>
        </row>
        <row r="30">
          <cell r="A30" t="str">
            <v>C. No. 4/0</v>
          </cell>
        </row>
        <row r="31">
          <cell r="A31" t="str">
            <v>C. No. 400 mcm</v>
          </cell>
        </row>
        <row r="32">
          <cell r="A32" t="str">
            <v>C. No. 500 mcm</v>
          </cell>
        </row>
        <row r="33">
          <cell r="A33" t="str">
            <v>C. No. 6</v>
          </cell>
        </row>
        <row r="34">
          <cell r="A34" t="str">
            <v>C. No. 8</v>
          </cell>
        </row>
        <row r="35">
          <cell r="A35" t="str">
            <v>Cable UTP</v>
          </cell>
        </row>
        <row r="36">
          <cell r="A36" t="str">
            <v>Caja empalme 15x15</v>
          </cell>
        </row>
        <row r="37">
          <cell r="A37" t="str">
            <v>Caja subterránea 50x50, 60x60</v>
          </cell>
        </row>
        <row r="38">
          <cell r="A38" t="str">
            <v>Canaleta metálica 10x5</v>
          </cell>
        </row>
        <row r="39">
          <cell r="A39" t="str">
            <v>Canaleta plástica 20mm a 40 mm</v>
          </cell>
        </row>
        <row r="40">
          <cell r="A40" t="str">
            <v>Canaleta plástica 60 mm</v>
          </cell>
        </row>
        <row r="41">
          <cell r="A41" t="str">
            <v>Conduleta ½</v>
          </cell>
        </row>
        <row r="42">
          <cell r="A42" t="str">
            <v>Conduleta ¾</v>
          </cell>
        </row>
        <row r="43">
          <cell r="A43" t="str">
            <v>Conduleta 1</v>
          </cell>
        </row>
        <row r="44">
          <cell r="A44" t="str">
            <v>Conduleta 1 ¼</v>
          </cell>
        </row>
        <row r="45">
          <cell r="A45" t="str">
            <v>Conduleta 1 ½</v>
          </cell>
        </row>
        <row r="46">
          <cell r="A46" t="str">
            <v>Conduleta 2</v>
          </cell>
        </row>
        <row r="47">
          <cell r="A47" t="str">
            <v>Descarga a tierra</v>
          </cell>
        </row>
        <row r="48">
          <cell r="A48" t="str">
            <v>Gabinete telefónico 80x60x15 cm  sin regletas</v>
          </cell>
        </row>
        <row r="49">
          <cell r="A49" t="str">
            <v>Insatalación de caja 4x4 galvaniz</v>
          </cell>
        </row>
        <row r="50">
          <cell r="A50" t="str">
            <v>Insatalación de Tablero</v>
          </cell>
        </row>
        <row r="51">
          <cell r="A51" t="str">
            <v>Insatalación de Toma energia</v>
          </cell>
        </row>
        <row r="52">
          <cell r="A52" t="str">
            <v>Insatalación de Toma voz y datos</v>
          </cell>
        </row>
        <row r="53">
          <cell r="A53" t="str">
            <v>Lámpara Flrsc. 2x32 cielo falso con macho y encauchetado</v>
          </cell>
        </row>
        <row r="54">
          <cell r="A54" t="str">
            <v>Montaje de aisladero monofásico</v>
          </cell>
        </row>
        <row r="55">
          <cell r="A55" t="str">
            <v>Montaje de aisladero trifásico</v>
          </cell>
        </row>
        <row r="56">
          <cell r="A56" t="str">
            <v>Montaje de bajante en 2" Pulgadas</v>
          </cell>
        </row>
        <row r="57">
          <cell r="A57" t="str">
            <v>Montaje de bajante en 3" Pulgadas</v>
          </cell>
        </row>
        <row r="58">
          <cell r="A58" t="str">
            <v>Montaje de bajante por poste</v>
          </cell>
        </row>
        <row r="59">
          <cell r="A59" t="str">
            <v>Montaje de bajante y caja intemperie</v>
          </cell>
        </row>
        <row r="60">
          <cell r="A60" t="str">
            <v>Montaje de brecha por pavimento</v>
          </cell>
        </row>
        <row r="61">
          <cell r="A61" t="str">
            <v>Montaje de brecha por zona verde</v>
          </cell>
        </row>
        <row r="62">
          <cell r="A62" t="str">
            <v>Montaje de caja 50x50</v>
          </cell>
        </row>
        <row r="63">
          <cell r="A63" t="str">
            <v>Montaje de caja 60x60</v>
          </cell>
        </row>
        <row r="64">
          <cell r="A64" t="str">
            <v>Montaje de caja 60x80</v>
          </cell>
        </row>
        <row r="65">
          <cell r="A65" t="str">
            <v>Montaje de caja RS3-002</v>
          </cell>
        </row>
        <row r="66">
          <cell r="A66" t="str">
            <v>Montaje de cono premoldeado</v>
          </cell>
        </row>
        <row r="67">
          <cell r="A67" t="str">
            <v>Montaje de defensa</v>
          </cell>
        </row>
        <row r="68">
          <cell r="A68" t="str">
            <v>Montaje de descaga secundaria</v>
          </cell>
        </row>
        <row r="69">
          <cell r="A69" t="str">
            <v>Montaje de descarga primaria</v>
          </cell>
        </row>
        <row r="70">
          <cell r="A70" t="str">
            <v>Montaje de estribo</v>
          </cell>
        </row>
        <row r="71">
          <cell r="A71" t="str">
            <v>Montaje de lámpara sodio 250W</v>
          </cell>
        </row>
        <row r="72">
          <cell r="A72" t="str">
            <v>Montaje de lámpara sodio 400W</v>
          </cell>
        </row>
        <row r="73">
          <cell r="A73" t="str">
            <v>Montaje de lámpara sodio 70W</v>
          </cell>
        </row>
        <row r="74">
          <cell r="A74" t="str">
            <v>Montaje de línea monofásica No. 2 ACSR</v>
          </cell>
        </row>
        <row r="75">
          <cell r="A75" t="str">
            <v>Montaje de línea secundaria No. 2-1/0</v>
          </cell>
        </row>
        <row r="76">
          <cell r="A76" t="str">
            <v>Montaje de línea trifásica 266.8 y 4/0</v>
          </cell>
        </row>
        <row r="77">
          <cell r="A77" t="str">
            <v>Montaje de línea trifásica No. 1/0 ACSR</v>
          </cell>
        </row>
        <row r="78">
          <cell r="A78" t="str">
            <v>Montaje de línea trifásica No. 2 ACSR</v>
          </cell>
        </row>
        <row r="79">
          <cell r="A79" t="str">
            <v>Montaje de poste concreto 12 mts pluma</v>
          </cell>
        </row>
        <row r="80">
          <cell r="A80" t="str">
            <v>Montaje de poste concreto 8 mts pluma</v>
          </cell>
        </row>
        <row r="81">
          <cell r="A81" t="str">
            <v>Montaje de poste de concreto 12 mts</v>
          </cell>
        </row>
        <row r="82">
          <cell r="A82" t="str">
            <v>Montaje de poste de concreto 14 mts</v>
          </cell>
        </row>
        <row r="83">
          <cell r="A83" t="str">
            <v>Montaje de poste de concreto 8 mts</v>
          </cell>
        </row>
        <row r="84">
          <cell r="A84" t="str">
            <v>Montaje de poste de madera de 10 mts</v>
          </cell>
        </row>
        <row r="85">
          <cell r="A85" t="str">
            <v>Montaje de poste de madera de 12 mts</v>
          </cell>
        </row>
        <row r="86">
          <cell r="A86" t="str">
            <v>Montaje de RA020 CONTADOR DOMICILIARIO</v>
          </cell>
        </row>
        <row r="87">
          <cell r="A87" t="str">
            <v>Montaje de retenida primaria</v>
          </cell>
        </row>
        <row r="88">
          <cell r="A88" t="str">
            <v xml:space="preserve">Montaje de retenida secundaria </v>
          </cell>
        </row>
        <row r="89">
          <cell r="A89" t="str">
            <v>Montaje de transformador monofásico</v>
          </cell>
        </row>
        <row r="90">
          <cell r="A90" t="str">
            <v>Montaje de transformador trifásico</v>
          </cell>
        </row>
        <row r="91">
          <cell r="A91" t="str">
            <v>Montaje de tratamiento con bentonita</v>
          </cell>
        </row>
        <row r="92">
          <cell r="A92" t="str">
            <v>Montaje de vestida monofásica al 1,50 y 2,40</v>
          </cell>
        </row>
        <row r="93">
          <cell r="A93" t="str">
            <v>Montaje de vestida monofásica al centro</v>
          </cell>
        </row>
        <row r="94">
          <cell r="A94" t="str">
            <v>Montaje de vestida secundaria</v>
          </cell>
        </row>
        <row r="95">
          <cell r="A95" t="str">
            <v>Montaje de vestida trifásica en 1,50 y 2,40</v>
          </cell>
        </row>
        <row r="96">
          <cell r="A96" t="str">
            <v>Ojo de Buey en cielo</v>
          </cell>
        </row>
        <row r="97">
          <cell r="A97" t="str">
            <v>Patch panel de 16 puertos</v>
          </cell>
        </row>
        <row r="98">
          <cell r="A98" t="str">
            <v>Patch panel de 24 puertos</v>
          </cell>
        </row>
        <row r="99">
          <cell r="A99" t="str">
            <v>Patch panel de 48 puertos</v>
          </cell>
        </row>
        <row r="100">
          <cell r="A100" t="str">
            <v>Pintada de poste - incluye pintura</v>
          </cell>
        </row>
        <row r="101">
          <cell r="A101" t="str">
            <v>Rack autosoportado</v>
          </cell>
        </row>
        <row r="102">
          <cell r="A102" t="str">
            <v>Regleta S66 50 pares</v>
          </cell>
        </row>
        <row r="103">
          <cell r="A103" t="str">
            <v>Retempla de línea monofásica</v>
          </cell>
        </row>
        <row r="104">
          <cell r="A104" t="str">
            <v>Retempla de línea secundaria</v>
          </cell>
        </row>
        <row r="105">
          <cell r="A105" t="str">
            <v>Retempla de línea trifásica No. 4/0-266 8</v>
          </cell>
        </row>
        <row r="106">
          <cell r="A106" t="str">
            <v>Retempla de línea trifásica No. 4-1/0</v>
          </cell>
        </row>
        <row r="107">
          <cell r="A107" t="str">
            <v>Retiro de aisladero monofásico</v>
          </cell>
        </row>
        <row r="108">
          <cell r="A108" t="str">
            <v>Retiro de aisladero trifásico</v>
          </cell>
        </row>
        <row r="109">
          <cell r="A109" t="str">
            <v>Retiro de lámpara de 70 y 125 W</v>
          </cell>
        </row>
        <row r="110">
          <cell r="A110" t="str">
            <v>Retiro de línea monofásica</v>
          </cell>
        </row>
        <row r="111">
          <cell r="A111" t="str">
            <v>Retiro de línea secundaira</v>
          </cell>
        </row>
        <row r="112">
          <cell r="A112" t="str">
            <v>Retiro de línea trifásica No. 4/0-266,8</v>
          </cell>
        </row>
        <row r="113">
          <cell r="A113" t="str">
            <v>Retiro de línea trifásica No. 4-2-1/0</v>
          </cell>
        </row>
        <row r="114">
          <cell r="A114" t="str">
            <v>Retiro de poste de concreto de 12 mts</v>
          </cell>
        </row>
        <row r="115">
          <cell r="A115" t="str">
            <v>Retiro de poste de concreto de 8 mts</v>
          </cell>
        </row>
        <row r="116">
          <cell r="A116" t="str">
            <v>Retiro de poste de madera de 10 mts</v>
          </cell>
        </row>
        <row r="117">
          <cell r="A117" t="str">
            <v>Retiro de poste de madera de 12 mts</v>
          </cell>
        </row>
        <row r="118">
          <cell r="A118" t="str">
            <v>Retiro de poste de madera de 8 mts</v>
          </cell>
        </row>
        <row r="119">
          <cell r="A119" t="str">
            <v>Salida breaker</v>
          </cell>
        </row>
        <row r="120">
          <cell r="A120" t="str">
            <v>Salida EMT</v>
          </cell>
        </row>
        <row r="121">
          <cell r="A121" t="str">
            <v>Salida Interruptor PVC</v>
          </cell>
        </row>
        <row r="122">
          <cell r="A122" t="str">
            <v>Salida Plafon en PVC</v>
          </cell>
        </row>
        <row r="123">
          <cell r="A123" t="str">
            <v>Salida Sonido en PVC sin alambrar y sin aparatear</v>
          </cell>
        </row>
        <row r="124">
          <cell r="A124" t="str">
            <v>Salida Tomacorriente ESTUFA 3X50</v>
          </cell>
        </row>
        <row r="125">
          <cell r="A125" t="str">
            <v>Salida Tomacorriente PVC</v>
          </cell>
        </row>
        <row r="126">
          <cell r="A126" t="str">
            <v>Salida Voz y Datos Toma doble (50 mts de cable)</v>
          </cell>
        </row>
        <row r="127">
          <cell r="A127" t="str">
            <v>Soldadura exotérmica</v>
          </cell>
        </row>
        <row r="128">
          <cell r="A128" t="str">
            <v>T. EMT ½</v>
          </cell>
        </row>
        <row r="129">
          <cell r="A129" t="str">
            <v>T. EMT ¾</v>
          </cell>
        </row>
        <row r="130">
          <cell r="A130" t="str">
            <v>T. EMT 1</v>
          </cell>
        </row>
        <row r="131">
          <cell r="A131" t="str">
            <v>T. EMT 1 ¼</v>
          </cell>
        </row>
        <row r="132">
          <cell r="A132" t="str">
            <v>T. EMT 1 ½</v>
          </cell>
        </row>
        <row r="133">
          <cell r="A133" t="str">
            <v>T. EMT 2</v>
          </cell>
        </row>
        <row r="134">
          <cell r="A134" t="str">
            <v>T. EMT 3</v>
          </cell>
        </row>
        <row r="135">
          <cell r="A135" t="str">
            <v>T. EMT 4</v>
          </cell>
        </row>
        <row r="136">
          <cell r="A136" t="str">
            <v>T. PVC ½</v>
          </cell>
        </row>
        <row r="137">
          <cell r="A137" t="str">
            <v>T. PVC ¾</v>
          </cell>
        </row>
        <row r="138">
          <cell r="A138" t="str">
            <v>T. PVC 1</v>
          </cell>
        </row>
        <row r="139">
          <cell r="A139" t="str">
            <v>T. PVC 1 ¼</v>
          </cell>
        </row>
        <row r="140">
          <cell r="A140" t="str">
            <v>T. PVC 1 ½</v>
          </cell>
        </row>
        <row r="141">
          <cell r="A141" t="str">
            <v>T. PVC 2</v>
          </cell>
        </row>
        <row r="142">
          <cell r="A142" t="str">
            <v>T. PVC 3</v>
          </cell>
        </row>
        <row r="143">
          <cell r="A143" t="str">
            <v>T. PVC 4</v>
          </cell>
        </row>
        <row r="144">
          <cell r="A144" t="str">
            <v>T. TMG ½</v>
          </cell>
        </row>
        <row r="145">
          <cell r="A145" t="str">
            <v>T. TMG ¾</v>
          </cell>
        </row>
        <row r="146">
          <cell r="A146" t="str">
            <v>T. TMG 1</v>
          </cell>
        </row>
        <row r="147">
          <cell r="A147" t="str">
            <v>T. TMG 1 ¼</v>
          </cell>
        </row>
        <row r="148">
          <cell r="A148" t="str">
            <v>T. TMG 1 ½</v>
          </cell>
        </row>
        <row r="149">
          <cell r="A149" t="str">
            <v>T. TMG 2</v>
          </cell>
        </row>
        <row r="150">
          <cell r="A150" t="str">
            <v>T. TMG 3</v>
          </cell>
        </row>
        <row r="151">
          <cell r="A151" t="str">
            <v>T. TMG 4</v>
          </cell>
        </row>
        <row r="152">
          <cell r="A152" t="str">
            <v>Trasl. de aisladero monofásico</v>
          </cell>
        </row>
        <row r="153">
          <cell r="A153" t="str">
            <v>Trasl. de aisladero trifásico</v>
          </cell>
        </row>
        <row r="154">
          <cell r="A154" t="str">
            <v>Trasl. de lámpara de 250-400W</v>
          </cell>
        </row>
        <row r="155">
          <cell r="A155" t="str">
            <v>Trasl. de lámpara de 70-125W</v>
          </cell>
        </row>
        <row r="156">
          <cell r="A156" t="str">
            <v>Trasl. de línea monofásica No. 4-2-1/0</v>
          </cell>
        </row>
        <row r="157">
          <cell r="A157" t="str">
            <v>Trasl. de línea secundaria</v>
          </cell>
        </row>
        <row r="158">
          <cell r="A158" t="str">
            <v>Trasl. de línea trifásica No. 4/0 266,8</v>
          </cell>
        </row>
        <row r="159">
          <cell r="A159" t="str">
            <v>Trasl. de línea trifásica No. 4-2-1/0 ACSR</v>
          </cell>
        </row>
        <row r="160">
          <cell r="A160" t="str">
            <v>Trasl. de poste de concreto de 12 mts</v>
          </cell>
        </row>
        <row r="161">
          <cell r="A161" t="str">
            <v>Trasl. de poste de concreto de 8 mts</v>
          </cell>
        </row>
        <row r="162">
          <cell r="A162" t="str">
            <v>Trasl. de poste de madera de 10 mts</v>
          </cell>
        </row>
        <row r="163">
          <cell r="A163" t="str">
            <v>Trasl. de poste de madera de 12 mts</v>
          </cell>
        </row>
        <row r="164">
          <cell r="A164" t="str">
            <v>Trasl. de poste de madera de 8 mts</v>
          </cell>
        </row>
        <row r="165">
          <cell r="A165" t="str">
            <v>Trasl. de transformador monofásico</v>
          </cell>
        </row>
        <row r="166">
          <cell r="A166" t="str">
            <v>Trasl. de transformador trifásico</v>
          </cell>
        </row>
        <row r="167">
          <cell r="A167" t="str">
            <v>Trenza Sec. 1F # 1/0</v>
          </cell>
        </row>
        <row r="168">
          <cell r="A168" t="str">
            <v>Trenza Sec. 1F # 2</v>
          </cell>
        </row>
        <row r="169">
          <cell r="A169" t="str">
            <v>Trenza Sec. 1F # 2/0</v>
          </cell>
        </row>
        <row r="170">
          <cell r="A170" t="str">
            <v>Trenza Sec. 1F # 3//</v>
          </cell>
        </row>
        <row r="171">
          <cell r="A171" t="str">
            <v>Trenza Sec. 1F # 4</v>
          </cell>
        </row>
        <row r="172">
          <cell r="A172" t="str">
            <v>Trenza Sec. 1F # 4/0</v>
          </cell>
        </row>
        <row r="173">
          <cell r="A173" t="str">
            <v>Trenza Sec. 1F # 6</v>
          </cell>
        </row>
        <row r="174">
          <cell r="A174" t="str">
            <v>Trenza Sec. 3F # 1/0</v>
          </cell>
        </row>
        <row r="175">
          <cell r="A175" t="str">
            <v>Trenza Sec. 3F # 2</v>
          </cell>
        </row>
        <row r="176">
          <cell r="A176" t="str">
            <v>Trenza Sec. 3F # 2/0</v>
          </cell>
        </row>
        <row r="177">
          <cell r="A177" t="str">
            <v>Trenza Sec. 3F # 3//</v>
          </cell>
        </row>
        <row r="178">
          <cell r="A178" t="str">
            <v>Trenza Sec. 3F # 4</v>
          </cell>
        </row>
        <row r="179">
          <cell r="A179" t="str">
            <v>Trenza Sec. 3F # 4/0</v>
          </cell>
        </row>
        <row r="180">
          <cell r="A180" t="str">
            <v>Trenza Sec. 3F # 6</v>
          </cell>
        </row>
        <row r="181">
          <cell r="A181" t="str">
            <v>Viento convencional</v>
          </cell>
        </row>
        <row r="182">
          <cell r="A182" t="str">
            <v>Viento Farol</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FE COVER"/>
      <sheetName val="Hoja2"/>
      <sheetName val="BASE"/>
      <sheetName val="PRECIOS"/>
    </sheetNames>
    <sheetDataSet>
      <sheetData sheetId="0"/>
      <sheetData sheetId="1"/>
      <sheetData sheetId="2">
        <row r="3">
          <cell r="A3" t="str">
            <v>EXPANSION</v>
          </cell>
          <cell r="C3" t="str">
            <v>INITIAL</v>
          </cell>
        </row>
        <row r="4">
          <cell r="A4" t="str">
            <v>OPERATIONAL EFFICIENCY</v>
          </cell>
          <cell r="C4" t="str">
            <v>SUPPLEMENTAL</v>
          </cell>
        </row>
        <row r="5">
          <cell r="A5" t="str">
            <v>INDUSTRIAL SECURITY/ SAFETY</v>
          </cell>
          <cell r="C5" t="str">
            <v>PARTIAL</v>
          </cell>
        </row>
        <row r="6">
          <cell r="A6" t="str">
            <v>ADMINISTRATION (STAY IN BUSINESS)</v>
          </cell>
        </row>
      </sheetData>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M.OBRA"/>
      <sheetName val="PPTO"/>
      <sheetName val="AIU (2)"/>
      <sheetName val="APU BASICO"/>
      <sheetName val="INTERVENTORIA"/>
      <sheetName val="FACTOR MULTIPLICADOR"/>
      <sheetName val="1.1"/>
      <sheetName val="APU"/>
      <sheetName val="1.2"/>
      <sheetName val="1.3"/>
      <sheetName val="1.4"/>
      <sheetName val="1.3_2"/>
      <sheetName val="1.5"/>
      <sheetName val="1.6"/>
      <sheetName val="1.7"/>
      <sheetName val="2.1"/>
      <sheetName val="2.4"/>
      <sheetName val="2.7"/>
      <sheetName val="3.1"/>
      <sheetName val="3.2"/>
      <sheetName val="MEM CALC"/>
      <sheetName val="MATERIA"/>
      <sheetName val="MEM CALC 2"/>
      <sheetName val="Cortes y Llenos"/>
      <sheetName val="Pavimento"/>
      <sheetName val="LISTA DE PRECIOS"/>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A4" t="str">
            <v>ACERO</v>
          </cell>
        </row>
        <row r="5">
          <cell r="A5" t="str">
            <v>AGUA</v>
          </cell>
        </row>
        <row r="6">
          <cell r="A6" t="str">
            <v>ARENA LAVADA INCLUYE TRANSPORTE</v>
          </cell>
        </row>
        <row r="7">
          <cell r="A7" t="str">
            <v>CARROTANQUE</v>
          </cell>
        </row>
        <row r="8">
          <cell r="A8" t="str">
            <v>CEMENTO GRIS</v>
          </cell>
        </row>
        <row r="9">
          <cell r="A9" t="str">
            <v>EQUIPO DE SOLDADURA</v>
          </cell>
        </row>
        <row r="10">
          <cell r="A10" t="str">
            <v>GRASA</v>
          </cell>
        </row>
        <row r="11">
          <cell r="A11" t="str">
            <v>HERRAMIENTAS</v>
          </cell>
        </row>
        <row r="12">
          <cell r="A12" t="str">
            <v>MEZCLADORA</v>
          </cell>
        </row>
        <row r="13">
          <cell r="A13" t="str">
            <v>MOTONIVELADORA</v>
          </cell>
        </row>
        <row r="14">
          <cell r="A14" t="str">
            <v>SOLDADURA</v>
          </cell>
        </row>
        <row r="15">
          <cell r="A15" t="str">
            <v>TRITURADO DE 1/2" A  3/4" INCLUYE TRANSPORTE</v>
          </cell>
        </row>
        <row r="16">
          <cell r="A16" t="str">
            <v>VIBROCOMPACTADOR</v>
          </cell>
        </row>
        <row r="17">
          <cell r="A17" t="str">
            <v>VOLQUETA (6M3)</v>
          </cell>
        </row>
        <row r="18">
          <cell r="A18" t="str">
            <v>CARGADOR</v>
          </cell>
        </row>
        <row r="19">
          <cell r="A19" t="str">
            <v>ANTISOL ROJO</v>
          </cell>
        </row>
        <row r="20">
          <cell r="A20" t="str">
            <v>CORTADORA</v>
          </cell>
        </row>
        <row r="21">
          <cell r="A21" t="str">
            <v>HIDROLAVADORA</v>
          </cell>
        </row>
        <row r="22">
          <cell r="A22" t="str">
            <v>CORDON PARA JUNTAS</v>
          </cell>
        </row>
        <row r="23">
          <cell r="A23" t="str">
            <v>SELLANTE DE SILICONA</v>
          </cell>
        </row>
        <row r="24">
          <cell r="A24" t="str">
            <v>SUBBASE GRANULAR</v>
          </cell>
        </row>
        <row r="25">
          <cell r="A25" t="str">
            <v>ROTOMARTILLO - PERCUTOR</v>
          </cell>
        </row>
      </sheetData>
      <sheetData sheetId="2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r Summary page"/>
      <sheetName val="Chart1"/>
      <sheetName val="Cover"/>
      <sheetName val="FCF Cht"/>
      <sheetName val="Summary page"/>
      <sheetName val="Index"/>
      <sheetName val="PV -JV"/>
      <sheetName val="NPV Summary"/>
      <sheetName val="Price"/>
      <sheetName val="Cost Summ"/>
      <sheetName val="Economic  Graphs"/>
      <sheetName val="Tax workings"/>
      <sheetName val="Sensitivities"/>
      <sheetName val="Tax summary"/>
      <sheetName val="Quantity Graphs"/>
      <sheetName val="Deprec"/>
      <sheetName val="Coal Stocks &amp; Wkg Cap"/>
      <sheetName val="Total Cap"/>
      <sheetName val="Other Cap"/>
      <sheetName val="Repl Cap"/>
      <sheetName val="Repl Cap - Contractor"/>
      <sheetName val="Init Cap"/>
      <sheetName val="Init Cap - Contractor"/>
      <sheetName val="Init"/>
      <sheetName val="Repl"/>
      <sheetName val="Total Op Costs"/>
      <sheetName val="Other Op Costs"/>
      <sheetName val="Other Op Costs-Security"/>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Roster"/>
      <sheetName val="Utilisation"/>
      <sheetName val="Fleet"/>
      <sheetName val="Combined Schedule Summary"/>
      <sheetName val="Waste Sched"/>
      <sheetName val="Coal Sched"/>
      <sheetName val="Paste In Utilisation"/>
      <sheetName val="Paste in Roster"/>
      <sheetName val="Paste In Fleet"/>
      <sheetName val="Equip Data"/>
      <sheetName val="Depr VAT Plan Vallejo - Prodeco"/>
      <sheetName val="Summary"/>
      <sheetName val="Port &amp; HO Costs"/>
      <sheetName val="NOTES"/>
      <sheetName val="Updated CAPEX"/>
      <sheetName val="Not Used ------&gt;"/>
      <sheetName val="Nom IS&amp;BS"/>
      <sheetName val="Update_Header_Footer"/>
      <sheetName val="BASE DE DATOS ORIG"/>
    </sheetNames>
    <sheetDataSet>
      <sheetData sheetId="0" refreshError="1"/>
      <sheetData sheetId="1" refreshError="1"/>
      <sheetData sheetId="2" refreshError="1"/>
      <sheetData sheetId="3" refreshError="1"/>
      <sheetData sheetId="4" refreshError="1"/>
      <sheetData sheetId="5" refreshError="1"/>
      <sheetData sheetId="6" refreshError="1">
        <row r="62">
          <cell r="U62">
            <v>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 val="1.1 Excav mar"/>
      <sheetName val="1.2 Desvio agua"/>
      <sheetName val="1.2 Relleno"/>
      <sheetName val="2.1 Desmonte"/>
      <sheetName val="2.2 demolicion concret"/>
      <sheetName val="3.1 a 3.3 Anclaje"/>
      <sheetName val="3,4 Pilotes"/>
      <sheetName val="3.5. a 3.9 Vigas ml"/>
      <sheetName val="Costos"/>
      <sheetName val="PRESUPUESTO"/>
      <sheetName val="4.1 Estructura metalica"/>
      <sheetName val="3.10 muros concreto"/>
      <sheetName val="3.11 y 3.12 tableros"/>
      <sheetName val="3.13 Acero refuer"/>
      <sheetName val="4.2 Neopreno"/>
      <sheetName val="concretos"/>
      <sheetName val="4.5 anclaj"/>
      <sheetName val="5.1 madera viga"/>
      <sheetName val="5.2 madera solera"/>
      <sheetName val="5.3. madera solera"/>
      <sheetName val="6.1 tablon piso"/>
      <sheetName val="6.2 tablon pasamanos"/>
      <sheetName val="7.1 Bancas"/>
      <sheetName val="7.2 poste lumin"/>
      <sheetName val="7.3 led"/>
      <sheetName val="8.1 madera caseta columna"/>
      <sheetName val="8.2 madera estruc caseta"/>
      <sheetName val="8.3 correa cubierta"/>
      <sheetName val="8.4 cielo falso"/>
      <sheetName val="8.5 teja"/>
      <sheetName val="8.6 banca"/>
      <sheetName val="9.1 señalizacion"/>
      <sheetName val="refuerzo"/>
      <sheetName val="INV. AMBIENTAL"/>
      <sheetName val="Hoja1"/>
      <sheetName val="ADM"/>
      <sheetName val="INTERVENTORIA"/>
      <sheetName val="CRONOGRAMA "/>
      <sheetName val="F.M"/>
      <sheetName val="PGIO"/>
      <sheetName val="APU PGIO"/>
      <sheetName val="factor prestacional "/>
      <sheetName val="AI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9">
          <cell r="E79">
            <v>0</v>
          </cell>
        </row>
      </sheetData>
      <sheetData sheetId="4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CS NUEVA HOJA DIARIA"/>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JUNE"/>
      <sheetName val="MMH WORKINGS"/>
      <sheetName val="MMJV B-S"/>
      <sheetName val="June00"/>
      <sheetName val="May00"/>
      <sheetName val="MMH"/>
      <sheetName val="Sheet6"/>
      <sheetName val="Sheet3"/>
      <sheetName val="Sheet4"/>
      <sheetName val="Sheet5"/>
      <sheetName val="Sheet7"/>
      <sheetName val="Sheet8"/>
      <sheetName val="Sheet9"/>
      <sheetName val="Sheet10"/>
      <sheetName val="Equipment Hours TODOS"/>
    </sheetNames>
    <sheetDataSet>
      <sheetData sheetId="0" refreshError="1"/>
      <sheetData sheetId="1" refreshError="1">
        <row r="3">
          <cell r="A3" t="str">
            <v>JVBS1015</v>
          </cell>
        </row>
        <row r="4">
          <cell r="A4" t="str">
            <v>JVBS1077</v>
          </cell>
        </row>
        <row r="5">
          <cell r="A5" t="str">
            <v>JVBS1079</v>
          </cell>
        </row>
        <row r="6">
          <cell r="A6" t="str">
            <v>JVBS1080</v>
          </cell>
        </row>
        <row r="7">
          <cell r="A7" t="str">
            <v>JVBS1122</v>
          </cell>
        </row>
        <row r="8">
          <cell r="A8" t="str">
            <v>JVBS1227</v>
          </cell>
        </row>
        <row r="9">
          <cell r="A9" t="str">
            <v>JVBS1140</v>
          </cell>
        </row>
        <row r="10">
          <cell r="A10" t="str">
            <v>JVBS1145</v>
          </cell>
        </row>
        <row r="11">
          <cell r="A11" t="str">
            <v>JVBS1205</v>
          </cell>
        </row>
        <row r="12">
          <cell r="A12" t="str">
            <v>JVBS1207</v>
          </cell>
        </row>
        <row r="13">
          <cell r="A13" t="str">
            <v>JVBS1208</v>
          </cell>
        </row>
        <row r="14">
          <cell r="A14" t="str">
            <v>JVBS1209</v>
          </cell>
        </row>
        <row r="15">
          <cell r="A15" t="str">
            <v>JVBS1210</v>
          </cell>
        </row>
        <row r="16">
          <cell r="A16" t="str">
            <v>JVBS1211</v>
          </cell>
        </row>
        <row r="17">
          <cell r="A17" t="str">
            <v>JVBS1213</v>
          </cell>
        </row>
        <row r="18">
          <cell r="A18" t="str">
            <v>JVBS1214</v>
          </cell>
        </row>
        <row r="19">
          <cell r="A19" t="str">
            <v>JVBS1215</v>
          </cell>
        </row>
        <row r="20">
          <cell r="A20" t="str">
            <v>JVBS1216</v>
          </cell>
        </row>
        <row r="21">
          <cell r="A21" t="str">
            <v>JVBS1230</v>
          </cell>
        </row>
        <row r="22">
          <cell r="A22" t="str">
            <v>JVBS1231</v>
          </cell>
        </row>
        <row r="23">
          <cell r="A23" t="str">
            <v>JVBS1232</v>
          </cell>
        </row>
        <row r="24">
          <cell r="A24" t="str">
            <v>JVBS1234</v>
          </cell>
        </row>
        <row r="25">
          <cell r="A25" t="str">
            <v>JVBS1235</v>
          </cell>
        </row>
        <row r="26">
          <cell r="A26" t="str">
            <v>JVBS1236</v>
          </cell>
        </row>
        <row r="27">
          <cell r="A27" t="str">
            <v>JVBS1237</v>
          </cell>
        </row>
        <row r="28">
          <cell r="A28" t="str">
            <v>JVBS1238</v>
          </cell>
        </row>
        <row r="29">
          <cell r="A29" t="str">
            <v>JVBS1240</v>
          </cell>
        </row>
        <row r="30">
          <cell r="A30" t="str">
            <v>JVBS1242</v>
          </cell>
        </row>
        <row r="31">
          <cell r="A31" t="str">
            <v>JVBS1243</v>
          </cell>
        </row>
        <row r="32">
          <cell r="A32" t="str">
            <v>JVBS1244</v>
          </cell>
        </row>
        <row r="33">
          <cell r="A33" t="str">
            <v>JVBS1245</v>
          </cell>
        </row>
        <row r="34">
          <cell r="A34" t="str">
            <v>JVBS1246</v>
          </cell>
        </row>
        <row r="35">
          <cell r="A35" t="str">
            <v>JVBS1247</v>
          </cell>
        </row>
        <row r="36">
          <cell r="A36" t="str">
            <v>JVBS1248</v>
          </cell>
        </row>
        <row r="37">
          <cell r="A37" t="str">
            <v>JVBS1249</v>
          </cell>
        </row>
        <row r="38">
          <cell r="A38" t="str">
            <v>JVBS1250</v>
          </cell>
        </row>
        <row r="39">
          <cell r="A39" t="str">
            <v>JVBS1251</v>
          </cell>
        </row>
        <row r="40">
          <cell r="A40" t="str">
            <v>JVBS1254</v>
          </cell>
        </row>
        <row r="41">
          <cell r="A41" t="str">
            <v>JVBS1255</v>
          </cell>
        </row>
        <row r="42">
          <cell r="A42" t="str">
            <v>JVBS1256</v>
          </cell>
        </row>
        <row r="43">
          <cell r="A43" t="str">
            <v>JVBS1257</v>
          </cell>
        </row>
        <row r="44">
          <cell r="A44" t="str">
            <v>JVBS1260</v>
          </cell>
        </row>
        <row r="45">
          <cell r="A45" t="str">
            <v>JVBS1261</v>
          </cell>
        </row>
        <row r="46">
          <cell r="A46" t="str">
            <v>JVBS1263</v>
          </cell>
        </row>
        <row r="47">
          <cell r="A47" t="str">
            <v>JVBS1264</v>
          </cell>
        </row>
        <row r="48">
          <cell r="A48" t="str">
            <v>JVBS1265</v>
          </cell>
        </row>
        <row r="49">
          <cell r="A49" t="str">
            <v>JVBS1266</v>
          </cell>
        </row>
        <row r="50">
          <cell r="A50" t="str">
            <v>JVBS1267</v>
          </cell>
        </row>
        <row r="51">
          <cell r="A51" t="str">
            <v>JVBS1269</v>
          </cell>
        </row>
        <row r="52">
          <cell r="A52" t="str">
            <v>JVBS1270</v>
          </cell>
        </row>
        <row r="53">
          <cell r="A53" t="str">
            <v>JVBS1271</v>
          </cell>
        </row>
        <row r="54">
          <cell r="A54" t="str">
            <v>JVBS1276</v>
          </cell>
        </row>
        <row r="55">
          <cell r="A55" t="str">
            <v>JVBS1277</v>
          </cell>
        </row>
        <row r="56">
          <cell r="A56" t="str">
            <v>JVBS1278</v>
          </cell>
        </row>
        <row r="57">
          <cell r="A57" t="str">
            <v>JVBS1279</v>
          </cell>
        </row>
        <row r="58">
          <cell r="A58" t="str">
            <v>JVBS1281</v>
          </cell>
        </row>
        <row r="59">
          <cell r="A59" t="str">
            <v>JVBS1283</v>
          </cell>
        </row>
        <row r="60">
          <cell r="A60" t="str">
            <v>JVBS1285</v>
          </cell>
        </row>
        <row r="61">
          <cell r="A61" t="str">
            <v>JVBS1286</v>
          </cell>
        </row>
        <row r="62">
          <cell r="A62" t="str">
            <v>JVBS1287</v>
          </cell>
        </row>
        <row r="63">
          <cell r="A63" t="str">
            <v>JVBS1290</v>
          </cell>
        </row>
        <row r="64">
          <cell r="A64" t="str">
            <v>JVBS1291</v>
          </cell>
        </row>
        <row r="65">
          <cell r="A65" t="str">
            <v>JVBS1292</v>
          </cell>
        </row>
        <row r="66">
          <cell r="A66" t="str">
            <v>JVBS1293</v>
          </cell>
        </row>
        <row r="67">
          <cell r="A67" t="str">
            <v>JVBS1294</v>
          </cell>
        </row>
        <row r="68">
          <cell r="A68" t="str">
            <v>JVBS1325</v>
          </cell>
        </row>
        <row r="69">
          <cell r="A69" t="str">
            <v>JVBS1330</v>
          </cell>
        </row>
        <row r="70">
          <cell r="A70" t="str">
            <v>JVBS1340</v>
          </cell>
        </row>
        <row r="71">
          <cell r="A71" t="str">
            <v>JVBS1345</v>
          </cell>
        </row>
        <row r="72">
          <cell r="A72" t="str">
            <v>JVBS1350</v>
          </cell>
        </row>
        <row r="73">
          <cell r="A73" t="str">
            <v>JVBS1360</v>
          </cell>
        </row>
        <row r="74">
          <cell r="A74" t="str">
            <v>JVBS1360</v>
          </cell>
        </row>
        <row r="75">
          <cell r="A75" t="str">
            <v>JVBS1361</v>
          </cell>
        </row>
        <row r="76">
          <cell r="A76" t="str">
            <v>JVBS1370</v>
          </cell>
        </row>
        <row r="77">
          <cell r="A77" t="str">
            <v>JVBS1371</v>
          </cell>
        </row>
        <row r="78">
          <cell r="A78" t="str">
            <v>JVBS1372</v>
          </cell>
        </row>
        <row r="79">
          <cell r="A79" t="str">
            <v>JVBS1405</v>
          </cell>
        </row>
        <row r="80">
          <cell r="A80" t="str">
            <v>JVBS1415</v>
          </cell>
        </row>
        <row r="81">
          <cell r="A81" t="str">
            <v>JVBS1420</v>
          </cell>
        </row>
        <row r="82">
          <cell r="A82" t="str">
            <v>JVBS1425</v>
          </cell>
        </row>
        <row r="83">
          <cell r="A83" t="str">
            <v>JVBS1430</v>
          </cell>
        </row>
        <row r="84">
          <cell r="A84" t="str">
            <v>JVBS1435</v>
          </cell>
        </row>
        <row r="85">
          <cell r="A85" t="str">
            <v>JVBS1440</v>
          </cell>
        </row>
        <row r="86">
          <cell r="A86" t="str">
            <v>JVBS1450</v>
          </cell>
        </row>
        <row r="87">
          <cell r="A87" t="str">
            <v>JVBS1460</v>
          </cell>
        </row>
        <row r="88">
          <cell r="A88" t="str">
            <v>JVBS1463</v>
          </cell>
        </row>
        <row r="89">
          <cell r="A89" t="str">
            <v>JVBS1464</v>
          </cell>
        </row>
        <row r="90">
          <cell r="A90" t="str">
            <v>JVBS1465</v>
          </cell>
        </row>
        <row r="91">
          <cell r="A91" t="str">
            <v>JVBS1466</v>
          </cell>
        </row>
        <row r="92">
          <cell r="A92" t="str">
            <v>JVBS1476</v>
          </cell>
        </row>
        <row r="93">
          <cell r="A93" t="str">
            <v>JVBS1480</v>
          </cell>
        </row>
        <row r="94">
          <cell r="A94" t="str">
            <v>JVBS1490</v>
          </cell>
        </row>
        <row r="95">
          <cell r="A95" t="str">
            <v>JVBS1505</v>
          </cell>
        </row>
        <row r="96">
          <cell r="A96" t="str">
            <v>JVBS1510</v>
          </cell>
        </row>
        <row r="97">
          <cell r="A97" t="str">
            <v>JVBS1520</v>
          </cell>
        </row>
        <row r="98">
          <cell r="A98" t="str">
            <v>JVBS1570</v>
          </cell>
        </row>
        <row r="99">
          <cell r="A99" t="str">
            <v>JVBS1575</v>
          </cell>
        </row>
        <row r="100">
          <cell r="A100" t="str">
            <v>JVBS1600</v>
          </cell>
        </row>
        <row r="101">
          <cell r="A101" t="str">
            <v>JVBS1601</v>
          </cell>
        </row>
        <row r="102">
          <cell r="A102" t="str">
            <v>JVBS1605</v>
          </cell>
        </row>
        <row r="103">
          <cell r="A103" t="str">
            <v>JVBS1610</v>
          </cell>
        </row>
        <row r="104">
          <cell r="A104" t="str">
            <v>JVBS1615</v>
          </cell>
        </row>
        <row r="105">
          <cell r="A105" t="str">
            <v>JVBS1620</v>
          </cell>
        </row>
        <row r="106">
          <cell r="A106" t="str">
            <v>JVBS1622</v>
          </cell>
        </row>
        <row r="107">
          <cell r="A107" t="str">
            <v>JVBS1640</v>
          </cell>
        </row>
        <row r="108">
          <cell r="A108" t="str">
            <v>JVBS1641</v>
          </cell>
        </row>
        <row r="109">
          <cell r="A109" t="str">
            <v>JVBS1650</v>
          </cell>
        </row>
        <row r="110">
          <cell r="A110" t="str">
            <v>JVBS1651</v>
          </cell>
        </row>
        <row r="111">
          <cell r="A111" t="str">
            <v>JVBS1655</v>
          </cell>
        </row>
        <row r="112">
          <cell r="A112" t="str">
            <v>JVBS1656</v>
          </cell>
        </row>
        <row r="113">
          <cell r="A113" t="str">
            <v>JVBS1660</v>
          </cell>
        </row>
        <row r="114">
          <cell r="A114" t="str">
            <v>JVBS1670</v>
          </cell>
        </row>
        <row r="115">
          <cell r="A115" t="str">
            <v>JVBS1671</v>
          </cell>
        </row>
        <row r="116">
          <cell r="A116" t="str">
            <v>JVBS1675</v>
          </cell>
        </row>
        <row r="117">
          <cell r="A117" t="str">
            <v>JVBS1690</v>
          </cell>
        </row>
        <row r="118">
          <cell r="A118" t="str">
            <v>JVBS1800</v>
          </cell>
        </row>
        <row r="119">
          <cell r="A119" t="str">
            <v>JVBS1810</v>
          </cell>
        </row>
        <row r="120">
          <cell r="A120" t="str">
            <v>JVBS1811</v>
          </cell>
        </row>
        <row r="121">
          <cell r="A121" t="str">
            <v>JVBS1820</v>
          </cell>
        </row>
        <row r="122">
          <cell r="A122" t="str">
            <v>JVBS1825</v>
          </cell>
        </row>
        <row r="123">
          <cell r="A123" t="str">
            <v>JVBS1903</v>
          </cell>
        </row>
        <row r="124">
          <cell r="A124" t="str">
            <v>JVBS1904</v>
          </cell>
        </row>
        <row r="125">
          <cell r="A125" t="str">
            <v>JVBS1905</v>
          </cell>
        </row>
        <row r="126">
          <cell r="A126" t="str">
            <v>JVBS1906</v>
          </cell>
        </row>
        <row r="127">
          <cell r="A127" t="str">
            <v>JVBS1909</v>
          </cell>
        </row>
        <row r="128">
          <cell r="A128" t="str">
            <v>JVBS1910</v>
          </cell>
        </row>
        <row r="129">
          <cell r="A129" t="str">
            <v>JVBS1913</v>
          </cell>
        </row>
        <row r="130">
          <cell r="A130" t="str">
            <v>JVBS1916</v>
          </cell>
        </row>
        <row r="131">
          <cell r="A131" t="str">
            <v>JVBS1918</v>
          </cell>
        </row>
        <row r="132">
          <cell r="A132" t="str">
            <v>JVBS1919</v>
          </cell>
        </row>
        <row r="133">
          <cell r="A133" t="str">
            <v>JVBS1920</v>
          </cell>
        </row>
        <row r="134">
          <cell r="A134" t="str">
            <v>JVBS1923</v>
          </cell>
        </row>
        <row r="135">
          <cell r="A135" t="str">
            <v>JVBS1925</v>
          </cell>
        </row>
        <row r="136">
          <cell r="A136" t="str">
            <v>JVBS1928</v>
          </cell>
        </row>
        <row r="137">
          <cell r="A137" t="str">
            <v>JVBS1929</v>
          </cell>
        </row>
        <row r="138">
          <cell r="A138" t="str">
            <v>JVBS1930</v>
          </cell>
        </row>
        <row r="139">
          <cell r="A139" t="str">
            <v>JVBS1933</v>
          </cell>
        </row>
        <row r="140">
          <cell r="A140" t="str">
            <v>JVBS1934</v>
          </cell>
        </row>
        <row r="141">
          <cell r="A141" t="str">
            <v>JVBS1935</v>
          </cell>
        </row>
        <row r="142">
          <cell r="A142" t="str">
            <v>JVBS1939</v>
          </cell>
        </row>
        <row r="143">
          <cell r="A143" t="str">
            <v>JVBS1942</v>
          </cell>
        </row>
        <row r="144">
          <cell r="A144" t="str">
            <v>JVBS1943</v>
          </cell>
        </row>
        <row r="145">
          <cell r="A145" t="str">
            <v>JVBS1945</v>
          </cell>
        </row>
        <row r="146">
          <cell r="A146" t="str">
            <v>JVBS1947</v>
          </cell>
        </row>
        <row r="147">
          <cell r="A147" t="str">
            <v>JVBS1948</v>
          </cell>
        </row>
        <row r="148">
          <cell r="A148" t="str">
            <v>JVBS1949</v>
          </cell>
        </row>
        <row r="149">
          <cell r="A149" t="str">
            <v>JVBS1950</v>
          </cell>
        </row>
        <row r="150">
          <cell r="A150" t="str">
            <v>JVBS1951</v>
          </cell>
        </row>
        <row r="151">
          <cell r="A151" t="str">
            <v>JVBS1952</v>
          </cell>
        </row>
        <row r="152">
          <cell r="A152" t="str">
            <v>JVBS1954</v>
          </cell>
        </row>
        <row r="153">
          <cell r="A153" t="str">
            <v>JVBS1955</v>
          </cell>
        </row>
        <row r="154">
          <cell r="A154" t="str">
            <v>JVBS1957</v>
          </cell>
        </row>
        <row r="155">
          <cell r="A155" t="str">
            <v>JVBS1958</v>
          </cell>
        </row>
        <row r="156">
          <cell r="A156" t="str">
            <v>JVBS1959</v>
          </cell>
        </row>
        <row r="157">
          <cell r="A157" t="str">
            <v>JVBS1963</v>
          </cell>
        </row>
        <row r="158">
          <cell r="A158" t="str">
            <v>JVBS1969</v>
          </cell>
        </row>
        <row r="159">
          <cell r="A159" t="str">
            <v>JVBS1976</v>
          </cell>
        </row>
        <row r="160">
          <cell r="A160" t="str">
            <v>JVBS1999</v>
          </cell>
        </row>
        <row r="161">
          <cell r="A161" t="str">
            <v>JVBS2119</v>
          </cell>
        </row>
        <row r="162">
          <cell r="A162" t="str">
            <v>JVBS2210</v>
          </cell>
        </row>
        <row r="163">
          <cell r="A163" t="str">
            <v>JVBS2215</v>
          </cell>
        </row>
        <row r="164">
          <cell r="A164" t="str">
            <v>JVBS2505</v>
          </cell>
        </row>
        <row r="165">
          <cell r="A165" t="str">
            <v>JVBS2510</v>
          </cell>
        </row>
        <row r="166">
          <cell r="A166" t="str">
            <v>JVBS2550</v>
          </cell>
        </row>
        <row r="167">
          <cell r="A167" t="str">
            <v>JVBS2612</v>
          </cell>
        </row>
        <row r="168">
          <cell r="A168" t="str">
            <v>JVBS2614</v>
          </cell>
        </row>
        <row r="169">
          <cell r="A169" t="str">
            <v>JVBS2615</v>
          </cell>
        </row>
        <row r="170">
          <cell r="A170" t="str">
            <v>JVBS2620</v>
          </cell>
        </row>
        <row r="171">
          <cell r="A171" t="str">
            <v>JVBS2625</v>
          </cell>
        </row>
        <row r="172">
          <cell r="A172" t="str">
            <v>JVBS2630</v>
          </cell>
        </row>
        <row r="173">
          <cell r="A173" t="str">
            <v>JVBS2639</v>
          </cell>
        </row>
        <row r="174">
          <cell r="A174" t="str">
            <v>JVBS2650</v>
          </cell>
        </row>
        <row r="175">
          <cell r="A175" t="str">
            <v>JVBS2651</v>
          </cell>
        </row>
        <row r="176">
          <cell r="A176" t="str">
            <v>JVBS2652</v>
          </cell>
        </row>
        <row r="177">
          <cell r="A177" t="str">
            <v>JVBS2653</v>
          </cell>
        </row>
        <row r="178">
          <cell r="A178" t="str">
            <v>JVBS2654</v>
          </cell>
        </row>
        <row r="179">
          <cell r="A179" t="str">
            <v>JVBS2655</v>
          </cell>
        </row>
        <row r="180">
          <cell r="A180" t="str">
            <v>JVBS2656</v>
          </cell>
        </row>
        <row r="181">
          <cell r="A181" t="str">
            <v>JVBS2658</v>
          </cell>
        </row>
        <row r="182">
          <cell r="A182" t="str">
            <v>JVBS2660</v>
          </cell>
        </row>
        <row r="183">
          <cell r="A183" t="str">
            <v>JVBS2661</v>
          </cell>
        </row>
        <row r="184">
          <cell r="A184" t="str">
            <v>JVBS2662</v>
          </cell>
        </row>
        <row r="185">
          <cell r="A185" t="str">
            <v>JVBS2663</v>
          </cell>
        </row>
        <row r="186">
          <cell r="A186" t="str">
            <v>JVBS2665</v>
          </cell>
        </row>
        <row r="187">
          <cell r="A187" t="str">
            <v>JVBS2666</v>
          </cell>
        </row>
        <row r="188">
          <cell r="A188" t="str">
            <v>JVBS2668</v>
          </cell>
        </row>
        <row r="189">
          <cell r="A189" t="str">
            <v>JVBS2669</v>
          </cell>
        </row>
        <row r="190">
          <cell r="A190" t="str">
            <v>JVBS2670</v>
          </cell>
        </row>
        <row r="191">
          <cell r="A191" t="str">
            <v>JVBS2689</v>
          </cell>
        </row>
        <row r="192">
          <cell r="A192" t="str">
            <v>JVBS2699</v>
          </cell>
        </row>
        <row r="193">
          <cell r="A193" t="str">
            <v>JVBS2703</v>
          </cell>
        </row>
        <row r="194">
          <cell r="A194" t="str">
            <v>JVBS2704</v>
          </cell>
        </row>
        <row r="195">
          <cell r="A195" t="str">
            <v>JVBS2705</v>
          </cell>
        </row>
        <row r="196">
          <cell r="A196" t="str">
            <v>JVBS2707</v>
          </cell>
        </row>
        <row r="197">
          <cell r="A197" t="str">
            <v>JVBS2708</v>
          </cell>
        </row>
        <row r="198">
          <cell r="A198" t="str">
            <v>JVBS2714</v>
          </cell>
        </row>
        <row r="199">
          <cell r="A199" t="str">
            <v>JVBS2716</v>
          </cell>
        </row>
        <row r="200">
          <cell r="A200" t="str">
            <v>JVBS2733</v>
          </cell>
        </row>
        <row r="201">
          <cell r="A201" t="str">
            <v>JVBS2735</v>
          </cell>
        </row>
        <row r="202">
          <cell r="A202" t="str">
            <v>JVBS2738</v>
          </cell>
        </row>
        <row r="203">
          <cell r="A203" t="str">
            <v>JVBS2740</v>
          </cell>
        </row>
        <row r="204">
          <cell r="A204" t="str">
            <v>JVBS2775</v>
          </cell>
        </row>
        <row r="205">
          <cell r="A205" t="str">
            <v>JVBS2795</v>
          </cell>
        </row>
        <row r="206">
          <cell r="A206" t="str">
            <v>JVBS3105</v>
          </cell>
        </row>
        <row r="207">
          <cell r="A207" t="str">
            <v>JVBS3106</v>
          </cell>
        </row>
        <row r="208">
          <cell r="A208" t="str">
            <v>JVBS3121</v>
          </cell>
        </row>
        <row r="209">
          <cell r="A209" t="str">
            <v>JVBS3130</v>
          </cell>
        </row>
        <row r="210">
          <cell r="A210" t="str">
            <v>JVBS3135</v>
          </cell>
        </row>
        <row r="211">
          <cell r="A211" t="str">
            <v>JVBS3136</v>
          </cell>
        </row>
        <row r="212">
          <cell r="A212" t="str">
            <v>JVBS3137</v>
          </cell>
        </row>
        <row r="213">
          <cell r="A213" t="str">
            <v>JVBS3138</v>
          </cell>
        </row>
        <row r="214">
          <cell r="A214" t="str">
            <v>JVBS3146</v>
          </cell>
        </row>
        <row r="215">
          <cell r="A215" t="str">
            <v>JVBS3150</v>
          </cell>
        </row>
        <row r="216">
          <cell r="A216" t="str">
            <v>JVBS3155</v>
          </cell>
        </row>
        <row r="217">
          <cell r="A217" t="str">
            <v>JVBS3160</v>
          </cell>
        </row>
        <row r="218">
          <cell r="A218" t="str">
            <v>JVBS3161</v>
          </cell>
        </row>
        <row r="219">
          <cell r="A219" t="str">
            <v>JVBS3165</v>
          </cell>
        </row>
        <row r="220">
          <cell r="A220" t="str">
            <v>JVBS3170</v>
          </cell>
        </row>
        <row r="221">
          <cell r="A221" t="str">
            <v>JVBS3172</v>
          </cell>
        </row>
        <row r="222">
          <cell r="A222" t="str">
            <v>JVBS3175</v>
          </cell>
        </row>
        <row r="223">
          <cell r="A223" t="str">
            <v>JVBS3180</v>
          </cell>
        </row>
        <row r="224">
          <cell r="A224" t="str">
            <v>JVBS3305</v>
          </cell>
        </row>
        <row r="225">
          <cell r="A225" t="str">
            <v>JVBS3420</v>
          </cell>
        </row>
        <row r="226">
          <cell r="A226" t="str">
            <v>JVBS3421</v>
          </cell>
        </row>
        <row r="227">
          <cell r="A227" t="str">
            <v>JVBS3435</v>
          </cell>
        </row>
        <row r="228">
          <cell r="A228" t="str">
            <v>JVBS3500</v>
          </cell>
        </row>
        <row r="229">
          <cell r="A229" t="str">
            <v>JVBS3501</v>
          </cell>
        </row>
        <row r="230">
          <cell r="A230" t="str">
            <v>JVBS3502</v>
          </cell>
        </row>
        <row r="231">
          <cell r="A231" t="str">
            <v>JVBS3505</v>
          </cell>
        </row>
        <row r="232">
          <cell r="A232" t="str">
            <v>JVBS3510</v>
          </cell>
        </row>
        <row r="233">
          <cell r="A233" t="str">
            <v>JVBS3515</v>
          </cell>
        </row>
        <row r="234">
          <cell r="A234" t="str">
            <v>JVBS3520</v>
          </cell>
        </row>
        <row r="235">
          <cell r="A235" t="str">
            <v>JVBS3530</v>
          </cell>
        </row>
        <row r="236">
          <cell r="A236" t="str">
            <v>JVBS3536</v>
          </cell>
        </row>
        <row r="237">
          <cell r="A237" t="str">
            <v>JVBS3550</v>
          </cell>
        </row>
        <row r="238">
          <cell r="A238" t="str">
            <v>JVBS3555</v>
          </cell>
        </row>
        <row r="239">
          <cell r="A239" t="str">
            <v>JVBS3560</v>
          </cell>
        </row>
        <row r="240">
          <cell r="A240" t="str">
            <v>JVBS3570</v>
          </cell>
        </row>
        <row r="241">
          <cell r="A241" t="str">
            <v>JVBS3575</v>
          </cell>
        </row>
        <row r="242">
          <cell r="A242" t="str">
            <v>JVBS4205</v>
          </cell>
        </row>
        <row r="243">
          <cell r="A243" t="str">
            <v>JVBS5866</v>
          </cell>
        </row>
        <row r="244">
          <cell r="A244" t="str">
            <v>JVBS2119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rin Murrin Project Break Up"/>
      <sheetName val="MMH F-S"/>
      <sheetName val="MMH 30-06-00"/>
      <sheetName val="Cost Ledger"/>
      <sheetName val="Cost Ledger 30-6-99"/>
      <sheetName val="MMH F-S Cash Flow"/>
      <sheetName val="MMH Disc"/>
      <sheetName val="MMH Cheat Sheet 30-06-00"/>
      <sheetName val="MMH WORKINGS"/>
    </sheetNames>
    <sheetDataSet>
      <sheetData sheetId="0"/>
      <sheetData sheetId="1"/>
      <sheetData sheetId="2"/>
      <sheetData sheetId="3"/>
      <sheetData sheetId="4" refreshError="1">
        <row r="1">
          <cell r="A1">
            <v>2801100740</v>
          </cell>
          <cell r="B1" t="str">
            <v>EXPLORAT'N EXPLORAT'N TAXIS/VEH</v>
          </cell>
          <cell r="C1">
            <v>65</v>
          </cell>
        </row>
        <row r="2">
          <cell r="A2">
            <v>2801102000</v>
          </cell>
          <cell r="B2" t="str">
            <v>EXPLORAT'N EXPLORAT'N CONSUM GEN</v>
          </cell>
          <cell r="C2">
            <v>4.3</v>
          </cell>
        </row>
        <row r="3">
          <cell r="A3">
            <v>2801104700</v>
          </cell>
          <cell r="B3" t="str">
            <v>EXPLORAT'N EXPLORAT'N EQUIP HIRE</v>
          </cell>
          <cell r="C3">
            <v>-2789.5</v>
          </cell>
        </row>
        <row r="4">
          <cell r="A4">
            <v>2801105030</v>
          </cell>
          <cell r="B4" t="str">
            <v>EXPLORAT'N EXPLORAT'N ASSAYS</v>
          </cell>
          <cell r="C4">
            <v>43436.5</v>
          </cell>
        </row>
        <row r="5">
          <cell r="A5">
            <v>2801105060</v>
          </cell>
          <cell r="B5" t="str">
            <v>EXPLORAT'N EXPLORAT'N CLEARING</v>
          </cell>
          <cell r="C5">
            <v>7154</v>
          </cell>
        </row>
        <row r="6">
          <cell r="A6">
            <v>2801105070</v>
          </cell>
          <cell r="B6" t="str">
            <v>EXPLORAT'N EXPLORAT'N CONSUL GEN</v>
          </cell>
          <cell r="C6">
            <v>2800</v>
          </cell>
        </row>
        <row r="7">
          <cell r="A7">
            <v>2801105410</v>
          </cell>
          <cell r="B7" t="str">
            <v>EXPLORAT'N EXPLORAT'N DRILL'GRAB</v>
          </cell>
          <cell r="C7">
            <v>3000</v>
          </cell>
        </row>
        <row r="8">
          <cell r="A8">
            <v>2801105415</v>
          </cell>
          <cell r="B8" t="str">
            <v>EXPLORAT'N EXPLORAT'N DRILL'GRCP</v>
          </cell>
          <cell r="C8">
            <v>81522</v>
          </cell>
        </row>
        <row r="9">
          <cell r="A9">
            <v>2801106200</v>
          </cell>
          <cell r="B9" t="str">
            <v>EXPLORAT'N EXPLORAT'N ACQ'NCOSTS</v>
          </cell>
          <cell r="C9">
            <v>41589.1</v>
          </cell>
        </row>
        <row r="10">
          <cell r="A10">
            <v>2801106265</v>
          </cell>
          <cell r="B10" t="str">
            <v>EXPLORAT'N EXPLORAT'N STAMP DUTY</v>
          </cell>
          <cell r="C10">
            <v>2247492</v>
          </cell>
        </row>
        <row r="11">
          <cell r="A11">
            <v>2801106720</v>
          </cell>
          <cell r="B11" t="str">
            <v>EXPLORAT'N EXPLORAT'N TELE&amp;FAXEX</v>
          </cell>
          <cell r="C11">
            <v>1429.22</v>
          </cell>
        </row>
        <row r="12">
          <cell r="A12">
            <v>2801107010</v>
          </cell>
          <cell r="B12" t="str">
            <v>EXPLORAT'N EXPLORAT'N PRINTING</v>
          </cell>
          <cell r="C12">
            <v>228.75</v>
          </cell>
        </row>
        <row r="13">
          <cell r="A13">
            <v>8107206050</v>
          </cell>
          <cell r="B13" t="str">
            <v>CORPORATE ADMINIST'N BK CHARGES</v>
          </cell>
          <cell r="C13">
            <v>16.46</v>
          </cell>
        </row>
        <row r="14">
          <cell r="A14">
            <v>8107400710</v>
          </cell>
          <cell r="B14" t="str">
            <v>CORPORATE CORPORATE TRAVEL-DOM</v>
          </cell>
          <cell r="C14">
            <v>11395.64</v>
          </cell>
        </row>
        <row r="15">
          <cell r="A15">
            <v>8107405070</v>
          </cell>
          <cell r="B15" t="str">
            <v>CORPORATE CORPORATE CONSUL GEN</v>
          </cell>
          <cell r="C15">
            <v>52048.51</v>
          </cell>
        </row>
        <row r="16">
          <cell r="A16">
            <v>8107405190</v>
          </cell>
          <cell r="B16" t="str">
            <v>CORPORATE CORPORATE LEGAL CONS</v>
          </cell>
          <cell r="C16">
            <v>287768.5</v>
          </cell>
        </row>
        <row r="17">
          <cell r="A17">
            <v>8107406470</v>
          </cell>
          <cell r="B17" t="str">
            <v>CORPORATE CORPORATE FILFEESASC</v>
          </cell>
          <cell r="C17">
            <v>230</v>
          </cell>
        </row>
        <row r="18">
          <cell r="A18">
            <v>8108105070</v>
          </cell>
          <cell r="B18" t="str">
            <v>CORPORATE NATIVE TI CONSUL GEN</v>
          </cell>
          <cell r="C18">
            <v>2500</v>
          </cell>
        </row>
        <row r="19">
          <cell r="A19">
            <v>8207105000</v>
          </cell>
          <cell r="B19" t="str">
            <v>FIN &amp; MKTG ACCOUNTING ACCTAX FEE</v>
          </cell>
          <cell r="C19">
            <v>23053</v>
          </cell>
        </row>
        <row r="20">
          <cell r="A20">
            <v>8207200610</v>
          </cell>
          <cell r="B20" t="str">
            <v>FIN &amp; MKTG ADMINIST'N SUBSCRIPTN</v>
          </cell>
          <cell r="C20">
            <v>17791.18</v>
          </cell>
        </row>
        <row r="21">
          <cell r="A21">
            <v>8207200715</v>
          </cell>
          <cell r="B21" t="str">
            <v>FIN &amp; MKTG ADMINIST'N ACCOM-DOM</v>
          </cell>
          <cell r="C21">
            <v>494.5</v>
          </cell>
        </row>
        <row r="22">
          <cell r="A22">
            <v>8207200720</v>
          </cell>
          <cell r="B22" t="str">
            <v>FIN &amp; MKTG ADMINIST'N TRAVEL-INT</v>
          </cell>
          <cell r="C22">
            <v>56241.52</v>
          </cell>
        </row>
        <row r="23">
          <cell r="A23">
            <v>8207200725</v>
          </cell>
          <cell r="B23" t="str">
            <v>FIN &amp; MKTG ADMINIST'N ACCOM-INT</v>
          </cell>
          <cell r="C23">
            <v>4296.5</v>
          </cell>
        </row>
        <row r="24">
          <cell r="A24">
            <v>8207205000</v>
          </cell>
          <cell r="B24" t="str">
            <v>FIN &amp; MKTG ADMINIST'N ACCTAX FEE</v>
          </cell>
          <cell r="C24">
            <v>33122</v>
          </cell>
        </row>
        <row r="25">
          <cell r="A25">
            <v>8207205070</v>
          </cell>
          <cell r="B25" t="str">
            <v>FIN &amp; MKTG ADMINIST'N CONSUL GEN</v>
          </cell>
          <cell r="C25">
            <v>824043.81</v>
          </cell>
        </row>
        <row r="26">
          <cell r="A26">
            <v>8207205120</v>
          </cell>
          <cell r="B26" t="str">
            <v>FIN &amp; MKTG ADMINIST'N FIN ADVISR</v>
          </cell>
          <cell r="C26">
            <v>12000</v>
          </cell>
        </row>
        <row r="27">
          <cell r="A27">
            <v>8207205190</v>
          </cell>
          <cell r="B27" t="str">
            <v>FIN &amp; MKTG ADMINIST'N LEGAL CONS</v>
          </cell>
          <cell r="C27">
            <v>53419.55</v>
          </cell>
        </row>
        <row r="28">
          <cell r="A28">
            <v>8207206050</v>
          </cell>
          <cell r="B28" t="str">
            <v>FIN &amp; MKTG ADMINIST'N BK CHARGES</v>
          </cell>
          <cell r="C28">
            <v>11211.92</v>
          </cell>
        </row>
        <row r="29">
          <cell r="A29">
            <v>8207206055</v>
          </cell>
          <cell r="B29" t="str">
            <v>FIN &amp; MKTG ADMINIST'N INT PAID</v>
          </cell>
          <cell r="C29">
            <v>580620.61</v>
          </cell>
        </row>
        <row r="30">
          <cell r="A30">
            <v>8207206105</v>
          </cell>
          <cell r="B30" t="str">
            <v>FIN &amp; MKTG ADMINIST'N INT PD COR</v>
          </cell>
          <cell r="C30">
            <v>2448544</v>
          </cell>
        </row>
        <row r="31">
          <cell r="A31">
            <v>8207206135</v>
          </cell>
          <cell r="B31" t="str">
            <v>FIN &amp; MKTG ADMINIST'N G/L FX HDG</v>
          </cell>
          <cell r="C31">
            <v>-466820.71</v>
          </cell>
        </row>
        <row r="32">
          <cell r="A32">
            <v>8207206275</v>
          </cell>
          <cell r="B32" t="str">
            <v>FIN &amp; MKTG ADMINIST'N WTHLDNG TX</v>
          </cell>
          <cell r="C32">
            <v>151508.10999999999</v>
          </cell>
        </row>
        <row r="33">
          <cell r="A33">
            <v>8207206610</v>
          </cell>
          <cell r="B33" t="str">
            <v>FIN &amp; MKTG ADMINIST'N ENTERT'T C</v>
          </cell>
          <cell r="C33">
            <v>99.3</v>
          </cell>
        </row>
        <row r="34">
          <cell r="A34">
            <v>8207207010</v>
          </cell>
          <cell r="B34" t="str">
            <v>FIN &amp; MKTG ADMINIST'N PRINTING</v>
          </cell>
          <cell r="C34">
            <v>1886.25</v>
          </cell>
        </row>
        <row r="35">
          <cell r="A35">
            <v>8207500100</v>
          </cell>
          <cell r="B35" t="str">
            <v>FIN &amp; MKTG FINANCE SALARIES</v>
          </cell>
          <cell r="C35">
            <v>890748.4</v>
          </cell>
        </row>
        <row r="36">
          <cell r="A36">
            <v>8207500400</v>
          </cell>
          <cell r="B36" t="str">
            <v>FIN &amp; MKTG FINANCE RECHARGE</v>
          </cell>
          <cell r="C36">
            <v>87012</v>
          </cell>
        </row>
        <row r="37">
          <cell r="A37">
            <v>8207500405</v>
          </cell>
          <cell r="B37" t="str">
            <v>FIN &amp; MKTG FINANCE RECHARGE</v>
          </cell>
          <cell r="C37">
            <v>32838</v>
          </cell>
        </row>
        <row r="38">
          <cell r="A38">
            <v>8207500610</v>
          </cell>
          <cell r="B38" t="str">
            <v>FIN &amp; MKTG FINANCE SUBSCRIPTN</v>
          </cell>
          <cell r="C38">
            <v>28866.63</v>
          </cell>
        </row>
        <row r="39">
          <cell r="A39">
            <v>8207505000</v>
          </cell>
          <cell r="B39" t="str">
            <v>FIN &amp; MKTG FINANCE ACCTAX FEE</v>
          </cell>
          <cell r="C39">
            <v>120175.22</v>
          </cell>
        </row>
        <row r="40">
          <cell r="A40">
            <v>8207505070</v>
          </cell>
          <cell r="B40" t="str">
            <v>FIN &amp; MKTG FINANCE CONSUL GEN</v>
          </cell>
          <cell r="C40">
            <v>-55576</v>
          </cell>
        </row>
        <row r="41">
          <cell r="A41">
            <v>8207505120</v>
          </cell>
          <cell r="B41" t="str">
            <v>FIN &amp; MKTG FINANCE FIN ADVISR</v>
          </cell>
          <cell r="C41">
            <v>146294.42000000001</v>
          </cell>
        </row>
        <row r="42">
          <cell r="A42">
            <v>8207505190</v>
          </cell>
          <cell r="B42" t="str">
            <v>FIN &amp; MKTG FINANCE LEGAL CONS</v>
          </cell>
          <cell r="C42">
            <v>420500.29</v>
          </cell>
        </row>
        <row r="43">
          <cell r="A43">
            <v>8207506050</v>
          </cell>
          <cell r="B43" t="str">
            <v>FIN &amp; MKTG FINANCE BK CHARGES</v>
          </cell>
          <cell r="C43">
            <v>213792.71</v>
          </cell>
        </row>
        <row r="44">
          <cell r="A44">
            <v>8207506120</v>
          </cell>
          <cell r="B44" t="str">
            <v>FIN &amp; MKTG FINANCE INTRST REC</v>
          </cell>
          <cell r="C44">
            <v>-3842346.88</v>
          </cell>
        </row>
        <row r="45">
          <cell r="A45">
            <v>8207506125</v>
          </cell>
          <cell r="B45" t="str">
            <v>FIN &amp; MKTG FINANCE INT PD US</v>
          </cell>
          <cell r="C45">
            <v>61856775.159999996</v>
          </cell>
        </row>
        <row r="46">
          <cell r="A46">
            <v>8207506130</v>
          </cell>
          <cell r="B46" t="str">
            <v>FIN &amp; MKTG FINANCE US BND FEE</v>
          </cell>
          <cell r="C46">
            <v>23415.29</v>
          </cell>
        </row>
        <row r="47">
          <cell r="A47">
            <v>8207506135</v>
          </cell>
          <cell r="B47" t="str">
            <v>FIN &amp; MKTG FINANCE G/L FX HDG</v>
          </cell>
          <cell r="C47">
            <v>91896.73</v>
          </cell>
        </row>
        <row r="48">
          <cell r="A48">
            <v>8207506320</v>
          </cell>
          <cell r="B48" t="str">
            <v>FIN &amp; MKTG FINANCE INSGENERAL</v>
          </cell>
          <cell r="C48">
            <v>92595.520000000004</v>
          </cell>
        </row>
        <row r="49">
          <cell r="A49">
            <v>8207506355</v>
          </cell>
          <cell r="B49" t="str">
            <v>FIN &amp; MKTG FINANCE DEPN-P&amp;E</v>
          </cell>
          <cell r="C49">
            <v>12216187</v>
          </cell>
        </row>
        <row r="50">
          <cell r="A50">
            <v>8207506360</v>
          </cell>
          <cell r="B50" t="str">
            <v>FIN &amp; MKTG FINANCE DEPN-MVH</v>
          </cell>
          <cell r="C50">
            <v>450000</v>
          </cell>
        </row>
        <row r="51">
          <cell r="A51">
            <v>8207506495</v>
          </cell>
          <cell r="B51" t="str">
            <v>FIN &amp; MKTG FINANCE STAT FEES</v>
          </cell>
          <cell r="C51">
            <v>204.21</v>
          </cell>
        </row>
        <row r="52">
          <cell r="A52">
            <v>8207509000</v>
          </cell>
          <cell r="B52" t="str">
            <v>FIN &amp; MKTG FINANCE NICKEL</v>
          </cell>
          <cell r="C52">
            <v>-320565</v>
          </cell>
        </row>
        <row r="53">
          <cell r="A53">
            <v>8207550100</v>
          </cell>
          <cell r="B53" t="str">
            <v>FIN &amp; MKTG DEBT LIST SALARIES</v>
          </cell>
          <cell r="C53">
            <v>30000</v>
          </cell>
        </row>
        <row r="54">
          <cell r="A54">
            <v>8207550710</v>
          </cell>
          <cell r="B54" t="str">
            <v>FIN &amp; MKTG DEBT LIST TRAVEL-DOM</v>
          </cell>
          <cell r="C54">
            <v>38158.69</v>
          </cell>
        </row>
        <row r="55">
          <cell r="A55">
            <v>8207550715</v>
          </cell>
          <cell r="B55" t="str">
            <v>FIN &amp; MKTG DEBT LIST ACCOM-DOM</v>
          </cell>
          <cell r="C55">
            <v>3362.12</v>
          </cell>
        </row>
        <row r="56">
          <cell r="A56">
            <v>8207550720</v>
          </cell>
          <cell r="B56" t="str">
            <v>FIN &amp; MKTG DEBT LIST TRAVEL-INT</v>
          </cell>
          <cell r="C56">
            <v>76618.600000000006</v>
          </cell>
        </row>
        <row r="57">
          <cell r="A57">
            <v>8207550725</v>
          </cell>
          <cell r="B57" t="str">
            <v>FIN &amp; MKTG DEBT LIST ACCOM-INT</v>
          </cell>
          <cell r="C57">
            <v>48042.65</v>
          </cell>
        </row>
        <row r="58">
          <cell r="A58">
            <v>8207554605</v>
          </cell>
          <cell r="B58" t="str">
            <v>FIN &amp; MKTG DEBT LIST AIRFREIGHT</v>
          </cell>
          <cell r="C58">
            <v>909.5</v>
          </cell>
        </row>
        <row r="59">
          <cell r="A59">
            <v>8207555000</v>
          </cell>
          <cell r="B59" t="str">
            <v>FIN &amp; MKTG DEBT LIST ACCTAX FEE</v>
          </cell>
          <cell r="C59">
            <v>271986.15999999997</v>
          </cell>
        </row>
        <row r="60">
          <cell r="A60">
            <v>8207555070</v>
          </cell>
          <cell r="B60" t="str">
            <v>FIN &amp; MKTG DEBT LIST CONSUL GEN</v>
          </cell>
          <cell r="C60">
            <v>411435.12</v>
          </cell>
        </row>
        <row r="61">
          <cell r="A61">
            <v>8207555120</v>
          </cell>
          <cell r="B61" t="str">
            <v>FIN &amp; MKTG DEBT LIST FIN ADVISR</v>
          </cell>
          <cell r="C61">
            <v>5485277.5099999998</v>
          </cell>
        </row>
        <row r="62">
          <cell r="A62">
            <v>8207555190</v>
          </cell>
          <cell r="B62" t="str">
            <v>FIN &amp; MKTG DEBT LIST LEGAL CONS</v>
          </cell>
          <cell r="C62">
            <v>1654966.4</v>
          </cell>
        </row>
        <row r="63">
          <cell r="A63">
            <v>8207556050</v>
          </cell>
          <cell r="B63" t="str">
            <v>FIN &amp; MKTG DEBT LIST BK CHARGES</v>
          </cell>
          <cell r="C63">
            <v>111510.1</v>
          </cell>
        </row>
        <row r="64">
          <cell r="A64">
            <v>8207556120</v>
          </cell>
          <cell r="B64" t="str">
            <v>FIN &amp; MKTG DEBT LIST INTRST REC</v>
          </cell>
          <cell r="C64">
            <v>-14226419.060000001</v>
          </cell>
        </row>
        <row r="65">
          <cell r="A65">
            <v>8207556125</v>
          </cell>
          <cell r="B65" t="str">
            <v>FIN &amp; MKTG DEBT LIST INT PD US</v>
          </cell>
          <cell r="C65">
            <v>46157342.289999999</v>
          </cell>
        </row>
        <row r="66">
          <cell r="A66">
            <v>8207556130</v>
          </cell>
          <cell r="B66" t="str">
            <v>FIN &amp; MKTG DEBT LIST US BND FEE</v>
          </cell>
          <cell r="C66">
            <v>464349.65</v>
          </cell>
        </row>
        <row r="67">
          <cell r="A67">
            <v>8207556320</v>
          </cell>
          <cell r="B67" t="str">
            <v>FIN &amp; MKTG DEBT LIST INSGENERAL</v>
          </cell>
          <cell r="C67">
            <v>15750</v>
          </cell>
        </row>
        <row r="68">
          <cell r="A68">
            <v>8207556496</v>
          </cell>
          <cell r="B68" t="str">
            <v>FIN &amp; MKTG DEBT LIST FRN PL FEE</v>
          </cell>
          <cell r="C68">
            <v>16990299.350000001</v>
          </cell>
        </row>
        <row r="69">
          <cell r="A69">
            <v>8207556600</v>
          </cell>
          <cell r="B69" t="str">
            <v>FIN &amp; MKTG DEBT LIST ENTERT'T A</v>
          </cell>
          <cell r="C69">
            <v>319.61</v>
          </cell>
        </row>
        <row r="70">
          <cell r="A70">
            <v>8207556610</v>
          </cell>
          <cell r="B70" t="str">
            <v>FIN &amp; MKTG DEBT LIST ENTERT'T C</v>
          </cell>
          <cell r="C70">
            <v>6183.18</v>
          </cell>
        </row>
        <row r="71">
          <cell r="A71">
            <v>8207556720</v>
          </cell>
          <cell r="B71" t="str">
            <v>FIN &amp; MKTG DEBT LIST TELE&amp;FAXEX</v>
          </cell>
          <cell r="C71">
            <v>911.45</v>
          </cell>
        </row>
        <row r="72">
          <cell r="A72">
            <v>8207556915</v>
          </cell>
          <cell r="B72" t="str">
            <v>FIN &amp; MKTG DEBT LIST PROMO FEES</v>
          </cell>
          <cell r="C72">
            <v>8986.68</v>
          </cell>
        </row>
        <row r="73">
          <cell r="A73">
            <v>8207557010</v>
          </cell>
          <cell r="B73" t="str">
            <v>FIN &amp; MKTG DEBT LIST PRINTING</v>
          </cell>
          <cell r="C73">
            <v>27341.48</v>
          </cell>
        </row>
        <row r="74">
          <cell r="A74">
            <v>8208000710</v>
          </cell>
          <cell r="B74" t="str">
            <v>FIN &amp; MKTG MARKETING TRAVEL-DOM</v>
          </cell>
          <cell r="C74">
            <v>418.69</v>
          </cell>
        </row>
        <row r="75">
          <cell r="A75">
            <v>8208000715</v>
          </cell>
          <cell r="B75" t="str">
            <v>FIN &amp; MKTG MARKETING ACCOM-DOM</v>
          </cell>
          <cell r="C75">
            <v>4253.7</v>
          </cell>
        </row>
        <row r="76">
          <cell r="A76">
            <v>8208000720</v>
          </cell>
          <cell r="B76" t="str">
            <v>FIN &amp; MKTG MARKETING TRAVEL-INT</v>
          </cell>
          <cell r="C76">
            <v>25294.39</v>
          </cell>
        </row>
        <row r="77">
          <cell r="A77">
            <v>8208005070</v>
          </cell>
          <cell r="B77" t="str">
            <v>FIN &amp; MKTG MARKETING CONSUL GEN</v>
          </cell>
          <cell r="C77">
            <v>110329.69</v>
          </cell>
        </row>
        <row r="78">
          <cell r="A78">
            <v>8208005190</v>
          </cell>
          <cell r="B78" t="str">
            <v>FIN &amp; MKTG MARKETING LEGAL CONS</v>
          </cell>
          <cell r="C78">
            <v>18952.349999999999</v>
          </cell>
        </row>
        <row r="79">
          <cell r="A79">
            <v>8208007010</v>
          </cell>
          <cell r="B79" t="str">
            <v>FIN &amp; MKTG MARKETING PRINTING</v>
          </cell>
          <cell r="C79">
            <v>107.36</v>
          </cell>
        </row>
        <row r="80">
          <cell r="A80">
            <v>8208700600</v>
          </cell>
          <cell r="B80" t="str">
            <v>FIN &amp; MKTG TREASURY CONF / SEM</v>
          </cell>
          <cell r="C80">
            <v>2395</v>
          </cell>
        </row>
        <row r="81">
          <cell r="A81">
            <v>8208700710</v>
          </cell>
          <cell r="B81" t="str">
            <v>FIN &amp; MKTG TREASURY TRAVEL-DOM</v>
          </cell>
          <cell r="C81">
            <v>621.91999999999996</v>
          </cell>
        </row>
        <row r="82">
          <cell r="A82">
            <v>8208700715</v>
          </cell>
          <cell r="B82" t="str">
            <v>FIN &amp; MKTG TREASURY ACCOM-DOM</v>
          </cell>
          <cell r="C82">
            <v>177</v>
          </cell>
        </row>
        <row r="83">
          <cell r="A83">
            <v>8208705120</v>
          </cell>
          <cell r="B83" t="str">
            <v>FIN &amp; MKTG TREASURY FIN ADVISR</v>
          </cell>
          <cell r="C83">
            <v>23400</v>
          </cell>
        </row>
        <row r="84">
          <cell r="A84">
            <v>8208706050</v>
          </cell>
          <cell r="B84" t="str">
            <v>FIN &amp; MKTG TREASURY BK CHARGES</v>
          </cell>
          <cell r="C84">
            <v>71907.64</v>
          </cell>
        </row>
      </sheetData>
      <sheetData sheetId="5"/>
      <sheetData sheetId="6"/>
      <sheetData sheetId="7"/>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Budget vs Real"/>
      <sheetName val="Flujo"/>
      <sheetName val="Flujo De Caja 2008"/>
      <sheetName val="Flujo De Caja 2008 (2)"/>
      <sheetName val="Reporte"/>
      <sheetName val="Hoja2"/>
      <sheetName val="Cost Ledger 30-6-99"/>
    </sheetNames>
    <sheetDataSet>
      <sheetData sheetId="0" refreshError="1"/>
      <sheetData sheetId="1" refreshError="1"/>
      <sheetData sheetId="2" refreshError="1"/>
      <sheetData sheetId="3" refreshError="1"/>
      <sheetData sheetId="4" refreshError="1"/>
      <sheetData sheetId="5" refreshError="1"/>
      <sheetData sheetId="6" refreshError="1">
        <row r="3">
          <cell r="C3" t="str">
            <v>Orden de Compra</v>
          </cell>
        </row>
        <row r="4">
          <cell r="C4" t="str">
            <v>Orden de Servicio</v>
          </cell>
        </row>
        <row r="5">
          <cell r="C5" t="str">
            <v>Contrato</v>
          </cell>
        </row>
        <row r="6">
          <cell r="C6" t="str">
            <v>Oferta Mercantil</v>
          </cell>
        </row>
      </sheetData>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PRESUPUESTO"/>
      <sheetName val="INDICE"/>
      <sheetName val="Equipo"/>
      <sheetName val="Materiales"/>
      <sheetName val="Otros"/>
      <sheetName val="200.1"/>
      <sheetName val="200.2"/>
      <sheetName val="201.1"/>
      <sheetName val="201.2"/>
      <sheetName val="201.3"/>
      <sheetName val="201.4"/>
      <sheetName val="201.5 "/>
      <sheetName val="201.6"/>
      <sheetName val="201.6P"/>
      <sheetName val="201.7"/>
      <sheetName val="201.8"/>
      <sheetName val="201.9"/>
      <sheetName val="201.10"/>
      <sheetName val="201.11"/>
      <sheetName val="201.12"/>
      <sheetName val="201.13"/>
      <sheetName val="201.14"/>
      <sheetName val="201.15"/>
      <sheetName val="201.16"/>
      <sheetName val="201.17"/>
      <sheetName val="201.18"/>
      <sheetName val="201.19"/>
      <sheetName val="201.20"/>
      <sheetName val="201.21"/>
      <sheetName val="201.22"/>
      <sheetName val="210.1.1"/>
      <sheetName val="210.1.2"/>
      <sheetName val="210.2.1"/>
      <sheetName val="210.2.2"/>
      <sheetName val="210.2.3"/>
      <sheetName val="210.2.4"/>
      <sheetName val="211.1"/>
      <sheetName val="220.1"/>
      <sheetName val="221.1"/>
      <sheetName val="221.2"/>
      <sheetName val="230.1"/>
      <sheetName val="230.2"/>
      <sheetName val="231.1"/>
      <sheetName val="232.1 "/>
      <sheetName val="234.1 "/>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2"/>
      <sheetName val="450.3"/>
      <sheetName val="450.4"/>
      <sheetName val="450.5"/>
      <sheetName val="450.6"/>
      <sheetName val="450.7"/>
      <sheetName val="450.8"/>
      <sheetName val="450.9"/>
      <sheetName val="451.1"/>
      <sheetName val="451.1P COMPRADA "/>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1.1"/>
      <sheetName val="461.2"/>
      <sheetName val="462.1"/>
      <sheetName val="462.2"/>
      <sheetName val="462.1.1"/>
      <sheetName val="462.1.2"/>
      <sheetName val="464.1"/>
      <sheetName val="464.2"/>
      <sheetName val="464.3"/>
      <sheetName val="464.4"/>
      <sheetName val="465.1"/>
      <sheetName val="466.1"/>
      <sheetName val="466.2"/>
      <sheetName val="500.1"/>
      <sheetName val="501.1"/>
      <sheetName val="510.1"/>
      <sheetName val="600.1"/>
      <sheetName val="600.2"/>
      <sheetName val="600.2P"/>
      <sheetName val="600.3"/>
      <sheetName val="600.4"/>
      <sheetName val="600.4P"/>
      <sheetName val="600.5"/>
      <sheetName val="600.5P"/>
      <sheetName val="610.1"/>
      <sheetName val="610.2"/>
      <sheetName val="620.1"/>
      <sheetName val="620.2"/>
      <sheetName val="620.3"/>
      <sheetName val="621.1"/>
      <sheetName val="621.1P"/>
      <sheetName val="621.2"/>
      <sheetName val="621.3"/>
      <sheetName val="621.4"/>
      <sheetName val="621.5"/>
      <sheetName val="621.6"/>
      <sheetName val="621,7P"/>
      <sheetName val="622.1"/>
      <sheetName val="622.2"/>
      <sheetName val="622.3"/>
      <sheetName val="622.4"/>
      <sheetName val="622.5"/>
      <sheetName val="630.1"/>
      <sheetName val="630.2"/>
      <sheetName val="630.3"/>
      <sheetName val="630.4"/>
      <sheetName val="630.5"/>
      <sheetName val="630.6"/>
      <sheetName val="630.7"/>
      <sheetName val="630.8P MORTERO 1-4"/>
      <sheetName val="631,1P. BOLSACRETOS"/>
      <sheetName val="632.1"/>
      <sheetName val="632.1P"/>
      <sheetName val="640.3"/>
      <sheetName val="640.1P"/>
      <sheetName val="640.1P1"/>
      <sheetName val="640.2"/>
      <sheetName val="641.1"/>
      <sheetName val="641.2"/>
      <sheetName val="642.1"/>
      <sheetName val="642.2"/>
      <sheetName val="650.1"/>
      <sheetName val="650.2"/>
      <sheetName val="650.2P"/>
      <sheetName val="650.3"/>
      <sheetName val="650.3P"/>
      <sheetName val="650.4"/>
      <sheetName val="660.1"/>
      <sheetName val="660.2"/>
      <sheetName val="660.3"/>
      <sheetName val="661.1"/>
      <sheetName val="662.1"/>
      <sheetName val="662.2"/>
      <sheetName val="670.1"/>
      <sheetName val="670.2"/>
      <sheetName val="671.1"/>
      <sheetName val="671.2"/>
      <sheetName val="672.1"/>
      <sheetName val="673.1"/>
      <sheetName val="673.2"/>
      <sheetName val="673.3"/>
      <sheetName val="674.1"/>
      <sheetName val="674.2"/>
      <sheetName val="680.1"/>
      <sheetName val="680.2"/>
      <sheetName val="680.3"/>
      <sheetName val="681.1"/>
      <sheetName val="682.1"/>
      <sheetName val="690.1"/>
      <sheetName val="700.1"/>
      <sheetName val="700.2"/>
      <sheetName val="700.3"/>
      <sheetName val="700.4"/>
      <sheetName val="700P BANDAS SONORAS "/>
      <sheetName val="701.1"/>
      <sheetName val="710.1"/>
      <sheetName val="710.2"/>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1.1"/>
      <sheetName val="812.1"/>
      <sheetName val="900.1"/>
      <sheetName val="900.2"/>
      <sheetName val="900.3"/>
      <sheetName val="PLATINAS 40X40"/>
      <sheetName val="PILOTES 6&quot;"/>
      <sheetName val="PILOTES 8&quot;"/>
      <sheetName val="PILOTES 10&quot;"/>
      <sheetName val="PILOTES 12&quot;"/>
      <sheetName val="HINCADO"/>
      <sheetName val="EXAPODOS"/>
      <sheetName val="SOLDAD"/>
      <sheetName val="MONTAJE"/>
      <sheetName val="P9"/>
      <sheetName val="P10"/>
    </sheetNames>
    <sheetDataSet>
      <sheetData sheetId="0"/>
      <sheetData sheetId="1"/>
      <sheetData sheetId="2"/>
      <sheetData sheetId="3"/>
      <sheetData sheetId="4"/>
      <sheetData sheetId="5">
        <row r="1">
          <cell r="A1" t="str">
            <v>MATERIALES</v>
          </cell>
        </row>
      </sheetData>
      <sheetData sheetId="6">
        <row r="1">
          <cell r="A1" t="str">
            <v>ADMINISTRACION</v>
          </cell>
          <cell r="B1" t="str">
            <v>%</v>
          </cell>
          <cell r="C1">
            <v>0.2</v>
          </cell>
        </row>
        <row r="2">
          <cell r="A2" t="str">
            <v>IMPREVISTOS</v>
          </cell>
          <cell r="B2" t="str">
            <v>%</v>
          </cell>
          <cell r="C2">
            <v>0.05</v>
          </cell>
        </row>
        <row r="3">
          <cell r="A3" t="str">
            <v>UTILIDAD</v>
          </cell>
          <cell r="B3" t="str">
            <v>%</v>
          </cell>
          <cell r="C3">
            <v>0.05</v>
          </cell>
        </row>
        <row r="4">
          <cell r="A4" t="str">
            <v>PRESTACIONES</v>
          </cell>
          <cell r="B4" t="str">
            <v>%</v>
          </cell>
          <cell r="C4">
            <v>1.85</v>
          </cell>
        </row>
        <row r="5">
          <cell r="A5" t="str">
            <v>DISTANCIA ACARREO 1 (BOTADERO)</v>
          </cell>
          <cell r="B5" t="str">
            <v>km</v>
          </cell>
          <cell r="C5">
            <v>5</v>
          </cell>
        </row>
        <row r="6">
          <cell r="A6" t="str">
            <v>DISTANCIA SUMINISTRO (MATERIAL DE LA ZONA)</v>
          </cell>
          <cell r="B6" t="str">
            <v>km</v>
          </cell>
          <cell r="C6">
            <v>20</v>
          </cell>
        </row>
        <row r="7">
          <cell r="A7" t="str">
            <v>DISTANCIA SUMINISTRO</v>
          </cell>
          <cell r="B7" t="str">
            <v>km</v>
          </cell>
          <cell r="C7">
            <v>40</v>
          </cell>
        </row>
        <row r="8">
          <cell r="A8" t="str">
            <v>DISTANCIA SUMINISTRO BASES SUB BASES AFIRMADOS</v>
          </cell>
          <cell r="B8" t="str">
            <v>km</v>
          </cell>
          <cell r="C8">
            <v>50</v>
          </cell>
        </row>
        <row r="9">
          <cell r="A9" t="str">
            <v>DISTANCIA DE SUMINISTRO CONCRETOS</v>
          </cell>
          <cell r="B9" t="str">
            <v>km</v>
          </cell>
          <cell r="C9">
            <v>50</v>
          </cell>
        </row>
        <row r="10">
          <cell r="A10" t="str">
            <v>DISTANCIA DE SUMINISTRO MEZCLAS ASFALTICAS</v>
          </cell>
          <cell r="B10" t="str">
            <v>km</v>
          </cell>
          <cell r="C10">
            <v>50</v>
          </cell>
        </row>
        <row r="11">
          <cell r="A11" t="str">
            <v>DISTANCIA TRANSPORTE ESTRUCTURA METALICA</v>
          </cell>
          <cell r="B11" t="str">
            <v>km</v>
          </cell>
          <cell r="C11">
            <v>100</v>
          </cell>
        </row>
        <row r="12">
          <cell r="A12" t="str">
            <v>CADENERO</v>
          </cell>
          <cell r="B12" t="str">
            <v>DIA</v>
          </cell>
          <cell r="C12">
            <v>26600</v>
          </cell>
        </row>
        <row r="13">
          <cell r="A13" t="str">
            <v>INSPECTOR DE FABRICACION Y MONTAJE</v>
          </cell>
          <cell r="B13" t="str">
            <v>DIA</v>
          </cell>
          <cell r="C13">
            <v>41500</v>
          </cell>
        </row>
        <row r="14">
          <cell r="A14" t="str">
            <v>OBRERO</v>
          </cell>
          <cell r="B14" t="str">
            <v>DIA</v>
          </cell>
          <cell r="C14">
            <v>20000</v>
          </cell>
        </row>
        <row r="15">
          <cell r="A15" t="str">
            <v>OFICIAL</v>
          </cell>
          <cell r="B15" t="str">
            <v>DIA</v>
          </cell>
          <cell r="C15">
            <v>32500</v>
          </cell>
        </row>
        <row r="16">
          <cell r="A16" t="str">
            <v>OFICIAL EXPERTO EN DESMONTAJE</v>
          </cell>
          <cell r="B16" t="str">
            <v>DIA</v>
          </cell>
          <cell r="C16">
            <v>42300</v>
          </cell>
        </row>
        <row r="17">
          <cell r="A17" t="str">
            <v>PALETEROS</v>
          </cell>
          <cell r="B17" t="str">
            <v>DIA</v>
          </cell>
          <cell r="C17">
            <v>20000</v>
          </cell>
        </row>
        <row r="18">
          <cell r="A18" t="str">
            <v>RASTRILLEROS</v>
          </cell>
          <cell r="B18" t="str">
            <v>DIA</v>
          </cell>
          <cell r="C18">
            <v>22500</v>
          </cell>
        </row>
        <row r="19">
          <cell r="A19" t="str">
            <v>SOLDADOR</v>
          </cell>
          <cell r="B19" t="str">
            <v>DIA</v>
          </cell>
          <cell r="C19">
            <v>29000</v>
          </cell>
        </row>
        <row r="20">
          <cell r="A20" t="str">
            <v>TOPOGRAFO</v>
          </cell>
          <cell r="B20" t="str">
            <v>DIA</v>
          </cell>
          <cell r="C20">
            <v>45000</v>
          </cell>
        </row>
        <row r="21">
          <cell r="A21" t="str">
            <v>MAESTRO</v>
          </cell>
          <cell r="B21" t="str">
            <v>DIA</v>
          </cell>
          <cell r="C21">
            <v>54000</v>
          </cell>
        </row>
        <row r="22">
          <cell r="A22" t="str">
            <v>TRANSPORTE DE MATERIAL DE DERRUMBES</v>
          </cell>
          <cell r="B22" t="str">
            <v>m³-km</v>
          </cell>
          <cell r="C22">
            <v>61360</v>
          </cell>
        </row>
        <row r="23">
          <cell r="A23" t="str">
            <v>DISTANCIA DE TRANSPORTE EMULSIONES</v>
          </cell>
          <cell r="B23" t="str">
            <v>km</v>
          </cell>
          <cell r="C23">
            <v>290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
      <sheetName val="PPTO REP"/>
      <sheetName val="CRON. ACTV"/>
      <sheetName val="PLAN FIN. U. Y F."/>
      <sheetName val="ACCES"/>
      <sheetName val="LIST NOMB CANTD"/>
    </sheetNames>
    <sheetDataSet>
      <sheetData sheetId="0"/>
      <sheetData sheetId="1">
        <row r="13">
          <cell r="G13">
            <v>50556351</v>
          </cell>
        </row>
        <row r="27">
          <cell r="G27">
            <v>71214017</v>
          </cell>
        </row>
        <row r="30">
          <cell r="G30">
            <v>450800</v>
          </cell>
        </row>
        <row r="34">
          <cell r="G34">
            <v>12232836</v>
          </cell>
        </row>
        <row r="41">
          <cell r="G41">
            <v>264638032</v>
          </cell>
        </row>
        <row r="44">
          <cell r="G44">
            <v>14914331</v>
          </cell>
        </row>
      </sheetData>
      <sheetData sheetId="2"/>
      <sheetData sheetId="3"/>
      <sheetData sheetId="4"/>
      <sheetData sheetId="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Returns"/>
      <sheetName val="Balance Sheet"/>
      <sheetName val="Dividends"/>
      <sheetName val="Equipment Assumptions"/>
      <sheetName val="Budget Assumptions"/>
      <sheetName val="Material Assumptions"/>
      <sheetName val="Cash Costs"/>
      <sheetName val="Loading Type RH200W - hours"/>
      <sheetName val="Loading Type RH170W - hours"/>
      <sheetName val="Loading Type RH120WC - hours"/>
      <sheetName val="Loading Type RH40C - hours"/>
      <sheetName val="Loading Type 992C - hours"/>
      <sheetName val="Drill&amp;Blast"/>
      <sheetName val="Mine Hours"/>
      <sheetName val="MineSupportCostsandContractors"/>
      <sheetName val="MineEquipmentCosts"/>
      <sheetName val="EquipDeprnReplmt~"/>
      <sheetName val="Opex~"/>
      <sheetName val="Operations La Jauga"/>
      <sheetName val="Maintenance La Jagua"/>
      <sheetName val="Dates &amp; Flags"/>
      <sheetName val="Cuentas"/>
      <sheetName val="CtaGeneral-A"/>
      <sheetName val="Fixed Assets~"/>
      <sheetName val="Resumen vlr Un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
          <cell r="P11" t="str">
            <v>5300  Materials and Supplies  DO NOT USE</v>
          </cell>
        </row>
        <row r="12">
          <cell r="P12" t="str">
            <v>1000  Production Statistics</v>
          </cell>
        </row>
        <row r="13">
          <cell r="P13" t="str">
            <v>1001      Waste Mined</v>
          </cell>
        </row>
        <row r="14">
          <cell r="P14" t="str">
            <v>1002      Oxide Mined</v>
          </cell>
        </row>
        <row r="15">
          <cell r="P15" t="str">
            <v>1003      VC Sulphide Mined</v>
          </cell>
        </row>
        <row r="16">
          <cell r="P16" t="str">
            <v>1004      IN Sulphide Mined</v>
          </cell>
        </row>
        <row r="17">
          <cell r="P17" t="str">
            <v>1005      Oxide Ag HG</v>
          </cell>
        </row>
        <row r="18">
          <cell r="P18" t="str">
            <v>1006      VCS AG Head Grade</v>
          </cell>
        </row>
        <row r="19">
          <cell r="P19" t="str">
            <v>1007      INS AG Head Grade</v>
          </cell>
        </row>
        <row r="20">
          <cell r="P20" t="str">
            <v>1008      Oxide Pg HG</v>
          </cell>
        </row>
        <row r="21">
          <cell r="P21" t="str">
            <v>1009       VCS Pb HG</v>
          </cell>
        </row>
        <row r="22">
          <cell r="P22" t="str">
            <v>1010       INS Pb HG</v>
          </cell>
        </row>
        <row r="23">
          <cell r="P23" t="str">
            <v>1011       Oxide Zn HG</v>
          </cell>
        </row>
        <row r="24">
          <cell r="P24" t="str">
            <v>1012       VCS Zn HG</v>
          </cell>
        </row>
        <row r="25">
          <cell r="P25" t="str">
            <v>1013       INS Zn HG</v>
          </cell>
        </row>
        <row r="26">
          <cell r="P26" t="str">
            <v>1014      Mill Feed VCS</v>
          </cell>
        </row>
        <row r="27">
          <cell r="P27" t="str">
            <v>1015      Mill Feed INS</v>
          </cell>
        </row>
        <row r="28">
          <cell r="P28" t="str">
            <v>1016      Mill Feed Ag HG</v>
          </cell>
        </row>
        <row r="29">
          <cell r="P29" t="str">
            <v>1017      Mill Feed Pb Head Grade</v>
          </cell>
        </row>
        <row r="30">
          <cell r="P30" t="str">
            <v>1018      Mill feed Zn HG</v>
          </cell>
        </row>
        <row r="31">
          <cell r="P31" t="str">
            <v>1019      Mill Recov Ag</v>
          </cell>
        </row>
        <row r="32">
          <cell r="P32" t="str">
            <v>1020      Mill Recov Pb</v>
          </cell>
        </row>
        <row r="33">
          <cell r="P33" t="str">
            <v>1021      Mill Recov Zn</v>
          </cell>
        </row>
        <row r="34">
          <cell r="P34" t="str">
            <v>1022      Vol Pb Conc</v>
          </cell>
        </row>
        <row r="35">
          <cell r="P35" t="str">
            <v>1023      Vol Zn Con</v>
          </cell>
        </row>
        <row r="36">
          <cell r="P36" t="str">
            <v>1024      Ag in Pb con</v>
          </cell>
        </row>
        <row r="37">
          <cell r="P37" t="str">
            <v>1025      Ag in Zn con</v>
          </cell>
        </row>
        <row r="38">
          <cell r="P38" t="str">
            <v>1026      Gross Silver Prod</v>
          </cell>
        </row>
        <row r="39">
          <cell r="P39" t="str">
            <v>1027      Gross Pb Prod</v>
          </cell>
        </row>
        <row r="40">
          <cell r="P40" t="str">
            <v>1028      Gross Zn Prod</v>
          </cell>
        </row>
        <row r="41">
          <cell r="P41" t="str">
            <v>1029      Net Payable Ag</v>
          </cell>
        </row>
        <row r="42">
          <cell r="P42" t="str">
            <v>1030      Net Payable Pb</v>
          </cell>
        </row>
        <row r="43">
          <cell r="P43" t="str">
            <v>1031      Net Payable Zn</v>
          </cell>
        </row>
        <row r="44">
          <cell r="P44" t="str">
            <v>1032      Gross Revenue</v>
          </cell>
        </row>
        <row r="45">
          <cell r="P45" t="str">
            <v>1033      Net Revenue</v>
          </cell>
        </row>
        <row r="46">
          <cell r="P46" t="str">
            <v>5301  DO NOT USE  DO NOT USE</v>
          </cell>
        </row>
        <row r="47">
          <cell r="P47" t="str">
            <v>6301       Depreciation</v>
          </cell>
        </row>
        <row r="48">
          <cell r="P48" t="str">
            <v>5842       Leasing costs</v>
          </cell>
        </row>
        <row r="49">
          <cell r="P49" t="str">
            <v xml:space="preserve">5302       Supplies - Operating   </v>
          </cell>
        </row>
        <row r="50">
          <cell r="P50" t="str">
            <v xml:space="preserve">5303       Supplies - Field   </v>
          </cell>
        </row>
        <row r="51">
          <cell r="P51" t="str">
            <v xml:space="preserve">5304       Supplies - Office   </v>
          </cell>
        </row>
        <row r="52">
          <cell r="P52" t="str">
            <v xml:space="preserve">5305       Small Equipment and Tools   </v>
          </cell>
        </row>
        <row r="53">
          <cell r="P53" t="str">
            <v xml:space="preserve">5306       Office Equipment   </v>
          </cell>
        </row>
        <row r="54">
          <cell r="P54" t="str">
            <v xml:space="preserve">5307       Computer Equipment   </v>
          </cell>
        </row>
        <row r="55">
          <cell r="P55" t="str">
            <v xml:space="preserve">5310       Software   </v>
          </cell>
        </row>
        <row r="56">
          <cell r="P56" t="str">
            <v>5315  Explosives &amp; Accessories  DO NOT USE</v>
          </cell>
        </row>
        <row r="57">
          <cell r="P57" t="str">
            <v xml:space="preserve">5316       Bulk   </v>
          </cell>
        </row>
        <row r="58">
          <cell r="P58" t="str">
            <v xml:space="preserve">5317       Accessories   </v>
          </cell>
        </row>
        <row r="59">
          <cell r="P59" t="str">
            <v xml:space="preserve">5318       Explosives   </v>
          </cell>
        </row>
        <row r="60">
          <cell r="P60" t="str">
            <v xml:space="preserve">5331  Tires   </v>
          </cell>
        </row>
        <row r="61">
          <cell r="P61" t="str">
            <v>5350  Components &amp; Parts  DO NOT USE</v>
          </cell>
        </row>
        <row r="62">
          <cell r="P62" t="str">
            <v xml:space="preserve">5351       Mechanical   </v>
          </cell>
        </row>
        <row r="63">
          <cell r="P63" t="str">
            <v xml:space="preserve">5352       Electrical/Instrumentation   </v>
          </cell>
        </row>
        <row r="64">
          <cell r="P64" t="str">
            <v xml:space="preserve">5353       Ground Engaging Tools   </v>
          </cell>
        </row>
        <row r="65">
          <cell r="P65" t="str">
            <v xml:space="preserve">5354       Piping / Plumbing   </v>
          </cell>
        </row>
        <row r="66">
          <cell r="P66" t="str">
            <v xml:space="preserve">5355       Buildings   </v>
          </cell>
        </row>
        <row r="67">
          <cell r="P67" t="str">
            <v xml:space="preserve">5356       Undercarriage   </v>
          </cell>
        </row>
        <row r="68">
          <cell r="P68" t="str">
            <v xml:space="preserve">5360       Rubber Wear Parts   </v>
          </cell>
        </row>
        <row r="69">
          <cell r="P69" t="str">
            <v xml:space="preserve">5365       Steel Sections   </v>
          </cell>
        </row>
        <row r="70">
          <cell r="P70" t="str">
            <v>5370  Fuel Oil and Grease  DO NOT USE</v>
          </cell>
        </row>
        <row r="71">
          <cell r="P71" t="str">
            <v xml:space="preserve">5371       Diesel   </v>
          </cell>
        </row>
        <row r="72">
          <cell r="P72" t="str">
            <v xml:space="preserve">5372       Gasoline   </v>
          </cell>
        </row>
        <row r="73">
          <cell r="P73" t="str">
            <v xml:space="preserve">5373       Oil and Grease   </v>
          </cell>
        </row>
        <row r="74">
          <cell r="P74" t="str">
            <v xml:space="preserve">5375       General Consumables   </v>
          </cell>
        </row>
        <row r="75">
          <cell r="P75" t="str">
            <v>5500  Contractors  DO NOT USE</v>
          </cell>
        </row>
        <row r="76">
          <cell r="P76" t="str">
            <v xml:space="preserve">5501       Contract - ECPM   </v>
          </cell>
        </row>
        <row r="77">
          <cell r="P77" t="str">
            <v xml:space="preserve">5502       Contract - Drilling Services   </v>
          </cell>
        </row>
        <row r="78">
          <cell r="P78" t="str">
            <v xml:space="preserve">5503       Contract - Maintenance and Rep   </v>
          </cell>
        </row>
        <row r="79">
          <cell r="P79" t="str">
            <v xml:space="preserve">5504       Contract - Mining   </v>
          </cell>
        </row>
        <row r="80">
          <cell r="P80" t="str">
            <v xml:space="preserve">5510       Contract - Construction   </v>
          </cell>
        </row>
        <row r="81">
          <cell r="P81" t="str">
            <v xml:space="preserve">5529       Contract - Other   </v>
          </cell>
        </row>
        <row r="82">
          <cell r="P82" t="str">
            <v>5530  Professional Fees  DO NOT USE</v>
          </cell>
        </row>
        <row r="83">
          <cell r="P83" t="str">
            <v xml:space="preserve">5534       Professional Fees: Legal Fees   </v>
          </cell>
        </row>
        <row r="84">
          <cell r="P84" t="str">
            <v xml:space="preserve">5535       IT Consulting   </v>
          </cell>
        </row>
        <row r="85">
          <cell r="P85" t="str">
            <v xml:space="preserve">5536       Other Professional Services   </v>
          </cell>
        </row>
        <row r="86">
          <cell r="P86" t="str">
            <v xml:space="preserve">5623       Permit Costs   </v>
          </cell>
        </row>
        <row r="87">
          <cell r="P87" t="str">
            <v xml:space="preserve">5624       Licenses Costs   </v>
          </cell>
        </row>
        <row r="88">
          <cell r="P88" t="str">
            <v xml:space="preserve">5625       Fines   </v>
          </cell>
        </row>
        <row r="89">
          <cell r="P89" t="str">
            <v>5640  Freight, Shipping &amp; Postage  DO NOT USE</v>
          </cell>
        </row>
        <row r="90">
          <cell r="P90" t="str">
            <v xml:space="preserve">5641       Postage   </v>
          </cell>
        </row>
        <row r="91">
          <cell r="P91" t="str">
            <v xml:space="preserve">5642       Shipping Service   </v>
          </cell>
        </row>
        <row r="92">
          <cell r="P92" t="str">
            <v xml:space="preserve">5643       Freight &amp; Delivery   </v>
          </cell>
        </row>
        <row r="93">
          <cell r="P93" t="str">
            <v xml:space="preserve">5644       Customs And Duties   </v>
          </cell>
        </row>
        <row r="94">
          <cell r="P94" t="str">
            <v>5700  Travel &amp; Entertainment  DO NOT USE</v>
          </cell>
        </row>
        <row r="95">
          <cell r="P95" t="str">
            <v xml:space="preserve">5701       Travel: Transportation   </v>
          </cell>
        </row>
        <row r="96">
          <cell r="P96" t="str">
            <v xml:space="preserve">5702       Travel: Fares   </v>
          </cell>
        </row>
        <row r="97">
          <cell r="P97" t="str">
            <v xml:space="preserve">5703       Travel: Lodging   </v>
          </cell>
        </row>
        <row r="98">
          <cell r="P98" t="str">
            <v xml:space="preserve">5704       Travel: Meals   </v>
          </cell>
        </row>
        <row r="99">
          <cell r="P99" t="str">
            <v xml:space="preserve">5705       External Visitors   </v>
          </cell>
        </row>
        <row r="100">
          <cell r="P100" t="str">
            <v xml:space="preserve">5706       Entertainment   </v>
          </cell>
        </row>
        <row r="101">
          <cell r="P101" t="str">
            <v xml:space="preserve">5710       Travel: Other   </v>
          </cell>
        </row>
        <row r="102">
          <cell r="P102" t="str">
            <v xml:space="preserve">5711       Travel: Vehicles and Other   </v>
          </cell>
        </row>
        <row r="103">
          <cell r="P103" t="str">
            <v xml:space="preserve">5712       Gasoline &amp; Minor Maint.   </v>
          </cell>
        </row>
        <row r="104">
          <cell r="P104" t="str">
            <v>5800  Other Costs  DO NOT USE</v>
          </cell>
        </row>
        <row r="105">
          <cell r="P105" t="str">
            <v xml:space="preserve">5801       Copying &amp; Reproduction   </v>
          </cell>
        </row>
        <row r="106">
          <cell r="P106" t="str">
            <v xml:space="preserve">5802       Photos and maps   </v>
          </cell>
        </row>
        <row r="107">
          <cell r="P107" t="str">
            <v xml:space="preserve">5803       Subscriptions &amp; Publications   </v>
          </cell>
        </row>
        <row r="108">
          <cell r="P108" t="str">
            <v xml:space="preserve">5804       Education, Seminars, Conferences   </v>
          </cell>
        </row>
        <row r="109">
          <cell r="P109" t="str">
            <v xml:space="preserve">5805       Membership Dues   </v>
          </cell>
        </row>
        <row r="110">
          <cell r="P110" t="str">
            <v xml:space="preserve">5808       Other General Costs   </v>
          </cell>
        </row>
        <row r="111">
          <cell r="P111" t="str">
            <v xml:space="preserve">5809       Medical Expenses   </v>
          </cell>
        </row>
      </sheetData>
      <sheetData sheetId="22">
        <row r="12">
          <cell r="F12" t="str">
            <v>Respons/Activity</v>
          </cell>
          <cell r="G12" t="str">
            <v>Object Code</v>
          </cell>
          <cell r="H12" t="str">
            <v>CTDAD</v>
          </cell>
          <cell r="I12" t="str">
            <v>UNIDAD</v>
          </cell>
          <cell r="J12" t="str">
            <v>COSTO UNITARIO</v>
          </cell>
          <cell r="K12" t="str">
            <v>COSTO TOTAL</v>
          </cell>
          <cell r="L12">
            <v>38869</v>
          </cell>
          <cell r="M12">
            <v>38899</v>
          </cell>
          <cell r="N12">
            <v>38930</v>
          </cell>
          <cell r="O12">
            <v>38961</v>
          </cell>
          <cell r="P12">
            <v>38991</v>
          </cell>
          <cell r="Q12">
            <v>39022</v>
          </cell>
          <cell r="R12">
            <v>39052</v>
          </cell>
          <cell r="S12">
            <v>39083</v>
          </cell>
          <cell r="T12">
            <v>39114</v>
          </cell>
          <cell r="U12">
            <v>39142</v>
          </cell>
          <cell r="V12">
            <v>39173</v>
          </cell>
          <cell r="W12">
            <v>39203</v>
          </cell>
          <cell r="X12">
            <v>39234</v>
          </cell>
          <cell r="Y12">
            <v>39264</v>
          </cell>
          <cell r="Z12">
            <v>39295</v>
          </cell>
          <cell r="AA12">
            <v>39326</v>
          </cell>
          <cell r="AB12">
            <v>39356</v>
          </cell>
          <cell r="AC12">
            <v>39387</v>
          </cell>
          <cell r="AD12">
            <v>39417</v>
          </cell>
          <cell r="AE12">
            <v>39508</v>
          </cell>
          <cell r="AF12">
            <v>39600</v>
          </cell>
          <cell r="AG12">
            <v>39692</v>
          </cell>
          <cell r="AH12" t="str">
            <v>Total</v>
          </cell>
        </row>
        <row r="13">
          <cell r="F13" t="str">
            <v>22020033</v>
          </cell>
          <cell r="G13" t="str">
            <v>5504</v>
          </cell>
          <cell r="H13">
            <v>1</v>
          </cell>
          <cell r="I13" t="str">
            <v>Lot</v>
          </cell>
          <cell r="J13" t="e">
            <v>#REF!</v>
          </cell>
          <cell r="K13" t="e">
            <v>#REF!</v>
          </cell>
          <cell r="M13" t="e">
            <v>#REF!</v>
          </cell>
          <cell r="N13" t="e">
            <v>#REF!</v>
          </cell>
          <cell r="O13" t="e">
            <v>#REF!</v>
          </cell>
          <cell r="P13" t="e">
            <v>#REF!</v>
          </cell>
          <cell r="Q13" t="e">
            <v>#REF!</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cell r="AE13" t="e">
            <v>#REF!</v>
          </cell>
          <cell r="AF13" t="e">
            <v>#REF!</v>
          </cell>
          <cell r="AG13" t="e">
            <v>#REF!</v>
          </cell>
          <cell r="AH13" t="e">
            <v>#REF!</v>
          </cell>
        </row>
        <row r="14">
          <cell r="F14" t="str">
            <v>22020032</v>
          </cell>
          <cell r="G14" t="str">
            <v>5504</v>
          </cell>
          <cell r="H14">
            <v>1</v>
          </cell>
          <cell r="I14" t="str">
            <v>Lot</v>
          </cell>
          <cell r="J14" t="e">
            <v>#REF!</v>
          </cell>
          <cell r="K14" t="e">
            <v>#REF!</v>
          </cell>
          <cell r="M14" t="e">
            <v>#REF!</v>
          </cell>
          <cell r="N14" t="e">
            <v>#REF!</v>
          </cell>
          <cell r="O14" t="e">
            <v>#REF!</v>
          </cell>
          <cell r="P14" t="e">
            <v>#REF!</v>
          </cell>
          <cell r="Q14" t="e">
            <v>#REF!</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cell r="AE14" t="e">
            <v>#REF!</v>
          </cell>
          <cell r="AF14" t="e">
            <v>#REF!</v>
          </cell>
          <cell r="AG14" t="e">
            <v>#REF!</v>
          </cell>
          <cell r="AH14" t="e">
            <v>#REF!</v>
          </cell>
        </row>
        <row r="15">
          <cell r="F15" t="str">
            <v>22020042</v>
          </cell>
          <cell r="G15" t="str">
            <v>5504</v>
          </cell>
          <cell r="H15">
            <v>1</v>
          </cell>
          <cell r="I15" t="str">
            <v>Lot</v>
          </cell>
          <cell r="J15" t="e">
            <v>#REF!</v>
          </cell>
          <cell r="K15" t="e">
            <v>#REF!</v>
          </cell>
          <cell r="M15" t="e">
            <v>#REF!</v>
          </cell>
          <cell r="N15" t="e">
            <v>#REF!</v>
          </cell>
          <cell r="O15" t="e">
            <v>#REF!</v>
          </cell>
          <cell r="P15" t="e">
            <v>#REF!</v>
          </cell>
          <cell r="Q15" t="e">
            <v>#REF!</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cell r="AE15" t="e">
            <v>#REF!</v>
          </cell>
          <cell r="AF15" t="e">
            <v>#REF!</v>
          </cell>
          <cell r="AG15" t="e">
            <v>#REF!</v>
          </cell>
          <cell r="AH15" t="e">
            <v>#REF!</v>
          </cell>
        </row>
        <row r="16">
          <cell r="F16" t="str">
            <v>22020041</v>
          </cell>
          <cell r="G16" t="str">
            <v>5504</v>
          </cell>
          <cell r="H16">
            <v>1</v>
          </cell>
          <cell r="I16" t="str">
            <v>Lot</v>
          </cell>
          <cell r="J16" t="e">
            <v>#REF!</v>
          </cell>
          <cell r="K16" t="e">
            <v>#REF!</v>
          </cell>
          <cell r="M16" t="e">
            <v>#REF!</v>
          </cell>
          <cell r="N16" t="e">
            <v>#REF!</v>
          </cell>
          <cell r="O16" t="e">
            <v>#REF!</v>
          </cell>
          <cell r="P16" t="e">
            <v>#REF!</v>
          </cell>
          <cell r="Q16" t="e">
            <v>#REF!</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cell r="AE16" t="e">
            <v>#REF!</v>
          </cell>
          <cell r="AF16" t="e">
            <v>#REF!</v>
          </cell>
          <cell r="AG16" t="e">
            <v>#REF!</v>
          </cell>
          <cell r="AH16" t="e">
            <v>#REF!</v>
          </cell>
        </row>
        <row r="17">
          <cell r="F17" t="str">
            <v>22020010</v>
          </cell>
          <cell r="G17" t="str">
            <v>5504</v>
          </cell>
          <cell r="H17">
            <v>1</v>
          </cell>
          <cell r="I17" t="str">
            <v>Lot</v>
          </cell>
          <cell r="J17" t="e">
            <v>#REF!</v>
          </cell>
          <cell r="K17" t="e">
            <v>#REF!</v>
          </cell>
          <cell r="M17" t="e">
            <v>#REF!</v>
          </cell>
          <cell r="N17" t="e">
            <v>#REF!</v>
          </cell>
          <cell r="O17" t="e">
            <v>#REF!</v>
          </cell>
          <cell r="P17" t="e">
            <v>#REF!</v>
          </cell>
          <cell r="Q17" t="e">
            <v>#REF!</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cell r="AE17" t="e">
            <v>#REF!</v>
          </cell>
          <cell r="AF17" t="e">
            <v>#REF!</v>
          </cell>
          <cell r="AG17" t="e">
            <v>#REF!</v>
          </cell>
          <cell r="AH17" t="e">
            <v>#REF!</v>
          </cell>
        </row>
        <row r="18">
          <cell r="F18" t="str">
            <v>22020050</v>
          </cell>
          <cell r="G18" t="str">
            <v>5504</v>
          </cell>
          <cell r="H18">
            <v>1</v>
          </cell>
          <cell r="I18" t="str">
            <v>Lot</v>
          </cell>
          <cell r="J18" t="e">
            <v>#REF!</v>
          </cell>
          <cell r="K18" t="e">
            <v>#REF!</v>
          </cell>
          <cell r="M18" t="e">
            <v>#REF!</v>
          </cell>
          <cell r="N18" t="e">
            <v>#REF!</v>
          </cell>
          <cell r="O18" t="e">
            <v>#REF!</v>
          </cell>
          <cell r="P18" t="e">
            <v>#REF!</v>
          </cell>
          <cell r="Q18" t="e">
            <v>#REF!</v>
          </cell>
          <cell r="R18" t="e">
            <v>#REF!</v>
          </cell>
          <cell r="S18" t="e">
            <v>#REF!</v>
          </cell>
          <cell r="T18" t="e">
            <v>#REF!</v>
          </cell>
          <cell r="U18" t="e">
            <v>#REF!</v>
          </cell>
          <cell r="V18" t="e">
            <v>#REF!</v>
          </cell>
          <cell r="W18" t="e">
            <v>#REF!</v>
          </cell>
          <cell r="X18" t="e">
            <v>#REF!</v>
          </cell>
          <cell r="Y18" t="e">
            <v>#REF!</v>
          </cell>
          <cell r="Z18" t="e">
            <v>#REF!</v>
          </cell>
          <cell r="AA18" t="e">
            <v>#REF!</v>
          </cell>
          <cell r="AB18" t="e">
            <v>#REF!</v>
          </cell>
          <cell r="AC18" t="e">
            <v>#REF!</v>
          </cell>
          <cell r="AD18" t="e">
            <v>#REF!</v>
          </cell>
          <cell r="AE18" t="e">
            <v>#REF!</v>
          </cell>
          <cell r="AF18" t="e">
            <v>#REF!</v>
          </cell>
          <cell r="AG18" t="e">
            <v>#REF!</v>
          </cell>
          <cell r="AH18" t="e">
            <v>#REF!</v>
          </cell>
        </row>
        <row r="19">
          <cell r="F19" t="str">
            <v>22020060</v>
          </cell>
          <cell r="G19" t="str">
            <v>5504</v>
          </cell>
          <cell r="H19">
            <v>1</v>
          </cell>
          <cell r="I19" t="str">
            <v>Lot</v>
          </cell>
          <cell r="J19" t="e">
            <v>#REF!</v>
          </cell>
          <cell r="K19" t="e">
            <v>#REF!</v>
          </cell>
          <cell r="M19" t="e">
            <v>#REF!</v>
          </cell>
          <cell r="N19" t="e">
            <v>#REF!</v>
          </cell>
          <cell r="O19" t="e">
            <v>#REF!</v>
          </cell>
          <cell r="P19" t="e">
            <v>#REF!</v>
          </cell>
          <cell r="Q19" t="e">
            <v>#REF!</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cell r="AE19" t="e">
            <v>#REF!</v>
          </cell>
          <cell r="AF19" t="e">
            <v>#REF!</v>
          </cell>
          <cell r="AG19" t="e">
            <v>#REF!</v>
          </cell>
          <cell r="AH19" t="e">
            <v>#REF!</v>
          </cell>
        </row>
        <row r="20">
          <cell r="F20" t="str">
            <v>22020031</v>
          </cell>
          <cell r="G20" t="str">
            <v>5504</v>
          </cell>
          <cell r="H20">
            <v>1</v>
          </cell>
          <cell r="I20" t="str">
            <v>Lot</v>
          </cell>
          <cell r="J20" t="e">
            <v>#REF!</v>
          </cell>
          <cell r="K20" t="e">
            <v>#REF!</v>
          </cell>
          <cell r="M20" t="e">
            <v>#REF!</v>
          </cell>
          <cell r="N20" t="e">
            <v>#REF!</v>
          </cell>
          <cell r="O20" t="e">
            <v>#REF!</v>
          </cell>
          <cell r="P20" t="e">
            <v>#REF!</v>
          </cell>
          <cell r="Q20" t="e">
            <v>#REF!</v>
          </cell>
          <cell r="R20" t="e">
            <v>#REF!</v>
          </cell>
          <cell r="S20" t="e">
            <v>#REF!</v>
          </cell>
          <cell r="T20" t="e">
            <v>#REF!</v>
          </cell>
          <cell r="U20" t="e">
            <v>#REF!</v>
          </cell>
          <cell r="V20" t="e">
            <v>#REF!</v>
          </cell>
          <cell r="W20" t="e">
            <v>#REF!</v>
          </cell>
          <cell r="X20" t="e">
            <v>#REF!</v>
          </cell>
          <cell r="Y20" t="e">
            <v>#REF!</v>
          </cell>
          <cell r="Z20" t="e">
            <v>#REF!</v>
          </cell>
          <cell r="AA20" t="e">
            <v>#REF!</v>
          </cell>
          <cell r="AB20" t="e">
            <v>#REF!</v>
          </cell>
          <cell r="AC20" t="e">
            <v>#REF!</v>
          </cell>
          <cell r="AD20" t="e">
            <v>#REF!</v>
          </cell>
          <cell r="AE20" t="e">
            <v>#REF!</v>
          </cell>
          <cell r="AF20" t="e">
            <v>#REF!</v>
          </cell>
          <cell r="AG20" t="e">
            <v>#REF!</v>
          </cell>
          <cell r="AH20" t="e">
            <v>#REF!</v>
          </cell>
        </row>
        <row r="21">
          <cell r="F21" t="str">
            <v>22020033</v>
          </cell>
          <cell r="G21" t="str">
            <v>5371</v>
          </cell>
          <cell r="H21">
            <v>3812726.7636531512</v>
          </cell>
          <cell r="I21" t="str">
            <v>Litres</v>
          </cell>
          <cell r="J21">
            <v>0.5</v>
          </cell>
          <cell r="K21">
            <v>1906363.3818265756</v>
          </cell>
          <cell r="M21">
            <v>72162.321366153861</v>
          </cell>
          <cell r="N21">
            <v>72162.321366153861</v>
          </cell>
          <cell r="O21">
            <v>72162.321366153861</v>
          </cell>
          <cell r="P21">
            <v>72162.321366153861</v>
          </cell>
          <cell r="Q21">
            <v>72162.321366153861</v>
          </cell>
          <cell r="R21">
            <v>74166.83029299145</v>
          </cell>
          <cell r="S21">
            <v>76870.50933333335</v>
          </cell>
          <cell r="T21">
            <v>83037.310637037037</v>
          </cell>
          <cell r="U21">
            <v>72977.914240000013</v>
          </cell>
          <cell r="V21">
            <v>64426.933511111114</v>
          </cell>
          <cell r="W21">
            <v>67224.819200000013</v>
          </cell>
          <cell r="X21">
            <v>67927.690797037023</v>
          </cell>
          <cell r="Y21">
            <v>71747.125615407422</v>
          </cell>
          <cell r="Z21">
            <v>67970.206942814824</v>
          </cell>
          <cell r="AA21">
            <v>64807.445380740734</v>
          </cell>
          <cell r="AB21">
            <v>66433.140820148154</v>
          </cell>
          <cell r="AC21">
            <v>65702.188989629634</v>
          </cell>
          <cell r="AD21">
            <v>72648.548124444438</v>
          </cell>
          <cell r="AE21">
            <v>209870.37037037036</v>
          </cell>
          <cell r="AF21">
            <v>209870.37037037036</v>
          </cell>
          <cell r="AG21">
            <v>209870.37037037036</v>
          </cell>
          <cell r="AH21">
            <v>1906363.3818265756</v>
          </cell>
        </row>
        <row r="22">
          <cell r="F22" t="str">
            <v>22020032</v>
          </cell>
          <cell r="G22" t="str">
            <v>5371</v>
          </cell>
          <cell r="H22">
            <v>2096633.8749079772</v>
          </cell>
          <cell r="I22" t="str">
            <v>Litres</v>
          </cell>
          <cell r="J22">
            <v>0.5</v>
          </cell>
          <cell r="K22">
            <v>1048316.9374539886</v>
          </cell>
          <cell r="M22">
            <v>0</v>
          </cell>
          <cell r="N22">
            <v>0</v>
          </cell>
          <cell r="O22">
            <v>0</v>
          </cell>
          <cell r="P22">
            <v>0</v>
          </cell>
          <cell r="Q22">
            <v>0</v>
          </cell>
          <cell r="R22">
            <v>0</v>
          </cell>
          <cell r="S22">
            <v>0</v>
          </cell>
          <cell r="T22">
            <v>0</v>
          </cell>
          <cell r="U22">
            <v>0</v>
          </cell>
          <cell r="V22">
            <v>54670.855008000013</v>
          </cell>
          <cell r="W22">
            <v>56304.215917714289</v>
          </cell>
          <cell r="X22">
            <v>57641.497619199996</v>
          </cell>
          <cell r="Y22">
            <v>64476.5727376457</v>
          </cell>
          <cell r="Z22">
            <v>61082.391166902868</v>
          </cell>
          <cell r="AA22">
            <v>58240.130600228578</v>
          </cell>
          <cell r="AB22">
            <v>56373.26521024001</v>
          </cell>
          <cell r="AC22">
            <v>55753.000371199989</v>
          </cell>
          <cell r="AD22">
            <v>63382.151679999995</v>
          </cell>
          <cell r="AE22">
            <v>180402.85714285716</v>
          </cell>
          <cell r="AF22">
            <v>159587.14285714284</v>
          </cell>
          <cell r="AG22">
            <v>180402.85714285716</v>
          </cell>
          <cell r="AH22">
            <v>1048316.9374539886</v>
          </cell>
        </row>
        <row r="23">
          <cell r="F23" t="str">
            <v>22020042</v>
          </cell>
          <cell r="G23" t="str">
            <v>5371</v>
          </cell>
          <cell r="H23">
            <v>9797677.4735718481</v>
          </cell>
          <cell r="I23" t="str">
            <v>Litres</v>
          </cell>
          <cell r="J23">
            <v>0.5</v>
          </cell>
          <cell r="K23">
            <v>4898838.7367859241</v>
          </cell>
          <cell r="M23">
            <v>154633.54578461539</v>
          </cell>
          <cell r="N23">
            <v>154633.54578461539</v>
          </cell>
          <cell r="O23">
            <v>154633.54578461539</v>
          </cell>
          <cell r="P23">
            <v>154633.54578461539</v>
          </cell>
          <cell r="Q23">
            <v>154633.54578461539</v>
          </cell>
          <cell r="R23">
            <v>152217.39663173084</v>
          </cell>
          <cell r="S23">
            <v>153918.37317073173</v>
          </cell>
          <cell r="T23">
            <v>159321.08243902435</v>
          </cell>
          <cell r="U23">
            <v>232029.08273170728</v>
          </cell>
          <cell r="V23">
            <v>195304.81740000003</v>
          </cell>
          <cell r="W23">
            <v>190255.60764878048</v>
          </cell>
          <cell r="X23">
            <v>205917.06797951218</v>
          </cell>
          <cell r="Y23">
            <v>222205.06845007057</v>
          </cell>
          <cell r="Z23">
            <v>210507.72914936475</v>
          </cell>
          <cell r="AA23">
            <v>200712.47054682352</v>
          </cell>
          <cell r="AB23">
            <v>198960.12276269883</v>
          </cell>
          <cell r="AC23">
            <v>196771.00052433735</v>
          </cell>
          <cell r="AD23">
            <v>200455.60019277109</v>
          </cell>
          <cell r="AE23">
            <v>528555.8823529412</v>
          </cell>
          <cell r="AF23">
            <v>549983.82352941181</v>
          </cell>
          <cell r="AG23">
            <v>528555.8823529412</v>
          </cell>
          <cell r="AH23">
            <v>4898838.7367859241</v>
          </cell>
        </row>
        <row r="24">
          <cell r="F24" t="str">
            <v>22020041</v>
          </cell>
          <cell r="G24" t="str">
            <v>5371</v>
          </cell>
          <cell r="H24">
            <v>1699039.0729198591</v>
          </cell>
          <cell r="I24" t="str">
            <v>Litres</v>
          </cell>
          <cell r="J24">
            <v>0.5</v>
          </cell>
          <cell r="K24">
            <v>849519.53645992954</v>
          </cell>
          <cell r="M24">
            <v>0</v>
          </cell>
          <cell r="N24">
            <v>0</v>
          </cell>
          <cell r="O24">
            <v>0</v>
          </cell>
          <cell r="P24">
            <v>0</v>
          </cell>
          <cell r="Q24">
            <v>0</v>
          </cell>
          <cell r="R24">
            <v>0</v>
          </cell>
          <cell r="S24">
            <v>0</v>
          </cell>
          <cell r="T24">
            <v>0</v>
          </cell>
          <cell r="U24">
            <v>22378.073426376814</v>
          </cell>
          <cell r="V24">
            <v>16952.518635945809</v>
          </cell>
          <cell r="W24">
            <v>19978.009733701958</v>
          </cell>
          <cell r="X24">
            <v>20264.291518950784</v>
          </cell>
          <cell r="Y24">
            <v>34038.205552658095</v>
          </cell>
          <cell r="Z24">
            <v>47571.951743250116</v>
          </cell>
          <cell r="AA24">
            <v>66518.517542970672</v>
          </cell>
          <cell r="AB24">
            <v>67890.254176888091</v>
          </cell>
          <cell r="AC24">
            <v>57786.706054985407</v>
          </cell>
          <cell r="AD24">
            <v>48916.008074201782</v>
          </cell>
          <cell r="AE24">
            <v>149075</v>
          </cell>
          <cell r="AF24">
            <v>149075</v>
          </cell>
          <cell r="AG24">
            <v>149075</v>
          </cell>
          <cell r="AH24">
            <v>849519.53645992954</v>
          </cell>
        </row>
        <row r="25">
          <cell r="F25" t="str">
            <v>22020010</v>
          </cell>
          <cell r="G25" t="str">
            <v>5371</v>
          </cell>
          <cell r="H25">
            <v>8619914.9688029401</v>
          </cell>
          <cell r="I25" t="str">
            <v>Litres</v>
          </cell>
          <cell r="J25">
            <v>0.5</v>
          </cell>
          <cell r="K25">
            <v>4309957.4844014701</v>
          </cell>
          <cell r="M25">
            <v>28366.841525536503</v>
          </cell>
          <cell r="N25">
            <v>28366.841525536503</v>
          </cell>
          <cell r="O25">
            <v>28366.841525536503</v>
          </cell>
          <cell r="P25">
            <v>28366.841525536503</v>
          </cell>
          <cell r="Q25">
            <v>28366.841525536503</v>
          </cell>
          <cell r="R25">
            <v>29154.809345690286</v>
          </cell>
          <cell r="S25">
            <v>30217.619319390295</v>
          </cell>
          <cell r="T25">
            <v>68003.697167080216</v>
          </cell>
          <cell r="U25">
            <v>28687.449196738751</v>
          </cell>
          <cell r="V25">
            <v>210450.21924796599</v>
          </cell>
          <cell r="W25">
            <v>224892.02706557856</v>
          </cell>
          <cell r="X25">
            <v>229079.15471055495</v>
          </cell>
          <cell r="Y25">
            <v>236168.54318266077</v>
          </cell>
          <cell r="Z25">
            <v>227955.26740553547</v>
          </cell>
          <cell r="AA25">
            <v>216309.56747898809</v>
          </cell>
          <cell r="AB25">
            <v>213787.45496726909</v>
          </cell>
          <cell r="AC25">
            <v>209493.65639123318</v>
          </cell>
          <cell r="AD25">
            <v>233109.44003817532</v>
          </cell>
          <cell r="AE25">
            <v>685975.32010858413</v>
          </cell>
          <cell r="AF25">
            <v>652107.08096233138</v>
          </cell>
          <cell r="AG25">
            <v>672731.97018601105</v>
          </cell>
          <cell r="AH25">
            <v>4309957.4844014701</v>
          </cell>
        </row>
        <row r="26">
          <cell r="F26" t="str">
            <v>22020050</v>
          </cell>
          <cell r="G26" t="str">
            <v>5371</v>
          </cell>
          <cell r="H26">
            <v>32022096.657553203</v>
          </cell>
          <cell r="I26" t="str">
            <v>Litres</v>
          </cell>
          <cell r="J26">
            <v>0.5</v>
          </cell>
          <cell r="K26">
            <v>16011048.328776602</v>
          </cell>
          <cell r="M26">
            <v>421657.38800416427</v>
          </cell>
          <cell r="N26">
            <v>421657.38800416427</v>
          </cell>
          <cell r="O26">
            <v>421657.38800416427</v>
          </cell>
          <cell r="P26">
            <v>421657.38800416427</v>
          </cell>
          <cell r="Q26">
            <v>421657.38800416427</v>
          </cell>
          <cell r="R26">
            <v>415068.99131659942</v>
          </cell>
          <cell r="S26">
            <v>430199.9242105264</v>
          </cell>
          <cell r="T26">
            <v>445300.42891228065</v>
          </cell>
          <cell r="U26">
            <v>681962.53229467373</v>
          </cell>
          <cell r="V26">
            <v>612196.31616693689</v>
          </cell>
          <cell r="W26">
            <v>621468.89574478474</v>
          </cell>
          <cell r="X26">
            <v>678233.10844097706</v>
          </cell>
          <cell r="Y26">
            <v>734381.29372770851</v>
          </cell>
          <cell r="Z26">
            <v>730022.6809747162</v>
          </cell>
          <cell r="AA26">
            <v>725349.30452976574</v>
          </cell>
          <cell r="AB26">
            <v>709355.0645321497</v>
          </cell>
          <cell r="AC26">
            <v>679678.89858286618</v>
          </cell>
          <cell r="AD26">
            <v>672187.13150802581</v>
          </cell>
          <cell r="AE26">
            <v>1887824.337767496</v>
          </cell>
          <cell r="AF26">
            <v>1959425.5257374209</v>
          </cell>
          <cell r="AG26">
            <v>1920106.9543088495</v>
          </cell>
          <cell r="AH26">
            <v>16011048.328776602</v>
          </cell>
        </row>
        <row r="27">
          <cell r="F27" t="str">
            <v>22020060</v>
          </cell>
          <cell r="G27" t="str">
            <v>5371</v>
          </cell>
          <cell r="H27">
            <v>7763201.3100000005</v>
          </cell>
          <cell r="I27" t="str">
            <v>Litres</v>
          </cell>
          <cell r="J27">
            <v>0.5</v>
          </cell>
          <cell r="K27">
            <v>3881600.6550000003</v>
          </cell>
          <cell r="M27">
            <v>47116.160000000003</v>
          </cell>
          <cell r="N27">
            <v>45471.41</v>
          </cell>
          <cell r="O27">
            <v>43563.5</v>
          </cell>
          <cell r="P27">
            <v>43168.759999999995</v>
          </cell>
          <cell r="Q27">
            <v>42905.599999999999</v>
          </cell>
          <cell r="R27">
            <v>48103.01</v>
          </cell>
          <cell r="S27">
            <v>49747.76</v>
          </cell>
          <cell r="T27">
            <v>79864.959999999992</v>
          </cell>
          <cell r="U27">
            <v>177014.86000000002</v>
          </cell>
          <cell r="V27">
            <v>159865.60000000003</v>
          </cell>
          <cell r="W27">
            <v>165830.56</v>
          </cell>
          <cell r="X27">
            <v>163593.69999999998</v>
          </cell>
          <cell r="Y27">
            <v>175772.16</v>
          </cell>
          <cell r="Z27">
            <v>169558.65999999997</v>
          </cell>
          <cell r="AA27">
            <v>162351</v>
          </cell>
          <cell r="AB27">
            <v>160859.76</v>
          </cell>
          <cell r="AC27">
            <v>159865.60000000003</v>
          </cell>
          <cell r="AD27">
            <v>179500.26</v>
          </cell>
          <cell r="AE27">
            <v>623995.77500000002</v>
          </cell>
          <cell r="AF27">
            <v>580771.745</v>
          </cell>
          <cell r="AG27">
            <v>602679.81499999994</v>
          </cell>
          <cell r="AH27">
            <v>3881600.6550000003</v>
          </cell>
        </row>
        <row r="28">
          <cell r="F28" t="str">
            <v>22020031</v>
          </cell>
          <cell r="G28" t="str">
            <v>5371</v>
          </cell>
          <cell r="H28">
            <v>2874767.1500000008</v>
          </cell>
          <cell r="I28" t="str">
            <v>Litres</v>
          </cell>
          <cell r="J28">
            <v>0.5</v>
          </cell>
          <cell r="K28">
            <v>1437383.5750000004</v>
          </cell>
          <cell r="M28">
            <v>90059.199999999997</v>
          </cell>
          <cell r="N28">
            <v>86861.075000000012</v>
          </cell>
          <cell r="O28">
            <v>83151.25</v>
          </cell>
          <cell r="P28">
            <v>82383.7</v>
          </cell>
          <cell r="Q28">
            <v>81872</v>
          </cell>
          <cell r="R28">
            <v>91978.074999999997</v>
          </cell>
          <cell r="S28">
            <v>95176.2</v>
          </cell>
          <cell r="T28">
            <v>86477.3</v>
          </cell>
          <cell r="U28">
            <v>64784.875</v>
          </cell>
          <cell r="V28">
            <v>46784</v>
          </cell>
          <cell r="W28">
            <v>36403.800000000003</v>
          </cell>
          <cell r="X28">
            <v>35910.375</v>
          </cell>
          <cell r="Y28">
            <v>38596.800000000003</v>
          </cell>
          <cell r="Z28">
            <v>37226.175000000003</v>
          </cell>
          <cell r="AA28">
            <v>35636.25</v>
          </cell>
          <cell r="AB28">
            <v>35307.299999999996</v>
          </cell>
          <cell r="AC28">
            <v>35088</v>
          </cell>
          <cell r="AD28">
            <v>39419.175000000003</v>
          </cell>
          <cell r="AE28">
            <v>115406.62500000001</v>
          </cell>
          <cell r="AF28">
            <v>107402.17500000002</v>
          </cell>
          <cell r="AG28">
            <v>111459.22499999999</v>
          </cell>
          <cell r="AH28">
            <v>1437383.5750000004</v>
          </cell>
        </row>
        <row r="29">
          <cell r="F29" t="str">
            <v>22020930</v>
          </cell>
          <cell r="G29" t="str">
            <v>5372</v>
          </cell>
          <cell r="H29">
            <v>84000</v>
          </cell>
          <cell r="I29" t="str">
            <v>Litres</v>
          </cell>
          <cell r="J29">
            <v>0.5</v>
          </cell>
          <cell r="K29">
            <v>42000</v>
          </cell>
          <cell r="M29">
            <v>2000</v>
          </cell>
          <cell r="N29">
            <v>2000</v>
          </cell>
          <cell r="O29">
            <v>2000</v>
          </cell>
          <cell r="P29">
            <v>2000</v>
          </cell>
          <cell r="Q29">
            <v>2000</v>
          </cell>
          <cell r="R29">
            <v>2000</v>
          </cell>
          <cell r="S29">
            <v>2000</v>
          </cell>
          <cell r="T29">
            <v>2000</v>
          </cell>
          <cell r="U29">
            <v>2000</v>
          </cell>
          <cell r="V29">
            <v>2000</v>
          </cell>
          <cell r="W29">
            <v>2000</v>
          </cell>
          <cell r="X29">
            <v>2000</v>
          </cell>
          <cell r="Y29">
            <v>2000</v>
          </cell>
          <cell r="Z29">
            <v>2000</v>
          </cell>
          <cell r="AA29">
            <v>2000</v>
          </cell>
          <cell r="AB29">
            <v>2000</v>
          </cell>
          <cell r="AC29">
            <v>2000</v>
          </cell>
          <cell r="AD29">
            <v>2000</v>
          </cell>
          <cell r="AE29">
            <v>2000</v>
          </cell>
          <cell r="AF29">
            <v>2000</v>
          </cell>
          <cell r="AG29">
            <v>2000</v>
          </cell>
          <cell r="AH29">
            <v>42000</v>
          </cell>
        </row>
        <row r="30">
          <cell r="F30" t="str">
            <v>22020930</v>
          </cell>
          <cell r="G30" t="str">
            <v>5504</v>
          </cell>
          <cell r="H30">
            <v>1</v>
          </cell>
          <cell r="I30" t="str">
            <v>Lot</v>
          </cell>
          <cell r="J30">
            <v>405000</v>
          </cell>
          <cell r="K30">
            <v>405000</v>
          </cell>
          <cell r="M30">
            <v>15000</v>
          </cell>
          <cell r="N30">
            <v>15000</v>
          </cell>
          <cell r="O30">
            <v>15000</v>
          </cell>
          <cell r="P30">
            <v>15000</v>
          </cell>
          <cell r="Q30">
            <v>15000</v>
          </cell>
          <cell r="R30">
            <v>15000</v>
          </cell>
          <cell r="S30">
            <v>15000</v>
          </cell>
          <cell r="T30">
            <v>15000</v>
          </cell>
          <cell r="U30">
            <v>15000</v>
          </cell>
          <cell r="V30">
            <v>15000</v>
          </cell>
          <cell r="W30">
            <v>15000</v>
          </cell>
          <cell r="X30">
            <v>15000</v>
          </cell>
          <cell r="Y30">
            <v>15000</v>
          </cell>
          <cell r="Z30">
            <v>15000</v>
          </cell>
          <cell r="AA30">
            <v>15000</v>
          </cell>
          <cell r="AB30">
            <v>15000</v>
          </cell>
          <cell r="AC30">
            <v>15000</v>
          </cell>
          <cell r="AD30">
            <v>15000</v>
          </cell>
          <cell r="AE30">
            <v>45000</v>
          </cell>
          <cell r="AF30">
            <v>45000</v>
          </cell>
          <cell r="AG30">
            <v>45000</v>
          </cell>
          <cell r="AH30">
            <v>405000</v>
          </cell>
        </row>
        <row r="31">
          <cell r="F31" t="str">
            <v>22020020</v>
          </cell>
          <cell r="G31" t="str">
            <v>5316</v>
          </cell>
          <cell r="H31">
            <v>27048.529868371606</v>
          </cell>
          <cell r="I31" t="str">
            <v>Tonnes</v>
          </cell>
          <cell r="J31">
            <v>604</v>
          </cell>
          <cell r="K31">
            <v>16337312.04049645</v>
          </cell>
          <cell r="M31">
            <v>462537.56346380897</v>
          </cell>
          <cell r="N31">
            <v>462537.56346380897</v>
          </cell>
          <cell r="O31">
            <v>462537.56346380897</v>
          </cell>
          <cell r="P31">
            <v>462537.56346380897</v>
          </cell>
          <cell r="Q31">
            <v>462537.56346380897</v>
          </cell>
          <cell r="R31">
            <v>462537.56346380897</v>
          </cell>
          <cell r="S31">
            <v>479398.91658848303</v>
          </cell>
          <cell r="T31">
            <v>504230.01265342243</v>
          </cell>
          <cell r="U31">
            <v>623687.00637121254</v>
          </cell>
          <cell r="V31">
            <v>646366.20077724371</v>
          </cell>
          <cell r="W31">
            <v>646334.61386222218</v>
          </cell>
          <cell r="X31">
            <v>681487.71073327714</v>
          </cell>
          <cell r="Y31">
            <v>752524.8390894949</v>
          </cell>
          <cell r="Z31">
            <v>712910.35848183569</v>
          </cell>
          <cell r="AA31">
            <v>679737.50848731108</v>
          </cell>
          <cell r="AB31">
            <v>666493.56872174121</v>
          </cell>
          <cell r="AC31">
            <v>659160.26055549202</v>
          </cell>
          <cell r="AD31">
            <v>698481.18386109185</v>
          </cell>
          <cell r="AE31">
            <v>1937091.4931769231</v>
          </cell>
          <cell r="AF31">
            <v>1937091.4931769231</v>
          </cell>
          <cell r="AG31">
            <v>1937091.4931769231</v>
          </cell>
          <cell r="AH31">
            <v>16337312.04049645</v>
          </cell>
        </row>
        <row r="32">
          <cell r="F32" t="str">
            <v>22020020</v>
          </cell>
          <cell r="G32" t="str">
            <v>5317</v>
          </cell>
          <cell r="H32">
            <v>315104.94693159754</v>
          </cell>
          <cell r="I32" t="str">
            <v>Holes</v>
          </cell>
          <cell r="J32">
            <v>18</v>
          </cell>
          <cell r="K32">
            <v>5671889.0447687563</v>
          </cell>
          <cell r="M32">
            <v>160580.98985325443</v>
          </cell>
          <cell r="N32">
            <v>160580.98985325443</v>
          </cell>
          <cell r="O32">
            <v>160580.98985325443</v>
          </cell>
          <cell r="P32">
            <v>160580.98985325443</v>
          </cell>
          <cell r="Q32">
            <v>160580.98985325443</v>
          </cell>
          <cell r="R32">
            <v>160580.98985325443</v>
          </cell>
          <cell r="S32">
            <v>166434.81230769231</v>
          </cell>
          <cell r="T32">
            <v>175055.52184615383</v>
          </cell>
          <cell r="U32">
            <v>216527.87741538463</v>
          </cell>
          <cell r="V32">
            <v>224401.50276923078</v>
          </cell>
          <cell r="W32">
            <v>224390.53661538463</v>
          </cell>
          <cell r="X32">
            <v>236594.77587692306</v>
          </cell>
          <cell r="Y32">
            <v>261257.0158523077</v>
          </cell>
          <cell r="Z32">
            <v>247503.9004061539</v>
          </cell>
          <cell r="AA32">
            <v>235987.15126153844</v>
          </cell>
          <cell r="AB32">
            <v>231389.20046769234</v>
          </cell>
          <cell r="AC32">
            <v>228843.26695384615</v>
          </cell>
          <cell r="AD32">
            <v>242494.46695384619</v>
          </cell>
          <cell r="AE32">
            <v>672507.69230769225</v>
          </cell>
          <cell r="AF32">
            <v>672507.69230769225</v>
          </cell>
          <cell r="AG32">
            <v>672507.69230769225</v>
          </cell>
          <cell r="AH32">
            <v>5671889.0447687563</v>
          </cell>
        </row>
        <row r="33">
          <cell r="F33" t="str">
            <v>22020020</v>
          </cell>
          <cell r="G33" t="str">
            <v>5371</v>
          </cell>
          <cell r="H33">
            <v>1622911.7921022964</v>
          </cell>
          <cell r="I33" t="str">
            <v>Litres</v>
          </cell>
          <cell r="J33">
            <v>0.5</v>
          </cell>
          <cell r="K33">
            <v>811455.89605114819</v>
          </cell>
          <cell r="M33">
            <v>22973.720039593161</v>
          </cell>
          <cell r="N33">
            <v>22973.720039593161</v>
          </cell>
          <cell r="O33">
            <v>22973.720039593161</v>
          </cell>
          <cell r="P33">
            <v>22973.720039593161</v>
          </cell>
          <cell r="Q33">
            <v>22973.720039593161</v>
          </cell>
          <cell r="R33">
            <v>22973.720039593161</v>
          </cell>
          <cell r="S33">
            <v>23811.204466315379</v>
          </cell>
          <cell r="T33">
            <v>25044.537052322306</v>
          </cell>
          <cell r="U33">
            <v>30977.831442278766</v>
          </cell>
          <cell r="V33">
            <v>32104.281495558462</v>
          </cell>
          <cell r="W33">
            <v>32102.71260905077</v>
          </cell>
          <cell r="X33">
            <v>33848.727354301845</v>
          </cell>
          <cell r="Y33">
            <v>37377.061544180207</v>
          </cell>
          <cell r="Z33">
            <v>35409.45489148191</v>
          </cell>
          <cell r="AA33">
            <v>33761.796779171076</v>
          </cell>
          <cell r="AB33">
            <v>33103.985201410986</v>
          </cell>
          <cell r="AC33">
            <v>32739.748040835693</v>
          </cell>
          <cell r="AD33">
            <v>34692.774032835689</v>
          </cell>
          <cell r="AE33">
            <v>96213.153634615388</v>
          </cell>
          <cell r="AF33">
            <v>96213.153634615388</v>
          </cell>
          <cell r="AG33">
            <v>96213.153634615388</v>
          </cell>
          <cell r="AH33">
            <v>811455.89605114819</v>
          </cell>
        </row>
        <row r="34">
          <cell r="F34" t="str">
            <v>22020020</v>
          </cell>
          <cell r="G34" t="str">
            <v>5504</v>
          </cell>
          <cell r="H34">
            <v>1</v>
          </cell>
          <cell r="I34" t="str">
            <v>Lot</v>
          </cell>
          <cell r="J34" t="e">
            <v>#REF!</v>
          </cell>
          <cell r="K34" t="e">
            <v>#REF!</v>
          </cell>
          <cell r="M34" t="e">
            <v>#REF!</v>
          </cell>
          <cell r="N34" t="e">
            <v>#REF!</v>
          </cell>
          <cell r="O34" t="e">
            <v>#REF!</v>
          </cell>
          <cell r="P34" t="e">
            <v>#REF!</v>
          </cell>
          <cell r="Q34" t="e">
            <v>#REF!</v>
          </cell>
          <cell r="R34" t="e">
            <v>#REF!</v>
          </cell>
          <cell r="S34" t="e">
            <v>#REF!</v>
          </cell>
          <cell r="T34" t="e">
            <v>#REF!</v>
          </cell>
          <cell r="U34" t="e">
            <v>#REF!</v>
          </cell>
          <cell r="V34" t="e">
            <v>#REF!</v>
          </cell>
          <cell r="W34" t="e">
            <v>#REF!</v>
          </cell>
          <cell r="X34" t="e">
            <v>#REF!</v>
          </cell>
          <cell r="Y34" t="e">
            <v>#REF!</v>
          </cell>
          <cell r="Z34" t="e">
            <v>#REF!</v>
          </cell>
          <cell r="AA34" t="e">
            <v>#REF!</v>
          </cell>
          <cell r="AB34" t="e">
            <v>#REF!</v>
          </cell>
          <cell r="AC34" t="e">
            <v>#REF!</v>
          </cell>
          <cell r="AD34" t="e">
            <v>#REF!</v>
          </cell>
          <cell r="AE34" t="e">
            <v>#REF!</v>
          </cell>
          <cell r="AF34" t="e">
            <v>#REF!</v>
          </cell>
          <cell r="AG34" t="e">
            <v>#REF!</v>
          </cell>
          <cell r="AH34" t="e">
            <v>#REF!</v>
          </cell>
        </row>
        <row r="35">
          <cell r="F35" t="str">
            <v>22020930</v>
          </cell>
          <cell r="G35" t="str">
            <v>6301</v>
          </cell>
          <cell r="H35">
            <v>1</v>
          </cell>
          <cell r="I35" t="str">
            <v>Lot</v>
          </cell>
          <cell r="J35">
            <v>15449057.244402079</v>
          </cell>
          <cell r="K35">
            <v>15449057.244402079</v>
          </cell>
          <cell r="M35">
            <v>294400.23749999999</v>
          </cell>
          <cell r="N35">
            <v>294400.23749999999</v>
          </cell>
          <cell r="O35">
            <v>294400.23749999999</v>
          </cell>
          <cell r="P35">
            <v>294400.23749999999</v>
          </cell>
          <cell r="Q35">
            <v>294400.23749999999</v>
          </cell>
          <cell r="R35">
            <v>294400.23749999999</v>
          </cell>
          <cell r="S35">
            <v>292291.76242288505</v>
          </cell>
          <cell r="T35">
            <v>281122.34353532473</v>
          </cell>
          <cell r="U35">
            <v>438598.43014726182</v>
          </cell>
          <cell r="V35">
            <v>426818.34207053151</v>
          </cell>
          <cell r="W35">
            <v>580266.39787625521</v>
          </cell>
          <cell r="X35">
            <v>620890.62336341536</v>
          </cell>
          <cell r="Y35">
            <v>520708.82577849302</v>
          </cell>
          <cell r="Z35">
            <v>713579.27614875184</v>
          </cell>
          <cell r="AA35">
            <v>855238.08269533725</v>
          </cell>
          <cell r="AB35">
            <v>872874.69655998936</v>
          </cell>
          <cell r="AC35">
            <v>742971.93499266962</v>
          </cell>
          <cell r="AD35">
            <v>628920.1038111659</v>
          </cell>
          <cell r="AE35">
            <v>2236125</v>
          </cell>
          <cell r="AF35">
            <v>2236125</v>
          </cell>
          <cell r="AG35">
            <v>2236125</v>
          </cell>
          <cell r="AH35">
            <v>15449057.244402079</v>
          </cell>
        </row>
        <row r="36">
          <cell r="F36" t="str">
            <v>22020930</v>
          </cell>
          <cell r="G36" t="str">
            <v>5842</v>
          </cell>
          <cell r="H36">
            <v>1</v>
          </cell>
          <cell r="I36" t="str">
            <v>Lot</v>
          </cell>
          <cell r="J36">
            <v>0</v>
          </cell>
          <cell r="K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F37" t="str">
            <v>22060121</v>
          </cell>
          <cell r="G37" t="str">
            <v>5321010</v>
          </cell>
          <cell r="H37" t="e">
            <v>#REF!</v>
          </cell>
          <cell r="I37" t="str">
            <v>Tonnes</v>
          </cell>
          <cell r="J37" t="e">
            <v>#REF!</v>
          </cell>
          <cell r="K37" t="e">
            <v>#REF!</v>
          </cell>
          <cell r="M37" t="e">
            <v>#REF!</v>
          </cell>
          <cell r="N37" t="e">
            <v>#REF!</v>
          </cell>
          <cell r="O37" t="e">
            <v>#REF!</v>
          </cell>
          <cell r="P37" t="e">
            <v>#REF!</v>
          </cell>
          <cell r="Q37" t="e">
            <v>#REF!</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cell r="AE37" t="e">
            <v>#REF!</v>
          </cell>
          <cell r="AF37" t="e">
            <v>#REF!</v>
          </cell>
          <cell r="AG37" t="e">
            <v>#REF!</v>
          </cell>
          <cell r="AH37" t="e">
            <v>#REF!</v>
          </cell>
        </row>
        <row r="38">
          <cell r="F38" t="str">
            <v>22060122</v>
          </cell>
          <cell r="G38" t="str">
            <v>5321020</v>
          </cell>
          <cell r="H38" t="e">
            <v>#REF!</v>
          </cell>
          <cell r="I38" t="str">
            <v>Tonnes</v>
          </cell>
          <cell r="J38" t="e">
            <v>#REF!</v>
          </cell>
          <cell r="K38" t="e">
            <v>#REF!</v>
          </cell>
          <cell r="M38" t="e">
            <v>#REF!</v>
          </cell>
          <cell r="N38" t="e">
            <v>#REF!</v>
          </cell>
          <cell r="O38" t="e">
            <v>#REF!</v>
          </cell>
          <cell r="P38" t="e">
            <v>#REF!</v>
          </cell>
          <cell r="Q38" t="e">
            <v>#REF!</v>
          </cell>
          <cell r="R38" t="e">
            <v>#REF!</v>
          </cell>
          <cell r="S38" t="e">
            <v>#REF!</v>
          </cell>
          <cell r="T38" t="e">
            <v>#REF!</v>
          </cell>
          <cell r="U38" t="e">
            <v>#REF!</v>
          </cell>
          <cell r="V38" t="e">
            <v>#REF!</v>
          </cell>
          <cell r="W38" t="e">
            <v>#REF!</v>
          </cell>
          <cell r="X38" t="e">
            <v>#REF!</v>
          </cell>
          <cell r="Y38" t="e">
            <v>#REF!</v>
          </cell>
          <cell r="Z38" t="e">
            <v>#REF!</v>
          </cell>
          <cell r="AA38" t="e">
            <v>#REF!</v>
          </cell>
          <cell r="AB38" t="e">
            <v>#REF!</v>
          </cell>
          <cell r="AC38" t="e">
            <v>#REF!</v>
          </cell>
          <cell r="AD38" t="e">
            <v>#REF!</v>
          </cell>
          <cell r="AE38" t="e">
            <v>#REF!</v>
          </cell>
          <cell r="AF38" t="e">
            <v>#REF!</v>
          </cell>
          <cell r="AG38" t="e">
            <v>#REF!</v>
          </cell>
          <cell r="AH38" t="e">
            <v>#REF!</v>
          </cell>
        </row>
        <row r="39">
          <cell r="F39" t="str">
            <v>22060123</v>
          </cell>
          <cell r="G39" t="str">
            <v>5321020</v>
          </cell>
          <cell r="H39" t="e">
            <v>#REF!</v>
          </cell>
          <cell r="I39" t="str">
            <v>Tonnes</v>
          </cell>
          <cell r="J39" t="e">
            <v>#REF!</v>
          </cell>
          <cell r="K39" t="e">
            <v>#REF!</v>
          </cell>
          <cell r="M39" t="e">
            <v>#REF!</v>
          </cell>
          <cell r="N39" t="e">
            <v>#REF!</v>
          </cell>
          <cell r="O39" t="e">
            <v>#REF!</v>
          </cell>
          <cell r="P39" t="e">
            <v>#REF!</v>
          </cell>
          <cell r="Q39" t="e">
            <v>#REF!</v>
          </cell>
          <cell r="R39" t="e">
            <v>#REF!</v>
          </cell>
          <cell r="S39" t="e">
            <v>#REF!</v>
          </cell>
          <cell r="T39" t="e">
            <v>#REF!</v>
          </cell>
          <cell r="U39" t="e">
            <v>#REF!</v>
          </cell>
          <cell r="V39" t="e">
            <v>#REF!</v>
          </cell>
          <cell r="W39" t="e">
            <v>#REF!</v>
          </cell>
          <cell r="X39" t="e">
            <v>#REF!</v>
          </cell>
          <cell r="Y39" t="e">
            <v>#REF!</v>
          </cell>
          <cell r="Z39" t="e">
            <v>#REF!</v>
          </cell>
          <cell r="AA39" t="e">
            <v>#REF!</v>
          </cell>
          <cell r="AB39" t="e">
            <v>#REF!</v>
          </cell>
          <cell r="AC39" t="e">
            <v>#REF!</v>
          </cell>
          <cell r="AD39" t="e">
            <v>#REF!</v>
          </cell>
          <cell r="AE39" t="e">
            <v>#REF!</v>
          </cell>
          <cell r="AF39" t="e">
            <v>#REF!</v>
          </cell>
          <cell r="AG39" t="e">
            <v>#REF!</v>
          </cell>
          <cell r="AH39" t="e">
            <v>#REF!</v>
          </cell>
        </row>
        <row r="40">
          <cell r="F40" t="str">
            <v>22060130</v>
          </cell>
          <cell r="G40" t="str">
            <v>5321030</v>
          </cell>
          <cell r="H40" t="e">
            <v>#REF!</v>
          </cell>
          <cell r="I40" t="str">
            <v>Tonnes</v>
          </cell>
          <cell r="J40" t="e">
            <v>#REF!</v>
          </cell>
          <cell r="K40" t="e">
            <v>#REF!</v>
          </cell>
          <cell r="M40" t="e">
            <v>#REF!</v>
          </cell>
          <cell r="N40" t="e">
            <v>#REF!</v>
          </cell>
          <cell r="O40" t="e">
            <v>#REF!</v>
          </cell>
          <cell r="P40" t="e">
            <v>#REF!</v>
          </cell>
          <cell r="Q40" t="e">
            <v>#REF!</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cell r="AE40" t="e">
            <v>#REF!</v>
          </cell>
          <cell r="AF40" t="e">
            <v>#REF!</v>
          </cell>
          <cell r="AG40" t="e">
            <v>#REF!</v>
          </cell>
          <cell r="AH40" t="e">
            <v>#REF!</v>
          </cell>
        </row>
        <row r="41">
          <cell r="F41" t="str">
            <v>22060140</v>
          </cell>
          <cell r="G41" t="str">
            <v>5321030</v>
          </cell>
          <cell r="H41" t="e">
            <v>#REF!</v>
          </cell>
          <cell r="I41" t="str">
            <v>Tonnes</v>
          </cell>
          <cell r="J41" t="e">
            <v>#REF!</v>
          </cell>
          <cell r="K41" t="e">
            <v>#REF!</v>
          </cell>
          <cell r="M41" t="e">
            <v>#REF!</v>
          </cell>
          <cell r="N41" t="e">
            <v>#REF!</v>
          </cell>
          <cell r="O41" t="e">
            <v>#REF!</v>
          </cell>
          <cell r="P41" t="e">
            <v>#REF!</v>
          </cell>
          <cell r="Q41" t="e">
            <v>#REF!</v>
          </cell>
          <cell r="R41" t="e">
            <v>#REF!</v>
          </cell>
          <cell r="S41" t="e">
            <v>#REF!</v>
          </cell>
          <cell r="T41" t="e">
            <v>#REF!</v>
          </cell>
          <cell r="U41" t="e">
            <v>#REF!</v>
          </cell>
          <cell r="V41" t="e">
            <v>#REF!</v>
          </cell>
          <cell r="W41" t="e">
            <v>#REF!</v>
          </cell>
          <cell r="X41" t="e">
            <v>#REF!</v>
          </cell>
          <cell r="Y41" t="e">
            <v>#REF!</v>
          </cell>
          <cell r="Z41" t="e">
            <v>#REF!</v>
          </cell>
          <cell r="AA41" t="e">
            <v>#REF!</v>
          </cell>
          <cell r="AB41" t="e">
            <v>#REF!</v>
          </cell>
          <cell r="AC41" t="e">
            <v>#REF!</v>
          </cell>
          <cell r="AD41" t="e">
            <v>#REF!</v>
          </cell>
          <cell r="AE41" t="e">
            <v>#REF!</v>
          </cell>
          <cell r="AF41" t="e">
            <v>#REF!</v>
          </cell>
          <cell r="AG41" t="e">
            <v>#REF!</v>
          </cell>
          <cell r="AH41" t="e">
            <v>#REF!</v>
          </cell>
        </row>
        <row r="42">
          <cell r="F42" t="str">
            <v>22061100</v>
          </cell>
          <cell r="G42" t="str">
            <v xml:space="preserve">5330   </v>
          </cell>
          <cell r="H42" t="e">
            <v>#REF!</v>
          </cell>
          <cell r="I42" t="str">
            <v>Tonnes</v>
          </cell>
          <cell r="J42" t="e">
            <v>#REF!</v>
          </cell>
          <cell r="K42" t="e">
            <v>#REF!</v>
          </cell>
          <cell r="M42" t="e">
            <v>#REF!</v>
          </cell>
          <cell r="N42" t="e">
            <v>#REF!</v>
          </cell>
          <cell r="O42" t="e">
            <v>#REF!</v>
          </cell>
          <cell r="P42" t="e">
            <v>#REF!</v>
          </cell>
          <cell r="Q42" t="e">
            <v>#REF!</v>
          </cell>
          <cell r="R42" t="e">
            <v>#REF!</v>
          </cell>
          <cell r="S42" t="e">
            <v>#REF!</v>
          </cell>
          <cell r="T42" t="e">
            <v>#REF!</v>
          </cell>
          <cell r="U42" t="e">
            <v>#REF!</v>
          </cell>
          <cell r="V42" t="e">
            <v>#REF!</v>
          </cell>
          <cell r="W42" t="e">
            <v>#REF!</v>
          </cell>
          <cell r="X42" t="e">
            <v>#REF!</v>
          </cell>
          <cell r="Y42" t="e">
            <v>#REF!</v>
          </cell>
          <cell r="Z42" t="e">
            <v>#REF!</v>
          </cell>
          <cell r="AA42" t="e">
            <v>#REF!</v>
          </cell>
          <cell r="AB42" t="e">
            <v>#REF!</v>
          </cell>
          <cell r="AC42" t="e">
            <v>#REF!</v>
          </cell>
          <cell r="AD42" t="e">
            <v>#REF!</v>
          </cell>
          <cell r="AE42" t="e">
            <v>#REF!</v>
          </cell>
          <cell r="AF42" t="e">
            <v>#REF!</v>
          </cell>
          <cell r="AG42" t="e">
            <v>#REF!</v>
          </cell>
          <cell r="AH42" t="e">
            <v>#REF!</v>
          </cell>
        </row>
        <row r="43">
          <cell r="F43" t="str">
            <v>22061121</v>
          </cell>
          <cell r="G43" t="str">
            <v xml:space="preserve">5330   </v>
          </cell>
          <cell r="H43" t="e">
            <v>#REF!</v>
          </cell>
          <cell r="I43" t="str">
            <v>Tonnes</v>
          </cell>
          <cell r="J43" t="e">
            <v>#REF!</v>
          </cell>
          <cell r="K43" t="e">
            <v>#REF!</v>
          </cell>
          <cell r="M43" t="e">
            <v>#REF!</v>
          </cell>
          <cell r="N43" t="e">
            <v>#REF!</v>
          </cell>
          <cell r="O43" t="e">
            <v>#REF!</v>
          </cell>
          <cell r="P43" t="e">
            <v>#REF!</v>
          </cell>
          <cell r="Q43" t="e">
            <v>#REF!</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cell r="AE43" t="e">
            <v>#REF!</v>
          </cell>
          <cell r="AF43" t="e">
            <v>#REF!</v>
          </cell>
          <cell r="AG43" t="e">
            <v>#REF!</v>
          </cell>
          <cell r="AH43" t="e">
            <v>#REF!</v>
          </cell>
        </row>
        <row r="44">
          <cell r="F44" t="str">
            <v>22061122</v>
          </cell>
          <cell r="G44" t="str">
            <v xml:space="preserve">5330   </v>
          </cell>
          <cell r="H44" t="e">
            <v>#REF!</v>
          </cell>
          <cell r="I44" t="str">
            <v>Tonnes</v>
          </cell>
          <cell r="J44" t="e">
            <v>#REF!</v>
          </cell>
          <cell r="K44" t="e">
            <v>#REF!</v>
          </cell>
          <cell r="M44" t="e">
            <v>#REF!</v>
          </cell>
          <cell r="N44" t="e">
            <v>#REF!</v>
          </cell>
          <cell r="O44" t="e">
            <v>#REF!</v>
          </cell>
          <cell r="P44" t="e">
            <v>#REF!</v>
          </cell>
          <cell r="Q44" t="e">
            <v>#REF!</v>
          </cell>
          <cell r="R44" t="e">
            <v>#REF!</v>
          </cell>
          <cell r="S44" t="e">
            <v>#REF!</v>
          </cell>
          <cell r="T44" t="e">
            <v>#REF!</v>
          </cell>
          <cell r="U44" t="e">
            <v>#REF!</v>
          </cell>
          <cell r="V44" t="e">
            <v>#REF!</v>
          </cell>
          <cell r="W44" t="e">
            <v>#REF!</v>
          </cell>
          <cell r="X44" t="e">
            <v>#REF!</v>
          </cell>
          <cell r="Y44" t="e">
            <v>#REF!</v>
          </cell>
          <cell r="Z44" t="e">
            <v>#REF!</v>
          </cell>
          <cell r="AA44" t="e">
            <v>#REF!</v>
          </cell>
          <cell r="AB44" t="e">
            <v>#REF!</v>
          </cell>
          <cell r="AC44" t="e">
            <v>#REF!</v>
          </cell>
          <cell r="AD44" t="e">
            <v>#REF!</v>
          </cell>
          <cell r="AE44" t="e">
            <v>#REF!</v>
          </cell>
          <cell r="AF44" t="e">
            <v>#REF!</v>
          </cell>
          <cell r="AG44" t="e">
            <v>#REF!</v>
          </cell>
          <cell r="AH44" t="e">
            <v>#REF!</v>
          </cell>
        </row>
        <row r="45">
          <cell r="F45" t="str">
            <v>22061123</v>
          </cell>
          <cell r="G45" t="str">
            <v xml:space="preserve">5330   </v>
          </cell>
          <cell r="H45" t="e">
            <v>#REF!</v>
          </cell>
          <cell r="I45" t="str">
            <v>Tonnes</v>
          </cell>
          <cell r="J45" t="e">
            <v>#REF!</v>
          </cell>
          <cell r="K45" t="e">
            <v>#REF!</v>
          </cell>
          <cell r="M45" t="e">
            <v>#REF!</v>
          </cell>
          <cell r="N45" t="e">
            <v>#REF!</v>
          </cell>
          <cell r="O45" t="e">
            <v>#REF!</v>
          </cell>
          <cell r="P45" t="e">
            <v>#REF!</v>
          </cell>
          <cell r="Q45" t="e">
            <v>#REF!</v>
          </cell>
          <cell r="R45" t="e">
            <v>#REF!</v>
          </cell>
          <cell r="S45" t="e">
            <v>#REF!</v>
          </cell>
          <cell r="T45" t="e">
            <v>#REF!</v>
          </cell>
          <cell r="U45" t="e">
            <v>#REF!</v>
          </cell>
          <cell r="V45" t="e">
            <v>#REF!</v>
          </cell>
          <cell r="W45" t="e">
            <v>#REF!</v>
          </cell>
          <cell r="X45" t="e">
            <v>#REF!</v>
          </cell>
          <cell r="Y45" t="e">
            <v>#REF!</v>
          </cell>
          <cell r="Z45" t="e">
            <v>#REF!</v>
          </cell>
          <cell r="AA45" t="e">
            <v>#REF!</v>
          </cell>
          <cell r="AB45" t="e">
            <v>#REF!</v>
          </cell>
          <cell r="AC45" t="e">
            <v>#REF!</v>
          </cell>
          <cell r="AD45" t="e">
            <v>#REF!</v>
          </cell>
          <cell r="AE45" t="e">
            <v>#REF!</v>
          </cell>
          <cell r="AF45" t="e">
            <v>#REF!</v>
          </cell>
          <cell r="AG45" t="e">
            <v>#REF!</v>
          </cell>
          <cell r="AH45" t="e">
            <v>#REF!</v>
          </cell>
        </row>
        <row r="46">
          <cell r="F46" t="str">
            <v>22060130</v>
          </cell>
          <cell r="G46" t="str">
            <v>5401010</v>
          </cell>
          <cell r="H46" t="e">
            <v>#REF!</v>
          </cell>
          <cell r="I46" t="str">
            <v>Tonnes</v>
          </cell>
          <cell r="J46" t="e">
            <v>#REF!</v>
          </cell>
          <cell r="K46" t="e">
            <v>#REF!</v>
          </cell>
          <cell r="M46" t="e">
            <v>#REF!</v>
          </cell>
          <cell r="N46" t="e">
            <v>#REF!</v>
          </cell>
          <cell r="O46" t="e">
            <v>#REF!</v>
          </cell>
          <cell r="P46" t="e">
            <v>#REF!</v>
          </cell>
          <cell r="Q46" t="e">
            <v>#REF!</v>
          </cell>
          <cell r="R46" t="e">
            <v>#REF!</v>
          </cell>
          <cell r="S46" t="e">
            <v>#REF!</v>
          </cell>
          <cell r="T46" t="e">
            <v>#REF!</v>
          </cell>
          <cell r="U46" t="e">
            <v>#REF!</v>
          </cell>
          <cell r="V46" t="e">
            <v>#REF!</v>
          </cell>
          <cell r="W46" t="e">
            <v>#REF!</v>
          </cell>
          <cell r="X46" t="e">
            <v>#REF!</v>
          </cell>
          <cell r="Y46" t="e">
            <v>#REF!</v>
          </cell>
          <cell r="Z46" t="e">
            <v>#REF!</v>
          </cell>
          <cell r="AA46" t="e">
            <v>#REF!</v>
          </cell>
          <cell r="AB46" t="e">
            <v>#REF!</v>
          </cell>
          <cell r="AC46" t="e">
            <v>#REF!</v>
          </cell>
          <cell r="AD46" t="e">
            <v>#REF!</v>
          </cell>
          <cell r="AE46" t="e">
            <v>#REF!</v>
          </cell>
          <cell r="AF46" t="e">
            <v>#REF!</v>
          </cell>
          <cell r="AG46" t="e">
            <v>#REF!</v>
          </cell>
          <cell r="AH46" t="e">
            <v>#REF!</v>
          </cell>
        </row>
        <row r="47">
          <cell r="F47" t="str">
            <v>22060130</v>
          </cell>
          <cell r="G47" t="str">
            <v xml:space="preserve">5420   </v>
          </cell>
          <cell r="H47" t="e">
            <v>#REF!</v>
          </cell>
          <cell r="I47" t="str">
            <v>Tonnes</v>
          </cell>
          <cell r="J47" t="e">
            <v>#REF!</v>
          </cell>
          <cell r="K47" t="e">
            <v>#REF!</v>
          </cell>
          <cell r="M47" t="e">
            <v>#REF!</v>
          </cell>
          <cell r="N47" t="e">
            <v>#REF!</v>
          </cell>
          <cell r="O47" t="e">
            <v>#REF!</v>
          </cell>
          <cell r="P47" t="e">
            <v>#REF!</v>
          </cell>
          <cell r="Q47" t="e">
            <v>#REF!</v>
          </cell>
          <cell r="R47" t="e">
            <v>#REF!</v>
          </cell>
          <cell r="S47" t="e">
            <v>#REF!</v>
          </cell>
          <cell r="T47" t="e">
            <v>#REF!</v>
          </cell>
          <cell r="U47" t="e">
            <v>#REF!</v>
          </cell>
          <cell r="V47" t="e">
            <v>#REF!</v>
          </cell>
          <cell r="W47" t="e">
            <v>#REF!</v>
          </cell>
          <cell r="X47" t="e">
            <v>#REF!</v>
          </cell>
          <cell r="Y47" t="e">
            <v>#REF!</v>
          </cell>
          <cell r="Z47" t="e">
            <v>#REF!</v>
          </cell>
          <cell r="AA47" t="e">
            <v>#REF!</v>
          </cell>
          <cell r="AB47" t="e">
            <v>#REF!</v>
          </cell>
          <cell r="AC47" t="e">
            <v>#REF!</v>
          </cell>
          <cell r="AD47" t="e">
            <v>#REF!</v>
          </cell>
          <cell r="AE47" t="e">
            <v>#REF!</v>
          </cell>
          <cell r="AF47" t="e">
            <v>#REF!</v>
          </cell>
          <cell r="AG47" t="e">
            <v>#REF!</v>
          </cell>
          <cell r="AH47" t="e">
            <v>#REF!</v>
          </cell>
        </row>
        <row r="48">
          <cell r="F48" t="str">
            <v>22060130</v>
          </cell>
          <cell r="G48" t="str">
            <v>5401020</v>
          </cell>
          <cell r="H48" t="e">
            <v>#REF!</v>
          </cell>
          <cell r="I48" t="str">
            <v>Tonnes</v>
          </cell>
          <cell r="J48" t="e">
            <v>#REF!</v>
          </cell>
          <cell r="K48" t="e">
            <v>#REF!</v>
          </cell>
          <cell r="M48" t="e">
            <v>#REF!</v>
          </cell>
          <cell r="N48" t="e">
            <v>#REF!</v>
          </cell>
          <cell r="O48" t="e">
            <v>#REF!</v>
          </cell>
          <cell r="P48" t="e">
            <v>#REF!</v>
          </cell>
          <cell r="Q48" t="e">
            <v>#REF!</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cell r="AE48" t="e">
            <v>#REF!</v>
          </cell>
          <cell r="AF48" t="e">
            <v>#REF!</v>
          </cell>
          <cell r="AG48" t="e">
            <v>#REF!</v>
          </cell>
          <cell r="AH48" t="e">
            <v>#REF!</v>
          </cell>
        </row>
        <row r="49">
          <cell r="F49" t="str">
            <v>22060140</v>
          </cell>
          <cell r="G49" t="str">
            <v>5401020</v>
          </cell>
          <cell r="H49" t="e">
            <v>#REF!</v>
          </cell>
          <cell r="I49" t="str">
            <v>Tonnes</v>
          </cell>
          <cell r="J49" t="e">
            <v>#REF!</v>
          </cell>
          <cell r="K49" t="e">
            <v>#REF!</v>
          </cell>
          <cell r="M49" t="e">
            <v>#REF!</v>
          </cell>
          <cell r="N49" t="e">
            <v>#REF!</v>
          </cell>
          <cell r="O49" t="e">
            <v>#REF!</v>
          </cell>
          <cell r="P49" t="e">
            <v>#REF!</v>
          </cell>
          <cell r="Q49" t="e">
            <v>#REF!</v>
          </cell>
          <cell r="R49" t="e">
            <v>#REF!</v>
          </cell>
          <cell r="S49" t="e">
            <v>#REF!</v>
          </cell>
          <cell r="T49" t="e">
            <v>#REF!</v>
          </cell>
          <cell r="U49" t="e">
            <v>#REF!</v>
          </cell>
          <cell r="V49" t="e">
            <v>#REF!</v>
          </cell>
          <cell r="W49" t="e">
            <v>#REF!</v>
          </cell>
          <cell r="X49" t="e">
            <v>#REF!</v>
          </cell>
          <cell r="Y49" t="e">
            <v>#REF!</v>
          </cell>
          <cell r="Z49" t="e">
            <v>#REF!</v>
          </cell>
          <cell r="AA49" t="e">
            <v>#REF!</v>
          </cell>
          <cell r="AB49" t="e">
            <v>#REF!</v>
          </cell>
          <cell r="AC49" t="e">
            <v>#REF!</v>
          </cell>
          <cell r="AD49" t="e">
            <v>#REF!</v>
          </cell>
          <cell r="AE49" t="e">
            <v>#REF!</v>
          </cell>
          <cell r="AF49" t="e">
            <v>#REF!</v>
          </cell>
          <cell r="AG49" t="e">
            <v>#REF!</v>
          </cell>
          <cell r="AH49" t="e">
            <v>#REF!</v>
          </cell>
        </row>
        <row r="50">
          <cell r="F50" t="str">
            <v>22060130</v>
          </cell>
          <cell r="G50" t="str">
            <v>5401030</v>
          </cell>
          <cell r="H50" t="e">
            <v>#REF!</v>
          </cell>
          <cell r="I50" t="str">
            <v>Tonnes</v>
          </cell>
          <cell r="J50" t="e">
            <v>#REF!</v>
          </cell>
          <cell r="K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cell r="AE50" t="e">
            <v>#REF!</v>
          </cell>
          <cell r="AF50" t="e">
            <v>#REF!</v>
          </cell>
          <cell r="AG50" t="e">
            <v>#REF!</v>
          </cell>
          <cell r="AH50" t="e">
            <v>#REF!</v>
          </cell>
        </row>
        <row r="51">
          <cell r="F51" t="str">
            <v>22060130</v>
          </cell>
          <cell r="G51" t="str">
            <v>5401040</v>
          </cell>
          <cell r="H51" t="e">
            <v>#REF!</v>
          </cell>
          <cell r="I51" t="str">
            <v>Tonnes</v>
          </cell>
          <cell r="J51" t="e">
            <v>#REF!</v>
          </cell>
          <cell r="K51" t="e">
            <v>#REF!</v>
          </cell>
          <cell r="M51" t="e">
            <v>#REF!</v>
          </cell>
          <cell r="N51" t="e">
            <v>#REF!</v>
          </cell>
          <cell r="O51" t="e">
            <v>#REF!</v>
          </cell>
          <cell r="P51" t="e">
            <v>#REF!</v>
          </cell>
          <cell r="Q51" t="e">
            <v>#REF!</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cell r="AE51" t="e">
            <v>#REF!</v>
          </cell>
          <cell r="AF51" t="e">
            <v>#REF!</v>
          </cell>
          <cell r="AG51" t="e">
            <v>#REF!</v>
          </cell>
          <cell r="AH51" t="e">
            <v>#REF!</v>
          </cell>
        </row>
        <row r="52">
          <cell r="F52" t="str">
            <v>22060140</v>
          </cell>
          <cell r="G52" t="str">
            <v>5401030</v>
          </cell>
          <cell r="H52" t="e">
            <v>#REF!</v>
          </cell>
          <cell r="I52" t="str">
            <v>Tonnes</v>
          </cell>
          <cell r="J52" t="e">
            <v>#REF!</v>
          </cell>
          <cell r="K52" t="e">
            <v>#REF!</v>
          </cell>
          <cell r="M52" t="e">
            <v>#REF!</v>
          </cell>
          <cell r="N52" t="e">
            <v>#REF!</v>
          </cell>
          <cell r="O52" t="e">
            <v>#REF!</v>
          </cell>
          <cell r="P52" t="e">
            <v>#REF!</v>
          </cell>
          <cell r="Q52" t="e">
            <v>#REF!</v>
          </cell>
          <cell r="R52" t="e">
            <v>#REF!</v>
          </cell>
          <cell r="S52" t="e">
            <v>#REF!</v>
          </cell>
          <cell r="T52" t="e">
            <v>#REF!</v>
          </cell>
          <cell r="U52" t="e">
            <v>#REF!</v>
          </cell>
          <cell r="V52" t="e">
            <v>#REF!</v>
          </cell>
          <cell r="W52" t="e">
            <v>#REF!</v>
          </cell>
          <cell r="X52" t="e">
            <v>#REF!</v>
          </cell>
          <cell r="Y52" t="e">
            <v>#REF!</v>
          </cell>
          <cell r="Z52" t="e">
            <v>#REF!</v>
          </cell>
          <cell r="AA52" t="e">
            <v>#REF!</v>
          </cell>
          <cell r="AB52" t="e">
            <v>#REF!</v>
          </cell>
          <cell r="AC52" t="e">
            <v>#REF!</v>
          </cell>
          <cell r="AD52" t="e">
            <v>#REF!</v>
          </cell>
          <cell r="AE52" t="e">
            <v>#REF!</v>
          </cell>
          <cell r="AF52" t="e">
            <v>#REF!</v>
          </cell>
          <cell r="AG52" t="e">
            <v>#REF!</v>
          </cell>
          <cell r="AH52" t="e">
            <v>#REF!</v>
          </cell>
        </row>
        <row r="53">
          <cell r="F53" t="str">
            <v>22060140</v>
          </cell>
          <cell r="G53" t="str">
            <v>5401040</v>
          </cell>
          <cell r="H53" t="e">
            <v>#REF!</v>
          </cell>
          <cell r="I53" t="str">
            <v>Tonnes</v>
          </cell>
          <cell r="J53" t="e">
            <v>#REF!</v>
          </cell>
          <cell r="K53" t="e">
            <v>#REF!</v>
          </cell>
          <cell r="M53" t="e">
            <v>#REF!</v>
          </cell>
          <cell r="N53" t="e">
            <v>#REF!</v>
          </cell>
          <cell r="O53" t="e">
            <v>#REF!</v>
          </cell>
          <cell r="P53" t="e">
            <v>#REF!</v>
          </cell>
          <cell r="Q53" t="e">
            <v>#REF!</v>
          </cell>
          <cell r="R53" t="e">
            <v>#REF!</v>
          </cell>
          <cell r="S53" t="e">
            <v>#REF!</v>
          </cell>
          <cell r="T53" t="e">
            <v>#REF!</v>
          </cell>
          <cell r="U53" t="e">
            <v>#REF!</v>
          </cell>
          <cell r="V53" t="e">
            <v>#REF!</v>
          </cell>
          <cell r="W53" t="e">
            <v>#REF!</v>
          </cell>
          <cell r="X53" t="e">
            <v>#REF!</v>
          </cell>
          <cell r="Y53" t="e">
            <v>#REF!</v>
          </cell>
          <cell r="Z53" t="e">
            <v>#REF!</v>
          </cell>
          <cell r="AA53" t="e">
            <v>#REF!</v>
          </cell>
          <cell r="AB53" t="e">
            <v>#REF!</v>
          </cell>
          <cell r="AC53" t="e">
            <v>#REF!</v>
          </cell>
          <cell r="AD53" t="e">
            <v>#REF!</v>
          </cell>
          <cell r="AE53" t="e">
            <v>#REF!</v>
          </cell>
          <cell r="AF53" t="e">
            <v>#REF!</v>
          </cell>
          <cell r="AG53" t="e">
            <v>#REF!</v>
          </cell>
          <cell r="AH53" t="e">
            <v>#REF!</v>
          </cell>
        </row>
        <row r="54">
          <cell r="F54" t="str">
            <v>22060140</v>
          </cell>
          <cell r="G54" t="str">
            <v>5425010</v>
          </cell>
          <cell r="H54" t="e">
            <v>#REF!</v>
          </cell>
          <cell r="I54" t="str">
            <v>Tonnes</v>
          </cell>
          <cell r="J54" t="e">
            <v>#REF!</v>
          </cell>
          <cell r="K54" t="e">
            <v>#REF!</v>
          </cell>
          <cell r="M54" t="e">
            <v>#REF!</v>
          </cell>
          <cell r="N54" t="e">
            <v>#REF!</v>
          </cell>
          <cell r="O54" t="e">
            <v>#REF!</v>
          </cell>
          <cell r="P54" t="e">
            <v>#REF!</v>
          </cell>
          <cell r="Q54" t="e">
            <v>#REF!</v>
          </cell>
          <cell r="R54" t="e">
            <v>#REF!</v>
          </cell>
          <cell r="S54" t="e">
            <v>#REF!</v>
          </cell>
          <cell r="T54" t="e">
            <v>#REF!</v>
          </cell>
          <cell r="U54" t="e">
            <v>#REF!</v>
          </cell>
          <cell r="V54" t="e">
            <v>#REF!</v>
          </cell>
          <cell r="W54" t="e">
            <v>#REF!</v>
          </cell>
          <cell r="X54" t="e">
            <v>#REF!</v>
          </cell>
          <cell r="Y54" t="e">
            <v>#REF!</v>
          </cell>
          <cell r="Z54" t="e">
            <v>#REF!</v>
          </cell>
          <cell r="AA54" t="e">
            <v>#REF!</v>
          </cell>
          <cell r="AB54" t="e">
            <v>#REF!</v>
          </cell>
          <cell r="AC54" t="e">
            <v>#REF!</v>
          </cell>
          <cell r="AD54" t="e">
            <v>#REF!</v>
          </cell>
          <cell r="AE54" t="e">
            <v>#REF!</v>
          </cell>
          <cell r="AF54" t="e">
            <v>#REF!</v>
          </cell>
          <cell r="AG54" t="e">
            <v>#REF!</v>
          </cell>
          <cell r="AH54" t="e">
            <v>#REF!</v>
          </cell>
        </row>
        <row r="55">
          <cell r="F55" t="str">
            <v>22060140</v>
          </cell>
          <cell r="G55" t="str">
            <v>5425020</v>
          </cell>
          <cell r="H55" t="e">
            <v>#REF!</v>
          </cell>
          <cell r="I55" t="str">
            <v>Tonnes</v>
          </cell>
          <cell r="J55" t="e">
            <v>#REF!</v>
          </cell>
          <cell r="K55" t="e">
            <v>#REF!</v>
          </cell>
          <cell r="M55" t="e">
            <v>#REF!</v>
          </cell>
          <cell r="N55" t="e">
            <v>#REF!</v>
          </cell>
          <cell r="O55" t="e">
            <v>#REF!</v>
          </cell>
          <cell r="P55" t="e">
            <v>#REF!</v>
          </cell>
          <cell r="Q55" t="e">
            <v>#REF!</v>
          </cell>
          <cell r="R55" t="e">
            <v>#REF!</v>
          </cell>
          <cell r="S55" t="e">
            <v>#REF!</v>
          </cell>
          <cell r="T55" t="e">
            <v>#REF!</v>
          </cell>
          <cell r="U55" t="e">
            <v>#REF!</v>
          </cell>
          <cell r="V55" t="e">
            <v>#REF!</v>
          </cell>
          <cell r="W55" t="e">
            <v>#REF!</v>
          </cell>
          <cell r="X55" t="e">
            <v>#REF!</v>
          </cell>
          <cell r="Y55" t="e">
            <v>#REF!</v>
          </cell>
          <cell r="Z55" t="e">
            <v>#REF!</v>
          </cell>
          <cell r="AA55" t="e">
            <v>#REF!</v>
          </cell>
          <cell r="AB55" t="e">
            <v>#REF!</v>
          </cell>
          <cell r="AC55" t="e">
            <v>#REF!</v>
          </cell>
          <cell r="AD55" t="e">
            <v>#REF!</v>
          </cell>
          <cell r="AE55" t="e">
            <v>#REF!</v>
          </cell>
          <cell r="AF55" t="e">
            <v>#REF!</v>
          </cell>
          <cell r="AG55" t="e">
            <v>#REF!</v>
          </cell>
          <cell r="AH55" t="e">
            <v>#REF!</v>
          </cell>
        </row>
        <row r="56">
          <cell r="F56" t="str">
            <v>22060140</v>
          </cell>
          <cell r="G56" t="str">
            <v xml:space="preserve">5410   </v>
          </cell>
          <cell r="H56" t="e">
            <v>#REF!</v>
          </cell>
          <cell r="I56" t="str">
            <v>Tonnes</v>
          </cell>
          <cell r="J56" t="e">
            <v>#REF!</v>
          </cell>
          <cell r="K56" t="e">
            <v>#REF!</v>
          </cell>
          <cell r="M56" t="e">
            <v>#REF!</v>
          </cell>
          <cell r="N56" t="e">
            <v>#REF!</v>
          </cell>
          <cell r="O56" t="e">
            <v>#REF!</v>
          </cell>
          <cell r="P56" t="e">
            <v>#REF!</v>
          </cell>
          <cell r="Q56" t="e">
            <v>#REF!</v>
          </cell>
          <cell r="R56" t="e">
            <v>#REF!</v>
          </cell>
          <cell r="S56" t="e">
            <v>#REF!</v>
          </cell>
          <cell r="T56" t="e">
            <v>#REF!</v>
          </cell>
          <cell r="U56" t="e">
            <v>#REF!</v>
          </cell>
          <cell r="V56" t="e">
            <v>#REF!</v>
          </cell>
          <cell r="W56" t="e">
            <v>#REF!</v>
          </cell>
          <cell r="X56" t="e">
            <v>#REF!</v>
          </cell>
          <cell r="Y56" t="e">
            <v>#REF!</v>
          </cell>
          <cell r="Z56" t="e">
            <v>#REF!</v>
          </cell>
          <cell r="AA56" t="e">
            <v>#REF!</v>
          </cell>
          <cell r="AB56" t="e">
            <v>#REF!</v>
          </cell>
          <cell r="AC56" t="e">
            <v>#REF!</v>
          </cell>
          <cell r="AD56" t="e">
            <v>#REF!</v>
          </cell>
          <cell r="AE56" t="e">
            <v>#REF!</v>
          </cell>
          <cell r="AF56" t="e">
            <v>#REF!</v>
          </cell>
          <cell r="AG56" t="e">
            <v>#REF!</v>
          </cell>
          <cell r="AH56" t="e">
            <v>#REF!</v>
          </cell>
        </row>
        <row r="57">
          <cell r="F57" t="str">
            <v>22060130</v>
          </cell>
          <cell r="G57" t="str">
            <v xml:space="preserve">5410   </v>
          </cell>
          <cell r="H57" t="e">
            <v>#REF!</v>
          </cell>
          <cell r="I57" t="str">
            <v>Tonnes</v>
          </cell>
          <cell r="J57" t="e">
            <v>#REF!</v>
          </cell>
          <cell r="K57" t="e">
            <v>#REF!</v>
          </cell>
          <cell r="M57" t="e">
            <v>#REF!</v>
          </cell>
          <cell r="N57" t="e">
            <v>#REF!</v>
          </cell>
          <cell r="O57" t="e">
            <v>#REF!</v>
          </cell>
          <cell r="P57" t="e">
            <v>#REF!</v>
          </cell>
          <cell r="Q57" t="e">
            <v>#REF!</v>
          </cell>
          <cell r="R57" t="e">
            <v>#REF!</v>
          </cell>
          <cell r="S57" t="e">
            <v>#REF!</v>
          </cell>
          <cell r="T57" t="e">
            <v>#REF!</v>
          </cell>
          <cell r="U57" t="e">
            <v>#REF!</v>
          </cell>
          <cell r="V57" t="e">
            <v>#REF!</v>
          </cell>
          <cell r="W57" t="e">
            <v>#REF!</v>
          </cell>
          <cell r="X57" t="e">
            <v>#REF!</v>
          </cell>
          <cell r="Y57" t="e">
            <v>#REF!</v>
          </cell>
          <cell r="Z57" t="e">
            <v>#REF!</v>
          </cell>
          <cell r="AA57" t="e">
            <v>#REF!</v>
          </cell>
          <cell r="AB57" t="e">
            <v>#REF!</v>
          </cell>
          <cell r="AC57" t="e">
            <v>#REF!</v>
          </cell>
          <cell r="AD57" t="e">
            <v>#REF!</v>
          </cell>
          <cell r="AE57" t="e">
            <v>#REF!</v>
          </cell>
          <cell r="AF57" t="e">
            <v>#REF!</v>
          </cell>
          <cell r="AG57" t="e">
            <v>#REF!</v>
          </cell>
          <cell r="AH57" t="e">
            <v>#REF!</v>
          </cell>
        </row>
        <row r="58">
          <cell r="F58" t="str">
            <v>22060140</v>
          </cell>
          <cell r="G58" t="str">
            <v xml:space="preserve">5410   </v>
          </cell>
          <cell r="H58" t="e">
            <v>#REF!</v>
          </cell>
          <cell r="I58" t="str">
            <v>Tonnes</v>
          </cell>
          <cell r="J58" t="e">
            <v>#REF!</v>
          </cell>
          <cell r="K58" t="e">
            <v>#REF!</v>
          </cell>
          <cell r="M58" t="e">
            <v>#REF!</v>
          </cell>
          <cell r="N58" t="e">
            <v>#REF!</v>
          </cell>
          <cell r="O58" t="e">
            <v>#REF!</v>
          </cell>
          <cell r="P58" t="e">
            <v>#REF!</v>
          </cell>
          <cell r="Q58" t="e">
            <v>#REF!</v>
          </cell>
          <cell r="R58" t="e">
            <v>#REF!</v>
          </cell>
          <cell r="S58" t="e">
            <v>#REF!</v>
          </cell>
          <cell r="T58" t="e">
            <v>#REF!</v>
          </cell>
          <cell r="U58" t="e">
            <v>#REF!</v>
          </cell>
          <cell r="V58" t="e">
            <v>#REF!</v>
          </cell>
          <cell r="W58" t="e">
            <v>#REF!</v>
          </cell>
          <cell r="X58" t="e">
            <v>#REF!</v>
          </cell>
          <cell r="Y58" t="e">
            <v>#REF!</v>
          </cell>
          <cell r="Z58" t="e">
            <v>#REF!</v>
          </cell>
          <cell r="AA58" t="e">
            <v>#REF!</v>
          </cell>
          <cell r="AB58" t="e">
            <v>#REF!</v>
          </cell>
          <cell r="AC58" t="e">
            <v>#REF!</v>
          </cell>
          <cell r="AD58" t="e">
            <v>#REF!</v>
          </cell>
          <cell r="AE58" t="e">
            <v>#REF!</v>
          </cell>
          <cell r="AF58" t="e">
            <v>#REF!</v>
          </cell>
          <cell r="AG58" t="e">
            <v>#REF!</v>
          </cell>
          <cell r="AH58" t="e">
            <v>#REF!</v>
          </cell>
        </row>
        <row r="59">
          <cell r="F59" t="str">
            <v>22060130</v>
          </cell>
          <cell r="G59" t="str">
            <v xml:space="preserve">5410   </v>
          </cell>
          <cell r="H59" t="e">
            <v>#REF!</v>
          </cell>
          <cell r="I59" t="str">
            <v>Tonnes</v>
          </cell>
          <cell r="J59" t="e">
            <v>#REF!</v>
          </cell>
          <cell r="K59" t="e">
            <v>#REF!</v>
          </cell>
          <cell r="M59" t="e">
            <v>#REF!</v>
          </cell>
          <cell r="N59" t="e">
            <v>#REF!</v>
          </cell>
          <cell r="O59" t="e">
            <v>#REF!</v>
          </cell>
          <cell r="P59" t="e">
            <v>#REF!</v>
          </cell>
          <cell r="Q59" t="e">
            <v>#REF!</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cell r="AE59" t="e">
            <v>#REF!</v>
          </cell>
          <cell r="AF59" t="e">
            <v>#REF!</v>
          </cell>
          <cell r="AG59" t="e">
            <v>#REF!</v>
          </cell>
          <cell r="AH59" t="e">
            <v>#REF!</v>
          </cell>
        </row>
        <row r="60">
          <cell r="F60" t="str">
            <v>22060151</v>
          </cell>
          <cell r="G60" t="str">
            <v xml:space="preserve">5405   </v>
          </cell>
          <cell r="H60" t="e">
            <v>#REF!</v>
          </cell>
          <cell r="I60" t="str">
            <v>Tonnes</v>
          </cell>
          <cell r="J60" t="e">
            <v>#REF!</v>
          </cell>
          <cell r="K60" t="e">
            <v>#REF!</v>
          </cell>
          <cell r="M60" t="e">
            <v>#REF!</v>
          </cell>
          <cell r="N60" t="e">
            <v>#REF!</v>
          </cell>
          <cell r="O60" t="e">
            <v>#REF!</v>
          </cell>
          <cell r="P60" t="e">
            <v>#REF!</v>
          </cell>
          <cell r="Q60" t="e">
            <v>#REF!</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cell r="AE60" t="e">
            <v>#REF!</v>
          </cell>
          <cell r="AF60" t="e">
            <v>#REF!</v>
          </cell>
          <cell r="AG60" t="e">
            <v>#REF!</v>
          </cell>
          <cell r="AH60" t="e">
            <v>#REF!</v>
          </cell>
        </row>
        <row r="61">
          <cell r="F61" t="str">
            <v>22060152</v>
          </cell>
          <cell r="G61" t="str">
            <v xml:space="preserve">5340   </v>
          </cell>
          <cell r="H61" t="e">
            <v>#REF!</v>
          </cell>
          <cell r="I61" t="str">
            <v>Sets</v>
          </cell>
          <cell r="J61" t="e">
            <v>#REF!</v>
          </cell>
          <cell r="K61" t="e">
            <v>#REF!</v>
          </cell>
          <cell r="M61" t="e">
            <v>#REF!</v>
          </cell>
          <cell r="N61" t="e">
            <v>#REF!</v>
          </cell>
          <cell r="O61" t="e">
            <v>#REF!</v>
          </cell>
          <cell r="P61" t="e">
            <v>#REF!</v>
          </cell>
          <cell r="Q61" t="e">
            <v>#REF!</v>
          </cell>
          <cell r="R61" t="e">
            <v>#REF!</v>
          </cell>
          <cell r="S61" t="e">
            <v>#REF!</v>
          </cell>
          <cell r="T61" t="e">
            <v>#REF!</v>
          </cell>
          <cell r="U61" t="e">
            <v>#REF!</v>
          </cell>
          <cell r="V61" t="e">
            <v>#REF!</v>
          </cell>
          <cell r="W61" t="e">
            <v>#REF!</v>
          </cell>
          <cell r="X61" t="e">
            <v>#REF!</v>
          </cell>
          <cell r="Y61" t="e">
            <v>#REF!</v>
          </cell>
          <cell r="Z61" t="e">
            <v>#REF!</v>
          </cell>
          <cell r="AA61" t="e">
            <v>#REF!</v>
          </cell>
          <cell r="AB61" t="e">
            <v>#REF!</v>
          </cell>
          <cell r="AC61" t="e">
            <v>#REF!</v>
          </cell>
          <cell r="AD61" t="e">
            <v>#REF!</v>
          </cell>
          <cell r="AE61" t="e">
            <v>#REF!</v>
          </cell>
          <cell r="AF61" t="e">
            <v>#REF!</v>
          </cell>
          <cell r="AG61" t="e">
            <v>#REF!</v>
          </cell>
          <cell r="AH61" t="e">
            <v>#REF!</v>
          </cell>
        </row>
        <row r="62">
          <cell r="F62" t="str">
            <v>22060140</v>
          </cell>
          <cell r="G62" t="str">
            <v xml:space="preserve">5410   </v>
          </cell>
          <cell r="H62" t="e">
            <v>#REF!</v>
          </cell>
          <cell r="I62" t="str">
            <v>Tonnes</v>
          </cell>
          <cell r="J62" t="e">
            <v>#REF!</v>
          </cell>
          <cell r="K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X62" t="e">
            <v>#REF!</v>
          </cell>
          <cell r="Y62" t="e">
            <v>#REF!</v>
          </cell>
          <cell r="Z62" t="e">
            <v>#REF!</v>
          </cell>
          <cell r="AA62" t="e">
            <v>#REF!</v>
          </cell>
          <cell r="AB62" t="e">
            <v>#REF!</v>
          </cell>
          <cell r="AC62" t="e">
            <v>#REF!</v>
          </cell>
          <cell r="AD62" t="e">
            <v>#REF!</v>
          </cell>
          <cell r="AE62" t="e">
            <v>#REF!</v>
          </cell>
          <cell r="AF62" t="e">
            <v>#REF!</v>
          </cell>
          <cell r="AG62" t="e">
            <v>#REF!</v>
          </cell>
          <cell r="AH62" t="e">
            <v>#REF!</v>
          </cell>
        </row>
        <row r="63">
          <cell r="F63" t="str">
            <v>22060100</v>
          </cell>
          <cell r="G63" t="str">
            <v xml:space="preserve">5221   </v>
          </cell>
          <cell r="H63" t="e">
            <v>#REF!</v>
          </cell>
          <cell r="I63" t="str">
            <v>Kw</v>
          </cell>
          <cell r="J63">
            <v>0.09</v>
          </cell>
          <cell r="K63" t="e">
            <v>#REF!</v>
          </cell>
          <cell r="M63" t="e">
            <v>#REF!</v>
          </cell>
          <cell r="N63" t="e">
            <v>#REF!</v>
          </cell>
          <cell r="O63" t="e">
            <v>#REF!</v>
          </cell>
          <cell r="P63" t="e">
            <v>#REF!</v>
          </cell>
          <cell r="Q63" t="e">
            <v>#REF!</v>
          </cell>
          <cell r="R63" t="e">
            <v>#REF!</v>
          </cell>
          <cell r="S63" t="e">
            <v>#REF!</v>
          </cell>
          <cell r="T63" t="e">
            <v>#REF!</v>
          </cell>
          <cell r="U63" t="e">
            <v>#REF!</v>
          </cell>
          <cell r="V63" t="e">
            <v>#REF!</v>
          </cell>
          <cell r="W63" t="e">
            <v>#REF!</v>
          </cell>
          <cell r="X63" t="e">
            <v>#REF!</v>
          </cell>
          <cell r="Y63" t="e">
            <v>#REF!</v>
          </cell>
          <cell r="Z63" t="e">
            <v>#REF!</v>
          </cell>
          <cell r="AA63" t="e">
            <v>#REF!</v>
          </cell>
          <cell r="AB63" t="e">
            <v>#REF!</v>
          </cell>
          <cell r="AC63" t="e">
            <v>#REF!</v>
          </cell>
          <cell r="AD63" t="e">
            <v>#REF!</v>
          </cell>
          <cell r="AE63" t="e">
            <v>#REF!</v>
          </cell>
          <cell r="AF63" t="e">
            <v>#REF!</v>
          </cell>
          <cell r="AG63" t="e">
            <v>#REF!</v>
          </cell>
          <cell r="AH63" t="e">
            <v>#REF!</v>
          </cell>
        </row>
        <row r="64">
          <cell r="F64" t="str">
            <v>22060110</v>
          </cell>
          <cell r="G64" t="str">
            <v xml:space="preserve">5221   </v>
          </cell>
          <cell r="H64" t="e">
            <v>#REF!</v>
          </cell>
          <cell r="I64" t="str">
            <v>Kw</v>
          </cell>
          <cell r="J64">
            <v>0.09</v>
          </cell>
          <cell r="K64" t="e">
            <v>#REF!</v>
          </cell>
          <cell r="M64" t="e">
            <v>#REF!</v>
          </cell>
          <cell r="N64" t="e">
            <v>#REF!</v>
          </cell>
          <cell r="O64" t="e">
            <v>#REF!</v>
          </cell>
          <cell r="P64" t="e">
            <v>#REF!</v>
          </cell>
          <cell r="Q64" t="e">
            <v>#REF!</v>
          </cell>
          <cell r="R64" t="e">
            <v>#REF!</v>
          </cell>
          <cell r="S64" t="e">
            <v>#REF!</v>
          </cell>
          <cell r="T64" t="e">
            <v>#REF!</v>
          </cell>
          <cell r="U64" t="e">
            <v>#REF!</v>
          </cell>
          <cell r="V64" t="e">
            <v>#REF!</v>
          </cell>
          <cell r="W64" t="e">
            <v>#REF!</v>
          </cell>
          <cell r="X64" t="e">
            <v>#REF!</v>
          </cell>
          <cell r="Y64" t="e">
            <v>#REF!</v>
          </cell>
          <cell r="Z64" t="e">
            <v>#REF!</v>
          </cell>
          <cell r="AA64" t="e">
            <v>#REF!</v>
          </cell>
          <cell r="AB64" t="e">
            <v>#REF!</v>
          </cell>
          <cell r="AC64" t="e">
            <v>#REF!</v>
          </cell>
          <cell r="AD64" t="e">
            <v>#REF!</v>
          </cell>
          <cell r="AE64" t="e">
            <v>#REF!</v>
          </cell>
          <cell r="AF64" t="e">
            <v>#REF!</v>
          </cell>
          <cell r="AG64" t="e">
            <v>#REF!</v>
          </cell>
          <cell r="AH64" t="e">
            <v>#REF!</v>
          </cell>
        </row>
        <row r="65">
          <cell r="F65" t="str">
            <v>22060121</v>
          </cell>
          <cell r="G65" t="str">
            <v xml:space="preserve">5221   </v>
          </cell>
          <cell r="H65" t="e">
            <v>#REF!</v>
          </cell>
          <cell r="I65" t="str">
            <v>Kw</v>
          </cell>
          <cell r="J65">
            <v>0.09</v>
          </cell>
          <cell r="K65" t="e">
            <v>#REF!</v>
          </cell>
          <cell r="M65" t="e">
            <v>#REF!</v>
          </cell>
          <cell r="N65" t="e">
            <v>#REF!</v>
          </cell>
          <cell r="O65" t="e">
            <v>#REF!</v>
          </cell>
          <cell r="P65" t="e">
            <v>#REF!</v>
          </cell>
          <cell r="Q65" t="e">
            <v>#REF!</v>
          </cell>
          <cell r="R65" t="e">
            <v>#REF!</v>
          </cell>
          <cell r="S65" t="e">
            <v>#REF!</v>
          </cell>
          <cell r="T65" t="e">
            <v>#REF!</v>
          </cell>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row>
        <row r="66">
          <cell r="F66" t="str">
            <v>22060122</v>
          </cell>
          <cell r="G66" t="str">
            <v xml:space="preserve">5221   </v>
          </cell>
          <cell r="H66" t="e">
            <v>#REF!</v>
          </cell>
          <cell r="I66" t="str">
            <v>Kw</v>
          </cell>
          <cell r="J66">
            <v>0.09</v>
          </cell>
          <cell r="K66" t="e">
            <v>#REF!</v>
          </cell>
          <cell r="M66" t="e">
            <v>#REF!</v>
          </cell>
          <cell r="N66" t="e">
            <v>#REF!</v>
          </cell>
          <cell r="O66" t="e">
            <v>#REF!</v>
          </cell>
          <cell r="P66" t="e">
            <v>#REF!</v>
          </cell>
          <cell r="Q66" t="e">
            <v>#REF!</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row>
        <row r="67">
          <cell r="F67" t="str">
            <v>22060123</v>
          </cell>
          <cell r="G67" t="str">
            <v xml:space="preserve">5221   </v>
          </cell>
          <cell r="H67" t="e">
            <v>#REF!</v>
          </cell>
          <cell r="I67" t="str">
            <v>Kw</v>
          </cell>
          <cell r="J67">
            <v>0.09</v>
          </cell>
          <cell r="K67" t="e">
            <v>#REF!</v>
          </cell>
          <cell r="M67" t="e">
            <v>#REF!</v>
          </cell>
          <cell r="N67" t="e">
            <v>#REF!</v>
          </cell>
          <cell r="O67" t="e">
            <v>#REF!</v>
          </cell>
          <cell r="P67" t="e">
            <v>#REF!</v>
          </cell>
          <cell r="Q67" t="e">
            <v>#REF!</v>
          </cell>
          <cell r="R67" t="e">
            <v>#REF!</v>
          </cell>
          <cell r="S67" t="e">
            <v>#REF!</v>
          </cell>
          <cell r="T67" t="e">
            <v>#REF!</v>
          </cell>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row>
        <row r="68">
          <cell r="F68" t="str">
            <v>22060130</v>
          </cell>
          <cell r="G68" t="str">
            <v xml:space="preserve">5221   </v>
          </cell>
          <cell r="H68" t="e">
            <v>#REF!</v>
          </cell>
          <cell r="I68" t="str">
            <v>Kw</v>
          </cell>
          <cell r="J68">
            <v>0.09</v>
          </cell>
          <cell r="K68" t="e">
            <v>#REF!</v>
          </cell>
          <cell r="M68" t="e">
            <v>#REF!</v>
          </cell>
          <cell r="N68" t="e">
            <v>#REF!</v>
          </cell>
          <cell r="O68" t="e">
            <v>#REF!</v>
          </cell>
          <cell r="P68" t="e">
            <v>#REF!</v>
          </cell>
          <cell r="Q68" t="e">
            <v>#REF!</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row>
        <row r="69">
          <cell r="F69" t="str">
            <v>22060140</v>
          </cell>
          <cell r="G69" t="str">
            <v xml:space="preserve">5221   </v>
          </cell>
          <cell r="H69" t="e">
            <v>#REF!</v>
          </cell>
          <cell r="I69" t="str">
            <v>Kw</v>
          </cell>
          <cell r="J69">
            <v>0.09</v>
          </cell>
          <cell r="K69" t="e">
            <v>#REF!</v>
          </cell>
          <cell r="M69" t="e">
            <v>#REF!</v>
          </cell>
          <cell r="N69" t="e">
            <v>#REF!</v>
          </cell>
          <cell r="O69" t="e">
            <v>#REF!</v>
          </cell>
          <cell r="P69" t="e">
            <v>#REF!</v>
          </cell>
          <cell r="Q69" t="e">
            <v>#REF!</v>
          </cell>
          <cell r="R69" t="e">
            <v>#REF!</v>
          </cell>
          <cell r="S69" t="e">
            <v>#REF!</v>
          </cell>
          <cell r="T69" t="e">
            <v>#REF!</v>
          </cell>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row>
        <row r="70">
          <cell r="F70" t="str">
            <v>22060160</v>
          </cell>
          <cell r="G70" t="str">
            <v xml:space="preserve">5221   </v>
          </cell>
          <cell r="H70" t="e">
            <v>#REF!</v>
          </cell>
          <cell r="I70" t="str">
            <v>Kw</v>
          </cell>
          <cell r="J70">
            <v>0.09</v>
          </cell>
          <cell r="K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row>
        <row r="71">
          <cell r="F71" t="str">
            <v>22060151</v>
          </cell>
          <cell r="G71" t="str">
            <v xml:space="preserve">5221   </v>
          </cell>
          <cell r="H71" t="e">
            <v>#REF!</v>
          </cell>
          <cell r="I71" t="str">
            <v>Kw</v>
          </cell>
          <cell r="J71">
            <v>0.09</v>
          </cell>
          <cell r="K71" t="e">
            <v>#REF!</v>
          </cell>
          <cell r="M71" t="e">
            <v>#REF!</v>
          </cell>
          <cell r="N71" t="e">
            <v>#REF!</v>
          </cell>
          <cell r="O71" t="e">
            <v>#REF!</v>
          </cell>
          <cell r="P71" t="e">
            <v>#REF!</v>
          </cell>
          <cell r="Q71" t="e">
            <v>#REF!</v>
          </cell>
          <cell r="R71" t="e">
            <v>#REF!</v>
          </cell>
          <cell r="S71" t="e">
            <v>#REF!</v>
          </cell>
          <cell r="T71" t="e">
            <v>#REF!</v>
          </cell>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row>
        <row r="72">
          <cell r="F72" t="str">
            <v>22060180</v>
          </cell>
          <cell r="G72" t="str">
            <v xml:space="preserve">5221   </v>
          </cell>
          <cell r="H72" t="e">
            <v>#REF!</v>
          </cell>
          <cell r="I72" t="str">
            <v>Kw</v>
          </cell>
          <cell r="J72">
            <v>0.09</v>
          </cell>
          <cell r="K72" t="e">
            <v>#REF!</v>
          </cell>
          <cell r="M72" t="e">
            <v>#REF!</v>
          </cell>
          <cell r="N72" t="e">
            <v>#REF!</v>
          </cell>
          <cell r="O72" t="e">
            <v>#REF!</v>
          </cell>
          <cell r="P72" t="e">
            <v>#REF!</v>
          </cell>
          <cell r="Q72" t="e">
            <v>#REF!</v>
          </cell>
          <cell r="R72" t="e">
            <v>#REF!</v>
          </cell>
          <cell r="S72" t="e">
            <v>#REF!</v>
          </cell>
          <cell r="T72" t="e">
            <v>#REF!</v>
          </cell>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row>
        <row r="73">
          <cell r="F73" t="str">
            <v>22060152</v>
          </cell>
          <cell r="G73" t="str">
            <v xml:space="preserve">5221   </v>
          </cell>
          <cell r="H73" t="e">
            <v>#REF!</v>
          </cell>
          <cell r="I73" t="str">
            <v>Kw</v>
          </cell>
          <cell r="J73">
            <v>0.09</v>
          </cell>
          <cell r="K73" t="e">
            <v>#REF!</v>
          </cell>
          <cell r="M73" t="e">
            <v>#REF!</v>
          </cell>
          <cell r="N73" t="e">
            <v>#REF!</v>
          </cell>
          <cell r="O73" t="e">
            <v>#REF!</v>
          </cell>
          <cell r="P73" t="e">
            <v>#REF!</v>
          </cell>
          <cell r="Q73" t="e">
            <v>#REF!</v>
          </cell>
          <cell r="R73" t="e">
            <v>#REF!</v>
          </cell>
          <cell r="S73" t="e">
            <v>#REF!</v>
          </cell>
          <cell r="T73" t="e">
            <v>#REF!</v>
          </cell>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row>
        <row r="74">
          <cell r="F74" t="str">
            <v>22061170</v>
          </cell>
          <cell r="G74" t="str">
            <v xml:space="preserve">5221   </v>
          </cell>
          <cell r="H74" t="e">
            <v>#REF!</v>
          </cell>
          <cell r="I74" t="str">
            <v>Kw</v>
          </cell>
          <cell r="J74">
            <v>0.09</v>
          </cell>
          <cell r="K74" t="e">
            <v>#REF!</v>
          </cell>
          <cell r="M74" t="e">
            <v>#REF!</v>
          </cell>
          <cell r="N74" t="e">
            <v>#REF!</v>
          </cell>
          <cell r="O74" t="e">
            <v>#REF!</v>
          </cell>
          <cell r="P74" t="e">
            <v>#REF!</v>
          </cell>
          <cell r="Q74" t="e">
            <v>#REF!</v>
          </cell>
          <cell r="R74" t="e">
            <v>#REF!</v>
          </cell>
          <cell r="S74" t="e">
            <v>#REF!</v>
          </cell>
          <cell r="T74" t="e">
            <v>#REF!</v>
          </cell>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row>
        <row r="75">
          <cell r="F75" t="str">
            <v>22060930</v>
          </cell>
          <cell r="G75" t="str">
            <v xml:space="preserve">5221   </v>
          </cell>
          <cell r="H75">
            <v>1</v>
          </cell>
          <cell r="I75" t="str">
            <v>Lot</v>
          </cell>
          <cell r="J75" t="e">
            <v>#REF!</v>
          </cell>
          <cell r="K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row>
        <row r="76">
          <cell r="F76" t="str">
            <v>22060180</v>
          </cell>
          <cell r="G76" t="str">
            <v xml:space="preserve">5371   </v>
          </cell>
          <cell r="H76" t="e">
            <v>#REF!</v>
          </cell>
          <cell r="I76" t="str">
            <v>Litres</v>
          </cell>
          <cell r="J76">
            <v>0.5</v>
          </cell>
          <cell r="K76" t="e">
            <v>#REF!</v>
          </cell>
          <cell r="M76" t="e">
            <v>#REF!</v>
          </cell>
          <cell r="N76" t="e">
            <v>#REF!</v>
          </cell>
          <cell r="O76" t="e">
            <v>#REF!</v>
          </cell>
          <cell r="P76" t="e">
            <v>#REF!</v>
          </cell>
          <cell r="Q76" t="e">
            <v>#REF!</v>
          </cell>
          <cell r="R76" t="e">
            <v>#REF!</v>
          </cell>
          <cell r="S76" t="e">
            <v>#REF!</v>
          </cell>
          <cell r="T76" t="e">
            <v>#REF!</v>
          </cell>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row>
        <row r="77">
          <cell r="F77" t="str">
            <v>22061100</v>
          </cell>
          <cell r="G77" t="str">
            <v xml:space="preserve">5351   </v>
          </cell>
          <cell r="H77">
            <v>1</v>
          </cell>
          <cell r="I77" t="str">
            <v>Lot</v>
          </cell>
          <cell r="J77" t="e">
            <v>#REF!</v>
          </cell>
          <cell r="K77" t="e">
            <v>#REF!</v>
          </cell>
          <cell r="M77" t="e">
            <v>#REF!</v>
          </cell>
          <cell r="N77" t="e">
            <v>#REF!</v>
          </cell>
          <cell r="O77" t="e">
            <v>#REF!</v>
          </cell>
          <cell r="P77" t="e">
            <v>#REF!</v>
          </cell>
          <cell r="Q77" t="e">
            <v>#REF!</v>
          </cell>
          <cell r="R77" t="e">
            <v>#REF!</v>
          </cell>
          <cell r="S77" t="e">
            <v>#REF!</v>
          </cell>
          <cell r="T77" t="e">
            <v>#REF!</v>
          </cell>
          <cell r="U77" t="e">
            <v>#REF!</v>
          </cell>
          <cell r="V77" t="e">
            <v>#REF!</v>
          </cell>
          <cell r="W77" t="e">
            <v>#REF!</v>
          </cell>
          <cell r="X77" t="e">
            <v>#REF!</v>
          </cell>
          <cell r="Y77" t="e">
            <v>#REF!</v>
          </cell>
          <cell r="Z77" t="e">
            <v>#REF!</v>
          </cell>
          <cell r="AA77" t="e">
            <v>#REF!</v>
          </cell>
          <cell r="AB77" t="e">
            <v>#REF!</v>
          </cell>
          <cell r="AC77" t="e">
            <v>#REF!</v>
          </cell>
          <cell r="AD77" t="e">
            <v>#REF!</v>
          </cell>
          <cell r="AE77" t="e">
            <v>#REF!</v>
          </cell>
          <cell r="AF77" t="e">
            <v>#REF!</v>
          </cell>
          <cell r="AG77" t="e">
            <v>#REF!</v>
          </cell>
          <cell r="AH77" t="e">
            <v>#REF!</v>
          </cell>
        </row>
        <row r="78">
          <cell r="F78" t="str">
            <v>22061110</v>
          </cell>
          <cell r="G78" t="str">
            <v xml:space="preserve">5351   </v>
          </cell>
          <cell r="H78">
            <v>1</v>
          </cell>
          <cell r="I78" t="str">
            <v>Lot</v>
          </cell>
          <cell r="J78" t="e">
            <v>#REF!</v>
          </cell>
          <cell r="K78" t="e">
            <v>#REF!</v>
          </cell>
          <cell r="M78" t="e">
            <v>#REF!</v>
          </cell>
          <cell r="N78" t="e">
            <v>#REF!</v>
          </cell>
          <cell r="O78" t="e">
            <v>#REF!</v>
          </cell>
          <cell r="P78" t="e">
            <v>#REF!</v>
          </cell>
          <cell r="Q78" t="e">
            <v>#REF!</v>
          </cell>
          <cell r="R78" t="e">
            <v>#REF!</v>
          </cell>
          <cell r="S78" t="e">
            <v>#REF!</v>
          </cell>
          <cell r="T78" t="e">
            <v>#REF!</v>
          </cell>
          <cell r="U78" t="e">
            <v>#REF!</v>
          </cell>
          <cell r="V78" t="e">
            <v>#REF!</v>
          </cell>
          <cell r="W78" t="e">
            <v>#REF!</v>
          </cell>
          <cell r="X78" t="e">
            <v>#REF!</v>
          </cell>
          <cell r="Y78" t="e">
            <v>#REF!</v>
          </cell>
          <cell r="Z78" t="e">
            <v>#REF!</v>
          </cell>
          <cell r="AA78" t="e">
            <v>#REF!</v>
          </cell>
          <cell r="AB78" t="e">
            <v>#REF!</v>
          </cell>
          <cell r="AC78" t="e">
            <v>#REF!</v>
          </cell>
          <cell r="AD78" t="e">
            <v>#REF!</v>
          </cell>
          <cell r="AE78" t="e">
            <v>#REF!</v>
          </cell>
          <cell r="AF78" t="e">
            <v>#REF!</v>
          </cell>
          <cell r="AG78" t="e">
            <v>#REF!</v>
          </cell>
          <cell r="AH78" t="e">
            <v>#REF!</v>
          </cell>
        </row>
        <row r="79">
          <cell r="F79" t="str">
            <v>22061121</v>
          </cell>
          <cell r="G79" t="str">
            <v xml:space="preserve">5351   </v>
          </cell>
          <cell r="H79">
            <v>1</v>
          </cell>
          <cell r="I79" t="str">
            <v>Lot</v>
          </cell>
          <cell r="J79" t="e">
            <v>#REF!</v>
          </cell>
          <cell r="K79" t="e">
            <v>#REF!</v>
          </cell>
          <cell r="M79" t="e">
            <v>#REF!</v>
          </cell>
          <cell r="N79" t="e">
            <v>#REF!</v>
          </cell>
          <cell r="O79" t="e">
            <v>#REF!</v>
          </cell>
          <cell r="P79" t="e">
            <v>#REF!</v>
          </cell>
          <cell r="Q79" t="e">
            <v>#REF!</v>
          </cell>
          <cell r="R79" t="e">
            <v>#REF!</v>
          </cell>
          <cell r="S79" t="e">
            <v>#REF!</v>
          </cell>
          <cell r="T79" t="e">
            <v>#REF!</v>
          </cell>
          <cell r="U79" t="e">
            <v>#REF!</v>
          </cell>
          <cell r="V79" t="e">
            <v>#REF!</v>
          </cell>
          <cell r="W79" t="e">
            <v>#REF!</v>
          </cell>
          <cell r="X79" t="e">
            <v>#REF!</v>
          </cell>
          <cell r="Y79" t="e">
            <v>#REF!</v>
          </cell>
          <cell r="Z79" t="e">
            <v>#REF!</v>
          </cell>
          <cell r="AA79" t="e">
            <v>#REF!</v>
          </cell>
          <cell r="AB79" t="e">
            <v>#REF!</v>
          </cell>
          <cell r="AC79" t="e">
            <v>#REF!</v>
          </cell>
          <cell r="AD79" t="e">
            <v>#REF!</v>
          </cell>
          <cell r="AE79" t="e">
            <v>#REF!</v>
          </cell>
          <cell r="AF79" t="e">
            <v>#REF!</v>
          </cell>
          <cell r="AG79" t="e">
            <v>#REF!</v>
          </cell>
          <cell r="AH79" t="e">
            <v>#REF!</v>
          </cell>
        </row>
        <row r="80">
          <cell r="F80" t="str">
            <v>22061122</v>
          </cell>
          <cell r="G80" t="str">
            <v xml:space="preserve">5351   </v>
          </cell>
          <cell r="H80">
            <v>1</v>
          </cell>
          <cell r="I80" t="str">
            <v>Lot</v>
          </cell>
          <cell r="J80" t="e">
            <v>#REF!</v>
          </cell>
          <cell r="K80" t="e">
            <v>#REF!</v>
          </cell>
          <cell r="M80" t="e">
            <v>#REF!</v>
          </cell>
          <cell r="N80" t="e">
            <v>#REF!</v>
          </cell>
          <cell r="O80" t="e">
            <v>#REF!</v>
          </cell>
          <cell r="P80" t="e">
            <v>#REF!</v>
          </cell>
          <cell r="Q80" t="e">
            <v>#REF!</v>
          </cell>
          <cell r="R80" t="e">
            <v>#REF!</v>
          </cell>
          <cell r="S80" t="e">
            <v>#REF!</v>
          </cell>
          <cell r="T80" t="e">
            <v>#REF!</v>
          </cell>
          <cell r="U80" t="e">
            <v>#REF!</v>
          </cell>
          <cell r="V80" t="e">
            <v>#REF!</v>
          </cell>
          <cell r="W80" t="e">
            <v>#REF!</v>
          </cell>
          <cell r="X80" t="e">
            <v>#REF!</v>
          </cell>
          <cell r="Y80" t="e">
            <v>#REF!</v>
          </cell>
          <cell r="Z80" t="e">
            <v>#REF!</v>
          </cell>
          <cell r="AA80" t="e">
            <v>#REF!</v>
          </cell>
          <cell r="AB80" t="e">
            <v>#REF!</v>
          </cell>
          <cell r="AC80" t="e">
            <v>#REF!</v>
          </cell>
          <cell r="AD80" t="e">
            <v>#REF!</v>
          </cell>
          <cell r="AE80" t="e">
            <v>#REF!</v>
          </cell>
          <cell r="AF80" t="e">
            <v>#REF!</v>
          </cell>
          <cell r="AG80" t="e">
            <v>#REF!</v>
          </cell>
          <cell r="AH80" t="e">
            <v>#REF!</v>
          </cell>
        </row>
        <row r="81">
          <cell r="F81" t="str">
            <v>22061123</v>
          </cell>
          <cell r="G81" t="str">
            <v xml:space="preserve">5351   </v>
          </cell>
          <cell r="H81">
            <v>1</v>
          </cell>
          <cell r="I81" t="str">
            <v>Lot</v>
          </cell>
          <cell r="J81" t="e">
            <v>#REF!</v>
          </cell>
          <cell r="K81" t="e">
            <v>#REF!</v>
          </cell>
          <cell r="M81" t="e">
            <v>#REF!</v>
          </cell>
          <cell r="N81" t="e">
            <v>#REF!</v>
          </cell>
          <cell r="O81" t="e">
            <v>#REF!</v>
          </cell>
          <cell r="P81" t="e">
            <v>#REF!</v>
          </cell>
          <cell r="Q81" t="e">
            <v>#REF!</v>
          </cell>
          <cell r="R81" t="e">
            <v>#REF!</v>
          </cell>
          <cell r="S81" t="e">
            <v>#REF!</v>
          </cell>
          <cell r="T81" t="e">
            <v>#REF!</v>
          </cell>
          <cell r="U81" t="e">
            <v>#REF!</v>
          </cell>
          <cell r="V81" t="e">
            <v>#REF!</v>
          </cell>
          <cell r="W81" t="e">
            <v>#REF!</v>
          </cell>
          <cell r="X81" t="e">
            <v>#REF!</v>
          </cell>
          <cell r="Y81" t="e">
            <v>#REF!</v>
          </cell>
          <cell r="Z81" t="e">
            <v>#REF!</v>
          </cell>
          <cell r="AA81" t="e">
            <v>#REF!</v>
          </cell>
          <cell r="AB81" t="e">
            <v>#REF!</v>
          </cell>
          <cell r="AC81" t="e">
            <v>#REF!</v>
          </cell>
          <cell r="AD81" t="e">
            <v>#REF!</v>
          </cell>
          <cell r="AE81" t="e">
            <v>#REF!</v>
          </cell>
          <cell r="AF81" t="e">
            <v>#REF!</v>
          </cell>
          <cell r="AG81" t="e">
            <v>#REF!</v>
          </cell>
          <cell r="AH81" t="e">
            <v>#REF!</v>
          </cell>
        </row>
        <row r="82">
          <cell r="F82" t="str">
            <v>22061130</v>
          </cell>
          <cell r="G82" t="str">
            <v xml:space="preserve">5351   </v>
          </cell>
          <cell r="H82">
            <v>1</v>
          </cell>
          <cell r="I82" t="str">
            <v>Lot</v>
          </cell>
          <cell r="J82" t="e">
            <v>#REF!</v>
          </cell>
          <cell r="K82" t="e">
            <v>#REF!</v>
          </cell>
          <cell r="M82" t="e">
            <v>#REF!</v>
          </cell>
          <cell r="N82" t="e">
            <v>#REF!</v>
          </cell>
          <cell r="O82" t="e">
            <v>#REF!</v>
          </cell>
          <cell r="P82" t="e">
            <v>#REF!</v>
          </cell>
          <cell r="Q82" t="e">
            <v>#REF!</v>
          </cell>
          <cell r="R82" t="e">
            <v>#REF!</v>
          </cell>
          <cell r="S82" t="e">
            <v>#REF!</v>
          </cell>
          <cell r="T82" t="e">
            <v>#REF!</v>
          </cell>
          <cell r="U82" t="e">
            <v>#REF!</v>
          </cell>
          <cell r="V82" t="e">
            <v>#REF!</v>
          </cell>
          <cell r="W82" t="e">
            <v>#REF!</v>
          </cell>
          <cell r="X82" t="e">
            <v>#REF!</v>
          </cell>
          <cell r="Y82" t="e">
            <v>#REF!</v>
          </cell>
          <cell r="Z82" t="e">
            <v>#REF!</v>
          </cell>
          <cell r="AA82" t="e">
            <v>#REF!</v>
          </cell>
          <cell r="AB82" t="e">
            <v>#REF!</v>
          </cell>
          <cell r="AC82" t="e">
            <v>#REF!</v>
          </cell>
          <cell r="AD82" t="e">
            <v>#REF!</v>
          </cell>
          <cell r="AE82" t="e">
            <v>#REF!</v>
          </cell>
          <cell r="AF82" t="e">
            <v>#REF!</v>
          </cell>
          <cell r="AG82" t="e">
            <v>#REF!</v>
          </cell>
          <cell r="AH82" t="e">
            <v>#REF!</v>
          </cell>
        </row>
        <row r="83">
          <cell r="F83" t="str">
            <v>22061140</v>
          </cell>
          <cell r="G83" t="str">
            <v xml:space="preserve">5351   </v>
          </cell>
          <cell r="H83">
            <v>1</v>
          </cell>
          <cell r="I83" t="str">
            <v>Lot</v>
          </cell>
          <cell r="J83" t="e">
            <v>#REF!</v>
          </cell>
          <cell r="K83" t="e">
            <v>#REF!</v>
          </cell>
          <cell r="M83" t="e">
            <v>#REF!</v>
          </cell>
          <cell r="N83" t="e">
            <v>#REF!</v>
          </cell>
          <cell r="O83" t="e">
            <v>#REF!</v>
          </cell>
          <cell r="P83" t="e">
            <v>#REF!</v>
          </cell>
          <cell r="Q83" t="e">
            <v>#REF!</v>
          </cell>
          <cell r="R83" t="e">
            <v>#REF!</v>
          </cell>
          <cell r="S83" t="e">
            <v>#REF!</v>
          </cell>
          <cell r="T83" t="e">
            <v>#REF!</v>
          </cell>
          <cell r="U83" t="e">
            <v>#REF!</v>
          </cell>
          <cell r="V83" t="e">
            <v>#REF!</v>
          </cell>
          <cell r="W83" t="e">
            <v>#REF!</v>
          </cell>
          <cell r="X83" t="e">
            <v>#REF!</v>
          </cell>
          <cell r="Y83" t="e">
            <v>#REF!</v>
          </cell>
          <cell r="Z83" t="e">
            <v>#REF!</v>
          </cell>
          <cell r="AA83" t="e">
            <v>#REF!</v>
          </cell>
          <cell r="AB83" t="e">
            <v>#REF!</v>
          </cell>
          <cell r="AC83" t="e">
            <v>#REF!</v>
          </cell>
          <cell r="AD83" t="e">
            <v>#REF!</v>
          </cell>
          <cell r="AE83" t="e">
            <v>#REF!</v>
          </cell>
          <cell r="AF83" t="e">
            <v>#REF!</v>
          </cell>
          <cell r="AG83" t="e">
            <v>#REF!</v>
          </cell>
          <cell r="AH83" t="e">
            <v>#REF!</v>
          </cell>
        </row>
        <row r="84">
          <cell r="F84" t="str">
            <v>22061160</v>
          </cell>
          <cell r="G84" t="str">
            <v xml:space="preserve">5351   </v>
          </cell>
          <cell r="H84">
            <v>1</v>
          </cell>
          <cell r="I84" t="str">
            <v>Lot</v>
          </cell>
          <cell r="J84" t="e">
            <v>#REF!</v>
          </cell>
          <cell r="K84" t="e">
            <v>#REF!</v>
          </cell>
          <cell r="M84" t="e">
            <v>#REF!</v>
          </cell>
          <cell r="N84" t="e">
            <v>#REF!</v>
          </cell>
          <cell r="O84" t="e">
            <v>#REF!</v>
          </cell>
          <cell r="P84" t="e">
            <v>#REF!</v>
          </cell>
          <cell r="Q84" t="e">
            <v>#REF!</v>
          </cell>
          <cell r="R84" t="e">
            <v>#REF!</v>
          </cell>
          <cell r="S84" t="e">
            <v>#REF!</v>
          </cell>
          <cell r="T84" t="e">
            <v>#REF!</v>
          </cell>
          <cell r="U84" t="e">
            <v>#REF!</v>
          </cell>
          <cell r="V84" t="e">
            <v>#REF!</v>
          </cell>
          <cell r="W84" t="e">
            <v>#REF!</v>
          </cell>
          <cell r="X84" t="e">
            <v>#REF!</v>
          </cell>
          <cell r="Y84" t="e">
            <v>#REF!</v>
          </cell>
          <cell r="Z84" t="e">
            <v>#REF!</v>
          </cell>
          <cell r="AA84" t="e">
            <v>#REF!</v>
          </cell>
          <cell r="AB84" t="e">
            <v>#REF!</v>
          </cell>
          <cell r="AC84" t="e">
            <v>#REF!</v>
          </cell>
          <cell r="AD84" t="e">
            <v>#REF!</v>
          </cell>
          <cell r="AE84" t="e">
            <v>#REF!</v>
          </cell>
          <cell r="AF84" t="e">
            <v>#REF!</v>
          </cell>
          <cell r="AG84" t="e">
            <v>#REF!</v>
          </cell>
          <cell r="AH84" t="e">
            <v>#REF!</v>
          </cell>
        </row>
        <row r="85">
          <cell r="F85" t="str">
            <v>22061151</v>
          </cell>
          <cell r="G85" t="str">
            <v xml:space="preserve">5351   </v>
          </cell>
          <cell r="H85">
            <v>1</v>
          </cell>
          <cell r="I85" t="str">
            <v>Lot</v>
          </cell>
          <cell r="J85" t="e">
            <v>#REF!</v>
          </cell>
          <cell r="K85" t="e">
            <v>#REF!</v>
          </cell>
          <cell r="M85" t="e">
            <v>#REF!</v>
          </cell>
          <cell r="N85" t="e">
            <v>#REF!</v>
          </cell>
          <cell r="O85" t="e">
            <v>#REF!</v>
          </cell>
          <cell r="P85" t="e">
            <v>#REF!</v>
          </cell>
          <cell r="Q85" t="e">
            <v>#REF!</v>
          </cell>
          <cell r="R85" t="e">
            <v>#REF!</v>
          </cell>
          <cell r="S85" t="e">
            <v>#REF!</v>
          </cell>
          <cell r="T85" t="e">
            <v>#REF!</v>
          </cell>
          <cell r="U85" t="e">
            <v>#REF!</v>
          </cell>
          <cell r="V85" t="e">
            <v>#REF!</v>
          </cell>
          <cell r="W85" t="e">
            <v>#REF!</v>
          </cell>
          <cell r="X85" t="e">
            <v>#REF!</v>
          </cell>
          <cell r="Y85" t="e">
            <v>#REF!</v>
          </cell>
          <cell r="Z85" t="e">
            <v>#REF!</v>
          </cell>
          <cell r="AA85" t="e">
            <v>#REF!</v>
          </cell>
          <cell r="AB85" t="e">
            <v>#REF!</v>
          </cell>
          <cell r="AC85" t="e">
            <v>#REF!</v>
          </cell>
          <cell r="AD85" t="e">
            <v>#REF!</v>
          </cell>
          <cell r="AE85" t="e">
            <v>#REF!</v>
          </cell>
          <cell r="AF85" t="e">
            <v>#REF!</v>
          </cell>
          <cell r="AG85" t="e">
            <v>#REF!</v>
          </cell>
          <cell r="AH85" t="e">
            <v>#REF!</v>
          </cell>
        </row>
        <row r="86">
          <cell r="F86" t="str">
            <v>22061180</v>
          </cell>
          <cell r="G86" t="str">
            <v xml:space="preserve">5351   </v>
          </cell>
          <cell r="H86">
            <v>1</v>
          </cell>
          <cell r="I86" t="str">
            <v>Lot</v>
          </cell>
          <cell r="J86" t="e">
            <v>#REF!</v>
          </cell>
          <cell r="K86" t="e">
            <v>#REF!</v>
          </cell>
          <cell r="M86" t="e">
            <v>#REF!</v>
          </cell>
          <cell r="N86" t="e">
            <v>#REF!</v>
          </cell>
          <cell r="O86" t="e">
            <v>#REF!</v>
          </cell>
          <cell r="P86" t="e">
            <v>#REF!</v>
          </cell>
          <cell r="Q86" t="e">
            <v>#REF!</v>
          </cell>
          <cell r="R86" t="e">
            <v>#REF!</v>
          </cell>
          <cell r="S86" t="e">
            <v>#REF!</v>
          </cell>
          <cell r="T86" t="e">
            <v>#REF!</v>
          </cell>
          <cell r="U86" t="e">
            <v>#REF!</v>
          </cell>
          <cell r="V86" t="e">
            <v>#REF!</v>
          </cell>
          <cell r="W86" t="e">
            <v>#REF!</v>
          </cell>
          <cell r="X86" t="e">
            <v>#REF!</v>
          </cell>
          <cell r="Y86" t="e">
            <v>#REF!</v>
          </cell>
          <cell r="Z86" t="e">
            <v>#REF!</v>
          </cell>
          <cell r="AA86" t="e">
            <v>#REF!</v>
          </cell>
          <cell r="AB86" t="e">
            <v>#REF!</v>
          </cell>
          <cell r="AC86" t="e">
            <v>#REF!</v>
          </cell>
          <cell r="AD86" t="e">
            <v>#REF!</v>
          </cell>
          <cell r="AE86" t="e">
            <v>#REF!</v>
          </cell>
          <cell r="AF86" t="e">
            <v>#REF!</v>
          </cell>
          <cell r="AG86" t="e">
            <v>#REF!</v>
          </cell>
          <cell r="AH86" t="e">
            <v>#REF!</v>
          </cell>
        </row>
        <row r="87">
          <cell r="F87" t="str">
            <v>22061152</v>
          </cell>
          <cell r="G87" t="str">
            <v xml:space="preserve">5351   </v>
          </cell>
          <cell r="H87">
            <v>1</v>
          </cell>
          <cell r="I87" t="str">
            <v>Lot</v>
          </cell>
          <cell r="J87" t="e">
            <v>#REF!</v>
          </cell>
          <cell r="K87" t="e">
            <v>#REF!</v>
          </cell>
          <cell r="M87" t="e">
            <v>#REF!</v>
          </cell>
          <cell r="N87" t="e">
            <v>#REF!</v>
          </cell>
          <cell r="O87" t="e">
            <v>#REF!</v>
          </cell>
          <cell r="P87" t="e">
            <v>#REF!</v>
          </cell>
          <cell r="Q87" t="e">
            <v>#REF!</v>
          </cell>
          <cell r="R87" t="e">
            <v>#REF!</v>
          </cell>
          <cell r="S87" t="e">
            <v>#REF!</v>
          </cell>
          <cell r="T87" t="e">
            <v>#REF!</v>
          </cell>
          <cell r="U87" t="e">
            <v>#REF!</v>
          </cell>
          <cell r="V87" t="e">
            <v>#REF!</v>
          </cell>
          <cell r="W87" t="e">
            <v>#REF!</v>
          </cell>
          <cell r="X87" t="e">
            <v>#REF!</v>
          </cell>
          <cell r="Y87" t="e">
            <v>#REF!</v>
          </cell>
          <cell r="Z87" t="e">
            <v>#REF!</v>
          </cell>
          <cell r="AA87" t="e">
            <v>#REF!</v>
          </cell>
          <cell r="AB87" t="e">
            <v>#REF!</v>
          </cell>
          <cell r="AC87" t="e">
            <v>#REF!</v>
          </cell>
          <cell r="AD87" t="e">
            <v>#REF!</v>
          </cell>
          <cell r="AE87" t="e">
            <v>#REF!</v>
          </cell>
          <cell r="AF87" t="e">
            <v>#REF!</v>
          </cell>
          <cell r="AG87" t="e">
            <v>#REF!</v>
          </cell>
          <cell r="AH87" t="e">
            <v>#REF!</v>
          </cell>
        </row>
        <row r="88">
          <cell r="F88" t="str">
            <v>22061170</v>
          </cell>
          <cell r="G88" t="str">
            <v xml:space="preserve">5351   </v>
          </cell>
          <cell r="H88">
            <v>1</v>
          </cell>
          <cell r="I88" t="str">
            <v>Lot</v>
          </cell>
          <cell r="J88" t="e">
            <v>#REF!</v>
          </cell>
          <cell r="K88" t="e">
            <v>#REF!</v>
          </cell>
          <cell r="M88" t="e">
            <v>#REF!</v>
          </cell>
          <cell r="N88" t="e">
            <v>#REF!</v>
          </cell>
          <cell r="O88" t="e">
            <v>#REF!</v>
          </cell>
          <cell r="P88" t="e">
            <v>#REF!</v>
          </cell>
          <cell r="Q88" t="e">
            <v>#REF!</v>
          </cell>
          <cell r="R88" t="e">
            <v>#REF!</v>
          </cell>
          <cell r="S88" t="e">
            <v>#REF!</v>
          </cell>
          <cell r="T88" t="e">
            <v>#REF!</v>
          </cell>
          <cell r="U88" t="e">
            <v>#REF!</v>
          </cell>
          <cell r="V88" t="e">
            <v>#REF!</v>
          </cell>
          <cell r="W88" t="e">
            <v>#REF!</v>
          </cell>
          <cell r="X88" t="e">
            <v>#REF!</v>
          </cell>
          <cell r="Y88" t="e">
            <v>#REF!</v>
          </cell>
          <cell r="Z88" t="e">
            <v>#REF!</v>
          </cell>
          <cell r="AA88" t="e">
            <v>#REF!</v>
          </cell>
          <cell r="AB88" t="e">
            <v>#REF!</v>
          </cell>
          <cell r="AC88" t="e">
            <v>#REF!</v>
          </cell>
          <cell r="AD88" t="e">
            <v>#REF!</v>
          </cell>
          <cell r="AE88" t="e">
            <v>#REF!</v>
          </cell>
          <cell r="AF88" t="e">
            <v>#REF!</v>
          </cell>
          <cell r="AG88" t="e">
            <v>#REF!</v>
          </cell>
          <cell r="AH88" t="e">
            <v>#REF!</v>
          </cell>
        </row>
        <row r="89">
          <cell r="F89" t="str">
            <v>22020930</v>
          </cell>
          <cell r="G89" t="str">
            <v xml:space="preserve">1002   </v>
          </cell>
          <cell r="I89" t="str">
            <v>Kt</v>
          </cell>
          <cell r="M89" t="e">
            <v>#REF!</v>
          </cell>
          <cell r="N89" t="e">
            <v>#REF!</v>
          </cell>
          <cell r="O89" t="e">
            <v>#REF!</v>
          </cell>
          <cell r="P89" t="e">
            <v>#REF!</v>
          </cell>
          <cell r="Q89" t="e">
            <v>#REF!</v>
          </cell>
          <cell r="R89" t="e">
            <v>#REF!</v>
          </cell>
          <cell r="S89" t="e">
            <v>#REF!</v>
          </cell>
          <cell r="T89" t="e">
            <v>#REF!</v>
          </cell>
          <cell r="U89" t="e">
            <v>#REF!</v>
          </cell>
          <cell r="V89" t="e">
            <v>#REF!</v>
          </cell>
          <cell r="W89" t="e">
            <v>#REF!</v>
          </cell>
          <cell r="X89" t="e">
            <v>#REF!</v>
          </cell>
          <cell r="Y89" t="e">
            <v>#REF!</v>
          </cell>
          <cell r="Z89" t="e">
            <v>#REF!</v>
          </cell>
          <cell r="AA89" t="e">
            <v>#REF!</v>
          </cell>
          <cell r="AB89" t="e">
            <v>#REF!</v>
          </cell>
          <cell r="AC89" t="e">
            <v>#REF!</v>
          </cell>
          <cell r="AD89" t="e">
            <v>#REF!</v>
          </cell>
          <cell r="AE89" t="e">
            <v>#REF!</v>
          </cell>
          <cell r="AF89" t="e">
            <v>#REF!</v>
          </cell>
          <cell r="AG89" t="e">
            <v>#REF!</v>
          </cell>
          <cell r="AH89" t="e">
            <v>#REF!</v>
          </cell>
        </row>
        <row r="90">
          <cell r="F90" t="str">
            <v>22020930</v>
          </cell>
          <cell r="G90" t="str">
            <v xml:space="preserve">1003   </v>
          </cell>
          <cell r="I90" t="str">
            <v>Kt</v>
          </cell>
          <cell r="M90" t="e">
            <v>#REF!</v>
          </cell>
          <cell r="N90" t="e">
            <v>#REF!</v>
          </cell>
          <cell r="O90" t="e">
            <v>#REF!</v>
          </cell>
          <cell r="P90" t="e">
            <v>#REF!</v>
          </cell>
          <cell r="Q90" t="e">
            <v>#REF!</v>
          </cell>
          <cell r="R90" t="e">
            <v>#REF!</v>
          </cell>
          <cell r="S90" t="e">
            <v>#REF!</v>
          </cell>
          <cell r="T90" t="e">
            <v>#REF!</v>
          </cell>
          <cell r="U90" t="e">
            <v>#REF!</v>
          </cell>
          <cell r="V90" t="e">
            <v>#REF!</v>
          </cell>
          <cell r="W90" t="e">
            <v>#REF!</v>
          </cell>
          <cell r="X90" t="e">
            <v>#REF!</v>
          </cell>
          <cell r="Y90" t="e">
            <v>#REF!</v>
          </cell>
          <cell r="Z90" t="e">
            <v>#REF!</v>
          </cell>
          <cell r="AA90" t="e">
            <v>#REF!</v>
          </cell>
          <cell r="AB90" t="e">
            <v>#REF!</v>
          </cell>
          <cell r="AC90" t="e">
            <v>#REF!</v>
          </cell>
          <cell r="AD90" t="e">
            <v>#REF!</v>
          </cell>
          <cell r="AE90" t="e">
            <v>#REF!</v>
          </cell>
          <cell r="AF90" t="e">
            <v>#REF!</v>
          </cell>
          <cell r="AG90" t="e">
            <v>#REF!</v>
          </cell>
          <cell r="AH90" t="e">
            <v>#REF!</v>
          </cell>
        </row>
        <row r="91">
          <cell r="F91" t="str">
            <v>22020930</v>
          </cell>
          <cell r="G91" t="str">
            <v xml:space="preserve">1004   </v>
          </cell>
          <cell r="I91" t="str">
            <v>Kt</v>
          </cell>
          <cell r="M91" t="e">
            <v>#REF!</v>
          </cell>
          <cell r="N91" t="e">
            <v>#REF!</v>
          </cell>
          <cell r="O91" t="e">
            <v>#REF!</v>
          </cell>
          <cell r="P91" t="e">
            <v>#REF!</v>
          </cell>
          <cell r="Q91" t="e">
            <v>#REF!</v>
          </cell>
          <cell r="R91" t="e">
            <v>#REF!</v>
          </cell>
          <cell r="S91" t="e">
            <v>#REF!</v>
          </cell>
          <cell r="T91" t="e">
            <v>#REF!</v>
          </cell>
          <cell r="U91" t="e">
            <v>#REF!</v>
          </cell>
          <cell r="V91" t="e">
            <v>#REF!</v>
          </cell>
          <cell r="W91" t="e">
            <v>#REF!</v>
          </cell>
          <cell r="X91" t="e">
            <v>#REF!</v>
          </cell>
          <cell r="Y91" t="e">
            <v>#REF!</v>
          </cell>
          <cell r="Z91" t="e">
            <v>#REF!</v>
          </cell>
          <cell r="AA91" t="e">
            <v>#REF!</v>
          </cell>
          <cell r="AB91" t="e">
            <v>#REF!</v>
          </cell>
          <cell r="AC91" t="e">
            <v>#REF!</v>
          </cell>
          <cell r="AD91" t="e">
            <v>#REF!</v>
          </cell>
          <cell r="AE91" t="e">
            <v>#REF!</v>
          </cell>
          <cell r="AF91" t="e">
            <v>#REF!</v>
          </cell>
          <cell r="AG91" t="e">
            <v>#REF!</v>
          </cell>
          <cell r="AH91" t="e">
            <v>#REF!</v>
          </cell>
        </row>
        <row r="92">
          <cell r="F92" t="str">
            <v>22020930</v>
          </cell>
          <cell r="G92" t="str">
            <v xml:space="preserve">1001   </v>
          </cell>
          <cell r="I92" t="str">
            <v>Kt</v>
          </cell>
          <cell r="M92">
            <v>1932.9193223076925</v>
          </cell>
          <cell r="N92">
            <v>1932.9193223076925</v>
          </cell>
          <cell r="O92">
            <v>1932.9193223076925</v>
          </cell>
          <cell r="P92">
            <v>1932.9193223076925</v>
          </cell>
          <cell r="Q92">
            <v>1932.9193223076925</v>
          </cell>
          <cell r="R92">
            <v>1932.9193223076925</v>
          </cell>
          <cell r="S92">
            <v>2003.3820000000001</v>
          </cell>
          <cell r="T92">
            <v>2107.1497999999997</v>
          </cell>
          <cell r="U92">
            <v>2606.3540800000001</v>
          </cell>
          <cell r="V92">
            <v>2701.1292000000003</v>
          </cell>
          <cell r="W92">
            <v>2700.9972000000002</v>
          </cell>
          <cell r="X92">
            <v>2847.9000799999999</v>
          </cell>
          <cell r="Y92">
            <v>3144.7603760000002</v>
          </cell>
          <cell r="Z92">
            <v>2979.2136160000005</v>
          </cell>
          <cell r="AA92">
            <v>2840.58608</v>
          </cell>
          <cell r="AB92">
            <v>2785.2403760000002</v>
          </cell>
          <cell r="AC92">
            <v>2754.5948800000001</v>
          </cell>
          <cell r="AD92">
            <v>2918.9148799999998</v>
          </cell>
          <cell r="AE92">
            <v>8095</v>
          </cell>
          <cell r="AF92">
            <v>8095</v>
          </cell>
          <cell r="AG92">
            <v>8095</v>
          </cell>
          <cell r="AH92">
            <v>68272.73850184615</v>
          </cell>
        </row>
        <row r="93">
          <cell r="F93" t="str">
            <v>22020930</v>
          </cell>
          <cell r="G93" t="str">
            <v xml:space="preserve">1005   </v>
          </cell>
          <cell r="I93" t="str">
            <v>g/t</v>
          </cell>
          <cell r="M93" t="e">
            <v>#REF!</v>
          </cell>
          <cell r="N93" t="e">
            <v>#REF!</v>
          </cell>
          <cell r="O93" t="e">
            <v>#REF!</v>
          </cell>
          <cell r="P93" t="e">
            <v>#REF!</v>
          </cell>
          <cell r="Q93" t="e">
            <v>#REF!</v>
          </cell>
          <cell r="R93" t="e">
            <v>#REF!</v>
          </cell>
          <cell r="S93" t="e">
            <v>#REF!</v>
          </cell>
          <cell r="T93" t="e">
            <v>#REF!</v>
          </cell>
          <cell r="U93" t="e">
            <v>#REF!</v>
          </cell>
          <cell r="V93" t="e">
            <v>#REF!</v>
          </cell>
          <cell r="W93" t="e">
            <v>#REF!</v>
          </cell>
          <cell r="X93" t="e">
            <v>#REF!</v>
          </cell>
          <cell r="Y93" t="e">
            <v>#REF!</v>
          </cell>
          <cell r="Z93" t="e">
            <v>#REF!</v>
          </cell>
          <cell r="AA93" t="e">
            <v>#REF!</v>
          </cell>
          <cell r="AB93" t="e">
            <v>#REF!</v>
          </cell>
          <cell r="AC93" t="e">
            <v>#REF!</v>
          </cell>
          <cell r="AD93" t="e">
            <v>#REF!</v>
          </cell>
          <cell r="AE93" t="e">
            <v>#REF!</v>
          </cell>
          <cell r="AF93" t="e">
            <v>#REF!</v>
          </cell>
          <cell r="AG93" t="e">
            <v>#REF!</v>
          </cell>
          <cell r="AH93" t="e">
            <v>#REF!</v>
          </cell>
        </row>
        <row r="94">
          <cell r="F94" t="str">
            <v>22020930</v>
          </cell>
          <cell r="G94" t="str">
            <v xml:space="preserve">1008   </v>
          </cell>
          <cell r="I94" t="str">
            <v>g/t</v>
          </cell>
          <cell r="M94" t="e">
            <v>#REF!</v>
          </cell>
          <cell r="N94" t="e">
            <v>#REF!</v>
          </cell>
          <cell r="O94" t="e">
            <v>#REF!</v>
          </cell>
          <cell r="P94" t="e">
            <v>#REF!</v>
          </cell>
          <cell r="Q94" t="e">
            <v>#REF!</v>
          </cell>
          <cell r="R94" t="e">
            <v>#REF!</v>
          </cell>
          <cell r="S94" t="e">
            <v>#REF!</v>
          </cell>
          <cell r="T94" t="e">
            <v>#REF!</v>
          </cell>
          <cell r="U94" t="e">
            <v>#REF!</v>
          </cell>
          <cell r="V94" t="e">
            <v>#REF!</v>
          </cell>
          <cell r="W94" t="e">
            <v>#REF!</v>
          </cell>
          <cell r="X94" t="e">
            <v>#REF!</v>
          </cell>
          <cell r="Y94" t="e">
            <v>#REF!</v>
          </cell>
          <cell r="Z94" t="e">
            <v>#REF!</v>
          </cell>
          <cell r="AA94" t="e">
            <v>#REF!</v>
          </cell>
          <cell r="AB94" t="e">
            <v>#REF!</v>
          </cell>
          <cell r="AC94" t="e">
            <v>#REF!</v>
          </cell>
          <cell r="AD94" t="e">
            <v>#REF!</v>
          </cell>
          <cell r="AE94" t="e">
            <v>#REF!</v>
          </cell>
          <cell r="AF94" t="e">
            <v>#REF!</v>
          </cell>
          <cell r="AG94" t="e">
            <v>#REF!</v>
          </cell>
          <cell r="AH94" t="e">
            <v>#REF!</v>
          </cell>
        </row>
        <row r="95">
          <cell r="F95" t="str">
            <v>22020930</v>
          </cell>
          <cell r="G95" t="str">
            <v xml:space="preserve">1011   </v>
          </cell>
          <cell r="I95" t="str">
            <v>g/t</v>
          </cell>
          <cell r="M95" t="e">
            <v>#REF!</v>
          </cell>
          <cell r="N95" t="e">
            <v>#REF!</v>
          </cell>
          <cell r="O95" t="e">
            <v>#REF!</v>
          </cell>
          <cell r="P95" t="e">
            <v>#REF!</v>
          </cell>
          <cell r="Q95" t="e">
            <v>#REF!</v>
          </cell>
          <cell r="R95" t="e">
            <v>#REF!</v>
          </cell>
          <cell r="S95" t="e">
            <v>#REF!</v>
          </cell>
          <cell r="T95" t="e">
            <v>#REF!</v>
          </cell>
          <cell r="U95" t="e">
            <v>#REF!</v>
          </cell>
          <cell r="V95" t="e">
            <v>#REF!</v>
          </cell>
          <cell r="W95" t="e">
            <v>#REF!</v>
          </cell>
          <cell r="X95" t="e">
            <v>#REF!</v>
          </cell>
          <cell r="Y95" t="e">
            <v>#REF!</v>
          </cell>
          <cell r="Z95" t="e">
            <v>#REF!</v>
          </cell>
          <cell r="AA95" t="e">
            <v>#REF!</v>
          </cell>
          <cell r="AB95" t="e">
            <v>#REF!</v>
          </cell>
          <cell r="AC95" t="e">
            <v>#REF!</v>
          </cell>
          <cell r="AD95" t="e">
            <v>#REF!</v>
          </cell>
          <cell r="AE95" t="e">
            <v>#REF!</v>
          </cell>
          <cell r="AF95" t="e">
            <v>#REF!</v>
          </cell>
          <cell r="AG95" t="e">
            <v>#REF!</v>
          </cell>
          <cell r="AH95" t="e">
            <v>#REF!</v>
          </cell>
        </row>
        <row r="96">
          <cell r="F96" t="str">
            <v>22020930</v>
          </cell>
          <cell r="G96" t="str">
            <v xml:space="preserve">1006   </v>
          </cell>
          <cell r="I96" t="str">
            <v>%</v>
          </cell>
          <cell r="M96" t="e">
            <v>#REF!</v>
          </cell>
          <cell r="N96" t="e">
            <v>#REF!</v>
          </cell>
          <cell r="O96" t="e">
            <v>#REF!</v>
          </cell>
          <cell r="P96" t="e">
            <v>#REF!</v>
          </cell>
          <cell r="Q96" t="e">
            <v>#REF!</v>
          </cell>
          <cell r="R96" t="e">
            <v>#REF!</v>
          </cell>
          <cell r="S96" t="e">
            <v>#REF!</v>
          </cell>
          <cell r="T96" t="e">
            <v>#REF!</v>
          </cell>
          <cell r="U96" t="e">
            <v>#REF!</v>
          </cell>
          <cell r="V96" t="e">
            <v>#REF!</v>
          </cell>
          <cell r="W96" t="e">
            <v>#REF!</v>
          </cell>
          <cell r="X96" t="e">
            <v>#REF!</v>
          </cell>
          <cell r="Y96" t="e">
            <v>#REF!</v>
          </cell>
          <cell r="Z96" t="e">
            <v>#REF!</v>
          </cell>
          <cell r="AA96" t="e">
            <v>#REF!</v>
          </cell>
          <cell r="AB96" t="e">
            <v>#REF!</v>
          </cell>
          <cell r="AC96" t="e">
            <v>#REF!</v>
          </cell>
          <cell r="AD96" t="e">
            <v>#REF!</v>
          </cell>
          <cell r="AE96" t="e">
            <v>#REF!</v>
          </cell>
          <cell r="AF96" t="e">
            <v>#REF!</v>
          </cell>
          <cell r="AG96" t="e">
            <v>#REF!</v>
          </cell>
          <cell r="AH96" t="e">
            <v>#REF!</v>
          </cell>
        </row>
        <row r="97">
          <cell r="F97" t="str">
            <v>22020930</v>
          </cell>
          <cell r="G97" t="str">
            <v xml:space="preserve">1009   </v>
          </cell>
          <cell r="I97" t="str">
            <v>%</v>
          </cell>
          <cell r="M97" t="e">
            <v>#REF!</v>
          </cell>
          <cell r="N97" t="e">
            <v>#REF!</v>
          </cell>
          <cell r="O97" t="e">
            <v>#REF!</v>
          </cell>
          <cell r="P97" t="e">
            <v>#REF!</v>
          </cell>
          <cell r="Q97" t="e">
            <v>#REF!</v>
          </cell>
          <cell r="R97" t="e">
            <v>#REF!</v>
          </cell>
          <cell r="S97" t="e">
            <v>#REF!</v>
          </cell>
          <cell r="T97" t="e">
            <v>#REF!</v>
          </cell>
          <cell r="U97" t="e">
            <v>#REF!</v>
          </cell>
          <cell r="V97" t="e">
            <v>#REF!</v>
          </cell>
          <cell r="W97" t="e">
            <v>#REF!</v>
          </cell>
          <cell r="X97" t="e">
            <v>#REF!</v>
          </cell>
          <cell r="Y97" t="e">
            <v>#REF!</v>
          </cell>
          <cell r="Z97" t="e">
            <v>#REF!</v>
          </cell>
          <cell r="AA97" t="e">
            <v>#REF!</v>
          </cell>
          <cell r="AB97" t="e">
            <v>#REF!</v>
          </cell>
          <cell r="AC97" t="e">
            <v>#REF!</v>
          </cell>
          <cell r="AD97" t="e">
            <v>#REF!</v>
          </cell>
          <cell r="AE97" t="e">
            <v>#REF!</v>
          </cell>
          <cell r="AF97" t="e">
            <v>#REF!</v>
          </cell>
          <cell r="AG97" t="e">
            <v>#REF!</v>
          </cell>
          <cell r="AH97" t="e">
            <v>#REF!</v>
          </cell>
        </row>
        <row r="98">
          <cell r="F98" t="str">
            <v>22020930</v>
          </cell>
          <cell r="G98" t="str">
            <v xml:space="preserve">1012   </v>
          </cell>
          <cell r="I98" t="str">
            <v>%</v>
          </cell>
          <cell r="M98" t="e">
            <v>#REF!</v>
          </cell>
          <cell r="N98" t="e">
            <v>#REF!</v>
          </cell>
          <cell r="O98" t="e">
            <v>#REF!</v>
          </cell>
          <cell r="P98" t="e">
            <v>#REF!</v>
          </cell>
          <cell r="Q98" t="e">
            <v>#REF!</v>
          </cell>
          <cell r="R98" t="e">
            <v>#REF!</v>
          </cell>
          <cell r="S98" t="e">
            <v>#REF!</v>
          </cell>
          <cell r="T98" t="e">
            <v>#REF!</v>
          </cell>
          <cell r="U98" t="e">
            <v>#REF!</v>
          </cell>
          <cell r="V98" t="e">
            <v>#REF!</v>
          </cell>
          <cell r="W98" t="e">
            <v>#REF!</v>
          </cell>
          <cell r="X98" t="e">
            <v>#REF!</v>
          </cell>
          <cell r="Y98" t="e">
            <v>#REF!</v>
          </cell>
          <cell r="Z98" t="e">
            <v>#REF!</v>
          </cell>
          <cell r="AA98" t="e">
            <v>#REF!</v>
          </cell>
          <cell r="AB98" t="e">
            <v>#REF!</v>
          </cell>
          <cell r="AC98" t="e">
            <v>#REF!</v>
          </cell>
          <cell r="AD98" t="e">
            <v>#REF!</v>
          </cell>
          <cell r="AE98" t="e">
            <v>#REF!</v>
          </cell>
          <cell r="AF98" t="e">
            <v>#REF!</v>
          </cell>
          <cell r="AG98" t="e">
            <v>#REF!</v>
          </cell>
          <cell r="AH98" t="e">
            <v>#REF!</v>
          </cell>
        </row>
        <row r="99">
          <cell r="F99" t="str">
            <v>22020930</v>
          </cell>
          <cell r="G99" t="str">
            <v xml:space="preserve">1007   </v>
          </cell>
          <cell r="I99" t="str">
            <v>%</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F100" t="str">
            <v>22020930</v>
          </cell>
          <cell r="G100" t="str">
            <v xml:space="preserve">1010   </v>
          </cell>
          <cell r="I100" t="str">
            <v>%</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cell r="AE100" t="e">
            <v>#REF!</v>
          </cell>
          <cell r="AF100" t="e">
            <v>#REF!</v>
          </cell>
          <cell r="AG100" t="e">
            <v>#REF!</v>
          </cell>
          <cell r="AH100" t="e">
            <v>#REF!</v>
          </cell>
        </row>
        <row r="101">
          <cell r="F101" t="str">
            <v>22020930</v>
          </cell>
          <cell r="G101" t="str">
            <v xml:space="preserve">1013   </v>
          </cell>
          <cell r="I101" t="str">
            <v>%</v>
          </cell>
          <cell r="M101" t="e">
            <v>#REF!</v>
          </cell>
          <cell r="N101" t="e">
            <v>#REF!</v>
          </cell>
          <cell r="O101" t="e">
            <v>#REF!</v>
          </cell>
          <cell r="P101" t="e">
            <v>#REF!</v>
          </cell>
          <cell r="Q101" t="e">
            <v>#REF!</v>
          </cell>
          <cell r="R101" t="e">
            <v>#REF!</v>
          </cell>
          <cell r="S101" t="e">
            <v>#REF!</v>
          </cell>
          <cell r="T101" t="e">
            <v>#REF!</v>
          </cell>
          <cell r="U101" t="e">
            <v>#REF!</v>
          </cell>
          <cell r="V101" t="e">
            <v>#REF!</v>
          </cell>
          <cell r="W101" t="e">
            <v>#REF!</v>
          </cell>
          <cell r="X101" t="e">
            <v>#REF!</v>
          </cell>
          <cell r="Y101" t="e">
            <v>#REF!</v>
          </cell>
          <cell r="Z101" t="e">
            <v>#REF!</v>
          </cell>
          <cell r="AA101" t="e">
            <v>#REF!</v>
          </cell>
          <cell r="AB101" t="e">
            <v>#REF!</v>
          </cell>
          <cell r="AC101" t="e">
            <v>#REF!</v>
          </cell>
          <cell r="AD101" t="e">
            <v>#REF!</v>
          </cell>
          <cell r="AE101" t="e">
            <v>#REF!</v>
          </cell>
          <cell r="AF101" t="e">
            <v>#REF!</v>
          </cell>
          <cell r="AG101" t="e">
            <v>#REF!</v>
          </cell>
          <cell r="AH101" t="e">
            <v>#REF!</v>
          </cell>
        </row>
        <row r="102">
          <cell r="F102" t="str">
            <v>22060930</v>
          </cell>
          <cell r="G102" t="str">
            <v xml:space="preserve">1014   </v>
          </cell>
          <cell r="I102" t="str">
            <v>Kt</v>
          </cell>
          <cell r="M102" t="e">
            <v>#REF!</v>
          </cell>
          <cell r="N102" t="e">
            <v>#REF!</v>
          </cell>
          <cell r="O102" t="e">
            <v>#REF!</v>
          </cell>
          <cell r="P102" t="e">
            <v>#REF!</v>
          </cell>
          <cell r="Q102" t="e">
            <v>#REF!</v>
          </cell>
          <cell r="R102" t="e">
            <v>#REF!</v>
          </cell>
          <cell r="S102" t="e">
            <v>#REF!</v>
          </cell>
          <cell r="T102" t="e">
            <v>#REF!</v>
          </cell>
          <cell r="U102" t="e">
            <v>#REF!</v>
          </cell>
          <cell r="V102" t="e">
            <v>#REF!</v>
          </cell>
          <cell r="W102" t="e">
            <v>#REF!</v>
          </cell>
          <cell r="X102" t="e">
            <v>#REF!</v>
          </cell>
          <cell r="Y102" t="e">
            <v>#REF!</v>
          </cell>
          <cell r="Z102" t="e">
            <v>#REF!</v>
          </cell>
          <cell r="AA102" t="e">
            <v>#REF!</v>
          </cell>
          <cell r="AB102" t="e">
            <v>#REF!</v>
          </cell>
          <cell r="AC102" t="e">
            <v>#REF!</v>
          </cell>
          <cell r="AD102" t="e">
            <v>#REF!</v>
          </cell>
          <cell r="AE102" t="e">
            <v>#REF!</v>
          </cell>
          <cell r="AF102" t="e">
            <v>#REF!</v>
          </cell>
          <cell r="AG102" t="e">
            <v>#REF!</v>
          </cell>
          <cell r="AH102" t="e">
            <v>#REF!</v>
          </cell>
        </row>
        <row r="103">
          <cell r="F103" t="str">
            <v>22060930</v>
          </cell>
          <cell r="G103" t="str">
            <v xml:space="preserve">1015   </v>
          </cell>
          <cell r="I103" t="str">
            <v>Kt</v>
          </cell>
          <cell r="M103" t="e">
            <v>#REF!</v>
          </cell>
          <cell r="N103" t="e">
            <v>#REF!</v>
          </cell>
          <cell r="O103" t="e">
            <v>#REF!</v>
          </cell>
          <cell r="P103" t="e">
            <v>#REF!</v>
          </cell>
          <cell r="Q103" t="e">
            <v>#REF!</v>
          </cell>
          <cell r="R103" t="e">
            <v>#REF!</v>
          </cell>
          <cell r="S103" t="e">
            <v>#REF!</v>
          </cell>
          <cell r="T103" t="e">
            <v>#REF!</v>
          </cell>
          <cell r="U103" t="e">
            <v>#REF!</v>
          </cell>
          <cell r="V103" t="e">
            <v>#REF!</v>
          </cell>
          <cell r="W103" t="e">
            <v>#REF!</v>
          </cell>
          <cell r="X103" t="e">
            <v>#REF!</v>
          </cell>
          <cell r="Y103" t="e">
            <v>#REF!</v>
          </cell>
          <cell r="Z103" t="e">
            <v>#REF!</v>
          </cell>
          <cell r="AA103" t="e">
            <v>#REF!</v>
          </cell>
          <cell r="AB103" t="e">
            <v>#REF!</v>
          </cell>
          <cell r="AC103" t="e">
            <v>#REF!</v>
          </cell>
          <cell r="AD103" t="e">
            <v>#REF!</v>
          </cell>
          <cell r="AE103" t="e">
            <v>#REF!</v>
          </cell>
          <cell r="AF103" t="e">
            <v>#REF!</v>
          </cell>
          <cell r="AG103" t="e">
            <v>#REF!</v>
          </cell>
          <cell r="AH103" t="e">
            <v>#REF!</v>
          </cell>
        </row>
        <row r="104">
          <cell r="F104" t="str">
            <v>22060930</v>
          </cell>
          <cell r="G104" t="str">
            <v xml:space="preserve">1016   </v>
          </cell>
          <cell r="I104" t="str">
            <v>g/t</v>
          </cell>
          <cell r="M104" t="e">
            <v>#REF!</v>
          </cell>
          <cell r="N104" t="e">
            <v>#REF!</v>
          </cell>
          <cell r="O104" t="e">
            <v>#REF!</v>
          </cell>
          <cell r="P104" t="e">
            <v>#REF!</v>
          </cell>
          <cell r="Q104" t="e">
            <v>#REF!</v>
          </cell>
          <cell r="R104" t="e">
            <v>#REF!</v>
          </cell>
          <cell r="S104" t="e">
            <v>#REF!</v>
          </cell>
          <cell r="T104" t="e">
            <v>#REF!</v>
          </cell>
          <cell r="U104" t="e">
            <v>#REF!</v>
          </cell>
          <cell r="V104" t="e">
            <v>#REF!</v>
          </cell>
          <cell r="W104" t="e">
            <v>#REF!</v>
          </cell>
          <cell r="X104" t="e">
            <v>#REF!</v>
          </cell>
          <cell r="Y104" t="e">
            <v>#REF!</v>
          </cell>
          <cell r="Z104" t="e">
            <v>#REF!</v>
          </cell>
          <cell r="AA104" t="e">
            <v>#REF!</v>
          </cell>
          <cell r="AB104" t="e">
            <v>#REF!</v>
          </cell>
          <cell r="AC104" t="e">
            <v>#REF!</v>
          </cell>
          <cell r="AD104" t="e">
            <v>#REF!</v>
          </cell>
          <cell r="AE104" t="e">
            <v>#REF!</v>
          </cell>
          <cell r="AF104" t="e">
            <v>#REF!</v>
          </cell>
          <cell r="AG104" t="e">
            <v>#REF!</v>
          </cell>
          <cell r="AH104" t="e">
            <v>#REF!</v>
          </cell>
        </row>
        <row r="105">
          <cell r="F105" t="str">
            <v>22060930</v>
          </cell>
          <cell r="G105" t="str">
            <v xml:space="preserve">1017   </v>
          </cell>
          <cell r="I105" t="str">
            <v>%</v>
          </cell>
          <cell r="M105" t="e">
            <v>#REF!</v>
          </cell>
          <cell r="N105" t="e">
            <v>#REF!</v>
          </cell>
          <cell r="O105" t="e">
            <v>#REF!</v>
          </cell>
          <cell r="P105" t="e">
            <v>#REF!</v>
          </cell>
          <cell r="Q105" t="e">
            <v>#REF!</v>
          </cell>
          <cell r="R105" t="e">
            <v>#REF!</v>
          </cell>
          <cell r="S105" t="e">
            <v>#REF!</v>
          </cell>
          <cell r="T105" t="e">
            <v>#REF!</v>
          </cell>
          <cell r="U105" t="e">
            <v>#REF!</v>
          </cell>
          <cell r="V105" t="e">
            <v>#REF!</v>
          </cell>
          <cell r="W105" t="e">
            <v>#REF!</v>
          </cell>
          <cell r="X105" t="e">
            <v>#REF!</v>
          </cell>
          <cell r="Y105" t="e">
            <v>#REF!</v>
          </cell>
          <cell r="Z105" t="e">
            <v>#REF!</v>
          </cell>
          <cell r="AA105" t="e">
            <v>#REF!</v>
          </cell>
          <cell r="AB105" t="e">
            <v>#REF!</v>
          </cell>
          <cell r="AC105" t="e">
            <v>#REF!</v>
          </cell>
          <cell r="AD105" t="e">
            <v>#REF!</v>
          </cell>
          <cell r="AE105" t="e">
            <v>#REF!</v>
          </cell>
          <cell r="AF105" t="e">
            <v>#REF!</v>
          </cell>
          <cell r="AG105" t="e">
            <v>#REF!</v>
          </cell>
          <cell r="AH105" t="e">
            <v>#REF!</v>
          </cell>
        </row>
        <row r="106">
          <cell r="F106" t="str">
            <v>22060930</v>
          </cell>
          <cell r="G106" t="str">
            <v xml:space="preserve">1018   </v>
          </cell>
          <cell r="I106" t="str">
            <v>%</v>
          </cell>
          <cell r="M106" t="e">
            <v>#REF!</v>
          </cell>
          <cell r="N106" t="e">
            <v>#REF!</v>
          </cell>
          <cell r="O106" t="e">
            <v>#REF!</v>
          </cell>
          <cell r="P106" t="e">
            <v>#REF!</v>
          </cell>
          <cell r="Q106" t="e">
            <v>#REF!</v>
          </cell>
          <cell r="R106" t="e">
            <v>#REF!</v>
          </cell>
          <cell r="S106" t="e">
            <v>#REF!</v>
          </cell>
          <cell r="T106" t="e">
            <v>#REF!</v>
          </cell>
          <cell r="U106" t="e">
            <v>#REF!</v>
          </cell>
          <cell r="V106" t="e">
            <v>#REF!</v>
          </cell>
          <cell r="W106" t="e">
            <v>#REF!</v>
          </cell>
          <cell r="X106" t="e">
            <v>#REF!</v>
          </cell>
          <cell r="Y106" t="e">
            <v>#REF!</v>
          </cell>
          <cell r="Z106" t="e">
            <v>#REF!</v>
          </cell>
          <cell r="AA106" t="e">
            <v>#REF!</v>
          </cell>
          <cell r="AB106" t="e">
            <v>#REF!</v>
          </cell>
          <cell r="AC106" t="e">
            <v>#REF!</v>
          </cell>
          <cell r="AD106" t="e">
            <v>#REF!</v>
          </cell>
          <cell r="AE106" t="e">
            <v>#REF!</v>
          </cell>
          <cell r="AF106" t="e">
            <v>#REF!</v>
          </cell>
          <cell r="AG106" t="e">
            <v>#REF!</v>
          </cell>
          <cell r="AH106" t="e">
            <v>#REF!</v>
          </cell>
        </row>
        <row r="107">
          <cell r="F107" t="str">
            <v>22060930</v>
          </cell>
          <cell r="G107" t="str">
            <v xml:space="preserve">1019   </v>
          </cell>
          <cell r="I107" t="str">
            <v>%</v>
          </cell>
          <cell r="M107" t="e">
            <v>#REF!</v>
          </cell>
          <cell r="N107" t="e">
            <v>#REF!</v>
          </cell>
          <cell r="O107" t="e">
            <v>#REF!</v>
          </cell>
          <cell r="P107" t="e">
            <v>#REF!</v>
          </cell>
          <cell r="Q107" t="e">
            <v>#REF!</v>
          </cell>
          <cell r="R107" t="e">
            <v>#REF!</v>
          </cell>
          <cell r="S107" t="e">
            <v>#REF!</v>
          </cell>
          <cell r="T107" t="e">
            <v>#REF!</v>
          </cell>
          <cell r="U107" t="e">
            <v>#REF!</v>
          </cell>
          <cell r="V107" t="e">
            <v>#REF!</v>
          </cell>
          <cell r="W107" t="e">
            <v>#REF!</v>
          </cell>
          <cell r="X107" t="e">
            <v>#REF!</v>
          </cell>
          <cell r="Y107" t="e">
            <v>#REF!</v>
          </cell>
          <cell r="Z107" t="e">
            <v>#REF!</v>
          </cell>
          <cell r="AA107" t="e">
            <v>#REF!</v>
          </cell>
          <cell r="AB107" t="e">
            <v>#REF!</v>
          </cell>
          <cell r="AC107" t="e">
            <v>#REF!</v>
          </cell>
          <cell r="AD107" t="e">
            <v>#REF!</v>
          </cell>
          <cell r="AE107" t="e">
            <v>#REF!</v>
          </cell>
          <cell r="AF107" t="e">
            <v>#REF!</v>
          </cell>
          <cell r="AG107" t="e">
            <v>#REF!</v>
          </cell>
          <cell r="AH107" t="e">
            <v>#REF!</v>
          </cell>
        </row>
        <row r="108">
          <cell r="F108" t="str">
            <v>22060930</v>
          </cell>
          <cell r="G108" t="str">
            <v xml:space="preserve">1020   </v>
          </cell>
          <cell r="I108" t="str">
            <v>%</v>
          </cell>
          <cell r="M108" t="e">
            <v>#REF!</v>
          </cell>
          <cell r="N108" t="e">
            <v>#REF!</v>
          </cell>
          <cell r="O108" t="e">
            <v>#REF!</v>
          </cell>
          <cell r="P108" t="e">
            <v>#REF!</v>
          </cell>
          <cell r="Q108" t="e">
            <v>#REF!</v>
          </cell>
          <cell r="R108" t="e">
            <v>#REF!</v>
          </cell>
          <cell r="S108" t="e">
            <v>#REF!</v>
          </cell>
          <cell r="T108" t="e">
            <v>#REF!</v>
          </cell>
          <cell r="U108" t="e">
            <v>#REF!</v>
          </cell>
          <cell r="V108" t="e">
            <v>#REF!</v>
          </cell>
          <cell r="W108" t="e">
            <v>#REF!</v>
          </cell>
          <cell r="X108" t="e">
            <v>#REF!</v>
          </cell>
          <cell r="Y108" t="e">
            <v>#REF!</v>
          </cell>
          <cell r="Z108" t="e">
            <v>#REF!</v>
          </cell>
          <cell r="AA108" t="e">
            <v>#REF!</v>
          </cell>
          <cell r="AB108" t="e">
            <v>#REF!</v>
          </cell>
          <cell r="AC108" t="e">
            <v>#REF!</v>
          </cell>
          <cell r="AD108" t="e">
            <v>#REF!</v>
          </cell>
          <cell r="AE108" t="e">
            <v>#REF!</v>
          </cell>
          <cell r="AF108" t="e">
            <v>#REF!</v>
          </cell>
          <cell r="AG108" t="e">
            <v>#REF!</v>
          </cell>
          <cell r="AH108" t="e">
            <v>#REF!</v>
          </cell>
        </row>
        <row r="109">
          <cell r="F109" t="str">
            <v>22060930</v>
          </cell>
          <cell r="G109" t="str">
            <v xml:space="preserve">1021   </v>
          </cell>
          <cell r="I109" t="str">
            <v>%</v>
          </cell>
          <cell r="M109" t="e">
            <v>#REF!</v>
          </cell>
          <cell r="N109" t="e">
            <v>#REF!</v>
          </cell>
          <cell r="O109" t="e">
            <v>#REF!</v>
          </cell>
          <cell r="P109" t="e">
            <v>#REF!</v>
          </cell>
          <cell r="Q109" t="e">
            <v>#REF!</v>
          </cell>
          <cell r="R109" t="e">
            <v>#REF!</v>
          </cell>
          <cell r="S109" t="e">
            <v>#REF!</v>
          </cell>
          <cell r="T109" t="e">
            <v>#REF!</v>
          </cell>
          <cell r="U109" t="e">
            <v>#REF!</v>
          </cell>
          <cell r="V109" t="e">
            <v>#REF!</v>
          </cell>
          <cell r="W109" t="e">
            <v>#REF!</v>
          </cell>
          <cell r="X109" t="e">
            <v>#REF!</v>
          </cell>
          <cell r="Y109" t="e">
            <v>#REF!</v>
          </cell>
          <cell r="Z109" t="e">
            <v>#REF!</v>
          </cell>
          <cell r="AA109" t="e">
            <v>#REF!</v>
          </cell>
          <cell r="AB109" t="e">
            <v>#REF!</v>
          </cell>
          <cell r="AC109" t="e">
            <v>#REF!</v>
          </cell>
          <cell r="AD109" t="e">
            <v>#REF!</v>
          </cell>
          <cell r="AE109" t="e">
            <v>#REF!</v>
          </cell>
          <cell r="AF109" t="e">
            <v>#REF!</v>
          </cell>
          <cell r="AG109" t="e">
            <v>#REF!</v>
          </cell>
          <cell r="AH109" t="e">
            <v>#REF!</v>
          </cell>
        </row>
        <row r="110">
          <cell r="F110" t="str">
            <v>22060930</v>
          </cell>
          <cell r="G110" t="str">
            <v xml:space="preserve">1022   </v>
          </cell>
          <cell r="I110" t="str">
            <v>Kt</v>
          </cell>
          <cell r="M110" t="e">
            <v>#REF!</v>
          </cell>
          <cell r="N110" t="e">
            <v>#REF!</v>
          </cell>
          <cell r="O110" t="e">
            <v>#REF!</v>
          </cell>
          <cell r="P110" t="e">
            <v>#REF!</v>
          </cell>
          <cell r="Q110" t="e">
            <v>#REF!</v>
          </cell>
          <cell r="R110" t="e">
            <v>#REF!</v>
          </cell>
          <cell r="S110" t="e">
            <v>#REF!</v>
          </cell>
          <cell r="T110" t="e">
            <v>#REF!</v>
          </cell>
          <cell r="U110" t="e">
            <v>#REF!</v>
          </cell>
          <cell r="V110" t="e">
            <v>#REF!</v>
          </cell>
          <cell r="W110" t="e">
            <v>#REF!</v>
          </cell>
          <cell r="X110" t="e">
            <v>#REF!</v>
          </cell>
          <cell r="Y110" t="e">
            <v>#REF!</v>
          </cell>
          <cell r="Z110" t="e">
            <v>#REF!</v>
          </cell>
          <cell r="AA110" t="e">
            <v>#REF!</v>
          </cell>
          <cell r="AB110" t="e">
            <v>#REF!</v>
          </cell>
          <cell r="AC110" t="e">
            <v>#REF!</v>
          </cell>
          <cell r="AD110" t="e">
            <v>#REF!</v>
          </cell>
          <cell r="AE110" t="e">
            <v>#REF!</v>
          </cell>
          <cell r="AF110" t="e">
            <v>#REF!</v>
          </cell>
          <cell r="AG110" t="e">
            <v>#REF!</v>
          </cell>
          <cell r="AH110" t="e">
            <v>#REF!</v>
          </cell>
        </row>
        <row r="111">
          <cell r="F111" t="str">
            <v>22060930</v>
          </cell>
          <cell r="G111" t="str">
            <v xml:space="preserve">1023   </v>
          </cell>
          <cell r="I111" t="str">
            <v>Kt</v>
          </cell>
          <cell r="M111" t="e">
            <v>#REF!</v>
          </cell>
          <cell r="N111" t="e">
            <v>#REF!</v>
          </cell>
          <cell r="O111" t="e">
            <v>#REF!</v>
          </cell>
          <cell r="P111" t="e">
            <v>#REF!</v>
          </cell>
          <cell r="Q111" t="e">
            <v>#REF!</v>
          </cell>
          <cell r="R111" t="e">
            <v>#REF!</v>
          </cell>
          <cell r="S111" t="e">
            <v>#REF!</v>
          </cell>
          <cell r="T111" t="e">
            <v>#REF!</v>
          </cell>
          <cell r="U111" t="e">
            <v>#REF!</v>
          </cell>
          <cell r="V111" t="e">
            <v>#REF!</v>
          </cell>
          <cell r="W111" t="e">
            <v>#REF!</v>
          </cell>
          <cell r="X111" t="e">
            <v>#REF!</v>
          </cell>
          <cell r="Y111" t="e">
            <v>#REF!</v>
          </cell>
          <cell r="Z111" t="e">
            <v>#REF!</v>
          </cell>
          <cell r="AA111" t="e">
            <v>#REF!</v>
          </cell>
          <cell r="AB111" t="e">
            <v>#REF!</v>
          </cell>
          <cell r="AC111" t="e">
            <v>#REF!</v>
          </cell>
          <cell r="AD111" t="e">
            <v>#REF!</v>
          </cell>
          <cell r="AE111" t="e">
            <v>#REF!</v>
          </cell>
          <cell r="AF111" t="e">
            <v>#REF!</v>
          </cell>
          <cell r="AG111" t="e">
            <v>#REF!</v>
          </cell>
          <cell r="AH111" t="e">
            <v>#REF!</v>
          </cell>
        </row>
        <row r="112">
          <cell r="F112" t="str">
            <v>22060930</v>
          </cell>
          <cell r="G112" t="str">
            <v xml:space="preserve">1024   </v>
          </cell>
          <cell r="I112" t="str">
            <v>g/t</v>
          </cell>
          <cell r="M112" t="e">
            <v>#REF!</v>
          </cell>
          <cell r="N112" t="e">
            <v>#REF!</v>
          </cell>
          <cell r="O112" t="e">
            <v>#REF!</v>
          </cell>
          <cell r="P112" t="e">
            <v>#REF!</v>
          </cell>
          <cell r="Q112" t="e">
            <v>#REF!</v>
          </cell>
          <cell r="R112" t="e">
            <v>#REF!</v>
          </cell>
          <cell r="S112" t="e">
            <v>#REF!</v>
          </cell>
          <cell r="T112" t="e">
            <v>#REF!</v>
          </cell>
          <cell r="U112" t="e">
            <v>#REF!</v>
          </cell>
          <cell r="V112" t="e">
            <v>#REF!</v>
          </cell>
          <cell r="W112" t="e">
            <v>#REF!</v>
          </cell>
          <cell r="X112" t="e">
            <v>#REF!</v>
          </cell>
          <cell r="Y112" t="e">
            <v>#REF!</v>
          </cell>
          <cell r="Z112" t="e">
            <v>#REF!</v>
          </cell>
          <cell r="AA112" t="e">
            <v>#REF!</v>
          </cell>
          <cell r="AB112" t="e">
            <v>#REF!</v>
          </cell>
          <cell r="AC112" t="e">
            <v>#REF!</v>
          </cell>
          <cell r="AD112" t="e">
            <v>#REF!</v>
          </cell>
          <cell r="AE112" t="e">
            <v>#REF!</v>
          </cell>
          <cell r="AF112" t="e">
            <v>#REF!</v>
          </cell>
          <cell r="AG112" t="e">
            <v>#REF!</v>
          </cell>
          <cell r="AH112" t="e">
            <v>#REF!</v>
          </cell>
        </row>
        <row r="113">
          <cell r="F113" t="str">
            <v>22060930</v>
          </cell>
          <cell r="G113" t="str">
            <v xml:space="preserve">1025   </v>
          </cell>
          <cell r="I113" t="str">
            <v>g/t</v>
          </cell>
          <cell r="M113" t="e">
            <v>#REF!</v>
          </cell>
          <cell r="N113" t="e">
            <v>#REF!</v>
          </cell>
          <cell r="O113" t="e">
            <v>#REF!</v>
          </cell>
          <cell r="P113" t="e">
            <v>#REF!</v>
          </cell>
          <cell r="Q113" t="e">
            <v>#REF!</v>
          </cell>
          <cell r="R113" t="e">
            <v>#REF!</v>
          </cell>
          <cell r="S113" t="e">
            <v>#REF!</v>
          </cell>
          <cell r="T113" t="e">
            <v>#REF!</v>
          </cell>
          <cell r="U113" t="e">
            <v>#REF!</v>
          </cell>
          <cell r="V113" t="e">
            <v>#REF!</v>
          </cell>
          <cell r="W113" t="e">
            <v>#REF!</v>
          </cell>
          <cell r="X113" t="e">
            <v>#REF!</v>
          </cell>
          <cell r="Y113" t="e">
            <v>#REF!</v>
          </cell>
          <cell r="Z113" t="e">
            <v>#REF!</v>
          </cell>
          <cell r="AA113" t="e">
            <v>#REF!</v>
          </cell>
          <cell r="AB113" t="e">
            <v>#REF!</v>
          </cell>
          <cell r="AC113" t="e">
            <v>#REF!</v>
          </cell>
          <cell r="AD113" t="e">
            <v>#REF!</v>
          </cell>
          <cell r="AE113" t="e">
            <v>#REF!</v>
          </cell>
          <cell r="AF113" t="e">
            <v>#REF!</v>
          </cell>
          <cell r="AG113" t="e">
            <v>#REF!</v>
          </cell>
          <cell r="AH113" t="e">
            <v>#REF!</v>
          </cell>
        </row>
        <row r="114">
          <cell r="F114" t="str">
            <v>22060930</v>
          </cell>
          <cell r="G114" t="str">
            <v xml:space="preserve">1026   </v>
          </cell>
          <cell r="I114" t="str">
            <v>KOz</v>
          </cell>
          <cell r="M114" t="e">
            <v>#REF!</v>
          </cell>
          <cell r="N114" t="e">
            <v>#REF!</v>
          </cell>
          <cell r="O114" t="e">
            <v>#REF!</v>
          </cell>
          <cell r="P114" t="e">
            <v>#REF!</v>
          </cell>
          <cell r="Q114" t="e">
            <v>#REF!</v>
          </cell>
          <cell r="R114" t="e">
            <v>#REF!</v>
          </cell>
          <cell r="S114" t="e">
            <v>#REF!</v>
          </cell>
          <cell r="T114" t="e">
            <v>#REF!</v>
          </cell>
          <cell r="U114" t="e">
            <v>#REF!</v>
          </cell>
          <cell r="V114" t="e">
            <v>#REF!</v>
          </cell>
          <cell r="W114" t="e">
            <v>#REF!</v>
          </cell>
          <cell r="X114" t="e">
            <v>#REF!</v>
          </cell>
          <cell r="Y114" t="e">
            <v>#REF!</v>
          </cell>
          <cell r="Z114" t="e">
            <v>#REF!</v>
          </cell>
          <cell r="AA114" t="e">
            <v>#REF!</v>
          </cell>
          <cell r="AB114" t="e">
            <v>#REF!</v>
          </cell>
          <cell r="AC114" t="e">
            <v>#REF!</v>
          </cell>
          <cell r="AD114" t="e">
            <v>#REF!</v>
          </cell>
          <cell r="AE114" t="e">
            <v>#REF!</v>
          </cell>
          <cell r="AF114" t="e">
            <v>#REF!</v>
          </cell>
          <cell r="AG114" t="e">
            <v>#REF!</v>
          </cell>
          <cell r="AH114" t="e">
            <v>#REF!</v>
          </cell>
        </row>
        <row r="115">
          <cell r="F115" t="str">
            <v>22060930</v>
          </cell>
          <cell r="G115" t="str">
            <v xml:space="preserve">1027   </v>
          </cell>
          <cell r="I115" t="str">
            <v>Kt</v>
          </cell>
          <cell r="M115" t="e">
            <v>#REF!</v>
          </cell>
          <cell r="N115" t="e">
            <v>#REF!</v>
          </cell>
          <cell r="O115" t="e">
            <v>#REF!</v>
          </cell>
          <cell r="P115" t="e">
            <v>#REF!</v>
          </cell>
          <cell r="Q115" t="e">
            <v>#REF!</v>
          </cell>
          <cell r="R115" t="e">
            <v>#REF!</v>
          </cell>
          <cell r="S115" t="e">
            <v>#REF!</v>
          </cell>
          <cell r="T115" t="e">
            <v>#REF!</v>
          </cell>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row>
        <row r="116">
          <cell r="F116" t="str">
            <v>22060930</v>
          </cell>
          <cell r="G116" t="str">
            <v xml:space="preserve">1028   </v>
          </cell>
          <cell r="I116" t="str">
            <v>Kt</v>
          </cell>
          <cell r="M116" t="e">
            <v>#REF!</v>
          </cell>
          <cell r="N116" t="e">
            <v>#REF!</v>
          </cell>
          <cell r="O116" t="e">
            <v>#REF!</v>
          </cell>
          <cell r="P116" t="e">
            <v>#REF!</v>
          </cell>
          <cell r="Q116" t="e">
            <v>#REF!</v>
          </cell>
          <cell r="R116" t="e">
            <v>#REF!</v>
          </cell>
          <cell r="S116" t="e">
            <v>#REF!</v>
          </cell>
          <cell r="T116" t="e">
            <v>#REF!</v>
          </cell>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row>
        <row r="117">
          <cell r="F117" t="str">
            <v>22060930</v>
          </cell>
          <cell r="G117" t="str">
            <v xml:space="preserve">1029   </v>
          </cell>
          <cell r="I117" t="str">
            <v>KOz</v>
          </cell>
          <cell r="M117" t="e">
            <v>#REF!</v>
          </cell>
          <cell r="N117" t="e">
            <v>#REF!</v>
          </cell>
          <cell r="O117" t="e">
            <v>#REF!</v>
          </cell>
          <cell r="P117" t="e">
            <v>#REF!</v>
          </cell>
          <cell r="Q117" t="e">
            <v>#REF!</v>
          </cell>
          <cell r="R117" t="e">
            <v>#REF!</v>
          </cell>
          <cell r="S117" t="e">
            <v>#REF!</v>
          </cell>
          <cell r="T117" t="e">
            <v>#REF!</v>
          </cell>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row>
        <row r="118">
          <cell r="F118" t="str">
            <v>22060930</v>
          </cell>
          <cell r="G118" t="str">
            <v xml:space="preserve">1030   </v>
          </cell>
          <cell r="I118" t="str">
            <v>Kt</v>
          </cell>
          <cell r="M118" t="e">
            <v>#REF!</v>
          </cell>
          <cell r="N118" t="e">
            <v>#REF!</v>
          </cell>
          <cell r="O118" t="e">
            <v>#REF!</v>
          </cell>
          <cell r="P118" t="e">
            <v>#REF!</v>
          </cell>
          <cell r="Q118" t="e">
            <v>#REF!</v>
          </cell>
          <cell r="R118" t="e">
            <v>#REF!</v>
          </cell>
          <cell r="S118" t="e">
            <v>#REF!</v>
          </cell>
          <cell r="T118" t="e">
            <v>#REF!</v>
          </cell>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row>
        <row r="119">
          <cell r="F119" t="str">
            <v>22060930</v>
          </cell>
          <cell r="G119" t="str">
            <v xml:space="preserve">1031   </v>
          </cell>
          <cell r="I119" t="str">
            <v>Kt</v>
          </cell>
          <cell r="M119" t="e">
            <v>#REF!</v>
          </cell>
          <cell r="N119" t="e">
            <v>#REF!</v>
          </cell>
          <cell r="O119" t="e">
            <v>#REF!</v>
          </cell>
          <cell r="P119" t="e">
            <v>#REF!</v>
          </cell>
          <cell r="Q119" t="e">
            <v>#REF!</v>
          </cell>
          <cell r="R119" t="e">
            <v>#REF!</v>
          </cell>
          <cell r="S119" t="e">
            <v>#REF!</v>
          </cell>
          <cell r="T119" t="e">
            <v>#REF!</v>
          </cell>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row>
        <row r="120">
          <cell r="F120" t="str">
            <v>22060930</v>
          </cell>
          <cell r="G120" t="str">
            <v xml:space="preserve">1032   </v>
          </cell>
          <cell r="I120" t="str">
            <v>USD 000's</v>
          </cell>
          <cell r="M120" t="e">
            <v>#REF!</v>
          </cell>
          <cell r="N120" t="e">
            <v>#REF!</v>
          </cell>
          <cell r="O120" t="e">
            <v>#REF!</v>
          </cell>
          <cell r="P120" t="e">
            <v>#REF!</v>
          </cell>
          <cell r="Q120" t="e">
            <v>#REF!</v>
          </cell>
          <cell r="R120" t="e">
            <v>#REF!</v>
          </cell>
          <cell r="S120" t="e">
            <v>#REF!</v>
          </cell>
          <cell r="T120" t="e">
            <v>#REF!</v>
          </cell>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row>
        <row r="121">
          <cell r="F121" t="str">
            <v>22060930</v>
          </cell>
          <cell r="G121" t="str">
            <v xml:space="preserve">1033   </v>
          </cell>
          <cell r="I121" t="str">
            <v>USD 000's</v>
          </cell>
          <cell r="M121" t="e">
            <v>#REF!</v>
          </cell>
          <cell r="N121" t="e">
            <v>#REF!</v>
          </cell>
          <cell r="O121" t="e">
            <v>#REF!</v>
          </cell>
          <cell r="P121" t="e">
            <v>#REF!</v>
          </cell>
          <cell r="Q121" t="e">
            <v>#REF!</v>
          </cell>
          <cell r="R121" t="e">
            <v>#REF!</v>
          </cell>
          <cell r="S121" t="e">
            <v>#REF!</v>
          </cell>
          <cell r="T121" t="e">
            <v>#REF!</v>
          </cell>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row>
        <row r="128">
          <cell r="AH128">
            <v>0</v>
          </cell>
        </row>
        <row r="129">
          <cell r="AH129">
            <v>0</v>
          </cell>
        </row>
        <row r="130">
          <cell r="AH130">
            <v>0</v>
          </cell>
        </row>
        <row r="131">
          <cell r="AH131">
            <v>0</v>
          </cell>
        </row>
      </sheetData>
      <sheetData sheetId="23"/>
      <sheetData sheetId="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ato 5 Entrenamiento"/>
      <sheetName val="Report"/>
    </sheetNames>
    <sheetDataSet>
      <sheetData sheetId="0" refreshError="1">
        <row r="2">
          <cell r="A2" t="str">
            <v>E</v>
          </cell>
          <cell r="B2" t="str">
            <v>I</v>
          </cell>
          <cell r="C2" t="str">
            <v>C</v>
          </cell>
          <cell r="D2">
            <v>1</v>
          </cell>
        </row>
        <row r="3">
          <cell r="A3" t="str">
            <v>F</v>
          </cell>
          <cell r="B3" t="str">
            <v>E</v>
          </cell>
          <cell r="C3" t="str">
            <v>P</v>
          </cell>
          <cell r="D3">
            <v>2</v>
          </cell>
        </row>
        <row r="4">
          <cell r="A4" t="str">
            <v>T</v>
          </cell>
          <cell r="C4" t="str">
            <v>E</v>
          </cell>
          <cell r="D4">
            <v>3</v>
          </cell>
        </row>
        <row r="5">
          <cell r="A5" t="str">
            <v>G</v>
          </cell>
        </row>
        <row r="6">
          <cell r="A6" t="str">
            <v>S</v>
          </cell>
        </row>
      </sheetData>
      <sheetData sheetId="1" refreshError="1"/>
      <sheetData sheetId="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nning"/>
      <sheetName val="Cashflows"/>
      <sheetName val="P &amp; L"/>
      <sheetName val="UG &amp; CPP"/>
      <sheetName val="OC &amp; HW"/>
      <sheetName val="Revenue"/>
      <sheetName val="Capital T"/>
      <sheetName val="Capital GCA T"/>
      <sheetName val="Capital West"/>
      <sheetName val="Financing"/>
      <sheetName val="TARIF2002"/>
    </sheetNames>
    <sheetDataSet>
      <sheetData sheetId="0" refreshError="1">
        <row r="6">
          <cell r="D6">
            <v>0.3</v>
          </cell>
        </row>
        <row r="7">
          <cell r="D7">
            <v>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O"/>
      <sheetName val="EQUIPOS"/>
      <sheetName val="PRODUCC"/>
      <sheetName val="Grono-Pala"/>
      <sheetName val="CALIDAD"/>
      <sheetName val="BD_831"/>
      <sheetName val="BD_OREG1"/>
      <sheetName val="BD_OREG2"/>
      <sheetName val="BD100-45"/>
      <sheetName val="BD100_45"/>
      <sheetName val="Parameters"/>
      <sheetName val="Sensitivities"/>
      <sheetName val="Deprec"/>
      <sheetName val="Equip Da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0"/>
  <sheetViews>
    <sheetView workbookViewId="0"/>
  </sheetViews>
  <sheetFormatPr baseColWidth="10" defaultColWidth="12.625" defaultRowHeight="15" customHeight="1" x14ac:dyDescent="0.25"/>
  <cols>
    <col min="1" max="1" width="6" customWidth="1"/>
    <col min="2" max="2" width="77" customWidth="1"/>
    <col min="3" max="3" width="14.5" customWidth="1"/>
    <col min="4" max="4" width="18.125" customWidth="1"/>
    <col min="5" max="11" width="10.625" customWidth="1"/>
  </cols>
  <sheetData>
    <row r="1" spans="1:11" ht="15.75" customHeight="1" x14ac:dyDescent="0.25">
      <c r="A1" s="1"/>
      <c r="B1" s="2"/>
      <c r="C1" s="1"/>
      <c r="D1" s="1"/>
      <c r="E1" s="1"/>
      <c r="F1" s="1"/>
      <c r="G1" s="1"/>
      <c r="H1" s="1"/>
      <c r="I1" s="1"/>
      <c r="J1" s="1"/>
      <c r="K1" s="1"/>
    </row>
    <row r="2" spans="1:11" ht="15.75" customHeight="1" x14ac:dyDescent="0.25">
      <c r="A2" s="3" t="s">
        <v>0</v>
      </c>
      <c r="B2" s="573" t="s">
        <v>1</v>
      </c>
      <c r="C2" s="570"/>
      <c r="D2" s="3" t="s">
        <v>2</v>
      </c>
      <c r="E2" s="4"/>
      <c r="F2" s="4"/>
      <c r="G2" s="4"/>
      <c r="H2" s="4"/>
      <c r="I2" s="4"/>
      <c r="J2" s="4"/>
      <c r="K2" s="4"/>
    </row>
    <row r="3" spans="1:11" ht="15.75" customHeight="1" x14ac:dyDescent="0.25">
      <c r="A3" s="5">
        <v>1</v>
      </c>
      <c r="B3" s="569" t="s">
        <v>3</v>
      </c>
      <c r="C3" s="570"/>
      <c r="D3" s="6" t="e">
        <f t="shared" ref="D3:D8" si="0">#REF!</f>
        <v>#REF!</v>
      </c>
      <c r="E3" s="4"/>
      <c r="F3" s="4"/>
      <c r="G3" s="4"/>
      <c r="H3" s="4"/>
      <c r="I3" s="4"/>
      <c r="J3" s="4"/>
      <c r="K3" s="4"/>
    </row>
    <row r="4" spans="1:11" ht="16.5" customHeight="1" x14ac:dyDescent="0.25">
      <c r="A4" s="5">
        <v>2</v>
      </c>
      <c r="B4" s="569" t="s">
        <v>4</v>
      </c>
      <c r="C4" s="570"/>
      <c r="D4" s="6" t="e">
        <f t="shared" si="0"/>
        <v>#REF!</v>
      </c>
      <c r="E4" s="4"/>
      <c r="F4" s="4"/>
      <c r="G4" s="4"/>
      <c r="H4" s="4"/>
      <c r="I4" s="4"/>
      <c r="J4" s="4"/>
      <c r="K4" s="4"/>
    </row>
    <row r="5" spans="1:11" ht="16.5" customHeight="1" x14ac:dyDescent="0.25">
      <c r="A5" s="5">
        <v>3</v>
      </c>
      <c r="B5" s="569" t="s">
        <v>5</v>
      </c>
      <c r="C5" s="570"/>
      <c r="D5" s="6" t="e">
        <f t="shared" si="0"/>
        <v>#REF!</v>
      </c>
      <c r="E5" s="4"/>
      <c r="F5" s="4"/>
      <c r="G5" s="4"/>
      <c r="H5" s="4"/>
      <c r="I5" s="4"/>
      <c r="J5" s="4"/>
      <c r="K5" s="4"/>
    </row>
    <row r="6" spans="1:11" ht="16.5" customHeight="1" x14ac:dyDescent="0.25">
      <c r="A6" s="5">
        <v>4</v>
      </c>
      <c r="B6" s="569" t="s">
        <v>42</v>
      </c>
      <c r="C6" s="570"/>
      <c r="D6" s="6" t="e">
        <f t="shared" si="0"/>
        <v>#REF!</v>
      </c>
      <c r="E6" s="4"/>
      <c r="F6" s="4"/>
      <c r="G6" s="4"/>
      <c r="H6" s="4"/>
      <c r="I6" s="4"/>
      <c r="J6" s="4"/>
      <c r="K6" s="4"/>
    </row>
    <row r="7" spans="1:11" ht="16.5" customHeight="1" x14ac:dyDescent="0.25">
      <c r="A7" s="5">
        <v>5</v>
      </c>
      <c r="B7" s="569" t="s">
        <v>7</v>
      </c>
      <c r="C7" s="570"/>
      <c r="D7" s="6" t="e">
        <f t="shared" si="0"/>
        <v>#REF!</v>
      </c>
      <c r="E7" s="4"/>
      <c r="F7" s="4"/>
      <c r="G7" s="4"/>
      <c r="H7" s="4"/>
      <c r="I7" s="4"/>
      <c r="J7" s="4"/>
      <c r="K7" s="4"/>
    </row>
    <row r="8" spans="1:11" ht="16.5" customHeight="1" x14ac:dyDescent="0.25">
      <c r="A8" s="5">
        <v>6</v>
      </c>
      <c r="B8" s="569" t="s">
        <v>8</v>
      </c>
      <c r="C8" s="570"/>
      <c r="D8" s="6" t="e">
        <f t="shared" si="0"/>
        <v>#REF!</v>
      </c>
      <c r="E8" s="4"/>
      <c r="F8" s="4"/>
      <c r="G8" s="4"/>
      <c r="H8" s="4"/>
      <c r="I8" s="4"/>
      <c r="J8" s="4"/>
      <c r="K8" s="4"/>
    </row>
    <row r="9" spans="1:11" ht="16.5" customHeight="1" x14ac:dyDescent="0.25">
      <c r="A9" s="7">
        <v>7</v>
      </c>
      <c r="B9" s="572" t="s">
        <v>9</v>
      </c>
      <c r="C9" s="570"/>
      <c r="D9" s="8" t="e">
        <f>#REF!/2</f>
        <v>#REF!</v>
      </c>
      <c r="E9" s="4"/>
      <c r="F9" s="4"/>
      <c r="G9" s="4"/>
      <c r="H9" s="4"/>
      <c r="I9" s="4"/>
      <c r="J9" s="4"/>
      <c r="K9" s="4"/>
    </row>
    <row r="10" spans="1:11" ht="16.5" customHeight="1" x14ac:dyDescent="0.25">
      <c r="A10" s="5">
        <v>8</v>
      </c>
      <c r="B10" s="569" t="s">
        <v>10</v>
      </c>
      <c r="C10" s="570"/>
      <c r="D10" s="6" t="e">
        <f t="shared" ref="D10:D17" si="1">#REF!</f>
        <v>#REF!</v>
      </c>
      <c r="E10" s="4"/>
      <c r="F10" s="4"/>
      <c r="G10" s="4"/>
      <c r="H10" s="4"/>
      <c r="I10" s="4"/>
      <c r="J10" s="4"/>
      <c r="K10" s="4"/>
    </row>
    <row r="11" spans="1:11" ht="16.5" customHeight="1" x14ac:dyDescent="0.25">
      <c r="A11" s="5">
        <v>9</v>
      </c>
      <c r="B11" s="569" t="s">
        <v>11</v>
      </c>
      <c r="C11" s="570"/>
      <c r="D11" s="6" t="e">
        <f t="shared" si="1"/>
        <v>#REF!</v>
      </c>
      <c r="E11" s="4"/>
      <c r="F11" s="4"/>
      <c r="G11" s="4"/>
      <c r="H11" s="4"/>
      <c r="I11" s="4"/>
      <c r="J11" s="4"/>
      <c r="K11" s="4"/>
    </row>
    <row r="12" spans="1:11" ht="16.5" customHeight="1" x14ac:dyDescent="0.25">
      <c r="A12" s="5">
        <v>10</v>
      </c>
      <c r="B12" s="569" t="s">
        <v>12</v>
      </c>
      <c r="C12" s="570"/>
      <c r="D12" s="6" t="e">
        <f t="shared" si="1"/>
        <v>#REF!</v>
      </c>
      <c r="E12" s="4"/>
      <c r="F12" s="4"/>
      <c r="G12" s="4"/>
      <c r="H12" s="4"/>
      <c r="I12" s="4"/>
      <c r="J12" s="4"/>
      <c r="K12" s="4"/>
    </row>
    <row r="13" spans="1:11" ht="16.5" customHeight="1" x14ac:dyDescent="0.25">
      <c r="A13" s="5">
        <v>11</v>
      </c>
      <c r="B13" s="569" t="s">
        <v>13</v>
      </c>
      <c r="C13" s="570"/>
      <c r="D13" s="6" t="e">
        <f t="shared" si="1"/>
        <v>#REF!</v>
      </c>
      <c r="E13" s="4"/>
      <c r="F13" s="4"/>
      <c r="G13" s="4"/>
      <c r="H13" s="4"/>
      <c r="I13" s="4"/>
      <c r="J13" s="4"/>
      <c r="K13" s="4"/>
    </row>
    <row r="14" spans="1:11" ht="16.5" customHeight="1" x14ac:dyDescent="0.25">
      <c r="A14" s="7">
        <v>12</v>
      </c>
      <c r="B14" s="572" t="s">
        <v>14</v>
      </c>
      <c r="C14" s="570"/>
      <c r="D14" s="8" t="e">
        <f t="shared" si="1"/>
        <v>#REF!</v>
      </c>
      <c r="E14" s="4"/>
      <c r="F14" s="4"/>
      <c r="G14" s="4"/>
      <c r="H14" s="4"/>
      <c r="I14" s="4"/>
      <c r="J14" s="4"/>
      <c r="K14" s="4"/>
    </row>
    <row r="15" spans="1:11" ht="16.5" customHeight="1" x14ac:dyDescent="0.25">
      <c r="A15" s="5">
        <v>13</v>
      </c>
      <c r="B15" s="569" t="s">
        <v>15</v>
      </c>
      <c r="C15" s="570"/>
      <c r="D15" s="6" t="e">
        <f t="shared" si="1"/>
        <v>#REF!</v>
      </c>
      <c r="E15" s="4"/>
      <c r="F15" s="4"/>
      <c r="G15" s="4"/>
      <c r="H15" s="4"/>
      <c r="I15" s="4"/>
      <c r="J15" s="4"/>
      <c r="K15" s="4"/>
    </row>
    <row r="16" spans="1:11" ht="16.5" customHeight="1" x14ac:dyDescent="0.25">
      <c r="A16" s="5">
        <v>14</v>
      </c>
      <c r="B16" s="569" t="s">
        <v>16</v>
      </c>
      <c r="C16" s="570"/>
      <c r="D16" s="6" t="e">
        <f t="shared" si="1"/>
        <v>#REF!</v>
      </c>
      <c r="E16" s="4"/>
      <c r="F16" s="4"/>
      <c r="G16" s="4"/>
      <c r="H16" s="4"/>
      <c r="I16" s="4"/>
      <c r="J16" s="4"/>
      <c r="K16" s="4"/>
    </row>
    <row r="17" spans="1:11" ht="16.5" customHeight="1" x14ac:dyDescent="0.25">
      <c r="A17" s="5">
        <v>15</v>
      </c>
      <c r="B17" s="569" t="s">
        <v>17</v>
      </c>
      <c r="C17" s="570"/>
      <c r="D17" s="6" t="e">
        <f t="shared" si="1"/>
        <v>#REF!</v>
      </c>
      <c r="E17" s="4"/>
      <c r="F17" s="4"/>
      <c r="G17" s="4"/>
      <c r="H17" s="4"/>
      <c r="I17" s="4"/>
      <c r="J17" s="4"/>
      <c r="K17" s="4"/>
    </row>
    <row r="18" spans="1:11" ht="16.5" customHeight="1" x14ac:dyDescent="0.25">
      <c r="A18" s="9">
        <v>16</v>
      </c>
      <c r="B18" s="571" t="s">
        <v>18</v>
      </c>
      <c r="C18" s="570"/>
      <c r="D18" s="10"/>
      <c r="E18" s="4"/>
      <c r="F18" s="4"/>
      <c r="G18" s="4"/>
      <c r="H18" s="4"/>
      <c r="I18" s="4"/>
      <c r="J18" s="4"/>
      <c r="K18" s="4"/>
    </row>
    <row r="19" spans="1:11" ht="16.5" customHeight="1" x14ac:dyDescent="0.25">
      <c r="A19" s="5">
        <v>17</v>
      </c>
      <c r="B19" s="569" t="s">
        <v>19</v>
      </c>
      <c r="C19" s="570"/>
      <c r="D19" s="6" t="e">
        <f t="shared" ref="D19:D20" si="2">#REF!</f>
        <v>#REF!</v>
      </c>
      <c r="E19" s="4"/>
      <c r="F19" s="4"/>
      <c r="G19" s="4"/>
      <c r="H19" s="4"/>
      <c r="I19" s="4"/>
      <c r="J19" s="4"/>
      <c r="K19" s="4"/>
    </row>
    <row r="20" spans="1:11" ht="16.5" customHeight="1" x14ac:dyDescent="0.25">
      <c r="A20" s="5">
        <v>18</v>
      </c>
      <c r="B20" s="569" t="s">
        <v>20</v>
      </c>
      <c r="C20" s="570"/>
      <c r="D20" s="6" t="e">
        <f t="shared" si="2"/>
        <v>#REF!</v>
      </c>
      <c r="E20" s="4"/>
      <c r="F20" s="4"/>
      <c r="G20" s="4"/>
      <c r="H20" s="4"/>
      <c r="I20" s="4"/>
      <c r="J20" s="4"/>
      <c r="K20" s="4"/>
    </row>
    <row r="21" spans="1:11" ht="16.5" customHeight="1" x14ac:dyDescent="0.25">
      <c r="A21" s="7">
        <v>19</v>
      </c>
      <c r="B21" s="572" t="s">
        <v>21</v>
      </c>
      <c r="C21" s="570"/>
      <c r="D21" s="8"/>
      <c r="E21" s="4"/>
      <c r="F21" s="4"/>
      <c r="G21" s="4"/>
      <c r="H21" s="4"/>
      <c r="I21" s="4"/>
      <c r="J21" s="4"/>
      <c r="K21" s="4"/>
    </row>
    <row r="22" spans="1:11" ht="16.5" customHeight="1" x14ac:dyDescent="0.25">
      <c r="A22" s="5">
        <v>20</v>
      </c>
      <c r="B22" s="569" t="s">
        <v>22</v>
      </c>
      <c r="C22" s="570"/>
      <c r="D22" s="6" t="e">
        <f t="shared" ref="D22:D24" si="3">#REF!</f>
        <v>#REF!</v>
      </c>
      <c r="E22" s="4"/>
      <c r="F22" s="4"/>
      <c r="G22" s="4"/>
      <c r="H22" s="4"/>
      <c r="I22" s="4"/>
      <c r="J22" s="4"/>
      <c r="K22" s="4"/>
    </row>
    <row r="23" spans="1:11" ht="16.5" customHeight="1" x14ac:dyDescent="0.25">
      <c r="A23" s="5">
        <v>21</v>
      </c>
      <c r="B23" s="569" t="s">
        <v>23</v>
      </c>
      <c r="C23" s="570"/>
      <c r="D23" s="6" t="e">
        <f t="shared" si="3"/>
        <v>#REF!</v>
      </c>
      <c r="E23" s="4"/>
      <c r="F23" s="4"/>
      <c r="G23" s="4"/>
      <c r="H23" s="4"/>
      <c r="I23" s="4"/>
      <c r="J23" s="4"/>
      <c r="K23" s="4"/>
    </row>
    <row r="24" spans="1:11" ht="15.75" customHeight="1" x14ac:dyDescent="0.25">
      <c r="A24" s="5">
        <v>22</v>
      </c>
      <c r="B24" s="569" t="s">
        <v>24</v>
      </c>
      <c r="C24" s="570"/>
      <c r="D24" s="6" t="e">
        <f t="shared" si="3"/>
        <v>#REF!</v>
      </c>
      <c r="E24" s="4"/>
      <c r="F24" s="4"/>
      <c r="G24" s="4"/>
      <c r="H24" s="4"/>
      <c r="I24" s="4"/>
      <c r="J24" s="4"/>
      <c r="K24" s="4"/>
    </row>
    <row r="25" spans="1:11" ht="16.5" customHeight="1" x14ac:dyDescent="0.25">
      <c r="A25" s="7">
        <v>23</v>
      </c>
      <c r="B25" s="572" t="s">
        <v>25</v>
      </c>
      <c r="C25" s="570"/>
      <c r="D25" s="8"/>
      <c r="E25" s="4"/>
      <c r="F25" s="4"/>
      <c r="G25" s="4"/>
      <c r="H25" s="4"/>
      <c r="I25" s="4"/>
      <c r="J25" s="4"/>
      <c r="K25" s="4"/>
    </row>
    <row r="26" spans="1:11" ht="16.5" customHeight="1" x14ac:dyDescent="0.25">
      <c r="A26" s="9">
        <v>24</v>
      </c>
      <c r="B26" s="571" t="s">
        <v>26</v>
      </c>
      <c r="C26" s="570"/>
      <c r="D26" s="10"/>
      <c r="E26" s="4"/>
      <c r="F26" s="4"/>
      <c r="G26" s="4"/>
      <c r="H26" s="4"/>
      <c r="I26" s="4"/>
      <c r="J26" s="4"/>
      <c r="K26" s="4"/>
    </row>
    <row r="27" spans="1:11" ht="16.5" customHeight="1" x14ac:dyDescent="0.25">
      <c r="A27" s="9">
        <v>25</v>
      </c>
      <c r="B27" s="571" t="s">
        <v>27</v>
      </c>
      <c r="C27" s="570"/>
      <c r="D27" s="10"/>
      <c r="E27" s="4"/>
      <c r="F27" s="4"/>
      <c r="G27" s="4"/>
      <c r="H27" s="4"/>
      <c r="I27" s="4"/>
      <c r="J27" s="4"/>
      <c r="K27" s="4"/>
    </row>
    <row r="28" spans="1:11" ht="15.75" customHeight="1" x14ac:dyDescent="0.25">
      <c r="A28" s="5">
        <v>26</v>
      </c>
      <c r="B28" s="569" t="s">
        <v>28</v>
      </c>
      <c r="C28" s="570"/>
      <c r="D28" s="6" t="e">
        <f t="shared" ref="D28:D34" si="4">#REF!</f>
        <v>#REF!</v>
      </c>
      <c r="E28" s="4"/>
      <c r="F28" s="4"/>
      <c r="G28" s="4"/>
      <c r="H28" s="4"/>
      <c r="I28" s="4"/>
      <c r="J28" s="4"/>
      <c r="K28" s="4"/>
    </row>
    <row r="29" spans="1:11" ht="54" customHeight="1" x14ac:dyDescent="0.25">
      <c r="A29" s="5">
        <v>27</v>
      </c>
      <c r="B29" s="569" t="s">
        <v>29</v>
      </c>
      <c r="C29" s="570"/>
      <c r="D29" s="6" t="e">
        <f t="shared" si="4"/>
        <v>#REF!</v>
      </c>
      <c r="E29" s="4"/>
      <c r="F29" s="4"/>
      <c r="G29" s="4"/>
      <c r="H29" s="4"/>
      <c r="I29" s="4"/>
      <c r="J29" s="4"/>
      <c r="K29" s="4"/>
    </row>
    <row r="30" spans="1:11" ht="15.75" customHeight="1" x14ac:dyDescent="0.25">
      <c r="A30" s="5">
        <v>28</v>
      </c>
      <c r="B30" s="569" t="s">
        <v>30</v>
      </c>
      <c r="C30" s="570"/>
      <c r="D30" s="6" t="e">
        <f t="shared" si="4"/>
        <v>#REF!</v>
      </c>
      <c r="E30" s="4"/>
      <c r="F30" s="4"/>
      <c r="G30" s="4"/>
      <c r="H30" s="4"/>
      <c r="I30" s="4"/>
      <c r="J30" s="4"/>
      <c r="K30" s="4"/>
    </row>
    <row r="31" spans="1:11" ht="15.75" customHeight="1" x14ac:dyDescent="0.25">
      <c r="A31" s="5">
        <v>29</v>
      </c>
      <c r="B31" s="569" t="s">
        <v>31</v>
      </c>
      <c r="C31" s="570"/>
      <c r="D31" s="6" t="e">
        <f t="shared" si="4"/>
        <v>#REF!</v>
      </c>
      <c r="E31" s="4"/>
      <c r="F31" s="4"/>
      <c r="G31" s="4"/>
      <c r="H31" s="4"/>
      <c r="I31" s="4"/>
      <c r="J31" s="4"/>
      <c r="K31" s="4"/>
    </row>
    <row r="32" spans="1:11" ht="15.75" customHeight="1" x14ac:dyDescent="0.25">
      <c r="A32" s="5">
        <v>30</v>
      </c>
      <c r="B32" s="569" t="s">
        <v>32</v>
      </c>
      <c r="C32" s="570"/>
      <c r="D32" s="6" t="e">
        <f t="shared" si="4"/>
        <v>#REF!</v>
      </c>
      <c r="E32" s="4"/>
      <c r="F32" s="4"/>
      <c r="G32" s="4"/>
      <c r="H32" s="4"/>
      <c r="I32" s="4"/>
      <c r="J32" s="4"/>
      <c r="K32" s="4"/>
    </row>
    <row r="33" spans="1:11" ht="15.75" customHeight="1" x14ac:dyDescent="0.25">
      <c r="A33" s="5">
        <v>31</v>
      </c>
      <c r="B33" s="569" t="s">
        <v>33</v>
      </c>
      <c r="C33" s="570"/>
      <c r="D33" s="6" t="e">
        <f t="shared" si="4"/>
        <v>#REF!</v>
      </c>
      <c r="E33" s="4"/>
      <c r="F33" s="4"/>
      <c r="G33" s="4"/>
      <c r="H33" s="4"/>
      <c r="I33" s="4"/>
      <c r="J33" s="4"/>
      <c r="K33" s="4"/>
    </row>
    <row r="34" spans="1:11" ht="15.75" customHeight="1" x14ac:dyDescent="0.25">
      <c r="A34" s="5">
        <v>32</v>
      </c>
      <c r="B34" s="569" t="s">
        <v>34</v>
      </c>
      <c r="C34" s="570"/>
      <c r="D34" s="6" t="e">
        <f t="shared" si="4"/>
        <v>#REF!</v>
      </c>
      <c r="E34" s="4"/>
      <c r="F34" s="4"/>
      <c r="G34" s="4"/>
      <c r="H34" s="4"/>
      <c r="I34" s="4"/>
      <c r="J34" s="4"/>
      <c r="K34" s="4"/>
    </row>
    <row r="35" spans="1:11" ht="15.75" customHeight="1" x14ac:dyDescent="0.25">
      <c r="A35" s="11">
        <v>33</v>
      </c>
      <c r="B35" s="569" t="s">
        <v>35</v>
      </c>
      <c r="C35" s="570"/>
      <c r="D35" s="12">
        <v>270000000</v>
      </c>
      <c r="E35" s="4"/>
      <c r="F35" s="4"/>
      <c r="G35" s="4"/>
      <c r="H35" s="4"/>
      <c r="I35" s="4"/>
      <c r="J35" s="4"/>
      <c r="K35" s="4"/>
    </row>
    <row r="36" spans="1:11" ht="15.75" customHeight="1" x14ac:dyDescent="0.25">
      <c r="A36" s="13"/>
      <c r="B36" s="14"/>
      <c r="C36" s="13"/>
      <c r="D36" s="13"/>
      <c r="E36" s="13"/>
      <c r="F36" s="13"/>
      <c r="G36" s="13"/>
      <c r="H36" s="13"/>
      <c r="I36" s="13"/>
      <c r="J36" s="13"/>
      <c r="K36" s="13"/>
    </row>
    <row r="37" spans="1:11" ht="15.75" customHeight="1" x14ac:dyDescent="0.25">
      <c r="A37" s="13"/>
      <c r="B37" s="15" t="s">
        <v>36</v>
      </c>
      <c r="C37" s="16"/>
      <c r="D37" s="17" t="e">
        <f>D32+D31+D30+D29+D28+D25+D24+D23+D22+D26+D27+D21+D20+D19+D18+D17+D16+D15+D14+D13+D12+D10+D9+D8+D7+D6+D5+D4+D3+D34+D33+D35</f>
        <v>#REF!</v>
      </c>
      <c r="E37" s="13"/>
      <c r="F37" s="13"/>
      <c r="G37" s="13"/>
      <c r="H37" s="13"/>
      <c r="I37" s="13"/>
      <c r="J37" s="13"/>
      <c r="K37" s="13"/>
    </row>
    <row r="38" spans="1:11" ht="15.75" customHeight="1" x14ac:dyDescent="0.25">
      <c r="A38" s="13"/>
      <c r="B38" s="15" t="s">
        <v>37</v>
      </c>
      <c r="C38" s="18">
        <v>0.2</v>
      </c>
      <c r="D38" s="19" t="e">
        <f>+C38*D37</f>
        <v>#REF!</v>
      </c>
      <c r="E38" s="13"/>
      <c r="F38" s="13"/>
      <c r="G38" s="13"/>
      <c r="H38" s="13"/>
      <c r="I38" s="13"/>
      <c r="J38" s="13"/>
      <c r="K38" s="13"/>
    </row>
    <row r="39" spans="1:11" ht="15.75" customHeight="1" x14ac:dyDescent="0.25">
      <c r="A39" s="13"/>
      <c r="B39" s="15" t="s">
        <v>38</v>
      </c>
      <c r="C39" s="18">
        <v>0.05</v>
      </c>
      <c r="D39" s="19" t="e">
        <f>+C39*D37</f>
        <v>#REF!</v>
      </c>
      <c r="E39" s="13"/>
      <c r="F39" s="13"/>
      <c r="G39" s="13"/>
      <c r="H39" s="13"/>
      <c r="I39" s="13"/>
      <c r="J39" s="13"/>
      <c r="K39" s="13"/>
    </row>
    <row r="40" spans="1:11" ht="15.75" customHeight="1" x14ac:dyDescent="0.25">
      <c r="A40" s="13"/>
      <c r="B40" s="15" t="s">
        <v>39</v>
      </c>
      <c r="C40" s="18">
        <v>0.05</v>
      </c>
      <c r="D40" s="19" t="e">
        <f>+C40*D37</f>
        <v>#REF!</v>
      </c>
      <c r="E40" s="13"/>
      <c r="F40" s="13"/>
      <c r="G40" s="13"/>
      <c r="H40" s="13"/>
      <c r="I40" s="13"/>
      <c r="J40" s="13"/>
      <c r="K40" s="13"/>
    </row>
    <row r="41" spans="1:11" ht="15.75" customHeight="1" x14ac:dyDescent="0.25">
      <c r="A41" s="13"/>
      <c r="B41" s="15" t="s">
        <v>40</v>
      </c>
      <c r="C41" s="16"/>
      <c r="D41" s="17" t="e">
        <f>+SUM(D38:D40)</f>
        <v>#REF!</v>
      </c>
      <c r="E41" s="13"/>
      <c r="F41" s="13"/>
      <c r="G41" s="13"/>
      <c r="H41" s="13"/>
      <c r="I41" s="13"/>
      <c r="J41" s="13"/>
      <c r="K41" s="13"/>
    </row>
    <row r="42" spans="1:11" ht="15.75" customHeight="1" x14ac:dyDescent="0.25">
      <c r="A42" s="13"/>
      <c r="B42" s="15" t="s">
        <v>41</v>
      </c>
      <c r="C42" s="20"/>
      <c r="D42" s="21" t="e">
        <f>+D41+D37</f>
        <v>#REF!</v>
      </c>
      <c r="E42" s="13"/>
      <c r="F42" s="13"/>
      <c r="G42" s="13"/>
      <c r="H42" s="13"/>
      <c r="I42" s="13"/>
      <c r="J42" s="13"/>
      <c r="K42" s="13"/>
    </row>
    <row r="43" spans="1:11" ht="15.75" customHeight="1" x14ac:dyDescent="0.25">
      <c r="A43" s="13"/>
      <c r="B43" s="14"/>
      <c r="C43" s="13"/>
      <c r="D43" s="13"/>
      <c r="E43" s="13"/>
      <c r="F43" s="13"/>
      <c r="G43" s="13"/>
      <c r="H43" s="13"/>
      <c r="I43" s="13"/>
      <c r="J43" s="13"/>
      <c r="K43" s="13"/>
    </row>
    <row r="44" spans="1:11" ht="15.75" customHeight="1" x14ac:dyDescent="0.25">
      <c r="A44" s="13"/>
      <c r="B44" s="14"/>
      <c r="C44" s="13"/>
      <c r="D44" s="13"/>
      <c r="E44" s="13"/>
      <c r="F44" s="13"/>
      <c r="G44" s="13"/>
      <c r="H44" s="13"/>
      <c r="I44" s="13"/>
      <c r="J44" s="13"/>
      <c r="K44" s="13"/>
    </row>
    <row r="45" spans="1:11" ht="15.75" customHeight="1" x14ac:dyDescent="0.25">
      <c r="A45" s="13"/>
      <c r="B45" s="14"/>
      <c r="C45" s="13"/>
      <c r="D45" s="13"/>
      <c r="E45" s="13"/>
      <c r="F45" s="13"/>
      <c r="G45" s="13"/>
      <c r="H45" s="13"/>
      <c r="I45" s="13"/>
      <c r="J45" s="13"/>
      <c r="K45" s="13"/>
    </row>
    <row r="46" spans="1:11" ht="15.75" customHeight="1" x14ac:dyDescent="0.25">
      <c r="A46" s="13"/>
      <c r="B46" s="14"/>
      <c r="C46" s="13"/>
      <c r="D46" s="13"/>
      <c r="E46" s="13"/>
      <c r="F46" s="13"/>
      <c r="G46" s="13"/>
      <c r="H46" s="13"/>
      <c r="I46" s="13"/>
      <c r="J46" s="13"/>
      <c r="K46" s="13"/>
    </row>
    <row r="47" spans="1:11" ht="15.75" customHeight="1" x14ac:dyDescent="0.25">
      <c r="A47" s="13"/>
      <c r="B47" s="14"/>
      <c r="C47" s="13"/>
      <c r="D47" s="13"/>
      <c r="E47" s="13"/>
      <c r="F47" s="13"/>
      <c r="G47" s="13"/>
      <c r="H47" s="13"/>
      <c r="I47" s="13"/>
      <c r="J47" s="13"/>
      <c r="K47" s="13"/>
    </row>
    <row r="48" spans="1:11" ht="15.75" customHeight="1" x14ac:dyDescent="0.25">
      <c r="A48" s="13"/>
      <c r="B48" s="14"/>
      <c r="C48" s="13"/>
      <c r="D48" s="13"/>
      <c r="E48" s="13"/>
      <c r="F48" s="13"/>
      <c r="G48" s="13"/>
      <c r="H48" s="13"/>
      <c r="I48" s="13"/>
      <c r="J48" s="13"/>
      <c r="K48" s="13"/>
    </row>
    <row r="49" spans="1:11" ht="15.75" customHeight="1" x14ac:dyDescent="0.25">
      <c r="A49" s="13"/>
      <c r="B49" s="14"/>
      <c r="C49" s="13"/>
      <c r="D49" s="13"/>
      <c r="E49" s="13"/>
      <c r="F49" s="13"/>
      <c r="G49" s="13"/>
      <c r="H49" s="13"/>
      <c r="I49" s="13"/>
      <c r="J49" s="13"/>
      <c r="K49" s="13"/>
    </row>
    <row r="50" spans="1:11" ht="15.75" customHeight="1" x14ac:dyDescent="0.25">
      <c r="A50" s="13"/>
      <c r="B50" s="14"/>
      <c r="C50" s="13"/>
      <c r="D50" s="13"/>
      <c r="E50" s="13"/>
      <c r="F50" s="13"/>
      <c r="G50" s="13"/>
      <c r="H50" s="13"/>
      <c r="I50" s="13"/>
      <c r="J50" s="13"/>
      <c r="K50" s="13"/>
    </row>
    <row r="51" spans="1:11" ht="15.75" customHeight="1" x14ac:dyDescent="0.25">
      <c r="A51" s="13"/>
      <c r="B51" s="14"/>
      <c r="C51" s="13"/>
      <c r="D51" s="13"/>
      <c r="E51" s="13"/>
      <c r="F51" s="13"/>
      <c r="G51" s="13"/>
      <c r="H51" s="13"/>
      <c r="I51" s="13"/>
      <c r="J51" s="13"/>
      <c r="K51" s="13"/>
    </row>
    <row r="52" spans="1:11" ht="15.75" customHeight="1" x14ac:dyDescent="0.25">
      <c r="A52" s="13"/>
      <c r="B52" s="14"/>
      <c r="C52" s="13"/>
      <c r="D52" s="13"/>
      <c r="E52" s="13"/>
      <c r="F52" s="13"/>
      <c r="G52" s="13"/>
      <c r="H52" s="13"/>
      <c r="I52" s="13"/>
      <c r="J52" s="13"/>
      <c r="K52" s="13"/>
    </row>
    <row r="53" spans="1:11" ht="15.75" customHeight="1" x14ac:dyDescent="0.25">
      <c r="A53" s="13"/>
      <c r="B53" s="14"/>
      <c r="C53" s="13"/>
      <c r="D53" s="13"/>
      <c r="E53" s="13"/>
      <c r="F53" s="13"/>
      <c r="G53" s="13"/>
      <c r="H53" s="13"/>
      <c r="I53" s="13"/>
      <c r="J53" s="13"/>
      <c r="K53" s="13"/>
    </row>
    <row r="54" spans="1:11" ht="15.75" customHeight="1" x14ac:dyDescent="0.25">
      <c r="A54" s="13"/>
      <c r="B54" s="14"/>
      <c r="C54" s="13"/>
      <c r="D54" s="13"/>
      <c r="E54" s="13"/>
      <c r="F54" s="13"/>
      <c r="G54" s="13"/>
      <c r="H54" s="13"/>
      <c r="I54" s="13"/>
      <c r="J54" s="13"/>
      <c r="K54" s="13"/>
    </row>
    <row r="55" spans="1:11" ht="15.75" customHeight="1" x14ac:dyDescent="0.25">
      <c r="A55" s="13"/>
      <c r="B55" s="14"/>
      <c r="C55" s="13"/>
      <c r="D55" s="13"/>
      <c r="E55" s="13"/>
      <c r="F55" s="13"/>
      <c r="G55" s="13"/>
      <c r="H55" s="13"/>
      <c r="I55" s="13"/>
      <c r="J55" s="13"/>
      <c r="K55" s="13"/>
    </row>
    <row r="56" spans="1:11" ht="15.75" customHeight="1" x14ac:dyDescent="0.25">
      <c r="A56" s="13"/>
      <c r="B56" s="14"/>
      <c r="C56" s="13"/>
      <c r="D56" s="13"/>
      <c r="E56" s="13"/>
      <c r="F56" s="13"/>
      <c r="G56" s="13"/>
      <c r="H56" s="13"/>
      <c r="I56" s="13"/>
      <c r="J56" s="13"/>
      <c r="K56" s="13"/>
    </row>
    <row r="57" spans="1:11" ht="15.75" customHeight="1" x14ac:dyDescent="0.25">
      <c r="A57" s="13"/>
      <c r="B57" s="14"/>
      <c r="C57" s="13"/>
      <c r="D57" s="13"/>
      <c r="E57" s="13"/>
      <c r="F57" s="13"/>
      <c r="G57" s="13"/>
      <c r="H57" s="13"/>
      <c r="I57" s="13"/>
      <c r="J57" s="13"/>
      <c r="K57" s="13"/>
    </row>
    <row r="58" spans="1:11" ht="15.75" customHeight="1" x14ac:dyDescent="0.25">
      <c r="A58" s="13"/>
      <c r="B58" s="14"/>
      <c r="C58" s="13"/>
      <c r="D58" s="13"/>
      <c r="E58" s="13"/>
      <c r="F58" s="13"/>
      <c r="G58" s="13"/>
      <c r="H58" s="13"/>
      <c r="I58" s="13"/>
      <c r="J58" s="13"/>
      <c r="K58" s="13"/>
    </row>
    <row r="59" spans="1:11" ht="15.75" customHeight="1" x14ac:dyDescent="0.25">
      <c r="A59" s="13"/>
      <c r="B59" s="14"/>
      <c r="C59" s="13"/>
      <c r="D59" s="13"/>
      <c r="E59" s="13"/>
      <c r="F59" s="13"/>
      <c r="G59" s="13"/>
      <c r="H59" s="13"/>
      <c r="I59" s="13"/>
      <c r="J59" s="13"/>
      <c r="K59" s="13"/>
    </row>
    <row r="60" spans="1:11" ht="15.75" customHeight="1" x14ac:dyDescent="0.25">
      <c r="A60" s="13"/>
      <c r="B60" s="14"/>
      <c r="C60" s="13"/>
      <c r="D60" s="13"/>
      <c r="E60" s="13"/>
      <c r="F60" s="13"/>
      <c r="G60" s="13"/>
      <c r="H60" s="13"/>
      <c r="I60" s="13"/>
      <c r="J60" s="13"/>
      <c r="K60" s="13"/>
    </row>
    <row r="61" spans="1:11" ht="15.75" customHeight="1" x14ac:dyDescent="0.25">
      <c r="A61" s="13"/>
      <c r="B61" s="14"/>
      <c r="C61" s="13"/>
      <c r="D61" s="13"/>
      <c r="E61" s="13"/>
      <c r="F61" s="13"/>
      <c r="G61" s="13"/>
      <c r="H61" s="13"/>
      <c r="I61" s="13"/>
      <c r="J61" s="13"/>
      <c r="K61" s="13"/>
    </row>
    <row r="62" spans="1:11" ht="15.75" customHeight="1" x14ac:dyDescent="0.25">
      <c r="A62" s="13"/>
      <c r="B62" s="14"/>
      <c r="C62" s="13"/>
      <c r="D62" s="13"/>
      <c r="E62" s="13"/>
      <c r="F62" s="13"/>
      <c r="G62" s="13"/>
      <c r="H62" s="13"/>
      <c r="I62" s="13"/>
      <c r="J62" s="13"/>
      <c r="K62" s="13"/>
    </row>
    <row r="63" spans="1:11" ht="15.75" customHeight="1" x14ac:dyDescent="0.25">
      <c r="A63" s="13"/>
      <c r="B63" s="14"/>
      <c r="C63" s="13"/>
      <c r="D63" s="13"/>
      <c r="E63" s="13"/>
      <c r="F63" s="13"/>
      <c r="G63" s="13"/>
      <c r="H63" s="13"/>
      <c r="I63" s="13"/>
      <c r="J63" s="13"/>
      <c r="K63" s="13"/>
    </row>
    <row r="64" spans="1:11" ht="15.75" customHeight="1" x14ac:dyDescent="0.25">
      <c r="A64" s="13"/>
      <c r="B64" s="14"/>
      <c r="C64" s="13"/>
      <c r="D64" s="13"/>
      <c r="E64" s="13"/>
      <c r="F64" s="13"/>
      <c r="G64" s="13"/>
      <c r="H64" s="13"/>
      <c r="I64" s="13"/>
      <c r="J64" s="13"/>
      <c r="K64" s="13"/>
    </row>
    <row r="65" spans="1:11" ht="15.75" customHeight="1" x14ac:dyDescent="0.25">
      <c r="A65" s="13"/>
      <c r="B65" s="14"/>
      <c r="C65" s="13"/>
      <c r="D65" s="13"/>
      <c r="E65" s="13"/>
      <c r="F65" s="13"/>
      <c r="G65" s="13"/>
      <c r="H65" s="13"/>
      <c r="I65" s="13"/>
      <c r="J65" s="13"/>
      <c r="K65" s="13"/>
    </row>
    <row r="66" spans="1:11" ht="15.75" customHeight="1" x14ac:dyDescent="0.25">
      <c r="A66" s="13"/>
      <c r="B66" s="14"/>
      <c r="C66" s="13"/>
      <c r="D66" s="13"/>
      <c r="E66" s="13"/>
      <c r="F66" s="13"/>
      <c r="G66" s="13"/>
      <c r="H66" s="13"/>
      <c r="I66" s="13"/>
      <c r="J66" s="13"/>
      <c r="K66" s="13"/>
    </row>
    <row r="67" spans="1:11" ht="15.75" customHeight="1" x14ac:dyDescent="0.25">
      <c r="A67" s="13"/>
      <c r="B67" s="14"/>
      <c r="C67" s="13"/>
      <c r="D67" s="13"/>
      <c r="E67" s="13"/>
      <c r="F67" s="13"/>
      <c r="G67" s="13"/>
      <c r="H67" s="13"/>
      <c r="I67" s="13"/>
      <c r="J67" s="13"/>
      <c r="K67" s="13"/>
    </row>
    <row r="68" spans="1:11" ht="15.75" customHeight="1" x14ac:dyDescent="0.25">
      <c r="A68" s="13"/>
      <c r="B68" s="14"/>
      <c r="C68" s="13"/>
      <c r="D68" s="13"/>
      <c r="E68" s="13"/>
      <c r="F68" s="13"/>
      <c r="G68" s="13"/>
      <c r="H68" s="13"/>
      <c r="I68" s="13"/>
      <c r="J68" s="13"/>
      <c r="K68" s="13"/>
    </row>
    <row r="69" spans="1:11" ht="15.75" customHeight="1" x14ac:dyDescent="0.25">
      <c r="A69" s="13"/>
      <c r="B69" s="14"/>
      <c r="C69" s="13"/>
      <c r="D69" s="13"/>
      <c r="E69" s="13"/>
      <c r="F69" s="13"/>
      <c r="G69" s="13"/>
      <c r="H69" s="13"/>
      <c r="I69" s="13"/>
      <c r="J69" s="13"/>
      <c r="K69" s="13"/>
    </row>
    <row r="70" spans="1:11" ht="15.75" customHeight="1" x14ac:dyDescent="0.25">
      <c r="A70" s="13"/>
      <c r="B70" s="14"/>
      <c r="C70" s="13"/>
      <c r="D70" s="13"/>
      <c r="E70" s="13"/>
      <c r="F70" s="13"/>
      <c r="G70" s="13"/>
      <c r="H70" s="13"/>
      <c r="I70" s="13"/>
      <c r="J70" s="13"/>
      <c r="K70" s="13"/>
    </row>
    <row r="71" spans="1:11" ht="15.75" customHeight="1" x14ac:dyDescent="0.25">
      <c r="A71" s="13"/>
      <c r="B71" s="14"/>
      <c r="C71" s="13"/>
      <c r="D71" s="13"/>
      <c r="E71" s="13"/>
      <c r="F71" s="13"/>
      <c r="G71" s="13"/>
      <c r="H71" s="13"/>
      <c r="I71" s="13"/>
      <c r="J71" s="13"/>
      <c r="K71" s="13"/>
    </row>
    <row r="72" spans="1:11" ht="15.75" customHeight="1" x14ac:dyDescent="0.25">
      <c r="A72" s="13"/>
      <c r="B72" s="14"/>
      <c r="C72" s="13"/>
      <c r="D72" s="13"/>
      <c r="E72" s="13"/>
      <c r="F72" s="13"/>
      <c r="G72" s="13"/>
      <c r="H72" s="13"/>
      <c r="I72" s="13"/>
      <c r="J72" s="13"/>
      <c r="K72" s="13"/>
    </row>
    <row r="73" spans="1:11" ht="15.75" customHeight="1" x14ac:dyDescent="0.25">
      <c r="A73" s="13"/>
      <c r="B73" s="14"/>
      <c r="C73" s="13"/>
      <c r="D73" s="13"/>
      <c r="E73" s="13"/>
      <c r="F73" s="13"/>
      <c r="G73" s="13"/>
      <c r="H73" s="13"/>
      <c r="I73" s="13"/>
      <c r="J73" s="13"/>
      <c r="K73" s="13"/>
    </row>
    <row r="74" spans="1:11" ht="15.75" customHeight="1" x14ac:dyDescent="0.25">
      <c r="A74" s="13"/>
      <c r="B74" s="14"/>
      <c r="C74" s="13"/>
      <c r="D74" s="13"/>
      <c r="E74" s="13"/>
      <c r="F74" s="13"/>
      <c r="G74" s="13"/>
      <c r="H74" s="13"/>
      <c r="I74" s="13"/>
      <c r="J74" s="13"/>
      <c r="K74" s="13"/>
    </row>
    <row r="75" spans="1:11" ht="15.75" customHeight="1" x14ac:dyDescent="0.25">
      <c r="A75" s="13"/>
      <c r="B75" s="14"/>
      <c r="C75" s="13"/>
      <c r="D75" s="13"/>
      <c r="E75" s="13"/>
      <c r="F75" s="13"/>
      <c r="G75" s="13"/>
      <c r="H75" s="13"/>
      <c r="I75" s="13"/>
      <c r="J75" s="13"/>
      <c r="K75" s="13"/>
    </row>
    <row r="76" spans="1:11" ht="15.75" customHeight="1" x14ac:dyDescent="0.25">
      <c r="A76" s="13"/>
      <c r="B76" s="14"/>
      <c r="C76" s="13"/>
      <c r="D76" s="13"/>
      <c r="E76" s="13"/>
      <c r="F76" s="13"/>
      <c r="G76" s="13"/>
      <c r="H76" s="13"/>
      <c r="I76" s="13"/>
      <c r="J76" s="13"/>
      <c r="K76" s="13"/>
    </row>
    <row r="77" spans="1:11" ht="15.75" customHeight="1" x14ac:dyDescent="0.25">
      <c r="A77" s="13"/>
      <c r="B77" s="14"/>
      <c r="C77" s="13"/>
      <c r="D77" s="13"/>
      <c r="E77" s="13"/>
      <c r="F77" s="13"/>
      <c r="G77" s="13"/>
      <c r="H77" s="13"/>
      <c r="I77" s="13"/>
      <c r="J77" s="13"/>
      <c r="K77" s="13"/>
    </row>
    <row r="78" spans="1:11" ht="15.75" customHeight="1" x14ac:dyDescent="0.25">
      <c r="A78" s="13"/>
      <c r="B78" s="14"/>
      <c r="C78" s="13"/>
      <c r="D78" s="13"/>
      <c r="E78" s="13"/>
      <c r="F78" s="13"/>
      <c r="G78" s="13"/>
      <c r="H78" s="13"/>
      <c r="I78" s="13"/>
      <c r="J78" s="13"/>
      <c r="K78" s="13"/>
    </row>
    <row r="79" spans="1:11" ht="15.75" customHeight="1" x14ac:dyDescent="0.25">
      <c r="A79" s="13"/>
      <c r="B79" s="14"/>
      <c r="C79" s="13"/>
      <c r="D79" s="13"/>
      <c r="E79" s="13"/>
      <c r="F79" s="13"/>
      <c r="G79" s="13"/>
      <c r="H79" s="13"/>
      <c r="I79" s="13"/>
      <c r="J79" s="13"/>
      <c r="K79" s="13"/>
    </row>
    <row r="80" spans="1:11" ht="15.75" customHeight="1" x14ac:dyDescent="0.25">
      <c r="A80" s="13"/>
      <c r="B80" s="14"/>
      <c r="C80" s="13"/>
      <c r="D80" s="13"/>
      <c r="E80" s="13"/>
      <c r="F80" s="13"/>
      <c r="G80" s="13"/>
      <c r="H80" s="13"/>
      <c r="I80" s="13"/>
      <c r="J80" s="13"/>
      <c r="K80" s="13"/>
    </row>
    <row r="81" spans="1:11" ht="15.75" customHeight="1" x14ac:dyDescent="0.25">
      <c r="A81" s="13"/>
      <c r="B81" s="14"/>
      <c r="C81" s="13"/>
      <c r="D81" s="13"/>
      <c r="E81" s="13"/>
      <c r="F81" s="13"/>
      <c r="G81" s="13"/>
      <c r="H81" s="13"/>
      <c r="I81" s="13"/>
      <c r="J81" s="13"/>
      <c r="K81" s="13"/>
    </row>
    <row r="82" spans="1:11" ht="15.75" customHeight="1" x14ac:dyDescent="0.25">
      <c r="A82" s="13"/>
      <c r="B82" s="14"/>
      <c r="C82" s="13"/>
      <c r="D82" s="13"/>
      <c r="E82" s="13"/>
      <c r="F82" s="13"/>
      <c r="G82" s="13"/>
      <c r="H82" s="13"/>
      <c r="I82" s="13"/>
      <c r="J82" s="13"/>
      <c r="K82" s="13"/>
    </row>
    <row r="83" spans="1:11" ht="15.75" customHeight="1" x14ac:dyDescent="0.25">
      <c r="A83" s="13"/>
      <c r="B83" s="14"/>
      <c r="C83" s="13"/>
      <c r="D83" s="13"/>
      <c r="E83" s="13"/>
      <c r="F83" s="13"/>
      <c r="G83" s="13"/>
      <c r="H83" s="13"/>
      <c r="I83" s="13"/>
      <c r="J83" s="13"/>
      <c r="K83" s="13"/>
    </row>
    <row r="84" spans="1:11" ht="15.75" customHeight="1" x14ac:dyDescent="0.25">
      <c r="A84" s="13"/>
      <c r="B84" s="14"/>
      <c r="C84" s="13"/>
      <c r="D84" s="13"/>
      <c r="E84" s="13"/>
      <c r="F84" s="13"/>
      <c r="G84" s="13"/>
      <c r="H84" s="13"/>
      <c r="I84" s="13"/>
      <c r="J84" s="13"/>
      <c r="K84" s="13"/>
    </row>
    <row r="85" spans="1:11" ht="15.75" customHeight="1" x14ac:dyDescent="0.25">
      <c r="A85" s="13"/>
      <c r="B85" s="14"/>
      <c r="C85" s="13"/>
      <c r="D85" s="13"/>
      <c r="E85" s="13"/>
      <c r="F85" s="13"/>
      <c r="G85" s="13"/>
      <c r="H85" s="13"/>
      <c r="I85" s="13"/>
      <c r="J85" s="13"/>
      <c r="K85" s="13"/>
    </row>
    <row r="86" spans="1:11" ht="15.75" customHeight="1" x14ac:dyDescent="0.25">
      <c r="A86" s="13"/>
      <c r="B86" s="14"/>
      <c r="C86" s="13"/>
      <c r="D86" s="13"/>
      <c r="E86" s="13"/>
      <c r="F86" s="13"/>
      <c r="G86" s="13"/>
      <c r="H86" s="13"/>
      <c r="I86" s="13"/>
      <c r="J86" s="13"/>
      <c r="K86" s="13"/>
    </row>
    <row r="87" spans="1:11" ht="15.75" customHeight="1" x14ac:dyDescent="0.25">
      <c r="A87" s="13"/>
      <c r="B87" s="14"/>
      <c r="C87" s="13"/>
      <c r="D87" s="13"/>
      <c r="E87" s="13"/>
      <c r="F87" s="13"/>
      <c r="G87" s="13"/>
      <c r="H87" s="13"/>
      <c r="I87" s="13"/>
      <c r="J87" s="13"/>
      <c r="K87" s="13"/>
    </row>
    <row r="88" spans="1:11" ht="15.75" customHeight="1" x14ac:dyDescent="0.25">
      <c r="A88" s="13"/>
      <c r="B88" s="14"/>
      <c r="C88" s="13"/>
      <c r="D88" s="13"/>
      <c r="E88" s="13"/>
      <c r="F88" s="13"/>
      <c r="G88" s="13"/>
      <c r="H88" s="13"/>
      <c r="I88" s="13"/>
      <c r="J88" s="13"/>
      <c r="K88" s="13"/>
    </row>
    <row r="89" spans="1:11" ht="15.75" customHeight="1" x14ac:dyDescent="0.25">
      <c r="A89" s="13"/>
      <c r="B89" s="14"/>
      <c r="C89" s="13"/>
      <c r="D89" s="13"/>
      <c r="E89" s="13"/>
      <c r="F89" s="13"/>
      <c r="G89" s="13"/>
      <c r="H89" s="13"/>
      <c r="I89" s="13"/>
      <c r="J89" s="13"/>
      <c r="K89" s="13"/>
    </row>
    <row r="90" spans="1:11" ht="15.75" customHeight="1" x14ac:dyDescent="0.25">
      <c r="A90" s="13"/>
      <c r="B90" s="14"/>
      <c r="C90" s="13"/>
      <c r="D90" s="13"/>
      <c r="E90" s="13"/>
      <c r="F90" s="13"/>
      <c r="G90" s="13"/>
      <c r="H90" s="13"/>
      <c r="I90" s="13"/>
      <c r="J90" s="13"/>
      <c r="K90" s="13"/>
    </row>
    <row r="91" spans="1:11" ht="15.75" customHeight="1" x14ac:dyDescent="0.25">
      <c r="A91" s="13"/>
      <c r="B91" s="14"/>
      <c r="C91" s="13"/>
      <c r="D91" s="13"/>
      <c r="E91" s="13"/>
      <c r="F91" s="13"/>
      <c r="G91" s="13"/>
      <c r="H91" s="13"/>
      <c r="I91" s="13"/>
      <c r="J91" s="13"/>
      <c r="K91" s="13"/>
    </row>
    <row r="92" spans="1:11" ht="15.75" customHeight="1" x14ac:dyDescent="0.25">
      <c r="A92" s="13"/>
      <c r="B92" s="14"/>
      <c r="C92" s="13"/>
      <c r="D92" s="13"/>
      <c r="E92" s="13"/>
      <c r="F92" s="13"/>
      <c r="G92" s="13"/>
      <c r="H92" s="13"/>
      <c r="I92" s="13"/>
      <c r="J92" s="13"/>
      <c r="K92" s="13"/>
    </row>
    <row r="93" spans="1:11" ht="15.75" customHeight="1" x14ac:dyDescent="0.25">
      <c r="A93" s="13"/>
      <c r="B93" s="14"/>
      <c r="C93" s="13"/>
      <c r="D93" s="13"/>
      <c r="E93" s="13"/>
      <c r="F93" s="13"/>
      <c r="G93" s="13"/>
      <c r="H93" s="13"/>
      <c r="I93" s="13"/>
      <c r="J93" s="13"/>
      <c r="K93" s="13"/>
    </row>
    <row r="94" spans="1:11" ht="15.75" customHeight="1" x14ac:dyDescent="0.25">
      <c r="A94" s="13"/>
      <c r="B94" s="14"/>
      <c r="C94" s="13"/>
      <c r="D94" s="13"/>
      <c r="E94" s="13"/>
      <c r="F94" s="13"/>
      <c r="G94" s="13"/>
      <c r="H94" s="13"/>
      <c r="I94" s="13"/>
      <c r="J94" s="13"/>
      <c r="K94" s="13"/>
    </row>
    <row r="95" spans="1:11" ht="15.75" customHeight="1" x14ac:dyDescent="0.25">
      <c r="A95" s="13"/>
      <c r="B95" s="14"/>
      <c r="C95" s="13"/>
      <c r="D95" s="13"/>
      <c r="E95" s="13"/>
      <c r="F95" s="13"/>
      <c r="G95" s="13"/>
      <c r="H95" s="13"/>
      <c r="I95" s="13"/>
      <c r="J95" s="13"/>
      <c r="K95" s="13"/>
    </row>
    <row r="96" spans="1:11" ht="15.75" customHeight="1" x14ac:dyDescent="0.25">
      <c r="A96" s="13"/>
      <c r="B96" s="14"/>
      <c r="C96" s="13"/>
      <c r="D96" s="13"/>
      <c r="E96" s="13"/>
      <c r="F96" s="13"/>
      <c r="G96" s="13"/>
      <c r="H96" s="13"/>
      <c r="I96" s="13"/>
      <c r="J96" s="13"/>
      <c r="K96" s="13"/>
    </row>
    <row r="97" spans="1:11" ht="15.75" customHeight="1" x14ac:dyDescent="0.25">
      <c r="A97" s="13"/>
      <c r="B97" s="14"/>
      <c r="C97" s="13"/>
      <c r="D97" s="13"/>
      <c r="E97" s="13"/>
      <c r="F97" s="13"/>
      <c r="G97" s="13"/>
      <c r="H97" s="13"/>
      <c r="I97" s="13"/>
      <c r="J97" s="13"/>
      <c r="K97" s="13"/>
    </row>
    <row r="98" spans="1:11" ht="15.75" customHeight="1" x14ac:dyDescent="0.25">
      <c r="A98" s="13"/>
      <c r="B98" s="14"/>
      <c r="C98" s="13"/>
      <c r="D98" s="13"/>
      <c r="E98" s="13"/>
      <c r="F98" s="13"/>
      <c r="G98" s="13"/>
      <c r="H98" s="13"/>
      <c r="I98" s="13"/>
      <c r="J98" s="13"/>
      <c r="K98" s="13"/>
    </row>
    <row r="99" spans="1:11" ht="15.75" customHeight="1" x14ac:dyDescent="0.25">
      <c r="A99" s="13"/>
      <c r="B99" s="14"/>
      <c r="C99" s="13"/>
      <c r="D99" s="13"/>
      <c r="E99" s="13"/>
      <c r="F99" s="13"/>
      <c r="G99" s="13"/>
      <c r="H99" s="13"/>
      <c r="I99" s="13"/>
      <c r="J99" s="13"/>
      <c r="K99" s="13"/>
    </row>
    <row r="100" spans="1:11" ht="15.75" customHeight="1" x14ac:dyDescent="0.25">
      <c r="A100" s="13"/>
      <c r="B100" s="14"/>
      <c r="C100" s="13"/>
      <c r="D100" s="13"/>
      <c r="E100" s="13"/>
      <c r="F100" s="13"/>
      <c r="G100" s="13"/>
      <c r="H100" s="13"/>
      <c r="I100" s="13"/>
      <c r="J100" s="13"/>
      <c r="K100" s="13"/>
    </row>
  </sheetData>
  <mergeCells count="34">
    <mergeCell ref="B7:C7"/>
    <mergeCell ref="B12:C12"/>
    <mergeCell ref="B8:C8"/>
    <mergeCell ref="B9:C9"/>
    <mergeCell ref="B14:C14"/>
    <mergeCell ref="B2:C2"/>
    <mergeCell ref="B3:C3"/>
    <mergeCell ref="B4:C4"/>
    <mergeCell ref="B5:C5"/>
    <mergeCell ref="B6:C6"/>
    <mergeCell ref="B34:C34"/>
    <mergeCell ref="B10:C10"/>
    <mergeCell ref="B11:C11"/>
    <mergeCell ref="B13:C13"/>
    <mergeCell ref="B15:C15"/>
    <mergeCell ref="B16:C16"/>
    <mergeCell ref="B17:C17"/>
    <mergeCell ref="B18:C18"/>
    <mergeCell ref="B35:C35"/>
    <mergeCell ref="B27:C27"/>
    <mergeCell ref="B28:C28"/>
    <mergeCell ref="B31:C31"/>
    <mergeCell ref="B19:C19"/>
    <mergeCell ref="B20:C20"/>
    <mergeCell ref="B21:C21"/>
    <mergeCell ref="B22:C22"/>
    <mergeCell ref="B23:C23"/>
    <mergeCell ref="B24:C24"/>
    <mergeCell ref="B26:C26"/>
    <mergeCell ref="B25:C25"/>
    <mergeCell ref="B29:C29"/>
    <mergeCell ref="B30:C30"/>
    <mergeCell ref="B32:C32"/>
    <mergeCell ref="B33:C33"/>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0"/>
  <sheetViews>
    <sheetView workbookViewId="0"/>
  </sheetViews>
  <sheetFormatPr baseColWidth="10" defaultColWidth="12.625" defaultRowHeight="15" customHeight="1" x14ac:dyDescent="0.25"/>
  <cols>
    <col min="1" max="1" width="6" customWidth="1"/>
    <col min="2" max="2" width="77" customWidth="1"/>
    <col min="3" max="3" width="14.5" customWidth="1"/>
    <col min="4" max="4" width="18.125" customWidth="1"/>
    <col min="5" max="11" width="10.625" customWidth="1"/>
  </cols>
  <sheetData>
    <row r="1" spans="1:11" ht="15.75" customHeight="1" x14ac:dyDescent="0.25">
      <c r="A1" s="1"/>
      <c r="B1" s="2"/>
      <c r="C1" s="1"/>
      <c r="D1" s="1"/>
      <c r="E1" s="1"/>
      <c r="F1" s="1"/>
      <c r="G1" s="1"/>
      <c r="H1" s="1"/>
      <c r="I1" s="1"/>
      <c r="J1" s="1"/>
      <c r="K1" s="1"/>
    </row>
    <row r="2" spans="1:11" ht="15.75" customHeight="1" x14ac:dyDescent="0.25">
      <c r="A2" s="3" t="s">
        <v>0</v>
      </c>
      <c r="B2" s="573" t="s">
        <v>1</v>
      </c>
      <c r="C2" s="570"/>
      <c r="D2" s="3" t="s">
        <v>2</v>
      </c>
      <c r="E2" s="4"/>
      <c r="F2" s="4"/>
      <c r="G2" s="4"/>
      <c r="H2" s="4"/>
      <c r="I2" s="4"/>
      <c r="J2" s="4"/>
      <c r="K2" s="4"/>
    </row>
    <row r="3" spans="1:11" ht="15.75" customHeight="1" x14ac:dyDescent="0.25">
      <c r="A3" s="5">
        <v>1</v>
      </c>
      <c r="B3" s="569" t="s">
        <v>3</v>
      </c>
      <c r="C3" s="570"/>
      <c r="D3" s="6" t="e">
        <f t="shared" ref="D3:D34" si="0">#REF!</f>
        <v>#REF!</v>
      </c>
      <c r="E3" s="4"/>
      <c r="F3" s="4"/>
      <c r="G3" s="4"/>
      <c r="H3" s="4"/>
      <c r="I3" s="4"/>
      <c r="J3" s="4"/>
      <c r="K3" s="4"/>
    </row>
    <row r="4" spans="1:11" ht="16.5" customHeight="1" x14ac:dyDescent="0.25">
      <c r="A4" s="5">
        <v>2</v>
      </c>
      <c r="B4" s="569" t="s">
        <v>4</v>
      </c>
      <c r="C4" s="570"/>
      <c r="D4" s="6" t="e">
        <f t="shared" si="0"/>
        <v>#REF!</v>
      </c>
      <c r="E4" s="4"/>
      <c r="F4" s="4"/>
      <c r="G4" s="4"/>
      <c r="H4" s="4"/>
      <c r="I4" s="4"/>
      <c r="J4" s="4"/>
      <c r="K4" s="4"/>
    </row>
    <row r="5" spans="1:11" ht="16.5" customHeight="1" x14ac:dyDescent="0.25">
      <c r="A5" s="5">
        <v>3</v>
      </c>
      <c r="B5" s="569" t="s">
        <v>5</v>
      </c>
      <c r="C5" s="570"/>
      <c r="D5" s="6" t="e">
        <f t="shared" si="0"/>
        <v>#REF!</v>
      </c>
      <c r="E5" s="4"/>
      <c r="F5" s="4"/>
      <c r="G5" s="4"/>
      <c r="H5" s="4"/>
      <c r="I5" s="4"/>
      <c r="J5" s="4"/>
      <c r="K5" s="4"/>
    </row>
    <row r="6" spans="1:11" ht="16.5" customHeight="1" x14ac:dyDescent="0.25">
      <c r="A6" s="5">
        <v>4</v>
      </c>
      <c r="B6" s="569" t="s">
        <v>6</v>
      </c>
      <c r="C6" s="570"/>
      <c r="D6" s="6" t="e">
        <f t="shared" si="0"/>
        <v>#REF!</v>
      </c>
      <c r="E6" s="4"/>
      <c r="F6" s="4"/>
      <c r="G6" s="4"/>
      <c r="H6" s="4"/>
      <c r="I6" s="4"/>
      <c r="J6" s="4"/>
      <c r="K6" s="4"/>
    </row>
    <row r="7" spans="1:11" ht="16.5" customHeight="1" x14ac:dyDescent="0.25">
      <c r="A7" s="5">
        <v>5</v>
      </c>
      <c r="B7" s="569" t="s">
        <v>7</v>
      </c>
      <c r="C7" s="570"/>
      <c r="D7" s="6" t="e">
        <f t="shared" si="0"/>
        <v>#REF!</v>
      </c>
      <c r="E7" s="4"/>
      <c r="F7" s="4"/>
      <c r="G7" s="4"/>
      <c r="H7" s="4"/>
      <c r="I7" s="4"/>
      <c r="J7" s="4"/>
      <c r="K7" s="4"/>
    </row>
    <row r="8" spans="1:11" ht="16.5" customHeight="1" x14ac:dyDescent="0.25">
      <c r="A8" s="5">
        <v>6</v>
      </c>
      <c r="B8" s="569" t="s">
        <v>8</v>
      </c>
      <c r="C8" s="570"/>
      <c r="D8" s="6" t="e">
        <f t="shared" si="0"/>
        <v>#REF!</v>
      </c>
      <c r="E8" s="4"/>
      <c r="F8" s="4"/>
      <c r="G8" s="4"/>
      <c r="H8" s="4"/>
      <c r="I8" s="4"/>
      <c r="J8" s="4"/>
      <c r="K8" s="4"/>
    </row>
    <row r="9" spans="1:11" ht="16.5" customHeight="1" x14ac:dyDescent="0.25">
      <c r="A9" s="5">
        <v>7</v>
      </c>
      <c r="B9" s="569" t="s">
        <v>9</v>
      </c>
      <c r="C9" s="570"/>
      <c r="D9" s="6" t="e">
        <f t="shared" si="0"/>
        <v>#REF!</v>
      </c>
      <c r="E9" s="4"/>
      <c r="F9" s="4"/>
      <c r="G9" s="4"/>
      <c r="H9" s="4"/>
      <c r="I9" s="4"/>
      <c r="J9" s="4"/>
      <c r="K9" s="4"/>
    </row>
    <row r="10" spans="1:11" ht="16.5" customHeight="1" x14ac:dyDescent="0.25">
      <c r="A10" s="5">
        <v>8</v>
      </c>
      <c r="B10" s="569" t="s">
        <v>10</v>
      </c>
      <c r="C10" s="570"/>
      <c r="D10" s="6" t="e">
        <f t="shared" si="0"/>
        <v>#REF!</v>
      </c>
      <c r="E10" s="4"/>
      <c r="F10" s="4"/>
      <c r="G10" s="4"/>
      <c r="H10" s="4"/>
      <c r="I10" s="4"/>
      <c r="J10" s="4"/>
      <c r="K10" s="4"/>
    </row>
    <row r="11" spans="1:11" ht="16.5" customHeight="1" x14ac:dyDescent="0.25">
      <c r="A11" s="5">
        <v>9</v>
      </c>
      <c r="B11" s="569" t="s">
        <v>11</v>
      </c>
      <c r="C11" s="570"/>
      <c r="D11" s="6" t="e">
        <f t="shared" si="0"/>
        <v>#REF!</v>
      </c>
      <c r="E11" s="4"/>
      <c r="F11" s="4"/>
      <c r="G11" s="4"/>
      <c r="H11" s="4"/>
      <c r="I11" s="4"/>
      <c r="J11" s="4"/>
      <c r="K11" s="4"/>
    </row>
    <row r="12" spans="1:11" ht="16.5" customHeight="1" x14ac:dyDescent="0.25">
      <c r="A12" s="5">
        <v>10</v>
      </c>
      <c r="B12" s="569" t="s">
        <v>12</v>
      </c>
      <c r="C12" s="570"/>
      <c r="D12" s="6" t="e">
        <f t="shared" si="0"/>
        <v>#REF!</v>
      </c>
      <c r="E12" s="4"/>
      <c r="F12" s="4"/>
      <c r="G12" s="4"/>
      <c r="H12" s="4"/>
      <c r="I12" s="4"/>
      <c r="J12" s="4"/>
      <c r="K12" s="4"/>
    </row>
    <row r="13" spans="1:11" ht="16.5" customHeight="1" x14ac:dyDescent="0.25">
      <c r="A13" s="5">
        <v>11</v>
      </c>
      <c r="B13" s="569" t="s">
        <v>13</v>
      </c>
      <c r="C13" s="570"/>
      <c r="D13" s="6" t="e">
        <f t="shared" si="0"/>
        <v>#REF!</v>
      </c>
      <c r="E13" s="4"/>
      <c r="F13" s="4"/>
      <c r="G13" s="4"/>
      <c r="H13" s="4"/>
      <c r="I13" s="4"/>
      <c r="J13" s="4"/>
      <c r="K13" s="4"/>
    </row>
    <row r="14" spans="1:11" ht="16.5" customHeight="1" x14ac:dyDescent="0.25">
      <c r="A14" s="7">
        <v>12</v>
      </c>
      <c r="B14" s="572" t="s">
        <v>14</v>
      </c>
      <c r="C14" s="570"/>
      <c r="D14" s="8" t="e">
        <f t="shared" si="0"/>
        <v>#REF!</v>
      </c>
      <c r="E14" s="4"/>
      <c r="F14" s="4"/>
      <c r="G14" s="4"/>
      <c r="H14" s="4"/>
      <c r="I14" s="4"/>
      <c r="J14" s="4"/>
      <c r="K14" s="4"/>
    </row>
    <row r="15" spans="1:11" ht="16.5" customHeight="1" x14ac:dyDescent="0.25">
      <c r="A15" s="5">
        <v>13</v>
      </c>
      <c r="B15" s="569" t="s">
        <v>15</v>
      </c>
      <c r="C15" s="570"/>
      <c r="D15" s="6" t="e">
        <f t="shared" si="0"/>
        <v>#REF!</v>
      </c>
      <c r="E15" s="4"/>
      <c r="F15" s="4"/>
      <c r="G15" s="4"/>
      <c r="H15" s="4"/>
      <c r="I15" s="4"/>
      <c r="J15" s="4"/>
      <c r="K15" s="4"/>
    </row>
    <row r="16" spans="1:11" ht="16.5" customHeight="1" x14ac:dyDescent="0.25">
      <c r="A16" s="5">
        <v>14</v>
      </c>
      <c r="B16" s="569" t="s">
        <v>16</v>
      </c>
      <c r="C16" s="570"/>
      <c r="D16" s="6" t="e">
        <f t="shared" si="0"/>
        <v>#REF!</v>
      </c>
      <c r="E16" s="4"/>
      <c r="F16" s="4"/>
      <c r="G16" s="4"/>
      <c r="H16" s="4"/>
      <c r="I16" s="4"/>
      <c r="J16" s="4"/>
      <c r="K16" s="4"/>
    </row>
    <row r="17" spans="1:11" ht="16.5" customHeight="1" x14ac:dyDescent="0.25">
      <c r="A17" s="5">
        <v>15</v>
      </c>
      <c r="B17" s="569" t="s">
        <v>17</v>
      </c>
      <c r="C17" s="570"/>
      <c r="D17" s="6" t="e">
        <f t="shared" si="0"/>
        <v>#REF!</v>
      </c>
      <c r="E17" s="4"/>
      <c r="F17" s="4"/>
      <c r="G17" s="4"/>
      <c r="H17" s="4"/>
      <c r="I17" s="4"/>
      <c r="J17" s="4"/>
      <c r="K17" s="4"/>
    </row>
    <row r="18" spans="1:11" ht="16.5" customHeight="1" x14ac:dyDescent="0.25">
      <c r="A18" s="9">
        <v>16</v>
      </c>
      <c r="B18" s="571" t="s">
        <v>18</v>
      </c>
      <c r="C18" s="570"/>
      <c r="D18" s="10" t="e">
        <f t="shared" si="0"/>
        <v>#REF!</v>
      </c>
      <c r="E18" s="4"/>
      <c r="F18" s="4"/>
      <c r="G18" s="4"/>
      <c r="H18" s="4"/>
      <c r="I18" s="4"/>
      <c r="J18" s="4"/>
      <c r="K18" s="4"/>
    </row>
    <row r="19" spans="1:11" ht="16.5" customHeight="1" x14ac:dyDescent="0.25">
      <c r="A19" s="5">
        <v>17</v>
      </c>
      <c r="B19" s="569" t="s">
        <v>19</v>
      </c>
      <c r="C19" s="570"/>
      <c r="D19" s="6" t="e">
        <f t="shared" si="0"/>
        <v>#REF!</v>
      </c>
      <c r="E19" s="4"/>
      <c r="F19" s="4"/>
      <c r="G19" s="4"/>
      <c r="H19" s="4"/>
      <c r="I19" s="4"/>
      <c r="J19" s="4"/>
      <c r="K19" s="4"/>
    </row>
    <row r="20" spans="1:11" ht="16.5" customHeight="1" x14ac:dyDescent="0.25">
      <c r="A20" s="5">
        <v>18</v>
      </c>
      <c r="B20" s="569" t="s">
        <v>20</v>
      </c>
      <c r="C20" s="570"/>
      <c r="D20" s="6" t="e">
        <f t="shared" si="0"/>
        <v>#REF!</v>
      </c>
      <c r="E20" s="4"/>
      <c r="F20" s="4"/>
      <c r="G20" s="4"/>
      <c r="H20" s="4"/>
      <c r="I20" s="4"/>
      <c r="J20" s="4"/>
      <c r="K20" s="4"/>
    </row>
    <row r="21" spans="1:11" ht="16.5" customHeight="1" x14ac:dyDescent="0.25">
      <c r="A21" s="7">
        <v>19</v>
      </c>
      <c r="B21" s="572" t="s">
        <v>21</v>
      </c>
      <c r="C21" s="570"/>
      <c r="D21" s="8" t="e">
        <f t="shared" si="0"/>
        <v>#REF!</v>
      </c>
      <c r="E21" s="4"/>
      <c r="F21" s="4"/>
      <c r="G21" s="4"/>
      <c r="H21" s="4"/>
      <c r="I21" s="4"/>
      <c r="J21" s="4"/>
      <c r="K21" s="4"/>
    </row>
    <row r="22" spans="1:11" ht="16.5" customHeight="1" x14ac:dyDescent="0.25">
      <c r="A22" s="5">
        <v>20</v>
      </c>
      <c r="B22" s="569" t="s">
        <v>22</v>
      </c>
      <c r="C22" s="570"/>
      <c r="D22" s="6" t="e">
        <f t="shared" si="0"/>
        <v>#REF!</v>
      </c>
      <c r="E22" s="4"/>
      <c r="F22" s="4"/>
      <c r="G22" s="4"/>
      <c r="H22" s="4"/>
      <c r="I22" s="4"/>
      <c r="J22" s="4"/>
      <c r="K22" s="4"/>
    </row>
    <row r="23" spans="1:11" ht="16.5" customHeight="1" x14ac:dyDescent="0.25">
      <c r="A23" s="5">
        <v>21</v>
      </c>
      <c r="B23" s="569" t="s">
        <v>23</v>
      </c>
      <c r="C23" s="570"/>
      <c r="D23" s="6" t="e">
        <f t="shared" si="0"/>
        <v>#REF!</v>
      </c>
      <c r="E23" s="4"/>
      <c r="F23" s="4"/>
      <c r="G23" s="4"/>
      <c r="H23" s="4"/>
      <c r="I23" s="4"/>
      <c r="J23" s="4"/>
      <c r="K23" s="4"/>
    </row>
    <row r="24" spans="1:11" ht="15.75" customHeight="1" x14ac:dyDescent="0.25">
      <c r="A24" s="5">
        <v>22</v>
      </c>
      <c r="B24" s="569" t="s">
        <v>24</v>
      </c>
      <c r="C24" s="570"/>
      <c r="D24" s="6" t="e">
        <f t="shared" si="0"/>
        <v>#REF!</v>
      </c>
      <c r="E24" s="4"/>
      <c r="F24" s="4"/>
      <c r="G24" s="4"/>
      <c r="H24" s="4"/>
      <c r="I24" s="4"/>
      <c r="J24" s="4"/>
      <c r="K24" s="4"/>
    </row>
    <row r="25" spans="1:11" ht="16.5" customHeight="1" x14ac:dyDescent="0.25">
      <c r="A25" s="7">
        <v>23</v>
      </c>
      <c r="B25" s="572" t="s">
        <v>25</v>
      </c>
      <c r="C25" s="570"/>
      <c r="D25" s="8" t="e">
        <f t="shared" si="0"/>
        <v>#REF!</v>
      </c>
      <c r="E25" s="4"/>
      <c r="F25" s="4"/>
      <c r="G25" s="4"/>
      <c r="H25" s="4"/>
      <c r="I25" s="4"/>
      <c r="J25" s="4"/>
      <c r="K25" s="4"/>
    </row>
    <row r="26" spans="1:11" ht="16.5" customHeight="1" x14ac:dyDescent="0.25">
      <c r="A26" s="9">
        <v>24</v>
      </c>
      <c r="B26" s="571" t="s">
        <v>26</v>
      </c>
      <c r="C26" s="570"/>
      <c r="D26" s="10" t="e">
        <f t="shared" si="0"/>
        <v>#REF!</v>
      </c>
      <c r="E26" s="4"/>
      <c r="F26" s="4"/>
      <c r="G26" s="4"/>
      <c r="H26" s="4"/>
      <c r="I26" s="4"/>
      <c r="J26" s="4"/>
      <c r="K26" s="4"/>
    </row>
    <row r="27" spans="1:11" ht="16.5" customHeight="1" x14ac:dyDescent="0.25">
      <c r="A27" s="9">
        <v>25</v>
      </c>
      <c r="B27" s="571" t="s">
        <v>27</v>
      </c>
      <c r="C27" s="570"/>
      <c r="D27" s="10" t="e">
        <f t="shared" si="0"/>
        <v>#REF!</v>
      </c>
      <c r="E27" s="4"/>
      <c r="F27" s="4"/>
      <c r="G27" s="4"/>
      <c r="H27" s="4"/>
      <c r="I27" s="4"/>
      <c r="J27" s="4"/>
      <c r="K27" s="4"/>
    </row>
    <row r="28" spans="1:11" ht="15.75" customHeight="1" x14ac:dyDescent="0.25">
      <c r="A28" s="5">
        <v>26</v>
      </c>
      <c r="B28" s="569" t="s">
        <v>28</v>
      </c>
      <c r="C28" s="570"/>
      <c r="D28" s="6" t="e">
        <f t="shared" si="0"/>
        <v>#REF!</v>
      </c>
      <c r="E28" s="4"/>
      <c r="F28" s="4"/>
      <c r="G28" s="4"/>
      <c r="H28" s="4"/>
      <c r="I28" s="4"/>
      <c r="J28" s="4"/>
      <c r="K28" s="4"/>
    </row>
    <row r="29" spans="1:11" ht="54" customHeight="1" x14ac:dyDescent="0.25">
      <c r="A29" s="5">
        <v>27</v>
      </c>
      <c r="B29" s="569" t="s">
        <v>29</v>
      </c>
      <c r="C29" s="570"/>
      <c r="D29" s="6" t="e">
        <f t="shared" si="0"/>
        <v>#REF!</v>
      </c>
      <c r="E29" s="4"/>
      <c r="F29" s="4"/>
      <c r="G29" s="4"/>
      <c r="H29" s="4"/>
      <c r="I29" s="4"/>
      <c r="J29" s="4"/>
      <c r="K29" s="4"/>
    </row>
    <row r="30" spans="1:11" ht="15.75" customHeight="1" x14ac:dyDescent="0.25">
      <c r="A30" s="5">
        <v>28</v>
      </c>
      <c r="B30" s="569" t="s">
        <v>30</v>
      </c>
      <c r="C30" s="570"/>
      <c r="D30" s="6" t="e">
        <f t="shared" si="0"/>
        <v>#REF!</v>
      </c>
      <c r="E30" s="4"/>
      <c r="F30" s="4"/>
      <c r="G30" s="4"/>
      <c r="H30" s="4"/>
      <c r="I30" s="4"/>
      <c r="J30" s="4"/>
      <c r="K30" s="4"/>
    </row>
    <row r="31" spans="1:11" ht="15.75" customHeight="1" x14ac:dyDescent="0.25">
      <c r="A31" s="5">
        <v>29</v>
      </c>
      <c r="B31" s="569" t="s">
        <v>31</v>
      </c>
      <c r="C31" s="570"/>
      <c r="D31" s="6" t="e">
        <f t="shared" si="0"/>
        <v>#REF!</v>
      </c>
      <c r="E31" s="4"/>
      <c r="F31" s="4"/>
      <c r="G31" s="4"/>
      <c r="H31" s="4"/>
      <c r="I31" s="4"/>
      <c r="J31" s="4"/>
      <c r="K31" s="4"/>
    </row>
    <row r="32" spans="1:11" ht="15.75" customHeight="1" x14ac:dyDescent="0.25">
      <c r="A32" s="5">
        <v>30</v>
      </c>
      <c r="B32" s="569" t="s">
        <v>32</v>
      </c>
      <c r="C32" s="570"/>
      <c r="D32" s="6" t="e">
        <f t="shared" si="0"/>
        <v>#REF!</v>
      </c>
      <c r="E32" s="4"/>
      <c r="F32" s="4"/>
      <c r="G32" s="4"/>
      <c r="H32" s="4"/>
      <c r="I32" s="4"/>
      <c r="J32" s="4"/>
      <c r="K32" s="4"/>
    </row>
    <row r="33" spans="1:11" ht="15.75" customHeight="1" x14ac:dyDescent="0.25">
      <c r="A33" s="5">
        <v>31</v>
      </c>
      <c r="B33" s="569" t="s">
        <v>33</v>
      </c>
      <c r="C33" s="570"/>
      <c r="D33" s="6" t="e">
        <f t="shared" si="0"/>
        <v>#REF!</v>
      </c>
      <c r="E33" s="4"/>
      <c r="F33" s="4"/>
      <c r="G33" s="4"/>
      <c r="H33" s="4"/>
      <c r="I33" s="4"/>
      <c r="J33" s="4"/>
      <c r="K33" s="4"/>
    </row>
    <row r="34" spans="1:11" ht="15.75" customHeight="1" x14ac:dyDescent="0.25">
      <c r="A34" s="5">
        <v>32</v>
      </c>
      <c r="B34" s="569" t="s">
        <v>34</v>
      </c>
      <c r="C34" s="570"/>
      <c r="D34" s="6" t="e">
        <f t="shared" si="0"/>
        <v>#REF!</v>
      </c>
      <c r="E34" s="4"/>
      <c r="F34" s="4"/>
      <c r="G34" s="4"/>
      <c r="H34" s="4"/>
      <c r="I34" s="4"/>
      <c r="J34" s="4"/>
      <c r="K34" s="4"/>
    </row>
    <row r="35" spans="1:11" ht="15.75" customHeight="1" x14ac:dyDescent="0.25">
      <c r="A35" s="11">
        <v>33</v>
      </c>
      <c r="B35" s="569" t="s">
        <v>35</v>
      </c>
      <c r="C35" s="570"/>
      <c r="D35" s="12">
        <v>270000000</v>
      </c>
      <c r="E35" s="4"/>
      <c r="F35" s="4"/>
      <c r="G35" s="4"/>
      <c r="H35" s="4"/>
      <c r="I35" s="4"/>
      <c r="J35" s="4"/>
      <c r="K35" s="4"/>
    </row>
    <row r="36" spans="1:11" ht="15.75" customHeight="1" x14ac:dyDescent="0.25">
      <c r="A36" s="13"/>
      <c r="B36" s="14"/>
      <c r="C36" s="13"/>
      <c r="D36" s="13"/>
      <c r="E36" s="13"/>
      <c r="F36" s="13"/>
      <c r="G36" s="13"/>
      <c r="H36" s="13"/>
      <c r="I36" s="13"/>
      <c r="J36" s="13"/>
      <c r="K36" s="13"/>
    </row>
    <row r="37" spans="1:11" ht="15.75" customHeight="1" x14ac:dyDescent="0.25">
      <c r="A37" s="13"/>
      <c r="B37" s="15" t="s">
        <v>36</v>
      </c>
      <c r="C37" s="16"/>
      <c r="D37" s="17" t="e">
        <f>D32+D31+D30+D29+D28+D25+D24+D23+D22+D26+D27+D21+D20+D19+D18+D17+D16+D15+D14+D13+D12+D10+D9+D8+D7+D6+D5+D4+D3+D34+D33+D35</f>
        <v>#REF!</v>
      </c>
      <c r="E37" s="13"/>
      <c r="F37" s="13"/>
      <c r="G37" s="13"/>
      <c r="H37" s="13"/>
      <c r="I37" s="13"/>
      <c r="J37" s="13"/>
      <c r="K37" s="13"/>
    </row>
    <row r="38" spans="1:11" ht="15.75" customHeight="1" x14ac:dyDescent="0.25">
      <c r="A38" s="13"/>
      <c r="B38" s="15" t="s">
        <v>37</v>
      </c>
      <c r="C38" s="18">
        <v>0.2</v>
      </c>
      <c r="D38" s="19" t="e">
        <f>+C38*D37</f>
        <v>#REF!</v>
      </c>
      <c r="E38" s="13"/>
      <c r="F38" s="13"/>
      <c r="G38" s="13"/>
      <c r="H38" s="13"/>
      <c r="I38" s="13"/>
      <c r="J38" s="13"/>
      <c r="K38" s="13"/>
    </row>
    <row r="39" spans="1:11" ht="15.75" customHeight="1" x14ac:dyDescent="0.25">
      <c r="A39" s="13"/>
      <c r="B39" s="15" t="s">
        <v>38</v>
      </c>
      <c r="C39" s="18">
        <v>0.05</v>
      </c>
      <c r="D39" s="19" t="e">
        <f>+C39*D37</f>
        <v>#REF!</v>
      </c>
      <c r="E39" s="13"/>
      <c r="F39" s="13"/>
      <c r="G39" s="13"/>
      <c r="H39" s="13"/>
      <c r="I39" s="13"/>
      <c r="J39" s="13"/>
      <c r="K39" s="13"/>
    </row>
    <row r="40" spans="1:11" ht="15.75" customHeight="1" x14ac:dyDescent="0.25">
      <c r="A40" s="13"/>
      <c r="B40" s="15" t="s">
        <v>39</v>
      </c>
      <c r="C40" s="18">
        <v>0.05</v>
      </c>
      <c r="D40" s="19" t="e">
        <f>+C40*D37</f>
        <v>#REF!</v>
      </c>
      <c r="E40" s="13"/>
      <c r="F40" s="13"/>
      <c r="G40" s="13"/>
      <c r="H40" s="13"/>
      <c r="I40" s="13"/>
      <c r="J40" s="13"/>
      <c r="K40" s="13"/>
    </row>
    <row r="41" spans="1:11" ht="15.75" customHeight="1" x14ac:dyDescent="0.25">
      <c r="A41" s="13"/>
      <c r="B41" s="15" t="s">
        <v>40</v>
      </c>
      <c r="C41" s="16"/>
      <c r="D41" s="17" t="e">
        <f>+SUM(D38:D40)</f>
        <v>#REF!</v>
      </c>
      <c r="E41" s="13"/>
      <c r="F41" s="13"/>
      <c r="G41" s="13"/>
      <c r="H41" s="13"/>
      <c r="I41" s="13"/>
      <c r="J41" s="13"/>
      <c r="K41" s="13"/>
    </row>
    <row r="42" spans="1:11" ht="15.75" customHeight="1" x14ac:dyDescent="0.25">
      <c r="A42" s="13"/>
      <c r="B42" s="15" t="s">
        <v>41</v>
      </c>
      <c r="C42" s="20"/>
      <c r="D42" s="21" t="e">
        <f>+D41+D37</f>
        <v>#REF!</v>
      </c>
      <c r="E42" s="13"/>
      <c r="F42" s="13"/>
      <c r="G42" s="13"/>
      <c r="H42" s="13"/>
      <c r="I42" s="13"/>
      <c r="J42" s="13"/>
      <c r="K42" s="13"/>
    </row>
    <row r="43" spans="1:11" ht="15.75" customHeight="1" x14ac:dyDescent="0.25">
      <c r="A43" s="13"/>
      <c r="B43" s="14"/>
      <c r="C43" s="13"/>
      <c r="D43" s="13"/>
      <c r="E43" s="13"/>
      <c r="F43" s="13"/>
      <c r="G43" s="13"/>
      <c r="H43" s="13"/>
      <c r="I43" s="13"/>
      <c r="J43" s="13"/>
      <c r="K43" s="13"/>
    </row>
    <row r="44" spans="1:11" ht="15.75" customHeight="1" x14ac:dyDescent="0.25">
      <c r="A44" s="13"/>
      <c r="B44" s="14"/>
      <c r="C44" s="13"/>
      <c r="D44" s="13"/>
      <c r="E44" s="13"/>
      <c r="F44" s="13"/>
      <c r="G44" s="13"/>
      <c r="H44" s="13"/>
      <c r="I44" s="13"/>
      <c r="J44" s="13"/>
      <c r="K44" s="13"/>
    </row>
    <row r="45" spans="1:11" ht="15.75" customHeight="1" x14ac:dyDescent="0.25">
      <c r="A45" s="13"/>
      <c r="B45" s="14"/>
      <c r="C45" s="13"/>
      <c r="D45" s="13"/>
      <c r="E45" s="13"/>
      <c r="F45" s="13"/>
      <c r="G45" s="13"/>
      <c r="H45" s="13"/>
      <c r="I45" s="13"/>
      <c r="J45" s="13"/>
      <c r="K45" s="13"/>
    </row>
    <row r="46" spans="1:11" ht="15.75" customHeight="1" x14ac:dyDescent="0.25">
      <c r="A46" s="13"/>
      <c r="B46" s="14"/>
      <c r="C46" s="13"/>
      <c r="D46" s="13"/>
      <c r="E46" s="13"/>
      <c r="F46" s="13"/>
      <c r="G46" s="13"/>
      <c r="H46" s="13"/>
      <c r="I46" s="13"/>
      <c r="J46" s="13"/>
      <c r="K46" s="13"/>
    </row>
    <row r="47" spans="1:11" ht="15.75" customHeight="1" x14ac:dyDescent="0.25">
      <c r="A47" s="13"/>
      <c r="B47" s="14"/>
      <c r="C47" s="13"/>
      <c r="D47" s="13"/>
      <c r="E47" s="13"/>
      <c r="F47" s="13"/>
      <c r="G47" s="13"/>
      <c r="H47" s="13"/>
      <c r="I47" s="13"/>
      <c r="J47" s="13"/>
      <c r="K47" s="13"/>
    </row>
    <row r="48" spans="1:11" ht="15.75" customHeight="1" x14ac:dyDescent="0.25">
      <c r="A48" s="13"/>
      <c r="B48" s="14"/>
      <c r="C48" s="13"/>
      <c r="D48" s="13"/>
      <c r="E48" s="13"/>
      <c r="F48" s="13"/>
      <c r="G48" s="13"/>
      <c r="H48" s="13"/>
      <c r="I48" s="13"/>
      <c r="J48" s="13"/>
      <c r="K48" s="13"/>
    </row>
    <row r="49" spans="1:11" ht="15.75" customHeight="1" x14ac:dyDescent="0.25">
      <c r="A49" s="13"/>
      <c r="B49" s="14"/>
      <c r="C49" s="13"/>
      <c r="D49" s="13"/>
      <c r="E49" s="13"/>
      <c r="F49" s="13"/>
      <c r="G49" s="13"/>
      <c r="H49" s="13"/>
      <c r="I49" s="13"/>
      <c r="J49" s="13"/>
      <c r="K49" s="13"/>
    </row>
    <row r="50" spans="1:11" ht="15.75" customHeight="1" x14ac:dyDescent="0.25">
      <c r="A50" s="13"/>
      <c r="B50" s="14"/>
      <c r="C50" s="13"/>
      <c r="D50" s="13"/>
      <c r="E50" s="13"/>
      <c r="F50" s="13"/>
      <c r="G50" s="13"/>
      <c r="H50" s="13"/>
      <c r="I50" s="13"/>
      <c r="J50" s="13"/>
      <c r="K50" s="13"/>
    </row>
    <row r="51" spans="1:11" ht="15.75" customHeight="1" x14ac:dyDescent="0.25">
      <c r="A51" s="13"/>
      <c r="B51" s="14"/>
      <c r="C51" s="13"/>
      <c r="D51" s="13"/>
      <c r="E51" s="13"/>
      <c r="F51" s="13"/>
      <c r="G51" s="13"/>
      <c r="H51" s="13"/>
      <c r="I51" s="13"/>
      <c r="J51" s="13"/>
      <c r="K51" s="13"/>
    </row>
    <row r="52" spans="1:11" ht="15.75" customHeight="1" x14ac:dyDescent="0.25">
      <c r="A52" s="13"/>
      <c r="B52" s="14"/>
      <c r="C52" s="13"/>
      <c r="D52" s="13"/>
      <c r="E52" s="13"/>
      <c r="F52" s="13"/>
      <c r="G52" s="13"/>
      <c r="H52" s="13"/>
      <c r="I52" s="13"/>
      <c r="J52" s="13"/>
      <c r="K52" s="13"/>
    </row>
    <row r="53" spans="1:11" ht="15.75" customHeight="1" x14ac:dyDescent="0.25">
      <c r="A53" s="13"/>
      <c r="B53" s="14"/>
      <c r="C53" s="13"/>
      <c r="D53" s="13"/>
      <c r="E53" s="13"/>
      <c r="F53" s="13"/>
      <c r="G53" s="13"/>
      <c r="H53" s="13"/>
      <c r="I53" s="13"/>
      <c r="J53" s="13"/>
      <c r="K53" s="13"/>
    </row>
    <row r="54" spans="1:11" ht="15.75" customHeight="1" x14ac:dyDescent="0.25">
      <c r="A54" s="13"/>
      <c r="B54" s="14"/>
      <c r="C54" s="13"/>
      <c r="D54" s="13"/>
      <c r="E54" s="13"/>
      <c r="F54" s="13"/>
      <c r="G54" s="13"/>
      <c r="H54" s="13"/>
      <c r="I54" s="13"/>
      <c r="J54" s="13"/>
      <c r="K54" s="13"/>
    </row>
    <row r="55" spans="1:11" ht="15.75" customHeight="1" x14ac:dyDescent="0.25">
      <c r="A55" s="13"/>
      <c r="B55" s="14"/>
      <c r="C55" s="13"/>
      <c r="D55" s="13"/>
      <c r="E55" s="13"/>
      <c r="F55" s="13"/>
      <c r="G55" s="13"/>
      <c r="H55" s="13"/>
      <c r="I55" s="13"/>
      <c r="J55" s="13"/>
      <c r="K55" s="13"/>
    </row>
    <row r="56" spans="1:11" ht="15.75" customHeight="1" x14ac:dyDescent="0.25">
      <c r="A56" s="13"/>
      <c r="B56" s="14"/>
      <c r="C56" s="13"/>
      <c r="D56" s="13"/>
      <c r="E56" s="13"/>
      <c r="F56" s="13"/>
      <c r="G56" s="13"/>
      <c r="H56" s="13"/>
      <c r="I56" s="13"/>
      <c r="J56" s="13"/>
      <c r="K56" s="13"/>
    </row>
    <row r="57" spans="1:11" ht="15.75" customHeight="1" x14ac:dyDescent="0.25">
      <c r="A57" s="13"/>
      <c r="B57" s="14"/>
      <c r="C57" s="13"/>
      <c r="D57" s="13"/>
      <c r="E57" s="13"/>
      <c r="F57" s="13"/>
      <c r="G57" s="13"/>
      <c r="H57" s="13"/>
      <c r="I57" s="13"/>
      <c r="J57" s="13"/>
      <c r="K57" s="13"/>
    </row>
    <row r="58" spans="1:11" ht="15.75" customHeight="1" x14ac:dyDescent="0.25">
      <c r="A58" s="13"/>
      <c r="B58" s="14"/>
      <c r="C58" s="13"/>
      <c r="D58" s="13"/>
      <c r="E58" s="13"/>
      <c r="F58" s="13"/>
      <c r="G58" s="13"/>
      <c r="H58" s="13"/>
      <c r="I58" s="13"/>
      <c r="J58" s="13"/>
      <c r="K58" s="13"/>
    </row>
    <row r="59" spans="1:11" ht="15.75" customHeight="1" x14ac:dyDescent="0.25">
      <c r="A59" s="13"/>
      <c r="B59" s="14"/>
      <c r="C59" s="13"/>
      <c r="D59" s="13"/>
      <c r="E59" s="13"/>
      <c r="F59" s="13"/>
      <c r="G59" s="13"/>
      <c r="H59" s="13"/>
      <c r="I59" s="13"/>
      <c r="J59" s="13"/>
      <c r="K59" s="13"/>
    </row>
    <row r="60" spans="1:11" ht="15.75" customHeight="1" x14ac:dyDescent="0.25">
      <c r="A60" s="13"/>
      <c r="B60" s="14"/>
      <c r="C60" s="13"/>
      <c r="D60" s="13"/>
      <c r="E60" s="13"/>
      <c r="F60" s="13"/>
      <c r="G60" s="13"/>
      <c r="H60" s="13"/>
      <c r="I60" s="13"/>
      <c r="J60" s="13"/>
      <c r="K60" s="13"/>
    </row>
    <row r="61" spans="1:11" ht="15.75" customHeight="1" x14ac:dyDescent="0.25">
      <c r="A61" s="13"/>
      <c r="B61" s="14"/>
      <c r="C61" s="13"/>
      <c r="D61" s="13"/>
      <c r="E61" s="13"/>
      <c r="F61" s="13"/>
      <c r="G61" s="13"/>
      <c r="H61" s="13"/>
      <c r="I61" s="13"/>
      <c r="J61" s="13"/>
      <c r="K61" s="13"/>
    </row>
    <row r="62" spans="1:11" ht="15.75" customHeight="1" x14ac:dyDescent="0.25">
      <c r="A62" s="13"/>
      <c r="B62" s="14"/>
      <c r="C62" s="13"/>
      <c r="D62" s="13"/>
      <c r="E62" s="13"/>
      <c r="F62" s="13"/>
      <c r="G62" s="13"/>
      <c r="H62" s="13"/>
      <c r="I62" s="13"/>
      <c r="J62" s="13"/>
      <c r="K62" s="13"/>
    </row>
    <row r="63" spans="1:11" ht="15.75" customHeight="1" x14ac:dyDescent="0.25">
      <c r="A63" s="13"/>
      <c r="B63" s="14"/>
      <c r="C63" s="13"/>
      <c r="D63" s="13"/>
      <c r="E63" s="13"/>
      <c r="F63" s="13"/>
      <c r="G63" s="13"/>
      <c r="H63" s="13"/>
      <c r="I63" s="13"/>
      <c r="J63" s="13"/>
      <c r="K63" s="13"/>
    </row>
    <row r="64" spans="1:11" ht="15.75" customHeight="1" x14ac:dyDescent="0.25">
      <c r="A64" s="13"/>
      <c r="B64" s="14"/>
      <c r="C64" s="13"/>
      <c r="D64" s="13"/>
      <c r="E64" s="13"/>
      <c r="F64" s="13"/>
      <c r="G64" s="13"/>
      <c r="H64" s="13"/>
      <c r="I64" s="13"/>
      <c r="J64" s="13"/>
      <c r="K64" s="13"/>
    </row>
    <row r="65" spans="1:11" ht="15.75" customHeight="1" x14ac:dyDescent="0.25">
      <c r="A65" s="13"/>
      <c r="B65" s="14"/>
      <c r="C65" s="13"/>
      <c r="D65" s="13"/>
      <c r="E65" s="13"/>
      <c r="F65" s="13"/>
      <c r="G65" s="13"/>
      <c r="H65" s="13"/>
      <c r="I65" s="13"/>
      <c r="J65" s="13"/>
      <c r="K65" s="13"/>
    </row>
    <row r="66" spans="1:11" ht="15.75" customHeight="1" x14ac:dyDescent="0.25">
      <c r="A66" s="13"/>
      <c r="B66" s="14"/>
      <c r="C66" s="13"/>
      <c r="D66" s="13"/>
      <c r="E66" s="13"/>
      <c r="F66" s="13"/>
      <c r="G66" s="13"/>
      <c r="H66" s="13"/>
      <c r="I66" s="13"/>
      <c r="J66" s="13"/>
      <c r="K66" s="13"/>
    </row>
    <row r="67" spans="1:11" ht="15.75" customHeight="1" x14ac:dyDescent="0.25">
      <c r="A67" s="13"/>
      <c r="B67" s="14"/>
      <c r="C67" s="13"/>
      <c r="D67" s="13"/>
      <c r="E67" s="13"/>
      <c r="F67" s="13"/>
      <c r="G67" s="13"/>
      <c r="H67" s="13"/>
      <c r="I67" s="13"/>
      <c r="J67" s="13"/>
      <c r="K67" s="13"/>
    </row>
    <row r="68" spans="1:11" ht="15.75" customHeight="1" x14ac:dyDescent="0.25">
      <c r="A68" s="13"/>
      <c r="B68" s="14"/>
      <c r="C68" s="13"/>
      <c r="D68" s="13"/>
      <c r="E68" s="13"/>
      <c r="F68" s="13"/>
      <c r="G68" s="13"/>
      <c r="H68" s="13"/>
      <c r="I68" s="13"/>
      <c r="J68" s="13"/>
      <c r="K68" s="13"/>
    </row>
    <row r="69" spans="1:11" ht="15.75" customHeight="1" x14ac:dyDescent="0.25">
      <c r="A69" s="13"/>
      <c r="B69" s="14"/>
      <c r="C69" s="13"/>
      <c r="D69" s="13"/>
      <c r="E69" s="13"/>
      <c r="F69" s="13"/>
      <c r="G69" s="13"/>
      <c r="H69" s="13"/>
      <c r="I69" s="13"/>
      <c r="J69" s="13"/>
      <c r="K69" s="13"/>
    </row>
    <row r="70" spans="1:11" ht="15.75" customHeight="1" x14ac:dyDescent="0.25">
      <c r="A70" s="13"/>
      <c r="B70" s="14"/>
      <c r="C70" s="13"/>
      <c r="D70" s="13"/>
      <c r="E70" s="13"/>
      <c r="F70" s="13"/>
      <c r="G70" s="13"/>
      <c r="H70" s="13"/>
      <c r="I70" s="13"/>
      <c r="J70" s="13"/>
      <c r="K70" s="13"/>
    </row>
    <row r="71" spans="1:11" ht="15.75" customHeight="1" x14ac:dyDescent="0.25">
      <c r="A71" s="13"/>
      <c r="B71" s="14"/>
      <c r="C71" s="13"/>
      <c r="D71" s="13"/>
      <c r="E71" s="13"/>
      <c r="F71" s="13"/>
      <c r="G71" s="13"/>
      <c r="H71" s="13"/>
      <c r="I71" s="13"/>
      <c r="J71" s="13"/>
      <c r="K71" s="13"/>
    </row>
    <row r="72" spans="1:11" ht="15.75" customHeight="1" x14ac:dyDescent="0.25">
      <c r="A72" s="13"/>
      <c r="B72" s="14"/>
      <c r="C72" s="13"/>
      <c r="D72" s="13"/>
      <c r="E72" s="13"/>
      <c r="F72" s="13"/>
      <c r="G72" s="13"/>
      <c r="H72" s="13"/>
      <c r="I72" s="13"/>
      <c r="J72" s="13"/>
      <c r="K72" s="13"/>
    </row>
    <row r="73" spans="1:11" ht="15.75" customHeight="1" x14ac:dyDescent="0.25">
      <c r="A73" s="13"/>
      <c r="B73" s="14"/>
      <c r="C73" s="13"/>
      <c r="D73" s="13"/>
      <c r="E73" s="13"/>
      <c r="F73" s="13"/>
      <c r="G73" s="13"/>
      <c r="H73" s="13"/>
      <c r="I73" s="13"/>
      <c r="J73" s="13"/>
      <c r="K73" s="13"/>
    </row>
    <row r="74" spans="1:11" ht="15.75" customHeight="1" x14ac:dyDescent="0.25">
      <c r="A74" s="13"/>
      <c r="B74" s="14"/>
      <c r="C74" s="13"/>
      <c r="D74" s="13"/>
      <c r="E74" s="13"/>
      <c r="F74" s="13"/>
      <c r="G74" s="13"/>
      <c r="H74" s="13"/>
      <c r="I74" s="13"/>
      <c r="J74" s="13"/>
      <c r="K74" s="13"/>
    </row>
    <row r="75" spans="1:11" ht="15.75" customHeight="1" x14ac:dyDescent="0.25">
      <c r="A75" s="13"/>
      <c r="B75" s="14"/>
      <c r="C75" s="13"/>
      <c r="D75" s="13"/>
      <c r="E75" s="13"/>
      <c r="F75" s="13"/>
      <c r="G75" s="13"/>
      <c r="H75" s="13"/>
      <c r="I75" s="13"/>
      <c r="J75" s="13"/>
      <c r="K75" s="13"/>
    </row>
    <row r="76" spans="1:11" ht="15.75" customHeight="1" x14ac:dyDescent="0.25">
      <c r="A76" s="13"/>
      <c r="B76" s="14"/>
      <c r="C76" s="13"/>
      <c r="D76" s="13"/>
      <c r="E76" s="13"/>
      <c r="F76" s="13"/>
      <c r="G76" s="13"/>
      <c r="H76" s="13"/>
      <c r="I76" s="13"/>
      <c r="J76" s="13"/>
      <c r="K76" s="13"/>
    </row>
    <row r="77" spans="1:11" ht="15.75" customHeight="1" x14ac:dyDescent="0.25">
      <c r="A77" s="13"/>
      <c r="B77" s="14"/>
      <c r="C77" s="13"/>
      <c r="D77" s="13"/>
      <c r="E77" s="13"/>
      <c r="F77" s="13"/>
      <c r="G77" s="13"/>
      <c r="H77" s="13"/>
      <c r="I77" s="13"/>
      <c r="J77" s="13"/>
      <c r="K77" s="13"/>
    </row>
    <row r="78" spans="1:11" ht="15.75" customHeight="1" x14ac:dyDescent="0.25">
      <c r="A78" s="13"/>
      <c r="B78" s="14"/>
      <c r="C78" s="13"/>
      <c r="D78" s="13"/>
      <c r="E78" s="13"/>
      <c r="F78" s="13"/>
      <c r="G78" s="13"/>
      <c r="H78" s="13"/>
      <c r="I78" s="13"/>
      <c r="J78" s="13"/>
      <c r="K78" s="13"/>
    </row>
    <row r="79" spans="1:11" ht="15.75" customHeight="1" x14ac:dyDescent="0.25">
      <c r="A79" s="13"/>
      <c r="B79" s="14"/>
      <c r="C79" s="13"/>
      <c r="D79" s="13"/>
      <c r="E79" s="13"/>
      <c r="F79" s="13"/>
      <c r="G79" s="13"/>
      <c r="H79" s="13"/>
      <c r="I79" s="13"/>
      <c r="J79" s="13"/>
      <c r="K79" s="13"/>
    </row>
    <row r="80" spans="1:11" ht="15.75" customHeight="1" x14ac:dyDescent="0.25">
      <c r="A80" s="13"/>
      <c r="B80" s="14"/>
      <c r="C80" s="13"/>
      <c r="D80" s="13"/>
      <c r="E80" s="13"/>
      <c r="F80" s="13"/>
      <c r="G80" s="13"/>
      <c r="H80" s="13"/>
      <c r="I80" s="13"/>
      <c r="J80" s="13"/>
      <c r="K80" s="13"/>
    </row>
    <row r="81" spans="1:11" ht="15.75" customHeight="1" x14ac:dyDescent="0.25">
      <c r="A81" s="13"/>
      <c r="B81" s="14"/>
      <c r="C81" s="13"/>
      <c r="D81" s="13"/>
      <c r="E81" s="13"/>
      <c r="F81" s="13"/>
      <c r="G81" s="13"/>
      <c r="H81" s="13"/>
      <c r="I81" s="13"/>
      <c r="J81" s="13"/>
      <c r="K81" s="13"/>
    </row>
    <row r="82" spans="1:11" ht="15.75" customHeight="1" x14ac:dyDescent="0.25">
      <c r="A82" s="13"/>
      <c r="B82" s="14"/>
      <c r="C82" s="13"/>
      <c r="D82" s="13"/>
      <c r="E82" s="13"/>
      <c r="F82" s="13"/>
      <c r="G82" s="13"/>
      <c r="H82" s="13"/>
      <c r="I82" s="13"/>
      <c r="J82" s="13"/>
      <c r="K82" s="13"/>
    </row>
    <row r="83" spans="1:11" ht="15.75" customHeight="1" x14ac:dyDescent="0.25">
      <c r="A83" s="13"/>
      <c r="B83" s="14"/>
      <c r="C83" s="13"/>
      <c r="D83" s="13"/>
      <c r="E83" s="13"/>
      <c r="F83" s="13"/>
      <c r="G83" s="13"/>
      <c r="H83" s="13"/>
      <c r="I83" s="13"/>
      <c r="J83" s="13"/>
      <c r="K83" s="13"/>
    </row>
    <row r="84" spans="1:11" ht="15.75" customHeight="1" x14ac:dyDescent="0.25">
      <c r="A84" s="13"/>
      <c r="B84" s="14"/>
      <c r="C84" s="13"/>
      <c r="D84" s="13"/>
      <c r="E84" s="13"/>
      <c r="F84" s="13"/>
      <c r="G84" s="13"/>
      <c r="H84" s="13"/>
      <c r="I84" s="13"/>
      <c r="J84" s="13"/>
      <c r="K84" s="13"/>
    </row>
    <row r="85" spans="1:11" ht="15.75" customHeight="1" x14ac:dyDescent="0.25">
      <c r="A85" s="13"/>
      <c r="B85" s="14"/>
      <c r="C85" s="13"/>
      <c r="D85" s="13"/>
      <c r="E85" s="13"/>
      <c r="F85" s="13"/>
      <c r="G85" s="13"/>
      <c r="H85" s="13"/>
      <c r="I85" s="13"/>
      <c r="J85" s="13"/>
      <c r="K85" s="13"/>
    </row>
    <row r="86" spans="1:11" ht="15.75" customHeight="1" x14ac:dyDescent="0.25">
      <c r="A86" s="13"/>
      <c r="B86" s="14"/>
      <c r="C86" s="13"/>
      <c r="D86" s="13"/>
      <c r="E86" s="13"/>
      <c r="F86" s="13"/>
      <c r="G86" s="13"/>
      <c r="H86" s="13"/>
      <c r="I86" s="13"/>
      <c r="J86" s="13"/>
      <c r="K86" s="13"/>
    </row>
    <row r="87" spans="1:11" ht="15.75" customHeight="1" x14ac:dyDescent="0.25">
      <c r="A87" s="13"/>
      <c r="B87" s="14"/>
      <c r="C87" s="13"/>
      <c r="D87" s="13"/>
      <c r="E87" s="13"/>
      <c r="F87" s="13"/>
      <c r="G87" s="13"/>
      <c r="H87" s="13"/>
      <c r="I87" s="13"/>
      <c r="J87" s="13"/>
      <c r="K87" s="13"/>
    </row>
    <row r="88" spans="1:11" ht="15.75" customHeight="1" x14ac:dyDescent="0.25">
      <c r="A88" s="13"/>
      <c r="B88" s="14"/>
      <c r="C88" s="13"/>
      <c r="D88" s="13"/>
      <c r="E88" s="13"/>
      <c r="F88" s="13"/>
      <c r="G88" s="13"/>
      <c r="H88" s="13"/>
      <c r="I88" s="13"/>
      <c r="J88" s="13"/>
      <c r="K88" s="13"/>
    </row>
    <row r="89" spans="1:11" ht="15.75" customHeight="1" x14ac:dyDescent="0.25">
      <c r="A89" s="13"/>
      <c r="B89" s="14"/>
      <c r="C89" s="13"/>
      <c r="D89" s="13"/>
      <c r="E89" s="13"/>
      <c r="F89" s="13"/>
      <c r="G89" s="13"/>
      <c r="H89" s="13"/>
      <c r="I89" s="13"/>
      <c r="J89" s="13"/>
      <c r="K89" s="13"/>
    </row>
    <row r="90" spans="1:11" ht="15.75" customHeight="1" x14ac:dyDescent="0.25">
      <c r="A90" s="13"/>
      <c r="B90" s="14"/>
      <c r="C90" s="13"/>
      <c r="D90" s="13"/>
      <c r="E90" s="13"/>
      <c r="F90" s="13"/>
      <c r="G90" s="13"/>
      <c r="H90" s="13"/>
      <c r="I90" s="13"/>
      <c r="J90" s="13"/>
      <c r="K90" s="13"/>
    </row>
    <row r="91" spans="1:11" ht="15.75" customHeight="1" x14ac:dyDescent="0.25">
      <c r="A91" s="13"/>
      <c r="B91" s="14"/>
      <c r="C91" s="13"/>
      <c r="D91" s="13"/>
      <c r="E91" s="13"/>
      <c r="F91" s="13"/>
      <c r="G91" s="13"/>
      <c r="H91" s="13"/>
      <c r="I91" s="13"/>
      <c r="J91" s="13"/>
      <c r="K91" s="13"/>
    </row>
    <row r="92" spans="1:11" ht="15.75" customHeight="1" x14ac:dyDescent="0.25">
      <c r="A92" s="13"/>
      <c r="B92" s="14"/>
      <c r="C92" s="13"/>
      <c r="D92" s="13"/>
      <c r="E92" s="13"/>
      <c r="F92" s="13"/>
      <c r="G92" s="13"/>
      <c r="H92" s="13"/>
      <c r="I92" s="13"/>
      <c r="J92" s="13"/>
      <c r="K92" s="13"/>
    </row>
    <row r="93" spans="1:11" ht="15.75" customHeight="1" x14ac:dyDescent="0.25">
      <c r="A93" s="13"/>
      <c r="B93" s="14"/>
      <c r="C93" s="13"/>
      <c r="D93" s="13"/>
      <c r="E93" s="13"/>
      <c r="F93" s="13"/>
      <c r="G93" s="13"/>
      <c r="H93" s="13"/>
      <c r="I93" s="13"/>
      <c r="J93" s="13"/>
      <c r="K93" s="13"/>
    </row>
    <row r="94" spans="1:11" ht="15.75" customHeight="1" x14ac:dyDescent="0.25">
      <c r="A94" s="13"/>
      <c r="B94" s="14"/>
      <c r="C94" s="13"/>
      <c r="D94" s="13"/>
      <c r="E94" s="13"/>
      <c r="F94" s="13"/>
      <c r="G94" s="13"/>
      <c r="H94" s="13"/>
      <c r="I94" s="13"/>
      <c r="J94" s="13"/>
      <c r="K94" s="13"/>
    </row>
    <row r="95" spans="1:11" ht="15.75" customHeight="1" x14ac:dyDescent="0.25">
      <c r="A95" s="13"/>
      <c r="B95" s="14"/>
      <c r="C95" s="13"/>
      <c r="D95" s="13"/>
      <c r="E95" s="13"/>
      <c r="F95" s="13"/>
      <c r="G95" s="13"/>
      <c r="H95" s="13"/>
      <c r="I95" s="13"/>
      <c r="J95" s="13"/>
      <c r="K95" s="13"/>
    </row>
    <row r="96" spans="1:11" ht="15.75" customHeight="1" x14ac:dyDescent="0.25">
      <c r="A96" s="13"/>
      <c r="B96" s="14"/>
      <c r="C96" s="13"/>
      <c r="D96" s="13"/>
      <c r="E96" s="13"/>
      <c r="F96" s="13"/>
      <c r="G96" s="13"/>
      <c r="H96" s="13"/>
      <c r="I96" s="13"/>
      <c r="J96" s="13"/>
      <c r="K96" s="13"/>
    </row>
    <row r="97" spans="1:11" ht="15.75" customHeight="1" x14ac:dyDescent="0.25">
      <c r="A97" s="13"/>
      <c r="B97" s="14"/>
      <c r="C97" s="13"/>
      <c r="D97" s="13"/>
      <c r="E97" s="13"/>
      <c r="F97" s="13"/>
      <c r="G97" s="13"/>
      <c r="H97" s="13"/>
      <c r="I97" s="13"/>
      <c r="J97" s="13"/>
      <c r="K97" s="13"/>
    </row>
    <row r="98" spans="1:11" ht="15.75" customHeight="1" x14ac:dyDescent="0.25">
      <c r="A98" s="13"/>
      <c r="B98" s="14"/>
      <c r="C98" s="13"/>
      <c r="D98" s="13"/>
      <c r="E98" s="13"/>
      <c r="F98" s="13"/>
      <c r="G98" s="13"/>
      <c r="H98" s="13"/>
      <c r="I98" s="13"/>
      <c r="J98" s="13"/>
      <c r="K98" s="13"/>
    </row>
    <row r="99" spans="1:11" ht="15.75" customHeight="1" x14ac:dyDescent="0.25">
      <c r="A99" s="13"/>
      <c r="B99" s="14"/>
      <c r="C99" s="13"/>
      <c r="D99" s="13"/>
      <c r="E99" s="13"/>
      <c r="F99" s="13"/>
      <c r="G99" s="13"/>
      <c r="H99" s="13"/>
      <c r="I99" s="13"/>
      <c r="J99" s="13"/>
      <c r="K99" s="13"/>
    </row>
    <row r="100" spans="1:11" ht="15.75" customHeight="1" x14ac:dyDescent="0.25">
      <c r="A100" s="13"/>
      <c r="B100" s="14"/>
      <c r="C100" s="13"/>
      <c r="D100" s="13"/>
      <c r="E100" s="13"/>
      <c r="F100" s="13"/>
      <c r="G100" s="13"/>
      <c r="H100" s="13"/>
      <c r="I100" s="13"/>
      <c r="J100" s="13"/>
      <c r="K100" s="13"/>
    </row>
  </sheetData>
  <mergeCells count="34">
    <mergeCell ref="B30:C30"/>
    <mergeCell ref="B31:C31"/>
    <mergeCell ref="B33:C33"/>
    <mergeCell ref="B34:C34"/>
    <mergeCell ref="B35:C35"/>
    <mergeCell ref="B27:C27"/>
    <mergeCell ref="B28:C28"/>
    <mergeCell ref="B29:C29"/>
    <mergeCell ref="B32:C32"/>
    <mergeCell ref="B9:C9"/>
    <mergeCell ref="B10:C10"/>
    <mergeCell ref="B11:C11"/>
    <mergeCell ref="B12:C12"/>
    <mergeCell ref="B13:C13"/>
    <mergeCell ref="B14:C14"/>
    <mergeCell ref="B15:C15"/>
    <mergeCell ref="B16:C16"/>
    <mergeCell ref="B17:C17"/>
    <mergeCell ref="B18:C18"/>
    <mergeCell ref="B19:C19"/>
    <mergeCell ref="B24:C24"/>
    <mergeCell ref="B25:C25"/>
    <mergeCell ref="B26:C26"/>
    <mergeCell ref="B2:C2"/>
    <mergeCell ref="B20:C20"/>
    <mergeCell ref="B21:C21"/>
    <mergeCell ref="B22:C22"/>
    <mergeCell ref="B23:C23"/>
    <mergeCell ref="B8:C8"/>
    <mergeCell ref="B3:C3"/>
    <mergeCell ref="B4:C4"/>
    <mergeCell ref="B5:C5"/>
    <mergeCell ref="B6:C6"/>
    <mergeCell ref="B7:C7"/>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G400"/>
  <sheetViews>
    <sheetView tabSelected="1" topLeftCell="B4" zoomScale="60" zoomScaleNormal="60" workbookViewId="0">
      <pane xSplit="6" ySplit="2" topLeftCell="H285" activePane="bottomRight" state="frozen"/>
      <selection activeCell="B4" sqref="B4"/>
      <selection pane="topRight" activeCell="H4" sqref="H4"/>
      <selection pane="bottomLeft" activeCell="B6" sqref="B6"/>
      <selection pane="bottomRight" activeCell="B386" sqref="A386:XFD386"/>
    </sheetView>
  </sheetViews>
  <sheetFormatPr baseColWidth="10" defaultColWidth="12.625" defaultRowHeight="15" customHeight="1" x14ac:dyDescent="0.25"/>
  <cols>
    <col min="1" max="1" width="3.125" style="179" customWidth="1"/>
    <col min="2" max="2" width="10.875" style="179" customWidth="1"/>
    <col min="3" max="3" width="95.5" style="179" customWidth="1"/>
    <col min="4" max="4" width="13" style="179" customWidth="1"/>
    <col min="5" max="5" width="16.125" style="179" customWidth="1"/>
    <col min="6" max="6" width="22.625" style="179" customWidth="1"/>
    <col min="7" max="7" width="24.5" style="179" bestFit="1" customWidth="1"/>
    <col min="8" max="16384" width="12.625" style="179"/>
  </cols>
  <sheetData>
    <row r="1" spans="1:7" ht="15.75" customHeight="1" thickBot="1" x14ac:dyDescent="0.3">
      <c r="A1" s="174"/>
      <c r="B1" s="174"/>
      <c r="C1" s="508"/>
      <c r="D1" s="174"/>
      <c r="E1" s="174"/>
      <c r="F1" s="186"/>
      <c r="G1" s="186"/>
    </row>
    <row r="2" spans="1:7" ht="31.5" customHeight="1" thickBot="1" x14ac:dyDescent="0.3">
      <c r="A2" s="174"/>
      <c r="B2" s="580" t="s">
        <v>43</v>
      </c>
      <c r="C2" s="581"/>
      <c r="D2" s="581"/>
      <c r="E2" s="581"/>
      <c r="F2" s="581"/>
      <c r="G2" s="581"/>
    </row>
    <row r="3" spans="1:7" ht="15.75" customHeight="1" thickBot="1" x14ac:dyDescent="0.3">
      <c r="A3" s="174"/>
      <c r="B3" s="174"/>
      <c r="C3" s="508"/>
      <c r="D3" s="174"/>
      <c r="E3" s="174"/>
      <c r="F3" s="186"/>
      <c r="G3" s="186"/>
    </row>
    <row r="4" spans="1:7" ht="58.5" customHeight="1" thickBot="1" x14ac:dyDescent="0.3">
      <c r="A4" s="174"/>
      <c r="B4" s="582" t="s">
        <v>44</v>
      </c>
      <c r="C4" s="583"/>
      <c r="D4" s="583"/>
      <c r="E4" s="583"/>
      <c r="F4" s="583"/>
      <c r="G4" s="584"/>
    </row>
    <row r="5" spans="1:7" ht="34.5" customHeight="1" thickBot="1" x14ac:dyDescent="0.3">
      <c r="A5" s="174"/>
      <c r="B5" s="545" t="s">
        <v>47</v>
      </c>
      <c r="C5" s="509" t="s">
        <v>48</v>
      </c>
      <c r="D5" s="510" t="s">
        <v>49</v>
      </c>
      <c r="E5" s="510" t="s">
        <v>50</v>
      </c>
      <c r="F5" s="511" t="s">
        <v>51</v>
      </c>
      <c r="G5" s="546" t="s">
        <v>52</v>
      </c>
    </row>
    <row r="6" spans="1:7" ht="30" customHeight="1" x14ac:dyDescent="0.25">
      <c r="A6" s="174"/>
      <c r="B6" s="547">
        <v>1</v>
      </c>
      <c r="C6" s="512" t="s">
        <v>53</v>
      </c>
      <c r="D6" s="513"/>
      <c r="E6" s="513"/>
      <c r="F6" s="514"/>
      <c r="G6" s="548"/>
    </row>
    <row r="7" spans="1:7" ht="30" customHeight="1" x14ac:dyDescent="0.25">
      <c r="A7" s="174"/>
      <c r="B7" s="549" t="s">
        <v>54</v>
      </c>
      <c r="C7" s="289" t="s">
        <v>55</v>
      </c>
      <c r="D7" s="176" t="s">
        <v>56</v>
      </c>
      <c r="E7" s="182">
        <v>11553</v>
      </c>
      <c r="F7" s="177">
        <v>2455</v>
      </c>
      <c r="G7" s="550">
        <f t="shared" ref="G7:G29" si="0">E7*F7</f>
        <v>28362615</v>
      </c>
    </row>
    <row r="8" spans="1:7" ht="30" customHeight="1" x14ac:dyDescent="0.25">
      <c r="A8" s="174"/>
      <c r="B8" s="549" t="s">
        <v>57</v>
      </c>
      <c r="C8" s="289" t="s">
        <v>58</v>
      </c>
      <c r="D8" s="176" t="s">
        <v>59</v>
      </c>
      <c r="E8" s="182">
        <v>879</v>
      </c>
      <c r="F8" s="177">
        <v>13698</v>
      </c>
      <c r="G8" s="550">
        <f t="shared" si="0"/>
        <v>12040542</v>
      </c>
    </row>
    <row r="9" spans="1:7" ht="30" customHeight="1" x14ac:dyDescent="0.25">
      <c r="A9" s="174"/>
      <c r="B9" s="549" t="s">
        <v>60</v>
      </c>
      <c r="C9" s="184" t="s">
        <v>61</v>
      </c>
      <c r="D9" s="290" t="s">
        <v>56</v>
      </c>
      <c r="E9" s="291">
        <v>135</v>
      </c>
      <c r="F9" s="177">
        <v>284180</v>
      </c>
      <c r="G9" s="550">
        <f t="shared" si="0"/>
        <v>38364300</v>
      </c>
    </row>
    <row r="10" spans="1:7" ht="30" customHeight="1" x14ac:dyDescent="0.25">
      <c r="A10" s="174"/>
      <c r="B10" s="549" t="s">
        <v>62</v>
      </c>
      <c r="C10" s="184" t="s">
        <v>63</v>
      </c>
      <c r="D10" s="290" t="s">
        <v>64</v>
      </c>
      <c r="E10" s="291">
        <v>2065.2200000000003</v>
      </c>
      <c r="F10" s="177">
        <v>32000</v>
      </c>
      <c r="G10" s="550">
        <f t="shared" si="0"/>
        <v>66087040.000000007</v>
      </c>
    </row>
    <row r="11" spans="1:7" ht="30" customHeight="1" x14ac:dyDescent="0.25">
      <c r="A11" s="174"/>
      <c r="B11" s="549" t="s">
        <v>65</v>
      </c>
      <c r="C11" s="289" t="s">
        <v>66</v>
      </c>
      <c r="D11" s="176" t="s">
        <v>56</v>
      </c>
      <c r="E11" s="182">
        <v>7219</v>
      </c>
      <c r="F11" s="177">
        <v>7176</v>
      </c>
      <c r="G11" s="550">
        <f t="shared" si="0"/>
        <v>51803544</v>
      </c>
    </row>
    <row r="12" spans="1:7" ht="30" customHeight="1" x14ac:dyDescent="0.25">
      <c r="A12" s="174"/>
      <c r="B12" s="549" t="s">
        <v>67</v>
      </c>
      <c r="C12" s="289" t="s">
        <v>68</v>
      </c>
      <c r="D12" s="176" t="s">
        <v>64</v>
      </c>
      <c r="E12" s="182">
        <v>15.5</v>
      </c>
      <c r="F12" s="177">
        <v>190749</v>
      </c>
      <c r="G12" s="550">
        <f t="shared" si="0"/>
        <v>2956609.5</v>
      </c>
    </row>
    <row r="13" spans="1:7" ht="30" customHeight="1" x14ac:dyDescent="0.25">
      <c r="A13" s="174"/>
      <c r="B13" s="549" t="s">
        <v>69</v>
      </c>
      <c r="C13" s="289" t="s">
        <v>70</v>
      </c>
      <c r="D13" s="176" t="s">
        <v>56</v>
      </c>
      <c r="E13" s="182">
        <v>125</v>
      </c>
      <c r="F13" s="177">
        <v>12572</v>
      </c>
      <c r="G13" s="550">
        <f t="shared" si="0"/>
        <v>1571500</v>
      </c>
    </row>
    <row r="14" spans="1:7" ht="36" customHeight="1" x14ac:dyDescent="0.25">
      <c r="A14" s="174"/>
      <c r="B14" s="549" t="s">
        <v>71</v>
      </c>
      <c r="C14" s="289" t="s">
        <v>72</v>
      </c>
      <c r="D14" s="176" t="s">
        <v>56</v>
      </c>
      <c r="E14" s="182">
        <v>7928</v>
      </c>
      <c r="F14" s="177">
        <v>10467</v>
      </c>
      <c r="G14" s="550">
        <f t="shared" si="0"/>
        <v>82982376</v>
      </c>
    </row>
    <row r="15" spans="1:7" ht="39" customHeight="1" x14ac:dyDescent="0.25">
      <c r="A15" s="174"/>
      <c r="B15" s="549" t="s">
        <v>73</v>
      </c>
      <c r="C15" s="184" t="s">
        <v>74</v>
      </c>
      <c r="D15" s="185" t="s">
        <v>64</v>
      </c>
      <c r="E15" s="182">
        <v>1033</v>
      </c>
      <c r="F15" s="177">
        <v>28356</v>
      </c>
      <c r="G15" s="550">
        <f t="shared" si="0"/>
        <v>29291748</v>
      </c>
    </row>
    <row r="16" spans="1:7" ht="39.75" customHeight="1" x14ac:dyDescent="0.25">
      <c r="A16" s="174"/>
      <c r="B16" s="549" t="s">
        <v>75</v>
      </c>
      <c r="C16" s="184" t="s">
        <v>76</v>
      </c>
      <c r="D16" s="185" t="s">
        <v>59</v>
      </c>
      <c r="E16" s="182">
        <v>1610</v>
      </c>
      <c r="F16" s="177">
        <v>11441</v>
      </c>
      <c r="G16" s="550">
        <f t="shared" si="0"/>
        <v>18420010</v>
      </c>
    </row>
    <row r="17" spans="1:7" ht="39.75" customHeight="1" x14ac:dyDescent="0.25">
      <c r="A17" s="174"/>
      <c r="B17" s="549" t="s">
        <v>77</v>
      </c>
      <c r="C17" s="184" t="s">
        <v>78</v>
      </c>
      <c r="D17" s="185" t="s">
        <v>64</v>
      </c>
      <c r="E17" s="182">
        <v>271.3</v>
      </c>
      <c r="F17" s="177">
        <v>20184</v>
      </c>
      <c r="G17" s="550">
        <f t="shared" si="0"/>
        <v>5475919.2000000002</v>
      </c>
    </row>
    <row r="18" spans="1:7" s="540" customFormat="1" ht="39.75" customHeight="1" x14ac:dyDescent="0.25">
      <c r="A18" s="515"/>
      <c r="B18" s="549" t="s">
        <v>79</v>
      </c>
      <c r="C18" s="292" t="s">
        <v>964</v>
      </c>
      <c r="D18" s="293" t="s">
        <v>64</v>
      </c>
      <c r="E18" s="294">
        <v>544</v>
      </c>
      <c r="F18" s="295">
        <f>APU!F675</f>
        <v>22750</v>
      </c>
      <c r="G18" s="550">
        <f t="shared" si="0"/>
        <v>12376000</v>
      </c>
    </row>
    <row r="19" spans="1:7" ht="30" customHeight="1" x14ac:dyDescent="0.25">
      <c r="A19" s="174"/>
      <c r="B19" s="549" t="s">
        <v>81</v>
      </c>
      <c r="C19" s="184" t="s">
        <v>80</v>
      </c>
      <c r="D19" s="185" t="s">
        <v>64</v>
      </c>
      <c r="E19" s="182">
        <v>2667.8</v>
      </c>
      <c r="F19" s="177">
        <v>74771</v>
      </c>
      <c r="G19" s="550">
        <f t="shared" si="0"/>
        <v>199474073.80000001</v>
      </c>
    </row>
    <row r="20" spans="1:7" ht="30" customHeight="1" x14ac:dyDescent="0.25">
      <c r="A20" s="174"/>
      <c r="B20" s="549" t="s">
        <v>83</v>
      </c>
      <c r="C20" s="184" t="s">
        <v>82</v>
      </c>
      <c r="D20" s="185" t="s">
        <v>64</v>
      </c>
      <c r="E20" s="182">
        <v>268.89999999999998</v>
      </c>
      <c r="F20" s="177">
        <v>29898</v>
      </c>
      <c r="G20" s="550">
        <f t="shared" si="0"/>
        <v>8039572.1999999993</v>
      </c>
    </row>
    <row r="21" spans="1:7" ht="30" customHeight="1" x14ac:dyDescent="0.25">
      <c r="A21" s="174"/>
      <c r="B21" s="549" t="s">
        <v>86</v>
      </c>
      <c r="C21" s="184" t="s">
        <v>84</v>
      </c>
      <c r="D21" s="185" t="s">
        <v>85</v>
      </c>
      <c r="E21" s="182">
        <v>1</v>
      </c>
      <c r="F21" s="177">
        <v>4025370</v>
      </c>
      <c r="G21" s="550">
        <f t="shared" si="0"/>
        <v>4025370</v>
      </c>
    </row>
    <row r="22" spans="1:7" ht="30" customHeight="1" x14ac:dyDescent="0.25">
      <c r="A22" s="174"/>
      <c r="B22" s="549" t="s">
        <v>88</v>
      </c>
      <c r="C22" s="184" t="s">
        <v>87</v>
      </c>
      <c r="D22" s="185" t="s">
        <v>85</v>
      </c>
      <c r="E22" s="182">
        <v>1</v>
      </c>
      <c r="F22" s="177">
        <v>3035750</v>
      </c>
      <c r="G22" s="550">
        <f t="shared" si="0"/>
        <v>3035750</v>
      </c>
    </row>
    <row r="23" spans="1:7" ht="30" customHeight="1" x14ac:dyDescent="0.25">
      <c r="A23" s="174"/>
      <c r="B23" s="549" t="s">
        <v>90</v>
      </c>
      <c r="C23" s="184" t="s">
        <v>89</v>
      </c>
      <c r="D23" s="185" t="s">
        <v>85</v>
      </c>
      <c r="E23" s="182">
        <v>1</v>
      </c>
      <c r="F23" s="177">
        <v>33450720</v>
      </c>
      <c r="G23" s="550">
        <f t="shared" si="0"/>
        <v>33450720</v>
      </c>
    </row>
    <row r="24" spans="1:7" ht="30" customHeight="1" x14ac:dyDescent="0.25">
      <c r="A24" s="174"/>
      <c r="B24" s="549" t="s">
        <v>92</v>
      </c>
      <c r="C24" s="184" t="s">
        <v>91</v>
      </c>
      <c r="D24" s="185" t="s">
        <v>85</v>
      </c>
      <c r="E24" s="182">
        <v>1</v>
      </c>
      <c r="F24" s="177">
        <v>29780670</v>
      </c>
      <c r="G24" s="550">
        <f t="shared" si="0"/>
        <v>29780670</v>
      </c>
    </row>
    <row r="25" spans="1:7" ht="30" customHeight="1" x14ac:dyDescent="0.25">
      <c r="A25" s="174"/>
      <c r="B25" s="549" t="s">
        <v>93</v>
      </c>
      <c r="C25" s="184" t="s">
        <v>635</v>
      </c>
      <c r="D25" s="185" t="s">
        <v>56</v>
      </c>
      <c r="E25" s="182">
        <v>259</v>
      </c>
      <c r="F25" s="177">
        <v>23580</v>
      </c>
      <c r="G25" s="550">
        <f t="shared" si="0"/>
        <v>6107220</v>
      </c>
    </row>
    <row r="26" spans="1:7" ht="30" customHeight="1" x14ac:dyDescent="0.25">
      <c r="A26" s="174"/>
      <c r="B26" s="549" t="s">
        <v>95</v>
      </c>
      <c r="C26" s="184" t="s">
        <v>94</v>
      </c>
      <c r="D26" s="185" t="s">
        <v>56</v>
      </c>
      <c r="E26" s="182">
        <v>82</v>
      </c>
      <c r="F26" s="177">
        <v>12570</v>
      </c>
      <c r="G26" s="550">
        <f t="shared" si="0"/>
        <v>1030740</v>
      </c>
    </row>
    <row r="27" spans="1:7" ht="30" customHeight="1" x14ac:dyDescent="0.25">
      <c r="A27" s="174"/>
      <c r="B27" s="549" t="s">
        <v>97</v>
      </c>
      <c r="C27" s="184" t="s">
        <v>96</v>
      </c>
      <c r="D27" s="185" t="s">
        <v>64</v>
      </c>
      <c r="E27" s="182">
        <v>125</v>
      </c>
      <c r="F27" s="177">
        <v>24850</v>
      </c>
      <c r="G27" s="550">
        <f t="shared" si="0"/>
        <v>3106250</v>
      </c>
    </row>
    <row r="28" spans="1:7" ht="30" customHeight="1" x14ac:dyDescent="0.25">
      <c r="A28" s="174"/>
      <c r="B28" s="549" t="s">
        <v>100</v>
      </c>
      <c r="C28" s="184" t="s">
        <v>98</v>
      </c>
      <c r="D28" s="185" t="s">
        <v>99</v>
      </c>
      <c r="E28" s="182">
        <v>275</v>
      </c>
      <c r="F28" s="177">
        <v>25000</v>
      </c>
      <c r="G28" s="550">
        <f t="shared" si="0"/>
        <v>6875000</v>
      </c>
    </row>
    <row r="29" spans="1:7" ht="30" customHeight="1" x14ac:dyDescent="0.25">
      <c r="A29" s="174"/>
      <c r="B29" s="549" t="s">
        <v>1317</v>
      </c>
      <c r="C29" s="184" t="s">
        <v>101</v>
      </c>
      <c r="D29" s="185" t="s">
        <v>59</v>
      </c>
      <c r="E29" s="182">
        <v>1096</v>
      </c>
      <c r="F29" s="177">
        <v>8000</v>
      </c>
      <c r="G29" s="550">
        <f t="shared" si="0"/>
        <v>8768000</v>
      </c>
    </row>
    <row r="30" spans="1:7" ht="30" customHeight="1" thickBot="1" x14ac:dyDescent="0.3">
      <c r="A30" s="174"/>
      <c r="B30" s="551"/>
      <c r="C30" s="296" t="s">
        <v>102</v>
      </c>
      <c r="D30" s="297"/>
      <c r="E30" s="297"/>
      <c r="F30" s="298"/>
      <c r="G30" s="552">
        <f>SUM(G7:G29)</f>
        <v>653425569.70000005</v>
      </c>
    </row>
    <row r="31" spans="1:7" ht="30" customHeight="1" thickTop="1" x14ac:dyDescent="0.25">
      <c r="A31" s="174"/>
      <c r="B31" s="553">
        <v>2</v>
      </c>
      <c r="C31" s="175" t="s">
        <v>103</v>
      </c>
      <c r="D31" s="176"/>
      <c r="E31" s="176"/>
      <c r="F31" s="177"/>
      <c r="G31" s="550"/>
    </row>
    <row r="32" spans="1:7" ht="30" customHeight="1" x14ac:dyDescent="0.25">
      <c r="A32" s="174"/>
      <c r="B32" s="549" t="s">
        <v>104</v>
      </c>
      <c r="C32" s="184" t="s">
        <v>105</v>
      </c>
      <c r="D32" s="185" t="s">
        <v>56</v>
      </c>
      <c r="E32" s="182">
        <v>374.2</v>
      </c>
      <c r="F32" s="177">
        <v>32615</v>
      </c>
      <c r="G32" s="550">
        <f t="shared" ref="G32:G45" si="1">E32*F32</f>
        <v>12204533</v>
      </c>
    </row>
    <row r="33" spans="1:7" ht="30" customHeight="1" x14ac:dyDescent="0.25">
      <c r="A33" s="174"/>
      <c r="B33" s="549" t="s">
        <v>106</v>
      </c>
      <c r="C33" s="184" t="s">
        <v>1047</v>
      </c>
      <c r="D33" s="185" t="s">
        <v>64</v>
      </c>
      <c r="E33" s="182">
        <v>168.25</v>
      </c>
      <c r="F33" s="177">
        <v>693778</v>
      </c>
      <c r="G33" s="550">
        <f t="shared" si="1"/>
        <v>116728148.5</v>
      </c>
    </row>
    <row r="34" spans="1:7" ht="30" customHeight="1" x14ac:dyDescent="0.25">
      <c r="A34" s="174"/>
      <c r="B34" s="549" t="s">
        <v>107</v>
      </c>
      <c r="C34" s="184" t="s">
        <v>1048</v>
      </c>
      <c r="D34" s="185" t="s">
        <v>64</v>
      </c>
      <c r="E34" s="182">
        <v>52.5</v>
      </c>
      <c r="F34" s="177">
        <v>748778</v>
      </c>
      <c r="G34" s="550">
        <f t="shared" si="1"/>
        <v>39310845</v>
      </c>
    </row>
    <row r="35" spans="1:7" ht="30" customHeight="1" x14ac:dyDescent="0.25">
      <c r="A35" s="174"/>
      <c r="B35" s="549" t="s">
        <v>108</v>
      </c>
      <c r="C35" s="184" t="s">
        <v>1049</v>
      </c>
      <c r="D35" s="185" t="s">
        <v>64</v>
      </c>
      <c r="E35" s="182">
        <v>287.5</v>
      </c>
      <c r="F35" s="177">
        <v>723778</v>
      </c>
      <c r="G35" s="550">
        <f t="shared" si="1"/>
        <v>208086175</v>
      </c>
    </row>
    <row r="36" spans="1:7" ht="30" customHeight="1" x14ac:dyDescent="0.25">
      <c r="A36" s="174"/>
      <c r="B36" s="549" t="s">
        <v>109</v>
      </c>
      <c r="C36" s="184" t="s">
        <v>1050</v>
      </c>
      <c r="D36" s="185" t="s">
        <v>64</v>
      </c>
      <c r="E36" s="182">
        <v>119.4</v>
      </c>
      <c r="F36" s="177">
        <v>827326</v>
      </c>
      <c r="G36" s="550">
        <f t="shared" si="1"/>
        <v>98782724.400000006</v>
      </c>
    </row>
    <row r="37" spans="1:7" ht="30" customHeight="1" x14ac:dyDescent="0.25">
      <c r="A37" s="174"/>
      <c r="B37" s="549" t="s">
        <v>110</v>
      </c>
      <c r="C37" s="184" t="s">
        <v>1051</v>
      </c>
      <c r="D37" s="185" t="s">
        <v>64</v>
      </c>
      <c r="E37" s="182">
        <v>104.60000000000001</v>
      </c>
      <c r="F37" s="177">
        <v>800161</v>
      </c>
      <c r="G37" s="550">
        <f t="shared" si="1"/>
        <v>83696840.600000009</v>
      </c>
    </row>
    <row r="38" spans="1:7" ht="39" customHeight="1" x14ac:dyDescent="0.25">
      <c r="A38" s="174"/>
      <c r="B38" s="549" t="s">
        <v>111</v>
      </c>
      <c r="C38" s="289" t="s">
        <v>1046</v>
      </c>
      <c r="D38" s="176" t="s">
        <v>59</v>
      </c>
      <c r="E38" s="182">
        <v>824</v>
      </c>
      <c r="F38" s="177">
        <f>+ROUND((F37+45000-181000-199000+220000+250000)*0.15*0.2,0)</f>
        <v>28055</v>
      </c>
      <c r="G38" s="550">
        <f t="shared" si="1"/>
        <v>23117320</v>
      </c>
    </row>
    <row r="39" spans="1:7" ht="41.25" customHeight="1" x14ac:dyDescent="0.25">
      <c r="A39" s="174"/>
      <c r="B39" s="549" t="s">
        <v>112</v>
      </c>
      <c r="C39" s="289" t="s">
        <v>1052</v>
      </c>
      <c r="D39" s="176" t="s">
        <v>59</v>
      </c>
      <c r="E39" s="182">
        <v>3773</v>
      </c>
      <c r="F39" s="177">
        <f>ROUND((F36+45000-180000-200000+230000+250000)*0.15*0.15,0)</f>
        <v>21877</v>
      </c>
      <c r="G39" s="550">
        <f t="shared" si="1"/>
        <v>82541921</v>
      </c>
    </row>
    <row r="40" spans="1:7" ht="28.5" customHeight="1" x14ac:dyDescent="0.25">
      <c r="A40" s="174"/>
      <c r="B40" s="549" t="s">
        <v>113</v>
      </c>
      <c r="C40" s="289" t="s">
        <v>1053</v>
      </c>
      <c r="D40" s="176" t="s">
        <v>56</v>
      </c>
      <c r="E40" s="182">
        <v>861</v>
      </c>
      <c r="F40" s="177">
        <f>+ROUND((F36-200000+400000)*0.15,0)</f>
        <v>154099</v>
      </c>
      <c r="G40" s="550">
        <f t="shared" si="1"/>
        <v>132679239</v>
      </c>
    </row>
    <row r="41" spans="1:7" ht="28.5" customHeight="1" x14ac:dyDescent="0.25">
      <c r="A41" s="174"/>
      <c r="B41" s="549" t="s">
        <v>115</v>
      </c>
      <c r="C41" s="289" t="s">
        <v>116</v>
      </c>
      <c r="D41" s="176" t="s">
        <v>117</v>
      </c>
      <c r="E41" s="182">
        <v>46043.87</v>
      </c>
      <c r="F41" s="177">
        <v>11104</v>
      </c>
      <c r="G41" s="550">
        <f t="shared" si="1"/>
        <v>511271132.48000002</v>
      </c>
    </row>
    <row r="42" spans="1:7" ht="30" customHeight="1" x14ac:dyDescent="0.25">
      <c r="A42" s="174"/>
      <c r="B42" s="549" t="s">
        <v>118</v>
      </c>
      <c r="C42" s="289" t="s">
        <v>119</v>
      </c>
      <c r="D42" s="176" t="s">
        <v>117</v>
      </c>
      <c r="E42" s="182">
        <v>104442</v>
      </c>
      <c r="F42" s="177">
        <v>4292</v>
      </c>
      <c r="G42" s="550">
        <f t="shared" si="1"/>
        <v>448265064</v>
      </c>
    </row>
    <row r="43" spans="1:7" ht="30" customHeight="1" x14ac:dyDescent="0.25">
      <c r="A43" s="174"/>
      <c r="B43" s="549" t="s">
        <v>120</v>
      </c>
      <c r="C43" s="289" t="s">
        <v>1324</v>
      </c>
      <c r="D43" s="176" t="s">
        <v>59</v>
      </c>
      <c r="E43" s="182">
        <v>1605</v>
      </c>
      <c r="F43" s="177">
        <f>ROUND(32960+0.2*0.08*90*4300,0)</f>
        <v>39152</v>
      </c>
      <c r="G43" s="550">
        <f t="shared" si="1"/>
        <v>62838960</v>
      </c>
    </row>
    <row r="44" spans="1:7" ht="30" customHeight="1" x14ac:dyDescent="0.25">
      <c r="A44" s="174"/>
      <c r="B44" s="549" t="s">
        <v>121</v>
      </c>
      <c r="C44" s="289" t="s">
        <v>122</v>
      </c>
      <c r="D44" s="176" t="s">
        <v>99</v>
      </c>
      <c r="E44" s="182">
        <v>300</v>
      </c>
      <c r="F44" s="177">
        <v>115240</v>
      </c>
      <c r="G44" s="550">
        <f t="shared" si="1"/>
        <v>34572000</v>
      </c>
    </row>
    <row r="45" spans="1:7" ht="42.75" customHeight="1" x14ac:dyDescent="0.25">
      <c r="A45" s="174"/>
      <c r="B45" s="549" t="s">
        <v>123</v>
      </c>
      <c r="C45" s="289" t="s">
        <v>124</v>
      </c>
      <c r="D45" s="176" t="s">
        <v>56</v>
      </c>
      <c r="E45" s="182">
        <v>800</v>
      </c>
      <c r="F45" s="177">
        <v>41688</v>
      </c>
      <c r="G45" s="550">
        <f t="shared" si="1"/>
        <v>33350400</v>
      </c>
    </row>
    <row r="46" spans="1:7" ht="30" customHeight="1" thickBot="1" x14ac:dyDescent="0.3">
      <c r="A46" s="174"/>
      <c r="B46" s="551"/>
      <c r="C46" s="296" t="s">
        <v>125</v>
      </c>
      <c r="D46" s="297"/>
      <c r="E46" s="297"/>
      <c r="F46" s="298"/>
      <c r="G46" s="552">
        <f>SUM(G32:G45)</f>
        <v>1887445302.98</v>
      </c>
    </row>
    <row r="47" spans="1:7" ht="30" customHeight="1" thickTop="1" x14ac:dyDescent="0.25">
      <c r="A47" s="174"/>
      <c r="B47" s="553">
        <v>3</v>
      </c>
      <c r="C47" s="175" t="s">
        <v>126</v>
      </c>
      <c r="D47" s="176"/>
      <c r="E47" s="176"/>
      <c r="F47" s="177"/>
      <c r="G47" s="550"/>
    </row>
    <row r="48" spans="1:7" ht="54.75" customHeight="1" x14ac:dyDescent="0.25">
      <c r="A48" s="174"/>
      <c r="B48" s="549" t="s">
        <v>127</v>
      </c>
      <c r="C48" s="183" t="s">
        <v>128</v>
      </c>
      <c r="D48" s="181" t="s">
        <v>56</v>
      </c>
      <c r="E48" s="182">
        <v>1610</v>
      </c>
      <c r="F48" s="177">
        <v>84109</v>
      </c>
      <c r="G48" s="550">
        <f t="shared" ref="G48:G49" si="2">E48*F48</f>
        <v>135415490</v>
      </c>
    </row>
    <row r="49" spans="1:7" ht="30" customHeight="1" x14ac:dyDescent="0.25">
      <c r="A49" s="174"/>
      <c r="B49" s="549" t="s">
        <v>129</v>
      </c>
      <c r="C49" s="183" t="s">
        <v>130</v>
      </c>
      <c r="D49" s="181" t="s">
        <v>56</v>
      </c>
      <c r="E49" s="182">
        <v>954</v>
      </c>
      <c r="F49" s="177">
        <v>68434</v>
      </c>
      <c r="G49" s="550">
        <f t="shared" si="2"/>
        <v>65286036</v>
      </c>
    </row>
    <row r="50" spans="1:7" ht="30" customHeight="1" thickBot="1" x14ac:dyDescent="0.3">
      <c r="A50" s="174"/>
      <c r="B50" s="551"/>
      <c r="C50" s="296" t="s">
        <v>131</v>
      </c>
      <c r="D50" s="297"/>
      <c r="E50" s="297"/>
      <c r="F50" s="298"/>
      <c r="G50" s="552">
        <f>SUM(G47:G49)</f>
        <v>200701526</v>
      </c>
    </row>
    <row r="51" spans="1:7" ht="30" customHeight="1" thickTop="1" x14ac:dyDescent="0.25">
      <c r="A51" s="174"/>
      <c r="B51" s="553">
        <v>4</v>
      </c>
      <c r="C51" s="175" t="s">
        <v>132</v>
      </c>
      <c r="D51" s="176"/>
      <c r="E51" s="176"/>
      <c r="F51" s="177"/>
      <c r="G51" s="550"/>
    </row>
    <row r="52" spans="1:7" ht="31.5" customHeight="1" x14ac:dyDescent="0.25">
      <c r="A52" s="174"/>
      <c r="B52" s="549" t="s">
        <v>133</v>
      </c>
      <c r="C52" s="183" t="s">
        <v>134</v>
      </c>
      <c r="D52" s="181" t="s">
        <v>56</v>
      </c>
      <c r="E52" s="182">
        <v>3481</v>
      </c>
      <c r="F52" s="177">
        <v>18645</v>
      </c>
      <c r="G52" s="550">
        <f t="shared" ref="G52:G54" si="3">E52*F52</f>
        <v>64903245</v>
      </c>
    </row>
    <row r="53" spans="1:7" ht="31.5" customHeight="1" x14ac:dyDescent="0.25">
      <c r="A53" s="174"/>
      <c r="B53" s="549" t="s">
        <v>135</v>
      </c>
      <c r="C53" s="183" t="s">
        <v>134</v>
      </c>
      <c r="D53" s="181" t="s">
        <v>59</v>
      </c>
      <c r="E53" s="182">
        <v>210</v>
      </c>
      <c r="F53" s="177">
        <v>11627</v>
      </c>
      <c r="G53" s="550">
        <f t="shared" si="3"/>
        <v>2441670</v>
      </c>
    </row>
    <row r="54" spans="1:7" ht="31.5" customHeight="1" x14ac:dyDescent="0.25">
      <c r="A54" s="174"/>
      <c r="B54" s="549" t="s">
        <v>136</v>
      </c>
      <c r="C54" s="183" t="s">
        <v>137</v>
      </c>
      <c r="D54" s="181" t="s">
        <v>56</v>
      </c>
      <c r="E54" s="182">
        <v>3119</v>
      </c>
      <c r="F54" s="177">
        <v>41538</v>
      </c>
      <c r="G54" s="550">
        <f t="shared" si="3"/>
        <v>129557022</v>
      </c>
    </row>
    <row r="55" spans="1:7" ht="30" customHeight="1" thickBot="1" x14ac:dyDescent="0.3">
      <c r="A55" s="174"/>
      <c r="B55" s="551"/>
      <c r="C55" s="296" t="s">
        <v>138</v>
      </c>
      <c r="D55" s="297"/>
      <c r="E55" s="297"/>
      <c r="F55" s="298"/>
      <c r="G55" s="552">
        <f>SUM(G51:G54)</f>
        <v>196901937</v>
      </c>
    </row>
    <row r="56" spans="1:7" ht="30" customHeight="1" thickTop="1" x14ac:dyDescent="0.25">
      <c r="A56" s="174"/>
      <c r="B56" s="553">
        <v>5</v>
      </c>
      <c r="C56" s="175" t="s">
        <v>139</v>
      </c>
      <c r="D56" s="176"/>
      <c r="E56" s="176"/>
      <c r="F56" s="177"/>
      <c r="G56" s="550"/>
    </row>
    <row r="57" spans="1:7" ht="30" customHeight="1" x14ac:dyDescent="0.25">
      <c r="A57" s="174"/>
      <c r="B57" s="549" t="s">
        <v>140</v>
      </c>
      <c r="C57" s="183" t="s">
        <v>141</v>
      </c>
      <c r="D57" s="181" t="s">
        <v>56</v>
      </c>
      <c r="E57" s="182">
        <v>2189</v>
      </c>
      <c r="F57" s="177">
        <v>12083</v>
      </c>
      <c r="G57" s="550">
        <f t="shared" ref="G57:G65" si="4">E57*F57</f>
        <v>26449687</v>
      </c>
    </row>
    <row r="58" spans="1:7" ht="30" customHeight="1" x14ac:dyDescent="0.25">
      <c r="A58" s="174"/>
      <c r="B58" s="549" t="s">
        <v>142</v>
      </c>
      <c r="C58" s="183" t="s">
        <v>141</v>
      </c>
      <c r="D58" s="181" t="s">
        <v>59</v>
      </c>
      <c r="E58" s="182">
        <v>320</v>
      </c>
      <c r="F58" s="177">
        <v>7250</v>
      </c>
      <c r="G58" s="550">
        <f t="shared" si="4"/>
        <v>2320000</v>
      </c>
    </row>
    <row r="59" spans="1:7" ht="30" customHeight="1" x14ac:dyDescent="0.25">
      <c r="A59" s="174"/>
      <c r="B59" s="549" t="s">
        <v>143</v>
      </c>
      <c r="C59" s="183" t="s">
        <v>144</v>
      </c>
      <c r="D59" s="181" t="s">
        <v>56</v>
      </c>
      <c r="E59" s="182">
        <v>16021</v>
      </c>
      <c r="F59" s="177">
        <v>13889</v>
      </c>
      <c r="G59" s="550">
        <f t="shared" si="4"/>
        <v>222515669</v>
      </c>
    </row>
    <row r="60" spans="1:7" ht="30" customHeight="1" x14ac:dyDescent="0.25">
      <c r="A60" s="174"/>
      <c r="B60" s="549" t="s">
        <v>145</v>
      </c>
      <c r="C60" s="183" t="s">
        <v>144</v>
      </c>
      <c r="D60" s="181" t="s">
        <v>59</v>
      </c>
      <c r="E60" s="182">
        <v>5830</v>
      </c>
      <c r="F60" s="177">
        <v>9850</v>
      </c>
      <c r="G60" s="550">
        <f t="shared" si="4"/>
        <v>57425500</v>
      </c>
    </row>
    <row r="61" spans="1:7" ht="30" customHeight="1" x14ac:dyDescent="0.25">
      <c r="A61" s="174"/>
      <c r="B61" s="549" t="s">
        <v>146</v>
      </c>
      <c r="C61" s="183" t="s">
        <v>147</v>
      </c>
      <c r="D61" s="181" t="s">
        <v>56</v>
      </c>
      <c r="E61" s="182">
        <v>27913</v>
      </c>
      <c r="F61" s="177">
        <v>17000</v>
      </c>
      <c r="G61" s="550">
        <f t="shared" si="4"/>
        <v>474521000</v>
      </c>
    </row>
    <row r="62" spans="1:7" ht="30" customHeight="1" x14ac:dyDescent="0.25">
      <c r="A62" s="174"/>
      <c r="B62" s="549" t="s">
        <v>148</v>
      </c>
      <c r="C62" s="183" t="s">
        <v>147</v>
      </c>
      <c r="D62" s="181" t="s">
        <v>59</v>
      </c>
      <c r="E62" s="182">
        <v>3562</v>
      </c>
      <c r="F62" s="177">
        <v>10200</v>
      </c>
      <c r="G62" s="550">
        <f t="shared" si="4"/>
        <v>36332400</v>
      </c>
    </row>
    <row r="63" spans="1:7" ht="30" customHeight="1" x14ac:dyDescent="0.25">
      <c r="A63" s="174"/>
      <c r="B63" s="549" t="s">
        <v>1434</v>
      </c>
      <c r="C63" s="183" t="s">
        <v>150</v>
      </c>
      <c r="D63" s="181" t="s">
        <v>56</v>
      </c>
      <c r="E63" s="182">
        <v>5460</v>
      </c>
      <c r="F63" s="177">
        <v>32520</v>
      </c>
      <c r="G63" s="550">
        <f t="shared" si="4"/>
        <v>177559200</v>
      </c>
    </row>
    <row r="64" spans="1:7" ht="30" customHeight="1" x14ac:dyDescent="0.25">
      <c r="A64" s="174"/>
      <c r="B64" s="549" t="s">
        <v>1435</v>
      </c>
      <c r="C64" s="183" t="s">
        <v>151</v>
      </c>
      <c r="D64" s="181" t="s">
        <v>56</v>
      </c>
      <c r="E64" s="182">
        <v>82</v>
      </c>
      <c r="F64" s="177">
        <v>30350</v>
      </c>
      <c r="G64" s="550">
        <f t="shared" si="4"/>
        <v>2488700</v>
      </c>
    </row>
    <row r="65" spans="1:7" ht="30" customHeight="1" x14ac:dyDescent="0.25">
      <c r="A65" s="174"/>
      <c r="B65" s="549" t="s">
        <v>149</v>
      </c>
      <c r="C65" s="183" t="s">
        <v>152</v>
      </c>
      <c r="D65" s="181" t="s">
        <v>56</v>
      </c>
      <c r="E65" s="182">
        <v>18732</v>
      </c>
      <c r="F65" s="177">
        <v>9861</v>
      </c>
      <c r="G65" s="550">
        <f t="shared" si="4"/>
        <v>184716252</v>
      </c>
    </row>
    <row r="66" spans="1:7" ht="30" customHeight="1" thickBot="1" x14ac:dyDescent="0.3">
      <c r="A66" s="174"/>
      <c r="B66" s="551"/>
      <c r="C66" s="296" t="s">
        <v>153</v>
      </c>
      <c r="D66" s="297"/>
      <c r="E66" s="297"/>
      <c r="F66" s="298"/>
      <c r="G66" s="552">
        <f>SUM(G56:G65)</f>
        <v>1184328408</v>
      </c>
    </row>
    <row r="67" spans="1:7" ht="30" customHeight="1" thickTop="1" x14ac:dyDescent="0.25">
      <c r="A67" s="174"/>
      <c r="B67" s="553">
        <v>6</v>
      </c>
      <c r="C67" s="175" t="s">
        <v>154</v>
      </c>
      <c r="D67" s="176"/>
      <c r="E67" s="176"/>
      <c r="F67" s="177"/>
      <c r="G67" s="550"/>
    </row>
    <row r="68" spans="1:7" ht="41.25" customHeight="1" x14ac:dyDescent="0.25">
      <c r="A68" s="174"/>
      <c r="B68" s="549" t="s">
        <v>155</v>
      </c>
      <c r="C68" s="183" t="s">
        <v>156</v>
      </c>
      <c r="D68" s="181" t="s">
        <v>56</v>
      </c>
      <c r="E68" s="182">
        <v>4993</v>
      </c>
      <c r="F68" s="177">
        <v>94773</v>
      </c>
      <c r="G68" s="550">
        <f t="shared" ref="G68:G70" si="5">E68*F68</f>
        <v>473201589</v>
      </c>
    </row>
    <row r="69" spans="1:7" ht="41.25" customHeight="1" x14ac:dyDescent="0.25">
      <c r="A69" s="174"/>
      <c r="B69" s="549" t="s">
        <v>157</v>
      </c>
      <c r="C69" s="183" t="s">
        <v>158</v>
      </c>
      <c r="D69" s="181" t="s">
        <v>56</v>
      </c>
      <c r="E69" s="182">
        <v>2000</v>
      </c>
      <c r="F69" s="177">
        <v>72850</v>
      </c>
      <c r="G69" s="550">
        <f t="shared" si="5"/>
        <v>145700000</v>
      </c>
    </row>
    <row r="70" spans="1:7" ht="32.25" customHeight="1" x14ac:dyDescent="0.25">
      <c r="A70" s="174"/>
      <c r="B70" s="549" t="s">
        <v>159</v>
      </c>
      <c r="C70" s="183" t="s">
        <v>160</v>
      </c>
      <c r="D70" s="181" t="s">
        <v>56</v>
      </c>
      <c r="E70" s="182">
        <v>82</v>
      </c>
      <c r="F70" s="177">
        <v>153000</v>
      </c>
      <c r="G70" s="550">
        <f t="shared" si="5"/>
        <v>12546000</v>
      </c>
    </row>
    <row r="71" spans="1:7" ht="30" customHeight="1" thickBot="1" x14ac:dyDescent="0.3">
      <c r="A71" s="174"/>
      <c r="B71" s="551"/>
      <c r="C71" s="296" t="s">
        <v>161</v>
      </c>
      <c r="D71" s="297"/>
      <c r="E71" s="297"/>
      <c r="F71" s="298"/>
      <c r="G71" s="552">
        <f>SUM(G67:G70)</f>
        <v>631447589</v>
      </c>
    </row>
    <row r="72" spans="1:7" ht="30" customHeight="1" thickTop="1" x14ac:dyDescent="0.25">
      <c r="A72" s="174"/>
      <c r="B72" s="553">
        <v>7</v>
      </c>
      <c r="C72" s="175" t="s">
        <v>162</v>
      </c>
      <c r="D72" s="176"/>
      <c r="E72" s="176"/>
      <c r="F72" s="177"/>
      <c r="G72" s="550"/>
    </row>
    <row r="73" spans="1:7" ht="28.5" customHeight="1" x14ac:dyDescent="0.25">
      <c r="A73" s="174"/>
      <c r="B73" s="549" t="s">
        <v>163</v>
      </c>
      <c r="C73" s="183" t="s">
        <v>164</v>
      </c>
      <c r="D73" s="181" t="s">
        <v>56</v>
      </c>
      <c r="E73" s="182">
        <v>11315</v>
      </c>
      <c r="F73" s="177">
        <v>70250</v>
      </c>
      <c r="G73" s="550">
        <f t="shared" ref="G73:G75" si="6">E73*F73</f>
        <v>794878750</v>
      </c>
    </row>
    <row r="74" spans="1:7" ht="28.5" customHeight="1" x14ac:dyDescent="0.25">
      <c r="A74" s="174"/>
      <c r="B74" s="549" t="s">
        <v>165</v>
      </c>
      <c r="C74" s="183" t="s">
        <v>1044</v>
      </c>
      <c r="D74" s="181" t="s">
        <v>56</v>
      </c>
      <c r="E74" s="182">
        <v>850</v>
      </c>
      <c r="F74" s="177">
        <f>APU!F3215</f>
        <v>103325</v>
      </c>
      <c r="G74" s="550">
        <f t="shared" ref="G74" si="7">E74*F74</f>
        <v>87826250</v>
      </c>
    </row>
    <row r="75" spans="1:7" ht="28.5" customHeight="1" x14ac:dyDescent="0.25">
      <c r="A75" s="174"/>
      <c r="B75" s="549" t="s">
        <v>1045</v>
      </c>
      <c r="C75" s="183" t="s">
        <v>166</v>
      </c>
      <c r="D75" s="181" t="s">
        <v>56</v>
      </c>
      <c r="E75" s="182">
        <v>2038</v>
      </c>
      <c r="F75" s="177">
        <v>45220</v>
      </c>
      <c r="G75" s="550">
        <f t="shared" si="6"/>
        <v>92158360</v>
      </c>
    </row>
    <row r="76" spans="1:7" ht="30" customHeight="1" thickBot="1" x14ac:dyDescent="0.3">
      <c r="A76" s="174"/>
      <c r="B76" s="551"/>
      <c r="C76" s="296" t="s">
        <v>167</v>
      </c>
      <c r="D76" s="297"/>
      <c r="E76" s="297"/>
      <c r="F76" s="298"/>
      <c r="G76" s="552">
        <f>SUM(G72:G75)</f>
        <v>974863360</v>
      </c>
    </row>
    <row r="77" spans="1:7" ht="30" customHeight="1" thickTop="1" x14ac:dyDescent="0.25">
      <c r="A77" s="174"/>
      <c r="B77" s="553">
        <v>8</v>
      </c>
      <c r="C77" s="175" t="s">
        <v>168</v>
      </c>
      <c r="D77" s="176"/>
      <c r="E77" s="176"/>
      <c r="F77" s="177"/>
      <c r="G77" s="550"/>
    </row>
    <row r="78" spans="1:7" ht="30" customHeight="1" x14ac:dyDescent="0.25">
      <c r="A78" s="174"/>
      <c r="B78" s="549">
        <v>8.1</v>
      </c>
      <c r="C78" s="183" t="s">
        <v>169</v>
      </c>
      <c r="D78" s="181" t="s">
        <v>56</v>
      </c>
      <c r="E78" s="182">
        <v>149</v>
      </c>
      <c r="F78" s="177">
        <v>75780</v>
      </c>
      <c r="G78" s="550">
        <f t="shared" ref="G78:G80" si="8">E78*F78</f>
        <v>11291220</v>
      </c>
    </row>
    <row r="79" spans="1:7" ht="30" customHeight="1" x14ac:dyDescent="0.25">
      <c r="A79" s="174"/>
      <c r="B79" s="549">
        <v>8.1999999999999993</v>
      </c>
      <c r="C79" s="183" t="s">
        <v>170</v>
      </c>
      <c r="D79" s="181" t="s">
        <v>56</v>
      </c>
      <c r="E79" s="182">
        <v>110</v>
      </c>
      <c r="F79" s="177">
        <v>155250</v>
      </c>
      <c r="G79" s="550">
        <f t="shared" si="8"/>
        <v>17077500</v>
      </c>
    </row>
    <row r="80" spans="1:7" ht="30" customHeight="1" x14ac:dyDescent="0.25">
      <c r="A80" s="174"/>
      <c r="B80" s="549">
        <v>8.3000000000000007</v>
      </c>
      <c r="C80" s="183" t="s">
        <v>171</v>
      </c>
      <c r="D80" s="181" t="s">
        <v>56</v>
      </c>
      <c r="E80" s="182">
        <v>2650</v>
      </c>
      <c r="F80" s="177">
        <v>130000</v>
      </c>
      <c r="G80" s="550">
        <f t="shared" si="8"/>
        <v>344500000</v>
      </c>
    </row>
    <row r="81" spans="1:7" ht="30" customHeight="1" thickBot="1" x14ac:dyDescent="0.3">
      <c r="A81" s="174"/>
      <c r="B81" s="551"/>
      <c r="C81" s="296" t="s">
        <v>172</v>
      </c>
      <c r="D81" s="297"/>
      <c r="E81" s="297"/>
      <c r="F81" s="298"/>
      <c r="G81" s="552">
        <f>SUM(G77:G80)</f>
        <v>372868720</v>
      </c>
    </row>
    <row r="82" spans="1:7" ht="30" customHeight="1" thickTop="1" x14ac:dyDescent="0.25">
      <c r="A82" s="174"/>
      <c r="B82" s="553">
        <v>9</v>
      </c>
      <c r="C82" s="175" t="s">
        <v>173</v>
      </c>
      <c r="D82" s="176"/>
      <c r="E82" s="176"/>
      <c r="F82" s="177"/>
      <c r="G82" s="550"/>
    </row>
    <row r="83" spans="1:7" ht="30" customHeight="1" x14ac:dyDescent="0.25">
      <c r="A83" s="174"/>
      <c r="B83" s="549" t="s">
        <v>174</v>
      </c>
      <c r="C83" s="183" t="s">
        <v>175</v>
      </c>
      <c r="D83" s="181" t="s">
        <v>56</v>
      </c>
      <c r="E83" s="182">
        <v>622.5</v>
      </c>
      <c r="F83" s="177">
        <v>166286.00000000006</v>
      </c>
      <c r="G83" s="550">
        <f t="shared" ref="G83:G91" si="9">E83*F83</f>
        <v>103513035.00000003</v>
      </c>
    </row>
    <row r="84" spans="1:7" ht="30" customHeight="1" x14ac:dyDescent="0.25">
      <c r="A84" s="174"/>
      <c r="B84" s="549" t="s">
        <v>176</v>
      </c>
      <c r="C84" s="183" t="s">
        <v>177</v>
      </c>
      <c r="D84" s="181" t="s">
        <v>56</v>
      </c>
      <c r="E84" s="182">
        <v>1073</v>
      </c>
      <c r="F84" s="177">
        <v>65380</v>
      </c>
      <c r="G84" s="550">
        <f t="shared" si="9"/>
        <v>70152740</v>
      </c>
    </row>
    <row r="85" spans="1:7" ht="30" customHeight="1" x14ac:dyDescent="0.25">
      <c r="A85" s="174"/>
      <c r="B85" s="549" t="s">
        <v>178</v>
      </c>
      <c r="C85" s="183" t="s">
        <v>179</v>
      </c>
      <c r="D85" s="181" t="s">
        <v>56</v>
      </c>
      <c r="E85" s="182">
        <v>464</v>
      </c>
      <c r="F85" s="177">
        <v>62965</v>
      </c>
      <c r="G85" s="550">
        <f t="shared" si="9"/>
        <v>29215760</v>
      </c>
    </row>
    <row r="86" spans="1:7" ht="33.75" customHeight="1" x14ac:dyDescent="0.25">
      <c r="A86" s="174"/>
      <c r="B86" s="549" t="s">
        <v>180</v>
      </c>
      <c r="C86" s="183" t="s">
        <v>708</v>
      </c>
      <c r="D86" s="181" t="s">
        <v>56</v>
      </c>
      <c r="E86" s="182">
        <v>3864</v>
      </c>
      <c r="F86" s="177">
        <v>120350</v>
      </c>
      <c r="G86" s="550">
        <f t="shared" si="9"/>
        <v>465032400</v>
      </c>
    </row>
    <row r="87" spans="1:7" ht="30" customHeight="1" x14ac:dyDescent="0.25">
      <c r="A87" s="174"/>
      <c r="B87" s="549" t="s">
        <v>181</v>
      </c>
      <c r="C87" s="183" t="s">
        <v>182</v>
      </c>
      <c r="D87" s="181" t="s">
        <v>59</v>
      </c>
      <c r="E87" s="182">
        <v>1677</v>
      </c>
      <c r="F87" s="177">
        <v>43580</v>
      </c>
      <c r="G87" s="550">
        <f t="shared" si="9"/>
        <v>73083660</v>
      </c>
    </row>
    <row r="88" spans="1:7" ht="30" customHeight="1" x14ac:dyDescent="0.25">
      <c r="A88" s="174"/>
      <c r="B88" s="549" t="s">
        <v>183</v>
      </c>
      <c r="C88" s="183" t="s">
        <v>712</v>
      </c>
      <c r="D88" s="181" t="s">
        <v>56</v>
      </c>
      <c r="E88" s="182">
        <v>3030</v>
      </c>
      <c r="F88" s="177">
        <f>96237+(70*4300)*0.1</f>
        <v>126337</v>
      </c>
      <c r="G88" s="550">
        <f t="shared" si="9"/>
        <v>382801110</v>
      </c>
    </row>
    <row r="89" spans="1:7" ht="30" customHeight="1" x14ac:dyDescent="0.25">
      <c r="A89" s="174"/>
      <c r="B89" s="549" t="s">
        <v>184</v>
      </c>
      <c r="C89" s="183" t="s">
        <v>185</v>
      </c>
      <c r="D89" s="181" t="s">
        <v>56</v>
      </c>
      <c r="E89" s="182">
        <v>3150</v>
      </c>
      <c r="F89" s="177">
        <v>105000</v>
      </c>
      <c r="G89" s="550">
        <f t="shared" si="9"/>
        <v>330750000</v>
      </c>
    </row>
    <row r="90" spans="1:7" ht="30" customHeight="1" x14ac:dyDescent="0.25">
      <c r="A90" s="174"/>
      <c r="B90" s="549" t="s">
        <v>186</v>
      </c>
      <c r="C90" s="183" t="s">
        <v>719</v>
      </c>
      <c r="D90" s="181" t="s">
        <v>56</v>
      </c>
      <c r="E90" s="182">
        <v>216</v>
      </c>
      <c r="F90" s="177">
        <v>76709</v>
      </c>
      <c r="G90" s="550">
        <f t="shared" si="9"/>
        <v>16569144</v>
      </c>
    </row>
    <row r="91" spans="1:7" ht="30" customHeight="1" x14ac:dyDescent="0.25">
      <c r="A91" s="174"/>
      <c r="B91" s="549" t="s">
        <v>1436</v>
      </c>
      <c r="C91" s="183" t="s">
        <v>187</v>
      </c>
      <c r="D91" s="181" t="s">
        <v>56</v>
      </c>
      <c r="E91" s="182">
        <v>1130.2</v>
      </c>
      <c r="F91" s="177">
        <v>75434</v>
      </c>
      <c r="G91" s="550">
        <f t="shared" si="9"/>
        <v>85255506.799999997</v>
      </c>
    </row>
    <row r="92" spans="1:7" ht="30" customHeight="1" thickBot="1" x14ac:dyDescent="0.3">
      <c r="A92" s="174"/>
      <c r="B92" s="551"/>
      <c r="C92" s="296" t="s">
        <v>188</v>
      </c>
      <c r="D92" s="297"/>
      <c r="E92" s="297"/>
      <c r="F92" s="298"/>
      <c r="G92" s="552">
        <f>SUM(G82:G91)</f>
        <v>1556373355.8</v>
      </c>
    </row>
    <row r="93" spans="1:7" ht="42.75" customHeight="1" thickTop="1" x14ac:dyDescent="0.25">
      <c r="A93" s="174"/>
      <c r="B93" s="553">
        <v>10</v>
      </c>
      <c r="C93" s="175" t="s">
        <v>189</v>
      </c>
      <c r="D93" s="176"/>
      <c r="E93" s="176"/>
      <c r="F93" s="177"/>
      <c r="G93" s="550"/>
    </row>
    <row r="94" spans="1:7" ht="30" customHeight="1" x14ac:dyDescent="0.25">
      <c r="A94" s="174"/>
      <c r="B94" s="554" t="s">
        <v>190</v>
      </c>
      <c r="C94" s="180" t="s">
        <v>191</v>
      </c>
      <c r="D94" s="181"/>
      <c r="E94" s="182"/>
      <c r="F94" s="177"/>
      <c r="G94" s="550"/>
    </row>
    <row r="95" spans="1:7" ht="30" customHeight="1" x14ac:dyDescent="0.25">
      <c r="A95" s="174"/>
      <c r="B95" s="549" t="s">
        <v>192</v>
      </c>
      <c r="C95" s="183" t="s">
        <v>193</v>
      </c>
      <c r="D95" s="181" t="s">
        <v>59</v>
      </c>
      <c r="E95" s="182">
        <v>1662</v>
      </c>
      <c r="F95" s="177">
        <v>2450</v>
      </c>
      <c r="G95" s="550">
        <f t="shared" ref="G95:G108" si="10">E95*F95</f>
        <v>4071900</v>
      </c>
    </row>
    <row r="96" spans="1:7" ht="35.25" customHeight="1" x14ac:dyDescent="0.25">
      <c r="A96" s="174"/>
      <c r="B96" s="549" t="s">
        <v>194</v>
      </c>
      <c r="C96" s="184" t="s">
        <v>74</v>
      </c>
      <c r="D96" s="185" t="s">
        <v>64</v>
      </c>
      <c r="E96" s="182">
        <v>166.20000000000002</v>
      </c>
      <c r="F96" s="177">
        <v>28356</v>
      </c>
      <c r="G96" s="550">
        <f t="shared" si="10"/>
        <v>4712767.2</v>
      </c>
    </row>
    <row r="97" spans="1:7" ht="30" customHeight="1" x14ac:dyDescent="0.25">
      <c r="A97" s="174"/>
      <c r="B97" s="549" t="s">
        <v>195</v>
      </c>
      <c r="C97" s="184" t="s">
        <v>80</v>
      </c>
      <c r="D97" s="185" t="s">
        <v>64</v>
      </c>
      <c r="E97" s="182">
        <v>156.20000000000002</v>
      </c>
      <c r="F97" s="177">
        <v>74771</v>
      </c>
      <c r="G97" s="550">
        <f t="shared" si="10"/>
        <v>11679230.200000001</v>
      </c>
    </row>
    <row r="98" spans="1:7" ht="30" customHeight="1" x14ac:dyDescent="0.25">
      <c r="A98" s="174"/>
      <c r="B98" s="549" t="s">
        <v>196</v>
      </c>
      <c r="C98" s="183" t="s">
        <v>197</v>
      </c>
      <c r="D98" s="181" t="s">
        <v>59</v>
      </c>
      <c r="E98" s="182">
        <v>25</v>
      </c>
      <c r="F98" s="177">
        <v>33320</v>
      </c>
      <c r="G98" s="550">
        <f t="shared" si="10"/>
        <v>833000</v>
      </c>
    </row>
    <row r="99" spans="1:7" ht="28.5" customHeight="1" x14ac:dyDescent="0.25">
      <c r="A99" s="174"/>
      <c r="B99" s="549" t="s">
        <v>198</v>
      </c>
      <c r="C99" s="183" t="s">
        <v>199</v>
      </c>
      <c r="D99" s="181" t="s">
        <v>59</v>
      </c>
      <c r="E99" s="182">
        <v>1203</v>
      </c>
      <c r="F99" s="177">
        <v>22635</v>
      </c>
      <c r="G99" s="550">
        <f t="shared" si="10"/>
        <v>27229905</v>
      </c>
    </row>
    <row r="100" spans="1:7" ht="30" customHeight="1" x14ac:dyDescent="0.25">
      <c r="A100" s="174"/>
      <c r="B100" s="549" t="s">
        <v>200</v>
      </c>
      <c r="C100" s="183" t="s">
        <v>201</v>
      </c>
      <c r="D100" s="181" t="s">
        <v>59</v>
      </c>
      <c r="E100" s="182">
        <v>10</v>
      </c>
      <c r="F100" s="177">
        <v>19750</v>
      </c>
      <c r="G100" s="550">
        <f t="shared" si="10"/>
        <v>197500</v>
      </c>
    </row>
    <row r="101" spans="1:7" ht="30" customHeight="1" x14ac:dyDescent="0.25">
      <c r="A101" s="174"/>
      <c r="B101" s="549" t="s">
        <v>202</v>
      </c>
      <c r="C101" s="183" t="s">
        <v>728</v>
      </c>
      <c r="D101" s="181" t="s">
        <v>59</v>
      </c>
      <c r="E101" s="182">
        <v>15</v>
      </c>
      <c r="F101" s="177">
        <v>16500</v>
      </c>
      <c r="G101" s="550">
        <f t="shared" si="10"/>
        <v>247500</v>
      </c>
    </row>
    <row r="102" spans="1:7" ht="30" customHeight="1" x14ac:dyDescent="0.25">
      <c r="A102" s="174"/>
      <c r="B102" s="549" t="s">
        <v>203</v>
      </c>
      <c r="C102" s="183" t="s">
        <v>730</v>
      </c>
      <c r="D102" s="181" t="s">
        <v>59</v>
      </c>
      <c r="E102" s="182">
        <v>35</v>
      </c>
      <c r="F102" s="177">
        <v>11325</v>
      </c>
      <c r="G102" s="550">
        <f t="shared" si="10"/>
        <v>396375</v>
      </c>
    </row>
    <row r="103" spans="1:7" ht="30" customHeight="1" x14ac:dyDescent="0.25">
      <c r="A103" s="174"/>
      <c r="B103" s="549" t="s">
        <v>204</v>
      </c>
      <c r="C103" s="183" t="s">
        <v>205</v>
      </c>
      <c r="D103" s="181" t="s">
        <v>59</v>
      </c>
      <c r="E103" s="182">
        <v>425</v>
      </c>
      <c r="F103" s="177">
        <v>8750</v>
      </c>
      <c r="G103" s="550">
        <f t="shared" si="10"/>
        <v>3718750</v>
      </c>
    </row>
    <row r="104" spans="1:7" ht="30" customHeight="1" x14ac:dyDescent="0.25">
      <c r="A104" s="174"/>
      <c r="B104" s="549" t="s">
        <v>206</v>
      </c>
      <c r="C104" s="183" t="s">
        <v>207</v>
      </c>
      <c r="D104" s="181" t="s">
        <v>99</v>
      </c>
      <c r="E104" s="182">
        <v>311</v>
      </c>
      <c r="F104" s="177">
        <v>85955</v>
      </c>
      <c r="G104" s="550">
        <f t="shared" si="10"/>
        <v>26732005</v>
      </c>
    </row>
    <row r="105" spans="1:7" ht="30" customHeight="1" x14ac:dyDescent="0.25">
      <c r="A105" s="174"/>
      <c r="B105" s="549" t="s">
        <v>208</v>
      </c>
      <c r="C105" s="183" t="s">
        <v>209</v>
      </c>
      <c r="D105" s="181" t="s">
        <v>99</v>
      </c>
      <c r="E105" s="182">
        <v>313</v>
      </c>
      <c r="F105" s="177">
        <v>25780</v>
      </c>
      <c r="G105" s="550">
        <f t="shared" si="10"/>
        <v>8069140</v>
      </c>
    </row>
    <row r="106" spans="1:7" ht="30" customHeight="1" x14ac:dyDescent="0.25">
      <c r="A106" s="174"/>
      <c r="B106" s="549" t="s">
        <v>210</v>
      </c>
      <c r="C106" s="183" t="s">
        <v>211</v>
      </c>
      <c r="D106" s="181" t="s">
        <v>99</v>
      </c>
      <c r="E106" s="182">
        <v>172</v>
      </c>
      <c r="F106" s="177">
        <v>27216</v>
      </c>
      <c r="G106" s="550">
        <f t="shared" si="10"/>
        <v>4681152</v>
      </c>
    </row>
    <row r="107" spans="1:7" ht="30" customHeight="1" x14ac:dyDescent="0.25">
      <c r="A107" s="174"/>
      <c r="B107" s="549" t="s">
        <v>212</v>
      </c>
      <c r="C107" s="183" t="s">
        <v>213</v>
      </c>
      <c r="D107" s="181" t="s">
        <v>99</v>
      </c>
      <c r="E107" s="182">
        <v>178</v>
      </c>
      <c r="F107" s="177">
        <v>66783</v>
      </c>
      <c r="G107" s="550">
        <f t="shared" si="10"/>
        <v>11887374</v>
      </c>
    </row>
    <row r="108" spans="1:7" ht="30" customHeight="1" x14ac:dyDescent="0.25">
      <c r="A108" s="174"/>
      <c r="B108" s="549" t="s">
        <v>214</v>
      </c>
      <c r="C108" s="183" t="s">
        <v>215</v>
      </c>
      <c r="D108" s="181" t="s">
        <v>59</v>
      </c>
      <c r="E108" s="182">
        <v>1662</v>
      </c>
      <c r="F108" s="177">
        <v>1200</v>
      </c>
      <c r="G108" s="550">
        <f t="shared" si="10"/>
        <v>1994400</v>
      </c>
    </row>
    <row r="109" spans="1:7" ht="30" customHeight="1" x14ac:dyDescent="0.25">
      <c r="A109" s="174"/>
      <c r="B109" s="554" t="s">
        <v>216</v>
      </c>
      <c r="C109" s="180" t="s">
        <v>217</v>
      </c>
      <c r="D109" s="181"/>
      <c r="E109" s="182"/>
      <c r="F109" s="177"/>
      <c r="G109" s="550"/>
    </row>
    <row r="110" spans="1:7" ht="30" customHeight="1" x14ac:dyDescent="0.25">
      <c r="A110" s="174"/>
      <c r="B110" s="549" t="s">
        <v>218</v>
      </c>
      <c r="C110" s="183" t="s">
        <v>193</v>
      </c>
      <c r="D110" s="181" t="s">
        <v>59</v>
      </c>
      <c r="E110" s="182">
        <v>2730</v>
      </c>
      <c r="F110" s="177">
        <v>2450</v>
      </c>
      <c r="G110" s="550">
        <f t="shared" ref="G110:G122" si="11">E110*F110</f>
        <v>6688500</v>
      </c>
    </row>
    <row r="111" spans="1:7" ht="39" customHeight="1" x14ac:dyDescent="0.25">
      <c r="A111" s="174"/>
      <c r="B111" s="549" t="s">
        <v>219</v>
      </c>
      <c r="C111" s="184" t="s">
        <v>74</v>
      </c>
      <c r="D111" s="185" t="s">
        <v>64</v>
      </c>
      <c r="E111" s="182">
        <v>409.5</v>
      </c>
      <c r="F111" s="177">
        <v>28356</v>
      </c>
      <c r="G111" s="550">
        <f t="shared" si="11"/>
        <v>11611782</v>
      </c>
    </row>
    <row r="112" spans="1:7" ht="30" customHeight="1" x14ac:dyDescent="0.25">
      <c r="A112" s="174"/>
      <c r="B112" s="549" t="s">
        <v>220</v>
      </c>
      <c r="C112" s="184" t="s">
        <v>80</v>
      </c>
      <c r="D112" s="185" t="s">
        <v>64</v>
      </c>
      <c r="E112" s="182">
        <v>364.5</v>
      </c>
      <c r="F112" s="177">
        <v>74771</v>
      </c>
      <c r="G112" s="550">
        <f t="shared" si="11"/>
        <v>27254029.5</v>
      </c>
    </row>
    <row r="113" spans="1:7" ht="30" customHeight="1" x14ac:dyDescent="0.25">
      <c r="A113" s="174"/>
      <c r="B113" s="549" t="s">
        <v>221</v>
      </c>
      <c r="C113" s="183" t="s">
        <v>222</v>
      </c>
      <c r="D113" s="181" t="s">
        <v>99</v>
      </c>
      <c r="E113" s="182">
        <v>116</v>
      </c>
      <c r="F113" s="177">
        <v>73264</v>
      </c>
      <c r="G113" s="550">
        <f t="shared" si="11"/>
        <v>8498624</v>
      </c>
    </row>
    <row r="114" spans="1:7" ht="30" customHeight="1" x14ac:dyDescent="0.25">
      <c r="A114" s="186"/>
      <c r="B114" s="549" t="s">
        <v>223</v>
      </c>
      <c r="C114" s="183" t="s">
        <v>224</v>
      </c>
      <c r="D114" s="181" t="s">
        <v>99</v>
      </c>
      <c r="E114" s="182">
        <v>108</v>
      </c>
      <c r="F114" s="177">
        <v>54350</v>
      </c>
      <c r="G114" s="550">
        <f t="shared" si="11"/>
        <v>5869800</v>
      </c>
    </row>
    <row r="115" spans="1:7" ht="30" customHeight="1" x14ac:dyDescent="0.25">
      <c r="A115" s="186"/>
      <c r="B115" s="549" t="s">
        <v>225</v>
      </c>
      <c r="C115" s="183" t="s">
        <v>226</v>
      </c>
      <c r="D115" s="181" t="s">
        <v>99</v>
      </c>
      <c r="E115" s="182">
        <v>126</v>
      </c>
      <c r="F115" s="177">
        <v>36830</v>
      </c>
      <c r="G115" s="550">
        <f t="shared" si="11"/>
        <v>4640580</v>
      </c>
    </row>
    <row r="116" spans="1:7" ht="30" customHeight="1" x14ac:dyDescent="0.25">
      <c r="A116" s="186"/>
      <c r="B116" s="549" t="s">
        <v>227</v>
      </c>
      <c r="C116" s="183" t="s">
        <v>228</v>
      </c>
      <c r="D116" s="181" t="s">
        <v>59</v>
      </c>
      <c r="E116" s="182">
        <v>1005</v>
      </c>
      <c r="F116" s="177">
        <v>37238</v>
      </c>
      <c r="G116" s="550">
        <f t="shared" si="11"/>
        <v>37424190</v>
      </c>
    </row>
    <row r="117" spans="1:7" ht="30" customHeight="1" x14ac:dyDescent="0.25">
      <c r="A117" s="186"/>
      <c r="B117" s="549" t="s">
        <v>229</v>
      </c>
      <c r="C117" s="183" t="s">
        <v>230</v>
      </c>
      <c r="D117" s="181" t="s">
        <v>59</v>
      </c>
      <c r="E117" s="182">
        <v>125</v>
      </c>
      <c r="F117" s="177">
        <v>46750</v>
      </c>
      <c r="G117" s="550">
        <f t="shared" si="11"/>
        <v>5843750</v>
      </c>
    </row>
    <row r="118" spans="1:7" ht="30" customHeight="1" x14ac:dyDescent="0.25">
      <c r="A118" s="186"/>
      <c r="B118" s="549" t="s">
        <v>231</v>
      </c>
      <c r="C118" s="183" t="s">
        <v>232</v>
      </c>
      <c r="D118" s="181" t="s">
        <v>59</v>
      </c>
      <c r="E118" s="182">
        <v>1108</v>
      </c>
      <c r="F118" s="177">
        <v>57222</v>
      </c>
      <c r="G118" s="550">
        <f t="shared" si="11"/>
        <v>63401976</v>
      </c>
    </row>
    <row r="119" spans="1:7" ht="30" customHeight="1" x14ac:dyDescent="0.25">
      <c r="A119" s="186"/>
      <c r="B119" s="549" t="s">
        <v>233</v>
      </c>
      <c r="C119" s="183" t="s">
        <v>234</v>
      </c>
      <c r="D119" s="181" t="s">
        <v>59</v>
      </c>
      <c r="E119" s="182">
        <v>624</v>
      </c>
      <c r="F119" s="177">
        <v>87163</v>
      </c>
      <c r="G119" s="550">
        <f t="shared" si="11"/>
        <v>54389712</v>
      </c>
    </row>
    <row r="120" spans="1:7" ht="30" customHeight="1" x14ac:dyDescent="0.25">
      <c r="A120" s="186"/>
      <c r="B120" s="549" t="s">
        <v>235</v>
      </c>
      <c r="C120" s="183" t="s">
        <v>236</v>
      </c>
      <c r="D120" s="181" t="s">
        <v>99</v>
      </c>
      <c r="E120" s="182">
        <v>8</v>
      </c>
      <c r="F120" s="177">
        <v>417900</v>
      </c>
      <c r="G120" s="550">
        <f t="shared" si="11"/>
        <v>3343200</v>
      </c>
    </row>
    <row r="121" spans="1:7" ht="39" customHeight="1" x14ac:dyDescent="0.25">
      <c r="A121" s="186"/>
      <c r="B121" s="549" t="s">
        <v>237</v>
      </c>
      <c r="C121" s="183" t="s">
        <v>760</v>
      </c>
      <c r="D121" s="181" t="s">
        <v>99</v>
      </c>
      <c r="E121" s="182">
        <v>11</v>
      </c>
      <c r="F121" s="177">
        <v>933198</v>
      </c>
      <c r="G121" s="550">
        <f t="shared" si="11"/>
        <v>10265178</v>
      </c>
    </row>
    <row r="122" spans="1:7" ht="30" customHeight="1" x14ac:dyDescent="0.25">
      <c r="A122" s="186"/>
      <c r="B122" s="549" t="s">
        <v>238</v>
      </c>
      <c r="C122" s="183" t="s">
        <v>239</v>
      </c>
      <c r="D122" s="181" t="s">
        <v>59</v>
      </c>
      <c r="E122" s="182">
        <v>2730</v>
      </c>
      <c r="F122" s="177">
        <v>1200</v>
      </c>
      <c r="G122" s="550">
        <f t="shared" si="11"/>
        <v>3276000</v>
      </c>
    </row>
    <row r="123" spans="1:7" ht="30" customHeight="1" x14ac:dyDescent="0.25">
      <c r="A123" s="186"/>
      <c r="B123" s="554" t="s">
        <v>240</v>
      </c>
      <c r="C123" s="180" t="s">
        <v>241</v>
      </c>
      <c r="D123" s="181"/>
      <c r="E123" s="182"/>
      <c r="F123" s="177"/>
      <c r="G123" s="550"/>
    </row>
    <row r="124" spans="1:7" ht="30" customHeight="1" x14ac:dyDescent="0.25">
      <c r="A124" s="186"/>
      <c r="B124" s="549" t="s">
        <v>242</v>
      </c>
      <c r="C124" s="183" t="s">
        <v>193</v>
      </c>
      <c r="D124" s="181" t="s">
        <v>59</v>
      </c>
      <c r="E124" s="182">
        <v>960</v>
      </c>
      <c r="F124" s="177">
        <v>2450</v>
      </c>
      <c r="G124" s="550">
        <f t="shared" ref="G124:G130" si="12">E124*F124</f>
        <v>2352000</v>
      </c>
    </row>
    <row r="125" spans="1:7" ht="35.25" customHeight="1" x14ac:dyDescent="0.25">
      <c r="A125" s="186"/>
      <c r="B125" s="549" t="s">
        <v>243</v>
      </c>
      <c r="C125" s="184" t="s">
        <v>74</v>
      </c>
      <c r="D125" s="185" t="s">
        <v>64</v>
      </c>
      <c r="E125" s="182">
        <v>144</v>
      </c>
      <c r="F125" s="177">
        <v>28356</v>
      </c>
      <c r="G125" s="550">
        <f t="shared" si="12"/>
        <v>4083264</v>
      </c>
    </row>
    <row r="126" spans="1:7" ht="30" customHeight="1" x14ac:dyDescent="0.25">
      <c r="A126" s="186"/>
      <c r="B126" s="549" t="s">
        <v>244</v>
      </c>
      <c r="C126" s="184" t="s">
        <v>80</v>
      </c>
      <c r="D126" s="185" t="s">
        <v>64</v>
      </c>
      <c r="E126" s="182">
        <v>129</v>
      </c>
      <c r="F126" s="177">
        <v>74771</v>
      </c>
      <c r="G126" s="550">
        <f t="shared" si="12"/>
        <v>9645459</v>
      </c>
    </row>
    <row r="127" spans="1:7" ht="30" customHeight="1" x14ac:dyDescent="0.25">
      <c r="A127" s="186"/>
      <c r="B127" s="549" t="s">
        <v>245</v>
      </c>
      <c r="C127" s="183" t="s">
        <v>246</v>
      </c>
      <c r="D127" s="181" t="s">
        <v>59</v>
      </c>
      <c r="E127" s="182">
        <v>385</v>
      </c>
      <c r="F127" s="177">
        <v>87163</v>
      </c>
      <c r="G127" s="550">
        <f t="shared" si="12"/>
        <v>33557755</v>
      </c>
    </row>
    <row r="128" spans="1:7" ht="30" customHeight="1" x14ac:dyDescent="0.25">
      <c r="A128" s="186"/>
      <c r="B128" s="549" t="s">
        <v>247</v>
      </c>
      <c r="C128" s="183" t="s">
        <v>248</v>
      </c>
      <c r="D128" s="181" t="s">
        <v>59</v>
      </c>
      <c r="E128" s="182">
        <v>575</v>
      </c>
      <c r="F128" s="177">
        <v>57222</v>
      </c>
      <c r="G128" s="550">
        <f t="shared" si="12"/>
        <v>32902650</v>
      </c>
    </row>
    <row r="129" spans="1:7" ht="30" customHeight="1" x14ac:dyDescent="0.25">
      <c r="A129" s="186"/>
      <c r="B129" s="549" t="s">
        <v>249</v>
      </c>
      <c r="C129" s="183" t="s">
        <v>250</v>
      </c>
      <c r="D129" s="181" t="s">
        <v>99</v>
      </c>
      <c r="E129" s="182">
        <v>10</v>
      </c>
      <c r="F129" s="177">
        <v>417900</v>
      </c>
      <c r="G129" s="550">
        <f t="shared" si="12"/>
        <v>4179000</v>
      </c>
    </row>
    <row r="130" spans="1:7" ht="36.75" customHeight="1" x14ac:dyDescent="0.25">
      <c r="A130" s="174"/>
      <c r="B130" s="549" t="s">
        <v>251</v>
      </c>
      <c r="C130" s="183" t="s">
        <v>760</v>
      </c>
      <c r="D130" s="181" t="s">
        <v>99</v>
      </c>
      <c r="E130" s="182">
        <v>10</v>
      </c>
      <c r="F130" s="177">
        <f>+F121</f>
        <v>933198</v>
      </c>
      <c r="G130" s="550">
        <f t="shared" si="12"/>
        <v>9331980</v>
      </c>
    </row>
    <row r="131" spans="1:7" ht="36.75" customHeight="1" x14ac:dyDescent="0.25">
      <c r="A131" s="174"/>
      <c r="B131" s="554" t="s">
        <v>252</v>
      </c>
      <c r="C131" s="180" t="s">
        <v>45</v>
      </c>
      <c r="D131" s="181"/>
      <c r="E131" s="182"/>
      <c r="F131" s="177"/>
      <c r="G131" s="550"/>
    </row>
    <row r="132" spans="1:7" ht="33" customHeight="1" x14ac:dyDescent="0.25">
      <c r="A132" s="174"/>
      <c r="B132" s="554" t="s">
        <v>253</v>
      </c>
      <c r="C132" s="180" t="s">
        <v>254</v>
      </c>
      <c r="D132" s="181"/>
      <c r="E132" s="182"/>
      <c r="F132" s="177"/>
      <c r="G132" s="550"/>
    </row>
    <row r="133" spans="1:7" ht="30" customHeight="1" x14ac:dyDescent="0.25">
      <c r="A133" s="174"/>
      <c r="B133" s="555" t="s">
        <v>255</v>
      </c>
      <c r="C133" s="462" t="s">
        <v>967</v>
      </c>
      <c r="D133" s="463" t="s">
        <v>279</v>
      </c>
      <c r="E133" s="182">
        <v>1</v>
      </c>
      <c r="F133" s="178">
        <v>27126400</v>
      </c>
      <c r="G133" s="550">
        <f t="shared" ref="G133:G147" si="13">E133*F133</f>
        <v>27126400</v>
      </c>
    </row>
    <row r="134" spans="1:7" ht="23.25" customHeight="1" x14ac:dyDescent="0.25">
      <c r="A134" s="174"/>
      <c r="B134" s="555" t="s">
        <v>256</v>
      </c>
      <c r="C134" s="462" t="s">
        <v>968</v>
      </c>
      <c r="D134" s="463" t="s">
        <v>56</v>
      </c>
      <c r="E134" s="182">
        <v>146</v>
      </c>
      <c r="F134" s="178">
        <v>127400</v>
      </c>
      <c r="G134" s="550">
        <f t="shared" si="13"/>
        <v>18600400</v>
      </c>
    </row>
    <row r="135" spans="1:7" ht="37.5" customHeight="1" x14ac:dyDescent="0.25">
      <c r="A135" s="174"/>
      <c r="B135" s="555" t="s">
        <v>257</v>
      </c>
      <c r="C135" s="462" t="s">
        <v>969</v>
      </c>
      <c r="D135" s="463" t="s">
        <v>279</v>
      </c>
      <c r="E135" s="182">
        <v>20</v>
      </c>
      <c r="F135" s="178">
        <v>16016000</v>
      </c>
      <c r="G135" s="550">
        <f t="shared" si="13"/>
        <v>320320000</v>
      </c>
    </row>
    <row r="136" spans="1:7" ht="24.75" customHeight="1" x14ac:dyDescent="0.25">
      <c r="A136" s="174"/>
      <c r="B136" s="555" t="s">
        <v>258</v>
      </c>
      <c r="C136" s="462" t="s">
        <v>970</v>
      </c>
      <c r="D136" s="463" t="s">
        <v>279</v>
      </c>
      <c r="E136" s="182">
        <v>20</v>
      </c>
      <c r="F136" s="178">
        <v>1799280</v>
      </c>
      <c r="G136" s="550">
        <f t="shared" si="13"/>
        <v>35985600</v>
      </c>
    </row>
    <row r="137" spans="1:7" ht="36.75" customHeight="1" x14ac:dyDescent="0.25">
      <c r="A137" s="174"/>
      <c r="B137" s="555" t="s">
        <v>259</v>
      </c>
      <c r="C137" s="462" t="s">
        <v>971</v>
      </c>
      <c r="D137" s="463" t="s">
        <v>59</v>
      </c>
      <c r="E137" s="182">
        <v>25</v>
      </c>
      <c r="F137" s="178">
        <v>321048</v>
      </c>
      <c r="G137" s="550">
        <f t="shared" si="13"/>
        <v>8026200</v>
      </c>
    </row>
    <row r="138" spans="1:7" ht="36.75" customHeight="1" x14ac:dyDescent="0.25">
      <c r="A138" s="174"/>
      <c r="B138" s="555" t="s">
        <v>260</v>
      </c>
      <c r="C138" s="462" t="s">
        <v>972</v>
      </c>
      <c r="D138" s="463" t="s">
        <v>279</v>
      </c>
      <c r="E138" s="182">
        <v>4</v>
      </c>
      <c r="F138" s="178">
        <v>543200</v>
      </c>
      <c r="G138" s="550">
        <f t="shared" si="13"/>
        <v>2172800</v>
      </c>
    </row>
    <row r="139" spans="1:7" ht="57" customHeight="1" x14ac:dyDescent="0.25">
      <c r="A139" s="174"/>
      <c r="B139" s="555" t="s">
        <v>261</v>
      </c>
      <c r="C139" s="462" t="s">
        <v>973</v>
      </c>
      <c r="D139" s="463" t="s">
        <v>59</v>
      </c>
      <c r="E139" s="182">
        <v>550</v>
      </c>
      <c r="F139" s="178">
        <v>20720</v>
      </c>
      <c r="G139" s="550">
        <f t="shared" si="13"/>
        <v>11396000</v>
      </c>
    </row>
    <row r="140" spans="1:7" ht="36.75" customHeight="1" x14ac:dyDescent="0.25">
      <c r="A140" s="174"/>
      <c r="B140" s="555" t="s">
        <v>262</v>
      </c>
      <c r="C140" s="462" t="s">
        <v>974</v>
      </c>
      <c r="D140" s="463" t="s">
        <v>59</v>
      </c>
      <c r="E140" s="182">
        <v>60</v>
      </c>
      <c r="F140" s="178">
        <v>73371.199999999997</v>
      </c>
      <c r="G140" s="550">
        <f t="shared" si="13"/>
        <v>4402272</v>
      </c>
    </row>
    <row r="141" spans="1:7" ht="36.75" customHeight="1" x14ac:dyDescent="0.25">
      <c r="A141" s="174"/>
      <c r="B141" s="555" t="s">
        <v>263</v>
      </c>
      <c r="C141" s="462" t="s">
        <v>975</v>
      </c>
      <c r="D141" s="463" t="s">
        <v>59</v>
      </c>
      <c r="E141" s="182">
        <v>60</v>
      </c>
      <c r="F141" s="178">
        <v>30002.560000000001</v>
      </c>
      <c r="G141" s="550">
        <f t="shared" si="13"/>
        <v>1800153.6</v>
      </c>
    </row>
    <row r="142" spans="1:7" ht="36.75" customHeight="1" x14ac:dyDescent="0.25">
      <c r="A142" s="174"/>
      <c r="B142" s="555" t="s">
        <v>264</v>
      </c>
      <c r="C142" s="462" t="s">
        <v>976</v>
      </c>
      <c r="D142" s="463" t="s">
        <v>85</v>
      </c>
      <c r="E142" s="182">
        <v>1</v>
      </c>
      <c r="F142" s="178">
        <v>1436467.2</v>
      </c>
      <c r="G142" s="550">
        <f t="shared" si="13"/>
        <v>1436467.2</v>
      </c>
    </row>
    <row r="143" spans="1:7" ht="36.75" customHeight="1" x14ac:dyDescent="0.25">
      <c r="A143" s="174"/>
      <c r="B143" s="555" t="s">
        <v>265</v>
      </c>
      <c r="C143" s="462" t="s">
        <v>977</v>
      </c>
      <c r="D143" s="463" t="s">
        <v>85</v>
      </c>
      <c r="E143" s="182">
        <v>1</v>
      </c>
      <c r="F143" s="178">
        <v>756044.80000000005</v>
      </c>
      <c r="G143" s="550">
        <f t="shared" si="13"/>
        <v>756044.80000000005</v>
      </c>
    </row>
    <row r="144" spans="1:7" ht="36.75" customHeight="1" x14ac:dyDescent="0.25">
      <c r="A144" s="174"/>
      <c r="B144" s="555" t="s">
        <v>266</v>
      </c>
      <c r="C144" s="462" t="s">
        <v>978</v>
      </c>
      <c r="D144" s="463" t="s">
        <v>59</v>
      </c>
      <c r="E144" s="182">
        <v>55</v>
      </c>
      <c r="F144" s="178">
        <v>54331.199999999997</v>
      </c>
      <c r="G144" s="550">
        <f t="shared" si="13"/>
        <v>2988216</v>
      </c>
    </row>
    <row r="145" spans="1:7" ht="36.75" customHeight="1" x14ac:dyDescent="0.25">
      <c r="A145" s="174"/>
      <c r="B145" s="555" t="s">
        <v>982</v>
      </c>
      <c r="C145" s="462" t="s">
        <v>979</v>
      </c>
      <c r="D145" s="463" t="s">
        <v>59</v>
      </c>
      <c r="E145" s="182">
        <v>55</v>
      </c>
      <c r="F145" s="178">
        <v>30002.560000000001</v>
      </c>
      <c r="G145" s="550">
        <f t="shared" si="13"/>
        <v>1650140.8</v>
      </c>
    </row>
    <row r="146" spans="1:7" ht="36.75" customHeight="1" x14ac:dyDescent="0.25">
      <c r="A146" s="174"/>
      <c r="B146" s="555" t="s">
        <v>983</v>
      </c>
      <c r="C146" s="462" t="s">
        <v>980</v>
      </c>
      <c r="D146" s="463" t="s">
        <v>85</v>
      </c>
      <c r="E146" s="182">
        <v>1</v>
      </c>
      <c r="F146" s="178">
        <v>1064806.3999999999</v>
      </c>
      <c r="G146" s="550">
        <f t="shared" si="13"/>
        <v>1064806.3999999999</v>
      </c>
    </row>
    <row r="147" spans="1:7" ht="36.75" customHeight="1" x14ac:dyDescent="0.25">
      <c r="A147" s="174"/>
      <c r="B147" s="555" t="s">
        <v>984</v>
      </c>
      <c r="C147" s="462" t="s">
        <v>981</v>
      </c>
      <c r="D147" s="463" t="s">
        <v>85</v>
      </c>
      <c r="E147" s="182">
        <v>1</v>
      </c>
      <c r="F147" s="178">
        <v>693342.71999999997</v>
      </c>
      <c r="G147" s="550">
        <f t="shared" si="13"/>
        <v>693342.71999999997</v>
      </c>
    </row>
    <row r="148" spans="1:7" ht="36.75" customHeight="1" x14ac:dyDescent="0.25">
      <c r="A148" s="174"/>
      <c r="B148" s="556" t="s">
        <v>267</v>
      </c>
      <c r="C148" s="464" t="s">
        <v>268</v>
      </c>
      <c r="D148" s="463"/>
      <c r="E148" s="182"/>
      <c r="F148" s="177"/>
      <c r="G148" s="550"/>
    </row>
    <row r="149" spans="1:7" ht="36.75" customHeight="1" x14ac:dyDescent="0.25">
      <c r="A149" s="174"/>
      <c r="B149" s="555" t="s">
        <v>269</v>
      </c>
      <c r="C149" s="462" t="s">
        <v>985</v>
      </c>
      <c r="D149" s="463" t="s">
        <v>279</v>
      </c>
      <c r="E149" s="182">
        <v>1</v>
      </c>
      <c r="F149" s="178">
        <v>8247680</v>
      </c>
      <c r="G149" s="550">
        <f t="shared" ref="G149:G159" si="14">E149*F149</f>
        <v>8247680</v>
      </c>
    </row>
    <row r="150" spans="1:7" ht="48.75" customHeight="1" x14ac:dyDescent="0.25">
      <c r="A150" s="174"/>
      <c r="B150" s="555" t="s">
        <v>270</v>
      </c>
      <c r="C150" s="462" t="s">
        <v>970</v>
      </c>
      <c r="D150" s="463" t="s">
        <v>279</v>
      </c>
      <c r="E150" s="182">
        <v>1</v>
      </c>
      <c r="F150" s="178">
        <v>1799280</v>
      </c>
      <c r="G150" s="550">
        <f t="shared" si="14"/>
        <v>1799280</v>
      </c>
    </row>
    <row r="151" spans="1:7" ht="42" customHeight="1" x14ac:dyDescent="0.25">
      <c r="A151" s="174"/>
      <c r="B151" s="555" t="s">
        <v>271</v>
      </c>
      <c r="C151" s="462" t="s">
        <v>971</v>
      </c>
      <c r="D151" s="463" t="s">
        <v>59</v>
      </c>
      <c r="E151" s="182">
        <v>10</v>
      </c>
      <c r="F151" s="178">
        <v>321048</v>
      </c>
      <c r="G151" s="550">
        <f t="shared" si="14"/>
        <v>3210480</v>
      </c>
    </row>
    <row r="152" spans="1:7" ht="36.75" customHeight="1" x14ac:dyDescent="0.25">
      <c r="A152" s="174"/>
      <c r="B152" s="555" t="s">
        <v>272</v>
      </c>
      <c r="C152" s="462" t="s">
        <v>972</v>
      </c>
      <c r="D152" s="463" t="s">
        <v>279</v>
      </c>
      <c r="E152" s="182">
        <v>2</v>
      </c>
      <c r="F152" s="178">
        <v>543200</v>
      </c>
      <c r="G152" s="550">
        <f t="shared" si="14"/>
        <v>1086400</v>
      </c>
    </row>
    <row r="153" spans="1:7" ht="36.75" customHeight="1" x14ac:dyDescent="0.25">
      <c r="A153" s="174"/>
      <c r="B153" s="555" t="s">
        <v>273</v>
      </c>
      <c r="C153" s="462" t="s">
        <v>986</v>
      </c>
      <c r="D153" s="463" t="s">
        <v>279</v>
      </c>
      <c r="E153" s="182">
        <v>1</v>
      </c>
      <c r="F153" s="178">
        <v>168000</v>
      </c>
      <c r="G153" s="550">
        <f t="shared" si="14"/>
        <v>168000</v>
      </c>
    </row>
    <row r="154" spans="1:7" ht="36.75" customHeight="1" x14ac:dyDescent="0.25">
      <c r="A154" s="174"/>
      <c r="B154" s="555" t="s">
        <v>274</v>
      </c>
      <c r="C154" s="462" t="s">
        <v>987</v>
      </c>
      <c r="D154" s="463" t="s">
        <v>279</v>
      </c>
      <c r="E154" s="182">
        <v>1</v>
      </c>
      <c r="F154" s="178">
        <v>2072000</v>
      </c>
      <c r="G154" s="550">
        <f t="shared" si="14"/>
        <v>2072000</v>
      </c>
    </row>
    <row r="155" spans="1:7" ht="36.75" customHeight="1" x14ac:dyDescent="0.25">
      <c r="A155" s="174"/>
      <c r="B155" s="555" t="s">
        <v>275</v>
      </c>
      <c r="C155" s="462" t="s">
        <v>988</v>
      </c>
      <c r="D155" s="463" t="s">
        <v>59</v>
      </c>
      <c r="E155" s="182">
        <v>70</v>
      </c>
      <c r="F155" s="178">
        <v>38016.160000000003</v>
      </c>
      <c r="G155" s="550">
        <f t="shared" si="14"/>
        <v>2661131.2000000002</v>
      </c>
    </row>
    <row r="156" spans="1:7" ht="36.75" customHeight="1" x14ac:dyDescent="0.25">
      <c r="A156" s="174"/>
      <c r="B156" s="555" t="s">
        <v>276</v>
      </c>
      <c r="C156" s="462" t="s">
        <v>989</v>
      </c>
      <c r="D156" s="463" t="s">
        <v>59</v>
      </c>
      <c r="E156" s="182">
        <v>70</v>
      </c>
      <c r="F156" s="178">
        <v>10660.16</v>
      </c>
      <c r="G156" s="550">
        <f t="shared" si="14"/>
        <v>746211.2</v>
      </c>
    </row>
    <row r="157" spans="1:7" ht="36.75" customHeight="1" x14ac:dyDescent="0.25">
      <c r="A157" s="174"/>
      <c r="B157" s="555" t="s">
        <v>993</v>
      </c>
      <c r="C157" s="462" t="s">
        <v>990</v>
      </c>
      <c r="D157" s="463" t="s">
        <v>85</v>
      </c>
      <c r="E157" s="182">
        <v>1</v>
      </c>
      <c r="F157" s="178">
        <v>781132.80000000005</v>
      </c>
      <c r="G157" s="550">
        <f t="shared" si="14"/>
        <v>781132.80000000005</v>
      </c>
    </row>
    <row r="158" spans="1:7" ht="36.75" customHeight="1" x14ac:dyDescent="0.25">
      <c r="A158" s="174"/>
      <c r="B158" s="555" t="s">
        <v>994</v>
      </c>
      <c r="C158" s="462" t="s">
        <v>991</v>
      </c>
      <c r="D158" s="463" t="s">
        <v>85</v>
      </c>
      <c r="E158" s="182">
        <v>1</v>
      </c>
      <c r="F158" s="178">
        <v>468823.03999999998</v>
      </c>
      <c r="G158" s="550">
        <f t="shared" si="14"/>
        <v>468823.03999999998</v>
      </c>
    </row>
    <row r="159" spans="1:7" ht="36.75" customHeight="1" x14ac:dyDescent="0.25">
      <c r="A159" s="174"/>
      <c r="B159" s="555" t="s">
        <v>995</v>
      </c>
      <c r="C159" s="462" t="s">
        <v>992</v>
      </c>
      <c r="D159" s="463" t="s">
        <v>85</v>
      </c>
      <c r="E159" s="182">
        <v>1</v>
      </c>
      <c r="F159" s="178">
        <v>2673664</v>
      </c>
      <c r="G159" s="550">
        <f t="shared" si="14"/>
        <v>2673664</v>
      </c>
    </row>
    <row r="160" spans="1:7" ht="36.75" customHeight="1" x14ac:dyDescent="0.25">
      <c r="A160" s="174"/>
      <c r="B160" s="556" t="s">
        <v>277</v>
      </c>
      <c r="C160" s="464" t="s">
        <v>996</v>
      </c>
      <c r="D160" s="463"/>
      <c r="E160" s="182"/>
      <c r="F160" s="178"/>
      <c r="G160" s="550"/>
    </row>
    <row r="161" spans="1:7" ht="36.75" customHeight="1" x14ac:dyDescent="0.25">
      <c r="A161" s="174"/>
      <c r="B161" s="555" t="s">
        <v>278</v>
      </c>
      <c r="C161" s="462" t="s">
        <v>997</v>
      </c>
      <c r="D161" s="463" t="s">
        <v>279</v>
      </c>
      <c r="E161" s="182">
        <v>1</v>
      </c>
      <c r="F161" s="178">
        <v>13939519.999999143</v>
      </c>
      <c r="G161" s="550">
        <f t="shared" ref="G161:G168" si="15">E161*F161</f>
        <v>13939519.999999143</v>
      </c>
    </row>
    <row r="162" spans="1:7" ht="36.75" customHeight="1" x14ac:dyDescent="0.25">
      <c r="A162" s="174"/>
      <c r="B162" s="555" t="s">
        <v>280</v>
      </c>
      <c r="C162" s="462" t="s">
        <v>970</v>
      </c>
      <c r="D162" s="463" t="s">
        <v>279</v>
      </c>
      <c r="E162" s="182">
        <v>1</v>
      </c>
      <c r="F162" s="178">
        <v>1799280</v>
      </c>
      <c r="G162" s="550">
        <f t="shared" si="15"/>
        <v>1799280</v>
      </c>
    </row>
    <row r="163" spans="1:7" ht="36.75" customHeight="1" x14ac:dyDescent="0.25">
      <c r="A163" s="174"/>
      <c r="B163" s="555" t="s">
        <v>281</v>
      </c>
      <c r="C163" s="462" t="s">
        <v>971</v>
      </c>
      <c r="D163" s="463" t="s">
        <v>59</v>
      </c>
      <c r="E163" s="182">
        <v>8</v>
      </c>
      <c r="F163" s="178">
        <v>321048</v>
      </c>
      <c r="G163" s="550">
        <f t="shared" si="15"/>
        <v>2568384</v>
      </c>
    </row>
    <row r="164" spans="1:7" ht="36.75" customHeight="1" x14ac:dyDescent="0.25">
      <c r="A164" s="174"/>
      <c r="B164" s="555" t="s">
        <v>282</v>
      </c>
      <c r="C164" s="462" t="s">
        <v>972</v>
      </c>
      <c r="D164" s="463" t="s">
        <v>279</v>
      </c>
      <c r="E164" s="182">
        <v>2</v>
      </c>
      <c r="F164" s="178">
        <v>543200</v>
      </c>
      <c r="G164" s="550">
        <f t="shared" si="15"/>
        <v>1086400</v>
      </c>
    </row>
    <row r="165" spans="1:7" ht="36.75" customHeight="1" x14ac:dyDescent="0.25">
      <c r="A165" s="174"/>
      <c r="B165" s="555" t="s">
        <v>283</v>
      </c>
      <c r="C165" s="462" t="s">
        <v>998</v>
      </c>
      <c r="D165" s="463" t="s">
        <v>59</v>
      </c>
      <c r="E165" s="182">
        <v>80</v>
      </c>
      <c r="F165" s="178">
        <v>54331.199999999997</v>
      </c>
      <c r="G165" s="550">
        <f t="shared" si="15"/>
        <v>4346496</v>
      </c>
    </row>
    <row r="166" spans="1:7" ht="36.75" customHeight="1" x14ac:dyDescent="0.25">
      <c r="A166" s="174"/>
      <c r="B166" s="555" t="s">
        <v>1002</v>
      </c>
      <c r="C166" s="462" t="s">
        <v>999</v>
      </c>
      <c r="D166" s="463" t="s">
        <v>59</v>
      </c>
      <c r="E166" s="182">
        <v>80</v>
      </c>
      <c r="F166" s="178">
        <v>30002.58</v>
      </c>
      <c r="G166" s="550">
        <f t="shared" si="15"/>
        <v>2400206.4000000004</v>
      </c>
    </row>
    <row r="167" spans="1:7" ht="36.75" customHeight="1" x14ac:dyDescent="0.25">
      <c r="A167" s="174"/>
      <c r="B167" s="555" t="s">
        <v>1003</v>
      </c>
      <c r="C167" s="462" t="s">
        <v>1000</v>
      </c>
      <c r="D167" s="463" t="s">
        <v>85</v>
      </c>
      <c r="E167" s="182">
        <v>1</v>
      </c>
      <c r="F167" s="178">
        <v>1064806.3999999999</v>
      </c>
      <c r="G167" s="550">
        <f t="shared" si="15"/>
        <v>1064806.3999999999</v>
      </c>
    </row>
    <row r="168" spans="1:7" ht="36.75" customHeight="1" x14ac:dyDescent="0.25">
      <c r="A168" s="174"/>
      <c r="B168" s="555" t="s">
        <v>1004</v>
      </c>
      <c r="C168" s="462" t="s">
        <v>1001</v>
      </c>
      <c r="D168" s="463" t="s">
        <v>85</v>
      </c>
      <c r="E168" s="182">
        <v>1</v>
      </c>
      <c r="F168" s="178">
        <v>693342.71999999997</v>
      </c>
      <c r="G168" s="550">
        <f t="shared" si="15"/>
        <v>693342.71999999997</v>
      </c>
    </row>
    <row r="169" spans="1:7" ht="36.75" customHeight="1" x14ac:dyDescent="0.25">
      <c r="A169" s="174"/>
      <c r="B169" s="556" t="s">
        <v>284</v>
      </c>
      <c r="C169" s="464" t="s">
        <v>285</v>
      </c>
      <c r="D169" s="463"/>
      <c r="E169" s="182"/>
      <c r="F169" s="178"/>
      <c r="G169" s="550"/>
    </row>
    <row r="170" spans="1:7" ht="36.75" customHeight="1" x14ac:dyDescent="0.25">
      <c r="A170" s="174"/>
      <c r="B170" s="555" t="s">
        <v>286</v>
      </c>
      <c r="C170" s="462" t="s">
        <v>1005</v>
      </c>
      <c r="D170" s="463" t="s">
        <v>279</v>
      </c>
      <c r="E170" s="182">
        <v>1</v>
      </c>
      <c r="F170" s="178">
        <v>13939520</v>
      </c>
      <c r="G170" s="550">
        <f t="shared" ref="G170:G190" si="16">E170*F170</f>
        <v>13939520</v>
      </c>
    </row>
    <row r="171" spans="1:7" ht="48.75" customHeight="1" x14ac:dyDescent="0.25">
      <c r="A171" s="174"/>
      <c r="B171" s="555" t="s">
        <v>287</v>
      </c>
      <c r="C171" s="462" t="s">
        <v>968</v>
      </c>
      <c r="D171" s="463" t="s">
        <v>56</v>
      </c>
      <c r="E171" s="182">
        <v>73</v>
      </c>
      <c r="F171" s="178">
        <v>127400</v>
      </c>
      <c r="G171" s="550">
        <f t="shared" si="16"/>
        <v>9300200</v>
      </c>
    </row>
    <row r="172" spans="1:7" ht="36.75" customHeight="1" x14ac:dyDescent="0.25">
      <c r="A172" s="174"/>
      <c r="B172" s="555" t="s">
        <v>288</v>
      </c>
      <c r="C172" s="462" t="s">
        <v>969</v>
      </c>
      <c r="D172" s="463" t="s">
        <v>279</v>
      </c>
      <c r="E172" s="182">
        <v>10</v>
      </c>
      <c r="F172" s="178">
        <v>16016000</v>
      </c>
      <c r="G172" s="550">
        <f t="shared" si="16"/>
        <v>160160000</v>
      </c>
    </row>
    <row r="173" spans="1:7" ht="36.75" customHeight="1" x14ac:dyDescent="0.25">
      <c r="A173" s="174"/>
      <c r="B173" s="555" t="s">
        <v>289</v>
      </c>
      <c r="C173" s="462" t="s">
        <v>970</v>
      </c>
      <c r="D173" s="463" t="s">
        <v>279</v>
      </c>
      <c r="E173" s="182">
        <v>10</v>
      </c>
      <c r="F173" s="178">
        <v>1799280</v>
      </c>
      <c r="G173" s="550">
        <f t="shared" si="16"/>
        <v>17992800</v>
      </c>
    </row>
    <row r="174" spans="1:7" ht="36.75" customHeight="1" x14ac:dyDescent="0.25">
      <c r="A174" s="174"/>
      <c r="B174" s="555" t="s">
        <v>290</v>
      </c>
      <c r="C174" s="462" t="s">
        <v>971</v>
      </c>
      <c r="D174" s="463" t="s">
        <v>59</v>
      </c>
      <c r="E174" s="182">
        <v>25</v>
      </c>
      <c r="F174" s="178">
        <v>321048</v>
      </c>
      <c r="G174" s="550">
        <f t="shared" si="16"/>
        <v>8026200</v>
      </c>
    </row>
    <row r="175" spans="1:7" ht="36.75" customHeight="1" x14ac:dyDescent="0.25">
      <c r="A175" s="174"/>
      <c r="B175" s="555" t="s">
        <v>291</v>
      </c>
      <c r="C175" s="462" t="s">
        <v>972</v>
      </c>
      <c r="D175" s="463" t="s">
        <v>279</v>
      </c>
      <c r="E175" s="182">
        <v>7</v>
      </c>
      <c r="F175" s="178">
        <v>543200</v>
      </c>
      <c r="G175" s="550">
        <f t="shared" si="16"/>
        <v>3802400</v>
      </c>
    </row>
    <row r="176" spans="1:7" ht="36.75" customHeight="1" x14ac:dyDescent="0.25">
      <c r="A176" s="174"/>
      <c r="B176" s="555" t="s">
        <v>292</v>
      </c>
      <c r="C176" s="462" t="s">
        <v>1006</v>
      </c>
      <c r="D176" s="463" t="s">
        <v>59</v>
      </c>
      <c r="E176" s="182">
        <v>70</v>
      </c>
      <c r="F176" s="178">
        <v>50046.080000000002</v>
      </c>
      <c r="G176" s="550">
        <f t="shared" si="16"/>
        <v>3503225.6</v>
      </c>
    </row>
    <row r="177" spans="1:7" ht="36.75" customHeight="1" x14ac:dyDescent="0.25">
      <c r="A177" s="174"/>
      <c r="B177" s="555" t="s">
        <v>293</v>
      </c>
      <c r="C177" s="462" t="s">
        <v>1007</v>
      </c>
      <c r="D177" s="463" t="s">
        <v>59</v>
      </c>
      <c r="E177" s="182">
        <v>70</v>
      </c>
      <c r="F177" s="178">
        <v>18100.32</v>
      </c>
      <c r="G177" s="550">
        <f t="shared" si="16"/>
        <v>1267022.3999999999</v>
      </c>
    </row>
    <row r="178" spans="1:7" ht="36.75" customHeight="1" x14ac:dyDescent="0.25">
      <c r="A178" s="174"/>
      <c r="B178" s="555" t="s">
        <v>1010</v>
      </c>
      <c r="C178" s="462" t="s">
        <v>1008</v>
      </c>
      <c r="D178" s="463" t="s">
        <v>85</v>
      </c>
      <c r="E178" s="182">
        <v>1</v>
      </c>
      <c r="F178" s="178">
        <v>781132.80000000005</v>
      </c>
      <c r="G178" s="550">
        <f t="shared" si="16"/>
        <v>781132.80000000005</v>
      </c>
    </row>
    <row r="179" spans="1:7" ht="36.75" customHeight="1" x14ac:dyDescent="0.25">
      <c r="A179" s="174"/>
      <c r="B179" s="555" t="s">
        <v>1011</v>
      </c>
      <c r="C179" s="462" t="s">
        <v>1009</v>
      </c>
      <c r="D179" s="463" t="s">
        <v>85</v>
      </c>
      <c r="E179" s="182">
        <v>1</v>
      </c>
      <c r="F179" s="178">
        <v>468823.03999999998</v>
      </c>
      <c r="G179" s="550">
        <f t="shared" si="16"/>
        <v>468823.03999999998</v>
      </c>
    </row>
    <row r="180" spans="1:7" ht="36.75" customHeight="1" x14ac:dyDescent="0.25">
      <c r="A180" s="174"/>
      <c r="B180" s="556" t="s">
        <v>294</v>
      </c>
      <c r="C180" s="464" t="s">
        <v>295</v>
      </c>
      <c r="D180" s="463"/>
      <c r="E180" s="182"/>
      <c r="F180" s="178"/>
      <c r="G180" s="550"/>
    </row>
    <row r="181" spans="1:7" ht="57.75" customHeight="1" x14ac:dyDescent="0.25">
      <c r="A181" s="174"/>
      <c r="B181" s="555" t="s">
        <v>296</v>
      </c>
      <c r="C181" s="462" t="s">
        <v>1017</v>
      </c>
      <c r="D181" s="463" t="s">
        <v>279</v>
      </c>
      <c r="E181" s="182">
        <v>1</v>
      </c>
      <c r="F181" s="178">
        <v>7988960</v>
      </c>
      <c r="G181" s="550">
        <f t="shared" si="16"/>
        <v>7988960</v>
      </c>
    </row>
    <row r="182" spans="1:7" ht="36.75" customHeight="1" x14ac:dyDescent="0.25">
      <c r="A182" s="174"/>
      <c r="B182" s="555" t="s">
        <v>297</v>
      </c>
      <c r="C182" s="462" t="s">
        <v>968</v>
      </c>
      <c r="D182" s="463" t="s">
        <v>279</v>
      </c>
      <c r="E182" s="182">
        <v>14.6</v>
      </c>
      <c r="F182" s="178">
        <v>127400</v>
      </c>
      <c r="G182" s="550">
        <f t="shared" si="16"/>
        <v>1860040</v>
      </c>
    </row>
    <row r="183" spans="1:7" ht="36.75" customHeight="1" x14ac:dyDescent="0.25">
      <c r="A183" s="174"/>
      <c r="B183" s="555" t="s">
        <v>298</v>
      </c>
      <c r="C183" s="462" t="s">
        <v>969</v>
      </c>
      <c r="D183" s="463" t="s">
        <v>56</v>
      </c>
      <c r="E183" s="182">
        <v>2</v>
      </c>
      <c r="F183" s="178">
        <v>16016000</v>
      </c>
      <c r="G183" s="550">
        <f t="shared" si="16"/>
        <v>32032000</v>
      </c>
    </row>
    <row r="184" spans="1:7" ht="36.75" customHeight="1" x14ac:dyDescent="0.25">
      <c r="A184" s="174"/>
      <c r="B184" s="555" t="s">
        <v>299</v>
      </c>
      <c r="C184" s="462" t="s">
        <v>970</v>
      </c>
      <c r="D184" s="463" t="s">
        <v>279</v>
      </c>
      <c r="E184" s="182">
        <v>2</v>
      </c>
      <c r="F184" s="178">
        <v>1799280</v>
      </c>
      <c r="G184" s="550">
        <f t="shared" si="16"/>
        <v>3598560</v>
      </c>
    </row>
    <row r="185" spans="1:7" ht="36.75" customHeight="1" x14ac:dyDescent="0.25">
      <c r="A185" s="174"/>
      <c r="B185" s="555" t="s">
        <v>300</v>
      </c>
      <c r="C185" s="462" t="s">
        <v>971</v>
      </c>
      <c r="D185" s="463" t="s">
        <v>279</v>
      </c>
      <c r="E185" s="182">
        <v>7</v>
      </c>
      <c r="F185" s="178">
        <v>321048</v>
      </c>
      <c r="G185" s="550">
        <f t="shared" si="16"/>
        <v>2247336</v>
      </c>
    </row>
    <row r="186" spans="1:7" ht="36.75" customHeight="1" x14ac:dyDescent="0.25">
      <c r="A186" s="174"/>
      <c r="B186" s="555" t="s">
        <v>1012</v>
      </c>
      <c r="C186" s="462" t="s">
        <v>972</v>
      </c>
      <c r="D186" s="463" t="s">
        <v>59</v>
      </c>
      <c r="E186" s="182">
        <v>4</v>
      </c>
      <c r="F186" s="178">
        <v>543200</v>
      </c>
      <c r="G186" s="550">
        <f t="shared" si="16"/>
        <v>2172800</v>
      </c>
    </row>
    <row r="187" spans="1:7" ht="36.75" customHeight="1" x14ac:dyDescent="0.25">
      <c r="A187" s="174"/>
      <c r="B187" s="555" t="s">
        <v>1013</v>
      </c>
      <c r="C187" s="462" t="s">
        <v>1006</v>
      </c>
      <c r="D187" s="463" t="s">
        <v>279</v>
      </c>
      <c r="E187" s="182">
        <v>70</v>
      </c>
      <c r="F187" s="178">
        <v>50046.080000000002</v>
      </c>
      <c r="G187" s="550">
        <f t="shared" si="16"/>
        <v>3503225.6</v>
      </c>
    </row>
    <row r="188" spans="1:7" ht="36.75" customHeight="1" x14ac:dyDescent="0.25">
      <c r="A188" s="174"/>
      <c r="B188" s="555" t="s">
        <v>1014</v>
      </c>
      <c r="C188" s="462" t="s">
        <v>1007</v>
      </c>
      <c r="D188" s="463" t="s">
        <v>59</v>
      </c>
      <c r="E188" s="182">
        <v>70</v>
      </c>
      <c r="F188" s="178">
        <v>18100.32</v>
      </c>
      <c r="G188" s="550">
        <f t="shared" si="16"/>
        <v>1267022.3999999999</v>
      </c>
    </row>
    <row r="189" spans="1:7" ht="36.75" customHeight="1" x14ac:dyDescent="0.25">
      <c r="A189" s="174"/>
      <c r="B189" s="555" t="s">
        <v>1015</v>
      </c>
      <c r="C189" s="462" t="s">
        <v>1008</v>
      </c>
      <c r="D189" s="463" t="s">
        <v>59</v>
      </c>
      <c r="E189" s="182">
        <v>1</v>
      </c>
      <c r="F189" s="178">
        <v>781132.80000000005</v>
      </c>
      <c r="G189" s="550">
        <f t="shared" si="16"/>
        <v>781132.80000000005</v>
      </c>
    </row>
    <row r="190" spans="1:7" ht="36.75" customHeight="1" x14ac:dyDescent="0.25">
      <c r="A190" s="174"/>
      <c r="B190" s="555" t="s">
        <v>1016</v>
      </c>
      <c r="C190" s="462" t="s">
        <v>1009</v>
      </c>
      <c r="D190" s="463" t="s">
        <v>85</v>
      </c>
      <c r="E190" s="182">
        <v>1</v>
      </c>
      <c r="F190" s="178">
        <v>468823.03999999998</v>
      </c>
      <c r="G190" s="550">
        <f t="shared" si="16"/>
        <v>468823.03999999998</v>
      </c>
    </row>
    <row r="191" spans="1:7" ht="42.75" customHeight="1" thickBot="1" x14ac:dyDescent="0.3">
      <c r="A191" s="174"/>
      <c r="B191" s="551"/>
      <c r="C191" s="296" t="s">
        <v>301</v>
      </c>
      <c r="D191" s="297"/>
      <c r="E191" s="297"/>
      <c r="F191" s="298"/>
      <c r="G191" s="552">
        <f>SUM(G93:G190)</f>
        <v>1210403732.8599989</v>
      </c>
    </row>
    <row r="192" spans="1:7" ht="30" customHeight="1" thickTop="1" x14ac:dyDescent="0.25">
      <c r="A192" s="174"/>
      <c r="B192" s="553">
        <v>11</v>
      </c>
      <c r="C192" s="175" t="s">
        <v>302</v>
      </c>
      <c r="D192" s="176"/>
      <c r="E192" s="176"/>
      <c r="F192" s="177"/>
      <c r="G192" s="550"/>
    </row>
    <row r="193" spans="1:7" ht="30" customHeight="1" x14ac:dyDescent="0.25">
      <c r="A193" s="174"/>
      <c r="B193" s="549" t="s">
        <v>303</v>
      </c>
      <c r="C193" s="183" t="s">
        <v>304</v>
      </c>
      <c r="D193" s="181" t="s">
        <v>56</v>
      </c>
      <c r="E193" s="182">
        <v>2225.4</v>
      </c>
      <c r="F193" s="177">
        <f>ROUND(594750*0.95,0)</f>
        <v>565013</v>
      </c>
      <c r="G193" s="550">
        <f t="shared" ref="G193:G194" si="17">E193*F193</f>
        <v>1257379930.2</v>
      </c>
    </row>
    <row r="194" spans="1:7" ht="30" customHeight="1" x14ac:dyDescent="0.25">
      <c r="A194" s="174"/>
      <c r="B194" s="549" t="s">
        <v>305</v>
      </c>
      <c r="C194" s="183" t="s">
        <v>306</v>
      </c>
      <c r="D194" s="181" t="s">
        <v>99</v>
      </c>
      <c r="E194" s="182">
        <v>1068</v>
      </c>
      <c r="F194" s="177">
        <v>38950</v>
      </c>
      <c r="G194" s="550">
        <f t="shared" si="17"/>
        <v>41598600</v>
      </c>
    </row>
    <row r="195" spans="1:7" ht="30" customHeight="1" thickBot="1" x14ac:dyDescent="0.3">
      <c r="A195" s="174"/>
      <c r="B195" s="551"/>
      <c r="C195" s="296" t="s">
        <v>307</v>
      </c>
      <c r="D195" s="297"/>
      <c r="E195" s="297"/>
      <c r="F195" s="298"/>
      <c r="G195" s="552">
        <f>SUM(G192:G194)</f>
        <v>1298978530.2</v>
      </c>
    </row>
    <row r="196" spans="1:7" ht="30" customHeight="1" thickTop="1" x14ac:dyDescent="0.25">
      <c r="A196" s="174"/>
      <c r="B196" s="553">
        <v>12</v>
      </c>
      <c r="C196" s="175" t="s">
        <v>308</v>
      </c>
      <c r="D196" s="176"/>
      <c r="E196" s="176"/>
      <c r="F196" s="177"/>
      <c r="G196" s="550"/>
    </row>
    <row r="197" spans="1:7" ht="36" customHeight="1" x14ac:dyDescent="0.25">
      <c r="A197" s="174"/>
      <c r="B197" s="549" t="s">
        <v>309</v>
      </c>
      <c r="C197" s="183" t="s">
        <v>311</v>
      </c>
      <c r="D197" s="181" t="s">
        <v>56</v>
      </c>
      <c r="E197" s="294">
        <v>435</v>
      </c>
      <c r="F197" s="177">
        <v>684975</v>
      </c>
      <c r="G197" s="550">
        <f t="shared" ref="G197:G213" si="18">E197*F197</f>
        <v>297964125</v>
      </c>
    </row>
    <row r="198" spans="1:7" ht="36" customHeight="1" x14ac:dyDescent="0.25">
      <c r="A198" s="174"/>
      <c r="B198" s="549" t="s">
        <v>310</v>
      </c>
      <c r="C198" s="183" t="s">
        <v>313</v>
      </c>
      <c r="D198" s="181" t="s">
        <v>56</v>
      </c>
      <c r="E198" s="294">
        <v>48</v>
      </c>
      <c r="F198" s="177">
        <v>684975</v>
      </c>
      <c r="G198" s="550">
        <f t="shared" si="18"/>
        <v>32878800</v>
      </c>
    </row>
    <row r="199" spans="1:7" ht="26.25" customHeight="1" x14ac:dyDescent="0.25">
      <c r="A199" s="174"/>
      <c r="B199" s="549" t="s">
        <v>312</v>
      </c>
      <c r="C199" s="183" t="s">
        <v>315</v>
      </c>
      <c r="D199" s="181" t="s">
        <v>56</v>
      </c>
      <c r="E199" s="294">
        <v>800</v>
      </c>
      <c r="F199" s="177">
        <v>428930</v>
      </c>
      <c r="G199" s="550">
        <f t="shared" si="18"/>
        <v>343144000</v>
      </c>
    </row>
    <row r="200" spans="1:7" ht="30" customHeight="1" x14ac:dyDescent="0.25">
      <c r="A200" s="174"/>
      <c r="B200" s="549" t="s">
        <v>314</v>
      </c>
      <c r="C200" s="183" t="s">
        <v>1327</v>
      </c>
      <c r="D200" s="181" t="s">
        <v>99</v>
      </c>
      <c r="E200" s="294">
        <v>239</v>
      </c>
      <c r="F200" s="177">
        <v>971035</v>
      </c>
      <c r="G200" s="550">
        <f t="shared" si="18"/>
        <v>232077365</v>
      </c>
    </row>
    <row r="201" spans="1:7" ht="30" customHeight="1" x14ac:dyDescent="0.25">
      <c r="A201" s="174"/>
      <c r="B201" s="549" t="s">
        <v>316</v>
      </c>
      <c r="C201" s="183" t="s">
        <v>1328</v>
      </c>
      <c r="D201" s="181" t="s">
        <v>99</v>
      </c>
      <c r="E201" s="294">
        <v>20</v>
      </c>
      <c r="F201" s="177">
        <v>1868506</v>
      </c>
      <c r="G201" s="550">
        <f t="shared" si="18"/>
        <v>37370120</v>
      </c>
    </row>
    <row r="202" spans="1:7" ht="43.5" customHeight="1" x14ac:dyDescent="0.25">
      <c r="A202" s="174"/>
      <c r="B202" s="549" t="s">
        <v>317</v>
      </c>
      <c r="C202" s="289" t="s">
        <v>319</v>
      </c>
      <c r="D202" s="181" t="s">
        <v>99</v>
      </c>
      <c r="E202" s="294">
        <v>240</v>
      </c>
      <c r="F202" s="177">
        <v>350000</v>
      </c>
      <c r="G202" s="550">
        <f t="shared" si="18"/>
        <v>84000000</v>
      </c>
    </row>
    <row r="203" spans="1:7" ht="30" customHeight="1" x14ac:dyDescent="0.25">
      <c r="A203" s="174"/>
      <c r="B203" s="549" t="s">
        <v>318</v>
      </c>
      <c r="C203" s="183" t="s">
        <v>321</v>
      </c>
      <c r="D203" s="181" t="s">
        <v>59</v>
      </c>
      <c r="E203" s="294">
        <v>1017</v>
      </c>
      <c r="F203" s="177">
        <v>198720</v>
      </c>
      <c r="G203" s="550">
        <f t="shared" si="18"/>
        <v>202098240</v>
      </c>
    </row>
    <row r="204" spans="1:7" ht="54.75" customHeight="1" x14ac:dyDescent="0.25">
      <c r="A204" s="174"/>
      <c r="B204" s="549" t="s">
        <v>320</v>
      </c>
      <c r="C204" s="183" t="s">
        <v>323</v>
      </c>
      <c r="D204" s="181" t="s">
        <v>56</v>
      </c>
      <c r="E204" s="294">
        <v>415.2</v>
      </c>
      <c r="F204" s="177">
        <v>172749</v>
      </c>
      <c r="G204" s="550">
        <f t="shared" si="18"/>
        <v>71725384.799999997</v>
      </c>
    </row>
    <row r="205" spans="1:7" ht="30" customHeight="1" x14ac:dyDescent="0.25">
      <c r="A205" s="174"/>
      <c r="B205" s="549" t="s">
        <v>322</v>
      </c>
      <c r="C205" s="183" t="s">
        <v>325</v>
      </c>
      <c r="D205" s="181" t="s">
        <v>59</v>
      </c>
      <c r="E205" s="294">
        <v>1400</v>
      </c>
      <c r="F205" s="177">
        <v>62856</v>
      </c>
      <c r="G205" s="550">
        <f t="shared" si="18"/>
        <v>87998400</v>
      </c>
    </row>
    <row r="206" spans="1:7" ht="30" customHeight="1" x14ac:dyDescent="0.25">
      <c r="A206" s="174"/>
      <c r="B206" s="549" t="s">
        <v>324</v>
      </c>
      <c r="C206" s="183" t="s">
        <v>327</v>
      </c>
      <c r="D206" s="181" t="s">
        <v>59</v>
      </c>
      <c r="E206" s="294">
        <v>8050</v>
      </c>
      <c r="F206" s="177">
        <v>22646</v>
      </c>
      <c r="G206" s="550">
        <f t="shared" si="18"/>
        <v>182300300</v>
      </c>
    </row>
    <row r="207" spans="1:7" ht="30" customHeight="1" x14ac:dyDescent="0.25">
      <c r="A207" s="174"/>
      <c r="B207" s="549" t="s">
        <v>326</v>
      </c>
      <c r="C207" s="183" t="s">
        <v>329</v>
      </c>
      <c r="D207" s="181" t="s">
        <v>56</v>
      </c>
      <c r="E207" s="294">
        <v>259</v>
      </c>
      <c r="F207" s="177">
        <v>107270</v>
      </c>
      <c r="G207" s="550">
        <f t="shared" si="18"/>
        <v>27782930</v>
      </c>
    </row>
    <row r="208" spans="1:7" ht="30" customHeight="1" x14ac:dyDescent="0.25">
      <c r="A208" s="174"/>
      <c r="B208" s="549" t="s">
        <v>328</v>
      </c>
      <c r="C208" s="183" t="s">
        <v>331</v>
      </c>
      <c r="D208" s="181" t="s">
        <v>56</v>
      </c>
      <c r="E208" s="294">
        <v>233</v>
      </c>
      <c r="F208" s="177">
        <v>19380</v>
      </c>
      <c r="G208" s="550">
        <f t="shared" si="18"/>
        <v>4515540</v>
      </c>
    </row>
    <row r="209" spans="1:7" ht="30" customHeight="1" x14ac:dyDescent="0.25">
      <c r="A209" s="174"/>
      <c r="B209" s="549" t="s">
        <v>330</v>
      </c>
      <c r="C209" s="183" t="s">
        <v>333</v>
      </c>
      <c r="D209" s="181" t="s">
        <v>85</v>
      </c>
      <c r="E209" s="294">
        <v>1</v>
      </c>
      <c r="F209" s="177">
        <v>2850000</v>
      </c>
      <c r="G209" s="550">
        <f t="shared" si="18"/>
        <v>2850000</v>
      </c>
    </row>
    <row r="210" spans="1:7" ht="35.25" customHeight="1" x14ac:dyDescent="0.25">
      <c r="A210" s="174"/>
      <c r="B210" s="549" t="s">
        <v>332</v>
      </c>
      <c r="C210" s="183" t="s">
        <v>335</v>
      </c>
      <c r="D210" s="181" t="s">
        <v>85</v>
      </c>
      <c r="E210" s="294">
        <v>1</v>
      </c>
      <c r="F210" s="177">
        <v>5870900</v>
      </c>
      <c r="G210" s="550">
        <f t="shared" si="18"/>
        <v>5870900</v>
      </c>
    </row>
    <row r="211" spans="1:7" ht="35.25" customHeight="1" x14ac:dyDescent="0.25">
      <c r="A211" s="174"/>
      <c r="B211" s="549" t="s">
        <v>334</v>
      </c>
      <c r="C211" s="183" t="s">
        <v>337</v>
      </c>
      <c r="D211" s="181" t="s">
        <v>99</v>
      </c>
      <c r="E211" s="294">
        <v>31</v>
      </c>
      <c r="F211" s="177">
        <v>767436</v>
      </c>
      <c r="G211" s="550">
        <f t="shared" si="18"/>
        <v>23790516</v>
      </c>
    </row>
    <row r="212" spans="1:7" ht="35.25" customHeight="1" x14ac:dyDescent="0.25">
      <c r="A212" s="174"/>
      <c r="B212" s="549" t="s">
        <v>336</v>
      </c>
      <c r="C212" s="183" t="s">
        <v>339</v>
      </c>
      <c r="D212" s="181" t="s">
        <v>56</v>
      </c>
      <c r="E212" s="294">
        <v>32</v>
      </c>
      <c r="F212" s="177">
        <v>550000</v>
      </c>
      <c r="G212" s="550">
        <f t="shared" si="18"/>
        <v>17600000</v>
      </c>
    </row>
    <row r="213" spans="1:7" ht="35.25" customHeight="1" x14ac:dyDescent="0.25">
      <c r="A213" s="174"/>
      <c r="B213" s="549" t="s">
        <v>338</v>
      </c>
      <c r="C213" s="183" t="s">
        <v>340</v>
      </c>
      <c r="D213" s="181" t="s">
        <v>59</v>
      </c>
      <c r="E213" s="294">
        <v>31</v>
      </c>
      <c r="F213" s="177">
        <v>35800</v>
      </c>
      <c r="G213" s="550">
        <f t="shared" si="18"/>
        <v>1109800</v>
      </c>
    </row>
    <row r="214" spans="1:7" ht="30" customHeight="1" thickBot="1" x14ac:dyDescent="0.3">
      <c r="A214" s="174"/>
      <c r="B214" s="551"/>
      <c r="C214" s="296" t="s">
        <v>341</v>
      </c>
      <c r="D214" s="297"/>
      <c r="E214" s="297"/>
      <c r="F214" s="298"/>
      <c r="G214" s="552">
        <f>SUM(G196:G213)</f>
        <v>1655076420.8</v>
      </c>
    </row>
    <row r="215" spans="1:7" ht="30" customHeight="1" thickTop="1" x14ac:dyDescent="0.25">
      <c r="A215" s="174"/>
      <c r="B215" s="553">
        <v>13</v>
      </c>
      <c r="C215" s="175" t="s">
        <v>342</v>
      </c>
      <c r="D215" s="176"/>
      <c r="E215" s="176"/>
      <c r="F215" s="177"/>
      <c r="G215" s="550"/>
    </row>
    <row r="216" spans="1:7" ht="26.25" customHeight="1" x14ac:dyDescent="0.25">
      <c r="A216" s="174"/>
      <c r="B216" s="549" t="s">
        <v>343</v>
      </c>
      <c r="C216" s="183" t="s">
        <v>1054</v>
      </c>
      <c r="D216" s="181" t="s">
        <v>99</v>
      </c>
      <c r="E216" s="294">
        <v>31</v>
      </c>
      <c r="F216" s="177">
        <f>406765+100000</f>
        <v>506765</v>
      </c>
      <c r="G216" s="550">
        <f t="shared" ref="G216:G224" si="19">E216*F216</f>
        <v>15709715</v>
      </c>
    </row>
    <row r="217" spans="1:7" ht="28.5" customHeight="1" x14ac:dyDescent="0.25">
      <c r="A217" s="174"/>
      <c r="B217" s="549" t="s">
        <v>344</v>
      </c>
      <c r="C217" s="183" t="s">
        <v>345</v>
      </c>
      <c r="D217" s="181" t="s">
        <v>99</v>
      </c>
      <c r="E217" s="294">
        <v>116</v>
      </c>
      <c r="F217" s="177">
        <v>1086010</v>
      </c>
      <c r="G217" s="550">
        <f t="shared" si="19"/>
        <v>125977160</v>
      </c>
    </row>
    <row r="218" spans="1:7" ht="28.5" customHeight="1" x14ac:dyDescent="0.25">
      <c r="A218" s="174"/>
      <c r="B218" s="549" t="s">
        <v>346</v>
      </c>
      <c r="C218" s="183" t="s">
        <v>798</v>
      </c>
      <c r="D218" s="181" t="s">
        <v>99</v>
      </c>
      <c r="E218" s="294">
        <v>55</v>
      </c>
      <c r="F218" s="177">
        <v>840350</v>
      </c>
      <c r="G218" s="550">
        <f t="shared" si="19"/>
        <v>46219250</v>
      </c>
    </row>
    <row r="219" spans="1:7" ht="38.25" customHeight="1" x14ac:dyDescent="0.25">
      <c r="A219" s="174"/>
      <c r="B219" s="549" t="s">
        <v>347</v>
      </c>
      <c r="C219" s="183" t="s">
        <v>348</v>
      </c>
      <c r="D219" s="181" t="s">
        <v>99</v>
      </c>
      <c r="E219" s="294">
        <v>32</v>
      </c>
      <c r="F219" s="177">
        <v>195780</v>
      </c>
      <c r="G219" s="550">
        <f t="shared" si="19"/>
        <v>6264960</v>
      </c>
    </row>
    <row r="220" spans="1:7" ht="28.5" customHeight="1" x14ac:dyDescent="0.25">
      <c r="A220" s="174"/>
      <c r="B220" s="549" t="s">
        <v>349</v>
      </c>
      <c r="C220" s="183" t="s">
        <v>350</v>
      </c>
      <c r="D220" s="181" t="s">
        <v>99</v>
      </c>
      <c r="E220" s="294">
        <v>32</v>
      </c>
      <c r="F220" s="177">
        <v>187790</v>
      </c>
      <c r="G220" s="550">
        <f t="shared" si="19"/>
        <v>6009280</v>
      </c>
    </row>
    <row r="221" spans="1:7" ht="42.75" customHeight="1" x14ac:dyDescent="0.25">
      <c r="A221" s="174"/>
      <c r="B221" s="549" t="s">
        <v>351</v>
      </c>
      <c r="C221" s="183" t="s">
        <v>352</v>
      </c>
      <c r="D221" s="181" t="s">
        <v>99</v>
      </c>
      <c r="E221" s="294">
        <v>27</v>
      </c>
      <c r="F221" s="177">
        <v>145780</v>
      </c>
      <c r="G221" s="550">
        <f t="shared" si="19"/>
        <v>3936060</v>
      </c>
    </row>
    <row r="222" spans="1:7" ht="32.25" customHeight="1" x14ac:dyDescent="0.25">
      <c r="A222" s="174"/>
      <c r="B222" s="549" t="s">
        <v>353</v>
      </c>
      <c r="C222" s="183" t="s">
        <v>354</v>
      </c>
      <c r="D222" s="181" t="s">
        <v>99</v>
      </c>
      <c r="E222" s="294">
        <v>31</v>
      </c>
      <c r="F222" s="177">
        <v>67830</v>
      </c>
      <c r="G222" s="550">
        <f t="shared" si="19"/>
        <v>2102730</v>
      </c>
    </row>
    <row r="223" spans="1:7" ht="42.75" customHeight="1" x14ac:dyDescent="0.25">
      <c r="A223" s="174"/>
      <c r="B223" s="549" t="s">
        <v>355</v>
      </c>
      <c r="C223" s="183" t="s">
        <v>356</v>
      </c>
      <c r="D223" s="181" t="s">
        <v>56</v>
      </c>
      <c r="E223" s="294">
        <v>52</v>
      </c>
      <c r="F223" s="177">
        <v>488111</v>
      </c>
      <c r="G223" s="550">
        <f t="shared" si="19"/>
        <v>25381772</v>
      </c>
    </row>
    <row r="224" spans="1:7" ht="35.25" customHeight="1" x14ac:dyDescent="0.25">
      <c r="A224" s="174"/>
      <c r="B224" s="549" t="s">
        <v>357</v>
      </c>
      <c r="C224" s="183" t="s">
        <v>358</v>
      </c>
      <c r="D224" s="181" t="s">
        <v>99</v>
      </c>
      <c r="E224" s="294">
        <v>108</v>
      </c>
      <c r="F224" s="177">
        <v>25784</v>
      </c>
      <c r="G224" s="550">
        <f t="shared" si="19"/>
        <v>2784672</v>
      </c>
    </row>
    <row r="225" spans="1:7" ht="30" customHeight="1" thickBot="1" x14ac:dyDescent="0.3">
      <c r="A225" s="174"/>
      <c r="B225" s="551"/>
      <c r="C225" s="296" t="s">
        <v>359</v>
      </c>
      <c r="D225" s="297"/>
      <c r="E225" s="297"/>
      <c r="F225" s="298"/>
      <c r="G225" s="552">
        <f>SUM(G215:G224)</f>
        <v>234385599</v>
      </c>
    </row>
    <row r="226" spans="1:7" ht="30" customHeight="1" thickTop="1" x14ac:dyDescent="0.25">
      <c r="A226" s="174"/>
      <c r="B226" s="553">
        <v>14</v>
      </c>
      <c r="C226" s="175" t="s">
        <v>360</v>
      </c>
      <c r="D226" s="176"/>
      <c r="E226" s="176"/>
      <c r="F226" s="177"/>
      <c r="G226" s="550"/>
    </row>
    <row r="227" spans="1:7" ht="30" customHeight="1" x14ac:dyDescent="0.25">
      <c r="A227" s="174"/>
      <c r="B227" s="549" t="s">
        <v>361</v>
      </c>
      <c r="C227" s="183" t="s">
        <v>362</v>
      </c>
      <c r="D227" s="181" t="s">
        <v>99</v>
      </c>
      <c r="E227" s="182">
        <v>2</v>
      </c>
      <c r="F227" s="516">
        <v>35175000</v>
      </c>
      <c r="G227" s="550">
        <f t="shared" ref="G227:G228" si="20">E227*F227</f>
        <v>70350000</v>
      </c>
    </row>
    <row r="228" spans="1:7" ht="54" customHeight="1" x14ac:dyDescent="0.25">
      <c r="A228" s="174"/>
      <c r="B228" s="549" t="s">
        <v>363</v>
      </c>
      <c r="C228" s="183" t="s">
        <v>364</v>
      </c>
      <c r="D228" s="181" t="s">
        <v>99</v>
      </c>
      <c r="E228" s="182">
        <v>2</v>
      </c>
      <c r="F228" s="177">
        <v>166400000</v>
      </c>
      <c r="G228" s="550">
        <f t="shared" si="20"/>
        <v>332800000</v>
      </c>
    </row>
    <row r="229" spans="1:7" ht="30" customHeight="1" thickBot="1" x14ac:dyDescent="0.3">
      <c r="A229" s="174"/>
      <c r="B229" s="551"/>
      <c r="C229" s="296" t="s">
        <v>365</v>
      </c>
      <c r="D229" s="297"/>
      <c r="E229" s="297"/>
      <c r="F229" s="298"/>
      <c r="G229" s="552">
        <f>SUM(G226:G228)</f>
        <v>403150000</v>
      </c>
    </row>
    <row r="230" spans="1:7" ht="30" customHeight="1" thickTop="1" x14ac:dyDescent="0.25">
      <c r="A230" s="174"/>
      <c r="B230" s="553">
        <v>15</v>
      </c>
      <c r="C230" s="175" t="s">
        <v>366</v>
      </c>
      <c r="D230" s="176"/>
      <c r="E230" s="176"/>
      <c r="F230" s="177"/>
      <c r="G230" s="550"/>
    </row>
    <row r="231" spans="1:7" ht="39.75" customHeight="1" x14ac:dyDescent="0.25">
      <c r="A231" s="174"/>
      <c r="B231" s="549" t="s">
        <v>367</v>
      </c>
      <c r="C231" s="183" t="s">
        <v>959</v>
      </c>
      <c r="D231" s="181" t="s">
        <v>56</v>
      </c>
      <c r="E231" s="182">
        <v>520</v>
      </c>
      <c r="F231" s="177">
        <v>35870</v>
      </c>
      <c r="G231" s="550">
        <f>E231*F231</f>
        <v>18652400</v>
      </c>
    </row>
    <row r="232" spans="1:7" ht="30" customHeight="1" thickBot="1" x14ac:dyDescent="0.3">
      <c r="A232" s="174"/>
      <c r="B232" s="551"/>
      <c r="C232" s="296" t="s">
        <v>369</v>
      </c>
      <c r="D232" s="297"/>
      <c r="E232" s="297"/>
      <c r="F232" s="298"/>
      <c r="G232" s="552">
        <f>SUM(G230:G231)</f>
        <v>18652400</v>
      </c>
    </row>
    <row r="233" spans="1:7" ht="30" customHeight="1" thickTop="1" x14ac:dyDescent="0.25">
      <c r="A233" s="174"/>
      <c r="B233" s="553">
        <v>16</v>
      </c>
      <c r="C233" s="175" t="s">
        <v>370</v>
      </c>
      <c r="D233" s="176"/>
      <c r="E233" s="176"/>
      <c r="F233" s="177"/>
      <c r="G233" s="550"/>
    </row>
    <row r="234" spans="1:7" ht="30" customHeight="1" x14ac:dyDescent="0.25">
      <c r="A234" s="174"/>
      <c r="B234" s="549" t="s">
        <v>371</v>
      </c>
      <c r="C234" s="183" t="s">
        <v>372</v>
      </c>
      <c r="D234" s="181" t="s">
        <v>59</v>
      </c>
      <c r="E234" s="182">
        <v>340</v>
      </c>
      <c r="F234" s="177">
        <v>31619</v>
      </c>
      <c r="G234" s="550">
        <f t="shared" ref="G234:G242" si="21">E234*F234</f>
        <v>10750460</v>
      </c>
    </row>
    <row r="235" spans="1:7" ht="30" customHeight="1" x14ac:dyDescent="0.25">
      <c r="A235" s="174"/>
      <c r="B235" s="549" t="s">
        <v>373</v>
      </c>
      <c r="C235" s="183" t="s">
        <v>374</v>
      </c>
      <c r="D235" s="181" t="s">
        <v>59</v>
      </c>
      <c r="E235" s="182">
        <v>1980</v>
      </c>
      <c r="F235" s="177">
        <v>67770</v>
      </c>
      <c r="G235" s="550">
        <f t="shared" si="21"/>
        <v>134184600</v>
      </c>
    </row>
    <row r="236" spans="1:7" ht="30" customHeight="1" x14ac:dyDescent="0.25">
      <c r="A236" s="174"/>
      <c r="B236" s="549" t="s">
        <v>375</v>
      </c>
      <c r="C236" s="183" t="s">
        <v>376</v>
      </c>
      <c r="D236" s="181" t="s">
        <v>56</v>
      </c>
      <c r="E236" s="182">
        <v>7928</v>
      </c>
      <c r="F236" s="177">
        <v>11250</v>
      </c>
      <c r="G236" s="550">
        <f t="shared" si="21"/>
        <v>89190000</v>
      </c>
    </row>
    <row r="237" spans="1:7" ht="30" customHeight="1" x14ac:dyDescent="0.25">
      <c r="A237" s="174"/>
      <c r="B237" s="549" t="s">
        <v>377</v>
      </c>
      <c r="C237" s="183" t="s">
        <v>378</v>
      </c>
      <c r="D237" s="181" t="s">
        <v>64</v>
      </c>
      <c r="E237" s="182">
        <v>1189.2</v>
      </c>
      <c r="F237" s="177">
        <v>135420</v>
      </c>
      <c r="G237" s="550">
        <f t="shared" si="21"/>
        <v>161041464</v>
      </c>
    </row>
    <row r="238" spans="1:7" ht="30" customHeight="1" x14ac:dyDescent="0.25">
      <c r="A238" s="174"/>
      <c r="B238" s="549" t="s">
        <v>379</v>
      </c>
      <c r="C238" s="183" t="s">
        <v>380</v>
      </c>
      <c r="D238" s="181" t="s">
        <v>64</v>
      </c>
      <c r="E238" s="182">
        <v>792.8</v>
      </c>
      <c r="F238" s="177">
        <v>98350</v>
      </c>
      <c r="G238" s="550">
        <f t="shared" si="21"/>
        <v>77971880</v>
      </c>
    </row>
    <row r="239" spans="1:7" ht="30" customHeight="1" x14ac:dyDescent="0.25">
      <c r="A239" s="174"/>
      <c r="B239" s="549" t="s">
        <v>381</v>
      </c>
      <c r="C239" s="183" t="s">
        <v>429</v>
      </c>
      <c r="D239" s="181" t="s">
        <v>56</v>
      </c>
      <c r="E239" s="182">
        <v>7928</v>
      </c>
      <c r="F239" s="177">
        <v>4262</v>
      </c>
      <c r="G239" s="550">
        <f t="shared" si="21"/>
        <v>33789136</v>
      </c>
    </row>
    <row r="240" spans="1:7" ht="30" customHeight="1" x14ac:dyDescent="0.25">
      <c r="A240" s="174"/>
      <c r="B240" s="549" t="s">
        <v>382</v>
      </c>
      <c r="C240" s="183" t="s">
        <v>383</v>
      </c>
      <c r="D240" s="181" t="s">
        <v>56</v>
      </c>
      <c r="E240" s="182">
        <v>7992</v>
      </c>
      <c r="F240" s="177">
        <v>104000</v>
      </c>
      <c r="G240" s="550">
        <f t="shared" si="21"/>
        <v>831168000</v>
      </c>
    </row>
    <row r="241" spans="1:7" ht="30" customHeight="1" x14ac:dyDescent="0.25">
      <c r="A241" s="174"/>
      <c r="B241" s="549" t="s">
        <v>384</v>
      </c>
      <c r="C241" s="183" t="s">
        <v>385</v>
      </c>
      <c r="D241" s="181" t="s">
        <v>56</v>
      </c>
      <c r="E241" s="182">
        <v>7992</v>
      </c>
      <c r="F241" s="177">
        <v>59700</v>
      </c>
      <c r="G241" s="550">
        <f t="shared" si="21"/>
        <v>477122400</v>
      </c>
    </row>
    <row r="242" spans="1:7" ht="30" customHeight="1" x14ac:dyDescent="0.25">
      <c r="A242" s="174"/>
      <c r="B242" s="549" t="s">
        <v>386</v>
      </c>
      <c r="C242" s="183" t="s">
        <v>387</v>
      </c>
      <c r="D242" s="181" t="s">
        <v>388</v>
      </c>
      <c r="E242" s="182">
        <v>1</v>
      </c>
      <c r="F242" s="177">
        <v>10626830</v>
      </c>
      <c r="G242" s="550">
        <f t="shared" si="21"/>
        <v>10626830</v>
      </c>
    </row>
    <row r="243" spans="1:7" ht="30" customHeight="1" thickBot="1" x14ac:dyDescent="0.3">
      <c r="A243" s="174"/>
      <c r="B243" s="551"/>
      <c r="C243" s="296" t="s">
        <v>389</v>
      </c>
      <c r="D243" s="297"/>
      <c r="E243" s="297"/>
      <c r="F243" s="298"/>
      <c r="G243" s="552">
        <f>SUM(G233:G242)</f>
        <v>1825844770</v>
      </c>
    </row>
    <row r="244" spans="1:7" ht="30" customHeight="1" thickTop="1" x14ac:dyDescent="0.25">
      <c r="A244" s="174"/>
      <c r="B244" s="553">
        <v>17</v>
      </c>
      <c r="C244" s="175" t="s">
        <v>390</v>
      </c>
      <c r="D244" s="176"/>
      <c r="E244" s="176"/>
      <c r="F244" s="177"/>
      <c r="G244" s="550"/>
    </row>
    <row r="245" spans="1:7" ht="30" customHeight="1" x14ac:dyDescent="0.25">
      <c r="A245" s="174"/>
      <c r="B245" s="549" t="s">
        <v>391</v>
      </c>
      <c r="C245" s="183" t="s">
        <v>1331</v>
      </c>
      <c r="D245" s="181" t="s">
        <v>85</v>
      </c>
      <c r="E245" s="182">
        <v>1</v>
      </c>
      <c r="F245" s="177">
        <v>2048000</v>
      </c>
      <c r="G245" s="550">
        <f t="shared" ref="G245:G275" si="22">E245*F245</f>
        <v>2048000</v>
      </c>
    </row>
    <row r="246" spans="1:7" ht="30" customHeight="1" x14ac:dyDescent="0.25">
      <c r="A246" s="174"/>
      <c r="B246" s="549" t="s">
        <v>392</v>
      </c>
      <c r="C246" s="183" t="s">
        <v>393</v>
      </c>
      <c r="D246" s="181" t="s">
        <v>56</v>
      </c>
      <c r="E246" s="182">
        <v>145</v>
      </c>
      <c r="F246" s="177">
        <v>79950</v>
      </c>
      <c r="G246" s="550">
        <f t="shared" si="22"/>
        <v>11592750</v>
      </c>
    </row>
    <row r="247" spans="1:7" ht="30" customHeight="1" x14ac:dyDescent="0.25">
      <c r="A247" s="174"/>
      <c r="B247" s="549" t="s">
        <v>394</v>
      </c>
      <c r="C247" s="183" t="s">
        <v>395</v>
      </c>
      <c r="D247" s="181" t="s">
        <v>56</v>
      </c>
      <c r="E247" s="182">
        <v>173</v>
      </c>
      <c r="F247" s="177">
        <v>34260</v>
      </c>
      <c r="G247" s="550">
        <f t="shared" si="22"/>
        <v>5926980</v>
      </c>
    </row>
    <row r="248" spans="1:7" ht="30" customHeight="1" x14ac:dyDescent="0.25">
      <c r="A248" s="174"/>
      <c r="B248" s="549" t="s">
        <v>396</v>
      </c>
      <c r="C248" s="183" t="s">
        <v>397</v>
      </c>
      <c r="D248" s="181" t="s">
        <v>56</v>
      </c>
      <c r="E248" s="182">
        <v>123.5</v>
      </c>
      <c r="F248" s="177">
        <v>44580</v>
      </c>
      <c r="G248" s="550">
        <f t="shared" si="22"/>
        <v>5505630</v>
      </c>
    </row>
    <row r="249" spans="1:7" ht="30" customHeight="1" x14ac:dyDescent="0.25">
      <c r="A249" s="174"/>
      <c r="B249" s="549" t="s">
        <v>398</v>
      </c>
      <c r="C249" s="183" t="s">
        <v>399</v>
      </c>
      <c r="D249" s="181" t="s">
        <v>56</v>
      </c>
      <c r="E249" s="182">
        <v>133.80000000000001</v>
      </c>
      <c r="F249" s="177">
        <v>50760</v>
      </c>
      <c r="G249" s="550">
        <f t="shared" si="22"/>
        <v>6791688.0000000009</v>
      </c>
    </row>
    <row r="250" spans="1:7" ht="30" customHeight="1" x14ac:dyDescent="0.25">
      <c r="A250" s="174"/>
      <c r="B250" s="549" t="s">
        <v>400</v>
      </c>
      <c r="C250" s="183" t="s">
        <v>401</v>
      </c>
      <c r="D250" s="181" t="s">
        <v>59</v>
      </c>
      <c r="E250" s="182">
        <v>44</v>
      </c>
      <c r="F250" s="177">
        <v>971730</v>
      </c>
      <c r="G250" s="550">
        <f t="shared" si="22"/>
        <v>42756120</v>
      </c>
    </row>
    <row r="251" spans="1:7" ht="30" customHeight="1" x14ac:dyDescent="0.25">
      <c r="A251" s="174"/>
      <c r="B251" s="549" t="s">
        <v>402</v>
      </c>
      <c r="C251" s="183" t="s">
        <v>403</v>
      </c>
      <c r="D251" s="181" t="s">
        <v>59</v>
      </c>
      <c r="E251" s="182">
        <v>2</v>
      </c>
      <c r="F251" s="177">
        <v>1183220</v>
      </c>
      <c r="G251" s="550">
        <f t="shared" si="22"/>
        <v>2366440</v>
      </c>
    </row>
    <row r="252" spans="1:7" ht="30" customHeight="1" x14ac:dyDescent="0.25">
      <c r="A252" s="174"/>
      <c r="B252" s="549" t="s">
        <v>404</v>
      </c>
      <c r="C252" s="183" t="s">
        <v>405</v>
      </c>
      <c r="D252" s="181" t="s">
        <v>99</v>
      </c>
      <c r="E252" s="182">
        <v>16</v>
      </c>
      <c r="F252" s="177">
        <v>874800</v>
      </c>
      <c r="G252" s="550">
        <f t="shared" si="22"/>
        <v>13996800</v>
      </c>
    </row>
    <row r="253" spans="1:7" ht="30" customHeight="1" x14ac:dyDescent="0.25">
      <c r="A253" s="174"/>
      <c r="B253" s="549" t="s">
        <v>406</v>
      </c>
      <c r="C253" s="183" t="s">
        <v>407</v>
      </c>
      <c r="D253" s="181" t="s">
        <v>99</v>
      </c>
      <c r="E253" s="182">
        <v>32</v>
      </c>
      <c r="F253" s="177">
        <v>1014780</v>
      </c>
      <c r="G253" s="550">
        <f t="shared" si="22"/>
        <v>32472960</v>
      </c>
    </row>
    <row r="254" spans="1:7" ht="30" customHeight="1" x14ac:dyDescent="0.25">
      <c r="A254" s="174"/>
      <c r="B254" s="549" t="s">
        <v>408</v>
      </c>
      <c r="C254" s="183" t="s">
        <v>409</v>
      </c>
      <c r="D254" s="181" t="s">
        <v>99</v>
      </c>
      <c r="E254" s="182">
        <v>14</v>
      </c>
      <c r="F254" s="177">
        <v>1025810</v>
      </c>
      <c r="G254" s="550">
        <f t="shared" si="22"/>
        <v>14361340</v>
      </c>
    </row>
    <row r="255" spans="1:7" ht="30" customHeight="1" x14ac:dyDescent="0.25">
      <c r="A255" s="174"/>
      <c r="B255" s="549" t="s">
        <v>410</v>
      </c>
      <c r="C255" s="183" t="s">
        <v>411</v>
      </c>
      <c r="D255" s="181" t="s">
        <v>99</v>
      </c>
      <c r="E255" s="182">
        <v>2</v>
      </c>
      <c r="F255" s="177">
        <v>995370</v>
      </c>
      <c r="G255" s="550">
        <f t="shared" si="22"/>
        <v>1990740</v>
      </c>
    </row>
    <row r="256" spans="1:7" ht="30" customHeight="1" x14ac:dyDescent="0.25">
      <c r="A256" s="174"/>
      <c r="B256" s="549" t="s">
        <v>412</v>
      </c>
      <c r="C256" s="183" t="s">
        <v>413</v>
      </c>
      <c r="D256" s="181" t="s">
        <v>99</v>
      </c>
      <c r="E256" s="182">
        <v>4</v>
      </c>
      <c r="F256" s="177">
        <v>1124780</v>
      </c>
      <c r="G256" s="550">
        <f t="shared" si="22"/>
        <v>4499120</v>
      </c>
    </row>
    <row r="257" spans="1:7" ht="30" customHeight="1" x14ac:dyDescent="0.25">
      <c r="A257" s="174"/>
      <c r="B257" s="549" t="s">
        <v>414</v>
      </c>
      <c r="C257" s="183" t="s">
        <v>1030</v>
      </c>
      <c r="D257" s="181" t="s">
        <v>99</v>
      </c>
      <c r="E257" s="182">
        <v>48</v>
      </c>
      <c r="F257" s="177">
        <v>39188</v>
      </c>
      <c r="G257" s="550">
        <f t="shared" si="22"/>
        <v>1881024</v>
      </c>
    </row>
    <row r="258" spans="1:7" ht="30" customHeight="1" x14ac:dyDescent="0.25">
      <c r="A258" s="174"/>
      <c r="B258" s="549" t="s">
        <v>415</v>
      </c>
      <c r="C258" s="183" t="s">
        <v>1031</v>
      </c>
      <c r="D258" s="181" t="s">
        <v>99</v>
      </c>
      <c r="E258" s="182">
        <v>88</v>
      </c>
      <c r="F258" s="177">
        <v>32938</v>
      </c>
      <c r="G258" s="550">
        <f t="shared" si="22"/>
        <v>2898544</v>
      </c>
    </row>
    <row r="259" spans="1:7" ht="30" customHeight="1" x14ac:dyDescent="0.25">
      <c r="A259" s="174"/>
      <c r="B259" s="549" t="s">
        <v>416</v>
      </c>
      <c r="C259" s="183" t="s">
        <v>1018</v>
      </c>
      <c r="D259" s="181" t="s">
        <v>56</v>
      </c>
      <c r="E259" s="182">
        <v>48</v>
      </c>
      <c r="F259" s="177">
        <v>41688</v>
      </c>
      <c r="G259" s="550">
        <f t="shared" si="22"/>
        <v>2001024</v>
      </c>
    </row>
    <row r="260" spans="1:7" ht="30" customHeight="1" x14ac:dyDescent="0.25">
      <c r="A260" s="174"/>
      <c r="B260" s="549" t="s">
        <v>418</v>
      </c>
      <c r="C260" s="183" t="s">
        <v>1019</v>
      </c>
      <c r="D260" s="181" t="s">
        <v>99</v>
      </c>
      <c r="E260" s="182">
        <v>24</v>
      </c>
      <c r="F260" s="177">
        <v>46688</v>
      </c>
      <c r="G260" s="550">
        <f t="shared" si="22"/>
        <v>1120512</v>
      </c>
    </row>
    <row r="261" spans="1:7" ht="30" customHeight="1" x14ac:dyDescent="0.25">
      <c r="A261" s="174"/>
      <c r="B261" s="549" t="s">
        <v>420</v>
      </c>
      <c r="C261" s="183" t="s">
        <v>1020</v>
      </c>
      <c r="D261" s="181" t="s">
        <v>99</v>
      </c>
      <c r="E261" s="182">
        <v>2</v>
      </c>
      <c r="F261" s="177">
        <v>400000</v>
      </c>
      <c r="G261" s="550">
        <f t="shared" si="22"/>
        <v>800000</v>
      </c>
    </row>
    <row r="262" spans="1:7" ht="30" customHeight="1" x14ac:dyDescent="0.25">
      <c r="A262" s="174"/>
      <c r="B262" s="549" t="s">
        <v>422</v>
      </c>
      <c r="C262" s="183" t="s">
        <v>1021</v>
      </c>
      <c r="D262" s="181" t="s">
        <v>56</v>
      </c>
      <c r="E262" s="182">
        <v>200</v>
      </c>
      <c r="F262" s="177">
        <v>97832</v>
      </c>
      <c r="G262" s="550">
        <f t="shared" si="22"/>
        <v>19566400</v>
      </c>
    </row>
    <row r="263" spans="1:7" ht="30" customHeight="1" x14ac:dyDescent="0.25">
      <c r="A263" s="174"/>
      <c r="B263" s="549" t="s">
        <v>424</v>
      </c>
      <c r="C263" s="183" t="s">
        <v>137</v>
      </c>
      <c r="D263" s="181" t="s">
        <v>56</v>
      </c>
      <c r="E263" s="182">
        <v>200</v>
      </c>
      <c r="F263" s="177">
        <v>41538</v>
      </c>
      <c r="G263" s="550">
        <f t="shared" si="22"/>
        <v>8307600</v>
      </c>
    </row>
    <row r="264" spans="1:7" ht="30" customHeight="1" x14ac:dyDescent="0.25">
      <c r="A264" s="174"/>
      <c r="B264" s="549" t="s">
        <v>1032</v>
      </c>
      <c r="C264" s="183" t="s">
        <v>1022</v>
      </c>
      <c r="D264" s="181" t="s">
        <v>56</v>
      </c>
      <c r="E264" s="182">
        <v>200</v>
      </c>
      <c r="F264" s="177">
        <v>83744</v>
      </c>
      <c r="G264" s="550">
        <f t="shared" si="22"/>
        <v>16748800</v>
      </c>
    </row>
    <row r="265" spans="1:7" ht="30" customHeight="1" x14ac:dyDescent="0.25">
      <c r="A265" s="174"/>
      <c r="B265" s="549" t="s">
        <v>1033</v>
      </c>
      <c r="C265" s="183" t="s">
        <v>1023</v>
      </c>
      <c r="D265" s="181" t="s">
        <v>56</v>
      </c>
      <c r="E265" s="182">
        <v>200</v>
      </c>
      <c r="F265" s="177">
        <v>75434</v>
      </c>
      <c r="G265" s="550">
        <f t="shared" si="22"/>
        <v>15086800</v>
      </c>
    </row>
    <row r="266" spans="1:7" ht="30" customHeight="1" x14ac:dyDescent="0.25">
      <c r="A266" s="174"/>
      <c r="B266" s="549" t="s">
        <v>1034</v>
      </c>
      <c r="C266" s="183" t="s">
        <v>1024</v>
      </c>
      <c r="D266" s="181" t="s">
        <v>99</v>
      </c>
      <c r="E266" s="182">
        <v>2</v>
      </c>
      <c r="F266" s="177">
        <v>501688</v>
      </c>
      <c r="G266" s="550">
        <f t="shared" si="22"/>
        <v>1003376</v>
      </c>
    </row>
    <row r="267" spans="1:7" ht="30" customHeight="1" x14ac:dyDescent="0.25">
      <c r="A267" s="174"/>
      <c r="B267" s="549" t="s">
        <v>1035</v>
      </c>
      <c r="C267" s="183" t="s">
        <v>1025</v>
      </c>
      <c r="D267" s="181" t="s">
        <v>56</v>
      </c>
      <c r="E267" s="182">
        <v>52</v>
      </c>
      <c r="F267" s="177">
        <v>37813</v>
      </c>
      <c r="G267" s="550">
        <f t="shared" si="22"/>
        <v>1966276</v>
      </c>
    </row>
    <row r="268" spans="1:7" ht="30" customHeight="1" x14ac:dyDescent="0.25">
      <c r="A268" s="174"/>
      <c r="B268" s="549" t="s">
        <v>1036</v>
      </c>
      <c r="C268" s="183" t="s">
        <v>1026</v>
      </c>
      <c r="D268" s="181" t="s">
        <v>56</v>
      </c>
      <c r="E268" s="182">
        <v>108</v>
      </c>
      <c r="F268" s="177">
        <v>24813</v>
      </c>
      <c r="G268" s="550">
        <f t="shared" si="22"/>
        <v>2679804</v>
      </c>
    </row>
    <row r="269" spans="1:7" ht="30" customHeight="1" x14ac:dyDescent="0.25">
      <c r="A269" s="174"/>
      <c r="B269" s="549" t="s">
        <v>1037</v>
      </c>
      <c r="C269" s="183" t="s">
        <v>1027</v>
      </c>
      <c r="D269" s="181" t="s">
        <v>56</v>
      </c>
      <c r="E269" s="182">
        <v>108</v>
      </c>
      <c r="F269" s="177">
        <v>75434</v>
      </c>
      <c r="G269" s="550">
        <f t="shared" si="22"/>
        <v>8146872</v>
      </c>
    </row>
    <row r="270" spans="1:7" ht="30" customHeight="1" x14ac:dyDescent="0.25">
      <c r="A270" s="174"/>
      <c r="B270" s="549" t="s">
        <v>1038</v>
      </c>
      <c r="C270" s="183" t="s">
        <v>1028</v>
      </c>
      <c r="D270" s="181" t="s">
        <v>56</v>
      </c>
      <c r="E270" s="182">
        <v>4000</v>
      </c>
      <c r="F270" s="177">
        <v>7500</v>
      </c>
      <c r="G270" s="550">
        <f t="shared" si="22"/>
        <v>30000000</v>
      </c>
    </row>
    <row r="271" spans="1:7" ht="30" customHeight="1" x14ac:dyDescent="0.25">
      <c r="A271" s="174"/>
      <c r="B271" s="549" t="s">
        <v>1039</v>
      </c>
      <c r="C271" s="183" t="s">
        <v>1029</v>
      </c>
      <c r="D271" s="181" t="s">
        <v>85</v>
      </c>
      <c r="E271" s="182">
        <v>2</v>
      </c>
      <c r="F271" s="177">
        <v>1756250</v>
      </c>
      <c r="G271" s="550">
        <f t="shared" si="22"/>
        <v>3512500</v>
      </c>
    </row>
    <row r="272" spans="1:7" ht="37.5" customHeight="1" x14ac:dyDescent="0.25">
      <c r="A272" s="174"/>
      <c r="B272" s="549" t="s">
        <v>1040</v>
      </c>
      <c r="C272" s="183" t="s">
        <v>417</v>
      </c>
      <c r="D272" s="181" t="s">
        <v>99</v>
      </c>
      <c r="E272" s="182">
        <v>1</v>
      </c>
      <c r="F272" s="177">
        <v>49780000</v>
      </c>
      <c r="G272" s="550">
        <f t="shared" si="22"/>
        <v>49780000</v>
      </c>
    </row>
    <row r="273" spans="1:7" ht="30" customHeight="1" x14ac:dyDescent="0.25">
      <c r="A273" s="174"/>
      <c r="B273" s="549" t="s">
        <v>1041</v>
      </c>
      <c r="C273" s="183" t="s">
        <v>419</v>
      </c>
      <c r="D273" s="181" t="s">
        <v>59</v>
      </c>
      <c r="E273" s="182">
        <v>35</v>
      </c>
      <c r="F273" s="177">
        <v>255830</v>
      </c>
      <c r="G273" s="550">
        <f t="shared" si="22"/>
        <v>8954050</v>
      </c>
    </row>
    <row r="274" spans="1:7" ht="35.25" customHeight="1" x14ac:dyDescent="0.25">
      <c r="A274" s="174"/>
      <c r="B274" s="549" t="s">
        <v>1042</v>
      </c>
      <c r="C274" s="183" t="s">
        <v>421</v>
      </c>
      <c r="D274" s="181" t="s">
        <v>59</v>
      </c>
      <c r="E274" s="182">
        <v>95</v>
      </c>
      <c r="F274" s="177">
        <v>115370</v>
      </c>
      <c r="G274" s="550">
        <f t="shared" si="22"/>
        <v>10960150</v>
      </c>
    </row>
    <row r="275" spans="1:7" ht="30" customHeight="1" x14ac:dyDescent="0.25">
      <c r="A275" s="174"/>
      <c r="B275" s="549" t="s">
        <v>1043</v>
      </c>
      <c r="C275" s="183" t="s">
        <v>423</v>
      </c>
      <c r="D275" s="181" t="s">
        <v>99</v>
      </c>
      <c r="E275" s="182">
        <v>2</v>
      </c>
      <c r="F275" s="177">
        <v>4850000</v>
      </c>
      <c r="G275" s="550">
        <f t="shared" si="22"/>
        <v>9700000</v>
      </c>
    </row>
    <row r="276" spans="1:7" ht="30" customHeight="1" thickBot="1" x14ac:dyDescent="0.3">
      <c r="A276" s="174"/>
      <c r="B276" s="551"/>
      <c r="C276" s="296" t="s">
        <v>425</v>
      </c>
      <c r="D276" s="297"/>
      <c r="E276" s="297"/>
      <c r="F276" s="298"/>
      <c r="G276" s="552">
        <f>SUM(G244:G275)</f>
        <v>339422300</v>
      </c>
    </row>
    <row r="277" spans="1:7" ht="30" customHeight="1" thickTop="1" x14ac:dyDescent="0.25">
      <c r="A277" s="174"/>
      <c r="B277" s="553">
        <v>18</v>
      </c>
      <c r="C277" s="175" t="s">
        <v>426</v>
      </c>
      <c r="D277" s="176"/>
      <c r="E277" s="176"/>
      <c r="F277" s="177"/>
      <c r="G277" s="550"/>
    </row>
    <row r="278" spans="1:7" ht="30" customHeight="1" x14ac:dyDescent="0.25">
      <c r="A278" s="174"/>
      <c r="B278" s="549" t="s">
        <v>960</v>
      </c>
      <c r="C278" s="183" t="s">
        <v>378</v>
      </c>
      <c r="D278" s="181" t="s">
        <v>64</v>
      </c>
      <c r="E278" s="182">
        <v>784.19999999999993</v>
      </c>
      <c r="F278" s="177">
        <v>135420</v>
      </c>
      <c r="G278" s="550">
        <f t="shared" ref="G278:G281" si="23">E278*F278</f>
        <v>106196363.99999999</v>
      </c>
    </row>
    <row r="279" spans="1:7" ht="30" customHeight="1" x14ac:dyDescent="0.25">
      <c r="A279" s="174"/>
      <c r="B279" s="549" t="s">
        <v>961</v>
      </c>
      <c r="C279" s="183" t="s">
        <v>965</v>
      </c>
      <c r="D279" s="181" t="s">
        <v>64</v>
      </c>
      <c r="E279" s="182">
        <v>784.19999999999993</v>
      </c>
      <c r="F279" s="177">
        <v>98350</v>
      </c>
      <c r="G279" s="550">
        <f t="shared" si="23"/>
        <v>77126070</v>
      </c>
    </row>
    <row r="280" spans="1:7" ht="30" customHeight="1" x14ac:dyDescent="0.25">
      <c r="A280" s="174"/>
      <c r="B280" s="549" t="s">
        <v>962</v>
      </c>
      <c r="C280" s="183" t="s">
        <v>429</v>
      </c>
      <c r="D280" s="181" t="s">
        <v>56</v>
      </c>
      <c r="E280" s="182">
        <v>5228</v>
      </c>
      <c r="F280" s="177">
        <v>4262</v>
      </c>
      <c r="G280" s="550">
        <f t="shared" si="23"/>
        <v>22281736</v>
      </c>
    </row>
    <row r="281" spans="1:7" ht="30" customHeight="1" x14ac:dyDescent="0.25">
      <c r="A281" s="174"/>
      <c r="B281" s="549" t="s">
        <v>427</v>
      </c>
      <c r="C281" s="183" t="s">
        <v>966</v>
      </c>
      <c r="D281" s="181" t="s">
        <v>56</v>
      </c>
      <c r="E281" s="182">
        <v>5228</v>
      </c>
      <c r="F281" s="177">
        <v>57364</v>
      </c>
      <c r="G281" s="550">
        <f t="shared" si="23"/>
        <v>299898992</v>
      </c>
    </row>
    <row r="282" spans="1:7" ht="30" customHeight="1" x14ac:dyDescent="0.25">
      <c r="A282" s="174"/>
      <c r="B282" s="549" t="s">
        <v>428</v>
      </c>
      <c r="C282" s="183" t="s">
        <v>430</v>
      </c>
      <c r="D282" s="181" t="s">
        <v>56</v>
      </c>
      <c r="E282" s="182">
        <v>5228</v>
      </c>
      <c r="F282" s="517">
        <f>ROUND(314000-7041-15044+300.815,2)</f>
        <v>292215.82</v>
      </c>
      <c r="G282" s="550">
        <f>E282*F282-11</f>
        <v>1527704295.96</v>
      </c>
    </row>
    <row r="283" spans="1:7" ht="30" customHeight="1" thickBot="1" x14ac:dyDescent="0.3">
      <c r="A283" s="174"/>
      <c r="B283" s="551"/>
      <c r="C283" s="296" t="s">
        <v>431</v>
      </c>
      <c r="D283" s="297"/>
      <c r="E283" s="297"/>
      <c r="F283" s="298"/>
      <c r="G283" s="552">
        <f>SUM(G277:G282)</f>
        <v>2033207457.96</v>
      </c>
    </row>
    <row r="284" spans="1:7" ht="30" customHeight="1" thickTop="1" x14ac:dyDescent="0.25">
      <c r="A284" s="174"/>
      <c r="B284" s="553">
        <v>19</v>
      </c>
      <c r="C284" s="175" t="s">
        <v>432</v>
      </c>
      <c r="D284" s="176"/>
      <c r="E284" s="176"/>
      <c r="F284" s="177"/>
      <c r="G284" s="550"/>
    </row>
    <row r="285" spans="1:7" ht="30" customHeight="1" x14ac:dyDescent="0.25">
      <c r="A285" s="174"/>
      <c r="B285" s="554" t="s">
        <v>1222</v>
      </c>
      <c r="C285" s="180" t="s">
        <v>1221</v>
      </c>
      <c r="D285" s="181"/>
      <c r="E285" s="518"/>
      <c r="F285" s="177"/>
      <c r="G285" s="550"/>
    </row>
    <row r="286" spans="1:7" ht="39" customHeight="1" x14ac:dyDescent="0.25">
      <c r="A286" s="174"/>
      <c r="B286" s="549" t="s">
        <v>433</v>
      </c>
      <c r="C286" s="541" t="s">
        <v>1216</v>
      </c>
      <c r="D286" s="181" t="s">
        <v>1161</v>
      </c>
      <c r="E286" s="182">
        <v>21</v>
      </c>
      <c r="F286" s="177">
        <v>2126988</v>
      </c>
      <c r="G286" s="557">
        <f t="shared" ref="G286:G292" si="24">ROUND(E286*F286,0)</f>
        <v>44666748</v>
      </c>
    </row>
    <row r="287" spans="1:7" ht="39" customHeight="1" x14ac:dyDescent="0.25">
      <c r="A287" s="174"/>
      <c r="B287" s="549" t="s">
        <v>438</v>
      </c>
      <c r="C287" s="542" t="s">
        <v>1217</v>
      </c>
      <c r="D287" s="519" t="s">
        <v>1161</v>
      </c>
      <c r="E287" s="182">
        <v>30</v>
      </c>
      <c r="F287" s="520">
        <v>1353539</v>
      </c>
      <c r="G287" s="557">
        <f t="shared" si="24"/>
        <v>40606170</v>
      </c>
    </row>
    <row r="288" spans="1:7" ht="30" customHeight="1" x14ac:dyDescent="0.25">
      <c r="A288" s="174"/>
      <c r="B288" s="549" t="s">
        <v>446</v>
      </c>
      <c r="C288" s="542" t="s">
        <v>1218</v>
      </c>
      <c r="D288" s="519" t="s">
        <v>1161</v>
      </c>
      <c r="E288" s="182">
        <v>1</v>
      </c>
      <c r="F288" s="520">
        <v>17402627</v>
      </c>
      <c r="G288" s="557">
        <f t="shared" si="24"/>
        <v>17402627</v>
      </c>
    </row>
    <row r="289" spans="1:7" ht="30" customHeight="1" x14ac:dyDescent="0.25">
      <c r="A289" s="174"/>
      <c r="B289" s="549" t="s">
        <v>453</v>
      </c>
      <c r="C289" s="541" t="s">
        <v>1411</v>
      </c>
      <c r="D289" s="519" t="s">
        <v>1161</v>
      </c>
      <c r="E289" s="182">
        <v>1</v>
      </c>
      <c r="F289" s="520">
        <v>33709538</v>
      </c>
      <c r="G289" s="557">
        <f t="shared" si="24"/>
        <v>33709538</v>
      </c>
    </row>
    <row r="290" spans="1:7" ht="30" customHeight="1" x14ac:dyDescent="0.25">
      <c r="A290" s="174"/>
      <c r="B290" s="549" t="s">
        <v>454</v>
      </c>
      <c r="C290" s="541" t="s">
        <v>1411</v>
      </c>
      <c r="D290" s="519" t="s">
        <v>1161</v>
      </c>
      <c r="E290" s="182">
        <v>2</v>
      </c>
      <c r="F290" s="520">
        <v>13374243</v>
      </c>
      <c r="G290" s="557">
        <f t="shared" si="24"/>
        <v>26748486</v>
      </c>
    </row>
    <row r="291" spans="1:7" ht="30" customHeight="1" x14ac:dyDescent="0.25">
      <c r="A291" s="174"/>
      <c r="B291" s="549" t="s">
        <v>458</v>
      </c>
      <c r="C291" s="541" t="s">
        <v>1411</v>
      </c>
      <c r="D291" s="519" t="s">
        <v>1161</v>
      </c>
      <c r="E291" s="182">
        <v>2</v>
      </c>
      <c r="F291" s="520">
        <v>8733543</v>
      </c>
      <c r="G291" s="557">
        <f t="shared" si="24"/>
        <v>17467086</v>
      </c>
    </row>
    <row r="292" spans="1:7" ht="30" customHeight="1" x14ac:dyDescent="0.25">
      <c r="A292" s="174"/>
      <c r="B292" s="549" t="s">
        <v>460</v>
      </c>
      <c r="C292" s="542" t="s">
        <v>1220</v>
      </c>
      <c r="D292" s="181" t="s">
        <v>1161</v>
      </c>
      <c r="E292" s="518">
        <v>16</v>
      </c>
      <c r="F292" s="177">
        <v>1836944</v>
      </c>
      <c r="G292" s="557">
        <f t="shared" si="24"/>
        <v>29391104</v>
      </c>
    </row>
    <row r="293" spans="1:7" ht="30" customHeight="1" x14ac:dyDescent="0.25">
      <c r="A293" s="174"/>
      <c r="B293" s="554" t="s">
        <v>1223</v>
      </c>
      <c r="C293" s="180" t="s">
        <v>1215</v>
      </c>
      <c r="D293" s="176"/>
      <c r="E293" s="518"/>
      <c r="F293" s="177"/>
      <c r="G293" s="550"/>
    </row>
    <row r="294" spans="1:7" ht="30" customHeight="1" x14ac:dyDescent="0.25">
      <c r="A294" s="174"/>
      <c r="B294" s="558" t="s">
        <v>1224</v>
      </c>
      <c r="C294" s="289" t="s">
        <v>1214</v>
      </c>
      <c r="D294" s="176" t="s">
        <v>99</v>
      </c>
      <c r="E294" s="182">
        <v>2</v>
      </c>
      <c r="F294" s="520">
        <v>44457910</v>
      </c>
      <c r="G294" s="557">
        <f t="shared" ref="G294:G301" si="25">ROUND(E294*F294,0)</f>
        <v>88915820</v>
      </c>
    </row>
    <row r="295" spans="1:7" ht="30" customHeight="1" x14ac:dyDescent="0.25">
      <c r="A295" s="174"/>
      <c r="B295" s="554" t="s">
        <v>1225</v>
      </c>
      <c r="C295" s="180" t="s">
        <v>1213</v>
      </c>
      <c r="D295" s="176"/>
      <c r="E295" s="518"/>
      <c r="F295" s="177"/>
      <c r="G295" s="550"/>
    </row>
    <row r="296" spans="1:7" ht="30" customHeight="1" x14ac:dyDescent="0.25">
      <c r="A296" s="174"/>
      <c r="B296" s="558" t="s">
        <v>1226</v>
      </c>
      <c r="C296" s="521" t="s">
        <v>1207</v>
      </c>
      <c r="D296" s="176" t="s">
        <v>1161</v>
      </c>
      <c r="E296" s="182">
        <v>15</v>
      </c>
      <c r="F296" s="520">
        <v>4640701</v>
      </c>
      <c r="G296" s="557">
        <f t="shared" si="25"/>
        <v>69610515</v>
      </c>
    </row>
    <row r="297" spans="1:7" ht="30" customHeight="1" x14ac:dyDescent="0.25">
      <c r="A297" s="174"/>
      <c r="B297" s="558" t="s">
        <v>1227</v>
      </c>
      <c r="C297" s="521" t="s">
        <v>1208</v>
      </c>
      <c r="D297" s="176" t="s">
        <v>1161</v>
      </c>
      <c r="E297" s="182">
        <v>21</v>
      </c>
      <c r="F297" s="520">
        <v>1291662</v>
      </c>
      <c r="G297" s="557">
        <f t="shared" si="25"/>
        <v>27124902</v>
      </c>
    </row>
    <row r="298" spans="1:7" ht="30" customHeight="1" x14ac:dyDescent="0.25">
      <c r="A298" s="174"/>
      <c r="B298" s="558" t="s">
        <v>1228</v>
      </c>
      <c r="C298" s="289" t="s">
        <v>1209</v>
      </c>
      <c r="D298" s="176" t="s">
        <v>1161</v>
      </c>
      <c r="E298" s="182">
        <v>1</v>
      </c>
      <c r="F298" s="177">
        <v>15469002</v>
      </c>
      <c r="G298" s="557">
        <f t="shared" si="25"/>
        <v>15469002</v>
      </c>
    </row>
    <row r="299" spans="1:7" ht="30" customHeight="1" x14ac:dyDescent="0.25">
      <c r="A299" s="174"/>
      <c r="B299" s="558" t="s">
        <v>1229</v>
      </c>
      <c r="C299" s="522" t="s">
        <v>1210</v>
      </c>
      <c r="D299" s="523" t="s">
        <v>1161</v>
      </c>
      <c r="E299" s="518">
        <v>2</v>
      </c>
      <c r="F299" s="524">
        <v>13922101</v>
      </c>
      <c r="G299" s="557">
        <f t="shared" si="25"/>
        <v>27844202</v>
      </c>
    </row>
    <row r="300" spans="1:7" ht="30" customHeight="1" x14ac:dyDescent="0.25">
      <c r="A300" s="174"/>
      <c r="B300" s="558" t="s">
        <v>1230</v>
      </c>
      <c r="C300" s="522" t="s">
        <v>1211</v>
      </c>
      <c r="D300" s="523" t="s">
        <v>1161</v>
      </c>
      <c r="E300" s="518">
        <v>1</v>
      </c>
      <c r="F300" s="524">
        <v>1740263</v>
      </c>
      <c r="G300" s="557">
        <f t="shared" si="25"/>
        <v>1740263</v>
      </c>
    </row>
    <row r="301" spans="1:7" ht="30" customHeight="1" x14ac:dyDescent="0.25">
      <c r="A301" s="174"/>
      <c r="B301" s="558" t="s">
        <v>1231</v>
      </c>
      <c r="C301" s="522" t="s">
        <v>1212</v>
      </c>
      <c r="D301" s="523" t="s">
        <v>1161</v>
      </c>
      <c r="E301" s="518">
        <v>1</v>
      </c>
      <c r="F301" s="524">
        <v>36738879</v>
      </c>
      <c r="G301" s="557">
        <f t="shared" si="25"/>
        <v>36738879</v>
      </c>
    </row>
    <row r="302" spans="1:7" ht="30" customHeight="1" x14ac:dyDescent="0.25">
      <c r="A302" s="174"/>
      <c r="B302" s="554" t="s">
        <v>1232</v>
      </c>
      <c r="C302" s="180" t="s">
        <v>463</v>
      </c>
      <c r="D302" s="181"/>
      <c r="E302" s="518"/>
      <c r="F302" s="518"/>
      <c r="G302" s="550"/>
    </row>
    <row r="303" spans="1:7" ht="47.25" x14ac:dyDescent="0.25">
      <c r="A303" s="174"/>
      <c r="B303" s="558" t="s">
        <v>1233</v>
      </c>
      <c r="C303" s="521" t="s">
        <v>1191</v>
      </c>
      <c r="D303" s="519" t="s">
        <v>1161</v>
      </c>
      <c r="E303" s="182">
        <v>6</v>
      </c>
      <c r="F303" s="520">
        <v>9111242</v>
      </c>
      <c r="G303" s="557">
        <f>ROUND(E303*F303,0)</f>
        <v>54667452</v>
      </c>
    </row>
    <row r="304" spans="1:7" ht="30" customHeight="1" x14ac:dyDescent="0.25">
      <c r="A304" s="174"/>
      <c r="B304" s="558" t="s">
        <v>1234</v>
      </c>
      <c r="C304" s="521" t="s">
        <v>1192</v>
      </c>
      <c r="D304" s="519" t="s">
        <v>1161</v>
      </c>
      <c r="E304" s="182">
        <v>7</v>
      </c>
      <c r="F304" s="520">
        <v>757981</v>
      </c>
      <c r="G304" s="557">
        <f t="shared" ref="G304:G318" si="26">ROUND(E304*F304,0)</f>
        <v>5305867</v>
      </c>
    </row>
    <row r="305" spans="1:7" ht="30" customHeight="1" x14ac:dyDescent="0.25">
      <c r="A305" s="174"/>
      <c r="B305" s="558" t="s">
        <v>1235</v>
      </c>
      <c r="C305" s="521" t="s">
        <v>1193</v>
      </c>
      <c r="D305" s="519" t="s">
        <v>1161</v>
      </c>
      <c r="E305" s="182">
        <v>200</v>
      </c>
      <c r="F305" s="520">
        <v>23204</v>
      </c>
      <c r="G305" s="557">
        <f t="shared" si="26"/>
        <v>4640800</v>
      </c>
    </row>
    <row r="306" spans="1:7" ht="30" customHeight="1" x14ac:dyDescent="0.25">
      <c r="A306" s="174"/>
      <c r="B306" s="558" t="s">
        <v>1236</v>
      </c>
      <c r="C306" s="521" t="s">
        <v>1194</v>
      </c>
      <c r="D306" s="519" t="s">
        <v>1161</v>
      </c>
      <c r="E306" s="182">
        <v>1</v>
      </c>
      <c r="F306" s="520">
        <v>64575346</v>
      </c>
      <c r="G306" s="557">
        <f t="shared" si="26"/>
        <v>64575346</v>
      </c>
    </row>
    <row r="307" spans="1:7" ht="30" customHeight="1" x14ac:dyDescent="0.25">
      <c r="A307" s="174"/>
      <c r="B307" s="558" t="s">
        <v>1237</v>
      </c>
      <c r="C307" s="521" t="s">
        <v>1195</v>
      </c>
      <c r="D307" s="519" t="s">
        <v>1161</v>
      </c>
      <c r="E307" s="182">
        <v>1</v>
      </c>
      <c r="F307" s="520">
        <v>61876006</v>
      </c>
      <c r="G307" s="557">
        <f t="shared" si="26"/>
        <v>61876006</v>
      </c>
    </row>
    <row r="308" spans="1:7" ht="30" customHeight="1" x14ac:dyDescent="0.25">
      <c r="A308" s="174"/>
      <c r="B308" s="558" t="s">
        <v>1238</v>
      </c>
      <c r="C308" s="521" t="s">
        <v>1196</v>
      </c>
      <c r="D308" s="519" t="s">
        <v>1161</v>
      </c>
      <c r="E308" s="182">
        <v>2</v>
      </c>
      <c r="F308" s="520">
        <v>1454087</v>
      </c>
      <c r="G308" s="557">
        <f t="shared" si="26"/>
        <v>2908174</v>
      </c>
    </row>
    <row r="309" spans="1:7" ht="30" customHeight="1" x14ac:dyDescent="0.25">
      <c r="A309" s="174"/>
      <c r="B309" s="558" t="s">
        <v>1239</v>
      </c>
      <c r="C309" s="521" t="s">
        <v>1197</v>
      </c>
      <c r="D309" s="519" t="s">
        <v>1161</v>
      </c>
      <c r="E309" s="182">
        <v>1</v>
      </c>
      <c r="F309" s="520">
        <v>14927586</v>
      </c>
      <c r="G309" s="557">
        <f t="shared" si="26"/>
        <v>14927586</v>
      </c>
    </row>
    <row r="310" spans="1:7" ht="30" customHeight="1" x14ac:dyDescent="0.25">
      <c r="A310" s="174"/>
      <c r="B310" s="558" t="s">
        <v>1240</v>
      </c>
      <c r="C310" s="521" t="s">
        <v>1198</v>
      </c>
      <c r="D310" s="519" t="s">
        <v>1161</v>
      </c>
      <c r="E310" s="182">
        <v>1</v>
      </c>
      <c r="F310" s="520">
        <v>18980466</v>
      </c>
      <c r="G310" s="557">
        <f t="shared" si="26"/>
        <v>18980466</v>
      </c>
    </row>
    <row r="311" spans="1:7" ht="30" customHeight="1" x14ac:dyDescent="0.25">
      <c r="A311" s="174"/>
      <c r="B311" s="558" t="s">
        <v>1241</v>
      </c>
      <c r="C311" s="521" t="s">
        <v>1199</v>
      </c>
      <c r="D311" s="519" t="s">
        <v>1161</v>
      </c>
      <c r="E311" s="182">
        <v>1</v>
      </c>
      <c r="F311" s="520">
        <v>77345008</v>
      </c>
      <c r="G311" s="557">
        <f t="shared" si="26"/>
        <v>77345008</v>
      </c>
    </row>
    <row r="312" spans="1:7" ht="30" customHeight="1" x14ac:dyDescent="0.25">
      <c r="A312" s="174"/>
      <c r="B312" s="558" t="s">
        <v>1242</v>
      </c>
      <c r="C312" s="521" t="s">
        <v>1200</v>
      </c>
      <c r="D312" s="519" t="s">
        <v>1161</v>
      </c>
      <c r="E312" s="182">
        <v>6</v>
      </c>
      <c r="F312" s="520">
        <v>10054851</v>
      </c>
      <c r="G312" s="557">
        <f t="shared" si="26"/>
        <v>60329106</v>
      </c>
    </row>
    <row r="313" spans="1:7" ht="30" customHeight="1" x14ac:dyDescent="0.25">
      <c r="A313" s="174"/>
      <c r="B313" s="558" t="s">
        <v>1243</v>
      </c>
      <c r="C313" s="521" t="s">
        <v>1201</v>
      </c>
      <c r="D313" s="519" t="s">
        <v>1161</v>
      </c>
      <c r="E313" s="182">
        <v>5</v>
      </c>
      <c r="F313" s="520">
        <v>35888084</v>
      </c>
      <c r="G313" s="557">
        <f t="shared" si="26"/>
        <v>179440420</v>
      </c>
    </row>
    <row r="314" spans="1:7" ht="30" customHeight="1" x14ac:dyDescent="0.25">
      <c r="A314" s="174"/>
      <c r="B314" s="558" t="s">
        <v>1244</v>
      </c>
      <c r="C314" s="521" t="s">
        <v>1202</v>
      </c>
      <c r="D314" s="519" t="s">
        <v>1161</v>
      </c>
      <c r="E314" s="182">
        <v>3</v>
      </c>
      <c r="F314" s="520">
        <v>21304683</v>
      </c>
      <c r="G314" s="557">
        <f t="shared" si="26"/>
        <v>63914049</v>
      </c>
    </row>
    <row r="315" spans="1:7" ht="30" customHeight="1" x14ac:dyDescent="0.25">
      <c r="A315" s="174"/>
      <c r="B315" s="558" t="s">
        <v>1245</v>
      </c>
      <c r="C315" s="521" t="s">
        <v>1203</v>
      </c>
      <c r="D315" s="519" t="s">
        <v>1161</v>
      </c>
      <c r="E315" s="182">
        <v>3</v>
      </c>
      <c r="F315" s="520">
        <v>11818318</v>
      </c>
      <c r="G315" s="557">
        <f t="shared" si="26"/>
        <v>35454954</v>
      </c>
    </row>
    <row r="316" spans="1:7" ht="30" customHeight="1" x14ac:dyDescent="0.25">
      <c r="A316" s="174"/>
      <c r="B316" s="558" t="s">
        <v>1246</v>
      </c>
      <c r="C316" s="521" t="s">
        <v>1204</v>
      </c>
      <c r="D316" s="519" t="s">
        <v>1161</v>
      </c>
      <c r="E316" s="182">
        <v>5</v>
      </c>
      <c r="F316" s="520">
        <v>9147981</v>
      </c>
      <c r="G316" s="557">
        <f t="shared" si="26"/>
        <v>45739905</v>
      </c>
    </row>
    <row r="317" spans="1:7" ht="30" customHeight="1" x14ac:dyDescent="0.25">
      <c r="A317" s="174"/>
      <c r="B317" s="558" t="s">
        <v>1247</v>
      </c>
      <c r="C317" s="521" t="s">
        <v>1205</v>
      </c>
      <c r="D317" s="519" t="s">
        <v>1161</v>
      </c>
      <c r="E317" s="182">
        <v>1</v>
      </c>
      <c r="F317" s="520">
        <v>6284283</v>
      </c>
      <c r="G317" s="557">
        <f t="shared" si="26"/>
        <v>6284283</v>
      </c>
    </row>
    <row r="318" spans="1:7" ht="30" customHeight="1" x14ac:dyDescent="0.25">
      <c r="A318" s="174"/>
      <c r="B318" s="558" t="s">
        <v>1248</v>
      </c>
      <c r="C318" s="521" t="s">
        <v>1206</v>
      </c>
      <c r="D318" s="519" t="s">
        <v>1161</v>
      </c>
      <c r="E318" s="182">
        <v>1</v>
      </c>
      <c r="F318" s="520">
        <v>87013134</v>
      </c>
      <c r="G318" s="557">
        <f t="shared" si="26"/>
        <v>87013134</v>
      </c>
    </row>
    <row r="319" spans="1:7" ht="39.75" customHeight="1" thickBot="1" x14ac:dyDescent="0.3">
      <c r="A319" s="174"/>
      <c r="B319" s="558"/>
      <c r="C319" s="296" t="s">
        <v>469</v>
      </c>
      <c r="D319" s="297"/>
      <c r="E319" s="297"/>
      <c r="F319" s="298"/>
      <c r="G319" s="552">
        <f>SUM(G284:G318)</f>
        <v>1260837898</v>
      </c>
    </row>
    <row r="320" spans="1:7" ht="30" customHeight="1" thickTop="1" x14ac:dyDescent="0.25">
      <c r="A320" s="174"/>
      <c r="B320" s="559">
        <v>20</v>
      </c>
      <c r="C320" s="175" t="s">
        <v>46</v>
      </c>
      <c r="D320" s="176"/>
      <c r="E320" s="176"/>
      <c r="F320" s="177"/>
      <c r="G320" s="550"/>
    </row>
    <row r="321" spans="1:7" ht="33.75" customHeight="1" x14ac:dyDescent="0.25">
      <c r="A321" s="174"/>
      <c r="B321" s="549">
        <v>20.100000000000001</v>
      </c>
      <c r="C321" s="183" t="s">
        <v>470</v>
      </c>
      <c r="D321" s="181" t="s">
        <v>99</v>
      </c>
      <c r="E321" s="182">
        <v>69</v>
      </c>
      <c r="F321" s="177">
        <v>1995790</v>
      </c>
      <c r="G321" s="550">
        <f>E321*F321</f>
        <v>137709510</v>
      </c>
    </row>
    <row r="322" spans="1:7" ht="30" customHeight="1" thickBot="1" x14ac:dyDescent="0.3">
      <c r="A322" s="174"/>
      <c r="B322" s="551"/>
      <c r="C322" s="296" t="s">
        <v>471</v>
      </c>
      <c r="D322" s="297"/>
      <c r="E322" s="297"/>
      <c r="F322" s="298"/>
      <c r="G322" s="552">
        <f>SUM(G320:G321)</f>
        <v>137709510</v>
      </c>
    </row>
    <row r="323" spans="1:7" ht="30" customHeight="1" thickTop="1" x14ac:dyDescent="0.25">
      <c r="A323" s="174"/>
      <c r="B323" s="559">
        <v>21</v>
      </c>
      <c r="C323" s="175" t="s">
        <v>472</v>
      </c>
      <c r="D323" s="176"/>
      <c r="E323" s="176"/>
      <c r="F323" s="176"/>
      <c r="G323" s="550"/>
    </row>
    <row r="324" spans="1:7" ht="32.25" customHeight="1" x14ac:dyDescent="0.25">
      <c r="A324" s="174"/>
      <c r="B324" s="553">
        <v>21.1</v>
      </c>
      <c r="C324" s="180" t="s">
        <v>473</v>
      </c>
      <c r="D324" s="181"/>
      <c r="E324" s="182"/>
      <c r="F324" s="182"/>
      <c r="G324" s="550"/>
    </row>
    <row r="325" spans="1:7" ht="45.75" customHeight="1" x14ac:dyDescent="0.25">
      <c r="A325" s="174"/>
      <c r="B325" s="560" t="s">
        <v>1441</v>
      </c>
      <c r="C325" s="543" t="s">
        <v>1312</v>
      </c>
      <c r="D325" s="181" t="s">
        <v>59</v>
      </c>
      <c r="E325" s="182">
        <v>117</v>
      </c>
      <c r="F325" s="177">
        <v>903574</v>
      </c>
      <c r="G325" s="550">
        <f t="shared" ref="G325:G377" si="27">ROUND(E325*F325,0)</f>
        <v>105718158</v>
      </c>
    </row>
    <row r="326" spans="1:7" ht="45.75" customHeight="1" x14ac:dyDescent="0.25">
      <c r="A326" s="174"/>
      <c r="B326" s="560" t="s">
        <v>1442</v>
      </c>
      <c r="C326" s="543" t="s">
        <v>1311</v>
      </c>
      <c r="D326" s="181" t="s">
        <v>59</v>
      </c>
      <c r="E326" s="182">
        <v>233</v>
      </c>
      <c r="F326" s="177">
        <v>63605</v>
      </c>
      <c r="G326" s="550">
        <f t="shared" si="27"/>
        <v>14819965</v>
      </c>
    </row>
    <row r="327" spans="1:7" ht="45.75" customHeight="1" x14ac:dyDescent="0.25">
      <c r="A327" s="174"/>
      <c r="B327" s="560" t="s">
        <v>1443</v>
      </c>
      <c r="C327" s="543" t="s">
        <v>1310</v>
      </c>
      <c r="D327" s="181" t="s">
        <v>59</v>
      </c>
      <c r="E327" s="182">
        <v>92.8</v>
      </c>
      <c r="F327" s="177">
        <v>48740</v>
      </c>
      <c r="G327" s="550">
        <f t="shared" si="27"/>
        <v>4523072</v>
      </c>
    </row>
    <row r="328" spans="1:7" ht="45.75" customHeight="1" x14ac:dyDescent="0.25">
      <c r="A328" s="174"/>
      <c r="B328" s="560" t="s">
        <v>1444</v>
      </c>
      <c r="C328" s="543" t="s">
        <v>1309</v>
      </c>
      <c r="D328" s="181" t="s">
        <v>59</v>
      </c>
      <c r="E328" s="182">
        <v>10</v>
      </c>
      <c r="F328" s="177">
        <v>41623</v>
      </c>
      <c r="G328" s="550">
        <f t="shared" si="27"/>
        <v>416230</v>
      </c>
    </row>
    <row r="329" spans="1:7" ht="45.75" customHeight="1" x14ac:dyDescent="0.25">
      <c r="A329" s="174"/>
      <c r="B329" s="560" t="s">
        <v>1445</v>
      </c>
      <c r="C329" s="543" t="s">
        <v>1308</v>
      </c>
      <c r="D329" s="181" t="s">
        <v>59</v>
      </c>
      <c r="E329" s="182">
        <v>452</v>
      </c>
      <c r="F329" s="177">
        <v>56540</v>
      </c>
      <c r="G329" s="550">
        <f t="shared" si="27"/>
        <v>25556080</v>
      </c>
    </row>
    <row r="330" spans="1:7" ht="45.75" customHeight="1" x14ac:dyDescent="0.25">
      <c r="A330" s="174"/>
      <c r="B330" s="560" t="s">
        <v>1446</v>
      </c>
      <c r="C330" s="543" t="s">
        <v>1307</v>
      </c>
      <c r="D330" s="181" t="s">
        <v>59</v>
      </c>
      <c r="E330" s="182">
        <v>10.5</v>
      </c>
      <c r="F330" s="177">
        <v>57071</v>
      </c>
      <c r="G330" s="550">
        <f t="shared" si="27"/>
        <v>599246</v>
      </c>
    </row>
    <row r="331" spans="1:7" ht="45.75" customHeight="1" x14ac:dyDescent="0.25">
      <c r="A331" s="174"/>
      <c r="B331" s="560" t="s">
        <v>1447</v>
      </c>
      <c r="C331" s="465" t="s">
        <v>1306</v>
      </c>
      <c r="D331" s="181" t="s">
        <v>59</v>
      </c>
      <c r="E331" s="182">
        <v>11</v>
      </c>
      <c r="F331" s="177">
        <v>62188</v>
      </c>
      <c r="G331" s="550">
        <f t="shared" si="27"/>
        <v>684068</v>
      </c>
    </row>
    <row r="332" spans="1:7" ht="32.25" customHeight="1" x14ac:dyDescent="0.25">
      <c r="A332" s="174"/>
      <c r="B332" s="554" t="s">
        <v>1249</v>
      </c>
      <c r="C332" s="180" t="s">
        <v>474</v>
      </c>
      <c r="D332" s="181"/>
      <c r="E332" s="182"/>
      <c r="F332" s="182"/>
      <c r="G332" s="550">
        <f t="shared" si="27"/>
        <v>0</v>
      </c>
    </row>
    <row r="333" spans="1:7" ht="60" x14ac:dyDescent="0.25">
      <c r="A333" s="174"/>
      <c r="B333" s="560" t="s">
        <v>1448</v>
      </c>
      <c r="C333" s="465" t="s">
        <v>1304</v>
      </c>
      <c r="D333" s="181" t="s">
        <v>99</v>
      </c>
      <c r="E333" s="182">
        <v>2</v>
      </c>
      <c r="F333" s="177">
        <v>11427048</v>
      </c>
      <c r="G333" s="550">
        <f t="shared" si="27"/>
        <v>22854096</v>
      </c>
    </row>
    <row r="334" spans="1:7" ht="30" x14ac:dyDescent="0.25">
      <c r="A334" s="174"/>
      <c r="B334" s="560" t="s">
        <v>1449</v>
      </c>
      <c r="C334" s="465" t="s">
        <v>1303</v>
      </c>
      <c r="D334" s="181" t="s">
        <v>99</v>
      </c>
      <c r="E334" s="182">
        <v>5</v>
      </c>
      <c r="F334" s="177">
        <v>786980</v>
      </c>
      <c r="G334" s="550">
        <f t="shared" si="27"/>
        <v>3934900</v>
      </c>
    </row>
    <row r="335" spans="1:7" ht="63.95" customHeight="1" x14ac:dyDescent="0.25">
      <c r="A335" s="174"/>
      <c r="B335" s="560" t="s">
        <v>1450</v>
      </c>
      <c r="C335" s="465" t="s">
        <v>1302</v>
      </c>
      <c r="D335" s="181" t="s">
        <v>99</v>
      </c>
      <c r="E335" s="182">
        <v>4</v>
      </c>
      <c r="F335" s="177">
        <v>392200</v>
      </c>
      <c r="G335" s="550">
        <f t="shared" si="27"/>
        <v>1568800</v>
      </c>
    </row>
    <row r="336" spans="1:7" ht="48.95" customHeight="1" x14ac:dyDescent="0.25">
      <c r="A336" s="174"/>
      <c r="B336" s="560" t="s">
        <v>1451</v>
      </c>
      <c r="C336" s="465" t="s">
        <v>1301</v>
      </c>
      <c r="D336" s="181" t="s">
        <v>475</v>
      </c>
      <c r="E336" s="182">
        <v>20</v>
      </c>
      <c r="F336" s="177">
        <v>3037789</v>
      </c>
      <c r="G336" s="550">
        <f t="shared" si="27"/>
        <v>60755780</v>
      </c>
    </row>
    <row r="337" spans="1:7" s="471" customFormat="1" ht="60" customHeight="1" x14ac:dyDescent="0.25">
      <c r="A337" s="466"/>
      <c r="B337" s="560" t="s">
        <v>1452</v>
      </c>
      <c r="C337" s="467" t="s">
        <v>1313</v>
      </c>
      <c r="D337" s="468" t="s">
        <v>99</v>
      </c>
      <c r="E337" s="469">
        <v>25</v>
      </c>
      <c r="F337" s="470">
        <v>971035</v>
      </c>
      <c r="G337" s="561">
        <f t="shared" si="27"/>
        <v>24275875</v>
      </c>
    </row>
    <row r="338" spans="1:7" ht="42" customHeight="1" x14ac:dyDescent="0.25">
      <c r="A338" s="174"/>
      <c r="B338" s="560" t="s">
        <v>1453</v>
      </c>
      <c r="C338" s="465" t="s">
        <v>476</v>
      </c>
      <c r="D338" s="181" t="s">
        <v>99</v>
      </c>
      <c r="E338" s="182">
        <v>60</v>
      </c>
      <c r="F338" s="177">
        <v>2524085</v>
      </c>
      <c r="G338" s="550">
        <f t="shared" si="27"/>
        <v>151445100</v>
      </c>
    </row>
    <row r="339" spans="1:7" ht="28.5" customHeight="1" x14ac:dyDescent="0.25">
      <c r="A339" s="174"/>
      <c r="B339" s="554">
        <v>21.3</v>
      </c>
      <c r="C339" s="180" t="s">
        <v>477</v>
      </c>
      <c r="D339" s="181"/>
      <c r="E339" s="182"/>
      <c r="F339" s="182"/>
      <c r="G339" s="550">
        <f t="shared" si="27"/>
        <v>0</v>
      </c>
    </row>
    <row r="340" spans="1:7" ht="45" x14ac:dyDescent="0.25">
      <c r="A340" s="174"/>
      <c r="B340" s="549" t="s">
        <v>1250</v>
      </c>
      <c r="C340" s="465" t="s">
        <v>1296</v>
      </c>
      <c r="D340" s="181" t="s">
        <v>99</v>
      </c>
      <c r="E340" s="182">
        <v>273</v>
      </c>
      <c r="F340" s="177">
        <v>116427</v>
      </c>
      <c r="G340" s="550">
        <f t="shared" si="27"/>
        <v>31784571</v>
      </c>
    </row>
    <row r="341" spans="1:7" ht="45" x14ac:dyDescent="0.25">
      <c r="A341" s="174"/>
      <c r="B341" s="549" t="s">
        <v>1251</v>
      </c>
      <c r="C341" s="465" t="s">
        <v>1297</v>
      </c>
      <c r="D341" s="181" t="s">
        <v>99</v>
      </c>
      <c r="E341" s="182">
        <v>77</v>
      </c>
      <c r="F341" s="177">
        <v>214430</v>
      </c>
      <c r="G341" s="550">
        <f t="shared" si="27"/>
        <v>16511110</v>
      </c>
    </row>
    <row r="342" spans="1:7" ht="32.25" customHeight="1" x14ac:dyDescent="0.25">
      <c r="A342" s="174"/>
      <c r="B342" s="554" t="s">
        <v>1252</v>
      </c>
      <c r="C342" s="180" t="s">
        <v>478</v>
      </c>
      <c r="D342" s="181"/>
      <c r="E342" s="182"/>
      <c r="F342" s="182"/>
      <c r="G342" s="550">
        <f t="shared" si="27"/>
        <v>0</v>
      </c>
    </row>
    <row r="343" spans="1:7" ht="32.25" customHeight="1" x14ac:dyDescent="0.25">
      <c r="A343" s="174"/>
      <c r="B343" s="549" t="s">
        <v>1253</v>
      </c>
      <c r="C343" s="465" t="s">
        <v>479</v>
      </c>
      <c r="D343" s="181" t="s">
        <v>99</v>
      </c>
      <c r="E343" s="182">
        <v>4</v>
      </c>
      <c r="F343" s="177">
        <v>138900</v>
      </c>
      <c r="G343" s="550">
        <f t="shared" si="27"/>
        <v>555600</v>
      </c>
    </row>
    <row r="344" spans="1:7" ht="32.25" customHeight="1" x14ac:dyDescent="0.25">
      <c r="A344" s="174"/>
      <c r="B344" s="549" t="s">
        <v>1254</v>
      </c>
      <c r="C344" s="465" t="s">
        <v>480</v>
      </c>
      <c r="D344" s="181" t="s">
        <v>99</v>
      </c>
      <c r="E344" s="182">
        <v>18</v>
      </c>
      <c r="F344" s="177">
        <v>116453</v>
      </c>
      <c r="G344" s="550">
        <f t="shared" si="27"/>
        <v>2096154</v>
      </c>
    </row>
    <row r="345" spans="1:7" ht="32.25" customHeight="1" x14ac:dyDescent="0.25">
      <c r="A345" s="174"/>
      <c r="B345" s="549" t="s">
        <v>1255</v>
      </c>
      <c r="C345" s="465" t="s">
        <v>481</v>
      </c>
      <c r="D345" s="181" t="s">
        <v>99</v>
      </c>
      <c r="E345" s="182">
        <v>42</v>
      </c>
      <c r="F345" s="177">
        <v>44281</v>
      </c>
      <c r="G345" s="550">
        <f t="shared" si="27"/>
        <v>1859802</v>
      </c>
    </row>
    <row r="346" spans="1:7" ht="32.25" customHeight="1" x14ac:dyDescent="0.25">
      <c r="A346" s="174"/>
      <c r="B346" s="549" t="s">
        <v>1256</v>
      </c>
      <c r="C346" s="465" t="s">
        <v>482</v>
      </c>
      <c r="D346" s="181" t="s">
        <v>99</v>
      </c>
      <c r="E346" s="182">
        <v>502</v>
      </c>
      <c r="F346" s="177">
        <v>41297</v>
      </c>
      <c r="G346" s="550">
        <f t="shared" si="27"/>
        <v>20731094</v>
      </c>
    </row>
    <row r="347" spans="1:7" ht="32.25" customHeight="1" x14ac:dyDescent="0.25">
      <c r="A347" s="174"/>
      <c r="B347" s="554" t="s">
        <v>1257</v>
      </c>
      <c r="C347" s="180" t="s">
        <v>483</v>
      </c>
      <c r="D347" s="181"/>
      <c r="E347" s="182"/>
      <c r="F347" s="182"/>
      <c r="G347" s="550">
        <f t="shared" si="27"/>
        <v>0</v>
      </c>
    </row>
    <row r="348" spans="1:7" ht="15.75" x14ac:dyDescent="0.25">
      <c r="A348" s="174"/>
      <c r="B348" s="549" t="s">
        <v>1258</v>
      </c>
      <c r="C348" s="465" t="s">
        <v>1295</v>
      </c>
      <c r="D348" s="181" t="s">
        <v>99</v>
      </c>
      <c r="E348" s="182">
        <v>70</v>
      </c>
      <c r="F348" s="177">
        <v>163280</v>
      </c>
      <c r="G348" s="550">
        <f t="shared" si="27"/>
        <v>11429600</v>
      </c>
    </row>
    <row r="349" spans="1:7" ht="15.75" x14ac:dyDescent="0.25">
      <c r="A349" s="174"/>
      <c r="B349" s="549" t="s">
        <v>1259</v>
      </c>
      <c r="C349" s="465" t="s">
        <v>1294</v>
      </c>
      <c r="D349" s="181" t="s">
        <v>99</v>
      </c>
      <c r="E349" s="182">
        <v>5</v>
      </c>
      <c r="F349" s="177">
        <v>252468</v>
      </c>
      <c r="G349" s="550">
        <f t="shared" si="27"/>
        <v>1262340</v>
      </c>
    </row>
    <row r="350" spans="1:7" ht="30" x14ac:dyDescent="0.25">
      <c r="A350" s="174"/>
      <c r="B350" s="549" t="s">
        <v>1260</v>
      </c>
      <c r="C350" s="465" t="s">
        <v>1293</v>
      </c>
      <c r="D350" s="181" t="s">
        <v>99</v>
      </c>
      <c r="E350" s="182">
        <v>18</v>
      </c>
      <c r="F350" s="177">
        <f>APU!F16091</f>
        <v>330976</v>
      </c>
      <c r="G350" s="550">
        <f t="shared" si="27"/>
        <v>5957568</v>
      </c>
    </row>
    <row r="351" spans="1:7" ht="30" x14ac:dyDescent="0.25">
      <c r="A351" s="174"/>
      <c r="B351" s="549" t="s">
        <v>1261</v>
      </c>
      <c r="C351" s="465" t="s">
        <v>1292</v>
      </c>
      <c r="D351" s="181" t="s">
        <v>99</v>
      </c>
      <c r="E351" s="182">
        <v>29</v>
      </c>
      <c r="F351" s="177">
        <v>502811</v>
      </c>
      <c r="G351" s="550">
        <f t="shared" si="27"/>
        <v>14581519</v>
      </c>
    </row>
    <row r="352" spans="1:7" ht="15.75" x14ac:dyDescent="0.25">
      <c r="A352" s="174"/>
      <c r="B352" s="549" t="s">
        <v>1262</v>
      </c>
      <c r="C352" s="465" t="s">
        <v>1291</v>
      </c>
      <c r="D352" s="181" t="s">
        <v>99</v>
      </c>
      <c r="E352" s="182">
        <v>1000</v>
      </c>
      <c r="F352" s="177">
        <f>APU!F16220</f>
        <v>254294</v>
      </c>
      <c r="G352" s="550">
        <f t="shared" si="27"/>
        <v>254294000</v>
      </c>
    </row>
    <row r="353" spans="1:7" ht="45" x14ac:dyDescent="0.25">
      <c r="A353" s="174"/>
      <c r="B353" s="549" t="s">
        <v>1263</v>
      </c>
      <c r="C353" s="467" t="s">
        <v>484</v>
      </c>
      <c r="D353" s="181" t="s">
        <v>99</v>
      </c>
      <c r="E353" s="182">
        <v>50</v>
      </c>
      <c r="F353" s="177">
        <v>6009103</v>
      </c>
      <c r="G353" s="550">
        <f t="shared" si="27"/>
        <v>300455150</v>
      </c>
    </row>
    <row r="354" spans="1:7" ht="30" x14ac:dyDescent="0.25">
      <c r="A354" s="174"/>
      <c r="B354" s="549" t="s">
        <v>1264</v>
      </c>
      <c r="C354" s="465" t="s">
        <v>1290</v>
      </c>
      <c r="D354" s="181" t="s">
        <v>99</v>
      </c>
      <c r="E354" s="182">
        <v>80</v>
      </c>
      <c r="F354" s="177">
        <v>5101682</v>
      </c>
      <c r="G354" s="550">
        <f t="shared" si="27"/>
        <v>408134560</v>
      </c>
    </row>
    <row r="355" spans="1:7" ht="30" x14ac:dyDescent="0.25">
      <c r="A355" s="174"/>
      <c r="B355" s="549" t="s">
        <v>1265</v>
      </c>
      <c r="C355" s="465" t="s">
        <v>1289</v>
      </c>
      <c r="D355" s="181" t="s">
        <v>99</v>
      </c>
      <c r="E355" s="182">
        <v>10</v>
      </c>
      <c r="F355" s="177">
        <v>4736633</v>
      </c>
      <c r="G355" s="550">
        <f t="shared" si="27"/>
        <v>47366330</v>
      </c>
    </row>
    <row r="356" spans="1:7" ht="32.25" customHeight="1" x14ac:dyDescent="0.25">
      <c r="A356" s="174"/>
      <c r="B356" s="554" t="s">
        <v>1266</v>
      </c>
      <c r="C356" s="180" t="s">
        <v>485</v>
      </c>
      <c r="D356" s="181"/>
      <c r="E356" s="182"/>
      <c r="F356" s="177"/>
      <c r="G356" s="550">
        <f t="shared" si="27"/>
        <v>0</v>
      </c>
    </row>
    <row r="357" spans="1:7" ht="39.75" customHeight="1" x14ac:dyDescent="0.25">
      <c r="A357" s="174"/>
      <c r="B357" s="549" t="s">
        <v>1267</v>
      </c>
      <c r="C357" s="183" t="s">
        <v>486</v>
      </c>
      <c r="D357" s="181" t="s">
        <v>99</v>
      </c>
      <c r="E357" s="182">
        <v>22</v>
      </c>
      <c r="F357" s="177">
        <v>2052410</v>
      </c>
      <c r="G357" s="550">
        <f t="shared" si="27"/>
        <v>45153020</v>
      </c>
    </row>
    <row r="358" spans="1:7" ht="32.25" customHeight="1" x14ac:dyDescent="0.25">
      <c r="A358" s="174"/>
      <c r="B358" s="554" t="s">
        <v>1269</v>
      </c>
      <c r="C358" s="180" t="s">
        <v>487</v>
      </c>
      <c r="D358" s="181"/>
      <c r="E358" s="182"/>
      <c r="F358" s="177"/>
      <c r="G358" s="550">
        <f t="shared" si="27"/>
        <v>0</v>
      </c>
    </row>
    <row r="359" spans="1:7" ht="32.25" customHeight="1" x14ac:dyDescent="0.25">
      <c r="A359" s="174"/>
      <c r="B359" s="549" t="s">
        <v>1268</v>
      </c>
      <c r="C359" s="183" t="s">
        <v>488</v>
      </c>
      <c r="D359" s="181" t="s">
        <v>99</v>
      </c>
      <c r="E359" s="182">
        <v>2268</v>
      </c>
      <c r="F359" s="177">
        <v>24810</v>
      </c>
      <c r="G359" s="550">
        <f t="shared" si="27"/>
        <v>56269080</v>
      </c>
    </row>
    <row r="360" spans="1:7" ht="32.25" customHeight="1" x14ac:dyDescent="0.25">
      <c r="A360" s="174"/>
      <c r="B360" s="549" t="s">
        <v>1270</v>
      </c>
      <c r="C360" s="183" t="s">
        <v>489</v>
      </c>
      <c r="D360" s="181" t="s">
        <v>99</v>
      </c>
      <c r="E360" s="182">
        <v>100</v>
      </c>
      <c r="F360" s="177">
        <v>44830</v>
      </c>
      <c r="G360" s="550">
        <f t="shared" si="27"/>
        <v>4483000</v>
      </c>
    </row>
    <row r="361" spans="1:7" ht="32.25" customHeight="1" x14ac:dyDescent="0.25">
      <c r="A361" s="174"/>
      <c r="B361" s="554" t="s">
        <v>1271</v>
      </c>
      <c r="C361" s="180" t="s">
        <v>490</v>
      </c>
      <c r="D361" s="181"/>
      <c r="E361" s="182"/>
      <c r="F361" s="177"/>
      <c r="G361" s="550">
        <f t="shared" si="27"/>
        <v>0</v>
      </c>
    </row>
    <row r="362" spans="1:7" s="471" customFormat="1" ht="63" x14ac:dyDescent="0.25">
      <c r="A362" s="466"/>
      <c r="B362" s="562" t="s">
        <v>1272</v>
      </c>
      <c r="C362" s="472" t="s">
        <v>1129</v>
      </c>
      <c r="D362" s="468" t="s">
        <v>99</v>
      </c>
      <c r="E362" s="469">
        <v>10</v>
      </c>
      <c r="F362" s="470">
        <v>6841426</v>
      </c>
      <c r="G362" s="561">
        <f t="shared" si="27"/>
        <v>68414260</v>
      </c>
    </row>
    <row r="363" spans="1:7" ht="32.25" customHeight="1" x14ac:dyDescent="0.25">
      <c r="A363" s="174"/>
      <c r="B363" s="549" t="s">
        <v>1273</v>
      </c>
      <c r="C363" s="183" t="s">
        <v>492</v>
      </c>
      <c r="D363" s="181" t="s">
        <v>99</v>
      </c>
      <c r="E363" s="182">
        <v>50</v>
      </c>
      <c r="F363" s="177">
        <v>629335</v>
      </c>
      <c r="G363" s="550">
        <f t="shared" si="27"/>
        <v>31466750</v>
      </c>
    </row>
    <row r="364" spans="1:7" ht="32.25" customHeight="1" x14ac:dyDescent="0.25">
      <c r="A364" s="174"/>
      <c r="B364" s="549" t="s">
        <v>1274</v>
      </c>
      <c r="C364" s="183" t="s">
        <v>493</v>
      </c>
      <c r="D364" s="181" t="s">
        <v>99</v>
      </c>
      <c r="E364" s="182">
        <v>20</v>
      </c>
      <c r="F364" s="177">
        <v>2408400</v>
      </c>
      <c r="G364" s="550">
        <f t="shared" si="27"/>
        <v>48168000</v>
      </c>
    </row>
    <row r="365" spans="1:7" ht="32.25" customHeight="1" x14ac:dyDescent="0.25">
      <c r="A365" s="174"/>
      <c r="B365" s="554" t="s">
        <v>1275</v>
      </c>
      <c r="C365" s="180" t="s">
        <v>494</v>
      </c>
      <c r="D365" s="181"/>
      <c r="E365" s="182"/>
      <c r="F365" s="177"/>
      <c r="G365" s="550">
        <f t="shared" si="27"/>
        <v>0</v>
      </c>
    </row>
    <row r="366" spans="1:7" ht="36" customHeight="1" x14ac:dyDescent="0.25">
      <c r="A366" s="174"/>
      <c r="B366" s="549" t="s">
        <v>1276</v>
      </c>
      <c r="C366" s="183" t="s">
        <v>495</v>
      </c>
      <c r="D366" s="181" t="s">
        <v>99</v>
      </c>
      <c r="E366" s="182">
        <v>6</v>
      </c>
      <c r="F366" s="177">
        <v>6780694</v>
      </c>
      <c r="G366" s="550">
        <f t="shared" si="27"/>
        <v>40684164</v>
      </c>
    </row>
    <row r="367" spans="1:7" ht="32.25" customHeight="1" x14ac:dyDescent="0.25">
      <c r="A367" s="174"/>
      <c r="B367" s="549" t="s">
        <v>1277</v>
      </c>
      <c r="C367" s="183" t="s">
        <v>496</v>
      </c>
      <c r="D367" s="181" t="s">
        <v>99</v>
      </c>
      <c r="E367" s="182">
        <v>12</v>
      </c>
      <c r="F367" s="177">
        <v>5861096</v>
      </c>
      <c r="G367" s="550">
        <f t="shared" si="27"/>
        <v>70333152</v>
      </c>
    </row>
    <row r="368" spans="1:7" ht="32.25" customHeight="1" x14ac:dyDescent="0.25">
      <c r="A368" s="174"/>
      <c r="B368" s="549" t="s">
        <v>1278</v>
      </c>
      <c r="C368" s="183" t="s">
        <v>497</v>
      </c>
      <c r="D368" s="181" t="s">
        <v>99</v>
      </c>
      <c r="E368" s="182">
        <v>1</v>
      </c>
      <c r="F368" s="177">
        <v>2000000</v>
      </c>
      <c r="G368" s="550">
        <f t="shared" si="27"/>
        <v>2000000</v>
      </c>
    </row>
    <row r="369" spans="1:7" ht="32.25" customHeight="1" x14ac:dyDescent="0.25">
      <c r="A369" s="174"/>
      <c r="B369" s="549" t="s">
        <v>1279</v>
      </c>
      <c r="C369" s="183" t="s">
        <v>498</v>
      </c>
      <c r="D369" s="181" t="s">
        <v>99</v>
      </c>
      <c r="E369" s="182">
        <v>1</v>
      </c>
      <c r="F369" s="177">
        <v>36345325</v>
      </c>
      <c r="G369" s="550">
        <f t="shared" si="27"/>
        <v>36345325</v>
      </c>
    </row>
    <row r="370" spans="1:7" ht="32.25" customHeight="1" x14ac:dyDescent="0.25">
      <c r="A370" s="174"/>
      <c r="B370" s="549" t="s">
        <v>1280</v>
      </c>
      <c r="C370" s="183" t="s">
        <v>499</v>
      </c>
      <c r="D370" s="181" t="s">
        <v>500</v>
      </c>
      <c r="E370" s="182">
        <v>1</v>
      </c>
      <c r="F370" s="177">
        <v>1925780</v>
      </c>
      <c r="G370" s="550">
        <f t="shared" si="27"/>
        <v>1925780</v>
      </c>
    </row>
    <row r="371" spans="1:7" ht="32.25" customHeight="1" x14ac:dyDescent="0.25">
      <c r="A371" s="174"/>
      <c r="B371" s="549" t="s">
        <v>1281</v>
      </c>
      <c r="C371" s="183" t="s">
        <v>1146</v>
      </c>
      <c r="D371" s="181" t="s">
        <v>500</v>
      </c>
      <c r="E371" s="182">
        <v>3</v>
      </c>
      <c r="F371" s="177">
        <v>1645175</v>
      </c>
      <c r="G371" s="550">
        <f t="shared" si="27"/>
        <v>4935525</v>
      </c>
    </row>
    <row r="372" spans="1:7" ht="32.25" customHeight="1" x14ac:dyDescent="0.25">
      <c r="A372" s="174"/>
      <c r="B372" s="549" t="s">
        <v>1282</v>
      </c>
      <c r="C372" s="183" t="s">
        <v>502</v>
      </c>
      <c r="D372" s="181" t="s">
        <v>99</v>
      </c>
      <c r="E372" s="182">
        <v>3</v>
      </c>
      <c r="F372" s="177">
        <v>9961100</v>
      </c>
      <c r="G372" s="550">
        <f t="shared" si="27"/>
        <v>29883300</v>
      </c>
    </row>
    <row r="373" spans="1:7" s="471" customFormat="1" ht="47.25" x14ac:dyDescent="0.25">
      <c r="A373" s="466"/>
      <c r="B373" s="549" t="s">
        <v>1283</v>
      </c>
      <c r="C373" s="472" t="s">
        <v>1166</v>
      </c>
      <c r="D373" s="468" t="s">
        <v>99</v>
      </c>
      <c r="E373" s="469">
        <v>3</v>
      </c>
      <c r="F373" s="470">
        <v>6900625</v>
      </c>
      <c r="G373" s="561">
        <f t="shared" si="27"/>
        <v>20701875</v>
      </c>
    </row>
    <row r="374" spans="1:7" s="471" customFormat="1" ht="15.75" x14ac:dyDescent="0.25">
      <c r="A374" s="466"/>
      <c r="B374" s="549" t="s">
        <v>1284</v>
      </c>
      <c r="C374" s="472" t="s">
        <v>1189</v>
      </c>
      <c r="D374" s="468" t="s">
        <v>99</v>
      </c>
      <c r="E374" s="469">
        <v>5</v>
      </c>
      <c r="F374" s="470">
        <v>11909096</v>
      </c>
      <c r="G374" s="561">
        <f t="shared" si="27"/>
        <v>59545480</v>
      </c>
    </row>
    <row r="375" spans="1:7" s="471" customFormat="1" ht="15.75" x14ac:dyDescent="0.25">
      <c r="A375" s="466"/>
      <c r="B375" s="549" t="s">
        <v>1285</v>
      </c>
      <c r="C375" s="472" t="s">
        <v>1190</v>
      </c>
      <c r="D375" s="468" t="s">
        <v>99</v>
      </c>
      <c r="E375" s="469">
        <v>1</v>
      </c>
      <c r="F375" s="470">
        <v>21583233</v>
      </c>
      <c r="G375" s="561">
        <f t="shared" si="27"/>
        <v>21583233</v>
      </c>
    </row>
    <row r="376" spans="1:7" s="471" customFormat="1" ht="31.5" x14ac:dyDescent="0.25">
      <c r="A376" s="466"/>
      <c r="B376" s="549" t="s">
        <v>1286</v>
      </c>
      <c r="C376" s="472" t="s">
        <v>1187</v>
      </c>
      <c r="D376" s="468" t="s">
        <v>99</v>
      </c>
      <c r="E376" s="469">
        <v>20</v>
      </c>
      <c r="F376" s="470">
        <v>756350</v>
      </c>
      <c r="G376" s="561">
        <f t="shared" si="27"/>
        <v>15127000</v>
      </c>
    </row>
    <row r="377" spans="1:7" s="471" customFormat="1" ht="47.25" x14ac:dyDescent="0.25">
      <c r="A377" s="466"/>
      <c r="B377" s="549" t="s">
        <v>1287</v>
      </c>
      <c r="C377" s="472" t="s">
        <v>1288</v>
      </c>
      <c r="D377" s="468" t="s">
        <v>99</v>
      </c>
      <c r="E377" s="469">
        <v>50</v>
      </c>
      <c r="F377" s="470">
        <v>395515</v>
      </c>
      <c r="G377" s="561">
        <f t="shared" si="27"/>
        <v>19775750</v>
      </c>
    </row>
    <row r="378" spans="1:7" ht="30" customHeight="1" thickBot="1" x14ac:dyDescent="0.3">
      <c r="A378" s="174"/>
      <c r="B378" s="558"/>
      <c r="C378" s="296" t="s">
        <v>503</v>
      </c>
      <c r="D378" s="297"/>
      <c r="E378" s="297"/>
      <c r="F378" s="298"/>
      <c r="G378" s="552">
        <f>SUM(G323:G377)</f>
        <v>2110965462</v>
      </c>
    </row>
    <row r="379" spans="1:7" ht="30" customHeight="1" thickTop="1" thickBot="1" x14ac:dyDescent="0.3">
      <c r="A379" s="174"/>
      <c r="B379" s="563"/>
      <c r="C379" s="521"/>
      <c r="D379" s="519"/>
      <c r="E379" s="519"/>
      <c r="F379" s="520"/>
      <c r="G379" s="557"/>
    </row>
    <row r="380" spans="1:7" ht="30" customHeight="1" x14ac:dyDescent="0.25">
      <c r="A380" s="174"/>
      <c r="B380" s="564"/>
      <c r="C380" s="577" t="s">
        <v>36</v>
      </c>
      <c r="D380" s="578"/>
      <c r="E380" s="579"/>
      <c r="F380" s="525"/>
      <c r="G380" s="565">
        <f>+G30+G46+G50+G55+G66+G71+G76+G81+G92+G191+G195+G214+G225+G229+G232+G243+G276+G283+G319+G322+G378</f>
        <v>20186989849.299999</v>
      </c>
    </row>
    <row r="381" spans="1:7" ht="30" customHeight="1" x14ac:dyDescent="0.25">
      <c r="A381" s="174"/>
      <c r="B381" s="549"/>
      <c r="C381" s="574" t="s">
        <v>37</v>
      </c>
      <c r="D381" s="575"/>
      <c r="E381" s="576"/>
      <c r="F381" s="526">
        <v>0.22</v>
      </c>
      <c r="G381" s="566">
        <f>+F381*G380</f>
        <v>4441137766.8459997</v>
      </c>
    </row>
    <row r="382" spans="1:7" ht="30" customHeight="1" x14ac:dyDescent="0.25">
      <c r="A382" s="174"/>
      <c r="B382" s="549"/>
      <c r="C382" s="574" t="s">
        <v>38</v>
      </c>
      <c r="D382" s="575"/>
      <c r="E382" s="576"/>
      <c r="F382" s="526">
        <v>0.04</v>
      </c>
      <c r="G382" s="566">
        <f>+F382*G380</f>
        <v>807479593.972</v>
      </c>
    </row>
    <row r="383" spans="1:7" ht="30" customHeight="1" x14ac:dyDescent="0.25">
      <c r="A383" s="174"/>
      <c r="B383" s="549"/>
      <c r="C383" s="574" t="s">
        <v>39</v>
      </c>
      <c r="D383" s="575"/>
      <c r="E383" s="576"/>
      <c r="F383" s="526">
        <v>0.04</v>
      </c>
      <c r="G383" s="566">
        <f>+F383*G380</f>
        <v>807479593.972</v>
      </c>
    </row>
    <row r="384" spans="1:7" ht="30" customHeight="1" x14ac:dyDescent="0.25">
      <c r="A384" s="174"/>
      <c r="B384" s="549"/>
      <c r="C384" s="574" t="s">
        <v>40</v>
      </c>
      <c r="D384" s="575"/>
      <c r="E384" s="576"/>
      <c r="F384" s="527"/>
      <c r="G384" s="567">
        <f>+SUM(G381:G383)</f>
        <v>6056096954.79</v>
      </c>
    </row>
    <row r="385" spans="1:7" ht="30" customHeight="1" x14ac:dyDescent="0.25">
      <c r="A385" s="174"/>
      <c r="B385" s="549"/>
      <c r="C385" s="574" t="s">
        <v>41</v>
      </c>
      <c r="D385" s="575"/>
      <c r="E385" s="576"/>
      <c r="F385" s="528"/>
      <c r="G385" s="568">
        <f>+G384+G380</f>
        <v>26243086804.09</v>
      </c>
    </row>
    <row r="386" spans="1:7" ht="15.75" customHeight="1" thickBot="1" x14ac:dyDescent="0.3">
      <c r="A386" s="174"/>
      <c r="B386" s="544"/>
      <c r="C386" s="508"/>
      <c r="D386" s="174"/>
      <c r="E386" s="174"/>
      <c r="F386" s="186"/>
      <c r="G386" s="186"/>
    </row>
    <row r="387" spans="1:7" ht="15.75" customHeight="1" x14ac:dyDescent="0.25">
      <c r="A387" s="174"/>
      <c r="B387" s="174"/>
      <c r="C387" s="508"/>
      <c r="D387" s="174"/>
      <c r="E387" s="174"/>
      <c r="F387" s="186"/>
      <c r="G387" s="186"/>
    </row>
    <row r="388" spans="1:7" ht="15.75" customHeight="1" x14ac:dyDescent="0.25">
      <c r="A388" s="529"/>
      <c r="B388" s="174"/>
      <c r="C388" s="530"/>
      <c r="D388" s="529"/>
      <c r="E388" s="529"/>
      <c r="F388" s="531"/>
      <c r="G388" s="531"/>
    </row>
    <row r="389" spans="1:7" ht="15.75" customHeight="1" x14ac:dyDescent="0.25">
      <c r="A389" s="174"/>
      <c r="B389" s="529"/>
      <c r="C389" s="508"/>
      <c r="D389" s="174"/>
      <c r="E389" s="174"/>
      <c r="F389" s="186"/>
      <c r="G389" s="532"/>
    </row>
    <row r="390" spans="1:7" ht="15.75" customHeight="1" x14ac:dyDescent="0.25">
      <c r="A390" s="174"/>
      <c r="B390" s="174"/>
      <c r="C390" s="508"/>
      <c r="D390" s="174"/>
      <c r="E390" s="174"/>
      <c r="F390" s="186"/>
      <c r="G390" s="532"/>
    </row>
    <row r="391" spans="1:7" ht="15.75" customHeight="1" x14ac:dyDescent="0.25">
      <c r="A391" s="174"/>
      <c r="B391" s="174"/>
      <c r="C391" s="508"/>
      <c r="D391" s="174"/>
      <c r="E391" s="174"/>
      <c r="F391" s="186"/>
      <c r="G391" s="532"/>
    </row>
    <row r="392" spans="1:7" ht="15.75" customHeight="1" x14ac:dyDescent="0.25">
      <c r="A392" s="174"/>
      <c r="B392" s="174"/>
      <c r="C392" s="508"/>
      <c r="D392" s="174"/>
      <c r="E392" s="174"/>
      <c r="F392" s="186"/>
      <c r="G392" s="532"/>
    </row>
    <row r="393" spans="1:7" ht="15.75" customHeight="1" x14ac:dyDescent="0.25">
      <c r="A393" s="174"/>
      <c r="B393" s="174"/>
      <c r="C393" s="508"/>
      <c r="D393" s="174"/>
      <c r="E393" s="174"/>
      <c r="F393" s="186"/>
      <c r="G393" s="532"/>
    </row>
    <row r="394" spans="1:7" ht="15.75" customHeight="1" x14ac:dyDescent="0.25">
      <c r="A394" s="174"/>
      <c r="B394" s="174"/>
      <c r="C394" s="508"/>
      <c r="D394" s="174"/>
      <c r="E394" s="174"/>
      <c r="F394" s="534"/>
      <c r="G394" s="533"/>
    </row>
    <row r="395" spans="1:7" ht="15.75" customHeight="1" x14ac:dyDescent="0.25">
      <c r="A395" s="174"/>
      <c r="B395" s="174"/>
      <c r="C395" s="508"/>
      <c r="D395" s="174"/>
      <c r="E395" s="174"/>
      <c r="F395" s="534"/>
      <c r="G395" s="533"/>
    </row>
    <row r="396" spans="1:7" ht="15.75" customHeight="1" x14ac:dyDescent="0.25">
      <c r="A396" s="174"/>
      <c r="B396" s="174"/>
      <c r="C396" s="508"/>
      <c r="D396" s="174"/>
      <c r="E396" s="174"/>
      <c r="F396" s="534"/>
      <c r="G396" s="186"/>
    </row>
    <row r="397" spans="1:7" ht="15.75" customHeight="1" x14ac:dyDescent="0.25">
      <c r="A397" s="174"/>
      <c r="B397" s="174"/>
      <c r="C397" s="508"/>
      <c r="D397" s="174"/>
      <c r="E397" s="174"/>
      <c r="F397" s="534"/>
      <c r="G397" s="186"/>
    </row>
    <row r="398" spans="1:7" ht="15.75" customHeight="1" x14ac:dyDescent="0.25">
      <c r="A398" s="174"/>
      <c r="B398" s="174"/>
      <c r="C398" s="508"/>
      <c r="D398" s="174"/>
      <c r="E398" s="174"/>
      <c r="F398" s="534"/>
      <c r="G398" s="186"/>
    </row>
    <row r="399" spans="1:7" ht="15.75" customHeight="1" x14ac:dyDescent="0.25">
      <c r="A399" s="174"/>
      <c r="B399" s="174"/>
      <c r="C399" s="508"/>
      <c r="D399" s="174"/>
      <c r="E399" s="174"/>
      <c r="F399" s="535"/>
      <c r="G399" s="186"/>
    </row>
    <row r="400" spans="1:7" ht="15" customHeight="1" x14ac:dyDescent="0.25">
      <c r="B400" s="174"/>
    </row>
  </sheetData>
  <autoFilter ref="A5:G652" xr:uid="{00000000-0009-0000-0000-000002000000}"/>
  <mergeCells count="8">
    <mergeCell ref="B2:G2"/>
    <mergeCell ref="B4:G4"/>
    <mergeCell ref="C380:E380"/>
    <mergeCell ref="C381:E381"/>
    <mergeCell ref="C382:E382"/>
    <mergeCell ref="C383:E383"/>
    <mergeCell ref="C384:E384"/>
    <mergeCell ref="C385:E385"/>
  </mergeCells>
  <phoneticPr fontId="24" type="noConversion"/>
  <printOptions horizontalCentered="1" verticalCentered="1"/>
  <pageMargins left="0.31496062992125984" right="0.31496062992125984" top="0.35433070866141736" bottom="0.35433070866141736" header="0" footer="0"/>
  <pageSetup orientation="portrait" r:id="rId1"/>
  <rowBreaks count="7" manualBreakCount="7">
    <brk id="46" man="1"/>
    <brk id="130" man="1"/>
    <brk id="172" man="1"/>
    <brk id="338" man="1"/>
    <brk id="214" man="1"/>
    <brk id="254" man="1"/>
    <brk id="8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K100"/>
  <sheetViews>
    <sheetView showGridLines="0" topLeftCell="A32" workbookViewId="0"/>
  </sheetViews>
  <sheetFormatPr baseColWidth="10" defaultColWidth="12.625" defaultRowHeight="15" customHeight="1" x14ac:dyDescent="0.25"/>
  <cols>
    <col min="1" max="1" width="11" customWidth="1"/>
    <col min="2" max="2" width="28" customWidth="1"/>
    <col min="3" max="3" width="4.875" customWidth="1"/>
    <col min="4" max="4" width="9.5" customWidth="1"/>
    <col min="5" max="5" width="9.875" customWidth="1"/>
    <col min="6" max="6" width="10.125" customWidth="1"/>
    <col min="7" max="7" width="13.875" customWidth="1"/>
    <col min="8" max="8" width="16.625" customWidth="1"/>
    <col min="9" max="9" width="12.375" customWidth="1"/>
    <col min="10" max="10" width="13.5" customWidth="1"/>
    <col min="11" max="11" width="11" customWidth="1"/>
  </cols>
  <sheetData>
    <row r="1" spans="1:11" ht="13.5" customHeight="1" x14ac:dyDescent="0.3">
      <c r="A1" s="22"/>
      <c r="B1" s="22"/>
      <c r="C1" s="22"/>
      <c r="D1" s="22"/>
      <c r="E1" s="22"/>
      <c r="F1" s="22"/>
      <c r="G1" s="22"/>
      <c r="H1" s="22"/>
      <c r="I1" s="22"/>
      <c r="J1" s="22"/>
      <c r="K1" s="22"/>
    </row>
    <row r="2" spans="1:11" ht="13.5" customHeight="1" x14ac:dyDescent="0.3">
      <c r="A2" s="22"/>
      <c r="B2" s="22"/>
      <c r="C2" s="22"/>
      <c r="D2" s="22"/>
      <c r="E2" s="22"/>
      <c r="F2" s="22"/>
      <c r="G2" s="22"/>
      <c r="H2" s="22"/>
      <c r="I2" s="22"/>
      <c r="J2" s="22"/>
      <c r="K2" s="22"/>
    </row>
    <row r="3" spans="1:11" ht="29.25" customHeight="1" x14ac:dyDescent="0.25">
      <c r="A3" s="23"/>
      <c r="B3" s="23"/>
      <c r="C3" s="23"/>
      <c r="D3" s="23"/>
      <c r="E3" s="24" t="s">
        <v>504</v>
      </c>
      <c r="F3" s="23"/>
      <c r="G3" s="23"/>
      <c r="H3" s="23"/>
      <c r="I3" s="23"/>
      <c r="J3" s="23"/>
      <c r="K3" s="23"/>
    </row>
    <row r="4" spans="1:11" ht="9.75" customHeight="1" x14ac:dyDescent="0.3">
      <c r="A4" s="22"/>
      <c r="B4" s="22"/>
      <c r="C4" s="22"/>
      <c r="D4" s="22"/>
      <c r="E4" s="22"/>
      <c r="F4" s="22"/>
      <c r="G4" s="22"/>
      <c r="H4" s="22"/>
      <c r="I4" s="22"/>
      <c r="J4" s="22"/>
      <c r="K4" s="22"/>
    </row>
    <row r="5" spans="1:11" ht="30" customHeight="1" x14ac:dyDescent="0.25">
      <c r="A5" s="25"/>
      <c r="B5" s="26" t="s">
        <v>505</v>
      </c>
      <c r="C5" s="26" t="s">
        <v>506</v>
      </c>
      <c r="D5" s="27" t="s">
        <v>507</v>
      </c>
      <c r="E5" s="27" t="s">
        <v>508</v>
      </c>
      <c r="F5" s="27" t="s">
        <v>509</v>
      </c>
      <c r="G5" s="27" t="s">
        <v>510</v>
      </c>
      <c r="H5" s="27" t="s">
        <v>511</v>
      </c>
      <c r="I5" s="25"/>
      <c r="J5" s="25"/>
      <c r="K5" s="25"/>
    </row>
    <row r="6" spans="1:11" ht="21" customHeight="1" x14ac:dyDescent="0.25">
      <c r="A6" s="25"/>
      <c r="B6" s="28" t="s">
        <v>512</v>
      </c>
      <c r="C6" s="29"/>
      <c r="D6" s="30"/>
      <c r="E6" s="30"/>
      <c r="F6" s="30"/>
      <c r="G6" s="31"/>
      <c r="H6" s="31"/>
      <c r="I6" s="25"/>
      <c r="J6" s="25"/>
      <c r="K6" s="25"/>
    </row>
    <row r="7" spans="1:11" ht="21" customHeight="1" x14ac:dyDescent="0.25">
      <c r="A7" s="25"/>
      <c r="B7" s="32" t="s">
        <v>513</v>
      </c>
      <c r="C7" s="25"/>
      <c r="D7" s="33"/>
      <c r="E7" s="33"/>
      <c r="F7" s="33"/>
      <c r="G7" s="33"/>
      <c r="H7" s="31"/>
      <c r="I7" s="25"/>
      <c r="J7" s="25"/>
      <c r="K7" s="25"/>
    </row>
    <row r="8" spans="1:11" ht="18" customHeight="1" x14ac:dyDescent="0.25">
      <c r="A8" s="34"/>
      <c r="B8" s="35" t="s">
        <v>514</v>
      </c>
      <c r="C8" s="36">
        <v>1</v>
      </c>
      <c r="D8" s="37">
        <v>0.5</v>
      </c>
      <c r="E8" s="36">
        <v>12</v>
      </c>
      <c r="F8" s="36">
        <f t="shared" ref="F8:F16" si="0">+E8*D8*C8</f>
        <v>6</v>
      </c>
      <c r="G8" s="38">
        <v>6000000</v>
      </c>
      <c r="H8" s="38">
        <f t="shared" ref="H8:H16" si="1">+ROUND(G8*F8,0)</f>
        <v>36000000</v>
      </c>
      <c r="I8" s="39"/>
      <c r="J8" s="40"/>
      <c r="K8" s="34"/>
    </row>
    <row r="9" spans="1:11" ht="18" customHeight="1" x14ac:dyDescent="0.25">
      <c r="A9" s="34"/>
      <c r="B9" s="35" t="s">
        <v>515</v>
      </c>
      <c r="C9" s="36">
        <v>1</v>
      </c>
      <c r="D9" s="37">
        <v>1</v>
      </c>
      <c r="E9" s="36">
        <f>+E8</f>
        <v>12</v>
      </c>
      <c r="F9" s="36">
        <f t="shared" si="0"/>
        <v>12</v>
      </c>
      <c r="G9" s="38">
        <v>4500000</v>
      </c>
      <c r="H9" s="38">
        <f t="shared" si="1"/>
        <v>54000000</v>
      </c>
      <c r="I9" s="34"/>
      <c r="J9" s="40"/>
      <c r="K9" s="34"/>
    </row>
    <row r="10" spans="1:11" ht="18" customHeight="1" x14ac:dyDescent="0.25">
      <c r="A10" s="34"/>
      <c r="B10" s="35" t="s">
        <v>516</v>
      </c>
      <c r="C10" s="36">
        <v>1</v>
      </c>
      <c r="D10" s="37">
        <v>1</v>
      </c>
      <c r="E10" s="36">
        <v>11</v>
      </c>
      <c r="F10" s="36">
        <f t="shared" si="0"/>
        <v>11</v>
      </c>
      <c r="G10" s="38">
        <v>4000000</v>
      </c>
      <c r="H10" s="38">
        <f t="shared" si="1"/>
        <v>44000000</v>
      </c>
      <c r="I10" s="34"/>
      <c r="J10" s="40"/>
      <c r="K10" s="34"/>
    </row>
    <row r="11" spans="1:11" ht="18" customHeight="1" x14ac:dyDescent="0.25">
      <c r="A11" s="34"/>
      <c r="B11" s="35" t="s">
        <v>517</v>
      </c>
      <c r="C11" s="36">
        <v>1</v>
      </c>
      <c r="D11" s="37">
        <v>1</v>
      </c>
      <c r="E11" s="36">
        <f t="shared" ref="E11:E12" si="2">+E10</f>
        <v>11</v>
      </c>
      <c r="F11" s="36">
        <f t="shared" si="0"/>
        <v>11</v>
      </c>
      <c r="G11" s="38">
        <v>4000000</v>
      </c>
      <c r="H11" s="38">
        <f t="shared" si="1"/>
        <v>44000000</v>
      </c>
      <c r="I11" s="34"/>
      <c r="J11" s="40"/>
      <c r="K11" s="34"/>
    </row>
    <row r="12" spans="1:11" ht="18" customHeight="1" x14ac:dyDescent="0.25">
      <c r="A12" s="34"/>
      <c r="B12" s="35" t="s">
        <v>518</v>
      </c>
      <c r="C12" s="36">
        <v>1</v>
      </c>
      <c r="D12" s="37">
        <v>1</v>
      </c>
      <c r="E12" s="36">
        <f t="shared" si="2"/>
        <v>11</v>
      </c>
      <c r="F12" s="36">
        <f t="shared" si="0"/>
        <v>11</v>
      </c>
      <c r="G12" s="38">
        <v>4000000</v>
      </c>
      <c r="H12" s="38">
        <f t="shared" si="1"/>
        <v>44000000</v>
      </c>
      <c r="I12" s="34"/>
      <c r="J12" s="40"/>
      <c r="K12" s="34"/>
    </row>
    <row r="13" spans="1:11" ht="18" customHeight="1" x14ac:dyDescent="0.25">
      <c r="A13" s="34"/>
      <c r="B13" s="35" t="s">
        <v>519</v>
      </c>
      <c r="C13" s="36">
        <v>1</v>
      </c>
      <c r="D13" s="37">
        <v>1</v>
      </c>
      <c r="E13" s="36">
        <v>10</v>
      </c>
      <c r="F13" s="36">
        <f t="shared" si="0"/>
        <v>10</v>
      </c>
      <c r="G13" s="38">
        <v>4000000</v>
      </c>
      <c r="H13" s="38">
        <f t="shared" si="1"/>
        <v>40000000</v>
      </c>
      <c r="I13" s="34"/>
      <c r="J13" s="40"/>
      <c r="K13" s="34"/>
    </row>
    <row r="14" spans="1:11" ht="18" customHeight="1" x14ac:dyDescent="0.25">
      <c r="A14" s="34"/>
      <c r="B14" s="35" t="s">
        <v>520</v>
      </c>
      <c r="C14" s="36">
        <v>1</v>
      </c>
      <c r="D14" s="37">
        <v>1</v>
      </c>
      <c r="E14" s="36">
        <f>+E9</f>
        <v>12</v>
      </c>
      <c r="F14" s="36">
        <f t="shared" si="0"/>
        <v>12</v>
      </c>
      <c r="G14" s="38">
        <v>2500000</v>
      </c>
      <c r="H14" s="38">
        <f t="shared" si="1"/>
        <v>30000000</v>
      </c>
      <c r="I14" s="34"/>
      <c r="J14" s="40"/>
      <c r="K14" s="34"/>
    </row>
    <row r="15" spans="1:11" ht="18" customHeight="1" x14ac:dyDescent="0.25">
      <c r="A15" s="34"/>
      <c r="B15" s="35" t="s">
        <v>521</v>
      </c>
      <c r="C15" s="36">
        <v>1</v>
      </c>
      <c r="D15" s="37">
        <v>1</v>
      </c>
      <c r="E15" s="36">
        <f t="shared" ref="E15:E16" si="3">+E14</f>
        <v>12</v>
      </c>
      <c r="F15" s="36">
        <f t="shared" si="0"/>
        <v>12</v>
      </c>
      <c r="G15" s="38">
        <v>2500000</v>
      </c>
      <c r="H15" s="38">
        <f t="shared" si="1"/>
        <v>30000000</v>
      </c>
      <c r="I15" s="34"/>
      <c r="J15" s="40"/>
      <c r="K15" s="34"/>
    </row>
    <row r="16" spans="1:11" ht="18" customHeight="1" x14ac:dyDescent="0.25">
      <c r="A16" s="34"/>
      <c r="B16" s="35" t="s">
        <v>522</v>
      </c>
      <c r="C16" s="36">
        <v>2</v>
      </c>
      <c r="D16" s="37">
        <v>1</v>
      </c>
      <c r="E16" s="36">
        <f t="shared" si="3"/>
        <v>12</v>
      </c>
      <c r="F16" s="36">
        <f t="shared" si="0"/>
        <v>24</v>
      </c>
      <c r="G16" s="38">
        <v>2000000</v>
      </c>
      <c r="H16" s="38">
        <f t="shared" si="1"/>
        <v>48000000</v>
      </c>
      <c r="I16" s="34"/>
      <c r="J16" s="40"/>
      <c r="K16" s="34"/>
    </row>
    <row r="17" spans="1:11" ht="18" customHeight="1" x14ac:dyDescent="0.25">
      <c r="A17" s="34"/>
      <c r="B17" s="41" t="s">
        <v>523</v>
      </c>
      <c r="C17" s="36"/>
      <c r="D17" s="37"/>
      <c r="E17" s="36"/>
      <c r="F17" s="36"/>
      <c r="G17" s="38"/>
      <c r="H17" s="42"/>
      <c r="I17" s="34"/>
      <c r="J17" s="40"/>
      <c r="K17" s="34"/>
    </row>
    <row r="18" spans="1:11" ht="18" customHeight="1" x14ac:dyDescent="0.25">
      <c r="A18" s="34"/>
      <c r="B18" s="35" t="s">
        <v>524</v>
      </c>
      <c r="C18" s="36">
        <v>1</v>
      </c>
      <c r="D18" s="37">
        <v>0.25</v>
      </c>
      <c r="E18" s="36">
        <f>+E16</f>
        <v>12</v>
      </c>
      <c r="F18" s="36">
        <f t="shared" ref="F18:F22" si="4">+E18*D18*C18</f>
        <v>3</v>
      </c>
      <c r="G18" s="38">
        <v>2000000</v>
      </c>
      <c r="H18" s="38">
        <f t="shared" ref="H18:H22" si="5">+ROUND(G18*F18,0)</f>
        <v>6000000</v>
      </c>
      <c r="I18" s="34"/>
      <c r="J18" s="40"/>
      <c r="K18" s="34"/>
    </row>
    <row r="19" spans="1:11" ht="18" customHeight="1" x14ac:dyDescent="0.25">
      <c r="A19" s="34"/>
      <c r="B19" s="43" t="s">
        <v>525</v>
      </c>
      <c r="C19" s="36">
        <v>2</v>
      </c>
      <c r="D19" s="37">
        <v>1</v>
      </c>
      <c r="E19" s="36">
        <f t="shared" ref="E19:E22" si="6">+E18</f>
        <v>12</v>
      </c>
      <c r="F19" s="36">
        <f t="shared" si="4"/>
        <v>24</v>
      </c>
      <c r="G19" s="38">
        <v>1500000</v>
      </c>
      <c r="H19" s="38">
        <f t="shared" si="5"/>
        <v>36000000</v>
      </c>
      <c r="I19" s="34"/>
      <c r="J19" s="40"/>
      <c r="K19" s="34"/>
    </row>
    <row r="20" spans="1:11" ht="18" customHeight="1" x14ac:dyDescent="0.25">
      <c r="A20" s="34"/>
      <c r="B20" s="44" t="s">
        <v>526</v>
      </c>
      <c r="C20" s="36">
        <v>1</v>
      </c>
      <c r="D20" s="37">
        <v>1</v>
      </c>
      <c r="E20" s="36">
        <f t="shared" si="6"/>
        <v>12</v>
      </c>
      <c r="F20" s="36">
        <f t="shared" si="4"/>
        <v>12</v>
      </c>
      <c r="G20" s="38">
        <v>1100000</v>
      </c>
      <c r="H20" s="38">
        <f t="shared" si="5"/>
        <v>13200000</v>
      </c>
      <c r="I20" s="34"/>
      <c r="J20" s="40"/>
      <c r="K20" s="34"/>
    </row>
    <row r="21" spans="1:11" ht="18" customHeight="1" x14ac:dyDescent="0.25">
      <c r="A21" s="34"/>
      <c r="B21" s="34" t="s">
        <v>527</v>
      </c>
      <c r="C21" s="36">
        <v>2</v>
      </c>
      <c r="D21" s="37">
        <v>1</v>
      </c>
      <c r="E21" s="36">
        <f t="shared" si="6"/>
        <v>12</v>
      </c>
      <c r="F21" s="36">
        <f t="shared" si="4"/>
        <v>24</v>
      </c>
      <c r="G21" s="38">
        <v>1100000</v>
      </c>
      <c r="H21" s="38">
        <f t="shared" si="5"/>
        <v>26400000</v>
      </c>
      <c r="I21" s="34"/>
      <c r="J21" s="40"/>
      <c r="K21" s="34"/>
    </row>
    <row r="22" spans="1:11" ht="18" customHeight="1" x14ac:dyDescent="0.25">
      <c r="A22" s="34"/>
      <c r="B22" s="35" t="s">
        <v>528</v>
      </c>
      <c r="C22" s="36">
        <v>1</v>
      </c>
      <c r="D22" s="37">
        <v>1</v>
      </c>
      <c r="E22" s="36">
        <f t="shared" si="6"/>
        <v>12</v>
      </c>
      <c r="F22" s="36">
        <f t="shared" si="4"/>
        <v>12</v>
      </c>
      <c r="G22" s="38">
        <v>1400000</v>
      </c>
      <c r="H22" s="38">
        <f t="shared" si="5"/>
        <v>16800000</v>
      </c>
      <c r="I22" s="34"/>
      <c r="J22" s="40"/>
      <c r="K22" s="34"/>
    </row>
    <row r="23" spans="1:11" ht="20.25" customHeight="1" x14ac:dyDescent="0.25">
      <c r="A23" s="34"/>
      <c r="B23" s="45" t="s">
        <v>529</v>
      </c>
      <c r="C23" s="46"/>
      <c r="D23" s="46"/>
      <c r="E23" s="46"/>
      <c r="F23" s="46"/>
      <c r="G23" s="47"/>
      <c r="H23" s="48">
        <f>SUM(H8:H22)</f>
        <v>468400000</v>
      </c>
      <c r="I23" s="34"/>
      <c r="J23" s="40"/>
      <c r="K23" s="34"/>
    </row>
    <row r="24" spans="1:11" ht="13.5" customHeight="1" x14ac:dyDescent="0.25">
      <c r="A24" s="34"/>
      <c r="B24" s="49" t="s">
        <v>530</v>
      </c>
      <c r="C24" s="50"/>
      <c r="D24" s="50"/>
      <c r="E24" s="50"/>
      <c r="F24" s="50"/>
      <c r="G24" s="51"/>
      <c r="H24" s="52">
        <v>2.1</v>
      </c>
      <c r="I24" s="34"/>
      <c r="J24" s="40"/>
      <c r="K24" s="34"/>
    </row>
    <row r="25" spans="1:11" ht="19.5" customHeight="1" x14ac:dyDescent="0.25">
      <c r="A25" s="34"/>
      <c r="B25" s="53" t="s">
        <v>36</v>
      </c>
      <c r="C25" s="54"/>
      <c r="D25" s="54"/>
      <c r="E25" s="54"/>
      <c r="F25" s="54"/>
      <c r="G25" s="55"/>
      <c r="H25" s="56">
        <f>+ROUND(H23*H24,0)</f>
        <v>983640000</v>
      </c>
      <c r="I25" s="57"/>
      <c r="J25" s="40"/>
      <c r="K25" s="34"/>
    </row>
    <row r="26" spans="1:11" ht="13.5" customHeight="1" x14ac:dyDescent="0.3">
      <c r="A26" s="22"/>
      <c r="B26" s="58"/>
      <c r="C26" s="59"/>
      <c r="D26" s="59"/>
      <c r="E26" s="59"/>
      <c r="F26" s="59"/>
      <c r="G26" s="22"/>
      <c r="H26" s="60"/>
      <c r="I26" s="34"/>
      <c r="J26" s="40"/>
      <c r="K26" s="22"/>
    </row>
    <row r="27" spans="1:11" ht="13.5" customHeight="1" x14ac:dyDescent="0.3">
      <c r="A27" s="22"/>
      <c r="B27" s="22"/>
      <c r="C27" s="59"/>
      <c r="D27" s="59"/>
      <c r="E27" s="59"/>
      <c r="F27" s="59"/>
      <c r="G27" s="22"/>
      <c r="H27" s="60"/>
      <c r="I27" s="34"/>
      <c r="J27" s="40"/>
      <c r="K27" s="22"/>
    </row>
    <row r="28" spans="1:11" ht="28.5" customHeight="1" x14ac:dyDescent="0.25">
      <c r="A28" s="25"/>
      <c r="B28" s="26" t="s">
        <v>505</v>
      </c>
      <c r="C28" s="26" t="s">
        <v>506</v>
      </c>
      <c r="D28" s="27" t="s">
        <v>531</v>
      </c>
      <c r="E28" s="27" t="s">
        <v>532</v>
      </c>
      <c r="F28" s="27" t="s">
        <v>533</v>
      </c>
      <c r="G28" s="27" t="s">
        <v>510</v>
      </c>
      <c r="H28" s="61" t="s">
        <v>511</v>
      </c>
      <c r="I28" s="34"/>
      <c r="J28" s="40"/>
      <c r="K28" s="25"/>
    </row>
    <row r="29" spans="1:11" ht="17.25" customHeight="1" x14ac:dyDescent="0.25">
      <c r="A29" s="25"/>
      <c r="B29" s="62" t="s">
        <v>534</v>
      </c>
      <c r="C29" s="25"/>
      <c r="D29" s="33"/>
      <c r="E29" s="33"/>
      <c r="F29" s="33"/>
      <c r="G29" s="33"/>
      <c r="H29" s="63"/>
      <c r="I29" s="34"/>
      <c r="J29" s="40"/>
      <c r="K29" s="25"/>
    </row>
    <row r="30" spans="1:11" ht="38.25" customHeight="1" x14ac:dyDescent="0.25">
      <c r="A30" s="34"/>
      <c r="B30" s="64" t="s">
        <v>535</v>
      </c>
      <c r="C30" s="36">
        <v>2</v>
      </c>
      <c r="D30" s="36">
        <v>1</v>
      </c>
      <c r="E30" s="36">
        <f>+E22</f>
        <v>12</v>
      </c>
      <c r="F30" s="36">
        <f t="shared" ref="F30:F36" si="7">+E30*D30*C30</f>
        <v>24</v>
      </c>
      <c r="G30" s="38">
        <v>9000000</v>
      </c>
      <c r="H30" s="38">
        <f t="shared" ref="H30:H36" si="8">+ROUND(G30*F30,0)</f>
        <v>216000000</v>
      </c>
      <c r="I30" s="34"/>
      <c r="J30" s="40"/>
      <c r="K30" s="34"/>
    </row>
    <row r="31" spans="1:11" ht="42.75" customHeight="1" x14ac:dyDescent="0.25">
      <c r="A31" s="34"/>
      <c r="B31" s="65" t="s">
        <v>536</v>
      </c>
      <c r="C31" s="36">
        <v>1</v>
      </c>
      <c r="D31" s="36">
        <v>1</v>
      </c>
      <c r="E31" s="36">
        <v>2</v>
      </c>
      <c r="F31" s="36">
        <f t="shared" si="7"/>
        <v>2</v>
      </c>
      <c r="G31" s="38">
        <v>5000000</v>
      </c>
      <c r="H31" s="38">
        <f t="shared" si="8"/>
        <v>10000000</v>
      </c>
      <c r="I31" s="34"/>
      <c r="J31" s="40"/>
      <c r="K31" s="34"/>
    </row>
    <row r="32" spans="1:11" ht="32.25" customHeight="1" x14ac:dyDescent="0.25">
      <c r="A32" s="34"/>
      <c r="B32" s="65" t="s">
        <v>537</v>
      </c>
      <c r="C32" s="36">
        <v>1</v>
      </c>
      <c r="D32" s="36">
        <v>1</v>
      </c>
      <c r="E32" s="36">
        <v>9</v>
      </c>
      <c r="F32" s="36">
        <f t="shared" si="7"/>
        <v>9</v>
      </c>
      <c r="G32" s="38">
        <v>6000000</v>
      </c>
      <c r="H32" s="38">
        <f t="shared" si="8"/>
        <v>54000000</v>
      </c>
      <c r="I32" s="34"/>
      <c r="J32" s="40"/>
      <c r="K32" s="34"/>
    </row>
    <row r="33" spans="1:11" ht="18" customHeight="1" x14ac:dyDescent="0.25">
      <c r="A33" s="34"/>
      <c r="B33" s="35" t="s">
        <v>538</v>
      </c>
      <c r="C33" s="36">
        <f>+C21</f>
        <v>2</v>
      </c>
      <c r="D33" s="36">
        <v>1</v>
      </c>
      <c r="E33" s="36">
        <f t="shared" ref="E33:E36" si="9">+E30</f>
        <v>12</v>
      </c>
      <c r="F33" s="36">
        <f t="shared" si="7"/>
        <v>24</v>
      </c>
      <c r="G33" s="38">
        <v>2000000</v>
      </c>
      <c r="H33" s="38">
        <f t="shared" si="8"/>
        <v>48000000</v>
      </c>
      <c r="I33" s="34"/>
      <c r="J33" s="40"/>
      <c r="K33" s="34"/>
    </row>
    <row r="34" spans="1:11" ht="18" customHeight="1" x14ac:dyDescent="0.25">
      <c r="A34" s="34"/>
      <c r="B34" s="66" t="s">
        <v>539</v>
      </c>
      <c r="C34" s="36">
        <f>+SUM(C8:C22)-C18</f>
        <v>16</v>
      </c>
      <c r="D34" s="36">
        <v>1</v>
      </c>
      <c r="E34" s="36">
        <f t="shared" si="9"/>
        <v>2</v>
      </c>
      <c r="F34" s="36">
        <f t="shared" si="7"/>
        <v>32</v>
      </c>
      <c r="G34" s="38">
        <v>70000</v>
      </c>
      <c r="H34" s="38">
        <f t="shared" si="8"/>
        <v>2240000</v>
      </c>
      <c r="I34" s="39"/>
      <c r="J34" s="40"/>
      <c r="K34" s="34"/>
    </row>
    <row r="35" spans="1:11" ht="18" customHeight="1" x14ac:dyDescent="0.25">
      <c r="A35" s="34"/>
      <c r="B35" s="66" t="s">
        <v>540</v>
      </c>
      <c r="C35" s="36">
        <v>1</v>
      </c>
      <c r="D35" s="36">
        <v>1</v>
      </c>
      <c r="E35" s="36">
        <f t="shared" si="9"/>
        <v>9</v>
      </c>
      <c r="F35" s="36">
        <f t="shared" si="7"/>
        <v>9</v>
      </c>
      <c r="G35" s="38">
        <v>2500000</v>
      </c>
      <c r="H35" s="38">
        <f t="shared" si="8"/>
        <v>22500000</v>
      </c>
      <c r="I35" s="34"/>
      <c r="J35" s="40"/>
      <c r="K35" s="34"/>
    </row>
    <row r="36" spans="1:11" ht="18" customHeight="1" x14ac:dyDescent="0.25">
      <c r="A36" s="34"/>
      <c r="B36" s="66" t="s">
        <v>541</v>
      </c>
      <c r="C36" s="36">
        <v>2</v>
      </c>
      <c r="D36" s="36">
        <v>1</v>
      </c>
      <c r="E36" s="36">
        <f t="shared" si="9"/>
        <v>12</v>
      </c>
      <c r="F36" s="36">
        <f t="shared" si="7"/>
        <v>24</v>
      </c>
      <c r="G36" s="38">
        <v>3500000</v>
      </c>
      <c r="H36" s="38">
        <f t="shared" si="8"/>
        <v>84000000</v>
      </c>
      <c r="I36" s="34"/>
      <c r="J36" s="40"/>
      <c r="K36" s="34"/>
    </row>
    <row r="37" spans="1:11" ht="18" customHeight="1" x14ac:dyDescent="0.25">
      <c r="A37" s="34"/>
      <c r="B37" s="66" t="s">
        <v>542</v>
      </c>
      <c r="C37" s="36" t="s">
        <v>543</v>
      </c>
      <c r="D37" s="36"/>
      <c r="E37" s="36"/>
      <c r="F37" s="36"/>
      <c r="G37" s="38"/>
      <c r="H37" s="38">
        <v>8000000</v>
      </c>
      <c r="I37" s="34"/>
      <c r="J37" s="40"/>
      <c r="K37" s="34"/>
    </row>
    <row r="38" spans="1:11" ht="13.5" customHeight="1" x14ac:dyDescent="0.25">
      <c r="A38" s="34"/>
      <c r="B38" s="67" t="s">
        <v>544</v>
      </c>
      <c r="C38" s="36">
        <v>1</v>
      </c>
      <c r="D38" s="36">
        <v>1</v>
      </c>
      <c r="E38" s="36">
        <f>+E36</f>
        <v>12</v>
      </c>
      <c r="F38" s="36">
        <f>+E38*D38*C38</f>
        <v>12</v>
      </c>
      <c r="G38" s="38">
        <v>1200000</v>
      </c>
      <c r="H38" s="38">
        <f>+ROUND(G38*F38,0)</f>
        <v>14400000</v>
      </c>
      <c r="I38" s="34"/>
      <c r="J38" s="34"/>
      <c r="K38" s="34"/>
    </row>
    <row r="39" spans="1:11" ht="21.75" customHeight="1" x14ac:dyDescent="0.25">
      <c r="A39" s="34"/>
      <c r="B39" s="53" t="s">
        <v>40</v>
      </c>
      <c r="C39" s="55"/>
      <c r="D39" s="55"/>
      <c r="E39" s="55"/>
      <c r="F39" s="55"/>
      <c r="G39" s="55"/>
      <c r="H39" s="68">
        <f>SUM(H30:H38)</f>
        <v>459140000</v>
      </c>
      <c r="I39" s="57"/>
      <c r="J39" s="34"/>
      <c r="K39" s="34"/>
    </row>
    <row r="40" spans="1:11" ht="13.5" customHeight="1" x14ac:dyDescent="0.3">
      <c r="A40" s="22"/>
      <c r="B40" s="22"/>
      <c r="C40" s="22"/>
      <c r="D40" s="22"/>
      <c r="E40" s="22"/>
      <c r="F40" s="22"/>
      <c r="G40" s="22"/>
      <c r="H40" s="60"/>
      <c r="I40" s="22"/>
      <c r="J40" s="22"/>
      <c r="K40" s="22"/>
    </row>
    <row r="41" spans="1:11" ht="13.5" customHeight="1" x14ac:dyDescent="0.25">
      <c r="A41" s="34"/>
      <c r="B41" s="69" t="s">
        <v>545</v>
      </c>
      <c r="C41" s="47"/>
      <c r="D41" s="47"/>
      <c r="E41" s="47"/>
      <c r="F41" s="47"/>
      <c r="G41" s="47"/>
      <c r="H41" s="70">
        <f>+H39+H25</f>
        <v>1442780000</v>
      </c>
      <c r="I41" s="71"/>
      <c r="J41" s="34"/>
      <c r="K41" s="34"/>
    </row>
    <row r="42" spans="1:11" ht="13.5" customHeight="1" x14ac:dyDescent="0.25">
      <c r="A42" s="34"/>
      <c r="B42" s="72" t="s">
        <v>546</v>
      </c>
      <c r="C42" s="51"/>
      <c r="D42" s="51"/>
      <c r="E42" s="51"/>
      <c r="F42" s="51"/>
      <c r="G42" s="73">
        <v>0.19</v>
      </c>
      <c r="H42" s="74">
        <f>+ROUND(H41*G42,0)</f>
        <v>274128200</v>
      </c>
      <c r="I42" s="40"/>
      <c r="J42" s="34"/>
      <c r="K42" s="34"/>
    </row>
    <row r="43" spans="1:11" ht="25.5" customHeight="1" x14ac:dyDescent="0.25">
      <c r="A43" s="34"/>
      <c r="B43" s="75" t="s">
        <v>547</v>
      </c>
      <c r="C43" s="55"/>
      <c r="D43" s="55"/>
      <c r="E43" s="55"/>
      <c r="F43" s="55"/>
      <c r="G43" s="55"/>
      <c r="H43" s="68">
        <f>SUM(H41:H42)</f>
        <v>1716908200</v>
      </c>
      <c r="I43" s="40"/>
      <c r="J43" s="76"/>
      <c r="K43" s="34"/>
    </row>
    <row r="44" spans="1:11" ht="13.5" customHeight="1" x14ac:dyDescent="0.3">
      <c r="A44" s="22"/>
      <c r="B44" s="22"/>
      <c r="C44" s="22"/>
      <c r="D44" s="22"/>
      <c r="E44" s="22"/>
      <c r="F44" s="22"/>
      <c r="G44" s="22"/>
      <c r="H44" s="22"/>
      <c r="I44" s="22"/>
      <c r="J44" s="22"/>
      <c r="K44" s="22"/>
    </row>
    <row r="45" spans="1:11" ht="13.5" customHeight="1" x14ac:dyDescent="0.3">
      <c r="A45" s="22"/>
      <c r="B45" s="22"/>
      <c r="C45" s="22"/>
      <c r="D45" s="22"/>
      <c r="E45" s="22"/>
      <c r="F45" s="77"/>
      <c r="G45" s="78"/>
      <c r="H45" s="78"/>
      <c r="I45" s="22"/>
      <c r="J45" s="22"/>
      <c r="K45" s="22"/>
    </row>
    <row r="46" spans="1:11" ht="13.5" customHeight="1" x14ac:dyDescent="0.3">
      <c r="A46" s="22"/>
      <c r="B46" s="22"/>
      <c r="C46" s="22"/>
      <c r="D46" s="22"/>
      <c r="E46" s="22"/>
      <c r="F46" s="79"/>
      <c r="G46" s="78"/>
      <c r="H46" s="78"/>
      <c r="I46" s="22"/>
      <c r="J46" s="22"/>
      <c r="K46" s="22"/>
    </row>
    <row r="47" spans="1:11" ht="13.5" customHeight="1" x14ac:dyDescent="0.3">
      <c r="A47" s="22"/>
      <c r="B47" s="22"/>
      <c r="C47" s="22"/>
      <c r="D47" s="22"/>
      <c r="E47" s="22"/>
      <c r="F47" s="77"/>
      <c r="G47" s="78"/>
      <c r="H47" s="78"/>
      <c r="I47" s="22"/>
      <c r="J47" s="22"/>
      <c r="K47" s="22"/>
    </row>
    <row r="48" spans="1:11" ht="13.5" customHeight="1" x14ac:dyDescent="0.3">
      <c r="A48" s="22"/>
      <c r="B48" s="22"/>
      <c r="C48" s="22"/>
      <c r="D48" s="22"/>
      <c r="E48" s="22"/>
      <c r="F48" s="34"/>
      <c r="G48" s="39"/>
      <c r="H48" s="34"/>
      <c r="I48" s="22"/>
      <c r="J48" s="22"/>
      <c r="K48" s="22"/>
    </row>
    <row r="49" spans="1:11" ht="13.5" customHeight="1" x14ac:dyDescent="0.3">
      <c r="A49" s="22"/>
      <c r="B49" s="22"/>
      <c r="C49" s="22"/>
      <c r="D49" s="22"/>
      <c r="E49" s="22"/>
      <c r="F49" s="22"/>
      <c r="G49" s="22"/>
      <c r="H49" s="22"/>
      <c r="I49" s="22"/>
      <c r="J49" s="22"/>
      <c r="K49" s="22"/>
    </row>
    <row r="50" spans="1:11" ht="13.5" customHeight="1" x14ac:dyDescent="0.3">
      <c r="A50" s="22"/>
      <c r="B50" s="22"/>
      <c r="C50" s="22"/>
      <c r="D50" s="22"/>
      <c r="E50" s="22"/>
      <c r="F50" s="22"/>
      <c r="G50" s="80"/>
      <c r="H50" s="22"/>
      <c r="I50" s="22"/>
      <c r="J50" s="22"/>
      <c r="K50" s="22"/>
    </row>
    <row r="51" spans="1:11" ht="13.5" customHeight="1" x14ac:dyDescent="0.3">
      <c r="A51" s="22"/>
      <c r="B51" s="22"/>
      <c r="C51" s="22"/>
      <c r="D51" s="22"/>
      <c r="E51" s="22"/>
      <c r="F51" s="22"/>
      <c r="G51" s="22"/>
      <c r="H51" s="22"/>
      <c r="I51" s="22"/>
      <c r="J51" s="22"/>
      <c r="K51" s="22"/>
    </row>
    <row r="52" spans="1:11" ht="13.5" customHeight="1" x14ac:dyDescent="0.3">
      <c r="A52" s="22"/>
      <c r="B52" s="22"/>
      <c r="C52" s="22"/>
      <c r="D52" s="22"/>
      <c r="E52" s="22"/>
      <c r="F52" s="22"/>
      <c r="G52" s="22"/>
      <c r="H52" s="22"/>
      <c r="I52" s="22"/>
      <c r="J52" s="22"/>
      <c r="K52" s="22"/>
    </row>
    <row r="53" spans="1:11" ht="13.5" customHeight="1" x14ac:dyDescent="0.3">
      <c r="A53" s="22"/>
      <c r="B53" s="22"/>
      <c r="C53" s="22"/>
      <c r="D53" s="22"/>
      <c r="E53" s="22"/>
      <c r="F53" s="22"/>
      <c r="G53" s="22"/>
      <c r="H53" s="22"/>
      <c r="I53" s="22"/>
      <c r="J53" s="22"/>
      <c r="K53" s="22"/>
    </row>
    <row r="54" spans="1:11" ht="13.5" customHeight="1" x14ac:dyDescent="0.3">
      <c r="A54" s="22"/>
      <c r="B54" s="22"/>
      <c r="C54" s="22"/>
      <c r="D54" s="22"/>
      <c r="E54" s="22"/>
      <c r="F54" s="22"/>
      <c r="G54" s="22"/>
      <c r="H54" s="22"/>
      <c r="I54" s="22"/>
      <c r="J54" s="22"/>
      <c r="K54" s="22"/>
    </row>
    <row r="55" spans="1:11" ht="13.5" customHeight="1" x14ac:dyDescent="0.3">
      <c r="A55" s="22"/>
      <c r="B55" s="22"/>
      <c r="C55" s="22"/>
      <c r="D55" s="22"/>
      <c r="E55" s="22"/>
      <c r="F55" s="22"/>
      <c r="G55" s="22"/>
      <c r="H55" s="22"/>
      <c r="I55" s="22"/>
      <c r="J55" s="22"/>
      <c r="K55" s="22"/>
    </row>
    <row r="56" spans="1:11" ht="13.5" customHeight="1" x14ac:dyDescent="0.3">
      <c r="A56" s="22"/>
      <c r="B56" s="22"/>
      <c r="C56" s="22"/>
      <c r="D56" s="22"/>
      <c r="E56" s="22"/>
      <c r="F56" s="22"/>
      <c r="G56" s="22"/>
      <c r="H56" s="22"/>
      <c r="I56" s="22"/>
      <c r="J56" s="22"/>
      <c r="K56" s="22"/>
    </row>
    <row r="57" spans="1:11" ht="13.5" customHeight="1" x14ac:dyDescent="0.3">
      <c r="A57" s="22"/>
      <c r="B57" s="22"/>
      <c r="C57" s="22"/>
      <c r="D57" s="22"/>
      <c r="E57" s="22"/>
      <c r="F57" s="22"/>
      <c r="G57" s="22"/>
      <c r="H57" s="22"/>
      <c r="I57" s="22"/>
      <c r="J57" s="22"/>
      <c r="K57" s="22"/>
    </row>
    <row r="58" spans="1:11" ht="13.5" customHeight="1" x14ac:dyDescent="0.3">
      <c r="A58" s="22"/>
      <c r="B58" s="22"/>
      <c r="C58" s="22"/>
      <c r="D58" s="22"/>
      <c r="E58" s="22"/>
      <c r="F58" s="22"/>
      <c r="G58" s="22"/>
      <c r="H58" s="22"/>
      <c r="I58" s="22"/>
      <c r="J58" s="22"/>
      <c r="K58" s="22"/>
    </row>
    <row r="59" spans="1:11" ht="13.5" customHeight="1" x14ac:dyDescent="0.3">
      <c r="A59" s="22"/>
      <c r="B59" s="22"/>
      <c r="C59" s="22"/>
      <c r="D59" s="22"/>
      <c r="E59" s="22"/>
      <c r="F59" s="22"/>
      <c r="G59" s="22"/>
      <c r="H59" s="22"/>
      <c r="I59" s="22"/>
      <c r="J59" s="22"/>
      <c r="K59" s="22"/>
    </row>
    <row r="60" spans="1:11" ht="13.5" customHeight="1" x14ac:dyDescent="0.3">
      <c r="A60" s="22"/>
      <c r="B60" s="22"/>
      <c r="C60" s="22"/>
      <c r="D60" s="22"/>
      <c r="E60" s="22"/>
      <c r="F60" s="22"/>
      <c r="G60" s="22"/>
      <c r="H60" s="22"/>
      <c r="I60" s="22"/>
      <c r="J60" s="22"/>
      <c r="K60" s="22"/>
    </row>
    <row r="61" spans="1:11" ht="13.5" customHeight="1" x14ac:dyDescent="0.3">
      <c r="A61" s="22"/>
      <c r="B61" s="22"/>
      <c r="C61" s="22"/>
      <c r="D61" s="22"/>
      <c r="E61" s="22"/>
      <c r="F61" s="22"/>
      <c r="G61" s="22"/>
      <c r="H61" s="22"/>
      <c r="I61" s="22"/>
      <c r="J61" s="22"/>
      <c r="K61" s="22"/>
    </row>
    <row r="62" spans="1:11" ht="13.5" customHeight="1" x14ac:dyDescent="0.3">
      <c r="A62" s="22"/>
      <c r="B62" s="22"/>
      <c r="C62" s="22"/>
      <c r="D62" s="22"/>
      <c r="E62" s="22"/>
      <c r="F62" s="22"/>
      <c r="G62" s="22"/>
      <c r="H62" s="22"/>
      <c r="I62" s="22"/>
      <c r="J62" s="22"/>
      <c r="K62" s="22"/>
    </row>
    <row r="63" spans="1:11" ht="13.5" customHeight="1" x14ac:dyDescent="0.3">
      <c r="A63" s="22"/>
      <c r="B63" s="22"/>
      <c r="C63" s="22"/>
      <c r="D63" s="22"/>
      <c r="E63" s="22"/>
      <c r="F63" s="22"/>
      <c r="G63" s="22"/>
      <c r="H63" s="22"/>
      <c r="I63" s="22"/>
      <c r="J63" s="22"/>
      <c r="K63" s="22"/>
    </row>
    <row r="64" spans="1:11" ht="13.5" customHeight="1" x14ac:dyDescent="0.3">
      <c r="A64" s="22"/>
      <c r="B64" s="22"/>
      <c r="C64" s="22"/>
      <c r="D64" s="22"/>
      <c r="E64" s="22"/>
      <c r="F64" s="22"/>
      <c r="G64" s="22"/>
      <c r="H64" s="22"/>
      <c r="I64" s="22"/>
      <c r="J64" s="22"/>
      <c r="K64" s="22"/>
    </row>
    <row r="65" spans="1:11" ht="13.5" customHeight="1" x14ac:dyDescent="0.3">
      <c r="A65" s="22"/>
      <c r="B65" s="22"/>
      <c r="C65" s="22"/>
      <c r="D65" s="22"/>
      <c r="E65" s="22"/>
      <c r="F65" s="22"/>
      <c r="G65" s="22"/>
      <c r="H65" s="22"/>
      <c r="I65" s="22"/>
      <c r="J65" s="22"/>
      <c r="K65" s="22"/>
    </row>
    <row r="66" spans="1:11" ht="13.5" customHeight="1" x14ac:dyDescent="0.3">
      <c r="A66" s="22"/>
      <c r="B66" s="22"/>
      <c r="C66" s="22"/>
      <c r="D66" s="22"/>
      <c r="E66" s="22"/>
      <c r="F66" s="22"/>
      <c r="G66" s="22"/>
      <c r="H66" s="22"/>
      <c r="I66" s="22"/>
      <c r="J66" s="22"/>
      <c r="K66" s="22"/>
    </row>
    <row r="67" spans="1:11" ht="13.5" customHeight="1" x14ac:dyDescent="0.3">
      <c r="A67" s="22"/>
      <c r="B67" s="22"/>
      <c r="C67" s="22"/>
      <c r="D67" s="22"/>
      <c r="E67" s="22"/>
      <c r="F67" s="22"/>
      <c r="G67" s="22"/>
      <c r="H67" s="22"/>
      <c r="I67" s="22"/>
      <c r="J67" s="22"/>
      <c r="K67" s="22"/>
    </row>
    <row r="68" spans="1:11" ht="13.5" customHeight="1" x14ac:dyDescent="0.3">
      <c r="A68" s="22"/>
      <c r="B68" s="22"/>
      <c r="C68" s="22"/>
      <c r="D68" s="22"/>
      <c r="E68" s="22"/>
      <c r="F68" s="22"/>
      <c r="G68" s="22"/>
      <c r="H68" s="22"/>
      <c r="I68" s="22"/>
      <c r="J68" s="22"/>
      <c r="K68" s="22"/>
    </row>
    <row r="69" spans="1:11" ht="13.5" customHeight="1" x14ac:dyDescent="0.3">
      <c r="A69" s="22"/>
      <c r="B69" s="22"/>
      <c r="C69" s="22"/>
      <c r="D69" s="22"/>
      <c r="E69" s="22"/>
      <c r="F69" s="22"/>
      <c r="G69" s="22"/>
      <c r="H69" s="22"/>
      <c r="I69" s="22"/>
      <c r="J69" s="22"/>
      <c r="K69" s="22"/>
    </row>
    <row r="70" spans="1:11" ht="13.5" customHeight="1" x14ac:dyDescent="0.3">
      <c r="A70" s="22"/>
      <c r="B70" s="22"/>
      <c r="C70" s="22"/>
      <c r="D70" s="22"/>
      <c r="E70" s="22"/>
      <c r="F70" s="22"/>
      <c r="G70" s="22"/>
      <c r="H70" s="22"/>
      <c r="I70" s="22"/>
      <c r="J70" s="22"/>
      <c r="K70" s="22"/>
    </row>
    <row r="71" spans="1:11" ht="13.5" customHeight="1" x14ac:dyDescent="0.3">
      <c r="A71" s="22"/>
      <c r="B71" s="22"/>
      <c r="C71" s="22"/>
      <c r="D71" s="22"/>
      <c r="E71" s="22"/>
      <c r="F71" s="22"/>
      <c r="G71" s="22"/>
      <c r="H71" s="22"/>
      <c r="I71" s="22"/>
      <c r="J71" s="22"/>
      <c r="K71" s="22"/>
    </row>
    <row r="72" spans="1:11" ht="13.5" customHeight="1" x14ac:dyDescent="0.3">
      <c r="A72" s="22"/>
      <c r="B72" s="22"/>
      <c r="C72" s="22"/>
      <c r="D72" s="22"/>
      <c r="E72" s="22"/>
      <c r="F72" s="22"/>
      <c r="G72" s="22"/>
      <c r="H72" s="22"/>
      <c r="I72" s="22"/>
      <c r="J72" s="22"/>
      <c r="K72" s="22"/>
    </row>
    <row r="73" spans="1:11" ht="13.5" customHeight="1" x14ac:dyDescent="0.3">
      <c r="A73" s="22"/>
      <c r="B73" s="22"/>
      <c r="C73" s="22"/>
      <c r="D73" s="22"/>
      <c r="E73" s="22"/>
      <c r="F73" s="22"/>
      <c r="G73" s="22"/>
      <c r="H73" s="22"/>
      <c r="I73" s="22"/>
      <c r="J73" s="22"/>
      <c r="K73" s="22"/>
    </row>
    <row r="74" spans="1:11" ht="13.5" customHeight="1" x14ac:dyDescent="0.3">
      <c r="A74" s="22"/>
      <c r="B74" s="22"/>
      <c r="C74" s="22"/>
      <c r="D74" s="22"/>
      <c r="E74" s="22"/>
      <c r="F74" s="22"/>
      <c r="G74" s="22"/>
      <c r="H74" s="22"/>
      <c r="I74" s="22"/>
      <c r="J74" s="22"/>
      <c r="K74" s="22"/>
    </row>
    <row r="75" spans="1:11" ht="13.5" customHeight="1" x14ac:dyDescent="0.3">
      <c r="A75" s="22"/>
      <c r="B75" s="22"/>
      <c r="C75" s="22"/>
      <c r="D75" s="22"/>
      <c r="E75" s="22"/>
      <c r="F75" s="22"/>
      <c r="G75" s="22"/>
      <c r="H75" s="22"/>
      <c r="I75" s="22"/>
      <c r="J75" s="22"/>
      <c r="K75" s="22"/>
    </row>
    <row r="76" spans="1:11" ht="13.5" customHeight="1" x14ac:dyDescent="0.3">
      <c r="A76" s="22"/>
      <c r="B76" s="22"/>
      <c r="C76" s="22"/>
      <c r="D76" s="22"/>
      <c r="E76" s="22"/>
      <c r="F76" s="22"/>
      <c r="G76" s="22"/>
      <c r="H76" s="22"/>
      <c r="I76" s="22"/>
      <c r="J76" s="22"/>
      <c r="K76" s="22"/>
    </row>
    <row r="77" spans="1:11" ht="13.5" customHeight="1" x14ac:dyDescent="0.3">
      <c r="A77" s="22"/>
      <c r="B77" s="22"/>
      <c r="C77" s="22"/>
      <c r="D77" s="22"/>
      <c r="E77" s="22"/>
      <c r="F77" s="22"/>
      <c r="G77" s="22"/>
      <c r="H77" s="22"/>
      <c r="I77" s="22"/>
      <c r="J77" s="22"/>
      <c r="K77" s="22"/>
    </row>
    <row r="78" spans="1:11" ht="13.5" customHeight="1" x14ac:dyDescent="0.3">
      <c r="A78" s="22"/>
      <c r="B78" s="22"/>
      <c r="C78" s="22"/>
      <c r="D78" s="22"/>
      <c r="E78" s="22"/>
      <c r="F78" s="22"/>
      <c r="G78" s="22"/>
      <c r="H78" s="22"/>
      <c r="I78" s="22"/>
      <c r="J78" s="22"/>
      <c r="K78" s="22"/>
    </row>
    <row r="79" spans="1:11" ht="13.5" customHeight="1" x14ac:dyDescent="0.3">
      <c r="A79" s="22"/>
      <c r="B79" s="22"/>
      <c r="C79" s="22"/>
      <c r="D79" s="22"/>
      <c r="E79" s="22"/>
      <c r="F79" s="22"/>
      <c r="G79" s="22"/>
      <c r="H79" s="22"/>
      <c r="I79" s="22"/>
      <c r="J79" s="22"/>
      <c r="K79" s="22"/>
    </row>
    <row r="80" spans="1:11" ht="13.5" customHeight="1" x14ac:dyDescent="0.3">
      <c r="A80" s="22"/>
      <c r="B80" s="22"/>
      <c r="C80" s="22"/>
      <c r="D80" s="22"/>
      <c r="E80" s="22"/>
      <c r="F80" s="22"/>
      <c r="G80" s="22"/>
      <c r="H80" s="22"/>
      <c r="I80" s="22"/>
      <c r="J80" s="22"/>
      <c r="K80" s="22"/>
    </row>
    <row r="81" spans="1:11" ht="13.5" customHeight="1" x14ac:dyDescent="0.3">
      <c r="A81" s="22"/>
      <c r="B81" s="22"/>
      <c r="C81" s="22"/>
      <c r="D81" s="22"/>
      <c r="E81" s="22"/>
      <c r="F81" s="22"/>
      <c r="G81" s="22"/>
      <c r="H81" s="22"/>
      <c r="I81" s="22"/>
      <c r="J81" s="22"/>
      <c r="K81" s="22"/>
    </row>
    <row r="82" spans="1:11" ht="13.5" customHeight="1" x14ac:dyDescent="0.3">
      <c r="A82" s="22"/>
      <c r="B82" s="22"/>
      <c r="C82" s="22"/>
      <c r="D82" s="22"/>
      <c r="E82" s="22"/>
      <c r="F82" s="22"/>
      <c r="G82" s="22"/>
      <c r="H82" s="22"/>
      <c r="I82" s="22"/>
      <c r="J82" s="22"/>
      <c r="K82" s="22"/>
    </row>
    <row r="83" spans="1:11" ht="13.5" customHeight="1" x14ac:dyDescent="0.3">
      <c r="A83" s="22"/>
      <c r="B83" s="22"/>
      <c r="C83" s="22"/>
      <c r="D83" s="22"/>
      <c r="E83" s="22"/>
      <c r="F83" s="22"/>
      <c r="G83" s="22"/>
      <c r="H83" s="22"/>
      <c r="I83" s="22"/>
      <c r="J83" s="22"/>
      <c r="K83" s="22"/>
    </row>
    <row r="84" spans="1:11" ht="13.5" customHeight="1" x14ac:dyDescent="0.3">
      <c r="A84" s="22"/>
      <c r="B84" s="22"/>
      <c r="C84" s="22"/>
      <c r="D84" s="22"/>
      <c r="E84" s="22"/>
      <c r="F84" s="22"/>
      <c r="G84" s="22"/>
      <c r="H84" s="22"/>
      <c r="I84" s="22"/>
      <c r="J84" s="22"/>
      <c r="K84" s="22"/>
    </row>
    <row r="85" spans="1:11" ht="13.5" customHeight="1" x14ac:dyDescent="0.3">
      <c r="A85" s="22"/>
      <c r="B85" s="22"/>
      <c r="C85" s="22"/>
      <c r="D85" s="22"/>
      <c r="E85" s="22"/>
      <c r="F85" s="22"/>
      <c r="G85" s="22"/>
      <c r="H85" s="22"/>
      <c r="I85" s="22"/>
      <c r="J85" s="22"/>
      <c r="K85" s="22"/>
    </row>
    <row r="86" spans="1:11" ht="13.5" customHeight="1" x14ac:dyDescent="0.3">
      <c r="A86" s="22"/>
      <c r="B86" s="22"/>
      <c r="C86" s="22"/>
      <c r="D86" s="22"/>
      <c r="E86" s="22"/>
      <c r="F86" s="22"/>
      <c r="G86" s="22"/>
      <c r="H86" s="22"/>
      <c r="I86" s="22"/>
      <c r="J86" s="22"/>
      <c r="K86" s="22"/>
    </row>
    <row r="87" spans="1:11" ht="13.5" customHeight="1" x14ac:dyDescent="0.3">
      <c r="A87" s="22"/>
      <c r="B87" s="22"/>
      <c r="C87" s="22"/>
      <c r="D87" s="22"/>
      <c r="E87" s="22"/>
      <c r="F87" s="22"/>
      <c r="G87" s="22"/>
      <c r="H87" s="22"/>
      <c r="I87" s="22"/>
      <c r="J87" s="22"/>
      <c r="K87" s="22"/>
    </row>
    <row r="88" spans="1:11" ht="13.5" customHeight="1" x14ac:dyDescent="0.3">
      <c r="A88" s="22"/>
      <c r="B88" s="22"/>
      <c r="C88" s="22"/>
      <c r="D88" s="22"/>
      <c r="E88" s="22"/>
      <c r="F88" s="22"/>
      <c r="G88" s="22"/>
      <c r="H88" s="22"/>
      <c r="I88" s="22"/>
      <c r="J88" s="22"/>
      <c r="K88" s="22"/>
    </row>
    <row r="89" spans="1:11" ht="13.5" customHeight="1" x14ac:dyDescent="0.3">
      <c r="A89" s="22"/>
      <c r="B89" s="22"/>
      <c r="C89" s="22"/>
      <c r="D89" s="22"/>
      <c r="E89" s="22"/>
      <c r="F89" s="22"/>
      <c r="G89" s="22"/>
      <c r="H89" s="22"/>
      <c r="I89" s="22"/>
      <c r="J89" s="22"/>
      <c r="K89" s="22"/>
    </row>
    <row r="90" spans="1:11" ht="13.5" customHeight="1" x14ac:dyDescent="0.3">
      <c r="A90" s="22"/>
      <c r="B90" s="22"/>
      <c r="C90" s="22"/>
      <c r="D90" s="22"/>
      <c r="E90" s="22"/>
      <c r="F90" s="22"/>
      <c r="G90" s="22"/>
      <c r="H90" s="22"/>
      <c r="I90" s="22"/>
      <c r="J90" s="22"/>
      <c r="K90" s="22"/>
    </row>
    <row r="91" spans="1:11" ht="13.5" customHeight="1" x14ac:dyDescent="0.3">
      <c r="A91" s="22"/>
      <c r="B91" s="22"/>
      <c r="C91" s="22"/>
      <c r="D91" s="22"/>
      <c r="E91" s="22"/>
      <c r="F91" s="22"/>
      <c r="G91" s="22"/>
      <c r="H91" s="22"/>
      <c r="I91" s="22"/>
      <c r="J91" s="22"/>
      <c r="K91" s="22"/>
    </row>
    <row r="92" spans="1:11" ht="13.5" customHeight="1" x14ac:dyDescent="0.3">
      <c r="A92" s="22"/>
      <c r="B92" s="22"/>
      <c r="C92" s="22"/>
      <c r="D92" s="22"/>
      <c r="E92" s="22"/>
      <c r="F92" s="22"/>
      <c r="G92" s="22"/>
      <c r="H92" s="22"/>
      <c r="I92" s="22"/>
      <c r="J92" s="22"/>
      <c r="K92" s="22"/>
    </row>
    <row r="93" spans="1:11" ht="13.5" customHeight="1" x14ac:dyDescent="0.3">
      <c r="A93" s="22"/>
      <c r="B93" s="22"/>
      <c r="C93" s="22"/>
      <c r="D93" s="22"/>
      <c r="E93" s="22"/>
      <c r="F93" s="22"/>
      <c r="G93" s="22"/>
      <c r="H93" s="22"/>
      <c r="I93" s="22"/>
      <c r="J93" s="22"/>
      <c r="K93" s="22"/>
    </row>
    <row r="94" spans="1:11" ht="13.5" customHeight="1" x14ac:dyDescent="0.3">
      <c r="A94" s="22"/>
      <c r="B94" s="22"/>
      <c r="C94" s="22"/>
      <c r="D94" s="22"/>
      <c r="E94" s="22"/>
      <c r="F94" s="22"/>
      <c r="G94" s="22"/>
      <c r="H94" s="22"/>
      <c r="I94" s="22"/>
      <c r="J94" s="22"/>
      <c r="K94" s="22"/>
    </row>
    <row r="95" spans="1:11" ht="13.5" customHeight="1" x14ac:dyDescent="0.3">
      <c r="A95" s="22"/>
      <c r="B95" s="22"/>
      <c r="C95" s="22"/>
      <c r="D95" s="22"/>
      <c r="E95" s="22"/>
      <c r="F95" s="22"/>
      <c r="G95" s="22"/>
      <c r="H95" s="22"/>
      <c r="I95" s="22"/>
      <c r="J95" s="22"/>
      <c r="K95" s="22"/>
    </row>
    <row r="96" spans="1:11" ht="13.5" customHeight="1" x14ac:dyDescent="0.3">
      <c r="A96" s="22"/>
      <c r="B96" s="22"/>
      <c r="C96" s="22"/>
      <c r="D96" s="22"/>
      <c r="E96" s="22"/>
      <c r="F96" s="22"/>
      <c r="G96" s="22"/>
      <c r="H96" s="22"/>
      <c r="I96" s="22"/>
      <c r="J96" s="22"/>
      <c r="K96" s="22"/>
    </row>
    <row r="97" spans="1:11" ht="13.5" customHeight="1" x14ac:dyDescent="0.3">
      <c r="A97" s="22"/>
      <c r="B97" s="22"/>
      <c r="C97" s="22"/>
      <c r="D97" s="22"/>
      <c r="E97" s="22"/>
      <c r="F97" s="22"/>
      <c r="G97" s="22"/>
      <c r="H97" s="22"/>
      <c r="I97" s="22"/>
      <c r="J97" s="22"/>
      <c r="K97" s="22"/>
    </row>
    <row r="98" spans="1:11" ht="13.5" customHeight="1" x14ac:dyDescent="0.3">
      <c r="A98" s="22"/>
      <c r="B98" s="22"/>
      <c r="C98" s="22"/>
      <c r="D98" s="22"/>
      <c r="E98" s="22"/>
      <c r="F98" s="22"/>
      <c r="G98" s="22"/>
      <c r="H98" s="22"/>
      <c r="I98" s="22"/>
      <c r="J98" s="22"/>
      <c r="K98" s="22"/>
    </row>
    <row r="99" spans="1:11" ht="13.5" customHeight="1" x14ac:dyDescent="0.3">
      <c r="A99" s="22"/>
      <c r="B99" s="22"/>
      <c r="C99" s="22"/>
      <c r="D99" s="22"/>
      <c r="E99" s="22"/>
      <c r="F99" s="22"/>
      <c r="G99" s="22"/>
      <c r="H99" s="22"/>
      <c r="I99" s="22"/>
      <c r="J99" s="22"/>
      <c r="K99" s="22"/>
    </row>
    <row r="100" spans="1:11" ht="13.5" customHeight="1" x14ac:dyDescent="0.3">
      <c r="A100" s="22"/>
      <c r="B100" s="22"/>
      <c r="C100" s="22"/>
      <c r="D100" s="22"/>
      <c r="E100" s="22"/>
      <c r="F100" s="22"/>
      <c r="G100" s="22"/>
      <c r="H100" s="22"/>
      <c r="I100" s="22"/>
      <c r="J100" s="22"/>
      <c r="K100" s="22"/>
    </row>
  </sheetData>
  <pageMargins left="0.25" right="0.25" top="0.75" bottom="0.75" header="0" footer="0"/>
  <pageSetup orientation="portrait"/>
  <rowBreaks count="1" manualBreakCount="1">
    <brk id="2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XFD17409"/>
  <sheetViews>
    <sheetView topLeftCell="A34" workbookViewId="0">
      <selection activeCell="C9133" sqref="C9133"/>
    </sheetView>
  </sheetViews>
  <sheetFormatPr baseColWidth="10" defaultColWidth="12.625" defaultRowHeight="15" customHeight="1" x14ac:dyDescent="0.25"/>
  <cols>
    <col min="1" max="1" width="27.625" style="82" customWidth="1"/>
    <col min="2" max="2" width="11" style="82" customWidth="1"/>
    <col min="3" max="3" width="19.375" style="82" customWidth="1"/>
    <col min="4" max="4" width="16.375" style="82" customWidth="1"/>
    <col min="5" max="5" width="14.125" style="82" customWidth="1"/>
    <col min="6" max="6" width="18.5" style="82" customWidth="1"/>
    <col min="7" max="7" width="2.5" style="82" customWidth="1"/>
    <col min="8" max="8" width="21.875" style="82" customWidth="1"/>
    <col min="9" max="9" width="15.375" style="82" customWidth="1"/>
    <col min="10" max="10" width="17.375" style="82" customWidth="1"/>
    <col min="11" max="11" width="12.125" style="82" customWidth="1"/>
    <col min="12" max="12" width="19.375" style="82" customWidth="1"/>
    <col min="13" max="14" width="11" style="82" customWidth="1"/>
    <col min="15" max="16384" width="12.625" style="82"/>
  </cols>
  <sheetData>
    <row r="1" spans="1:14" ht="14.25" customHeight="1" thickBot="1" x14ac:dyDescent="0.3">
      <c r="A1" s="81"/>
      <c r="B1" s="81"/>
      <c r="C1" s="81"/>
      <c r="D1" s="81"/>
      <c r="E1" s="81"/>
      <c r="F1" s="81"/>
      <c r="G1" s="81"/>
      <c r="H1" s="81"/>
      <c r="I1" s="81"/>
      <c r="J1" s="81"/>
      <c r="K1" s="81"/>
      <c r="L1" s="81"/>
      <c r="M1" s="81"/>
      <c r="N1" s="81"/>
    </row>
    <row r="2" spans="1:14" ht="14.25" customHeight="1" x14ac:dyDescent="0.25">
      <c r="A2" s="83"/>
      <c r="B2" s="84"/>
      <c r="C2" s="85"/>
      <c r="D2" s="86"/>
      <c r="E2" s="86"/>
      <c r="F2" s="87"/>
      <c r="G2" s="81"/>
      <c r="H2" s="81"/>
      <c r="I2" s="81"/>
      <c r="J2" s="81"/>
      <c r="K2" s="81"/>
      <c r="L2" s="81"/>
      <c r="M2" s="81"/>
      <c r="N2" s="81"/>
    </row>
    <row r="3" spans="1:14" ht="14.25" customHeight="1" x14ac:dyDescent="0.25">
      <c r="A3" s="599"/>
      <c r="B3" s="600"/>
      <c r="C3" s="600"/>
      <c r="D3" s="600"/>
      <c r="E3" s="600"/>
      <c r="F3" s="601"/>
      <c r="G3" s="81"/>
      <c r="H3" s="81"/>
      <c r="I3" s="81"/>
      <c r="J3" s="81"/>
      <c r="K3" s="81"/>
      <c r="L3" s="81"/>
      <c r="M3" s="81"/>
      <c r="N3" s="81"/>
    </row>
    <row r="4" spans="1:14" ht="14.25" customHeight="1" x14ac:dyDescent="0.25">
      <c r="A4" s="602" t="s">
        <v>561</v>
      </c>
      <c r="B4" s="600"/>
      <c r="C4" s="600"/>
      <c r="D4" s="600"/>
      <c r="E4" s="600"/>
      <c r="F4" s="601"/>
      <c r="G4" s="81"/>
      <c r="H4" s="81"/>
      <c r="I4" s="81"/>
      <c r="J4" s="81"/>
      <c r="K4" s="81"/>
      <c r="L4" s="81"/>
      <c r="M4" s="81"/>
      <c r="N4" s="81"/>
    </row>
    <row r="5" spans="1:14" ht="14.25" customHeight="1" thickBot="1" x14ac:dyDescent="0.3">
      <c r="A5" s="603"/>
      <c r="B5" s="604"/>
      <c r="C5" s="604"/>
      <c r="D5" s="604"/>
      <c r="E5" s="604"/>
      <c r="F5" s="605"/>
      <c r="G5" s="81"/>
      <c r="H5" s="81"/>
      <c r="I5" s="81"/>
      <c r="J5" s="81"/>
      <c r="K5" s="81"/>
      <c r="L5" s="81"/>
      <c r="M5" s="81"/>
      <c r="N5" s="81"/>
    </row>
    <row r="6" spans="1:14" ht="14.25" customHeight="1" x14ac:dyDescent="0.25">
      <c r="A6" s="88"/>
      <c r="B6" s="88"/>
      <c r="C6" s="89"/>
      <c r="D6" s="89"/>
      <c r="E6" s="89"/>
      <c r="F6" s="89"/>
      <c r="G6" s="81"/>
      <c r="H6" s="81"/>
      <c r="I6" s="81"/>
      <c r="J6" s="81"/>
      <c r="K6" s="81"/>
      <c r="L6" s="81"/>
      <c r="M6" s="81"/>
      <c r="N6" s="81"/>
    </row>
    <row r="7" spans="1:14" ht="14.25" customHeight="1" x14ac:dyDescent="0.25">
      <c r="A7" s="90" t="s">
        <v>47</v>
      </c>
      <c r="B7" s="613" t="s">
        <v>55</v>
      </c>
      <c r="C7" s="600"/>
      <c r="D7" s="600"/>
      <c r="E7" s="600"/>
      <c r="F7" s="600"/>
      <c r="G7" s="81"/>
      <c r="H7" s="81"/>
      <c r="I7" s="81"/>
      <c r="J7" s="81"/>
      <c r="K7" s="81"/>
      <c r="L7" s="81"/>
      <c r="M7" s="81"/>
      <c r="N7" s="81"/>
    </row>
    <row r="8" spans="1:14" ht="14.25" customHeight="1" x14ac:dyDescent="0.25">
      <c r="A8" s="91"/>
      <c r="B8" s="91"/>
      <c r="C8" s="91"/>
      <c r="D8" s="91"/>
      <c r="E8" s="91"/>
      <c r="F8" s="91"/>
      <c r="G8" s="81"/>
      <c r="H8" s="81"/>
      <c r="I8" s="81"/>
      <c r="J8" s="81"/>
      <c r="K8" s="81"/>
      <c r="L8" s="81"/>
      <c r="M8" s="81"/>
      <c r="N8" s="81"/>
    </row>
    <row r="9" spans="1:14" ht="14.25" customHeight="1" x14ac:dyDescent="0.25">
      <c r="A9" s="88" t="s">
        <v>49</v>
      </c>
      <c r="B9" s="92" t="s">
        <v>56</v>
      </c>
      <c r="C9" s="89"/>
      <c r="D9" s="89"/>
      <c r="E9" s="89"/>
      <c r="F9" s="93"/>
      <c r="G9" s="81"/>
      <c r="H9" s="81"/>
      <c r="I9" s="81"/>
      <c r="J9" s="81"/>
      <c r="K9" s="81"/>
      <c r="L9" s="81"/>
      <c r="M9" s="81"/>
      <c r="N9" s="81"/>
    </row>
    <row r="10" spans="1:14" ht="14.25" customHeight="1" x14ac:dyDescent="0.25">
      <c r="A10" s="88"/>
      <c r="B10" s="94"/>
      <c r="C10" s="89"/>
      <c r="D10" s="89"/>
      <c r="E10" s="89"/>
      <c r="F10" s="93"/>
      <c r="G10" s="81"/>
      <c r="H10" s="81"/>
      <c r="I10" s="81"/>
      <c r="J10" s="81"/>
      <c r="K10" s="81"/>
      <c r="L10" s="81"/>
      <c r="M10" s="81"/>
      <c r="N10" s="81"/>
    </row>
    <row r="11" spans="1:14" ht="14.25" customHeight="1" x14ac:dyDescent="0.25">
      <c r="A11" s="95" t="s">
        <v>562</v>
      </c>
      <c r="B11" s="96"/>
      <c r="C11" s="92"/>
      <c r="D11" s="92"/>
      <c r="E11" s="92"/>
      <c r="F11" s="92"/>
      <c r="G11" s="81"/>
      <c r="H11" s="81"/>
      <c r="I11" s="81"/>
      <c r="J11" s="81"/>
      <c r="K11" s="81"/>
      <c r="L11" s="81"/>
      <c r="M11" s="81"/>
      <c r="N11" s="81"/>
    </row>
    <row r="12" spans="1:14" ht="14.25" customHeight="1" x14ac:dyDescent="0.25">
      <c r="A12" s="97" t="s">
        <v>563</v>
      </c>
      <c r="B12" s="98" t="s">
        <v>564</v>
      </c>
      <c r="C12" s="98" t="s">
        <v>565</v>
      </c>
      <c r="D12" s="98" t="s">
        <v>566</v>
      </c>
      <c r="E12" s="98" t="s">
        <v>567</v>
      </c>
      <c r="F12" s="98" t="s">
        <v>568</v>
      </c>
      <c r="G12" s="81"/>
      <c r="H12" s="81"/>
      <c r="I12" s="81"/>
      <c r="J12" s="81"/>
      <c r="K12" s="81"/>
      <c r="L12" s="81"/>
      <c r="M12" s="81"/>
      <c r="N12" s="81"/>
    </row>
    <row r="13" spans="1:14" ht="21.75" customHeight="1" x14ac:dyDescent="0.25">
      <c r="A13" s="99" t="s">
        <v>569</v>
      </c>
      <c r="B13" s="100" t="s">
        <v>99</v>
      </c>
      <c r="C13" s="101">
        <v>18000</v>
      </c>
      <c r="D13" s="100">
        <v>0.02</v>
      </c>
      <c r="E13" s="102">
        <v>0.05</v>
      </c>
      <c r="F13" s="101">
        <f t="shared" ref="F13:F15" si="0">C13*(D13+(D13*E13))</f>
        <v>378</v>
      </c>
      <c r="G13" s="81"/>
      <c r="H13" s="81"/>
      <c r="I13" s="81"/>
      <c r="J13" s="81"/>
      <c r="K13" s="81"/>
      <c r="L13" s="81"/>
      <c r="M13" s="81"/>
      <c r="N13" s="81"/>
    </row>
    <row r="14" spans="1:14" ht="14.25" customHeight="1" x14ac:dyDescent="0.25">
      <c r="A14" s="103" t="s">
        <v>570</v>
      </c>
      <c r="B14" s="100" t="s">
        <v>571</v>
      </c>
      <c r="C14" s="101">
        <v>3800</v>
      </c>
      <c r="D14" s="100">
        <v>0.02</v>
      </c>
      <c r="E14" s="102">
        <v>0.05</v>
      </c>
      <c r="F14" s="101">
        <f t="shared" si="0"/>
        <v>79.800000000000011</v>
      </c>
      <c r="G14" s="81"/>
      <c r="H14" s="81"/>
      <c r="I14" s="81"/>
      <c r="J14" s="81"/>
      <c r="K14" s="81"/>
      <c r="L14" s="81"/>
      <c r="M14" s="81"/>
      <c r="N14" s="81"/>
    </row>
    <row r="15" spans="1:14" ht="14.25" customHeight="1" x14ac:dyDescent="0.25">
      <c r="A15" s="103" t="s">
        <v>572</v>
      </c>
      <c r="B15" s="100" t="s">
        <v>99</v>
      </c>
      <c r="C15" s="101">
        <v>20000</v>
      </c>
      <c r="D15" s="100">
        <v>0.02</v>
      </c>
      <c r="E15" s="102">
        <v>0.05</v>
      </c>
      <c r="F15" s="101">
        <f t="shared" si="0"/>
        <v>420</v>
      </c>
      <c r="G15" s="81"/>
      <c r="H15" s="81"/>
      <c r="I15" s="81"/>
      <c r="J15" s="81"/>
      <c r="K15" s="81"/>
      <c r="L15" s="81"/>
      <c r="M15" s="81"/>
      <c r="N15" s="81"/>
    </row>
    <row r="16" spans="1:14" ht="14.25" customHeight="1" x14ac:dyDescent="0.25">
      <c r="A16" s="103"/>
      <c r="B16" s="100"/>
      <c r="C16" s="101"/>
      <c r="D16" s="104"/>
      <c r="E16" s="102"/>
      <c r="F16" s="101"/>
      <c r="G16" s="81"/>
      <c r="H16" s="81"/>
      <c r="I16" s="81"/>
      <c r="J16" s="81"/>
      <c r="K16" s="81"/>
      <c r="L16" s="81"/>
      <c r="M16" s="81"/>
      <c r="N16" s="81"/>
    </row>
    <row r="17" spans="1:14" ht="14.25" customHeight="1" x14ac:dyDescent="0.25">
      <c r="A17" s="103"/>
      <c r="B17" s="100"/>
      <c r="C17" s="101"/>
      <c r="D17" s="105"/>
      <c r="E17" s="102"/>
      <c r="F17" s="101"/>
      <c r="G17" s="81"/>
      <c r="H17" s="81"/>
      <c r="I17" s="81"/>
      <c r="J17" s="81"/>
      <c r="K17" s="81"/>
      <c r="L17" s="81"/>
      <c r="M17" s="81"/>
      <c r="N17" s="81"/>
    </row>
    <row r="18" spans="1:14" ht="14.25" customHeight="1" x14ac:dyDescent="0.25">
      <c r="A18" s="99"/>
      <c r="B18" s="100"/>
      <c r="C18" s="106"/>
      <c r="D18" s="107"/>
      <c r="E18" s="108"/>
      <c r="F18" s="106"/>
      <c r="G18" s="81"/>
      <c r="H18" s="81"/>
      <c r="I18" s="81"/>
      <c r="J18" s="81"/>
      <c r="K18" s="81"/>
      <c r="L18" s="81"/>
      <c r="M18" s="81"/>
      <c r="N18" s="81"/>
    </row>
    <row r="19" spans="1:14" ht="14.25" customHeight="1" x14ac:dyDescent="0.25">
      <c r="A19" s="97" t="s">
        <v>548</v>
      </c>
      <c r="B19" s="97"/>
      <c r="C19" s="109"/>
      <c r="D19" s="110"/>
      <c r="E19" s="111"/>
      <c r="F19" s="112">
        <f>SUM(F13:F18)</f>
        <v>877.8</v>
      </c>
      <c r="G19" s="81"/>
      <c r="H19" s="81"/>
      <c r="I19" s="81"/>
      <c r="J19" s="81"/>
      <c r="K19" s="81"/>
      <c r="L19" s="81"/>
      <c r="M19" s="81"/>
      <c r="N19" s="81"/>
    </row>
    <row r="20" spans="1:14" ht="14.25" customHeight="1" x14ac:dyDescent="0.25">
      <c r="A20" s="88"/>
      <c r="B20" s="88"/>
      <c r="C20" s="113"/>
      <c r="D20" s="113"/>
      <c r="E20" s="114"/>
      <c r="F20" s="113"/>
      <c r="G20" s="81"/>
      <c r="H20" s="81"/>
      <c r="I20" s="81"/>
      <c r="J20" s="81"/>
      <c r="K20" s="81"/>
      <c r="L20" s="81"/>
      <c r="M20" s="81"/>
      <c r="N20" s="81"/>
    </row>
    <row r="21" spans="1:14" ht="14.25" customHeight="1" x14ac:dyDescent="0.25">
      <c r="A21" s="96" t="s">
        <v>573</v>
      </c>
      <c r="B21" s="96"/>
      <c r="C21" s="92"/>
      <c r="D21" s="92"/>
      <c r="E21" s="92"/>
      <c r="F21" s="92"/>
      <c r="G21" s="81"/>
      <c r="H21" s="81"/>
      <c r="I21" s="81"/>
      <c r="J21" s="81"/>
      <c r="K21" s="81"/>
      <c r="L21" s="81"/>
      <c r="M21" s="81"/>
      <c r="N21" s="81"/>
    </row>
    <row r="22" spans="1:14" ht="14.25" customHeight="1" x14ac:dyDescent="0.25">
      <c r="A22" s="611" t="s">
        <v>563</v>
      </c>
      <c r="B22" s="608"/>
      <c r="C22" s="609"/>
      <c r="D22" s="98" t="s">
        <v>574</v>
      </c>
      <c r="E22" s="98" t="s">
        <v>575</v>
      </c>
      <c r="F22" s="98" t="s">
        <v>568</v>
      </c>
      <c r="G22" s="81"/>
      <c r="H22" s="81"/>
      <c r="I22" s="81"/>
      <c r="J22" s="81"/>
      <c r="K22" s="81"/>
      <c r="L22" s="81"/>
      <c r="M22" s="81"/>
      <c r="N22" s="81"/>
    </row>
    <row r="23" spans="1:14" ht="14.25" customHeight="1" x14ac:dyDescent="0.25">
      <c r="A23" s="607" t="s">
        <v>576</v>
      </c>
      <c r="B23" s="608"/>
      <c r="C23" s="609"/>
      <c r="D23" s="115">
        <v>18500</v>
      </c>
      <c r="E23" s="107">
        <v>39</v>
      </c>
      <c r="F23" s="106">
        <f>D23/E23</f>
        <v>474.35897435897436</v>
      </c>
      <c r="G23" s="81"/>
      <c r="H23" s="81"/>
      <c r="I23" s="81"/>
      <c r="J23" s="81"/>
      <c r="K23" s="81"/>
      <c r="L23" s="81"/>
      <c r="M23" s="81"/>
      <c r="N23" s="81"/>
    </row>
    <row r="24" spans="1:14" ht="14.25" customHeight="1" x14ac:dyDescent="0.25">
      <c r="A24" s="607" t="s">
        <v>577</v>
      </c>
      <c r="B24" s="608"/>
      <c r="C24" s="609"/>
      <c r="D24" s="116"/>
      <c r="E24" s="107"/>
      <c r="F24" s="106">
        <f>+F34*5%</f>
        <v>55.119492656875835</v>
      </c>
      <c r="G24" s="81"/>
      <c r="H24" s="117"/>
      <c r="I24" s="81"/>
      <c r="J24" s="81"/>
      <c r="K24" s="81"/>
      <c r="L24" s="81"/>
      <c r="M24" s="81"/>
      <c r="N24" s="81"/>
    </row>
    <row r="25" spans="1:14" ht="14.25" customHeight="1" x14ac:dyDescent="0.25">
      <c r="A25" s="610"/>
      <c r="B25" s="608"/>
      <c r="C25" s="609"/>
      <c r="D25" s="115"/>
      <c r="E25" s="107"/>
      <c r="F25" s="106"/>
      <c r="G25" s="81"/>
      <c r="H25" s="117"/>
      <c r="I25" s="81"/>
      <c r="J25" s="81"/>
      <c r="K25" s="81"/>
      <c r="L25" s="81"/>
      <c r="M25" s="81"/>
      <c r="N25" s="81"/>
    </row>
    <row r="26" spans="1:14" ht="14.25" customHeight="1" x14ac:dyDescent="0.25">
      <c r="A26" s="611" t="s">
        <v>548</v>
      </c>
      <c r="B26" s="608"/>
      <c r="C26" s="609"/>
      <c r="D26" s="110"/>
      <c r="E26" s="110"/>
      <c r="F26" s="112">
        <f>SUM(F23)</f>
        <v>474.35897435897436</v>
      </c>
      <c r="G26" s="81"/>
      <c r="H26" s="117"/>
      <c r="I26" s="81"/>
      <c r="J26" s="81"/>
      <c r="K26" s="81"/>
      <c r="L26" s="81"/>
      <c r="M26" s="81"/>
      <c r="N26" s="81"/>
    </row>
    <row r="27" spans="1:14" ht="14.25" customHeight="1" x14ac:dyDescent="0.25">
      <c r="A27" s="88"/>
      <c r="B27" s="88"/>
      <c r="C27" s="89"/>
      <c r="D27" s="113"/>
      <c r="E27" s="113"/>
      <c r="F27" s="113"/>
      <c r="G27" s="81"/>
      <c r="H27" s="81"/>
      <c r="I27" s="81"/>
      <c r="J27" s="81"/>
      <c r="K27" s="81"/>
      <c r="L27" s="81"/>
      <c r="M27" s="81"/>
      <c r="N27" s="81"/>
    </row>
    <row r="28" spans="1:14" ht="14.25" customHeight="1" x14ac:dyDescent="0.25">
      <c r="A28" s="96" t="s">
        <v>578</v>
      </c>
      <c r="B28" s="96"/>
      <c r="C28" s="92"/>
      <c r="D28" s="118"/>
      <c r="E28" s="118"/>
      <c r="F28" s="118"/>
      <c r="G28" s="81"/>
      <c r="H28" s="81"/>
      <c r="I28" s="81"/>
      <c r="J28" s="81"/>
      <c r="K28" s="81"/>
      <c r="L28" s="81"/>
      <c r="M28" s="81"/>
      <c r="N28" s="81"/>
    </row>
    <row r="29" spans="1:14" ht="14.25" customHeight="1" x14ac:dyDescent="0.25">
      <c r="A29" s="119" t="s">
        <v>563</v>
      </c>
      <c r="B29" s="120" t="s">
        <v>579</v>
      </c>
      <c r="C29" s="120" t="s">
        <v>580</v>
      </c>
      <c r="D29" s="121" t="s">
        <v>581</v>
      </c>
      <c r="E29" s="121" t="s">
        <v>575</v>
      </c>
      <c r="F29" s="121" t="s">
        <v>568</v>
      </c>
      <c r="G29" s="81"/>
      <c r="H29" s="81"/>
      <c r="I29" s="81"/>
      <c r="J29" s="81"/>
      <c r="K29" s="81"/>
      <c r="L29" s="81"/>
      <c r="M29" s="81"/>
      <c r="N29" s="81"/>
    </row>
    <row r="30" spans="1:14" ht="14.25" customHeight="1" x14ac:dyDescent="0.25">
      <c r="A30" s="122" t="s">
        <v>582</v>
      </c>
      <c r="B30" s="100">
        <v>1</v>
      </c>
      <c r="C30" s="123">
        <v>485700</v>
      </c>
      <c r="D30" s="124">
        <f>+C30*B30*1.7</f>
        <v>825690</v>
      </c>
      <c r="E30" s="125">
        <v>749</v>
      </c>
      <c r="F30" s="106">
        <f>+D30/E30</f>
        <v>1102.3898531375166</v>
      </c>
      <c r="G30" s="81"/>
      <c r="H30" s="81"/>
      <c r="I30" s="81"/>
      <c r="J30" s="81"/>
      <c r="K30" s="81"/>
      <c r="L30" s="81"/>
      <c r="M30" s="81"/>
      <c r="N30" s="81"/>
    </row>
    <row r="31" spans="1:14" ht="14.25" customHeight="1" x14ac:dyDescent="0.25">
      <c r="A31" s="122"/>
      <c r="B31" s="126"/>
      <c r="C31" s="123"/>
      <c r="D31" s="124"/>
      <c r="E31" s="125"/>
      <c r="F31" s="106"/>
      <c r="G31" s="81"/>
      <c r="H31" s="81"/>
      <c r="I31" s="81"/>
      <c r="J31" s="81"/>
      <c r="K31" s="81"/>
      <c r="L31" s="81"/>
      <c r="M31" s="81"/>
      <c r="N31" s="81"/>
    </row>
    <row r="32" spans="1:14" ht="14.25" customHeight="1" x14ac:dyDescent="0.25">
      <c r="A32" s="122"/>
      <c r="B32" s="127"/>
      <c r="C32" s="101"/>
      <c r="D32" s="101"/>
      <c r="E32" s="107"/>
      <c r="F32" s="106"/>
      <c r="G32" s="81"/>
      <c r="H32" s="81"/>
      <c r="I32" s="81"/>
      <c r="J32" s="81"/>
      <c r="K32" s="81"/>
      <c r="L32" s="81"/>
      <c r="M32" s="81"/>
      <c r="N32" s="81"/>
    </row>
    <row r="33" spans="1:14" ht="14.25" customHeight="1" x14ac:dyDescent="0.25">
      <c r="A33" s="122"/>
      <c r="B33" s="127"/>
      <c r="C33" s="101"/>
      <c r="D33" s="101"/>
      <c r="E33" s="125"/>
      <c r="F33" s="106"/>
      <c r="G33" s="81"/>
      <c r="H33" s="81"/>
      <c r="I33" s="81"/>
      <c r="J33" s="81"/>
      <c r="K33" s="81"/>
      <c r="L33" s="81"/>
      <c r="M33" s="81"/>
      <c r="N33" s="81"/>
    </row>
    <row r="34" spans="1:14" ht="14.25" customHeight="1" x14ac:dyDescent="0.25">
      <c r="A34" s="97" t="s">
        <v>548</v>
      </c>
      <c r="B34" s="128"/>
      <c r="C34" s="110"/>
      <c r="D34" s="110"/>
      <c r="E34" s="110"/>
      <c r="F34" s="112">
        <f>SUM(F30:F33)</f>
        <v>1102.3898531375166</v>
      </c>
      <c r="G34" s="81"/>
      <c r="H34" s="81"/>
      <c r="I34" s="81"/>
      <c r="J34" s="81"/>
      <c r="K34" s="81"/>
      <c r="L34" s="81"/>
      <c r="M34" s="81"/>
      <c r="N34" s="81"/>
    </row>
    <row r="35" spans="1:14" ht="14.25" customHeight="1" x14ac:dyDescent="0.25">
      <c r="A35" s="96"/>
      <c r="B35" s="129"/>
      <c r="C35" s="118"/>
      <c r="D35" s="118"/>
      <c r="E35" s="118"/>
      <c r="F35" s="118"/>
      <c r="G35" s="81"/>
      <c r="H35" s="81"/>
      <c r="I35" s="81"/>
      <c r="J35" s="81"/>
      <c r="K35" s="81"/>
      <c r="L35" s="81"/>
      <c r="M35" s="81"/>
      <c r="N35" s="81"/>
    </row>
    <row r="36" spans="1:14" ht="14.25" customHeight="1" x14ac:dyDescent="0.25">
      <c r="A36" s="95" t="s">
        <v>583</v>
      </c>
      <c r="B36" s="96"/>
      <c r="C36" s="92"/>
      <c r="D36" s="92"/>
      <c r="E36" s="92" t="s">
        <v>584</v>
      </c>
      <c r="F36" s="92"/>
      <c r="G36" s="81"/>
      <c r="H36" s="81"/>
      <c r="I36" s="81"/>
      <c r="J36" s="81"/>
      <c r="K36" s="81"/>
      <c r="L36" s="81"/>
      <c r="M36" s="81"/>
      <c r="N36" s="81"/>
    </row>
    <row r="37" spans="1:14" ht="14.25" customHeight="1" x14ac:dyDescent="0.25">
      <c r="A37" s="97" t="s">
        <v>563</v>
      </c>
      <c r="B37" s="98" t="s">
        <v>564</v>
      </c>
      <c r="C37" s="98" t="s">
        <v>585</v>
      </c>
      <c r="D37" s="98" t="s">
        <v>586</v>
      </c>
      <c r="E37" s="120" t="s">
        <v>587</v>
      </c>
      <c r="F37" s="98" t="s">
        <v>568</v>
      </c>
      <c r="G37" s="81"/>
      <c r="H37" s="81"/>
      <c r="I37" s="81"/>
      <c r="J37" s="81"/>
      <c r="K37" s="81"/>
      <c r="L37" s="81"/>
      <c r="M37" s="81"/>
      <c r="N37" s="81"/>
    </row>
    <row r="38" spans="1:14" ht="14.25" customHeight="1" x14ac:dyDescent="0.25">
      <c r="A38" s="103"/>
      <c r="B38" s="100"/>
      <c r="C38" s="101"/>
      <c r="D38" s="130"/>
      <c r="E38" s="107"/>
      <c r="F38" s="109">
        <f>+C38*D38*E38</f>
        <v>0</v>
      </c>
      <c r="G38" s="81"/>
      <c r="H38" s="81"/>
      <c r="I38" s="81"/>
      <c r="J38" s="81"/>
      <c r="K38" s="81"/>
      <c r="L38" s="81"/>
      <c r="M38" s="81"/>
      <c r="N38" s="81"/>
    </row>
    <row r="39" spans="1:14" ht="14.25" customHeight="1" x14ac:dyDescent="0.25">
      <c r="A39" s="103"/>
      <c r="B39" s="100"/>
      <c r="C39" s="107"/>
      <c r="D39" s="107"/>
      <c r="E39" s="108"/>
      <c r="F39" s="109"/>
      <c r="G39" s="81"/>
      <c r="H39" s="81"/>
      <c r="I39" s="81"/>
      <c r="J39" s="81"/>
      <c r="K39" s="81"/>
      <c r="L39" s="81"/>
      <c r="M39" s="81"/>
      <c r="N39" s="81"/>
    </row>
    <row r="40" spans="1:14" ht="14.25" customHeight="1" x14ac:dyDescent="0.25">
      <c r="A40" s="97" t="s">
        <v>548</v>
      </c>
      <c r="B40" s="98"/>
      <c r="C40" s="110"/>
      <c r="D40" s="110"/>
      <c r="E40" s="111"/>
      <c r="F40" s="112">
        <f>SUM(F38:F39)</f>
        <v>0</v>
      </c>
      <c r="G40" s="81"/>
      <c r="H40" s="81"/>
      <c r="I40" s="81"/>
      <c r="J40" s="81"/>
      <c r="K40" s="81"/>
      <c r="L40" s="81"/>
      <c r="M40" s="81"/>
      <c r="N40" s="81"/>
    </row>
    <row r="41" spans="1:14" ht="14.25" customHeight="1" x14ac:dyDescent="0.25">
      <c r="A41" s="88"/>
      <c r="B41" s="89"/>
      <c r="C41" s="113"/>
      <c r="D41" s="113"/>
      <c r="E41" s="114"/>
      <c r="F41" s="113"/>
      <c r="G41" s="81"/>
      <c r="H41" s="81"/>
      <c r="I41" s="81"/>
      <c r="J41" s="81"/>
      <c r="K41" s="81"/>
      <c r="L41" s="81"/>
      <c r="M41" s="81"/>
      <c r="N41" s="81"/>
    </row>
    <row r="42" spans="1:14" ht="14.25" customHeight="1" x14ac:dyDescent="0.25">
      <c r="A42" s="88"/>
      <c r="B42" s="89"/>
      <c r="C42" s="113"/>
      <c r="D42" s="113"/>
      <c r="E42" s="114"/>
      <c r="F42" s="113"/>
      <c r="G42" s="81"/>
      <c r="H42" s="81"/>
      <c r="I42" s="81"/>
      <c r="J42" s="81"/>
      <c r="K42" s="81"/>
      <c r="L42" s="81"/>
      <c r="M42" s="81"/>
      <c r="N42" s="81"/>
    </row>
    <row r="43" spans="1:14" ht="14.25" customHeight="1" x14ac:dyDescent="0.25">
      <c r="A43" s="612" t="s">
        <v>588</v>
      </c>
      <c r="B43" s="608"/>
      <c r="C43" s="608"/>
      <c r="D43" s="608"/>
      <c r="E43" s="609"/>
      <c r="F43" s="131">
        <f>ROUND(F19+F26+F34+F40,0)</f>
        <v>2455</v>
      </c>
      <c r="G43" s="81"/>
      <c r="H43" s="81"/>
      <c r="I43" s="81"/>
      <c r="J43" s="81"/>
      <c r="K43" s="81"/>
      <c r="L43" s="81"/>
      <c r="M43" s="81"/>
      <c r="N43" s="81"/>
    </row>
    <row r="44" spans="1:14" ht="14.25" customHeight="1" x14ac:dyDescent="0.25">
      <c r="A44" s="612" t="s">
        <v>589</v>
      </c>
      <c r="B44" s="608"/>
      <c r="C44" s="608"/>
      <c r="D44" s="608"/>
      <c r="E44" s="609"/>
      <c r="F44" s="132"/>
      <c r="G44" s="81"/>
      <c r="H44" s="81"/>
      <c r="I44" s="81"/>
      <c r="J44" s="81"/>
      <c r="K44" s="81"/>
      <c r="L44" s="81"/>
      <c r="M44" s="81"/>
      <c r="N44" s="81"/>
    </row>
    <row r="45" spans="1:14" ht="14.25" customHeight="1" x14ac:dyDescent="0.25">
      <c r="A45" s="612" t="s">
        <v>556</v>
      </c>
      <c r="B45" s="608"/>
      <c r="C45" s="608"/>
      <c r="D45" s="608"/>
      <c r="E45" s="609"/>
      <c r="F45" s="133"/>
      <c r="G45" s="81"/>
      <c r="H45" s="81"/>
      <c r="I45" s="81"/>
      <c r="J45" s="81"/>
      <c r="K45" s="81"/>
      <c r="L45" s="81"/>
      <c r="M45" s="81"/>
      <c r="N45" s="81"/>
    </row>
    <row r="46" spans="1:14" ht="14.25" customHeight="1" x14ac:dyDescent="0.25">
      <c r="A46" s="134"/>
      <c r="B46" s="135"/>
      <c r="C46" s="135"/>
      <c r="D46" s="135"/>
      <c r="E46" s="135"/>
      <c r="F46" s="136"/>
      <c r="G46" s="81"/>
      <c r="H46" s="81"/>
      <c r="I46" s="81"/>
      <c r="J46" s="81"/>
      <c r="K46" s="81"/>
      <c r="L46" s="81"/>
      <c r="M46" s="81"/>
      <c r="N46" s="81"/>
    </row>
    <row r="47" spans="1:14" ht="14.25" customHeight="1" x14ac:dyDescent="0.25">
      <c r="A47" s="134"/>
      <c r="B47" s="135"/>
      <c r="C47" s="135"/>
      <c r="D47" s="135"/>
      <c r="E47" s="135"/>
      <c r="F47" s="136"/>
      <c r="G47" s="81"/>
      <c r="H47" s="81"/>
      <c r="I47" s="81"/>
      <c r="J47" s="81"/>
      <c r="K47" s="81"/>
      <c r="L47" s="81"/>
      <c r="M47" s="81"/>
      <c r="N47" s="81"/>
    </row>
    <row r="48" spans="1:14" ht="14.25" customHeight="1" x14ac:dyDescent="0.25">
      <c r="A48" s="134"/>
      <c r="B48" s="135"/>
      <c r="C48" s="135"/>
      <c r="D48" s="135"/>
      <c r="E48" s="135"/>
      <c r="F48" s="136"/>
      <c r="G48" s="81"/>
      <c r="H48" s="81"/>
      <c r="I48" s="81"/>
      <c r="J48" s="81"/>
      <c r="K48" s="81"/>
      <c r="L48" s="81"/>
      <c r="M48" s="81"/>
      <c r="N48" s="81"/>
    </row>
    <row r="49" spans="1:14" ht="14.25" customHeight="1" x14ac:dyDescent="0.25">
      <c r="A49" s="134"/>
      <c r="B49" s="135"/>
      <c r="C49" s="135"/>
      <c r="D49" s="135"/>
      <c r="E49" s="135"/>
      <c r="F49" s="136"/>
      <c r="G49" s="81"/>
      <c r="H49" s="81"/>
      <c r="I49" s="81"/>
      <c r="J49" s="81"/>
      <c r="K49" s="81"/>
      <c r="L49" s="81"/>
      <c r="M49" s="81"/>
      <c r="N49" s="81"/>
    </row>
    <row r="50" spans="1:14" ht="14.25" customHeight="1" x14ac:dyDescent="0.25">
      <c r="A50" s="134"/>
      <c r="B50" s="135"/>
      <c r="C50" s="135"/>
      <c r="D50" s="135"/>
      <c r="E50" s="135"/>
      <c r="F50" s="136"/>
      <c r="G50" s="81"/>
      <c r="H50" s="81"/>
      <c r="I50" s="81"/>
      <c r="J50" s="81"/>
      <c r="K50" s="81"/>
      <c r="L50" s="81"/>
      <c r="M50" s="81"/>
      <c r="N50" s="81"/>
    </row>
    <row r="51" spans="1:14" ht="14.25" customHeight="1" x14ac:dyDescent="0.25">
      <c r="A51" s="134"/>
      <c r="B51" s="135"/>
      <c r="C51" s="135"/>
      <c r="D51" s="135"/>
      <c r="E51" s="135"/>
      <c r="F51" s="136"/>
      <c r="G51" s="81"/>
      <c r="H51" s="81"/>
      <c r="I51" s="81"/>
      <c r="J51" s="81"/>
      <c r="K51" s="81"/>
      <c r="L51" s="81"/>
      <c r="M51" s="81"/>
      <c r="N51" s="81"/>
    </row>
    <row r="52" spans="1:14" ht="14.25" customHeight="1" x14ac:dyDescent="0.25">
      <c r="A52" s="134"/>
      <c r="B52" s="135"/>
      <c r="C52" s="135"/>
      <c r="D52" s="135"/>
      <c r="E52" s="135"/>
      <c r="F52" s="136"/>
      <c r="G52" s="81"/>
      <c r="H52" s="81"/>
      <c r="I52" s="81"/>
      <c r="J52" s="81"/>
      <c r="K52" s="81"/>
      <c r="L52" s="81"/>
      <c r="M52" s="81"/>
      <c r="N52" s="81"/>
    </row>
    <row r="53" spans="1:14" ht="14.25" customHeight="1" thickBot="1" x14ac:dyDescent="0.3">
      <c r="A53" s="81"/>
      <c r="B53" s="81"/>
      <c r="C53" s="81"/>
      <c r="D53" s="81"/>
      <c r="E53" s="81"/>
      <c r="F53" s="81"/>
      <c r="G53" s="81"/>
      <c r="H53" s="81"/>
      <c r="I53" s="81"/>
      <c r="J53" s="81"/>
      <c r="K53" s="81"/>
      <c r="L53" s="81"/>
      <c r="M53" s="81"/>
      <c r="N53" s="81"/>
    </row>
    <row r="54" spans="1:14" ht="14.25" customHeight="1" x14ac:dyDescent="0.25">
      <c r="A54" s="83"/>
      <c r="B54" s="84"/>
      <c r="C54" s="85"/>
      <c r="D54" s="86"/>
      <c r="E54" s="86"/>
      <c r="F54" s="87"/>
      <c r="G54" s="81"/>
      <c r="H54" s="81"/>
      <c r="I54" s="81"/>
      <c r="J54" s="81"/>
      <c r="K54" s="81"/>
      <c r="L54" s="81"/>
      <c r="M54" s="81"/>
      <c r="N54" s="81"/>
    </row>
    <row r="55" spans="1:14" ht="14.25" customHeight="1" x14ac:dyDescent="0.25">
      <c r="A55" s="599"/>
      <c r="B55" s="600"/>
      <c r="C55" s="600"/>
      <c r="D55" s="600"/>
      <c r="E55" s="600"/>
      <c r="F55" s="601"/>
      <c r="G55" s="81"/>
      <c r="H55" s="81"/>
      <c r="I55" s="81"/>
      <c r="J55" s="81"/>
      <c r="K55" s="81"/>
      <c r="L55" s="81"/>
      <c r="M55" s="81"/>
      <c r="N55" s="81"/>
    </row>
    <row r="56" spans="1:14" ht="14.25" customHeight="1" x14ac:dyDescent="0.25">
      <c r="A56" s="602" t="s">
        <v>561</v>
      </c>
      <c r="B56" s="600"/>
      <c r="C56" s="600"/>
      <c r="D56" s="600"/>
      <c r="E56" s="600"/>
      <c r="F56" s="601"/>
      <c r="G56" s="81"/>
      <c r="H56" s="81"/>
      <c r="I56" s="81"/>
      <c r="J56" s="81"/>
      <c r="K56" s="81"/>
      <c r="L56" s="81"/>
      <c r="M56" s="81"/>
      <c r="N56" s="81"/>
    </row>
    <row r="57" spans="1:14" ht="14.25" customHeight="1" thickBot="1" x14ac:dyDescent="0.3">
      <c r="A57" s="603"/>
      <c r="B57" s="604"/>
      <c r="C57" s="604"/>
      <c r="D57" s="604"/>
      <c r="E57" s="604"/>
      <c r="F57" s="605"/>
      <c r="G57" s="81"/>
      <c r="H57" s="81"/>
      <c r="I57" s="81"/>
      <c r="J57" s="81"/>
      <c r="K57" s="81"/>
      <c r="L57" s="81"/>
      <c r="M57" s="81"/>
      <c r="N57" s="81"/>
    </row>
    <row r="58" spans="1:14" ht="14.25" customHeight="1" x14ac:dyDescent="0.25">
      <c r="A58" s="88"/>
      <c r="B58" s="88"/>
      <c r="C58" s="89"/>
      <c r="D58" s="89"/>
      <c r="E58" s="89"/>
      <c r="F58" s="89"/>
      <c r="G58" s="81"/>
      <c r="H58" s="81"/>
      <c r="I58" s="81"/>
      <c r="J58" s="81"/>
      <c r="K58" s="81"/>
      <c r="L58" s="81"/>
      <c r="M58" s="81"/>
      <c r="N58" s="81"/>
    </row>
    <row r="59" spans="1:14" ht="14.25" customHeight="1" x14ac:dyDescent="0.25">
      <c r="A59" s="90" t="s">
        <v>47</v>
      </c>
      <c r="B59" s="613" t="s">
        <v>58</v>
      </c>
      <c r="C59" s="600"/>
      <c r="D59" s="600"/>
      <c r="E59" s="600"/>
      <c r="F59" s="600"/>
      <c r="G59" s="81"/>
      <c r="H59" s="81"/>
      <c r="I59" s="81"/>
      <c r="J59" s="81"/>
      <c r="K59" s="81"/>
      <c r="L59" s="81"/>
      <c r="M59" s="81"/>
      <c r="N59" s="81"/>
    </row>
    <row r="60" spans="1:14" ht="14.25" customHeight="1" x14ac:dyDescent="0.25">
      <c r="A60" s="91"/>
      <c r="B60" s="91"/>
      <c r="C60" s="91"/>
      <c r="D60" s="91"/>
      <c r="E60" s="91"/>
      <c r="F60" s="91"/>
      <c r="G60" s="81"/>
      <c r="H60" s="81"/>
      <c r="I60" s="81"/>
      <c r="J60" s="81"/>
      <c r="K60" s="81"/>
      <c r="L60" s="81"/>
      <c r="M60" s="81"/>
      <c r="N60" s="81"/>
    </row>
    <row r="61" spans="1:14" ht="14.25" customHeight="1" x14ac:dyDescent="0.25">
      <c r="A61" s="88" t="s">
        <v>49</v>
      </c>
      <c r="B61" s="92" t="s">
        <v>59</v>
      </c>
      <c r="C61" s="89"/>
      <c r="D61" s="89"/>
      <c r="E61" s="89"/>
      <c r="F61" s="93"/>
      <c r="G61" s="81"/>
      <c r="H61" s="81"/>
      <c r="I61" s="81"/>
      <c r="J61" s="81"/>
      <c r="K61" s="81"/>
      <c r="L61" s="81"/>
      <c r="M61" s="81"/>
      <c r="N61" s="81"/>
    </row>
    <row r="62" spans="1:14" ht="14.25" customHeight="1" x14ac:dyDescent="0.25">
      <c r="A62" s="88"/>
      <c r="B62" s="94"/>
      <c r="C62" s="89"/>
      <c r="D62" s="89"/>
      <c r="E62" s="89"/>
      <c r="F62" s="93"/>
      <c r="G62" s="81"/>
      <c r="H62" s="81"/>
      <c r="I62" s="81"/>
      <c r="J62" s="81"/>
      <c r="K62" s="81"/>
      <c r="L62" s="81"/>
      <c r="M62" s="81"/>
      <c r="N62" s="81"/>
    </row>
    <row r="63" spans="1:14" ht="14.25" customHeight="1" x14ac:dyDescent="0.25">
      <c r="A63" s="95" t="s">
        <v>562</v>
      </c>
      <c r="B63" s="96"/>
      <c r="C63" s="92"/>
      <c r="D63" s="92"/>
      <c r="E63" s="92"/>
      <c r="F63" s="92"/>
      <c r="G63" s="81"/>
      <c r="H63" s="81"/>
      <c r="I63" s="81"/>
      <c r="J63" s="81"/>
      <c r="K63" s="81"/>
      <c r="L63" s="81"/>
      <c r="M63" s="81"/>
      <c r="N63" s="81"/>
    </row>
    <row r="64" spans="1:14" ht="14.25" customHeight="1" x14ac:dyDescent="0.25">
      <c r="A64" s="97" t="s">
        <v>563</v>
      </c>
      <c r="B64" s="98" t="s">
        <v>564</v>
      </c>
      <c r="C64" s="98" t="s">
        <v>565</v>
      </c>
      <c r="D64" s="98" t="s">
        <v>566</v>
      </c>
      <c r="E64" s="98" t="s">
        <v>567</v>
      </c>
      <c r="F64" s="98" t="s">
        <v>568</v>
      </c>
      <c r="G64" s="81"/>
      <c r="H64" s="81"/>
      <c r="I64" s="81"/>
      <c r="J64" s="81"/>
      <c r="K64" s="81"/>
      <c r="L64" s="81"/>
      <c r="M64" s="81"/>
      <c r="N64" s="81"/>
    </row>
    <row r="65" spans="1:14" ht="25.5" x14ac:dyDescent="0.25">
      <c r="A65" s="99" t="s">
        <v>590</v>
      </c>
      <c r="B65" s="100" t="s">
        <v>99</v>
      </c>
      <c r="C65" s="101">
        <v>18000</v>
      </c>
      <c r="D65" s="100">
        <f>34/100</f>
        <v>0.34</v>
      </c>
      <c r="E65" s="102">
        <v>0.05</v>
      </c>
      <c r="F65" s="101">
        <f t="shared" ref="F65:F67" si="1">C65*(D65+(D65*E65))</f>
        <v>6426.0000000000009</v>
      </c>
      <c r="G65" s="81"/>
      <c r="H65" s="81"/>
      <c r="I65" s="81"/>
      <c r="J65" s="81"/>
      <c r="K65" s="81"/>
      <c r="L65" s="81"/>
      <c r="M65" s="81"/>
      <c r="N65" s="81"/>
    </row>
    <row r="66" spans="1:14" ht="14.25" customHeight="1" x14ac:dyDescent="0.25">
      <c r="A66" s="103" t="s">
        <v>570</v>
      </c>
      <c r="B66" s="100" t="s">
        <v>571</v>
      </c>
      <c r="C66" s="101">
        <v>3800</v>
      </c>
      <c r="D66" s="104">
        <v>0.05</v>
      </c>
      <c r="E66" s="102">
        <v>0.05</v>
      </c>
      <c r="F66" s="101">
        <f t="shared" si="1"/>
        <v>199.50000000000003</v>
      </c>
      <c r="G66" s="81"/>
      <c r="H66" s="81"/>
      <c r="I66" s="81"/>
      <c r="J66" s="81"/>
      <c r="K66" s="81"/>
      <c r="L66" s="81"/>
      <c r="M66" s="81"/>
      <c r="N66" s="81"/>
    </row>
    <row r="67" spans="1:14" ht="25.5" x14ac:dyDescent="0.25">
      <c r="A67" s="99" t="s">
        <v>591</v>
      </c>
      <c r="B67" s="100" t="s">
        <v>592</v>
      </c>
      <c r="C67" s="101">
        <v>1983</v>
      </c>
      <c r="D67" s="104">
        <v>1</v>
      </c>
      <c r="E67" s="102">
        <v>0.05</v>
      </c>
      <c r="F67" s="101">
        <f t="shared" si="1"/>
        <v>2082.15</v>
      </c>
      <c r="G67" s="81"/>
      <c r="H67" s="81"/>
      <c r="I67" s="81"/>
      <c r="J67" s="81"/>
      <c r="K67" s="81"/>
      <c r="L67" s="81"/>
      <c r="M67" s="81"/>
      <c r="N67" s="81"/>
    </row>
    <row r="68" spans="1:14" ht="14.25" customHeight="1" x14ac:dyDescent="0.25">
      <c r="A68" s="103"/>
      <c r="B68" s="100"/>
      <c r="C68" s="101"/>
      <c r="D68" s="104"/>
      <c r="E68" s="102"/>
      <c r="F68" s="101"/>
      <c r="G68" s="81"/>
      <c r="H68" s="81"/>
      <c r="I68" s="81"/>
      <c r="J68" s="81"/>
      <c r="K68" s="81"/>
      <c r="L68" s="81"/>
      <c r="M68" s="81"/>
      <c r="N68" s="81"/>
    </row>
    <row r="69" spans="1:14" ht="14.25" customHeight="1" x14ac:dyDescent="0.25">
      <c r="A69" s="103"/>
      <c r="B69" s="100"/>
      <c r="C69" s="101"/>
      <c r="D69" s="105"/>
      <c r="E69" s="102"/>
      <c r="F69" s="101"/>
      <c r="G69" s="81"/>
      <c r="H69" s="81"/>
      <c r="I69" s="81"/>
      <c r="J69" s="81"/>
      <c r="K69" s="81"/>
      <c r="L69" s="81"/>
      <c r="M69" s="81"/>
      <c r="N69" s="81"/>
    </row>
    <row r="70" spans="1:14" ht="14.25" customHeight="1" x14ac:dyDescent="0.25">
      <c r="A70" s="99"/>
      <c r="B70" s="100"/>
      <c r="C70" s="106"/>
      <c r="D70" s="107"/>
      <c r="E70" s="108"/>
      <c r="F70" s="106"/>
      <c r="G70" s="81"/>
      <c r="H70" s="81"/>
      <c r="I70" s="81"/>
      <c r="J70" s="81"/>
      <c r="K70" s="81"/>
      <c r="L70" s="81"/>
      <c r="M70" s="81"/>
      <c r="N70" s="81"/>
    </row>
    <row r="71" spans="1:14" ht="14.25" customHeight="1" x14ac:dyDescent="0.25">
      <c r="A71" s="97" t="s">
        <v>548</v>
      </c>
      <c r="B71" s="97"/>
      <c r="C71" s="109"/>
      <c r="D71" s="110"/>
      <c r="E71" s="111"/>
      <c r="F71" s="112">
        <f>SUM(F65:F70)</f>
        <v>8707.6500000000015</v>
      </c>
      <c r="G71" s="81"/>
      <c r="H71" s="81"/>
      <c r="I71" s="81"/>
      <c r="J71" s="81"/>
      <c r="K71" s="81"/>
      <c r="L71" s="81"/>
      <c r="M71" s="81"/>
      <c r="N71" s="81"/>
    </row>
    <row r="72" spans="1:14" ht="14.25" customHeight="1" x14ac:dyDescent="0.25">
      <c r="A72" s="88"/>
      <c r="B72" s="88"/>
      <c r="C72" s="113"/>
      <c r="D72" s="113"/>
      <c r="E72" s="114"/>
      <c r="F72" s="113"/>
      <c r="G72" s="81"/>
      <c r="H72" s="81"/>
      <c r="I72" s="81"/>
      <c r="J72" s="81"/>
      <c r="K72" s="81"/>
      <c r="L72" s="81"/>
      <c r="M72" s="81"/>
      <c r="N72" s="81"/>
    </row>
    <row r="73" spans="1:14" ht="14.25" customHeight="1" x14ac:dyDescent="0.25">
      <c r="A73" s="96" t="s">
        <v>573</v>
      </c>
      <c r="B73" s="96"/>
      <c r="C73" s="92"/>
      <c r="D73" s="92"/>
      <c r="E73" s="92"/>
      <c r="F73" s="92"/>
      <c r="G73" s="81"/>
      <c r="H73" s="81"/>
      <c r="I73" s="81"/>
      <c r="J73" s="81"/>
      <c r="K73" s="81"/>
      <c r="L73" s="81"/>
      <c r="M73" s="81"/>
      <c r="N73" s="81"/>
    </row>
    <row r="74" spans="1:14" ht="14.25" customHeight="1" x14ac:dyDescent="0.25">
      <c r="A74" s="611" t="s">
        <v>563</v>
      </c>
      <c r="B74" s="608"/>
      <c r="C74" s="609"/>
      <c r="D74" s="98" t="s">
        <v>574</v>
      </c>
      <c r="E74" s="98" t="s">
        <v>575</v>
      </c>
      <c r="F74" s="98" t="s">
        <v>568</v>
      </c>
      <c r="G74" s="81"/>
      <c r="H74" s="81"/>
      <c r="I74" s="81"/>
      <c r="J74" s="81"/>
      <c r="K74" s="81"/>
      <c r="L74" s="81"/>
      <c r="M74" s="81"/>
      <c r="N74" s="81"/>
    </row>
    <row r="75" spans="1:14" ht="14.25" customHeight="1" x14ac:dyDescent="0.25">
      <c r="A75" s="607" t="s">
        <v>577</v>
      </c>
      <c r="B75" s="608"/>
      <c r="C75" s="609"/>
      <c r="D75" s="116"/>
      <c r="E75" s="107"/>
      <c r="F75" s="106">
        <f>+F86*5%-81</f>
        <v>160.47366666666667</v>
      </c>
      <c r="G75" s="81"/>
      <c r="H75" s="81">
        <f>13698-13779</f>
        <v>-81</v>
      </c>
      <c r="I75" s="81"/>
      <c r="J75" s="81"/>
      <c r="K75" s="81"/>
      <c r="L75" s="81"/>
      <c r="M75" s="81"/>
      <c r="N75" s="81"/>
    </row>
    <row r="76" spans="1:14" ht="14.25" customHeight="1" x14ac:dyDescent="0.25">
      <c r="A76" s="607"/>
      <c r="B76" s="608"/>
      <c r="C76" s="609"/>
      <c r="D76" s="116"/>
      <c r="E76" s="107"/>
      <c r="F76" s="106"/>
      <c r="G76" s="81"/>
      <c r="H76" s="81"/>
      <c r="I76" s="81"/>
      <c r="J76" s="81"/>
      <c r="K76" s="81"/>
      <c r="L76" s="81"/>
      <c r="M76" s="81"/>
      <c r="N76" s="81"/>
    </row>
    <row r="77" spans="1:14" ht="14.25" customHeight="1" x14ac:dyDescent="0.25">
      <c r="A77" s="610"/>
      <c r="B77" s="608"/>
      <c r="C77" s="609"/>
      <c r="D77" s="115"/>
      <c r="E77" s="107"/>
      <c r="F77" s="106"/>
      <c r="G77" s="81"/>
      <c r="H77" s="81"/>
      <c r="I77" s="81"/>
      <c r="J77" s="81"/>
      <c r="K77" s="81"/>
      <c r="L77" s="81"/>
      <c r="M77" s="81"/>
      <c r="N77" s="81"/>
    </row>
    <row r="78" spans="1:14" ht="14.25" customHeight="1" x14ac:dyDescent="0.25">
      <c r="A78" s="611" t="s">
        <v>548</v>
      </c>
      <c r="B78" s="608"/>
      <c r="C78" s="609"/>
      <c r="D78" s="110"/>
      <c r="E78" s="110"/>
      <c r="F78" s="112">
        <f>SUM(F75)</f>
        <v>160.47366666666667</v>
      </c>
      <c r="G78" s="81"/>
      <c r="H78" s="81"/>
      <c r="I78" s="81"/>
      <c r="J78" s="81"/>
      <c r="K78" s="81"/>
      <c r="L78" s="81"/>
      <c r="M78" s="81"/>
      <c r="N78" s="81"/>
    </row>
    <row r="79" spans="1:14" ht="14.25" customHeight="1" x14ac:dyDescent="0.25">
      <c r="A79" s="88"/>
      <c r="B79" s="88"/>
      <c r="C79" s="89"/>
      <c r="D79" s="113"/>
      <c r="E79" s="113"/>
      <c r="F79" s="113"/>
      <c r="G79" s="81"/>
      <c r="H79" s="81"/>
      <c r="I79" s="81"/>
      <c r="J79" s="81"/>
      <c r="K79" s="81"/>
      <c r="L79" s="81"/>
      <c r="M79" s="81"/>
      <c r="N79" s="81"/>
    </row>
    <row r="80" spans="1:14" ht="14.25" customHeight="1" x14ac:dyDescent="0.25">
      <c r="A80" s="96" t="s">
        <v>578</v>
      </c>
      <c r="B80" s="96"/>
      <c r="C80" s="92"/>
      <c r="D80" s="118"/>
      <c r="E80" s="118"/>
      <c r="F80" s="118"/>
      <c r="G80" s="81"/>
      <c r="H80" s="81"/>
      <c r="I80" s="81"/>
      <c r="J80" s="81"/>
      <c r="K80" s="81"/>
      <c r="L80" s="81"/>
      <c r="M80" s="81"/>
      <c r="N80" s="81"/>
    </row>
    <row r="81" spans="1:14" ht="14.25" customHeight="1" x14ac:dyDescent="0.25">
      <c r="A81" s="119" t="s">
        <v>563</v>
      </c>
      <c r="B81" s="120" t="s">
        <v>579</v>
      </c>
      <c r="C81" s="120" t="s">
        <v>580</v>
      </c>
      <c r="D81" s="121" t="s">
        <v>581</v>
      </c>
      <c r="E81" s="121" t="s">
        <v>575</v>
      </c>
      <c r="F81" s="121" t="s">
        <v>568</v>
      </c>
      <c r="G81" s="81"/>
      <c r="H81" s="81"/>
      <c r="I81" s="81"/>
      <c r="J81" s="81"/>
      <c r="K81" s="81"/>
      <c r="L81" s="81"/>
      <c r="M81" s="81"/>
      <c r="N81" s="81"/>
    </row>
    <row r="82" spans="1:14" ht="14.25" customHeight="1" x14ac:dyDescent="0.25">
      <c r="A82" s="122" t="s">
        <v>593</v>
      </c>
      <c r="B82" s="127">
        <v>1</v>
      </c>
      <c r="C82" s="101">
        <v>32688</v>
      </c>
      <c r="D82" s="101">
        <f t="shared" ref="D82:D83" si="2">+C82*1.7</f>
        <v>55569.599999999999</v>
      </c>
      <c r="E82" s="107">
        <v>30</v>
      </c>
      <c r="F82" s="106">
        <f t="shared" ref="F82:F83" si="3">+B82*(D82)/E82</f>
        <v>1852.32</v>
      </c>
      <c r="G82" s="81"/>
      <c r="H82" s="81"/>
      <c r="I82" s="81"/>
      <c r="J82" s="81"/>
      <c r="K82" s="81"/>
      <c r="L82" s="81"/>
      <c r="M82" s="81"/>
      <c r="N82" s="81"/>
    </row>
    <row r="83" spans="1:14" ht="14.25" customHeight="1" x14ac:dyDescent="0.25">
      <c r="A83" s="122" t="s">
        <v>594</v>
      </c>
      <c r="B83" s="127">
        <v>1</v>
      </c>
      <c r="C83" s="101">
        <v>52538</v>
      </c>
      <c r="D83" s="101">
        <f t="shared" si="2"/>
        <v>89314.599999999991</v>
      </c>
      <c r="E83" s="107">
        <f>+E82</f>
        <v>30</v>
      </c>
      <c r="F83" s="106">
        <f t="shared" si="3"/>
        <v>2977.1533333333332</v>
      </c>
      <c r="G83" s="81"/>
      <c r="H83" s="81"/>
      <c r="I83" s="81"/>
      <c r="J83" s="81"/>
      <c r="K83" s="81"/>
      <c r="L83" s="81"/>
      <c r="M83" s="81"/>
      <c r="N83" s="81"/>
    </row>
    <row r="84" spans="1:14" ht="14.25" customHeight="1" x14ac:dyDescent="0.25">
      <c r="A84" s="122"/>
      <c r="B84" s="127"/>
      <c r="C84" s="101"/>
      <c r="D84" s="101"/>
      <c r="E84" s="107"/>
      <c r="F84" s="106"/>
      <c r="G84" s="81"/>
      <c r="H84" s="81"/>
      <c r="I84" s="81"/>
      <c r="J84" s="81"/>
      <c r="K84" s="81"/>
      <c r="L84" s="81"/>
      <c r="M84" s="81"/>
      <c r="N84" s="81"/>
    </row>
    <row r="85" spans="1:14" ht="14.25" customHeight="1" x14ac:dyDescent="0.25">
      <c r="A85" s="122"/>
      <c r="B85" s="127"/>
      <c r="C85" s="101"/>
      <c r="D85" s="101"/>
      <c r="E85" s="125"/>
      <c r="F85" s="106"/>
      <c r="G85" s="81"/>
      <c r="H85" s="81"/>
      <c r="I85" s="81"/>
      <c r="J85" s="81"/>
      <c r="K85" s="81"/>
      <c r="L85" s="81"/>
      <c r="M85" s="81"/>
      <c r="N85" s="81"/>
    </row>
    <row r="86" spans="1:14" ht="14.25" customHeight="1" x14ac:dyDescent="0.25">
      <c r="A86" s="97" t="s">
        <v>548</v>
      </c>
      <c r="B86" s="128"/>
      <c r="C86" s="110"/>
      <c r="D86" s="110"/>
      <c r="E86" s="110"/>
      <c r="F86" s="112">
        <f>SUM(F82:F85)</f>
        <v>4829.4733333333334</v>
      </c>
      <c r="G86" s="81"/>
      <c r="H86" s="81"/>
      <c r="I86" s="81"/>
      <c r="J86" s="81"/>
      <c r="K86" s="81"/>
      <c r="L86" s="81"/>
      <c r="M86" s="81"/>
      <c r="N86" s="81"/>
    </row>
    <row r="87" spans="1:14" ht="14.25" customHeight="1" x14ac:dyDescent="0.25">
      <c r="A87" s="96"/>
      <c r="B87" s="129"/>
      <c r="C87" s="118"/>
      <c r="D87" s="118"/>
      <c r="E87" s="118"/>
      <c r="F87" s="118"/>
      <c r="G87" s="81"/>
      <c r="H87" s="81"/>
      <c r="I87" s="81"/>
      <c r="J87" s="81"/>
      <c r="K87" s="81"/>
      <c r="L87" s="81"/>
      <c r="M87" s="81"/>
      <c r="N87" s="81"/>
    </row>
    <row r="88" spans="1:14" ht="14.25" customHeight="1" x14ac:dyDescent="0.25">
      <c r="A88" s="95" t="s">
        <v>583</v>
      </c>
      <c r="B88" s="96"/>
      <c r="C88" s="92"/>
      <c r="D88" s="92"/>
      <c r="E88" s="92" t="s">
        <v>584</v>
      </c>
      <c r="F88" s="92"/>
      <c r="G88" s="81"/>
      <c r="H88" s="81"/>
      <c r="I88" s="81"/>
      <c r="J88" s="81"/>
      <c r="K88" s="81"/>
      <c r="L88" s="81"/>
      <c r="M88" s="81"/>
      <c r="N88" s="81"/>
    </row>
    <row r="89" spans="1:14" ht="14.25" customHeight="1" x14ac:dyDescent="0.25">
      <c r="A89" s="97" t="s">
        <v>563</v>
      </c>
      <c r="B89" s="98" t="s">
        <v>564</v>
      </c>
      <c r="C89" s="98" t="s">
        <v>585</v>
      </c>
      <c r="D89" s="98" t="s">
        <v>586</v>
      </c>
      <c r="E89" s="120" t="s">
        <v>587</v>
      </c>
      <c r="F89" s="98" t="s">
        <v>568</v>
      </c>
      <c r="G89" s="81"/>
      <c r="H89" s="81"/>
      <c r="I89" s="81"/>
      <c r="J89" s="81"/>
      <c r="K89" s="81"/>
      <c r="L89" s="81"/>
      <c r="M89" s="81"/>
      <c r="N89" s="81"/>
    </row>
    <row r="90" spans="1:14" ht="14.25" customHeight="1" x14ac:dyDescent="0.25">
      <c r="A90" s="103"/>
      <c r="B90" s="100"/>
      <c r="C90" s="101"/>
      <c r="D90" s="130"/>
      <c r="E90" s="107"/>
      <c r="F90" s="109">
        <f>+C90*D90*E90</f>
        <v>0</v>
      </c>
      <c r="G90" s="81"/>
      <c r="H90" s="81"/>
      <c r="I90" s="81"/>
      <c r="J90" s="81"/>
      <c r="K90" s="81"/>
      <c r="L90" s="81"/>
      <c r="M90" s="81"/>
      <c r="N90" s="81"/>
    </row>
    <row r="91" spans="1:14" ht="14.25" customHeight="1" x14ac:dyDescent="0.25">
      <c r="A91" s="103"/>
      <c r="B91" s="100"/>
      <c r="C91" s="107"/>
      <c r="D91" s="107"/>
      <c r="E91" s="108"/>
      <c r="F91" s="109"/>
      <c r="G91" s="81"/>
      <c r="H91" s="81"/>
      <c r="I91" s="81"/>
      <c r="J91" s="81"/>
      <c r="K91" s="81"/>
      <c r="L91" s="81"/>
      <c r="M91" s="81"/>
      <c r="N91" s="81"/>
    </row>
    <row r="92" spans="1:14" ht="14.25" customHeight="1" x14ac:dyDescent="0.25">
      <c r="A92" s="97" t="s">
        <v>548</v>
      </c>
      <c r="B92" s="98"/>
      <c r="C92" s="110"/>
      <c r="D92" s="110"/>
      <c r="E92" s="111"/>
      <c r="F92" s="112">
        <f>SUM(F90:F91)</f>
        <v>0</v>
      </c>
      <c r="G92" s="81"/>
      <c r="H92" s="81"/>
      <c r="I92" s="81"/>
      <c r="J92" s="81"/>
      <c r="K92" s="81"/>
      <c r="L92" s="81"/>
      <c r="M92" s="81"/>
      <c r="N92" s="81"/>
    </row>
    <row r="93" spans="1:14" ht="14.25" customHeight="1" x14ac:dyDescent="0.25">
      <c r="A93" s="88"/>
      <c r="B93" s="89"/>
      <c r="C93" s="113"/>
      <c r="D93" s="113"/>
      <c r="E93" s="114"/>
      <c r="F93" s="113"/>
      <c r="G93" s="81"/>
      <c r="H93" s="81"/>
      <c r="I93" s="81"/>
      <c r="J93" s="81"/>
      <c r="K93" s="81"/>
      <c r="L93" s="81"/>
      <c r="M93" s="81"/>
      <c r="N93" s="81"/>
    </row>
    <row r="94" spans="1:14" ht="14.25" customHeight="1" x14ac:dyDescent="0.25">
      <c r="A94" s="88"/>
      <c r="B94" s="89"/>
      <c r="C94" s="113"/>
      <c r="D94" s="113"/>
      <c r="E94" s="114"/>
      <c r="F94" s="113"/>
      <c r="G94" s="81"/>
      <c r="H94" s="81"/>
      <c r="I94" s="81"/>
      <c r="J94" s="81"/>
      <c r="K94" s="81"/>
      <c r="L94" s="81"/>
      <c r="M94" s="81"/>
      <c r="N94" s="81"/>
    </row>
    <row r="95" spans="1:14" ht="14.25" customHeight="1" x14ac:dyDescent="0.25">
      <c r="A95" s="612" t="s">
        <v>588</v>
      </c>
      <c r="B95" s="608"/>
      <c r="C95" s="608"/>
      <c r="D95" s="608"/>
      <c r="E95" s="609"/>
      <c r="F95" s="131">
        <f>ROUND(F71+F78+F86+F92,0)</f>
        <v>13698</v>
      </c>
      <c r="G95" s="81"/>
      <c r="H95" s="81"/>
      <c r="I95" s="81"/>
      <c r="J95" s="81"/>
      <c r="K95" s="81"/>
      <c r="L95" s="81"/>
      <c r="M95" s="81"/>
      <c r="N95" s="81"/>
    </row>
    <row r="96" spans="1:14" ht="14.25" customHeight="1" x14ac:dyDescent="0.25">
      <c r="A96" s="612" t="s">
        <v>589</v>
      </c>
      <c r="B96" s="608"/>
      <c r="C96" s="608"/>
      <c r="D96" s="608"/>
      <c r="E96" s="609"/>
      <c r="F96" s="132"/>
      <c r="G96" s="81"/>
      <c r="H96" s="81"/>
      <c r="I96" s="81"/>
      <c r="J96" s="81"/>
      <c r="K96" s="81"/>
      <c r="L96" s="81"/>
      <c r="M96" s="81"/>
      <c r="N96" s="81"/>
    </row>
    <row r="97" spans="1:14" ht="14.25" customHeight="1" x14ac:dyDescent="0.25">
      <c r="A97" s="612" t="s">
        <v>556</v>
      </c>
      <c r="B97" s="608"/>
      <c r="C97" s="608"/>
      <c r="D97" s="608"/>
      <c r="E97" s="609"/>
      <c r="F97" s="133"/>
      <c r="G97" s="81"/>
      <c r="H97" s="81"/>
      <c r="I97" s="81"/>
      <c r="J97" s="81"/>
      <c r="K97" s="81"/>
      <c r="L97" s="81"/>
      <c r="M97" s="81"/>
      <c r="N97" s="81"/>
    </row>
    <row r="98" spans="1:14" ht="14.25" customHeight="1" x14ac:dyDescent="0.25">
      <c r="A98" s="134"/>
      <c r="B98" s="135"/>
      <c r="C98" s="135"/>
      <c r="D98" s="135"/>
      <c r="E98" s="135"/>
      <c r="F98" s="136"/>
      <c r="G98" s="81"/>
      <c r="H98" s="81"/>
      <c r="I98" s="81"/>
      <c r="J98" s="81"/>
      <c r="K98" s="81"/>
      <c r="L98" s="81"/>
      <c r="M98" s="81"/>
      <c r="N98" s="81"/>
    </row>
    <row r="99" spans="1:14" ht="14.25" customHeight="1" x14ac:dyDescent="0.25">
      <c r="A99" s="81"/>
      <c r="B99" s="81"/>
      <c r="C99" s="137"/>
      <c r="D99" s="81"/>
      <c r="E99" s="81"/>
      <c r="F99" s="81"/>
      <c r="G99" s="81"/>
      <c r="H99" s="81"/>
      <c r="I99" s="81"/>
      <c r="J99" s="81"/>
      <c r="K99" s="81"/>
      <c r="L99" s="81"/>
      <c r="M99" s="81"/>
      <c r="N99" s="81"/>
    </row>
    <row r="100" spans="1:14" ht="14.25" customHeight="1" x14ac:dyDescent="0.25">
      <c r="A100" s="81"/>
      <c r="B100" s="81"/>
      <c r="C100" s="137"/>
      <c r="D100" s="81"/>
      <c r="E100" s="81"/>
      <c r="F100" s="81"/>
      <c r="G100" s="81"/>
      <c r="H100" s="81"/>
      <c r="I100" s="81"/>
      <c r="J100" s="81"/>
      <c r="K100" s="81"/>
      <c r="L100" s="81"/>
      <c r="M100" s="81"/>
      <c r="N100" s="81"/>
    </row>
    <row r="101" spans="1:14" ht="14.25" customHeight="1" x14ac:dyDescent="0.25">
      <c r="A101" s="81"/>
      <c r="B101" s="81"/>
      <c r="C101" s="137"/>
      <c r="D101" s="81"/>
      <c r="E101" s="81"/>
      <c r="F101" s="81"/>
      <c r="G101" s="81"/>
      <c r="H101" s="81"/>
      <c r="I101" s="81"/>
      <c r="J101" s="81"/>
      <c r="K101" s="81"/>
      <c r="L101" s="81"/>
      <c r="M101" s="81"/>
      <c r="N101" s="81"/>
    </row>
    <row r="102" spans="1:14" ht="14.25" customHeight="1" x14ac:dyDescent="0.25">
      <c r="A102" s="81"/>
      <c r="B102" s="81"/>
      <c r="C102" s="137"/>
      <c r="D102" s="81"/>
      <c r="E102" s="81"/>
      <c r="F102" s="81"/>
      <c r="G102" s="81"/>
      <c r="H102" s="81"/>
      <c r="I102" s="81"/>
      <c r="J102" s="81"/>
      <c r="K102" s="81"/>
      <c r="L102" s="81"/>
      <c r="M102" s="81"/>
      <c r="N102" s="81"/>
    </row>
    <row r="103" spans="1:14" ht="14.25" customHeight="1" x14ac:dyDescent="0.25">
      <c r="A103" s="81"/>
      <c r="B103" s="81"/>
      <c r="C103" s="137"/>
      <c r="D103" s="81"/>
      <c r="E103" s="81"/>
      <c r="F103" s="81"/>
      <c r="G103" s="81"/>
      <c r="H103" s="81"/>
      <c r="I103" s="81"/>
      <c r="J103" s="81"/>
      <c r="K103" s="81"/>
      <c r="L103" s="81"/>
      <c r="M103" s="81"/>
      <c r="N103" s="81"/>
    </row>
    <row r="104" spans="1:14" ht="14.25" customHeight="1" x14ac:dyDescent="0.25">
      <c r="A104" s="81"/>
      <c r="B104" s="81"/>
      <c r="C104" s="137"/>
      <c r="D104" s="81"/>
      <c r="E104" s="81"/>
      <c r="F104" s="81"/>
      <c r="G104" s="81"/>
      <c r="H104" s="81"/>
      <c r="I104" s="81"/>
      <c r="J104" s="81"/>
      <c r="K104" s="81"/>
      <c r="L104" s="81"/>
      <c r="M104" s="81"/>
      <c r="N104" s="81"/>
    </row>
    <row r="105" spans="1:14" ht="14.25" customHeight="1" x14ac:dyDescent="0.25">
      <c r="A105" s="134"/>
      <c r="B105" s="135"/>
      <c r="C105" s="135"/>
      <c r="D105" s="135"/>
      <c r="E105" s="135"/>
      <c r="F105" s="136"/>
      <c r="G105" s="81"/>
      <c r="H105" s="81"/>
      <c r="I105" s="81"/>
      <c r="J105" s="81"/>
      <c r="K105" s="81"/>
      <c r="L105" s="81"/>
      <c r="M105" s="81"/>
      <c r="N105" s="81"/>
    </row>
    <row r="106" spans="1:14" ht="14.25" customHeight="1" x14ac:dyDescent="0.25">
      <c r="A106" s="134"/>
      <c r="B106" s="135"/>
      <c r="C106" s="135"/>
      <c r="D106" s="135"/>
      <c r="E106" s="135"/>
      <c r="F106" s="136"/>
      <c r="G106" s="81"/>
      <c r="H106" s="81"/>
      <c r="I106" s="81"/>
      <c r="J106" s="81"/>
      <c r="K106" s="81"/>
      <c r="L106" s="81"/>
      <c r="M106" s="81"/>
      <c r="N106" s="81"/>
    </row>
    <row r="107" spans="1:14" ht="14.25" customHeight="1" x14ac:dyDescent="0.25">
      <c r="A107" s="134"/>
      <c r="B107" s="135"/>
      <c r="C107" s="135"/>
      <c r="D107" s="135"/>
      <c r="E107" s="135"/>
      <c r="F107" s="136"/>
      <c r="G107" s="81"/>
      <c r="H107" s="81"/>
      <c r="I107" s="81"/>
      <c r="J107" s="81"/>
      <c r="K107" s="81"/>
      <c r="L107" s="81"/>
      <c r="M107" s="81"/>
      <c r="N107" s="81"/>
    </row>
    <row r="108" spans="1:14" ht="14.25" customHeight="1" thickBot="1" x14ac:dyDescent="0.3">
      <c r="A108" s="81"/>
      <c r="B108" s="81"/>
      <c r="C108" s="81"/>
      <c r="D108" s="81"/>
      <c r="E108" s="81"/>
      <c r="F108" s="81"/>
      <c r="G108" s="81"/>
      <c r="H108" s="81"/>
      <c r="I108" s="81"/>
      <c r="J108" s="81"/>
      <c r="K108" s="81"/>
      <c r="L108" s="81"/>
      <c r="M108" s="81"/>
      <c r="N108" s="81"/>
    </row>
    <row r="109" spans="1:14" ht="14.25" customHeight="1" x14ac:dyDescent="0.25">
      <c r="A109" s="83"/>
      <c r="B109" s="84"/>
      <c r="C109" s="85"/>
      <c r="D109" s="86"/>
      <c r="E109" s="86"/>
      <c r="F109" s="87"/>
      <c r="G109" s="81"/>
      <c r="H109" s="81"/>
      <c r="I109" s="81"/>
      <c r="J109" s="81"/>
      <c r="K109" s="81"/>
      <c r="L109" s="81"/>
      <c r="M109" s="81"/>
      <c r="N109" s="81"/>
    </row>
    <row r="110" spans="1:14" ht="14.25" customHeight="1" x14ac:dyDescent="0.25">
      <c r="A110" s="599"/>
      <c r="B110" s="600"/>
      <c r="C110" s="600"/>
      <c r="D110" s="600"/>
      <c r="E110" s="600"/>
      <c r="F110" s="601"/>
      <c r="G110" s="81"/>
      <c r="H110" s="81"/>
      <c r="I110" s="81"/>
      <c r="J110" s="81"/>
      <c r="K110" s="81"/>
      <c r="L110" s="81"/>
      <c r="M110" s="81"/>
      <c r="N110" s="81"/>
    </row>
    <row r="111" spans="1:14" ht="14.25" customHeight="1" x14ac:dyDescent="0.25">
      <c r="A111" s="602" t="s">
        <v>561</v>
      </c>
      <c r="B111" s="600"/>
      <c r="C111" s="600"/>
      <c r="D111" s="600"/>
      <c r="E111" s="600"/>
      <c r="F111" s="601"/>
      <c r="G111" s="81"/>
      <c r="H111" s="81"/>
      <c r="I111" s="81"/>
      <c r="J111" s="81"/>
      <c r="K111" s="81"/>
      <c r="L111" s="81"/>
      <c r="M111" s="81"/>
      <c r="N111" s="81"/>
    </row>
    <row r="112" spans="1:14" ht="14.25" customHeight="1" thickBot="1" x14ac:dyDescent="0.3">
      <c r="A112" s="603"/>
      <c r="B112" s="604"/>
      <c r="C112" s="604"/>
      <c r="D112" s="604"/>
      <c r="E112" s="604"/>
      <c r="F112" s="605"/>
      <c r="G112" s="81"/>
      <c r="H112" s="81"/>
      <c r="I112" s="81"/>
      <c r="J112" s="81"/>
      <c r="K112" s="81"/>
      <c r="L112" s="81"/>
      <c r="M112" s="81"/>
      <c r="N112" s="81"/>
    </row>
    <row r="113" spans="1:14" ht="14.25" customHeight="1" x14ac:dyDescent="0.25">
      <c r="A113" s="88"/>
      <c r="B113" s="88"/>
      <c r="C113" s="89"/>
      <c r="D113" s="89"/>
      <c r="E113" s="89"/>
      <c r="F113" s="89"/>
      <c r="G113" s="81"/>
      <c r="H113" s="81"/>
      <c r="I113" s="81"/>
      <c r="J113" s="81"/>
      <c r="K113" s="81"/>
      <c r="L113" s="81"/>
      <c r="M113" s="81"/>
      <c r="N113" s="81"/>
    </row>
    <row r="114" spans="1:14" ht="14.25" customHeight="1" x14ac:dyDescent="0.25">
      <c r="A114" s="90" t="s">
        <v>47</v>
      </c>
      <c r="B114" s="613" t="s">
        <v>61</v>
      </c>
      <c r="C114" s="600"/>
      <c r="D114" s="600"/>
      <c r="E114" s="600"/>
      <c r="F114" s="600"/>
      <c r="G114" s="81"/>
      <c r="H114" s="81"/>
      <c r="I114" s="81"/>
      <c r="J114" s="81"/>
      <c r="K114" s="81"/>
      <c r="L114" s="81"/>
      <c r="M114" s="81"/>
      <c r="N114" s="81"/>
    </row>
    <row r="115" spans="1:14" ht="14.25" customHeight="1" x14ac:dyDescent="0.25">
      <c r="A115" s="91"/>
      <c r="B115" s="91"/>
      <c r="C115" s="91"/>
      <c r="D115" s="91"/>
      <c r="E115" s="91"/>
      <c r="F115" s="91"/>
      <c r="G115" s="81"/>
      <c r="H115" s="81"/>
      <c r="I115" s="81"/>
      <c r="J115" s="81"/>
      <c r="K115" s="81"/>
      <c r="L115" s="81"/>
      <c r="M115" s="81"/>
      <c r="N115" s="81"/>
    </row>
    <row r="116" spans="1:14" ht="14.25" customHeight="1" x14ac:dyDescent="0.25">
      <c r="A116" s="88" t="s">
        <v>49</v>
      </c>
      <c r="B116" s="92" t="s">
        <v>56</v>
      </c>
      <c r="C116" s="89"/>
      <c r="D116" s="89"/>
      <c r="E116" s="89"/>
      <c r="F116" s="93"/>
      <c r="G116" s="81"/>
      <c r="H116" s="81"/>
      <c r="I116" s="81"/>
      <c r="J116" s="81"/>
      <c r="K116" s="81"/>
      <c r="L116" s="81"/>
      <c r="M116" s="81"/>
      <c r="N116" s="81"/>
    </row>
    <row r="117" spans="1:14" ht="14.25" customHeight="1" x14ac:dyDescent="0.25">
      <c r="A117" s="88"/>
      <c r="B117" s="94"/>
      <c r="C117" s="89"/>
      <c r="D117" s="89"/>
      <c r="E117" s="89"/>
      <c r="F117" s="93"/>
      <c r="G117" s="81"/>
      <c r="H117" s="81"/>
      <c r="I117" s="81"/>
      <c r="J117" s="81"/>
      <c r="K117" s="81"/>
      <c r="L117" s="81"/>
      <c r="M117" s="81"/>
      <c r="N117" s="81"/>
    </row>
    <row r="118" spans="1:14" ht="14.25" customHeight="1" x14ac:dyDescent="0.25">
      <c r="A118" s="95" t="s">
        <v>562</v>
      </c>
      <c r="B118" s="96"/>
      <c r="C118" s="92"/>
      <c r="D118" s="92"/>
      <c r="E118" s="92"/>
      <c r="F118" s="92"/>
      <c r="G118" s="81"/>
      <c r="H118" s="81"/>
      <c r="I118" s="81"/>
      <c r="J118" s="81"/>
      <c r="K118" s="81"/>
      <c r="L118" s="81"/>
      <c r="M118" s="81"/>
      <c r="N118" s="81"/>
    </row>
    <row r="119" spans="1:14" ht="14.25" customHeight="1" x14ac:dyDescent="0.25">
      <c r="A119" s="97" t="s">
        <v>563</v>
      </c>
      <c r="B119" s="98" t="s">
        <v>564</v>
      </c>
      <c r="C119" s="98" t="s">
        <v>565</v>
      </c>
      <c r="D119" s="98" t="s">
        <v>566</v>
      </c>
      <c r="E119" s="98" t="s">
        <v>567</v>
      </c>
      <c r="F119" s="98" t="s">
        <v>568</v>
      </c>
      <c r="G119" s="81"/>
      <c r="H119" s="81"/>
      <c r="I119" s="81"/>
      <c r="J119" s="81"/>
      <c r="K119" s="81"/>
      <c r="L119" s="81"/>
      <c r="M119" s="81"/>
      <c r="N119" s="81"/>
    </row>
    <row r="120" spans="1:14" ht="25.5" x14ac:dyDescent="0.25">
      <c r="A120" s="99" t="s">
        <v>569</v>
      </c>
      <c r="B120" s="100" t="s">
        <v>99</v>
      </c>
      <c r="C120" s="101">
        <v>12000</v>
      </c>
      <c r="D120" s="104">
        <v>2</v>
      </c>
      <c r="E120" s="102">
        <v>0.05</v>
      </c>
      <c r="F120" s="101">
        <f t="shared" ref="F120:F130" si="4">C120*(D120+(D120*E120))</f>
        <v>25200</v>
      </c>
      <c r="G120" s="81"/>
      <c r="H120" s="81"/>
      <c r="I120" s="81"/>
      <c r="J120" s="81"/>
      <c r="K120" s="81"/>
      <c r="L120" s="81"/>
      <c r="M120" s="81"/>
      <c r="N120" s="81"/>
    </row>
    <row r="121" spans="1:14" ht="25.5" x14ac:dyDescent="0.25">
      <c r="A121" s="99" t="s">
        <v>595</v>
      </c>
      <c r="B121" s="100" t="s">
        <v>99</v>
      </c>
      <c r="C121" s="101">
        <v>22000</v>
      </c>
      <c r="D121" s="104">
        <v>1.5</v>
      </c>
      <c r="E121" s="102">
        <v>0.05</v>
      </c>
      <c r="F121" s="101">
        <f t="shared" si="4"/>
        <v>34650</v>
      </c>
      <c r="G121" s="81"/>
      <c r="H121" s="81"/>
      <c r="I121" s="81"/>
      <c r="J121" s="81"/>
      <c r="K121" s="81"/>
      <c r="L121" s="81"/>
      <c r="M121" s="81"/>
      <c r="N121" s="81"/>
    </row>
    <row r="122" spans="1:14" ht="14.25" customHeight="1" x14ac:dyDescent="0.25">
      <c r="A122" s="103" t="s">
        <v>570</v>
      </c>
      <c r="B122" s="100" t="s">
        <v>571</v>
      </c>
      <c r="C122" s="101">
        <v>3800</v>
      </c>
      <c r="D122" s="104">
        <v>3</v>
      </c>
      <c r="E122" s="102">
        <v>0.05</v>
      </c>
      <c r="F122" s="101">
        <f t="shared" si="4"/>
        <v>11970</v>
      </c>
      <c r="G122" s="81"/>
      <c r="H122" s="81"/>
      <c r="I122" s="81"/>
      <c r="J122" s="81"/>
      <c r="K122" s="81"/>
      <c r="L122" s="81"/>
      <c r="M122" s="81"/>
      <c r="N122" s="81"/>
    </row>
    <row r="123" spans="1:14" ht="14.25" customHeight="1" x14ac:dyDescent="0.25">
      <c r="A123" s="99" t="s">
        <v>596</v>
      </c>
      <c r="B123" s="100" t="s">
        <v>99</v>
      </c>
      <c r="C123" s="101">
        <v>32250</v>
      </c>
      <c r="D123" s="104">
        <v>1.5</v>
      </c>
      <c r="E123" s="102">
        <v>0.05</v>
      </c>
      <c r="F123" s="101">
        <f t="shared" si="4"/>
        <v>50793.75</v>
      </c>
      <c r="G123" s="81"/>
      <c r="H123" s="81"/>
      <c r="I123" s="117"/>
      <c r="J123" s="138"/>
      <c r="K123" s="117"/>
      <c r="L123" s="81"/>
      <c r="M123" s="81"/>
      <c r="N123" s="81"/>
    </row>
    <row r="124" spans="1:14" ht="14.25" customHeight="1" x14ac:dyDescent="0.25">
      <c r="A124" s="99" t="s">
        <v>597</v>
      </c>
      <c r="B124" s="100" t="s">
        <v>564</v>
      </c>
      <c r="C124" s="106">
        <v>21000</v>
      </c>
      <c r="D124" s="104">
        <v>2.5</v>
      </c>
      <c r="E124" s="102">
        <v>0.05</v>
      </c>
      <c r="F124" s="101">
        <f t="shared" si="4"/>
        <v>55125</v>
      </c>
      <c r="G124" s="81"/>
      <c r="H124" s="81"/>
      <c r="I124" s="117"/>
      <c r="J124" s="138"/>
      <c r="K124" s="117"/>
      <c r="L124" s="81"/>
      <c r="M124" s="81"/>
      <c r="N124" s="81"/>
    </row>
    <row r="125" spans="1:14" ht="14.25" customHeight="1" x14ac:dyDescent="0.25">
      <c r="A125" s="99" t="s">
        <v>598</v>
      </c>
      <c r="B125" s="100" t="s">
        <v>564</v>
      </c>
      <c r="C125" s="106">
        <v>1700</v>
      </c>
      <c r="D125" s="104">
        <v>7.0000000000000007E-2</v>
      </c>
      <c r="E125" s="108"/>
      <c r="F125" s="101">
        <f t="shared" si="4"/>
        <v>119.00000000000001</v>
      </c>
      <c r="G125" s="81"/>
      <c r="H125" s="81"/>
      <c r="I125" s="117"/>
      <c r="J125" s="138"/>
      <c r="K125" s="117"/>
      <c r="L125" s="81"/>
      <c r="M125" s="81"/>
      <c r="N125" s="81"/>
    </row>
    <row r="126" spans="1:14" ht="14.25" customHeight="1" x14ac:dyDescent="0.25">
      <c r="A126" s="99" t="s">
        <v>599</v>
      </c>
      <c r="B126" s="100" t="s">
        <v>564</v>
      </c>
      <c r="C126" s="106">
        <v>4375</v>
      </c>
      <c r="D126" s="104">
        <v>7.0000000000000007E-2</v>
      </c>
      <c r="E126" s="108"/>
      <c r="F126" s="101">
        <f t="shared" si="4"/>
        <v>306.25000000000006</v>
      </c>
      <c r="G126" s="81"/>
      <c r="H126" s="81"/>
      <c r="I126" s="117"/>
      <c r="J126" s="138"/>
      <c r="K126" s="117"/>
      <c r="L126" s="81"/>
      <c r="M126" s="81"/>
      <c r="N126" s="81"/>
    </row>
    <row r="127" spans="1:14" ht="14.25" customHeight="1" x14ac:dyDescent="0.25">
      <c r="A127" s="99" t="s">
        <v>600</v>
      </c>
      <c r="B127" s="100" t="s">
        <v>564</v>
      </c>
      <c r="C127" s="106">
        <v>16000</v>
      </c>
      <c r="D127" s="104">
        <v>0.05</v>
      </c>
      <c r="E127" s="108"/>
      <c r="F127" s="101">
        <f t="shared" si="4"/>
        <v>800</v>
      </c>
      <c r="G127" s="81"/>
      <c r="H127" s="81"/>
      <c r="I127" s="117"/>
      <c r="J127" s="81"/>
      <c r="K127" s="117"/>
      <c r="L127" s="81"/>
      <c r="M127" s="81"/>
      <c r="N127" s="81"/>
    </row>
    <row r="128" spans="1:14" ht="25.5" x14ac:dyDescent="0.25">
      <c r="A128" s="99" t="s">
        <v>601</v>
      </c>
      <c r="B128" s="100" t="s">
        <v>64</v>
      </c>
      <c r="C128" s="101">
        <v>377055</v>
      </c>
      <c r="D128" s="104">
        <v>0.12</v>
      </c>
      <c r="E128" s="102">
        <v>0.05</v>
      </c>
      <c r="F128" s="101">
        <f t="shared" si="4"/>
        <v>47508.93</v>
      </c>
      <c r="G128" s="81"/>
      <c r="H128" s="81"/>
      <c r="I128" s="117"/>
      <c r="J128" s="138"/>
      <c r="K128" s="117"/>
      <c r="L128" s="81"/>
      <c r="M128" s="81"/>
      <c r="N128" s="81"/>
    </row>
    <row r="129" spans="1:14" ht="14.25" customHeight="1" x14ac:dyDescent="0.25">
      <c r="A129" s="103" t="s">
        <v>602</v>
      </c>
      <c r="B129" s="100" t="s">
        <v>99</v>
      </c>
      <c r="C129" s="101">
        <v>320</v>
      </c>
      <c r="D129" s="104">
        <v>1.5</v>
      </c>
      <c r="E129" s="102"/>
      <c r="F129" s="101">
        <f t="shared" si="4"/>
        <v>480</v>
      </c>
      <c r="G129" s="81"/>
      <c r="H129" s="81"/>
      <c r="I129" s="81"/>
      <c r="J129" s="139"/>
      <c r="K129" s="117"/>
      <c r="L129" s="81"/>
      <c r="M129" s="81"/>
      <c r="N129" s="81"/>
    </row>
    <row r="130" spans="1:14" ht="14.25" customHeight="1" x14ac:dyDescent="0.25">
      <c r="A130" s="103" t="s">
        <v>603</v>
      </c>
      <c r="B130" s="100" t="s">
        <v>99</v>
      </c>
      <c r="C130" s="101">
        <v>720</v>
      </c>
      <c r="D130" s="104">
        <v>1.5</v>
      </c>
      <c r="E130" s="102"/>
      <c r="F130" s="101">
        <f t="shared" si="4"/>
        <v>1080</v>
      </c>
      <c r="G130" s="81"/>
      <c r="H130" s="81"/>
      <c r="I130" s="81"/>
      <c r="J130" s="81"/>
      <c r="K130" s="117"/>
      <c r="L130" s="81"/>
      <c r="M130" s="81"/>
      <c r="N130" s="81"/>
    </row>
    <row r="131" spans="1:14" ht="14.25" customHeight="1" x14ac:dyDescent="0.25">
      <c r="A131" s="103"/>
      <c r="B131" s="100"/>
      <c r="C131" s="101"/>
      <c r="D131" s="105"/>
      <c r="E131" s="102"/>
      <c r="F131" s="101"/>
      <c r="G131" s="81"/>
      <c r="H131" s="81"/>
      <c r="I131" s="81"/>
      <c r="J131" s="81"/>
      <c r="K131" s="117"/>
      <c r="L131" s="81"/>
      <c r="M131" s="81"/>
      <c r="N131" s="81"/>
    </row>
    <row r="132" spans="1:14" ht="14.25" customHeight="1" x14ac:dyDescent="0.25">
      <c r="A132" s="99"/>
      <c r="B132" s="100"/>
      <c r="C132" s="106"/>
      <c r="D132" s="107"/>
      <c r="E132" s="108"/>
      <c r="F132" s="106"/>
      <c r="G132" s="81"/>
      <c r="H132" s="81"/>
      <c r="I132" s="81"/>
      <c r="J132" s="81"/>
      <c r="K132" s="81"/>
      <c r="L132" s="81"/>
      <c r="M132" s="81"/>
      <c r="N132" s="81"/>
    </row>
    <row r="133" spans="1:14" ht="14.25" customHeight="1" x14ac:dyDescent="0.25">
      <c r="A133" s="97" t="s">
        <v>548</v>
      </c>
      <c r="B133" s="97"/>
      <c r="C133" s="109"/>
      <c r="D133" s="110"/>
      <c r="E133" s="111"/>
      <c r="F133" s="112">
        <f>SUM(F120:F132)</f>
        <v>228032.93</v>
      </c>
      <c r="G133" s="81"/>
      <c r="H133" s="81"/>
      <c r="I133" s="81"/>
      <c r="J133" s="81"/>
      <c r="K133" s="81"/>
      <c r="L133" s="81"/>
      <c r="M133" s="81"/>
      <c r="N133" s="81"/>
    </row>
    <row r="134" spans="1:14" ht="14.25" customHeight="1" x14ac:dyDescent="0.25">
      <c r="A134" s="88"/>
      <c r="B134" s="88"/>
      <c r="C134" s="113"/>
      <c r="D134" s="113"/>
      <c r="E134" s="114"/>
      <c r="F134" s="113"/>
      <c r="G134" s="81"/>
      <c r="H134" s="81"/>
      <c r="I134" s="81"/>
      <c r="J134" s="81"/>
      <c r="K134" s="81"/>
      <c r="L134" s="81"/>
      <c r="M134" s="81"/>
      <c r="N134" s="81"/>
    </row>
    <row r="135" spans="1:14" ht="14.25" customHeight="1" x14ac:dyDescent="0.25">
      <c r="A135" s="96" t="s">
        <v>573</v>
      </c>
      <c r="B135" s="96"/>
      <c r="C135" s="92"/>
      <c r="D135" s="92"/>
      <c r="E135" s="92"/>
      <c r="F135" s="92"/>
      <c r="G135" s="81"/>
      <c r="H135" s="81"/>
      <c r="I135" s="81"/>
      <c r="J135" s="81"/>
      <c r="K135" s="81"/>
      <c r="L135" s="81"/>
      <c r="M135" s="81"/>
      <c r="N135" s="81"/>
    </row>
    <row r="136" spans="1:14" ht="14.25" customHeight="1" x14ac:dyDescent="0.25">
      <c r="A136" s="611" t="s">
        <v>563</v>
      </c>
      <c r="B136" s="608"/>
      <c r="C136" s="609"/>
      <c r="D136" s="98" t="s">
        <v>574</v>
      </c>
      <c r="E136" s="98" t="s">
        <v>575</v>
      </c>
      <c r="F136" s="98" t="s">
        <v>568</v>
      </c>
      <c r="G136" s="81"/>
      <c r="H136" s="81"/>
      <c r="I136" s="81"/>
      <c r="J136" s="81"/>
      <c r="K136" s="81"/>
      <c r="L136" s="81"/>
      <c r="M136" s="81"/>
      <c r="N136" s="81"/>
    </row>
    <row r="137" spans="1:14" ht="14.25" customHeight="1" x14ac:dyDescent="0.25">
      <c r="A137" s="607" t="s">
        <v>577</v>
      </c>
      <c r="B137" s="608"/>
      <c r="C137" s="609"/>
      <c r="D137" s="116"/>
      <c r="E137" s="107"/>
      <c r="F137" s="106">
        <f>+F148*5%</f>
        <v>2430.7145637322669</v>
      </c>
      <c r="G137" s="81"/>
      <c r="H137" s="81"/>
      <c r="I137" s="81"/>
      <c r="J137" s="81"/>
      <c r="K137" s="81"/>
      <c r="L137" s="81"/>
      <c r="M137" s="81"/>
      <c r="N137" s="81"/>
    </row>
    <row r="138" spans="1:14" ht="14.25" customHeight="1" x14ac:dyDescent="0.25">
      <c r="A138" s="607"/>
      <c r="B138" s="608"/>
      <c r="C138" s="609"/>
      <c r="D138" s="116"/>
      <c r="E138" s="107"/>
      <c r="F138" s="106"/>
      <c r="G138" s="81"/>
      <c r="H138" s="81"/>
      <c r="I138" s="81"/>
      <c r="J138" s="81"/>
      <c r="K138" s="81"/>
      <c r="L138" s="81"/>
      <c r="M138" s="81"/>
      <c r="N138" s="81"/>
    </row>
    <row r="139" spans="1:14" ht="14.25" customHeight="1" x14ac:dyDescent="0.25">
      <c r="A139" s="610"/>
      <c r="B139" s="608"/>
      <c r="C139" s="609"/>
      <c r="D139" s="115"/>
      <c r="E139" s="107"/>
      <c r="F139" s="106"/>
      <c r="G139" s="81"/>
      <c r="H139" s="81"/>
      <c r="I139" s="81"/>
      <c r="J139" s="81"/>
      <c r="K139" s="81"/>
      <c r="L139" s="81"/>
      <c r="M139" s="81"/>
      <c r="N139" s="81"/>
    </row>
    <row r="140" spans="1:14" ht="14.25" customHeight="1" x14ac:dyDescent="0.25">
      <c r="A140" s="611" t="s">
        <v>548</v>
      </c>
      <c r="B140" s="608"/>
      <c r="C140" s="609"/>
      <c r="D140" s="110"/>
      <c r="E140" s="110"/>
      <c r="F140" s="112">
        <f>SUM(F137)</f>
        <v>2430.7145637322669</v>
      </c>
      <c r="G140" s="81"/>
      <c r="H140" s="81"/>
      <c r="I140" s="81"/>
      <c r="J140" s="81"/>
      <c r="K140" s="81"/>
      <c r="L140" s="81"/>
      <c r="M140" s="81"/>
      <c r="N140" s="81"/>
    </row>
    <row r="141" spans="1:14" ht="14.25" customHeight="1" x14ac:dyDescent="0.25">
      <c r="A141" s="88"/>
      <c r="B141" s="88"/>
      <c r="C141" s="89"/>
      <c r="D141" s="113"/>
      <c r="E141" s="113"/>
      <c r="F141" s="113"/>
      <c r="G141" s="81"/>
      <c r="H141" s="81"/>
      <c r="I141" s="81"/>
      <c r="J141" s="81"/>
      <c r="K141" s="81"/>
      <c r="L141" s="81"/>
      <c r="M141" s="81"/>
      <c r="N141" s="81"/>
    </row>
    <row r="142" spans="1:14" ht="14.25" customHeight="1" x14ac:dyDescent="0.25">
      <c r="A142" s="96" t="s">
        <v>578</v>
      </c>
      <c r="B142" s="96"/>
      <c r="C142" s="92"/>
      <c r="D142" s="118"/>
      <c r="E142" s="118"/>
      <c r="F142" s="118"/>
      <c r="G142" s="81"/>
      <c r="H142" s="81"/>
      <c r="I142" s="81"/>
      <c r="J142" s="81"/>
      <c r="K142" s="81"/>
      <c r="L142" s="81"/>
      <c r="M142" s="81"/>
      <c r="N142" s="81"/>
    </row>
    <row r="143" spans="1:14" ht="14.25" customHeight="1" x14ac:dyDescent="0.25">
      <c r="A143" s="119" t="s">
        <v>563</v>
      </c>
      <c r="B143" s="120" t="s">
        <v>579</v>
      </c>
      <c r="C143" s="120" t="s">
        <v>580</v>
      </c>
      <c r="D143" s="121" t="s">
        <v>581</v>
      </c>
      <c r="E143" s="121" t="s">
        <v>575</v>
      </c>
      <c r="F143" s="121" t="s">
        <v>568</v>
      </c>
      <c r="G143" s="81"/>
      <c r="H143" s="81"/>
      <c r="I143" s="81"/>
      <c r="J143" s="81"/>
      <c r="K143" s="81"/>
      <c r="L143" s="81"/>
      <c r="M143" s="81"/>
      <c r="N143" s="81"/>
    </row>
    <row r="144" spans="1:14" ht="14.25" customHeight="1" x14ac:dyDescent="0.25">
      <c r="A144" s="122" t="s">
        <v>593</v>
      </c>
      <c r="B144" s="127">
        <v>1</v>
      </c>
      <c r="C144" s="101">
        <v>32688</v>
      </c>
      <c r="D144" s="101">
        <f t="shared" ref="D144:D145" si="5">+C144*1.7</f>
        <v>55569.599999999999</v>
      </c>
      <c r="E144" s="107">
        <v>2.98028</v>
      </c>
      <c r="F144" s="106">
        <f t="shared" ref="F144:F145" si="6">+B144*(D144)/E144</f>
        <v>18645.764827465875</v>
      </c>
      <c r="G144" s="81"/>
      <c r="H144" s="81"/>
      <c r="I144" s="81"/>
      <c r="J144" s="81"/>
      <c r="K144" s="81"/>
      <c r="L144" s="81"/>
      <c r="M144" s="81"/>
      <c r="N144" s="81"/>
    </row>
    <row r="145" spans="1:14" ht="14.25" customHeight="1" x14ac:dyDescent="0.25">
      <c r="A145" s="122" t="s">
        <v>594</v>
      </c>
      <c r="B145" s="127">
        <v>1</v>
      </c>
      <c r="C145" s="101">
        <v>52538</v>
      </c>
      <c r="D145" s="101">
        <f t="shared" si="5"/>
        <v>89314.599999999991</v>
      </c>
      <c r="E145" s="107">
        <f>+E144</f>
        <v>2.98028</v>
      </c>
      <c r="F145" s="106">
        <f t="shared" si="6"/>
        <v>29968.526447179458</v>
      </c>
      <c r="G145" s="81"/>
      <c r="H145" s="81"/>
      <c r="I145" s="81"/>
      <c r="J145" s="81"/>
      <c r="K145" s="81"/>
      <c r="L145" s="81"/>
      <c r="M145" s="81"/>
      <c r="N145" s="81"/>
    </row>
    <row r="146" spans="1:14" ht="14.25" customHeight="1" x14ac:dyDescent="0.25">
      <c r="A146" s="122"/>
      <c r="B146" s="127"/>
      <c r="C146" s="101"/>
      <c r="D146" s="101"/>
      <c r="E146" s="107"/>
      <c r="F146" s="106"/>
      <c r="G146" s="81"/>
      <c r="H146" s="81"/>
      <c r="I146" s="81"/>
      <c r="J146" s="81"/>
      <c r="K146" s="81"/>
      <c r="L146" s="81"/>
      <c r="M146" s="81"/>
      <c r="N146" s="81"/>
    </row>
    <row r="147" spans="1:14" ht="14.25" customHeight="1" x14ac:dyDescent="0.25">
      <c r="A147" s="122"/>
      <c r="B147" s="127"/>
      <c r="C147" s="101"/>
      <c r="D147" s="101"/>
      <c r="E147" s="125"/>
      <c r="F147" s="106"/>
      <c r="G147" s="81"/>
      <c r="H147" s="81"/>
      <c r="I147" s="81"/>
      <c r="J147" s="81"/>
      <c r="K147" s="81"/>
      <c r="L147" s="81"/>
      <c r="M147" s="81"/>
      <c r="N147" s="81"/>
    </row>
    <row r="148" spans="1:14" ht="14.25" customHeight="1" x14ac:dyDescent="0.25">
      <c r="A148" s="97" t="s">
        <v>548</v>
      </c>
      <c r="B148" s="128"/>
      <c r="C148" s="110"/>
      <c r="D148" s="110"/>
      <c r="E148" s="110"/>
      <c r="F148" s="112">
        <f>SUM(F144:F147)</f>
        <v>48614.291274645337</v>
      </c>
      <c r="G148" s="81"/>
      <c r="H148" s="81"/>
      <c r="I148" s="81"/>
      <c r="J148" s="81"/>
      <c r="K148" s="81"/>
      <c r="L148" s="81"/>
      <c r="M148" s="81"/>
      <c r="N148" s="81"/>
    </row>
    <row r="149" spans="1:14" ht="14.25" customHeight="1" x14ac:dyDescent="0.25">
      <c r="A149" s="96"/>
      <c r="B149" s="129"/>
      <c r="C149" s="118"/>
      <c r="D149" s="118"/>
      <c r="E149" s="118"/>
      <c r="F149" s="118"/>
      <c r="G149" s="81"/>
      <c r="H149" s="81"/>
      <c r="I149" s="81"/>
      <c r="J149" s="81"/>
      <c r="K149" s="81"/>
      <c r="L149" s="81"/>
      <c r="M149" s="81"/>
      <c r="N149" s="81"/>
    </row>
    <row r="150" spans="1:14" ht="14.25" customHeight="1" x14ac:dyDescent="0.25">
      <c r="A150" s="95" t="s">
        <v>583</v>
      </c>
      <c r="B150" s="96"/>
      <c r="C150" s="92"/>
      <c r="D150" s="92"/>
      <c r="E150" s="92" t="s">
        <v>584</v>
      </c>
      <c r="F150" s="92"/>
      <c r="G150" s="81"/>
      <c r="H150" s="81"/>
      <c r="I150" s="81"/>
      <c r="J150" s="81"/>
      <c r="K150" s="81"/>
      <c r="L150" s="81"/>
      <c r="M150" s="81"/>
      <c r="N150" s="81"/>
    </row>
    <row r="151" spans="1:14" ht="14.25" customHeight="1" x14ac:dyDescent="0.25">
      <c r="A151" s="97" t="s">
        <v>563</v>
      </c>
      <c r="B151" s="98" t="s">
        <v>564</v>
      </c>
      <c r="C151" s="98" t="s">
        <v>585</v>
      </c>
      <c r="D151" s="98" t="s">
        <v>586</v>
      </c>
      <c r="E151" s="120" t="s">
        <v>587</v>
      </c>
      <c r="F151" s="98" t="s">
        <v>568</v>
      </c>
      <c r="G151" s="81"/>
      <c r="H151" s="81"/>
      <c r="I151" s="81"/>
      <c r="J151" s="81"/>
      <c r="K151" s="81"/>
      <c r="L151" s="81"/>
      <c r="M151" s="81"/>
      <c r="N151" s="81"/>
    </row>
    <row r="152" spans="1:14" ht="14.25" customHeight="1" x14ac:dyDescent="0.25">
      <c r="A152" s="103" t="s">
        <v>604</v>
      </c>
      <c r="B152" s="100" t="s">
        <v>605</v>
      </c>
      <c r="C152" s="101">
        <v>1000</v>
      </c>
      <c r="D152" s="140">
        <v>4</v>
      </c>
      <c r="E152" s="107">
        <v>1.27542</v>
      </c>
      <c r="F152" s="109">
        <f>+C152*D152*E152</f>
        <v>5101.68</v>
      </c>
      <c r="G152" s="81"/>
      <c r="H152" s="81"/>
      <c r="I152" s="81"/>
      <c r="J152" s="81"/>
      <c r="K152" s="81"/>
      <c r="L152" s="81"/>
      <c r="M152" s="81"/>
      <c r="N152" s="81"/>
    </row>
    <row r="153" spans="1:14" ht="14.25" customHeight="1" x14ac:dyDescent="0.25">
      <c r="A153" s="103"/>
      <c r="B153" s="100"/>
      <c r="C153" s="107"/>
      <c r="D153" s="107"/>
      <c r="E153" s="108"/>
      <c r="F153" s="109"/>
      <c r="G153" s="81"/>
      <c r="H153" s="141"/>
      <c r="I153" s="81"/>
      <c r="J153" s="81"/>
      <c r="K153" s="81"/>
      <c r="L153" s="81"/>
      <c r="M153" s="81"/>
      <c r="N153" s="81"/>
    </row>
    <row r="154" spans="1:14" ht="14.25" customHeight="1" x14ac:dyDescent="0.25">
      <c r="A154" s="97" t="s">
        <v>548</v>
      </c>
      <c r="B154" s="98"/>
      <c r="C154" s="110"/>
      <c r="D154" s="110"/>
      <c r="E154" s="111"/>
      <c r="F154" s="112">
        <f>SUM(F152:F153)</f>
        <v>5101.68</v>
      </c>
      <c r="G154" s="81"/>
      <c r="H154" s="81"/>
      <c r="I154" s="81"/>
      <c r="J154" s="81"/>
      <c r="K154" s="81"/>
      <c r="L154" s="81"/>
      <c r="M154" s="81"/>
      <c r="N154" s="81"/>
    </row>
    <row r="155" spans="1:14" ht="14.25" customHeight="1" x14ac:dyDescent="0.25">
      <c r="A155" s="88"/>
      <c r="B155" s="89"/>
      <c r="C155" s="113"/>
      <c r="D155" s="113"/>
      <c r="E155" s="114"/>
      <c r="F155" s="113"/>
      <c r="G155" s="81"/>
      <c r="H155" s="81"/>
      <c r="I155" s="81"/>
      <c r="J155" s="81"/>
      <c r="K155" s="81"/>
      <c r="L155" s="81"/>
      <c r="M155" s="81"/>
      <c r="N155" s="81"/>
    </row>
    <row r="156" spans="1:14" ht="14.25" customHeight="1" x14ac:dyDescent="0.25">
      <c r="A156" s="88"/>
      <c r="B156" s="89"/>
      <c r="C156" s="113"/>
      <c r="D156" s="113"/>
      <c r="E156" s="114"/>
      <c r="F156" s="113"/>
      <c r="G156" s="81"/>
      <c r="H156" s="81"/>
      <c r="I156" s="81"/>
      <c r="J156" s="81"/>
      <c r="K156" s="81"/>
      <c r="L156" s="81"/>
      <c r="M156" s="81"/>
      <c r="N156" s="81"/>
    </row>
    <row r="157" spans="1:14" ht="14.25" customHeight="1" x14ac:dyDescent="0.25">
      <c r="A157" s="612" t="s">
        <v>588</v>
      </c>
      <c r="B157" s="608"/>
      <c r="C157" s="608"/>
      <c r="D157" s="608"/>
      <c r="E157" s="609"/>
      <c r="F157" s="131">
        <f>ROUND(F133+F140+F148+F154,0)</f>
        <v>284180</v>
      </c>
      <c r="G157" s="81"/>
      <c r="H157" s="117"/>
      <c r="I157" s="81"/>
      <c r="J157" s="81"/>
      <c r="K157" s="81"/>
      <c r="L157" s="81"/>
      <c r="M157" s="81"/>
      <c r="N157" s="81"/>
    </row>
    <row r="158" spans="1:14" ht="14.25" customHeight="1" x14ac:dyDescent="0.25">
      <c r="A158" s="612" t="s">
        <v>589</v>
      </c>
      <c r="B158" s="608"/>
      <c r="C158" s="608"/>
      <c r="D158" s="608"/>
      <c r="E158" s="609"/>
      <c r="F158" s="132"/>
      <c r="G158" s="81"/>
      <c r="H158" s="81"/>
      <c r="I158" s="81"/>
      <c r="J158" s="81"/>
      <c r="K158" s="81"/>
      <c r="L158" s="81"/>
      <c r="M158" s="81"/>
      <c r="N158" s="81"/>
    </row>
    <row r="159" spans="1:14" ht="14.25" customHeight="1" x14ac:dyDescent="0.25">
      <c r="A159" s="612" t="s">
        <v>556</v>
      </c>
      <c r="B159" s="608"/>
      <c r="C159" s="608"/>
      <c r="D159" s="608"/>
      <c r="E159" s="609"/>
      <c r="F159" s="133"/>
      <c r="G159" s="81"/>
      <c r="H159" s="81"/>
      <c r="I159" s="81"/>
      <c r="J159" s="81"/>
      <c r="K159" s="81"/>
      <c r="L159" s="81"/>
      <c r="M159" s="81"/>
      <c r="N159" s="81"/>
    </row>
    <row r="160" spans="1:14" ht="14.25" customHeight="1" x14ac:dyDescent="0.25">
      <c r="A160" s="134"/>
      <c r="B160" s="135"/>
      <c r="C160" s="135"/>
      <c r="D160" s="135"/>
      <c r="E160" s="135"/>
      <c r="F160" s="136"/>
      <c r="G160" s="81"/>
      <c r="H160" s="81"/>
      <c r="I160" s="81"/>
      <c r="J160" s="81"/>
      <c r="K160" s="81"/>
      <c r="L160" s="81"/>
      <c r="M160" s="81"/>
      <c r="N160" s="81"/>
    </row>
    <row r="161" spans="1:14" ht="14.25" customHeight="1" x14ac:dyDescent="0.25">
      <c r="A161" s="81"/>
      <c r="B161" s="81"/>
      <c r="C161" s="137"/>
      <c r="D161" s="81"/>
      <c r="E161" s="81"/>
      <c r="F161" s="81"/>
      <c r="G161" s="81"/>
      <c r="H161" s="81"/>
      <c r="I161" s="81"/>
      <c r="J161" s="81"/>
      <c r="K161" s="81"/>
      <c r="L161" s="81"/>
      <c r="M161" s="81"/>
      <c r="N161" s="81"/>
    </row>
    <row r="162" spans="1:14" ht="14.25" customHeight="1" x14ac:dyDescent="0.25">
      <c r="A162" s="81"/>
      <c r="B162" s="81"/>
      <c r="C162" s="137"/>
      <c r="D162" s="81"/>
      <c r="E162" s="81"/>
      <c r="F162" s="81"/>
      <c r="G162" s="81"/>
      <c r="H162" s="81"/>
      <c r="I162" s="81"/>
      <c r="J162" s="81"/>
      <c r="K162" s="81"/>
      <c r="L162" s="81"/>
      <c r="M162" s="81"/>
      <c r="N162" s="81"/>
    </row>
    <row r="163" spans="1:14" ht="14.25" customHeight="1" x14ac:dyDescent="0.25">
      <c r="A163" s="81"/>
      <c r="B163" s="81"/>
      <c r="C163" s="137"/>
      <c r="D163" s="81"/>
      <c r="E163" s="81"/>
      <c r="F163" s="81"/>
      <c r="G163" s="81"/>
      <c r="H163" s="81"/>
      <c r="I163" s="81"/>
      <c r="J163" s="81"/>
      <c r="K163" s="81"/>
      <c r="L163" s="81"/>
      <c r="M163" s="81"/>
      <c r="N163" s="81"/>
    </row>
    <row r="164" spans="1:14" ht="14.25" customHeight="1" x14ac:dyDescent="0.25">
      <c r="A164" s="81"/>
      <c r="B164" s="81"/>
      <c r="C164" s="137"/>
      <c r="D164" s="81"/>
      <c r="E164" s="81"/>
      <c r="F164" s="81"/>
      <c r="G164" s="81"/>
      <c r="H164" s="81"/>
      <c r="I164" s="81"/>
      <c r="J164" s="81"/>
      <c r="K164" s="81"/>
      <c r="L164" s="81"/>
      <c r="M164" s="81"/>
      <c r="N164" s="81"/>
    </row>
    <row r="165" spans="1:14" ht="14.25" customHeight="1" x14ac:dyDescent="0.25">
      <c r="A165" s="81"/>
      <c r="B165" s="81"/>
      <c r="C165" s="137"/>
      <c r="D165" s="81"/>
      <c r="E165" s="81"/>
      <c r="F165" s="81"/>
      <c r="G165" s="81"/>
      <c r="H165" s="81"/>
      <c r="I165" s="81"/>
      <c r="J165" s="81"/>
      <c r="K165" s="81"/>
      <c r="L165" s="81"/>
      <c r="M165" s="81"/>
      <c r="N165" s="81"/>
    </row>
    <row r="166" spans="1:14" ht="14.25" customHeight="1" x14ac:dyDescent="0.25">
      <c r="A166" s="81"/>
      <c r="B166" s="81"/>
      <c r="C166" s="137"/>
      <c r="D166" s="81"/>
      <c r="E166" s="81"/>
      <c r="F166" s="81"/>
      <c r="G166" s="81"/>
      <c r="H166" s="81"/>
      <c r="I166" s="81"/>
      <c r="J166" s="81"/>
      <c r="K166" s="81"/>
      <c r="L166" s="81"/>
      <c r="M166" s="81"/>
      <c r="N166" s="81"/>
    </row>
    <row r="167" spans="1:14" ht="14.25" customHeight="1" x14ac:dyDescent="0.25">
      <c r="A167" s="81"/>
      <c r="B167" s="81"/>
      <c r="C167" s="137"/>
      <c r="D167" s="81"/>
      <c r="E167" s="81"/>
      <c r="F167" s="81"/>
      <c r="G167" s="81"/>
      <c r="H167" s="81"/>
      <c r="I167" s="81"/>
      <c r="J167" s="81"/>
      <c r="K167" s="81"/>
      <c r="L167" s="81"/>
      <c r="M167" s="81"/>
      <c r="N167" s="81"/>
    </row>
    <row r="168" spans="1:14" ht="14.25" customHeight="1" x14ac:dyDescent="0.25">
      <c r="A168" s="134"/>
      <c r="B168" s="135"/>
      <c r="C168" s="135"/>
      <c r="D168" s="135"/>
      <c r="E168" s="135"/>
      <c r="F168" s="136"/>
      <c r="G168" s="81"/>
      <c r="H168" s="81"/>
      <c r="I168" s="81"/>
      <c r="J168" s="81"/>
      <c r="K168" s="81"/>
      <c r="L168" s="81"/>
      <c r="M168" s="81"/>
      <c r="N168" s="81"/>
    </row>
    <row r="169" spans="1:14" ht="14.25" customHeight="1" x14ac:dyDescent="0.25">
      <c r="A169" s="134"/>
      <c r="B169" s="135"/>
      <c r="C169" s="135"/>
      <c r="D169" s="135"/>
      <c r="E169" s="135"/>
      <c r="F169" s="136"/>
      <c r="G169" s="81"/>
      <c r="H169" s="81"/>
      <c r="I169" s="81"/>
      <c r="J169" s="81"/>
      <c r="K169" s="81"/>
      <c r="L169" s="81"/>
      <c r="M169" s="81"/>
      <c r="N169" s="81"/>
    </row>
    <row r="170" spans="1:14" ht="14.25" customHeight="1" x14ac:dyDescent="0.25">
      <c r="A170" s="134"/>
      <c r="B170" s="135"/>
      <c r="C170" s="135"/>
      <c r="D170" s="135"/>
      <c r="E170" s="135"/>
      <c r="F170" s="136"/>
      <c r="G170" s="81"/>
      <c r="H170" s="81"/>
      <c r="I170" s="81"/>
      <c r="J170" s="81"/>
      <c r="K170" s="81"/>
      <c r="L170" s="81"/>
      <c r="M170" s="81"/>
      <c r="N170" s="81"/>
    </row>
    <row r="171" spans="1:14" ht="14.25" customHeight="1" thickBot="1" x14ac:dyDescent="0.3">
      <c r="A171" s="81"/>
      <c r="B171" s="81"/>
      <c r="C171" s="81"/>
      <c r="D171" s="81"/>
      <c r="E171" s="81"/>
      <c r="F171" s="81"/>
      <c r="G171" s="81"/>
      <c r="H171" s="81"/>
      <c r="I171" s="81"/>
      <c r="J171" s="81"/>
      <c r="K171" s="81"/>
      <c r="L171" s="81"/>
      <c r="M171" s="81"/>
      <c r="N171" s="81"/>
    </row>
    <row r="172" spans="1:14" ht="14.25" customHeight="1" x14ac:dyDescent="0.25">
      <c r="A172" s="83"/>
      <c r="B172" s="84"/>
      <c r="C172" s="85"/>
      <c r="D172" s="86"/>
      <c r="E172" s="86"/>
      <c r="F172" s="87"/>
      <c r="G172" s="81"/>
      <c r="H172" s="81"/>
      <c r="I172" s="81"/>
      <c r="J172" s="81"/>
      <c r="K172" s="81"/>
      <c r="L172" s="81"/>
      <c r="M172" s="81"/>
      <c r="N172" s="81"/>
    </row>
    <row r="173" spans="1:14" ht="14.25" customHeight="1" x14ac:dyDescent="0.25">
      <c r="A173" s="599"/>
      <c r="B173" s="600"/>
      <c r="C173" s="600"/>
      <c r="D173" s="600"/>
      <c r="E173" s="600"/>
      <c r="F173" s="601"/>
      <c r="G173" s="81"/>
      <c r="H173" s="81"/>
      <c r="I173" s="81"/>
      <c r="J173" s="81"/>
      <c r="K173" s="81"/>
      <c r="L173" s="81"/>
      <c r="M173" s="81"/>
      <c r="N173" s="81"/>
    </row>
    <row r="174" spans="1:14" ht="14.25" customHeight="1" x14ac:dyDescent="0.25">
      <c r="A174" s="602" t="s">
        <v>561</v>
      </c>
      <c r="B174" s="600"/>
      <c r="C174" s="600"/>
      <c r="D174" s="600"/>
      <c r="E174" s="600"/>
      <c r="F174" s="601"/>
      <c r="G174" s="81"/>
      <c r="H174" s="81"/>
      <c r="I174" s="81"/>
      <c r="J174" s="81"/>
      <c r="K174" s="81"/>
      <c r="L174" s="81"/>
      <c r="M174" s="81"/>
      <c r="N174" s="81"/>
    </row>
    <row r="175" spans="1:14" ht="14.25" customHeight="1" thickBot="1" x14ac:dyDescent="0.3">
      <c r="A175" s="603"/>
      <c r="B175" s="604"/>
      <c r="C175" s="604"/>
      <c r="D175" s="604"/>
      <c r="E175" s="604"/>
      <c r="F175" s="605"/>
      <c r="G175" s="81"/>
      <c r="H175" s="81"/>
      <c r="I175" s="81"/>
      <c r="J175" s="81"/>
      <c r="K175" s="81"/>
      <c r="L175" s="81"/>
      <c r="M175" s="81"/>
      <c r="N175" s="81"/>
    </row>
    <row r="176" spans="1:14" ht="14.25" customHeight="1" x14ac:dyDescent="0.25">
      <c r="A176" s="88"/>
      <c r="B176" s="88"/>
      <c r="C176" s="89"/>
      <c r="D176" s="89"/>
      <c r="E176" s="89"/>
      <c r="F176" s="89"/>
      <c r="G176" s="81"/>
      <c r="H176" s="81"/>
      <c r="I176" s="81"/>
      <c r="J176" s="81"/>
      <c r="K176" s="81"/>
      <c r="L176" s="81"/>
      <c r="M176" s="81"/>
      <c r="N176" s="81"/>
    </row>
    <row r="177" spans="1:14" ht="18" customHeight="1" x14ac:dyDescent="0.25">
      <c r="A177" s="90" t="s">
        <v>47</v>
      </c>
      <c r="B177" s="613" t="s">
        <v>63</v>
      </c>
      <c r="C177" s="600"/>
      <c r="D177" s="600"/>
      <c r="E177" s="600"/>
      <c r="F177" s="600"/>
      <c r="G177" s="81"/>
      <c r="H177" s="81"/>
      <c r="I177" s="81"/>
      <c r="J177" s="81"/>
      <c r="K177" s="81"/>
      <c r="L177" s="81"/>
      <c r="M177" s="81"/>
      <c r="N177" s="81"/>
    </row>
    <row r="178" spans="1:14" ht="14.25" customHeight="1" x14ac:dyDescent="0.25">
      <c r="A178" s="91"/>
      <c r="B178" s="91"/>
      <c r="C178" s="91"/>
      <c r="D178" s="91"/>
      <c r="E178" s="91"/>
      <c r="F178" s="91"/>
      <c r="G178" s="81"/>
      <c r="H178" s="81"/>
      <c r="I178" s="81"/>
      <c r="J178" s="81"/>
      <c r="K178" s="81"/>
      <c r="L178" s="81"/>
      <c r="M178" s="81"/>
      <c r="N178" s="81"/>
    </row>
    <row r="179" spans="1:14" ht="14.25" customHeight="1" x14ac:dyDescent="0.25">
      <c r="A179" s="88" t="s">
        <v>49</v>
      </c>
      <c r="B179" s="92" t="s">
        <v>64</v>
      </c>
      <c r="C179" s="89"/>
      <c r="D179" s="89"/>
      <c r="E179" s="89"/>
      <c r="F179" s="93"/>
      <c r="G179" s="81"/>
      <c r="H179" s="81"/>
      <c r="I179" s="81"/>
      <c r="J179" s="81"/>
      <c r="K179" s="81"/>
      <c r="L179" s="81"/>
      <c r="M179" s="81"/>
      <c r="N179" s="81"/>
    </row>
    <row r="180" spans="1:14" ht="14.25" customHeight="1" x14ac:dyDescent="0.25">
      <c r="A180" s="88"/>
      <c r="B180" s="94"/>
      <c r="C180" s="89"/>
      <c r="D180" s="89"/>
      <c r="E180" s="89"/>
      <c r="F180" s="93"/>
      <c r="G180" s="81"/>
      <c r="H180" s="81"/>
      <c r="I180" s="81"/>
      <c r="J180" s="81"/>
      <c r="K180" s="81"/>
      <c r="L180" s="81"/>
      <c r="M180" s="81"/>
      <c r="N180" s="81"/>
    </row>
    <row r="181" spans="1:14" ht="14.25" customHeight="1" x14ac:dyDescent="0.25">
      <c r="A181" s="95" t="s">
        <v>562</v>
      </c>
      <c r="B181" s="96"/>
      <c r="C181" s="92"/>
      <c r="D181" s="92"/>
      <c r="E181" s="92"/>
      <c r="F181" s="92"/>
      <c r="G181" s="81"/>
      <c r="H181" s="81"/>
      <c r="I181" s="81"/>
      <c r="J181" s="81"/>
      <c r="K181" s="81"/>
      <c r="L181" s="81"/>
      <c r="M181" s="81"/>
      <c r="N181" s="81"/>
    </row>
    <row r="182" spans="1:14" ht="14.25" customHeight="1" x14ac:dyDescent="0.25">
      <c r="A182" s="97" t="s">
        <v>563</v>
      </c>
      <c r="B182" s="98" t="s">
        <v>564</v>
      </c>
      <c r="C182" s="98" t="s">
        <v>565</v>
      </c>
      <c r="D182" s="98" t="s">
        <v>566</v>
      </c>
      <c r="E182" s="98" t="s">
        <v>567</v>
      </c>
      <c r="F182" s="98" t="s">
        <v>568</v>
      </c>
      <c r="G182" s="81"/>
      <c r="H182" s="81"/>
      <c r="I182" s="81"/>
      <c r="J182" s="81"/>
      <c r="K182" s="81"/>
      <c r="L182" s="81"/>
      <c r="M182" s="81"/>
      <c r="N182" s="81"/>
    </row>
    <row r="183" spans="1:14" ht="22.5" customHeight="1" x14ac:dyDescent="0.25">
      <c r="A183" s="99" t="s">
        <v>606</v>
      </c>
      <c r="B183" s="100" t="s">
        <v>64</v>
      </c>
      <c r="C183" s="101">
        <v>7500</v>
      </c>
      <c r="D183" s="104">
        <v>1.3</v>
      </c>
      <c r="E183" s="102"/>
      <c r="F183" s="101">
        <f t="shared" ref="F183:F184" si="7">C183*(D183+(D183*E183))</f>
        <v>9750</v>
      </c>
      <c r="G183" s="81"/>
      <c r="H183" s="81"/>
      <c r="I183" s="81"/>
      <c r="J183" s="81"/>
      <c r="K183" s="81"/>
      <c r="L183" s="81"/>
      <c r="M183" s="81"/>
      <c r="N183" s="81"/>
    </row>
    <row r="184" spans="1:14" ht="14.25" customHeight="1" x14ac:dyDescent="0.25">
      <c r="A184" s="99"/>
      <c r="B184" s="100"/>
      <c r="C184" s="101"/>
      <c r="D184" s="104"/>
      <c r="E184" s="102"/>
      <c r="F184" s="101">
        <f t="shared" si="7"/>
        <v>0</v>
      </c>
      <c r="G184" s="81"/>
      <c r="H184" s="81"/>
      <c r="I184" s="81"/>
      <c r="J184" s="81"/>
      <c r="K184" s="81"/>
      <c r="L184" s="81"/>
      <c r="M184" s="81"/>
      <c r="N184" s="81"/>
    </row>
    <row r="185" spans="1:14" ht="14.25" customHeight="1" x14ac:dyDescent="0.25">
      <c r="A185" s="103"/>
      <c r="B185" s="100"/>
      <c r="C185" s="101"/>
      <c r="D185" s="104"/>
      <c r="E185" s="102"/>
      <c r="F185" s="101"/>
      <c r="G185" s="81"/>
      <c r="H185" s="81"/>
      <c r="I185" s="81"/>
      <c r="J185" s="81"/>
      <c r="K185" s="81"/>
      <c r="L185" s="81"/>
      <c r="M185" s="81"/>
      <c r="N185" s="81"/>
    </row>
    <row r="186" spans="1:14" ht="14.25" customHeight="1" x14ac:dyDescent="0.25">
      <c r="A186" s="99"/>
      <c r="B186" s="100"/>
      <c r="C186" s="101"/>
      <c r="D186" s="104"/>
      <c r="E186" s="102"/>
      <c r="F186" s="101"/>
      <c r="G186" s="81"/>
      <c r="H186" s="81"/>
      <c r="I186" s="81"/>
      <c r="J186" s="81"/>
      <c r="K186" s="81"/>
      <c r="L186" s="81"/>
      <c r="M186" s="81"/>
      <c r="N186" s="81"/>
    </row>
    <row r="187" spans="1:14" ht="14.25" customHeight="1" x14ac:dyDescent="0.25">
      <c r="A187" s="99"/>
      <c r="B187" s="100"/>
      <c r="C187" s="106"/>
      <c r="D187" s="104"/>
      <c r="E187" s="102"/>
      <c r="F187" s="101"/>
      <c r="G187" s="81"/>
      <c r="H187" s="81"/>
      <c r="I187" s="81"/>
      <c r="J187" s="81"/>
      <c r="K187" s="81"/>
      <c r="L187" s="81"/>
      <c r="M187" s="81"/>
      <c r="N187" s="81"/>
    </row>
    <row r="188" spans="1:14" ht="14.25" customHeight="1" x14ac:dyDescent="0.25">
      <c r="A188" s="103"/>
      <c r="B188" s="100"/>
      <c r="C188" s="101"/>
      <c r="D188" s="105"/>
      <c r="E188" s="102"/>
      <c r="F188" s="101"/>
      <c r="G188" s="81"/>
      <c r="H188" s="81"/>
      <c r="I188" s="81"/>
      <c r="J188" s="81"/>
      <c r="K188" s="81"/>
      <c r="L188" s="81"/>
      <c r="M188" s="81"/>
      <c r="N188" s="81"/>
    </row>
    <row r="189" spans="1:14" ht="14.25" customHeight="1" x14ac:dyDescent="0.25">
      <c r="A189" s="99"/>
      <c r="B189" s="100"/>
      <c r="C189" s="106"/>
      <c r="D189" s="107"/>
      <c r="E189" s="108"/>
      <c r="F189" s="106"/>
      <c r="G189" s="81"/>
      <c r="H189" s="81"/>
      <c r="I189" s="81"/>
      <c r="J189" s="81"/>
      <c r="K189" s="81"/>
      <c r="L189" s="81"/>
      <c r="M189" s="81"/>
      <c r="N189" s="81"/>
    </row>
    <row r="190" spans="1:14" ht="14.25" customHeight="1" x14ac:dyDescent="0.25">
      <c r="A190" s="97" t="s">
        <v>548</v>
      </c>
      <c r="B190" s="97"/>
      <c r="C190" s="109"/>
      <c r="D190" s="110"/>
      <c r="E190" s="111"/>
      <c r="F190" s="112">
        <f>SUM(F183:F189)</f>
        <v>9750</v>
      </c>
      <c r="G190" s="81"/>
      <c r="H190" s="81"/>
      <c r="I190" s="81"/>
      <c r="J190" s="81"/>
      <c r="K190" s="81"/>
      <c r="L190" s="81"/>
      <c r="M190" s="81"/>
      <c r="N190" s="81"/>
    </row>
    <row r="191" spans="1:14" ht="14.25" customHeight="1" x14ac:dyDescent="0.25">
      <c r="A191" s="88"/>
      <c r="B191" s="88"/>
      <c r="C191" s="113"/>
      <c r="D191" s="113"/>
      <c r="E191" s="114"/>
      <c r="F191" s="113"/>
      <c r="G191" s="81"/>
      <c r="H191" s="81"/>
      <c r="I191" s="81"/>
      <c r="J191" s="81"/>
      <c r="K191" s="81"/>
      <c r="L191" s="81"/>
      <c r="M191" s="81"/>
      <c r="N191" s="81"/>
    </row>
    <row r="192" spans="1:14" ht="14.25" customHeight="1" x14ac:dyDescent="0.25">
      <c r="A192" s="96" t="s">
        <v>573</v>
      </c>
      <c r="B192" s="96"/>
      <c r="C192" s="92"/>
      <c r="D192" s="92"/>
      <c r="E192" s="92"/>
      <c r="F192" s="92"/>
      <c r="G192" s="81"/>
      <c r="H192" s="81"/>
      <c r="I192" s="81"/>
      <c r="J192" s="81"/>
      <c r="K192" s="81"/>
      <c r="L192" s="81"/>
      <c r="M192" s="81"/>
      <c r="N192" s="81"/>
    </row>
    <row r="193" spans="1:14" ht="14.25" customHeight="1" x14ac:dyDescent="0.25">
      <c r="A193" s="611" t="s">
        <v>563</v>
      </c>
      <c r="B193" s="608"/>
      <c r="C193" s="609"/>
      <c r="D193" s="98" t="s">
        <v>574</v>
      </c>
      <c r="E193" s="98" t="s">
        <v>575</v>
      </c>
      <c r="F193" s="98" t="s">
        <v>568</v>
      </c>
      <c r="G193" s="81"/>
      <c r="H193" s="81"/>
      <c r="I193" s="81"/>
      <c r="J193" s="81"/>
      <c r="K193" s="81"/>
      <c r="L193" s="81"/>
      <c r="M193" s="81"/>
      <c r="N193" s="81"/>
    </row>
    <row r="194" spans="1:14" ht="14.25" customHeight="1" x14ac:dyDescent="0.25">
      <c r="A194" s="607" t="s">
        <v>577</v>
      </c>
      <c r="B194" s="608"/>
      <c r="C194" s="609"/>
      <c r="D194" s="116"/>
      <c r="E194" s="107"/>
      <c r="F194" s="106">
        <f>+F206*5%</f>
        <v>138.88439417177915</v>
      </c>
      <c r="G194" s="81"/>
      <c r="H194" s="81"/>
      <c r="I194" s="81"/>
      <c r="J194" s="81"/>
      <c r="K194" s="81"/>
      <c r="L194" s="81"/>
      <c r="M194" s="81"/>
      <c r="N194" s="81"/>
    </row>
    <row r="195" spans="1:14" ht="14.25" customHeight="1" x14ac:dyDescent="0.25">
      <c r="A195" s="607" t="s">
        <v>607</v>
      </c>
      <c r="B195" s="608"/>
      <c r="C195" s="609"/>
      <c r="D195" s="142">
        <v>180000</v>
      </c>
      <c r="E195" s="107">
        <v>15</v>
      </c>
      <c r="F195" s="106">
        <f t="shared" ref="F195:F196" si="8">D195/E195</f>
        <v>12000</v>
      </c>
      <c r="G195" s="81"/>
      <c r="H195" s="81"/>
      <c r="I195" s="81"/>
      <c r="J195" s="81"/>
      <c r="K195" s="81"/>
      <c r="L195" s="81"/>
      <c r="M195" s="81"/>
      <c r="N195" s="81"/>
    </row>
    <row r="196" spans="1:14" ht="14.25" customHeight="1" x14ac:dyDescent="0.25">
      <c r="A196" s="607" t="s">
        <v>608</v>
      </c>
      <c r="B196" s="608"/>
      <c r="C196" s="609"/>
      <c r="D196" s="142">
        <v>110000</v>
      </c>
      <c r="E196" s="107">
        <v>15</v>
      </c>
      <c r="F196" s="106">
        <f t="shared" si="8"/>
        <v>7333.333333333333</v>
      </c>
      <c r="G196" s="81"/>
      <c r="H196" s="81"/>
      <c r="I196" s="81"/>
      <c r="J196" s="81"/>
      <c r="K196" s="81"/>
      <c r="L196" s="81"/>
      <c r="M196" s="81"/>
      <c r="N196" s="81"/>
    </row>
    <row r="197" spans="1:14" ht="14.25" customHeight="1" x14ac:dyDescent="0.25">
      <c r="A197" s="610"/>
      <c r="B197" s="608"/>
      <c r="C197" s="609"/>
      <c r="D197" s="115"/>
      <c r="E197" s="107"/>
      <c r="F197" s="106"/>
      <c r="G197" s="81"/>
      <c r="H197" s="81"/>
      <c r="I197" s="81"/>
      <c r="J197" s="81"/>
      <c r="K197" s="81"/>
      <c r="L197" s="81"/>
      <c r="M197" s="81"/>
      <c r="N197" s="81"/>
    </row>
    <row r="198" spans="1:14" ht="14.25" customHeight="1" x14ac:dyDescent="0.25">
      <c r="A198" s="611" t="s">
        <v>548</v>
      </c>
      <c r="B198" s="608"/>
      <c r="C198" s="609"/>
      <c r="D198" s="110"/>
      <c r="E198" s="110"/>
      <c r="F198" s="112">
        <f>SUM(F194:F196)</f>
        <v>19472.217727505111</v>
      </c>
      <c r="G198" s="81"/>
      <c r="H198" s="81"/>
      <c r="I198" s="81"/>
      <c r="J198" s="81"/>
      <c r="K198" s="81"/>
      <c r="L198" s="81"/>
      <c r="M198" s="81"/>
      <c r="N198" s="81"/>
    </row>
    <row r="199" spans="1:14" ht="14.25" customHeight="1" x14ac:dyDescent="0.25">
      <c r="A199" s="88"/>
      <c r="B199" s="88"/>
      <c r="C199" s="89"/>
      <c r="D199" s="113"/>
      <c r="E199" s="113"/>
      <c r="F199" s="113"/>
      <c r="G199" s="81"/>
      <c r="H199" s="81"/>
      <c r="I199" s="81"/>
      <c r="J199" s="81"/>
      <c r="K199" s="81"/>
      <c r="L199" s="81"/>
      <c r="M199" s="81"/>
      <c r="N199" s="81"/>
    </row>
    <row r="200" spans="1:14" ht="14.25" customHeight="1" x14ac:dyDescent="0.25">
      <c r="A200" s="96" t="s">
        <v>578</v>
      </c>
      <c r="B200" s="96"/>
      <c r="C200" s="92"/>
      <c r="D200" s="118"/>
      <c r="E200" s="118"/>
      <c r="F200" s="118"/>
      <c r="G200" s="81"/>
      <c r="H200" s="81"/>
      <c r="I200" s="81"/>
      <c r="J200" s="81"/>
      <c r="K200" s="81"/>
      <c r="L200" s="81"/>
      <c r="M200" s="81"/>
      <c r="N200" s="81"/>
    </row>
    <row r="201" spans="1:14" ht="14.25" customHeight="1" x14ac:dyDescent="0.25">
      <c r="A201" s="119" t="s">
        <v>563</v>
      </c>
      <c r="B201" s="120" t="s">
        <v>579</v>
      </c>
      <c r="C201" s="120" t="s">
        <v>580</v>
      </c>
      <c r="D201" s="121" t="s">
        <v>581</v>
      </c>
      <c r="E201" s="121" t="s">
        <v>575</v>
      </c>
      <c r="F201" s="121" t="s">
        <v>568</v>
      </c>
      <c r="G201" s="81"/>
      <c r="H201" s="81"/>
      <c r="I201" s="81"/>
      <c r="J201" s="81"/>
      <c r="K201" s="81"/>
      <c r="L201" s="81"/>
      <c r="M201" s="81"/>
      <c r="N201" s="81"/>
    </row>
    <row r="202" spans="1:14" ht="14.25" customHeight="1" x14ac:dyDescent="0.25">
      <c r="A202" s="122" t="s">
        <v>593</v>
      </c>
      <c r="B202" s="127">
        <v>1</v>
      </c>
      <c r="C202" s="101">
        <v>32688</v>
      </c>
      <c r="D202" s="101">
        <f t="shared" ref="D202:D203" si="9">+C202*1.7</f>
        <v>55569.599999999999</v>
      </c>
      <c r="E202" s="107">
        <v>52.16</v>
      </c>
      <c r="F202" s="106">
        <f t="shared" ref="F202:F203" si="10">+B202*(D202)/E202</f>
        <v>1065.3680981595091</v>
      </c>
      <c r="G202" s="81"/>
      <c r="H202" s="81"/>
      <c r="I202" s="81"/>
      <c r="J202" s="81"/>
      <c r="K202" s="81"/>
      <c r="L202" s="81"/>
      <c r="M202" s="81"/>
      <c r="N202" s="81"/>
    </row>
    <row r="203" spans="1:14" ht="14.25" customHeight="1" x14ac:dyDescent="0.25">
      <c r="A203" s="122" t="s">
        <v>594</v>
      </c>
      <c r="B203" s="127">
        <v>1</v>
      </c>
      <c r="C203" s="101">
        <v>52538</v>
      </c>
      <c r="D203" s="101">
        <f t="shared" si="9"/>
        <v>89314.599999999991</v>
      </c>
      <c r="E203" s="107">
        <f>+E202</f>
        <v>52.16</v>
      </c>
      <c r="F203" s="106">
        <f t="shared" si="10"/>
        <v>1712.3197852760736</v>
      </c>
      <c r="G203" s="81"/>
      <c r="H203" s="81"/>
      <c r="I203" s="81"/>
      <c r="J203" s="81"/>
      <c r="K203" s="81"/>
      <c r="L203" s="81"/>
      <c r="M203" s="81"/>
      <c r="N203" s="81"/>
    </row>
    <row r="204" spans="1:14" ht="14.25" customHeight="1" x14ac:dyDescent="0.25">
      <c r="A204" s="122"/>
      <c r="B204" s="127"/>
      <c r="C204" s="101"/>
      <c r="D204" s="101"/>
      <c r="E204" s="107"/>
      <c r="F204" s="106"/>
      <c r="G204" s="81"/>
      <c r="H204" s="81"/>
      <c r="I204" s="81"/>
      <c r="J204" s="81"/>
      <c r="K204" s="81"/>
      <c r="L204" s="81"/>
      <c r="M204" s="81"/>
      <c r="N204" s="81"/>
    </row>
    <row r="205" spans="1:14" ht="14.25" customHeight="1" x14ac:dyDescent="0.25">
      <c r="A205" s="122"/>
      <c r="B205" s="127"/>
      <c r="C205" s="101"/>
      <c r="D205" s="101"/>
      <c r="E205" s="125"/>
      <c r="F205" s="106"/>
      <c r="G205" s="81"/>
      <c r="H205" s="81"/>
      <c r="I205" s="81"/>
      <c r="J205" s="81"/>
      <c r="K205" s="81"/>
      <c r="L205" s="81"/>
      <c r="M205" s="81"/>
      <c r="N205" s="81"/>
    </row>
    <row r="206" spans="1:14" ht="14.25" customHeight="1" x14ac:dyDescent="0.25">
      <c r="A206" s="97" t="s">
        <v>548</v>
      </c>
      <c r="B206" s="128"/>
      <c r="C206" s="110"/>
      <c r="D206" s="110"/>
      <c r="E206" s="110"/>
      <c r="F206" s="112">
        <f>SUM(F202:F205)</f>
        <v>2777.687883435583</v>
      </c>
      <c r="G206" s="81"/>
      <c r="H206" s="81"/>
      <c r="I206" s="81"/>
      <c r="J206" s="81"/>
      <c r="K206" s="81"/>
      <c r="L206" s="81"/>
      <c r="M206" s="81"/>
      <c r="N206" s="81"/>
    </row>
    <row r="207" spans="1:14" ht="14.25" customHeight="1" x14ac:dyDescent="0.25">
      <c r="A207" s="96"/>
      <c r="B207" s="129"/>
      <c r="C207" s="118"/>
      <c r="D207" s="118"/>
      <c r="E207" s="118"/>
      <c r="F207" s="118"/>
      <c r="G207" s="81"/>
      <c r="H207" s="81"/>
      <c r="I207" s="81"/>
      <c r="J207" s="81"/>
      <c r="K207" s="81"/>
      <c r="L207" s="81"/>
      <c r="M207" s="81"/>
      <c r="N207" s="81"/>
    </row>
    <row r="208" spans="1:14" ht="14.25" customHeight="1" x14ac:dyDescent="0.25">
      <c r="A208" s="95" t="s">
        <v>583</v>
      </c>
      <c r="B208" s="96"/>
      <c r="C208" s="92"/>
      <c r="D208" s="92"/>
      <c r="E208" s="92" t="s">
        <v>584</v>
      </c>
      <c r="F208" s="92"/>
      <c r="G208" s="81"/>
      <c r="H208" s="81"/>
      <c r="I208" s="81"/>
      <c r="J208" s="81"/>
      <c r="K208" s="81"/>
      <c r="L208" s="81"/>
      <c r="M208" s="81"/>
      <c r="N208" s="81"/>
    </row>
    <row r="209" spans="1:14" ht="14.25" customHeight="1" x14ac:dyDescent="0.25">
      <c r="A209" s="97" t="s">
        <v>563</v>
      </c>
      <c r="B209" s="98" t="s">
        <v>564</v>
      </c>
      <c r="C209" s="98" t="s">
        <v>585</v>
      </c>
      <c r="D209" s="98" t="s">
        <v>586</v>
      </c>
      <c r="E209" s="120" t="s">
        <v>587</v>
      </c>
      <c r="F209" s="98" t="s">
        <v>568</v>
      </c>
      <c r="G209" s="81"/>
      <c r="H209" s="81"/>
      <c r="I209" s="81"/>
      <c r="J209" s="81"/>
      <c r="K209" s="81"/>
      <c r="L209" s="81"/>
      <c r="M209" s="81"/>
      <c r="N209" s="81"/>
    </row>
    <row r="210" spans="1:14" ht="14.25" customHeight="1" x14ac:dyDescent="0.25">
      <c r="A210" s="103"/>
      <c r="B210" s="100"/>
      <c r="C210" s="101"/>
      <c r="D210" s="140"/>
      <c r="E210" s="107"/>
      <c r="F210" s="109">
        <f>+C210*D210*E210</f>
        <v>0</v>
      </c>
      <c r="G210" s="81"/>
      <c r="H210" s="81"/>
      <c r="I210" s="81"/>
      <c r="J210" s="81"/>
      <c r="K210" s="81"/>
      <c r="L210" s="81"/>
      <c r="M210" s="81"/>
      <c r="N210" s="81"/>
    </row>
    <row r="211" spans="1:14" ht="14.25" customHeight="1" x14ac:dyDescent="0.25">
      <c r="A211" s="103"/>
      <c r="B211" s="100"/>
      <c r="C211" s="107"/>
      <c r="D211" s="107"/>
      <c r="E211" s="108"/>
      <c r="F211" s="109"/>
      <c r="G211" s="81"/>
      <c r="H211" s="81"/>
      <c r="I211" s="81"/>
      <c r="J211" s="81"/>
      <c r="K211" s="81"/>
      <c r="L211" s="81"/>
      <c r="M211" s="81"/>
      <c r="N211" s="81"/>
    </row>
    <row r="212" spans="1:14" ht="14.25" customHeight="1" x14ac:dyDescent="0.25">
      <c r="A212" s="97" t="s">
        <v>548</v>
      </c>
      <c r="B212" s="98"/>
      <c r="C212" s="110"/>
      <c r="D212" s="110"/>
      <c r="E212" s="111"/>
      <c r="F212" s="112">
        <f>SUM(F210:F211)</f>
        <v>0</v>
      </c>
      <c r="G212" s="81"/>
      <c r="H212" s="81"/>
      <c r="I212" s="81"/>
      <c r="J212" s="81"/>
      <c r="K212" s="81"/>
      <c r="L212" s="81"/>
      <c r="M212" s="81"/>
      <c r="N212" s="81"/>
    </row>
    <row r="213" spans="1:14" ht="14.25" customHeight="1" x14ac:dyDescent="0.25">
      <c r="A213" s="88"/>
      <c r="B213" s="89"/>
      <c r="C213" s="113"/>
      <c r="D213" s="113"/>
      <c r="E213" s="114"/>
      <c r="F213" s="113"/>
      <c r="G213" s="81"/>
      <c r="H213" s="81"/>
      <c r="I213" s="81"/>
      <c r="J213" s="81"/>
      <c r="K213" s="81"/>
      <c r="L213" s="81"/>
      <c r="M213" s="81"/>
      <c r="N213" s="81"/>
    </row>
    <row r="214" spans="1:14" ht="14.25" customHeight="1" x14ac:dyDescent="0.25">
      <c r="A214" s="88"/>
      <c r="B214" s="89"/>
      <c r="C214" s="113"/>
      <c r="D214" s="113"/>
      <c r="E214" s="114"/>
      <c r="F214" s="113"/>
      <c r="G214" s="81"/>
      <c r="H214" s="81"/>
      <c r="I214" s="81"/>
      <c r="J214" s="81"/>
      <c r="K214" s="81"/>
      <c r="L214" s="81"/>
      <c r="M214" s="81"/>
      <c r="N214" s="81"/>
    </row>
    <row r="215" spans="1:14" ht="14.25" customHeight="1" x14ac:dyDescent="0.25">
      <c r="A215" s="612" t="s">
        <v>588</v>
      </c>
      <c r="B215" s="608"/>
      <c r="C215" s="608"/>
      <c r="D215" s="608"/>
      <c r="E215" s="609"/>
      <c r="F215" s="131">
        <f>ROUND(F190+F198+F206+F212,0)</f>
        <v>32000</v>
      </c>
      <c r="G215" s="81"/>
      <c r="H215" s="81"/>
      <c r="I215" s="81"/>
      <c r="J215" s="81"/>
      <c r="K215" s="81"/>
      <c r="L215" s="81"/>
      <c r="M215" s="81"/>
      <c r="N215" s="81"/>
    </row>
    <row r="216" spans="1:14" ht="14.25" customHeight="1" x14ac:dyDescent="0.25">
      <c r="A216" s="612" t="s">
        <v>589</v>
      </c>
      <c r="B216" s="608"/>
      <c r="C216" s="608"/>
      <c r="D216" s="608"/>
      <c r="E216" s="609"/>
      <c r="F216" s="132"/>
      <c r="G216" s="81"/>
      <c r="H216" s="81"/>
      <c r="I216" s="81"/>
      <c r="J216" s="81"/>
      <c r="K216" s="81"/>
      <c r="L216" s="81"/>
      <c r="M216" s="81"/>
      <c r="N216" s="81"/>
    </row>
    <row r="217" spans="1:14" ht="14.25" customHeight="1" x14ac:dyDescent="0.25">
      <c r="A217" s="612" t="s">
        <v>556</v>
      </c>
      <c r="B217" s="608"/>
      <c r="C217" s="608"/>
      <c r="D217" s="608"/>
      <c r="E217" s="609"/>
      <c r="F217" s="133"/>
      <c r="G217" s="81"/>
      <c r="H217" s="81"/>
      <c r="I217" s="81"/>
      <c r="J217" s="81"/>
      <c r="K217" s="81"/>
      <c r="L217" s="81"/>
      <c r="M217" s="81"/>
      <c r="N217" s="81"/>
    </row>
    <row r="218" spans="1:14" ht="14.25" customHeight="1" x14ac:dyDescent="0.25">
      <c r="A218" s="134"/>
      <c r="B218" s="135"/>
      <c r="C218" s="135"/>
      <c r="D218" s="135"/>
      <c r="E218" s="135"/>
      <c r="F218" s="136"/>
      <c r="G218" s="81"/>
      <c r="H218" s="81"/>
      <c r="I218" s="81"/>
      <c r="J218" s="81"/>
      <c r="K218" s="81"/>
      <c r="L218" s="81"/>
      <c r="M218" s="81"/>
      <c r="N218" s="81"/>
    </row>
    <row r="219" spans="1:14" ht="14.25" customHeight="1" x14ac:dyDescent="0.25">
      <c r="A219" s="81"/>
      <c r="B219" s="81"/>
      <c r="C219" s="137"/>
      <c r="D219" s="81"/>
      <c r="E219" s="81"/>
      <c r="F219" s="81"/>
      <c r="G219" s="81"/>
      <c r="H219" s="81"/>
      <c r="I219" s="81"/>
      <c r="J219" s="81"/>
      <c r="K219" s="81"/>
      <c r="L219" s="81"/>
      <c r="M219" s="81"/>
      <c r="N219" s="81"/>
    </row>
    <row r="220" spans="1:14" ht="14.25" customHeight="1" x14ac:dyDescent="0.25">
      <c r="A220" s="81"/>
      <c r="B220" s="81"/>
      <c r="C220" s="137"/>
      <c r="D220" s="81"/>
      <c r="E220" s="81"/>
      <c r="F220" s="81"/>
      <c r="G220" s="81"/>
      <c r="H220" s="81"/>
      <c r="I220" s="81"/>
      <c r="J220" s="81"/>
      <c r="K220" s="81"/>
      <c r="L220" s="81"/>
      <c r="M220" s="81"/>
      <c r="N220" s="81"/>
    </row>
    <row r="221" spans="1:14" ht="14.25" customHeight="1" x14ac:dyDescent="0.25">
      <c r="A221" s="81"/>
      <c r="B221" s="81"/>
      <c r="C221" s="137"/>
      <c r="D221" s="81"/>
      <c r="E221" s="81"/>
      <c r="F221" s="81"/>
      <c r="G221" s="81"/>
      <c r="H221" s="81"/>
      <c r="I221" s="81"/>
      <c r="J221" s="81"/>
      <c r="K221" s="81"/>
      <c r="L221" s="81"/>
      <c r="M221" s="81"/>
      <c r="N221" s="81"/>
    </row>
    <row r="222" spans="1:14" ht="14.25" customHeight="1" x14ac:dyDescent="0.25">
      <c r="A222" s="81"/>
      <c r="B222" s="81"/>
      <c r="C222" s="137"/>
      <c r="D222" s="81"/>
      <c r="E222" s="81"/>
      <c r="F222" s="81"/>
      <c r="G222" s="81"/>
      <c r="H222" s="81"/>
      <c r="I222" s="81"/>
      <c r="J222" s="81"/>
      <c r="K222" s="81"/>
      <c r="L222" s="81"/>
      <c r="M222" s="81"/>
      <c r="N222" s="81"/>
    </row>
    <row r="223" spans="1:14" ht="14.25" customHeight="1" x14ac:dyDescent="0.25">
      <c r="A223" s="81"/>
      <c r="B223" s="81"/>
      <c r="C223" s="137"/>
      <c r="D223" s="81"/>
      <c r="E223" s="81"/>
      <c r="F223" s="81"/>
      <c r="G223" s="81"/>
      <c r="H223" s="81"/>
      <c r="I223" s="81"/>
      <c r="J223" s="81"/>
      <c r="K223" s="81"/>
      <c r="L223" s="81"/>
      <c r="M223" s="81"/>
      <c r="N223" s="81"/>
    </row>
    <row r="224" spans="1:14" ht="14.25" customHeight="1" x14ac:dyDescent="0.25">
      <c r="A224" s="81"/>
      <c r="B224" s="81"/>
      <c r="C224" s="137"/>
      <c r="D224" s="81"/>
      <c r="E224" s="81"/>
      <c r="F224" s="81"/>
      <c r="G224" s="81"/>
      <c r="H224" s="81"/>
      <c r="I224" s="81"/>
      <c r="J224" s="81"/>
      <c r="K224" s="81"/>
      <c r="L224" s="81"/>
      <c r="M224" s="81"/>
      <c r="N224" s="81"/>
    </row>
    <row r="225" spans="1:14" ht="14.25" customHeight="1" x14ac:dyDescent="0.25">
      <c r="A225" s="81"/>
      <c r="B225" s="81"/>
      <c r="C225" s="137"/>
      <c r="D225" s="81"/>
      <c r="E225" s="81"/>
      <c r="F225" s="81"/>
      <c r="G225" s="81"/>
      <c r="H225" s="81"/>
      <c r="I225" s="81"/>
      <c r="J225" s="81"/>
      <c r="K225" s="81"/>
      <c r="L225" s="81"/>
      <c r="M225" s="81"/>
      <c r="N225" s="81"/>
    </row>
    <row r="226" spans="1:14" ht="14.25" customHeight="1" x14ac:dyDescent="0.25">
      <c r="A226" s="81"/>
      <c r="B226" s="81"/>
      <c r="C226" s="137"/>
      <c r="D226" s="81"/>
      <c r="E226" s="81"/>
      <c r="F226" s="81"/>
      <c r="G226" s="81"/>
      <c r="H226" s="81"/>
      <c r="I226" s="81"/>
      <c r="J226" s="81"/>
      <c r="K226" s="81"/>
      <c r="L226" s="81"/>
      <c r="M226" s="81"/>
      <c r="N226" s="81"/>
    </row>
    <row r="227" spans="1:14" ht="14.25" customHeight="1" x14ac:dyDescent="0.25">
      <c r="A227" s="134"/>
      <c r="B227" s="135"/>
      <c r="C227" s="135"/>
      <c r="D227" s="135"/>
      <c r="E227" s="135"/>
      <c r="F227" s="136"/>
      <c r="G227" s="81"/>
      <c r="H227" s="81"/>
      <c r="I227" s="81"/>
      <c r="J227" s="81"/>
      <c r="K227" s="81"/>
      <c r="L227" s="81"/>
      <c r="M227" s="81"/>
      <c r="N227" s="81"/>
    </row>
    <row r="228" spans="1:14" ht="14.25" customHeight="1" x14ac:dyDescent="0.25">
      <c r="A228" s="134"/>
      <c r="B228" s="135"/>
      <c r="C228" s="135"/>
      <c r="D228" s="135"/>
      <c r="E228" s="135"/>
      <c r="F228" s="136"/>
      <c r="G228" s="81"/>
      <c r="H228" s="81"/>
      <c r="I228" s="81"/>
      <c r="J228" s="81"/>
      <c r="K228" s="81"/>
      <c r="L228" s="81"/>
      <c r="M228" s="81"/>
      <c r="N228" s="81"/>
    </row>
    <row r="229" spans="1:14" ht="14.25" customHeight="1" x14ac:dyDescent="0.25">
      <c r="A229" s="134"/>
      <c r="B229" s="135"/>
      <c r="C229" s="135"/>
      <c r="D229" s="135"/>
      <c r="E229" s="135"/>
      <c r="F229" s="136"/>
      <c r="G229" s="81"/>
      <c r="H229" s="81"/>
      <c r="I229" s="81"/>
      <c r="J229" s="81"/>
      <c r="K229" s="81"/>
      <c r="L229" s="81"/>
      <c r="M229" s="81"/>
      <c r="N229" s="81"/>
    </row>
    <row r="230" spans="1:14" ht="14.25" customHeight="1" thickBot="1" x14ac:dyDescent="0.3">
      <c r="A230" s="81"/>
      <c r="B230" s="81"/>
      <c r="C230" s="81"/>
      <c r="D230" s="81"/>
      <c r="E230" s="81"/>
      <c r="F230" s="81"/>
      <c r="G230" s="81"/>
      <c r="H230" s="81"/>
      <c r="I230" s="81"/>
      <c r="J230" s="81"/>
      <c r="K230" s="81"/>
      <c r="L230" s="81"/>
      <c r="M230" s="81"/>
      <c r="N230" s="81"/>
    </row>
    <row r="231" spans="1:14" ht="14.25" customHeight="1" x14ac:dyDescent="0.25">
      <c r="A231" s="83"/>
      <c r="B231" s="84"/>
      <c r="C231" s="85"/>
      <c r="D231" s="86"/>
      <c r="E231" s="86"/>
      <c r="F231" s="87"/>
      <c r="G231" s="81"/>
      <c r="H231" s="81"/>
      <c r="I231" s="81"/>
      <c r="J231" s="81"/>
      <c r="K231" s="81"/>
      <c r="L231" s="81"/>
      <c r="M231" s="81"/>
      <c r="N231" s="81"/>
    </row>
    <row r="232" spans="1:14" ht="14.25" customHeight="1" x14ac:dyDescent="0.25">
      <c r="A232" s="599"/>
      <c r="B232" s="600"/>
      <c r="C232" s="600"/>
      <c r="D232" s="600"/>
      <c r="E232" s="600"/>
      <c r="F232" s="601"/>
      <c r="G232" s="81"/>
      <c r="H232" s="81"/>
      <c r="I232" s="81"/>
      <c r="J232" s="81"/>
      <c r="K232" s="81"/>
      <c r="L232" s="81"/>
      <c r="M232" s="81"/>
      <c r="N232" s="81"/>
    </row>
    <row r="233" spans="1:14" ht="14.25" customHeight="1" x14ac:dyDescent="0.25">
      <c r="A233" s="602" t="s">
        <v>561</v>
      </c>
      <c r="B233" s="600"/>
      <c r="C233" s="600"/>
      <c r="D233" s="600"/>
      <c r="E233" s="600"/>
      <c r="F233" s="601"/>
      <c r="G233" s="81"/>
      <c r="H233" s="81"/>
      <c r="I233" s="81"/>
      <c r="J233" s="81"/>
      <c r="K233" s="81"/>
      <c r="L233" s="81"/>
      <c r="M233" s="81"/>
      <c r="N233" s="81"/>
    </row>
    <row r="234" spans="1:14" ht="14.25" customHeight="1" thickBot="1" x14ac:dyDescent="0.3">
      <c r="A234" s="603"/>
      <c r="B234" s="604"/>
      <c r="C234" s="604"/>
      <c r="D234" s="604"/>
      <c r="E234" s="604"/>
      <c r="F234" s="605"/>
      <c r="G234" s="81"/>
      <c r="H234" s="81"/>
      <c r="I234" s="81"/>
      <c r="J234" s="81"/>
      <c r="K234" s="81"/>
      <c r="L234" s="81"/>
      <c r="M234" s="81"/>
      <c r="N234" s="81"/>
    </row>
    <row r="235" spans="1:14" ht="14.25" customHeight="1" x14ac:dyDescent="0.25">
      <c r="A235" s="88"/>
      <c r="B235" s="88"/>
      <c r="C235" s="89"/>
      <c r="D235" s="89"/>
      <c r="E235" s="89"/>
      <c r="F235" s="89"/>
      <c r="G235" s="81"/>
      <c r="H235" s="81"/>
      <c r="I235" s="81"/>
      <c r="J235" s="81"/>
      <c r="K235" s="81"/>
      <c r="L235" s="81"/>
      <c r="M235" s="81"/>
      <c r="N235" s="81"/>
    </row>
    <row r="236" spans="1:14" ht="14.25" customHeight="1" x14ac:dyDescent="0.25">
      <c r="A236" s="90" t="s">
        <v>47</v>
      </c>
      <c r="B236" s="613" t="s">
        <v>66</v>
      </c>
      <c r="C236" s="600"/>
      <c r="D236" s="600"/>
      <c r="E236" s="600"/>
      <c r="F236" s="600"/>
      <c r="G236" s="81"/>
      <c r="H236" s="81"/>
      <c r="I236" s="81"/>
      <c r="J236" s="81"/>
      <c r="K236" s="81"/>
      <c r="L236" s="81"/>
      <c r="M236" s="81"/>
      <c r="N236" s="81"/>
    </row>
    <row r="237" spans="1:14" ht="14.25" customHeight="1" x14ac:dyDescent="0.25">
      <c r="A237" s="91"/>
      <c r="B237" s="91"/>
      <c r="C237" s="91"/>
      <c r="D237" s="91"/>
      <c r="E237" s="91"/>
      <c r="F237" s="91"/>
      <c r="G237" s="81"/>
      <c r="H237" s="81"/>
      <c r="I237" s="81"/>
      <c r="J237" s="81"/>
      <c r="K237" s="81"/>
      <c r="L237" s="81"/>
      <c r="M237" s="81"/>
      <c r="N237" s="81"/>
    </row>
    <row r="238" spans="1:14" ht="14.25" customHeight="1" x14ac:dyDescent="0.25">
      <c r="A238" s="88" t="s">
        <v>49</v>
      </c>
      <c r="B238" s="92" t="s">
        <v>56</v>
      </c>
      <c r="C238" s="89"/>
      <c r="D238" s="89"/>
      <c r="E238" s="89"/>
      <c r="F238" s="93"/>
      <c r="G238" s="81"/>
      <c r="H238" s="81"/>
      <c r="I238" s="81"/>
      <c r="J238" s="81"/>
      <c r="K238" s="81"/>
      <c r="L238" s="81"/>
      <c r="M238" s="81"/>
      <c r="N238" s="81"/>
    </row>
    <row r="239" spans="1:14" ht="14.25" customHeight="1" x14ac:dyDescent="0.25">
      <c r="A239" s="88"/>
      <c r="B239" s="94"/>
      <c r="C239" s="89"/>
      <c r="D239" s="89"/>
      <c r="E239" s="89"/>
      <c r="F239" s="93"/>
      <c r="G239" s="81"/>
      <c r="H239" s="81"/>
      <c r="I239" s="81"/>
      <c r="J239" s="81"/>
      <c r="K239" s="81"/>
      <c r="L239" s="81"/>
      <c r="M239" s="81"/>
      <c r="N239" s="81"/>
    </row>
    <row r="240" spans="1:14" ht="14.25" customHeight="1" x14ac:dyDescent="0.25">
      <c r="A240" s="95" t="s">
        <v>562</v>
      </c>
      <c r="B240" s="96"/>
      <c r="C240" s="92"/>
      <c r="D240" s="92"/>
      <c r="E240" s="92"/>
      <c r="F240" s="92"/>
      <c r="G240" s="81"/>
      <c r="H240" s="81"/>
      <c r="I240" s="81"/>
      <c r="J240" s="81"/>
      <c r="K240" s="81"/>
      <c r="L240" s="81"/>
      <c r="M240" s="81"/>
      <c r="N240" s="81"/>
    </row>
    <row r="241" spans="1:14" ht="14.25" customHeight="1" x14ac:dyDescent="0.25">
      <c r="A241" s="97" t="s">
        <v>563</v>
      </c>
      <c r="B241" s="98" t="s">
        <v>564</v>
      </c>
      <c r="C241" s="98" t="s">
        <v>565</v>
      </c>
      <c r="D241" s="98" t="s">
        <v>566</v>
      </c>
      <c r="E241" s="98" t="s">
        <v>567</v>
      </c>
      <c r="F241" s="98" t="s">
        <v>568</v>
      </c>
      <c r="G241" s="81"/>
      <c r="H241" s="81"/>
      <c r="I241" s="81"/>
      <c r="J241" s="81"/>
      <c r="K241" s="81"/>
      <c r="L241" s="81"/>
      <c r="M241" s="81"/>
      <c r="N241" s="81"/>
    </row>
    <row r="242" spans="1:14" ht="14.25" customHeight="1" x14ac:dyDescent="0.25">
      <c r="A242" s="99" t="s">
        <v>606</v>
      </c>
      <c r="B242" s="100" t="s">
        <v>64</v>
      </c>
      <c r="C242" s="101">
        <v>7500</v>
      </c>
      <c r="D242" s="104">
        <v>0.25</v>
      </c>
      <c r="E242" s="102"/>
      <c r="F242" s="101">
        <f t="shared" ref="F242:F243" si="11">C242*(D242+(D242*E242))</f>
        <v>1875</v>
      </c>
      <c r="G242" s="81"/>
      <c r="H242" s="81"/>
      <c r="I242" s="81"/>
      <c r="J242" s="81"/>
      <c r="K242" s="81"/>
      <c r="L242" s="81"/>
      <c r="M242" s="81"/>
      <c r="N242" s="81"/>
    </row>
    <row r="243" spans="1:14" ht="14.25" customHeight="1" x14ac:dyDescent="0.25">
      <c r="A243" s="99"/>
      <c r="B243" s="100"/>
      <c r="C243" s="101"/>
      <c r="D243" s="104"/>
      <c r="E243" s="102"/>
      <c r="F243" s="101">
        <f t="shared" si="11"/>
        <v>0</v>
      </c>
      <c r="G243" s="81"/>
      <c r="H243" s="81"/>
      <c r="I243" s="81"/>
      <c r="J243" s="81"/>
      <c r="K243" s="81"/>
      <c r="L243" s="81"/>
      <c r="M243" s="81"/>
      <c r="N243" s="81"/>
    </row>
    <row r="244" spans="1:14" ht="14.25" customHeight="1" x14ac:dyDescent="0.25">
      <c r="A244" s="103"/>
      <c r="B244" s="100"/>
      <c r="C244" s="101"/>
      <c r="D244" s="104"/>
      <c r="E244" s="102"/>
      <c r="F244" s="101"/>
      <c r="G244" s="81"/>
      <c r="H244" s="81"/>
      <c r="I244" s="81"/>
      <c r="J244" s="81"/>
      <c r="K244" s="81"/>
      <c r="L244" s="81"/>
      <c r="M244" s="81"/>
      <c r="N244" s="81"/>
    </row>
    <row r="245" spans="1:14" ht="14.25" customHeight="1" x14ac:dyDescent="0.25">
      <c r="A245" s="99"/>
      <c r="B245" s="100"/>
      <c r="C245" s="101"/>
      <c r="D245" s="104"/>
      <c r="E245" s="102"/>
      <c r="F245" s="101"/>
      <c r="G245" s="81"/>
      <c r="H245" s="81"/>
      <c r="I245" s="81"/>
      <c r="J245" s="81"/>
      <c r="K245" s="81"/>
      <c r="L245" s="81"/>
      <c r="M245" s="81"/>
      <c r="N245" s="81"/>
    </row>
    <row r="246" spans="1:14" ht="14.25" customHeight="1" x14ac:dyDescent="0.25">
      <c r="A246" s="99"/>
      <c r="B246" s="100"/>
      <c r="C246" s="106"/>
      <c r="D246" s="104"/>
      <c r="E246" s="102"/>
      <c r="F246" s="101"/>
      <c r="G246" s="81"/>
      <c r="H246" s="81"/>
      <c r="I246" s="81"/>
      <c r="J246" s="81"/>
      <c r="K246" s="81"/>
      <c r="L246" s="81"/>
      <c r="M246" s="81"/>
      <c r="N246" s="81"/>
    </row>
    <row r="247" spans="1:14" ht="14.25" customHeight="1" x14ac:dyDescent="0.25">
      <c r="A247" s="103"/>
      <c r="B247" s="100"/>
      <c r="C247" s="101"/>
      <c r="D247" s="105"/>
      <c r="E247" s="102"/>
      <c r="F247" s="101"/>
      <c r="G247" s="81"/>
      <c r="H247" s="81"/>
      <c r="I247" s="81"/>
      <c r="J247" s="81"/>
      <c r="K247" s="81"/>
      <c r="L247" s="81"/>
      <c r="M247" s="81"/>
      <c r="N247" s="81"/>
    </row>
    <row r="248" spans="1:14" ht="14.25" customHeight="1" x14ac:dyDescent="0.25">
      <c r="A248" s="99"/>
      <c r="B248" s="100"/>
      <c r="C248" s="106"/>
      <c r="D248" s="107"/>
      <c r="E248" s="108"/>
      <c r="F248" s="106"/>
      <c r="G248" s="81"/>
      <c r="H248" s="81"/>
      <c r="I248" s="81"/>
      <c r="J248" s="81"/>
      <c r="K248" s="81"/>
      <c r="L248" s="81"/>
      <c r="M248" s="81"/>
      <c r="N248" s="81"/>
    </row>
    <row r="249" spans="1:14" ht="14.25" customHeight="1" x14ac:dyDescent="0.25">
      <c r="A249" s="97" t="s">
        <v>548</v>
      </c>
      <c r="B249" s="97"/>
      <c r="C249" s="109"/>
      <c r="D249" s="110"/>
      <c r="E249" s="111"/>
      <c r="F249" s="112">
        <f>SUM(F242:F248)</f>
        <v>1875</v>
      </c>
      <c r="G249" s="81"/>
      <c r="H249" s="81"/>
      <c r="I249" s="81"/>
      <c r="J249" s="81"/>
      <c r="K249" s="81"/>
      <c r="L249" s="81"/>
      <c r="M249" s="81"/>
      <c r="N249" s="81"/>
    </row>
    <row r="250" spans="1:14" ht="14.25" customHeight="1" x14ac:dyDescent="0.25">
      <c r="A250" s="88"/>
      <c r="B250" s="88"/>
      <c r="C250" s="113"/>
      <c r="D250" s="113"/>
      <c r="E250" s="114"/>
      <c r="F250" s="113"/>
      <c r="G250" s="81"/>
      <c r="H250" s="81"/>
      <c r="I250" s="81"/>
      <c r="J250" s="81"/>
      <c r="K250" s="81"/>
      <c r="L250" s="81"/>
      <c r="M250" s="81"/>
      <c r="N250" s="81"/>
    </row>
    <row r="251" spans="1:14" ht="14.25" customHeight="1" x14ac:dyDescent="0.25">
      <c r="A251" s="96" t="s">
        <v>573</v>
      </c>
      <c r="B251" s="96"/>
      <c r="C251" s="92"/>
      <c r="D251" s="92"/>
      <c r="E251" s="92"/>
      <c r="F251" s="92"/>
      <c r="G251" s="81"/>
      <c r="H251" s="81"/>
      <c r="I251" s="81"/>
      <c r="J251" s="81"/>
      <c r="K251" s="81"/>
      <c r="L251" s="81"/>
      <c r="M251" s="81"/>
      <c r="N251" s="81"/>
    </row>
    <row r="252" spans="1:14" ht="14.25" customHeight="1" x14ac:dyDescent="0.25">
      <c r="A252" s="611" t="s">
        <v>563</v>
      </c>
      <c r="B252" s="608"/>
      <c r="C252" s="609"/>
      <c r="D252" s="98" t="s">
        <v>574</v>
      </c>
      <c r="E252" s="98" t="s">
        <v>575</v>
      </c>
      <c r="F252" s="98" t="s">
        <v>568</v>
      </c>
      <c r="G252" s="81"/>
      <c r="H252" s="81"/>
      <c r="I252" s="81"/>
      <c r="J252" s="81"/>
      <c r="K252" s="81"/>
      <c r="L252" s="81"/>
      <c r="M252" s="81"/>
      <c r="N252" s="81"/>
    </row>
    <row r="253" spans="1:14" ht="14.25" customHeight="1" x14ac:dyDescent="0.25">
      <c r="A253" s="607" t="s">
        <v>577</v>
      </c>
      <c r="B253" s="608"/>
      <c r="C253" s="609"/>
      <c r="D253" s="116"/>
      <c r="E253" s="107"/>
      <c r="F253" s="106">
        <v>136</v>
      </c>
      <c r="G253" s="81"/>
      <c r="H253" s="81"/>
      <c r="I253" s="81"/>
      <c r="J253" s="81"/>
      <c r="K253" s="81"/>
      <c r="L253" s="81"/>
      <c r="M253" s="81"/>
      <c r="N253" s="81"/>
    </row>
    <row r="254" spans="1:14" ht="14.25" customHeight="1" x14ac:dyDescent="0.25">
      <c r="A254" s="607" t="s">
        <v>608</v>
      </c>
      <c r="B254" s="608"/>
      <c r="C254" s="609"/>
      <c r="D254" s="142">
        <v>110000</v>
      </c>
      <c r="E254" s="107">
        <v>40</v>
      </c>
      <c r="F254" s="106">
        <f>D254/E254</f>
        <v>2750</v>
      </c>
      <c r="G254" s="81"/>
      <c r="H254" s="81"/>
      <c r="I254" s="81"/>
      <c r="J254" s="81"/>
      <c r="K254" s="81"/>
      <c r="L254" s="81"/>
      <c r="M254" s="81"/>
      <c r="N254" s="81"/>
    </row>
    <row r="255" spans="1:14" ht="14.25" customHeight="1" x14ac:dyDescent="0.25">
      <c r="A255" s="610"/>
      <c r="B255" s="608"/>
      <c r="C255" s="609"/>
      <c r="D255" s="115"/>
      <c r="E255" s="107"/>
      <c r="F255" s="106"/>
      <c r="G255" s="81"/>
      <c r="H255" s="81"/>
      <c r="I255" s="81"/>
      <c r="J255" s="81"/>
      <c r="K255" s="81"/>
      <c r="L255" s="81"/>
      <c r="M255" s="81"/>
      <c r="N255" s="81"/>
    </row>
    <row r="256" spans="1:14" ht="14.25" customHeight="1" x14ac:dyDescent="0.25">
      <c r="A256" s="611" t="s">
        <v>548</v>
      </c>
      <c r="B256" s="608"/>
      <c r="C256" s="609"/>
      <c r="D256" s="110"/>
      <c r="E256" s="110"/>
      <c r="F256" s="112">
        <f>SUM(F253:F254)</f>
        <v>2886</v>
      </c>
      <c r="G256" s="81"/>
      <c r="H256" s="81"/>
      <c r="I256" s="81"/>
      <c r="J256" s="81"/>
      <c r="K256" s="81"/>
      <c r="L256" s="81"/>
      <c r="M256" s="81"/>
      <c r="N256" s="81"/>
    </row>
    <row r="257" spans="1:14" ht="14.25" customHeight="1" x14ac:dyDescent="0.25">
      <c r="A257" s="88"/>
      <c r="B257" s="88"/>
      <c r="C257" s="89"/>
      <c r="D257" s="113"/>
      <c r="E257" s="113"/>
      <c r="F257" s="113"/>
      <c r="G257" s="81"/>
      <c r="H257" s="81"/>
      <c r="I257" s="81"/>
      <c r="J257" s="81"/>
      <c r="K257" s="81"/>
      <c r="L257" s="81"/>
      <c r="M257" s="81"/>
      <c r="N257" s="81"/>
    </row>
    <row r="258" spans="1:14" ht="14.25" customHeight="1" x14ac:dyDescent="0.25">
      <c r="A258" s="96" t="s">
        <v>578</v>
      </c>
      <c r="B258" s="96"/>
      <c r="C258" s="92"/>
      <c r="D258" s="118"/>
      <c r="E258" s="118"/>
      <c r="F258" s="118"/>
      <c r="G258" s="81"/>
      <c r="H258" s="81"/>
      <c r="I258" s="81"/>
      <c r="J258" s="81"/>
      <c r="K258" s="81"/>
      <c r="L258" s="81"/>
      <c r="M258" s="81"/>
      <c r="N258" s="81"/>
    </row>
    <row r="259" spans="1:14" ht="38.25" x14ac:dyDescent="0.25">
      <c r="A259" s="119" t="s">
        <v>563</v>
      </c>
      <c r="B259" s="120" t="s">
        <v>579</v>
      </c>
      <c r="C259" s="120" t="s">
        <v>580</v>
      </c>
      <c r="D259" s="121" t="s">
        <v>581</v>
      </c>
      <c r="E259" s="121" t="s">
        <v>575</v>
      </c>
      <c r="F259" s="121" t="s">
        <v>568</v>
      </c>
      <c r="G259" s="81"/>
      <c r="H259" s="81"/>
      <c r="I259" s="81"/>
      <c r="J259" s="81"/>
      <c r="K259" s="81"/>
      <c r="L259" s="81"/>
      <c r="M259" s="81"/>
      <c r="N259" s="81"/>
    </row>
    <row r="260" spans="1:14" ht="14.25" customHeight="1" x14ac:dyDescent="0.25">
      <c r="A260" s="122" t="s">
        <v>593</v>
      </c>
      <c r="B260" s="127">
        <v>1</v>
      </c>
      <c r="C260" s="101">
        <v>32688</v>
      </c>
      <c r="D260" s="101">
        <f t="shared" ref="D260:D261" si="12">+C260*1.7</f>
        <v>55569.599999999999</v>
      </c>
      <c r="E260" s="107">
        <v>60</v>
      </c>
      <c r="F260" s="106">
        <f t="shared" ref="F260:F261" si="13">+B260*(D260)/E260</f>
        <v>926.16</v>
      </c>
      <c r="G260" s="81"/>
      <c r="H260" s="81"/>
      <c r="I260" s="81"/>
      <c r="J260" s="81"/>
      <c r="K260" s="81"/>
      <c r="L260" s="81"/>
      <c r="M260" s="81"/>
      <c r="N260" s="81"/>
    </row>
    <row r="261" spans="1:14" ht="14.25" customHeight="1" x14ac:dyDescent="0.25">
      <c r="A261" s="122" t="s">
        <v>594</v>
      </c>
      <c r="B261" s="127">
        <v>1</v>
      </c>
      <c r="C261" s="101">
        <v>52538</v>
      </c>
      <c r="D261" s="101">
        <f t="shared" si="12"/>
        <v>89314.599999999991</v>
      </c>
      <c r="E261" s="107">
        <f>+E260</f>
        <v>60</v>
      </c>
      <c r="F261" s="106">
        <f t="shared" si="13"/>
        <v>1488.5766666666666</v>
      </c>
      <c r="G261" s="81"/>
      <c r="H261" s="81"/>
      <c r="I261" s="81"/>
      <c r="J261" s="81"/>
      <c r="K261" s="81"/>
      <c r="L261" s="81"/>
      <c r="M261" s="81"/>
      <c r="N261" s="81"/>
    </row>
    <row r="262" spans="1:14" ht="14.25" customHeight="1" x14ac:dyDescent="0.25">
      <c r="A262" s="122"/>
      <c r="B262" s="127"/>
      <c r="C262" s="101"/>
      <c r="D262" s="101"/>
      <c r="E262" s="107"/>
      <c r="F262" s="106"/>
      <c r="G262" s="81"/>
      <c r="H262" s="81"/>
      <c r="I262" s="81"/>
      <c r="J262" s="81"/>
      <c r="K262" s="81"/>
      <c r="L262" s="81"/>
      <c r="M262" s="81"/>
      <c r="N262" s="81"/>
    </row>
    <row r="263" spans="1:14" ht="14.25" customHeight="1" x14ac:dyDescent="0.25">
      <c r="A263" s="122"/>
      <c r="B263" s="127"/>
      <c r="C263" s="101"/>
      <c r="D263" s="101"/>
      <c r="E263" s="125"/>
      <c r="F263" s="106"/>
      <c r="G263" s="81"/>
      <c r="H263" s="81"/>
      <c r="I263" s="81"/>
      <c r="J263" s="81"/>
      <c r="K263" s="81"/>
      <c r="L263" s="81"/>
      <c r="M263" s="81"/>
      <c r="N263" s="81"/>
    </row>
    <row r="264" spans="1:14" ht="14.25" customHeight="1" x14ac:dyDescent="0.25">
      <c r="A264" s="97" t="s">
        <v>548</v>
      </c>
      <c r="B264" s="128"/>
      <c r="C264" s="110"/>
      <c r="D264" s="110"/>
      <c r="E264" s="110"/>
      <c r="F264" s="112">
        <f>SUM(F260:F263)</f>
        <v>2414.7366666666667</v>
      </c>
      <c r="G264" s="81"/>
      <c r="H264" s="81"/>
      <c r="I264" s="81"/>
      <c r="J264" s="81"/>
      <c r="K264" s="81"/>
      <c r="L264" s="81"/>
      <c r="M264" s="81"/>
      <c r="N264" s="81"/>
    </row>
    <row r="265" spans="1:14" ht="14.25" customHeight="1" x14ac:dyDescent="0.25">
      <c r="A265" s="96"/>
      <c r="B265" s="129"/>
      <c r="C265" s="118"/>
      <c r="D265" s="118"/>
      <c r="E265" s="118"/>
      <c r="F265" s="118"/>
      <c r="G265" s="81"/>
      <c r="H265" s="81"/>
      <c r="I265" s="81"/>
      <c r="J265" s="81"/>
      <c r="K265" s="81"/>
      <c r="L265" s="81"/>
      <c r="M265" s="81"/>
      <c r="N265" s="81"/>
    </row>
    <row r="266" spans="1:14" ht="14.25" customHeight="1" x14ac:dyDescent="0.25">
      <c r="A266" s="95" t="s">
        <v>583</v>
      </c>
      <c r="B266" s="96"/>
      <c r="C266" s="92"/>
      <c r="D266" s="92"/>
      <c r="E266" s="92" t="s">
        <v>584</v>
      </c>
      <c r="F266" s="92"/>
      <c r="G266" s="81"/>
      <c r="H266" s="81"/>
      <c r="I266" s="81"/>
      <c r="J266" s="81"/>
      <c r="K266" s="81"/>
      <c r="L266" s="81"/>
      <c r="M266" s="81"/>
      <c r="N266" s="81"/>
    </row>
    <row r="267" spans="1:14" ht="25.5" x14ac:dyDescent="0.25">
      <c r="A267" s="97" t="s">
        <v>563</v>
      </c>
      <c r="B267" s="98" t="s">
        <v>564</v>
      </c>
      <c r="C267" s="98" t="s">
        <v>585</v>
      </c>
      <c r="D267" s="98" t="s">
        <v>586</v>
      </c>
      <c r="E267" s="120" t="s">
        <v>587</v>
      </c>
      <c r="F267" s="98" t="s">
        <v>568</v>
      </c>
      <c r="G267" s="81"/>
      <c r="H267" s="81"/>
      <c r="I267" s="81"/>
      <c r="J267" s="81"/>
      <c r="K267" s="81"/>
      <c r="L267" s="81"/>
      <c r="M267" s="81"/>
      <c r="N267" s="81"/>
    </row>
    <row r="268" spans="1:14" ht="14.25" customHeight="1" x14ac:dyDescent="0.25">
      <c r="A268" s="103"/>
      <c r="B268" s="100"/>
      <c r="C268" s="101"/>
      <c r="D268" s="140"/>
      <c r="E268" s="107"/>
      <c r="F268" s="109">
        <f>+C268*D268*E268</f>
        <v>0</v>
      </c>
      <c r="G268" s="81"/>
      <c r="H268" s="81"/>
      <c r="I268" s="81"/>
      <c r="J268" s="81"/>
      <c r="K268" s="81"/>
      <c r="L268" s="81"/>
      <c r="M268" s="81"/>
      <c r="N268" s="81"/>
    </row>
    <row r="269" spans="1:14" ht="14.25" customHeight="1" x14ac:dyDescent="0.25">
      <c r="A269" s="103"/>
      <c r="B269" s="100"/>
      <c r="C269" s="107"/>
      <c r="D269" s="107"/>
      <c r="E269" s="108"/>
      <c r="F269" s="109"/>
      <c r="G269" s="81"/>
      <c r="H269" s="81"/>
      <c r="I269" s="81"/>
      <c r="J269" s="81"/>
      <c r="K269" s="81"/>
      <c r="L269" s="81"/>
      <c r="M269" s="81"/>
      <c r="N269" s="81"/>
    </row>
    <row r="270" spans="1:14" ht="14.25" customHeight="1" x14ac:dyDescent="0.25">
      <c r="A270" s="97" t="s">
        <v>548</v>
      </c>
      <c r="B270" s="98"/>
      <c r="C270" s="110"/>
      <c r="D270" s="110"/>
      <c r="E270" s="111"/>
      <c r="F270" s="112">
        <f>SUM(F268:F269)</f>
        <v>0</v>
      </c>
      <c r="G270" s="81"/>
      <c r="H270" s="81"/>
      <c r="I270" s="81"/>
      <c r="J270" s="81"/>
      <c r="K270" s="81"/>
      <c r="L270" s="81"/>
      <c r="M270" s="81"/>
      <c r="N270" s="81"/>
    </row>
    <row r="271" spans="1:14" ht="14.25" customHeight="1" x14ac:dyDescent="0.25">
      <c r="A271" s="88"/>
      <c r="B271" s="89"/>
      <c r="C271" s="113"/>
      <c r="D271" s="113"/>
      <c r="E271" s="114"/>
      <c r="F271" s="113"/>
      <c r="G271" s="81"/>
      <c r="H271" s="81"/>
      <c r="I271" s="81"/>
      <c r="J271" s="81"/>
      <c r="K271" s="81"/>
      <c r="L271" s="81"/>
      <c r="M271" s="81"/>
      <c r="N271" s="81"/>
    </row>
    <row r="272" spans="1:14" ht="14.25" customHeight="1" x14ac:dyDescent="0.25">
      <c r="A272" s="88"/>
      <c r="B272" s="89"/>
      <c r="C272" s="113"/>
      <c r="D272" s="113"/>
      <c r="E272" s="114"/>
      <c r="F272" s="113"/>
      <c r="G272" s="81"/>
      <c r="H272" s="81"/>
      <c r="I272" s="81"/>
      <c r="J272" s="81"/>
      <c r="K272" s="81"/>
      <c r="L272" s="81"/>
      <c r="M272" s="81"/>
      <c r="N272" s="81"/>
    </row>
    <row r="273" spans="1:14" ht="14.25" customHeight="1" x14ac:dyDescent="0.25">
      <c r="A273" s="612" t="s">
        <v>588</v>
      </c>
      <c r="B273" s="608"/>
      <c r="C273" s="608"/>
      <c r="D273" s="608"/>
      <c r="E273" s="609"/>
      <c r="F273" s="131">
        <f>ROUND(F249+F256+F264+F270,0)</f>
        <v>7176</v>
      </c>
      <c r="G273" s="81"/>
      <c r="H273" s="280">
        <f>+F273-7176</f>
        <v>0</v>
      </c>
      <c r="I273" s="81"/>
      <c r="J273" s="81"/>
      <c r="K273" s="81"/>
      <c r="L273" s="81"/>
      <c r="M273" s="81"/>
      <c r="N273" s="81"/>
    </row>
    <row r="274" spans="1:14" ht="14.25" customHeight="1" x14ac:dyDescent="0.25">
      <c r="A274" s="612" t="s">
        <v>589</v>
      </c>
      <c r="B274" s="608"/>
      <c r="C274" s="608"/>
      <c r="D274" s="608"/>
      <c r="E274" s="609"/>
      <c r="F274" s="132"/>
      <c r="G274" s="81"/>
      <c r="H274" s="81"/>
      <c r="I274" s="81"/>
      <c r="J274" s="81"/>
      <c r="K274" s="81"/>
      <c r="L274" s="81"/>
      <c r="M274" s="81"/>
      <c r="N274" s="81"/>
    </row>
    <row r="275" spans="1:14" ht="14.25" customHeight="1" x14ac:dyDescent="0.25">
      <c r="A275" s="612" t="s">
        <v>556</v>
      </c>
      <c r="B275" s="608"/>
      <c r="C275" s="608"/>
      <c r="D275" s="608"/>
      <c r="E275" s="609"/>
      <c r="F275" s="133"/>
      <c r="G275" s="81"/>
      <c r="H275" s="81"/>
      <c r="I275" s="81"/>
      <c r="J275" s="81"/>
      <c r="K275" s="81"/>
      <c r="L275" s="81"/>
      <c r="M275" s="81"/>
      <c r="N275" s="81"/>
    </row>
    <row r="276" spans="1:14" ht="14.25" customHeight="1" x14ac:dyDescent="0.25">
      <c r="A276" s="134"/>
      <c r="B276" s="135"/>
      <c r="C276" s="135"/>
      <c r="D276" s="135"/>
      <c r="E276" s="135"/>
      <c r="F276" s="136"/>
      <c r="G276" s="81"/>
      <c r="H276" s="81"/>
      <c r="I276" s="81"/>
      <c r="J276" s="81"/>
      <c r="K276" s="81"/>
      <c r="L276" s="81"/>
      <c r="M276" s="81"/>
      <c r="N276" s="81"/>
    </row>
    <row r="277" spans="1:14" ht="14.25" customHeight="1" x14ac:dyDescent="0.25">
      <c r="A277" s="81"/>
      <c r="B277" s="81"/>
      <c r="C277" s="137"/>
      <c r="D277" s="81"/>
      <c r="E277" s="81"/>
      <c r="F277" s="81"/>
      <c r="G277" s="81"/>
      <c r="H277" s="81"/>
      <c r="I277" s="81"/>
      <c r="J277" s="81"/>
      <c r="K277" s="81"/>
      <c r="L277" s="81"/>
      <c r="M277" s="81"/>
      <c r="N277" s="81"/>
    </row>
    <row r="278" spans="1:14" ht="14.25" customHeight="1" x14ac:dyDescent="0.25">
      <c r="A278" s="81"/>
      <c r="B278" s="81"/>
      <c r="C278" s="137"/>
      <c r="D278" s="81"/>
      <c r="E278" s="81"/>
      <c r="F278" s="81"/>
      <c r="G278" s="81"/>
      <c r="H278" s="81"/>
      <c r="I278" s="81"/>
      <c r="J278" s="81"/>
      <c r="K278" s="81"/>
      <c r="L278" s="81"/>
      <c r="M278" s="81"/>
      <c r="N278" s="81"/>
    </row>
    <row r="279" spans="1:14" ht="14.25" customHeight="1" x14ac:dyDescent="0.25">
      <c r="A279" s="81"/>
      <c r="B279" s="81"/>
      <c r="C279" s="137"/>
      <c r="D279" s="81"/>
      <c r="E279" s="81"/>
      <c r="F279" s="81"/>
      <c r="G279" s="81"/>
      <c r="H279" s="81"/>
      <c r="I279" s="81"/>
      <c r="J279" s="81"/>
      <c r="K279" s="81"/>
      <c r="L279" s="81"/>
      <c r="M279" s="81"/>
      <c r="N279" s="81"/>
    </row>
    <row r="280" spans="1:14" ht="14.25" customHeight="1" x14ac:dyDescent="0.25">
      <c r="A280" s="81"/>
      <c r="B280" s="81"/>
      <c r="C280" s="137"/>
      <c r="D280" s="81"/>
      <c r="E280" s="81"/>
      <c r="F280" s="81"/>
      <c r="G280" s="81"/>
      <c r="H280" s="81"/>
      <c r="I280" s="81"/>
      <c r="J280" s="81"/>
      <c r="K280" s="81"/>
      <c r="L280" s="81"/>
      <c r="M280" s="81"/>
      <c r="N280" s="81"/>
    </row>
    <row r="281" spans="1:14" ht="14.25" customHeight="1" x14ac:dyDescent="0.25">
      <c r="A281" s="81"/>
      <c r="B281" s="81"/>
      <c r="C281" s="137"/>
      <c r="D281" s="81"/>
      <c r="E281" s="81"/>
      <c r="F281" s="81"/>
      <c r="G281" s="81"/>
      <c r="H281" s="81"/>
      <c r="I281" s="81"/>
      <c r="J281" s="81"/>
      <c r="K281" s="81"/>
      <c r="L281" s="81"/>
      <c r="M281" s="81"/>
      <c r="N281" s="81"/>
    </row>
    <row r="282" spans="1:14" ht="14.25" customHeight="1" x14ac:dyDescent="0.25">
      <c r="A282" s="81"/>
      <c r="B282" s="81"/>
      <c r="C282" s="137"/>
      <c r="D282" s="81"/>
      <c r="E282" s="81"/>
      <c r="F282" s="81"/>
      <c r="G282" s="81"/>
      <c r="H282" s="81"/>
      <c r="I282" s="81"/>
      <c r="J282" s="81"/>
      <c r="K282" s="81"/>
      <c r="L282" s="81"/>
      <c r="M282" s="81"/>
      <c r="N282" s="81"/>
    </row>
    <row r="283" spans="1:14" ht="14.25" customHeight="1" x14ac:dyDescent="0.25">
      <c r="A283" s="81"/>
      <c r="B283" s="81"/>
      <c r="C283" s="137"/>
      <c r="D283" s="81"/>
      <c r="E283" s="81"/>
      <c r="F283" s="81"/>
      <c r="G283" s="81"/>
      <c r="H283" s="81"/>
      <c r="I283" s="81"/>
      <c r="J283" s="81"/>
      <c r="K283" s="81"/>
      <c r="L283" s="81"/>
      <c r="M283" s="81"/>
      <c r="N283" s="81"/>
    </row>
    <row r="284" spans="1:14" ht="14.25" customHeight="1" x14ac:dyDescent="0.25">
      <c r="A284" s="134"/>
      <c r="B284" s="135"/>
      <c r="C284" s="135"/>
      <c r="D284" s="135"/>
      <c r="E284" s="135"/>
      <c r="F284" s="136"/>
      <c r="G284" s="81"/>
      <c r="H284" s="81"/>
      <c r="I284" s="81"/>
      <c r="J284" s="81"/>
      <c r="K284" s="81"/>
      <c r="L284" s="81"/>
      <c r="M284" s="81"/>
      <c r="N284" s="81"/>
    </row>
    <row r="285" spans="1:14" ht="14.25" customHeight="1" x14ac:dyDescent="0.25">
      <c r="A285" s="134"/>
      <c r="B285" s="135"/>
      <c r="C285" s="135"/>
      <c r="D285" s="135"/>
      <c r="E285" s="135"/>
      <c r="F285" s="136"/>
      <c r="G285" s="81"/>
      <c r="H285" s="81"/>
      <c r="I285" s="81"/>
      <c r="J285" s="81"/>
      <c r="K285" s="81"/>
      <c r="L285" s="81"/>
      <c r="M285" s="81"/>
      <c r="N285" s="81"/>
    </row>
    <row r="286" spans="1:14" ht="14.25" customHeight="1" x14ac:dyDescent="0.25">
      <c r="A286" s="134"/>
      <c r="B286" s="135"/>
      <c r="C286" s="135"/>
      <c r="D286" s="135"/>
      <c r="E286" s="135"/>
      <c r="F286" s="136"/>
      <c r="G286" s="81"/>
      <c r="H286" s="81"/>
      <c r="I286" s="81"/>
      <c r="J286" s="81"/>
      <c r="K286" s="81"/>
      <c r="L286" s="81"/>
      <c r="M286" s="81"/>
      <c r="N286" s="81"/>
    </row>
    <row r="287" spans="1:14" ht="14.25" customHeight="1" thickBot="1" x14ac:dyDescent="0.3">
      <c r="A287" s="81"/>
      <c r="B287" s="81"/>
      <c r="C287" s="81"/>
      <c r="D287" s="81"/>
      <c r="E287" s="81"/>
      <c r="F287" s="81"/>
      <c r="G287" s="81"/>
      <c r="H287" s="81"/>
      <c r="I287" s="81"/>
      <c r="J287" s="81"/>
      <c r="K287" s="81"/>
      <c r="L287" s="81"/>
      <c r="M287" s="81"/>
      <c r="N287" s="81"/>
    </row>
    <row r="288" spans="1:14" ht="14.25" customHeight="1" x14ac:dyDescent="0.25">
      <c r="A288" s="83"/>
      <c r="B288" s="84"/>
      <c r="C288" s="85"/>
      <c r="D288" s="86"/>
      <c r="E288" s="86"/>
      <c r="F288" s="87"/>
      <c r="G288" s="81"/>
      <c r="H288" s="81"/>
      <c r="I288" s="81"/>
      <c r="J288" s="81"/>
      <c r="K288" s="81"/>
      <c r="L288" s="81"/>
      <c r="M288" s="81"/>
      <c r="N288" s="81"/>
    </row>
    <row r="289" spans="1:14" ht="14.25" customHeight="1" x14ac:dyDescent="0.25">
      <c r="A289" s="599"/>
      <c r="B289" s="600"/>
      <c r="C289" s="600"/>
      <c r="D289" s="600"/>
      <c r="E289" s="600"/>
      <c r="F289" s="601"/>
      <c r="G289" s="81"/>
      <c r="H289" s="81"/>
      <c r="I289" s="81"/>
      <c r="J289" s="81"/>
      <c r="K289" s="81"/>
      <c r="L289" s="81"/>
      <c r="M289" s="81"/>
      <c r="N289" s="81"/>
    </row>
    <row r="290" spans="1:14" ht="14.25" customHeight="1" x14ac:dyDescent="0.25">
      <c r="A290" s="602" t="s">
        <v>561</v>
      </c>
      <c r="B290" s="600"/>
      <c r="C290" s="600"/>
      <c r="D290" s="600"/>
      <c r="E290" s="600"/>
      <c r="F290" s="601"/>
      <c r="G290" s="81"/>
      <c r="H290" s="81"/>
      <c r="I290" s="81"/>
      <c r="J290" s="81"/>
      <c r="K290" s="81"/>
      <c r="L290" s="81"/>
      <c r="M290" s="81"/>
      <c r="N290" s="81"/>
    </row>
    <row r="291" spans="1:14" ht="14.25" customHeight="1" thickBot="1" x14ac:dyDescent="0.3">
      <c r="A291" s="603"/>
      <c r="B291" s="604"/>
      <c r="C291" s="604"/>
      <c r="D291" s="604"/>
      <c r="E291" s="604"/>
      <c r="F291" s="605"/>
      <c r="G291" s="81"/>
      <c r="H291" s="81"/>
      <c r="I291" s="81"/>
      <c r="J291" s="81"/>
      <c r="K291" s="81"/>
      <c r="L291" s="81"/>
      <c r="M291" s="81"/>
      <c r="N291" s="81"/>
    </row>
    <row r="292" spans="1:14" ht="14.25" customHeight="1" x14ac:dyDescent="0.25">
      <c r="A292" s="88"/>
      <c r="B292" s="88"/>
      <c r="C292" s="89"/>
      <c r="D292" s="89"/>
      <c r="E292" s="89"/>
      <c r="F292" s="89"/>
      <c r="G292" s="81"/>
      <c r="H292" s="81"/>
      <c r="I292" s="81"/>
      <c r="J292" s="81"/>
      <c r="K292" s="81"/>
      <c r="L292" s="81"/>
      <c r="M292" s="81"/>
      <c r="N292" s="81"/>
    </row>
    <row r="293" spans="1:14" ht="14.25" customHeight="1" x14ac:dyDescent="0.25">
      <c r="A293" s="90" t="s">
        <v>47</v>
      </c>
      <c r="B293" s="613" t="s">
        <v>68</v>
      </c>
      <c r="C293" s="600"/>
      <c r="D293" s="600"/>
      <c r="E293" s="600"/>
      <c r="F293" s="600"/>
      <c r="G293" s="81"/>
      <c r="H293" s="81"/>
      <c r="I293" s="81"/>
      <c r="J293" s="81"/>
      <c r="K293" s="81"/>
      <c r="L293" s="81"/>
      <c r="M293" s="81"/>
      <c r="N293" s="81"/>
    </row>
    <row r="294" spans="1:14" ht="14.25" customHeight="1" x14ac:dyDescent="0.25">
      <c r="A294" s="91"/>
      <c r="B294" s="91"/>
      <c r="C294" s="91"/>
      <c r="D294" s="91"/>
      <c r="E294" s="91"/>
      <c r="F294" s="91"/>
      <c r="G294" s="81"/>
      <c r="H294" s="81"/>
      <c r="I294" s="81"/>
      <c r="J294" s="81"/>
      <c r="K294" s="81"/>
      <c r="L294" s="81"/>
      <c r="M294" s="81"/>
      <c r="N294" s="81"/>
    </row>
    <row r="295" spans="1:14" ht="14.25" customHeight="1" x14ac:dyDescent="0.25">
      <c r="A295" s="88" t="s">
        <v>49</v>
      </c>
      <c r="B295" s="92" t="s">
        <v>64</v>
      </c>
      <c r="C295" s="89"/>
      <c r="D295" s="89"/>
      <c r="E295" s="89"/>
      <c r="F295" s="93"/>
      <c r="G295" s="81"/>
      <c r="H295" s="81"/>
      <c r="I295" s="81"/>
      <c r="J295" s="81"/>
      <c r="K295" s="81"/>
      <c r="L295" s="81"/>
      <c r="M295" s="81"/>
      <c r="N295" s="81"/>
    </row>
    <row r="296" spans="1:14" ht="14.25" customHeight="1" x14ac:dyDescent="0.25">
      <c r="A296" s="88"/>
      <c r="B296" s="94"/>
      <c r="C296" s="89"/>
      <c r="D296" s="89"/>
      <c r="E296" s="89"/>
      <c r="F296" s="93"/>
      <c r="G296" s="81"/>
      <c r="H296" s="81"/>
      <c r="I296" s="81"/>
      <c r="J296" s="81"/>
      <c r="K296" s="81"/>
      <c r="L296" s="81"/>
      <c r="M296" s="81"/>
      <c r="N296" s="81"/>
    </row>
    <row r="297" spans="1:14" ht="14.25" customHeight="1" x14ac:dyDescent="0.25">
      <c r="A297" s="95" t="s">
        <v>562</v>
      </c>
      <c r="B297" s="96"/>
      <c r="C297" s="92"/>
      <c r="D297" s="92"/>
      <c r="E297" s="92"/>
      <c r="F297" s="92"/>
      <c r="G297" s="81"/>
      <c r="H297" s="81"/>
      <c r="I297" s="81"/>
      <c r="J297" s="81"/>
      <c r="K297" s="81"/>
      <c r="L297" s="81"/>
      <c r="M297" s="81"/>
      <c r="N297" s="81"/>
    </row>
    <row r="298" spans="1:14" ht="14.25" customHeight="1" x14ac:dyDescent="0.25">
      <c r="A298" s="97" t="s">
        <v>563</v>
      </c>
      <c r="B298" s="98" t="s">
        <v>564</v>
      </c>
      <c r="C298" s="98" t="s">
        <v>565</v>
      </c>
      <c r="D298" s="98" t="s">
        <v>566</v>
      </c>
      <c r="E298" s="98" t="s">
        <v>567</v>
      </c>
      <c r="F298" s="98" t="s">
        <v>568</v>
      </c>
      <c r="G298" s="81"/>
      <c r="H298" s="81"/>
      <c r="I298" s="81"/>
      <c r="J298" s="81"/>
      <c r="K298" s="81"/>
      <c r="L298" s="81"/>
      <c r="M298" s="81"/>
      <c r="N298" s="81"/>
    </row>
    <row r="299" spans="1:14" ht="14.25" customHeight="1" x14ac:dyDescent="0.25">
      <c r="A299" s="99" t="s">
        <v>606</v>
      </c>
      <c r="B299" s="100" t="s">
        <v>64</v>
      </c>
      <c r="C299" s="101">
        <v>7500</v>
      </c>
      <c r="D299" s="104">
        <v>1.4</v>
      </c>
      <c r="E299" s="102"/>
      <c r="F299" s="101">
        <f t="shared" ref="F299:F300" si="14">C299*(D299+(D299*E299))</f>
        <v>10500</v>
      </c>
      <c r="G299" s="81"/>
      <c r="H299" s="81"/>
      <c r="I299" s="81"/>
      <c r="J299" s="81"/>
      <c r="K299" s="81"/>
      <c r="L299" s="81"/>
      <c r="M299" s="81"/>
      <c r="N299" s="81"/>
    </row>
    <row r="300" spans="1:14" ht="14.25" customHeight="1" x14ac:dyDescent="0.25">
      <c r="A300" s="99"/>
      <c r="B300" s="100"/>
      <c r="C300" s="101"/>
      <c r="D300" s="104"/>
      <c r="E300" s="102"/>
      <c r="F300" s="101">
        <f t="shared" si="14"/>
        <v>0</v>
      </c>
      <c r="G300" s="81"/>
      <c r="H300" s="81"/>
      <c r="I300" s="81"/>
      <c r="J300" s="81"/>
      <c r="K300" s="81"/>
      <c r="L300" s="81"/>
      <c r="M300" s="81"/>
      <c r="N300" s="81"/>
    </row>
    <row r="301" spans="1:14" ht="14.25" customHeight="1" x14ac:dyDescent="0.25">
      <c r="A301" s="103"/>
      <c r="B301" s="100"/>
      <c r="C301" s="101"/>
      <c r="D301" s="104"/>
      <c r="E301" s="102"/>
      <c r="F301" s="101"/>
      <c r="G301" s="81"/>
      <c r="H301" s="81"/>
      <c r="I301" s="81"/>
      <c r="J301" s="81"/>
      <c r="K301" s="81"/>
      <c r="L301" s="81"/>
      <c r="M301" s="81"/>
      <c r="N301" s="81"/>
    </row>
    <row r="302" spans="1:14" ht="14.25" customHeight="1" x14ac:dyDescent="0.25">
      <c r="A302" s="99"/>
      <c r="B302" s="100"/>
      <c r="C302" s="101"/>
      <c r="D302" s="104"/>
      <c r="E302" s="102"/>
      <c r="F302" s="101"/>
      <c r="G302" s="81"/>
      <c r="H302" s="81"/>
      <c r="I302" s="81"/>
      <c r="J302" s="81"/>
      <c r="K302" s="81"/>
      <c r="L302" s="81"/>
      <c r="M302" s="81"/>
      <c r="N302" s="81"/>
    </row>
    <row r="303" spans="1:14" ht="14.25" customHeight="1" x14ac:dyDescent="0.25">
      <c r="A303" s="99"/>
      <c r="B303" s="100"/>
      <c r="C303" s="106"/>
      <c r="D303" s="104"/>
      <c r="E303" s="102"/>
      <c r="F303" s="101"/>
      <c r="G303" s="81"/>
      <c r="H303" s="81"/>
      <c r="I303" s="81"/>
      <c r="J303" s="81"/>
      <c r="K303" s="81"/>
      <c r="L303" s="81"/>
      <c r="M303" s="81"/>
      <c r="N303" s="81"/>
    </row>
    <row r="304" spans="1:14" ht="14.25" customHeight="1" x14ac:dyDescent="0.25">
      <c r="A304" s="103"/>
      <c r="B304" s="100"/>
      <c r="C304" s="101"/>
      <c r="D304" s="105"/>
      <c r="E304" s="102"/>
      <c r="F304" s="101"/>
      <c r="G304" s="81"/>
      <c r="H304" s="81"/>
      <c r="I304" s="81"/>
      <c r="J304" s="81"/>
      <c r="K304" s="81"/>
      <c r="L304" s="81"/>
      <c r="M304" s="81"/>
      <c r="N304" s="81"/>
    </row>
    <row r="305" spans="1:14" ht="14.25" customHeight="1" x14ac:dyDescent="0.25">
      <c r="A305" s="99"/>
      <c r="B305" s="100"/>
      <c r="C305" s="106"/>
      <c r="D305" s="107"/>
      <c r="E305" s="108"/>
      <c r="F305" s="106"/>
      <c r="G305" s="81"/>
      <c r="H305" s="81"/>
      <c r="I305" s="81"/>
      <c r="J305" s="81"/>
      <c r="K305" s="81"/>
      <c r="L305" s="81"/>
      <c r="M305" s="81"/>
      <c r="N305" s="81"/>
    </row>
    <row r="306" spans="1:14" ht="14.25" customHeight="1" x14ac:dyDescent="0.25">
      <c r="A306" s="97" t="s">
        <v>548</v>
      </c>
      <c r="B306" s="97"/>
      <c r="C306" s="109"/>
      <c r="D306" s="110"/>
      <c r="E306" s="111"/>
      <c r="F306" s="112">
        <f>SUM(F299:F305)</f>
        <v>10500</v>
      </c>
      <c r="G306" s="81"/>
      <c r="H306" s="81"/>
      <c r="I306" s="81"/>
      <c r="J306" s="81"/>
      <c r="K306" s="81"/>
      <c r="L306" s="81"/>
      <c r="M306" s="81"/>
      <c r="N306" s="81"/>
    </row>
    <row r="307" spans="1:14" ht="14.25" customHeight="1" x14ac:dyDescent="0.25">
      <c r="A307" s="88"/>
      <c r="B307" s="88"/>
      <c r="C307" s="113"/>
      <c r="D307" s="113"/>
      <c r="E307" s="114"/>
      <c r="F307" s="113"/>
      <c r="G307" s="81"/>
      <c r="H307" s="81"/>
      <c r="I307" s="81"/>
      <c r="J307" s="81"/>
      <c r="K307" s="81"/>
      <c r="L307" s="81"/>
      <c r="M307" s="81"/>
      <c r="N307" s="81"/>
    </row>
    <row r="308" spans="1:14" ht="14.25" customHeight="1" x14ac:dyDescent="0.25">
      <c r="A308" s="96" t="s">
        <v>573</v>
      </c>
      <c r="B308" s="96"/>
      <c r="C308" s="92"/>
      <c r="D308" s="92"/>
      <c r="E308" s="92"/>
      <c r="F308" s="92"/>
      <c r="G308" s="81"/>
      <c r="H308" s="81"/>
      <c r="I308" s="81"/>
      <c r="J308" s="81"/>
      <c r="K308" s="81"/>
      <c r="L308" s="81"/>
      <c r="M308" s="81"/>
      <c r="N308" s="81"/>
    </row>
    <row r="309" spans="1:14" ht="14.25" customHeight="1" x14ac:dyDescent="0.25">
      <c r="A309" s="611" t="s">
        <v>563</v>
      </c>
      <c r="B309" s="608"/>
      <c r="C309" s="609"/>
      <c r="D309" s="98" t="s">
        <v>574</v>
      </c>
      <c r="E309" s="98" t="s">
        <v>575</v>
      </c>
      <c r="F309" s="98" t="s">
        <v>568</v>
      </c>
      <c r="G309" s="81"/>
      <c r="H309" s="81"/>
      <c r="I309" s="81"/>
      <c r="J309" s="81"/>
      <c r="K309" s="81"/>
      <c r="L309" s="81"/>
      <c r="M309" s="81"/>
      <c r="N309" s="81"/>
    </row>
    <row r="310" spans="1:14" ht="14.25" customHeight="1" x14ac:dyDescent="0.25">
      <c r="A310" s="607" t="s">
        <v>577</v>
      </c>
      <c r="B310" s="608"/>
      <c r="C310" s="609"/>
      <c r="D310" s="116"/>
      <c r="E310" s="107"/>
      <c r="F310" s="106">
        <v>1788</v>
      </c>
      <c r="G310" s="81"/>
      <c r="H310" s="81"/>
      <c r="I310" s="81"/>
      <c r="J310" s="81"/>
      <c r="K310" s="81"/>
      <c r="L310" s="81"/>
      <c r="M310" s="81"/>
      <c r="N310" s="81"/>
    </row>
    <row r="311" spans="1:14" ht="14.25" customHeight="1" x14ac:dyDescent="0.25">
      <c r="A311" s="607" t="s">
        <v>1314</v>
      </c>
      <c r="B311" s="608"/>
      <c r="C311" s="609"/>
      <c r="D311" s="142">
        <v>130000</v>
      </c>
      <c r="E311" s="107">
        <v>2.2000000000000002</v>
      </c>
      <c r="F311" s="106">
        <f t="shared" ref="F311" si="15">D311/E311</f>
        <v>59090.909090909088</v>
      </c>
      <c r="G311" s="81"/>
      <c r="H311" s="81"/>
      <c r="I311" s="81"/>
      <c r="J311" s="81"/>
      <c r="K311" s="81"/>
      <c r="L311" s="81"/>
      <c r="M311" s="81"/>
      <c r="N311" s="81"/>
    </row>
    <row r="312" spans="1:14" ht="14.25" customHeight="1" x14ac:dyDescent="0.25">
      <c r="A312" s="607"/>
      <c r="B312" s="608"/>
      <c r="C312" s="609"/>
      <c r="D312" s="142"/>
      <c r="E312" s="107"/>
      <c r="F312" s="106"/>
      <c r="G312" s="81"/>
      <c r="H312" s="81"/>
      <c r="I312" s="81"/>
      <c r="J312" s="81"/>
      <c r="K312" s="81"/>
      <c r="L312" s="81"/>
      <c r="M312" s="81"/>
      <c r="N312" s="81"/>
    </row>
    <row r="313" spans="1:14" ht="14.25" customHeight="1" x14ac:dyDescent="0.25">
      <c r="A313" s="610"/>
      <c r="B313" s="608"/>
      <c r="C313" s="609"/>
      <c r="D313" s="115"/>
      <c r="E313" s="107"/>
      <c r="F313" s="106"/>
      <c r="G313" s="81"/>
      <c r="H313" s="81"/>
      <c r="I313" s="81"/>
      <c r="J313" s="81"/>
      <c r="K313" s="81"/>
      <c r="L313" s="81"/>
      <c r="M313" s="81"/>
      <c r="N313" s="81"/>
    </row>
    <row r="314" spans="1:14" ht="14.25" customHeight="1" x14ac:dyDescent="0.25">
      <c r="A314" s="611" t="s">
        <v>548</v>
      </c>
      <c r="B314" s="608"/>
      <c r="C314" s="609"/>
      <c r="D314" s="110"/>
      <c r="E314" s="110"/>
      <c r="F314" s="112">
        <f>SUM(F310:F312)</f>
        <v>60878.909090909088</v>
      </c>
      <c r="G314" s="81"/>
      <c r="H314" s="81"/>
      <c r="I314" s="81"/>
      <c r="J314" s="81"/>
      <c r="K314" s="81"/>
      <c r="L314" s="81"/>
      <c r="M314" s="81"/>
      <c r="N314" s="81"/>
    </row>
    <row r="315" spans="1:14" ht="14.25" customHeight="1" x14ac:dyDescent="0.25">
      <c r="A315" s="88"/>
      <c r="B315" s="88"/>
      <c r="C315" s="89"/>
      <c r="D315" s="113"/>
      <c r="E315" s="113"/>
      <c r="F315" s="113"/>
      <c r="G315" s="81"/>
      <c r="H315" s="81"/>
      <c r="I315" s="81"/>
      <c r="J315" s="81"/>
      <c r="K315" s="81"/>
      <c r="L315" s="81"/>
      <c r="M315" s="81"/>
      <c r="N315" s="81"/>
    </row>
    <row r="316" spans="1:14" ht="14.25" customHeight="1" x14ac:dyDescent="0.25">
      <c r="A316" s="96" t="s">
        <v>578</v>
      </c>
      <c r="B316" s="96"/>
      <c r="C316" s="92"/>
      <c r="D316" s="118"/>
      <c r="E316" s="118"/>
      <c r="F316" s="118"/>
      <c r="G316" s="81"/>
      <c r="H316" s="81"/>
      <c r="I316" s="81"/>
      <c r="J316" s="81"/>
      <c r="K316" s="81"/>
      <c r="L316" s="81"/>
      <c r="M316" s="81"/>
      <c r="N316" s="81"/>
    </row>
    <row r="317" spans="1:14" ht="38.25" x14ac:dyDescent="0.25">
      <c r="A317" s="119" t="s">
        <v>563</v>
      </c>
      <c r="B317" s="120" t="s">
        <v>579</v>
      </c>
      <c r="C317" s="120" t="s">
        <v>580</v>
      </c>
      <c r="D317" s="121" t="s">
        <v>581</v>
      </c>
      <c r="E317" s="121" t="s">
        <v>575</v>
      </c>
      <c r="F317" s="121" t="s">
        <v>568</v>
      </c>
      <c r="G317" s="81"/>
      <c r="H317" s="81"/>
      <c r="I317" s="81"/>
      <c r="J317" s="81"/>
      <c r="K317" s="81"/>
      <c r="L317" s="81"/>
      <c r="M317" s="81"/>
      <c r="N317" s="81"/>
    </row>
    <row r="318" spans="1:14" ht="14.25" customHeight="1" x14ac:dyDescent="0.25">
      <c r="A318" s="122" t="s">
        <v>593</v>
      </c>
      <c r="B318" s="127">
        <v>1</v>
      </c>
      <c r="C318" s="101">
        <v>32688</v>
      </c>
      <c r="D318" s="101">
        <f t="shared" ref="D318:D319" si="16">+C318*1.7</f>
        <v>55569.599999999999</v>
      </c>
      <c r="E318" s="107">
        <f>+(E311/8)/0.2</f>
        <v>1.375</v>
      </c>
      <c r="F318" s="106">
        <f t="shared" ref="F318:F319" si="17">+B318*(D318)/E318</f>
        <v>40414.254545454547</v>
      </c>
      <c r="G318" s="81"/>
      <c r="H318" s="81"/>
      <c r="I318" s="81"/>
      <c r="J318" s="81"/>
      <c r="K318" s="81"/>
      <c r="L318" s="81"/>
      <c r="M318" s="81"/>
      <c r="N318" s="81"/>
    </row>
    <row r="319" spans="1:14" ht="14.25" customHeight="1" x14ac:dyDescent="0.25">
      <c r="A319" s="122" t="s">
        <v>594</v>
      </c>
      <c r="B319" s="127">
        <v>1</v>
      </c>
      <c r="C319" s="101">
        <v>52538</v>
      </c>
      <c r="D319" s="101">
        <f t="shared" si="16"/>
        <v>89314.599999999991</v>
      </c>
      <c r="E319" s="107">
        <f>+E318</f>
        <v>1.375</v>
      </c>
      <c r="F319" s="106">
        <f t="shared" si="17"/>
        <v>64956.072727272724</v>
      </c>
      <c r="G319" s="81"/>
      <c r="H319" s="81"/>
      <c r="I319" s="81"/>
      <c r="J319" s="81"/>
      <c r="K319" s="81"/>
      <c r="L319" s="81"/>
      <c r="M319" s="81"/>
      <c r="N319" s="81"/>
    </row>
    <row r="320" spans="1:14" ht="14.25" customHeight="1" x14ac:dyDescent="0.25">
      <c r="A320" s="122"/>
      <c r="B320" s="127"/>
      <c r="C320" s="101"/>
      <c r="D320" s="101"/>
      <c r="E320" s="107"/>
      <c r="F320" s="106"/>
      <c r="G320" s="81"/>
      <c r="H320" s="81"/>
      <c r="I320" s="81"/>
      <c r="J320" s="81"/>
      <c r="K320" s="81"/>
      <c r="L320" s="81"/>
      <c r="M320" s="81"/>
      <c r="N320" s="81"/>
    </row>
    <row r="321" spans="1:14" ht="14.25" customHeight="1" x14ac:dyDescent="0.25">
      <c r="A321" s="122"/>
      <c r="B321" s="127"/>
      <c r="C321" s="101"/>
      <c r="D321" s="101"/>
      <c r="E321" s="125"/>
      <c r="F321" s="106"/>
      <c r="G321" s="81"/>
      <c r="H321" s="81"/>
      <c r="I321" s="81"/>
      <c r="J321" s="81"/>
      <c r="K321" s="81"/>
      <c r="L321" s="81"/>
      <c r="M321" s="81"/>
      <c r="N321" s="81"/>
    </row>
    <row r="322" spans="1:14" ht="14.25" customHeight="1" x14ac:dyDescent="0.25">
      <c r="A322" s="97" t="s">
        <v>548</v>
      </c>
      <c r="B322" s="128"/>
      <c r="C322" s="110"/>
      <c r="D322" s="110"/>
      <c r="E322" s="110"/>
      <c r="F322" s="112">
        <f>SUM(F318:F321)</f>
        <v>105370.32727272727</v>
      </c>
      <c r="G322" s="81"/>
      <c r="H322" s="81"/>
      <c r="I322" s="81"/>
      <c r="J322" s="81"/>
      <c r="K322" s="81"/>
      <c r="L322" s="81"/>
      <c r="M322" s="81"/>
      <c r="N322" s="81"/>
    </row>
    <row r="323" spans="1:14" ht="14.25" customHeight="1" x14ac:dyDescent="0.25">
      <c r="A323" s="96"/>
      <c r="B323" s="129"/>
      <c r="C323" s="118"/>
      <c r="D323" s="118"/>
      <c r="E323" s="118"/>
      <c r="F323" s="118"/>
      <c r="G323" s="81"/>
      <c r="H323" s="81"/>
      <c r="I323" s="81"/>
      <c r="J323" s="81"/>
      <c r="K323" s="81"/>
      <c r="L323" s="81"/>
      <c r="M323" s="81"/>
      <c r="N323" s="81"/>
    </row>
    <row r="324" spans="1:14" ht="14.25" customHeight="1" x14ac:dyDescent="0.25">
      <c r="A324" s="95" t="s">
        <v>583</v>
      </c>
      <c r="B324" s="96"/>
      <c r="C324" s="92"/>
      <c r="D324" s="92"/>
      <c r="E324" s="92" t="s">
        <v>584</v>
      </c>
      <c r="F324" s="92"/>
      <c r="G324" s="81"/>
      <c r="H324" s="81"/>
      <c r="I324" s="81"/>
      <c r="J324" s="81"/>
      <c r="K324" s="81"/>
      <c r="L324" s="81"/>
      <c r="M324" s="81"/>
      <c r="N324" s="81"/>
    </row>
    <row r="325" spans="1:14" ht="25.5" x14ac:dyDescent="0.25">
      <c r="A325" s="97" t="s">
        <v>563</v>
      </c>
      <c r="B325" s="98" t="s">
        <v>564</v>
      </c>
      <c r="C325" s="98" t="s">
        <v>585</v>
      </c>
      <c r="D325" s="98" t="s">
        <v>586</v>
      </c>
      <c r="E325" s="120" t="s">
        <v>587</v>
      </c>
      <c r="F325" s="98" t="s">
        <v>568</v>
      </c>
      <c r="G325" s="81"/>
      <c r="H325" s="81"/>
      <c r="I325" s="81"/>
      <c r="J325" s="81"/>
      <c r="K325" s="81"/>
      <c r="L325" s="81"/>
      <c r="M325" s="81"/>
      <c r="N325" s="81"/>
    </row>
    <row r="326" spans="1:14" ht="15.75" x14ac:dyDescent="0.25">
      <c r="A326" s="103" t="s">
        <v>604</v>
      </c>
      <c r="B326" s="100" t="s">
        <v>605</v>
      </c>
      <c r="C326" s="101">
        <v>1000</v>
      </c>
      <c r="D326" s="140">
        <f>+D299</f>
        <v>1.4</v>
      </c>
      <c r="E326" s="107">
        <v>10</v>
      </c>
      <c r="F326" s="109">
        <f>+C326*D326*E326</f>
        <v>14000</v>
      </c>
      <c r="G326" s="81"/>
      <c r="H326" s="81"/>
      <c r="I326" s="81"/>
      <c r="J326" s="81"/>
      <c r="K326" s="81"/>
      <c r="L326" s="81"/>
      <c r="M326" s="81"/>
      <c r="N326" s="81"/>
    </row>
    <row r="327" spans="1:14" ht="14.25" customHeight="1" x14ac:dyDescent="0.25">
      <c r="A327" s="103"/>
      <c r="B327" s="100"/>
      <c r="C327" s="107"/>
      <c r="D327" s="107"/>
      <c r="E327" s="108"/>
      <c r="F327" s="109"/>
      <c r="G327" s="81"/>
      <c r="H327" s="81"/>
      <c r="I327" s="81"/>
      <c r="J327" s="81"/>
      <c r="K327" s="81"/>
      <c r="L327" s="81"/>
      <c r="M327" s="81"/>
      <c r="N327" s="81"/>
    </row>
    <row r="328" spans="1:14" ht="14.25" customHeight="1" x14ac:dyDescent="0.25">
      <c r="A328" s="97" t="s">
        <v>548</v>
      </c>
      <c r="B328" s="98"/>
      <c r="C328" s="110"/>
      <c r="D328" s="110"/>
      <c r="E328" s="111"/>
      <c r="F328" s="112">
        <f>SUM(F326:F327)</f>
        <v>14000</v>
      </c>
      <c r="G328" s="81"/>
      <c r="H328" s="81"/>
      <c r="I328" s="81"/>
      <c r="J328" s="81"/>
      <c r="K328" s="81"/>
      <c r="L328" s="81"/>
      <c r="M328" s="81"/>
      <c r="N328" s="81"/>
    </row>
    <row r="329" spans="1:14" ht="14.25" customHeight="1" x14ac:dyDescent="0.25">
      <c r="A329" s="88"/>
      <c r="B329" s="89"/>
      <c r="C329" s="113"/>
      <c r="D329" s="113"/>
      <c r="E329" s="114"/>
      <c r="F329" s="113"/>
      <c r="G329" s="81"/>
      <c r="H329" s="81"/>
      <c r="I329" s="81"/>
      <c r="J329" s="81"/>
      <c r="K329" s="81"/>
      <c r="L329" s="81"/>
      <c r="M329" s="81"/>
      <c r="N329" s="81"/>
    </row>
    <row r="330" spans="1:14" ht="14.25" customHeight="1" x14ac:dyDescent="0.25">
      <c r="A330" s="88"/>
      <c r="B330" s="89"/>
      <c r="C330" s="113"/>
      <c r="D330" s="113"/>
      <c r="E330" s="114"/>
      <c r="F330" s="113"/>
      <c r="G330" s="81"/>
      <c r="H330" s="81"/>
      <c r="I330" s="81"/>
      <c r="J330" s="81"/>
      <c r="K330" s="81"/>
      <c r="L330" s="81"/>
      <c r="M330" s="81"/>
      <c r="N330" s="81"/>
    </row>
    <row r="331" spans="1:14" ht="14.25" customHeight="1" x14ac:dyDescent="0.25">
      <c r="A331" s="612" t="s">
        <v>588</v>
      </c>
      <c r="B331" s="608"/>
      <c r="C331" s="608"/>
      <c r="D331" s="608"/>
      <c r="E331" s="609"/>
      <c r="F331" s="131">
        <f>ROUND(F306+F314+F322+F328,0)</f>
        <v>190749</v>
      </c>
      <c r="G331" s="81"/>
      <c r="H331" s="117">
        <f>+F331-190749</f>
        <v>0</v>
      </c>
      <c r="I331" s="81"/>
      <c r="J331" s="81"/>
      <c r="K331" s="81"/>
      <c r="L331" s="81"/>
      <c r="M331" s="81"/>
      <c r="N331" s="81"/>
    </row>
    <row r="332" spans="1:14" ht="14.25" customHeight="1" x14ac:dyDescent="0.25">
      <c r="A332" s="612" t="s">
        <v>589</v>
      </c>
      <c r="B332" s="608"/>
      <c r="C332" s="608"/>
      <c r="D332" s="608"/>
      <c r="E332" s="609"/>
      <c r="F332" s="132"/>
      <c r="G332" s="81"/>
      <c r="H332" s="81"/>
      <c r="I332" s="81"/>
      <c r="J332" s="81"/>
      <c r="K332" s="81"/>
      <c r="L332" s="81"/>
      <c r="M332" s="81"/>
      <c r="N332" s="81"/>
    </row>
    <row r="333" spans="1:14" ht="14.25" customHeight="1" x14ac:dyDescent="0.25">
      <c r="A333" s="612" t="s">
        <v>556</v>
      </c>
      <c r="B333" s="608"/>
      <c r="C333" s="608"/>
      <c r="D333" s="608"/>
      <c r="E333" s="609"/>
      <c r="F333" s="133"/>
      <c r="G333" s="81"/>
      <c r="H333" s="81"/>
      <c r="I333" s="81"/>
      <c r="J333" s="81"/>
      <c r="K333" s="81"/>
      <c r="L333" s="81"/>
      <c r="M333" s="81"/>
      <c r="N333" s="81"/>
    </row>
    <row r="334" spans="1:14" ht="14.25" customHeight="1" x14ac:dyDescent="0.25">
      <c r="A334" s="134"/>
      <c r="B334" s="135"/>
      <c r="C334" s="135"/>
      <c r="D334" s="135"/>
      <c r="E334" s="135"/>
      <c r="F334" s="136"/>
      <c r="G334" s="81"/>
      <c r="H334" s="81"/>
      <c r="I334" s="81"/>
      <c r="J334" s="81"/>
      <c r="K334" s="81"/>
      <c r="L334" s="81"/>
      <c r="M334" s="81"/>
      <c r="N334" s="81"/>
    </row>
    <row r="335" spans="1:14" ht="14.25" customHeight="1" x14ac:dyDescent="0.25">
      <c r="A335" s="81"/>
      <c r="B335" s="81"/>
      <c r="C335" s="137"/>
      <c r="D335" s="81"/>
      <c r="E335" s="81"/>
      <c r="F335" s="81"/>
      <c r="G335" s="81"/>
      <c r="H335" s="81"/>
      <c r="I335" s="81"/>
      <c r="J335" s="81"/>
      <c r="K335" s="81"/>
      <c r="L335" s="81"/>
      <c r="M335" s="81"/>
      <c r="N335" s="81"/>
    </row>
    <row r="336" spans="1:14" ht="14.25" customHeight="1" x14ac:dyDescent="0.25">
      <c r="A336" s="81"/>
      <c r="B336" s="81"/>
      <c r="C336" s="137"/>
      <c r="D336" s="81"/>
      <c r="E336" s="81"/>
      <c r="F336" s="81"/>
      <c r="G336" s="81"/>
      <c r="H336" s="81"/>
      <c r="I336" s="81"/>
      <c r="J336" s="81"/>
      <c r="K336" s="81"/>
      <c r="L336" s="81"/>
      <c r="M336" s="81"/>
      <c r="N336" s="81"/>
    </row>
    <row r="337" spans="1:14" ht="14.25" customHeight="1" x14ac:dyDescent="0.25">
      <c r="A337" s="81"/>
      <c r="B337" s="81"/>
      <c r="C337" s="137"/>
      <c r="D337" s="81"/>
      <c r="E337" s="81"/>
      <c r="F337" s="81"/>
      <c r="G337" s="81"/>
      <c r="H337" s="81"/>
      <c r="I337" s="81"/>
      <c r="J337" s="81"/>
      <c r="K337" s="81"/>
      <c r="L337" s="81"/>
      <c r="M337" s="81"/>
      <c r="N337" s="81"/>
    </row>
    <row r="338" spans="1:14" ht="14.25" customHeight="1" x14ac:dyDescent="0.25">
      <c r="A338" s="81"/>
      <c r="B338" s="81"/>
      <c r="C338" s="137"/>
      <c r="D338" s="81"/>
      <c r="E338" s="81"/>
      <c r="F338" s="81"/>
      <c r="G338" s="81"/>
      <c r="H338" s="81"/>
      <c r="I338" s="81"/>
      <c r="J338" s="81"/>
      <c r="K338" s="81"/>
      <c r="L338" s="81"/>
      <c r="M338" s="81"/>
      <c r="N338" s="81"/>
    </row>
    <row r="339" spans="1:14" ht="14.25" customHeight="1" x14ac:dyDescent="0.25">
      <c r="A339" s="81"/>
      <c r="B339" s="81"/>
      <c r="C339" s="137"/>
      <c r="D339" s="81"/>
      <c r="E339" s="81"/>
      <c r="F339" s="81"/>
      <c r="G339" s="81"/>
      <c r="H339" s="81"/>
      <c r="I339" s="81"/>
      <c r="J339" s="81"/>
      <c r="K339" s="81"/>
      <c r="L339" s="81"/>
      <c r="M339" s="81"/>
      <c r="N339" s="81"/>
    </row>
    <row r="340" spans="1:14" ht="14.25" customHeight="1" x14ac:dyDescent="0.25">
      <c r="A340" s="81"/>
      <c r="B340" s="81"/>
      <c r="C340" s="137"/>
      <c r="D340" s="81"/>
      <c r="E340" s="81"/>
      <c r="F340" s="81"/>
      <c r="G340" s="81"/>
      <c r="H340" s="81"/>
      <c r="I340" s="81"/>
      <c r="J340" s="81"/>
      <c r="K340" s="81"/>
      <c r="L340" s="81"/>
      <c r="M340" s="81"/>
      <c r="N340" s="81"/>
    </row>
    <row r="341" spans="1:14" ht="14.25" customHeight="1" x14ac:dyDescent="0.25">
      <c r="A341" s="81"/>
      <c r="B341" s="81"/>
      <c r="C341" s="137"/>
      <c r="D341" s="81"/>
      <c r="E341" s="81"/>
      <c r="F341" s="81"/>
      <c r="G341" s="81"/>
      <c r="H341" s="81"/>
      <c r="I341" s="81"/>
      <c r="J341" s="81"/>
      <c r="K341" s="81"/>
      <c r="L341" s="81"/>
      <c r="M341" s="81"/>
      <c r="N341" s="81"/>
    </row>
    <row r="342" spans="1:14" ht="14.25" customHeight="1" x14ac:dyDescent="0.25">
      <c r="A342" s="81"/>
      <c r="B342" s="81"/>
      <c r="C342" s="137"/>
      <c r="D342" s="81"/>
      <c r="E342" s="81"/>
      <c r="F342" s="81"/>
      <c r="G342" s="81"/>
      <c r="H342" s="81"/>
      <c r="I342" s="81"/>
      <c r="J342" s="81"/>
      <c r="K342" s="81"/>
      <c r="L342" s="81"/>
      <c r="M342" s="81"/>
      <c r="N342" s="81"/>
    </row>
    <row r="343" spans="1:14" ht="14.25" customHeight="1" x14ac:dyDescent="0.25">
      <c r="A343" s="81"/>
      <c r="B343" s="81"/>
      <c r="C343" s="137"/>
      <c r="D343" s="81"/>
      <c r="E343" s="81"/>
      <c r="F343" s="81"/>
      <c r="G343" s="81"/>
      <c r="H343" s="81"/>
      <c r="I343" s="81"/>
      <c r="J343" s="81"/>
      <c r="K343" s="81"/>
      <c r="L343" s="81"/>
      <c r="M343" s="81"/>
      <c r="N343" s="81"/>
    </row>
    <row r="344" spans="1:14" ht="14.25" customHeight="1" x14ac:dyDescent="0.25">
      <c r="A344" s="134"/>
      <c r="B344" s="135"/>
      <c r="C344" s="135"/>
      <c r="D344" s="135"/>
      <c r="E344" s="135"/>
      <c r="F344" s="136"/>
      <c r="G344" s="81"/>
      <c r="H344" s="81"/>
      <c r="I344" s="81"/>
      <c r="J344" s="81"/>
      <c r="K344" s="81"/>
      <c r="L344" s="81"/>
      <c r="M344" s="81"/>
      <c r="N344" s="81"/>
    </row>
    <row r="345" spans="1:14" ht="14.25" customHeight="1" x14ac:dyDescent="0.25">
      <c r="A345" s="134"/>
      <c r="B345" s="135"/>
      <c r="C345" s="135"/>
      <c r="D345" s="135"/>
      <c r="E345" s="135"/>
      <c r="F345" s="136"/>
      <c r="G345" s="81"/>
      <c r="H345" s="81"/>
      <c r="I345" s="81"/>
      <c r="J345" s="81"/>
      <c r="K345" s="81"/>
      <c r="L345" s="81"/>
      <c r="M345" s="81"/>
      <c r="N345" s="81"/>
    </row>
    <row r="346" spans="1:14" ht="14.25" customHeight="1" x14ac:dyDescent="0.25">
      <c r="A346" s="134"/>
      <c r="B346" s="135"/>
      <c r="C346" s="135"/>
      <c r="D346" s="135"/>
      <c r="E346" s="135"/>
      <c r="F346" s="136"/>
      <c r="G346" s="81"/>
      <c r="H346" s="81"/>
      <c r="I346" s="81"/>
      <c r="J346" s="81"/>
      <c r="K346" s="81"/>
      <c r="L346" s="81"/>
      <c r="M346" s="81"/>
      <c r="N346" s="81"/>
    </row>
    <row r="347" spans="1:14" ht="14.25" customHeight="1" thickBot="1" x14ac:dyDescent="0.3">
      <c r="A347" s="81"/>
      <c r="B347" s="81"/>
      <c r="C347" s="81"/>
      <c r="D347" s="81"/>
      <c r="E347" s="81"/>
      <c r="F347" s="81"/>
      <c r="G347" s="81"/>
      <c r="H347" s="81"/>
      <c r="I347" s="81"/>
      <c r="J347" s="81"/>
      <c r="K347" s="81"/>
      <c r="L347" s="81"/>
      <c r="M347" s="81"/>
      <c r="N347" s="81"/>
    </row>
    <row r="348" spans="1:14" ht="14.25" customHeight="1" x14ac:dyDescent="0.25">
      <c r="A348" s="83"/>
      <c r="B348" s="84"/>
      <c r="C348" s="85"/>
      <c r="D348" s="86"/>
      <c r="E348" s="86"/>
      <c r="F348" s="87"/>
      <c r="G348" s="81"/>
      <c r="H348" s="81"/>
      <c r="I348" s="81"/>
      <c r="J348" s="81"/>
      <c r="K348" s="81"/>
      <c r="L348" s="81"/>
      <c r="M348" s="81"/>
      <c r="N348" s="81"/>
    </row>
    <row r="349" spans="1:14" ht="14.25" customHeight="1" x14ac:dyDescent="0.25">
      <c r="A349" s="599"/>
      <c r="B349" s="600"/>
      <c r="C349" s="600"/>
      <c r="D349" s="600"/>
      <c r="E349" s="600"/>
      <c r="F349" s="601"/>
      <c r="G349" s="81"/>
      <c r="H349" s="81"/>
      <c r="I349" s="81"/>
      <c r="J349" s="81"/>
      <c r="K349" s="81"/>
      <c r="L349" s="81"/>
      <c r="M349" s="81"/>
      <c r="N349" s="81"/>
    </row>
    <row r="350" spans="1:14" ht="14.25" customHeight="1" x14ac:dyDescent="0.25">
      <c r="A350" s="602" t="s">
        <v>561</v>
      </c>
      <c r="B350" s="600"/>
      <c r="C350" s="600"/>
      <c r="D350" s="600"/>
      <c r="E350" s="600"/>
      <c r="F350" s="601"/>
      <c r="G350" s="81"/>
      <c r="H350" s="81"/>
      <c r="I350" s="81"/>
      <c r="J350" s="81"/>
      <c r="K350" s="81"/>
      <c r="L350" s="81"/>
      <c r="M350" s="81"/>
      <c r="N350" s="81"/>
    </row>
    <row r="351" spans="1:14" ht="14.25" customHeight="1" thickBot="1" x14ac:dyDescent="0.3">
      <c r="A351" s="603"/>
      <c r="B351" s="604"/>
      <c r="C351" s="604"/>
      <c r="D351" s="604"/>
      <c r="E351" s="604"/>
      <c r="F351" s="605"/>
      <c r="G351" s="81"/>
      <c r="H351" s="81"/>
      <c r="I351" s="81"/>
      <c r="J351" s="81"/>
      <c r="K351" s="81"/>
      <c r="L351" s="81"/>
      <c r="M351" s="81"/>
      <c r="N351" s="81"/>
    </row>
    <row r="352" spans="1:14" ht="14.25" customHeight="1" x14ac:dyDescent="0.25">
      <c r="A352" s="88"/>
      <c r="B352" s="88"/>
      <c r="C352" s="89"/>
      <c r="D352" s="89"/>
      <c r="E352" s="89"/>
      <c r="F352" s="89"/>
      <c r="G352" s="81"/>
      <c r="H352" s="81"/>
      <c r="I352" s="81"/>
      <c r="J352" s="81"/>
      <c r="K352" s="81"/>
      <c r="L352" s="81"/>
      <c r="M352" s="81"/>
      <c r="N352" s="81"/>
    </row>
    <row r="353" spans="1:14" ht="14.25" customHeight="1" x14ac:dyDescent="0.25">
      <c r="A353" s="90" t="s">
        <v>47</v>
      </c>
      <c r="B353" s="613" t="s">
        <v>70</v>
      </c>
      <c r="C353" s="600"/>
      <c r="D353" s="600"/>
      <c r="E353" s="600"/>
      <c r="F353" s="600"/>
      <c r="G353" s="81"/>
      <c r="H353" s="81"/>
      <c r="I353" s="81"/>
      <c r="J353" s="81"/>
      <c r="K353" s="81"/>
      <c r="L353" s="81"/>
      <c r="M353" s="81"/>
      <c r="N353" s="81"/>
    </row>
    <row r="354" spans="1:14" ht="14.25" customHeight="1" x14ac:dyDescent="0.25">
      <c r="A354" s="91"/>
      <c r="B354" s="91"/>
      <c r="C354" s="91"/>
      <c r="D354" s="91"/>
      <c r="E354" s="91"/>
      <c r="F354" s="91"/>
      <c r="G354" s="81"/>
      <c r="H354" s="81"/>
      <c r="I354" s="81"/>
      <c r="J354" s="81"/>
      <c r="K354" s="81"/>
      <c r="L354" s="81"/>
      <c r="M354" s="81"/>
      <c r="N354" s="81"/>
    </row>
    <row r="355" spans="1:14" ht="14.25" customHeight="1" x14ac:dyDescent="0.25">
      <c r="A355" s="88" t="s">
        <v>49</v>
      </c>
      <c r="B355" s="92" t="s">
        <v>56</v>
      </c>
      <c r="C355" s="89"/>
      <c r="D355" s="89"/>
      <c r="E355" s="89"/>
      <c r="F355" s="93"/>
      <c r="G355" s="81"/>
      <c r="H355" s="81"/>
      <c r="I355" s="81"/>
      <c r="J355" s="81"/>
      <c r="K355" s="81"/>
      <c r="L355" s="81"/>
      <c r="M355" s="81"/>
      <c r="N355" s="81"/>
    </row>
    <row r="356" spans="1:14" ht="14.25" customHeight="1" x14ac:dyDescent="0.25">
      <c r="A356" s="88"/>
      <c r="B356" s="94"/>
      <c r="C356" s="89"/>
      <c r="D356" s="89"/>
      <c r="E356" s="89"/>
      <c r="F356" s="93"/>
      <c r="G356" s="81"/>
      <c r="H356" s="81"/>
      <c r="I356" s="81"/>
      <c r="J356" s="81"/>
      <c r="K356" s="81"/>
      <c r="L356" s="81"/>
      <c r="M356" s="81"/>
      <c r="N356" s="81"/>
    </row>
    <row r="357" spans="1:14" ht="14.25" customHeight="1" x14ac:dyDescent="0.25">
      <c r="A357" s="95" t="s">
        <v>562</v>
      </c>
      <c r="B357" s="96"/>
      <c r="C357" s="92"/>
      <c r="D357" s="92"/>
      <c r="E357" s="92"/>
      <c r="F357" s="92"/>
      <c r="G357" s="81"/>
      <c r="H357" s="81"/>
      <c r="I357" s="81"/>
      <c r="J357" s="81"/>
      <c r="K357" s="81"/>
      <c r="L357" s="81"/>
      <c r="M357" s="81"/>
      <c r="N357" s="81"/>
    </row>
    <row r="358" spans="1:14" ht="14.25" customHeight="1" x14ac:dyDescent="0.25">
      <c r="A358" s="97" t="s">
        <v>563</v>
      </c>
      <c r="B358" s="98" t="s">
        <v>564</v>
      </c>
      <c r="C358" s="98" t="s">
        <v>565</v>
      </c>
      <c r="D358" s="98" t="s">
        <v>566</v>
      </c>
      <c r="E358" s="98" t="s">
        <v>567</v>
      </c>
      <c r="F358" s="98" t="s">
        <v>568</v>
      </c>
      <c r="G358" s="81"/>
      <c r="H358" s="81"/>
      <c r="I358" s="81"/>
      <c r="J358" s="81"/>
      <c r="K358" s="81"/>
      <c r="L358" s="81"/>
      <c r="M358" s="81"/>
      <c r="N358" s="81"/>
    </row>
    <row r="359" spans="1:14" ht="14.25" customHeight="1" x14ac:dyDescent="0.25">
      <c r="A359" s="99" t="s">
        <v>606</v>
      </c>
      <c r="B359" s="100" t="s">
        <v>64</v>
      </c>
      <c r="C359" s="101">
        <v>7500</v>
      </c>
      <c r="D359" s="104">
        <v>0.15</v>
      </c>
      <c r="E359" s="102"/>
      <c r="F359" s="101">
        <f t="shared" ref="F359:F360" si="18">C359*(D359+(D359*E359))</f>
        <v>1125</v>
      </c>
      <c r="G359" s="81"/>
      <c r="H359" s="81"/>
      <c r="I359" s="81"/>
      <c r="J359" s="81"/>
      <c r="K359" s="81"/>
      <c r="L359" s="81"/>
      <c r="M359" s="81"/>
      <c r="N359" s="81"/>
    </row>
    <row r="360" spans="1:14" ht="14.25" customHeight="1" x14ac:dyDescent="0.25">
      <c r="A360" s="99"/>
      <c r="B360" s="100"/>
      <c r="C360" s="101"/>
      <c r="D360" s="104"/>
      <c r="E360" s="102"/>
      <c r="F360" s="101">
        <f t="shared" si="18"/>
        <v>0</v>
      </c>
      <c r="G360" s="81"/>
      <c r="H360" s="81"/>
      <c r="I360" s="81"/>
      <c r="J360" s="81"/>
      <c r="K360" s="81"/>
      <c r="L360" s="81"/>
      <c r="M360" s="81"/>
      <c r="N360" s="81"/>
    </row>
    <row r="361" spans="1:14" ht="14.25" customHeight="1" x14ac:dyDescent="0.25">
      <c r="A361" s="103"/>
      <c r="B361" s="100"/>
      <c r="C361" s="101"/>
      <c r="D361" s="104"/>
      <c r="E361" s="102"/>
      <c r="F361" s="101"/>
      <c r="G361" s="81"/>
      <c r="H361" s="81"/>
      <c r="I361" s="81"/>
      <c r="J361" s="81"/>
      <c r="K361" s="81"/>
      <c r="L361" s="81"/>
      <c r="M361" s="81"/>
      <c r="N361" s="81"/>
    </row>
    <row r="362" spans="1:14" ht="14.25" customHeight="1" x14ac:dyDescent="0.25">
      <c r="A362" s="99"/>
      <c r="B362" s="100"/>
      <c r="C362" s="101"/>
      <c r="D362" s="104"/>
      <c r="E362" s="102"/>
      <c r="F362" s="101"/>
      <c r="G362" s="81"/>
      <c r="H362" s="81"/>
      <c r="I362" s="81"/>
      <c r="J362" s="81"/>
      <c r="K362" s="81"/>
      <c r="L362" s="81"/>
      <c r="M362" s="81"/>
      <c r="N362" s="81"/>
    </row>
    <row r="363" spans="1:14" ht="14.25" customHeight="1" x14ac:dyDescent="0.25">
      <c r="A363" s="99"/>
      <c r="B363" s="100"/>
      <c r="C363" s="106"/>
      <c r="D363" s="104"/>
      <c r="E363" s="102"/>
      <c r="F363" s="101"/>
      <c r="G363" s="81"/>
      <c r="H363" s="81"/>
      <c r="I363" s="81"/>
      <c r="J363" s="81"/>
      <c r="K363" s="81"/>
      <c r="L363" s="81"/>
      <c r="M363" s="81"/>
      <c r="N363" s="81"/>
    </row>
    <row r="364" spans="1:14" ht="14.25" customHeight="1" x14ac:dyDescent="0.25">
      <c r="A364" s="103"/>
      <c r="B364" s="100"/>
      <c r="C364" s="101"/>
      <c r="D364" s="105"/>
      <c r="E364" s="102"/>
      <c r="F364" s="101"/>
      <c r="G364" s="81"/>
      <c r="H364" s="81"/>
      <c r="I364" s="81"/>
      <c r="J364" s="81"/>
      <c r="K364" s="81"/>
      <c r="L364" s="81"/>
      <c r="M364" s="81"/>
      <c r="N364" s="81"/>
    </row>
    <row r="365" spans="1:14" ht="14.25" customHeight="1" x14ac:dyDescent="0.25">
      <c r="A365" s="99"/>
      <c r="B365" s="100"/>
      <c r="C365" s="106"/>
      <c r="D365" s="107"/>
      <c r="E365" s="108"/>
      <c r="F365" s="106"/>
      <c r="G365" s="81"/>
      <c r="H365" s="81"/>
      <c r="I365" s="81"/>
      <c r="J365" s="81"/>
      <c r="K365" s="81"/>
      <c r="L365" s="81"/>
      <c r="M365" s="81"/>
      <c r="N365" s="81"/>
    </row>
    <row r="366" spans="1:14" ht="14.25" customHeight="1" x14ac:dyDescent="0.25">
      <c r="A366" s="97" t="s">
        <v>548</v>
      </c>
      <c r="B366" s="97"/>
      <c r="C366" s="109"/>
      <c r="D366" s="110"/>
      <c r="E366" s="111"/>
      <c r="F366" s="112">
        <f>SUM(F359:F365)</f>
        <v>1125</v>
      </c>
      <c r="G366" s="81"/>
      <c r="H366" s="81"/>
      <c r="I366" s="81"/>
      <c r="J366" s="81"/>
      <c r="K366" s="81"/>
      <c r="L366" s="81"/>
      <c r="M366" s="81"/>
      <c r="N366" s="81"/>
    </row>
    <row r="367" spans="1:14" ht="14.25" customHeight="1" x14ac:dyDescent="0.25">
      <c r="A367" s="88"/>
      <c r="B367" s="88"/>
      <c r="C367" s="113"/>
      <c r="D367" s="113"/>
      <c r="E367" s="114"/>
      <c r="F367" s="113"/>
      <c r="G367" s="81"/>
      <c r="H367" s="81"/>
      <c r="I367" s="81"/>
      <c r="J367" s="81"/>
      <c r="K367" s="81"/>
      <c r="L367" s="81"/>
      <c r="M367" s="81"/>
      <c r="N367" s="81"/>
    </row>
    <row r="368" spans="1:14" ht="14.25" customHeight="1" x14ac:dyDescent="0.25">
      <c r="A368" s="96" t="s">
        <v>573</v>
      </c>
      <c r="B368" s="96"/>
      <c r="C368" s="92"/>
      <c r="D368" s="92"/>
      <c r="E368" s="92"/>
      <c r="F368" s="92"/>
      <c r="G368" s="81"/>
      <c r="H368" s="81"/>
      <c r="I368" s="81"/>
      <c r="J368" s="81"/>
      <c r="K368" s="81"/>
      <c r="L368" s="81"/>
      <c r="M368" s="81"/>
      <c r="N368" s="81"/>
    </row>
    <row r="369" spans="1:14" ht="14.25" customHeight="1" x14ac:dyDescent="0.25">
      <c r="A369" s="611" t="s">
        <v>563</v>
      </c>
      <c r="B369" s="608"/>
      <c r="C369" s="609"/>
      <c r="D369" s="98" t="s">
        <v>574</v>
      </c>
      <c r="E369" s="98" t="s">
        <v>575</v>
      </c>
      <c r="F369" s="98" t="s">
        <v>568</v>
      </c>
      <c r="G369" s="81"/>
      <c r="H369" s="81"/>
      <c r="I369" s="81"/>
      <c r="J369" s="81"/>
      <c r="K369" s="81"/>
      <c r="L369" s="81"/>
      <c r="M369" s="81"/>
      <c r="N369" s="81"/>
    </row>
    <row r="370" spans="1:14" ht="14.25" customHeight="1" x14ac:dyDescent="0.25">
      <c r="A370" s="607" t="s">
        <v>577</v>
      </c>
      <c r="B370" s="608"/>
      <c r="C370" s="609"/>
      <c r="D370" s="116"/>
      <c r="E370" s="107"/>
      <c r="F370" s="106">
        <v>223</v>
      </c>
      <c r="G370" s="81"/>
      <c r="H370" s="81"/>
      <c r="I370" s="81"/>
      <c r="J370" s="81"/>
      <c r="K370" s="81"/>
      <c r="L370" s="81"/>
      <c r="M370" s="81"/>
      <c r="N370" s="81"/>
    </row>
    <row r="371" spans="1:14" ht="14.25" customHeight="1" x14ac:dyDescent="0.25">
      <c r="A371" s="607" t="s">
        <v>1314</v>
      </c>
      <c r="B371" s="608"/>
      <c r="C371" s="609"/>
      <c r="D371" s="142">
        <v>130000</v>
      </c>
      <c r="E371" s="107">
        <v>26</v>
      </c>
      <c r="F371" s="106">
        <f>D371/E371</f>
        <v>5000</v>
      </c>
      <c r="G371" s="81"/>
      <c r="H371" s="81"/>
      <c r="I371" s="81"/>
      <c r="J371" s="81"/>
      <c r="K371" s="81"/>
      <c r="L371" s="81"/>
      <c r="M371" s="81"/>
      <c r="N371" s="81"/>
    </row>
    <row r="372" spans="1:14" ht="14.25" customHeight="1" x14ac:dyDescent="0.25">
      <c r="A372" s="607"/>
      <c r="B372" s="608"/>
      <c r="C372" s="609"/>
      <c r="D372" s="142"/>
      <c r="E372" s="107"/>
      <c r="F372" s="106"/>
      <c r="G372" s="81"/>
      <c r="H372" s="81"/>
      <c r="I372" s="81"/>
      <c r="J372" s="81"/>
      <c r="K372" s="81"/>
      <c r="L372" s="81"/>
      <c r="M372" s="81"/>
      <c r="N372" s="81"/>
    </row>
    <row r="373" spans="1:14" ht="14.25" customHeight="1" x14ac:dyDescent="0.25">
      <c r="A373" s="610"/>
      <c r="B373" s="608"/>
      <c r="C373" s="609"/>
      <c r="D373" s="115"/>
      <c r="E373" s="107"/>
      <c r="F373" s="106"/>
      <c r="G373" s="81"/>
      <c r="H373" s="81"/>
      <c r="I373" s="81"/>
      <c r="J373" s="81"/>
      <c r="K373" s="81"/>
      <c r="L373" s="81"/>
      <c r="M373" s="81"/>
      <c r="N373" s="81"/>
    </row>
    <row r="374" spans="1:14" ht="14.25" customHeight="1" x14ac:dyDescent="0.25">
      <c r="A374" s="611" t="s">
        <v>548</v>
      </c>
      <c r="B374" s="608"/>
      <c r="C374" s="609"/>
      <c r="D374" s="110"/>
      <c r="E374" s="110"/>
      <c r="F374" s="112">
        <f>SUM(F370:F372)</f>
        <v>5223</v>
      </c>
      <c r="G374" s="81"/>
      <c r="H374" s="81"/>
      <c r="I374" s="81"/>
      <c r="J374" s="81"/>
      <c r="K374" s="81"/>
      <c r="L374" s="81"/>
      <c r="M374" s="81"/>
      <c r="N374" s="81"/>
    </row>
    <row r="375" spans="1:14" ht="14.25" customHeight="1" x14ac:dyDescent="0.25">
      <c r="A375" s="88"/>
      <c r="B375" s="88"/>
      <c r="C375" s="89"/>
      <c r="D375" s="113"/>
      <c r="E375" s="113"/>
      <c r="F375" s="113"/>
      <c r="G375" s="81"/>
      <c r="H375" s="81"/>
      <c r="I375" s="81"/>
      <c r="J375" s="81"/>
      <c r="K375" s="81"/>
      <c r="L375" s="81"/>
      <c r="M375" s="81"/>
      <c r="N375" s="81"/>
    </row>
    <row r="376" spans="1:14" ht="14.25" customHeight="1" x14ac:dyDescent="0.25">
      <c r="A376" s="96" t="s">
        <v>578</v>
      </c>
      <c r="B376" s="96"/>
      <c r="C376" s="92"/>
      <c r="D376" s="118"/>
      <c r="E376" s="118"/>
      <c r="F376" s="118"/>
      <c r="G376" s="81"/>
      <c r="H376" s="81"/>
      <c r="I376" s="81"/>
      <c r="J376" s="81"/>
      <c r="K376" s="81"/>
      <c r="L376" s="81"/>
      <c r="M376" s="81"/>
      <c r="N376" s="81"/>
    </row>
    <row r="377" spans="1:14" ht="14.25" customHeight="1" x14ac:dyDescent="0.25">
      <c r="A377" s="119" t="s">
        <v>563</v>
      </c>
      <c r="B377" s="120" t="s">
        <v>579</v>
      </c>
      <c r="C377" s="120" t="s">
        <v>580</v>
      </c>
      <c r="D377" s="121" t="s">
        <v>581</v>
      </c>
      <c r="E377" s="121" t="s">
        <v>575</v>
      </c>
      <c r="F377" s="121" t="s">
        <v>568</v>
      </c>
      <c r="G377" s="81"/>
      <c r="H377" s="81"/>
      <c r="I377" s="81"/>
      <c r="J377" s="81"/>
      <c r="K377" s="81"/>
      <c r="L377" s="81"/>
      <c r="M377" s="81"/>
      <c r="N377" s="81"/>
    </row>
    <row r="378" spans="1:14" ht="14.25" customHeight="1" x14ac:dyDescent="0.25">
      <c r="A378" s="122" t="s">
        <v>593</v>
      </c>
      <c r="B378" s="127">
        <v>1</v>
      </c>
      <c r="C378" s="101">
        <v>32688</v>
      </c>
      <c r="D378" s="101">
        <f t="shared" ref="D378:D379" si="19">+C378*1.7</f>
        <v>55569.599999999999</v>
      </c>
      <c r="E378" s="107">
        <v>28</v>
      </c>
      <c r="F378" s="106">
        <f t="shared" ref="F378:F379" si="20">+B378*(D378)/E378</f>
        <v>1984.6285714285714</v>
      </c>
      <c r="G378" s="81"/>
      <c r="H378" s="81"/>
      <c r="I378" s="81"/>
      <c r="J378" s="81"/>
      <c r="K378" s="81"/>
      <c r="L378" s="81"/>
      <c r="M378" s="81"/>
      <c r="N378" s="81"/>
    </row>
    <row r="379" spans="1:14" ht="14.25" customHeight="1" x14ac:dyDescent="0.25">
      <c r="A379" s="122" t="s">
        <v>594</v>
      </c>
      <c r="B379" s="127">
        <v>1</v>
      </c>
      <c r="C379" s="101">
        <v>52538</v>
      </c>
      <c r="D379" s="101">
        <f t="shared" si="19"/>
        <v>89314.599999999991</v>
      </c>
      <c r="E379" s="107">
        <f>+E378</f>
        <v>28</v>
      </c>
      <c r="F379" s="106">
        <f t="shared" si="20"/>
        <v>3189.8071428571425</v>
      </c>
      <c r="G379" s="81"/>
      <c r="H379" s="81"/>
      <c r="I379" s="81"/>
      <c r="J379" s="81"/>
      <c r="K379" s="81"/>
      <c r="L379" s="81"/>
      <c r="M379" s="81"/>
      <c r="N379" s="81"/>
    </row>
    <row r="380" spans="1:14" ht="14.25" customHeight="1" x14ac:dyDescent="0.25">
      <c r="A380" s="122"/>
      <c r="B380" s="127"/>
      <c r="C380" s="101"/>
      <c r="D380" s="101"/>
      <c r="E380" s="107"/>
      <c r="F380" s="106"/>
      <c r="G380" s="81"/>
      <c r="H380" s="81"/>
      <c r="I380" s="81"/>
      <c r="J380" s="81"/>
      <c r="K380" s="81"/>
      <c r="L380" s="81"/>
      <c r="M380" s="81"/>
      <c r="N380" s="81"/>
    </row>
    <row r="381" spans="1:14" ht="14.25" customHeight="1" x14ac:dyDescent="0.25">
      <c r="A381" s="122"/>
      <c r="B381" s="127"/>
      <c r="C381" s="101"/>
      <c r="D381" s="101"/>
      <c r="E381" s="125"/>
      <c r="F381" s="106"/>
      <c r="G381" s="81"/>
      <c r="H381" s="81"/>
      <c r="I381" s="81"/>
      <c r="J381" s="81"/>
      <c r="K381" s="81"/>
      <c r="L381" s="81"/>
      <c r="M381" s="81"/>
      <c r="N381" s="81"/>
    </row>
    <row r="382" spans="1:14" ht="14.25" customHeight="1" x14ac:dyDescent="0.25">
      <c r="A382" s="97" t="s">
        <v>548</v>
      </c>
      <c r="B382" s="128"/>
      <c r="C382" s="110"/>
      <c r="D382" s="110"/>
      <c r="E382" s="110"/>
      <c r="F382" s="112">
        <f>SUM(F378:F381)</f>
        <v>5174.4357142857134</v>
      </c>
      <c r="G382" s="81"/>
      <c r="H382" s="81"/>
      <c r="I382" s="81"/>
      <c r="J382" s="81"/>
      <c r="K382" s="81"/>
      <c r="L382" s="81"/>
      <c r="M382" s="81"/>
      <c r="N382" s="81"/>
    </row>
    <row r="383" spans="1:14" ht="14.25" customHeight="1" x14ac:dyDescent="0.25">
      <c r="A383" s="96"/>
      <c r="B383" s="129"/>
      <c r="C383" s="118"/>
      <c r="D383" s="118"/>
      <c r="E383" s="118"/>
      <c r="F383" s="118"/>
      <c r="G383" s="81"/>
      <c r="H383" s="81"/>
      <c r="I383" s="81"/>
      <c r="J383" s="81"/>
      <c r="K383" s="81"/>
      <c r="L383" s="81"/>
      <c r="M383" s="81"/>
      <c r="N383" s="81"/>
    </row>
    <row r="384" spans="1:14" ht="14.25" customHeight="1" x14ac:dyDescent="0.25">
      <c r="A384" s="95" t="s">
        <v>583</v>
      </c>
      <c r="B384" s="96"/>
      <c r="C384" s="92"/>
      <c r="D384" s="92"/>
      <c r="E384" s="92" t="s">
        <v>584</v>
      </c>
      <c r="F384" s="92"/>
      <c r="G384" s="81"/>
      <c r="H384" s="81"/>
      <c r="I384" s="81"/>
      <c r="J384" s="81"/>
      <c r="K384" s="81"/>
      <c r="L384" s="81"/>
      <c r="M384" s="81"/>
      <c r="N384" s="81"/>
    </row>
    <row r="385" spans="1:14" ht="14.25" customHeight="1" x14ac:dyDescent="0.25">
      <c r="A385" s="97" t="s">
        <v>563</v>
      </c>
      <c r="B385" s="98" t="s">
        <v>564</v>
      </c>
      <c r="C385" s="98" t="s">
        <v>585</v>
      </c>
      <c r="D385" s="98" t="s">
        <v>586</v>
      </c>
      <c r="E385" s="120" t="s">
        <v>587</v>
      </c>
      <c r="F385" s="98" t="s">
        <v>568</v>
      </c>
      <c r="G385" s="81"/>
      <c r="H385" s="81"/>
      <c r="I385" s="81"/>
      <c r="J385" s="81"/>
      <c r="K385" s="81"/>
      <c r="L385" s="81"/>
      <c r="M385" s="81"/>
      <c r="N385" s="81"/>
    </row>
    <row r="386" spans="1:14" ht="14.25" customHeight="1" x14ac:dyDescent="0.25">
      <c r="A386" s="103" t="s">
        <v>604</v>
      </c>
      <c r="B386" s="100" t="s">
        <v>605</v>
      </c>
      <c r="C386" s="101">
        <v>1000</v>
      </c>
      <c r="D386" s="140">
        <v>7</v>
      </c>
      <c r="E386" s="107">
        <v>1.05</v>
      </c>
      <c r="F386" s="109">
        <f>+C386*E386</f>
        <v>1050</v>
      </c>
      <c r="G386" s="81"/>
      <c r="H386" s="81"/>
      <c r="I386" s="81"/>
      <c r="J386" s="81"/>
      <c r="K386" s="81"/>
      <c r="L386" s="81"/>
      <c r="M386" s="81"/>
      <c r="N386" s="81"/>
    </row>
    <row r="387" spans="1:14" ht="14.25" customHeight="1" x14ac:dyDescent="0.25">
      <c r="A387" s="103"/>
      <c r="B387" s="100"/>
      <c r="C387" s="107"/>
      <c r="D387" s="107"/>
      <c r="E387" s="108"/>
      <c r="F387" s="109"/>
      <c r="G387" s="81"/>
      <c r="H387" s="81"/>
      <c r="I387" s="81"/>
      <c r="J387" s="81"/>
      <c r="K387" s="81"/>
      <c r="L387" s="81"/>
      <c r="M387" s="81"/>
      <c r="N387" s="81"/>
    </row>
    <row r="388" spans="1:14" ht="14.25" customHeight="1" x14ac:dyDescent="0.25">
      <c r="A388" s="97" t="s">
        <v>548</v>
      </c>
      <c r="B388" s="98"/>
      <c r="C388" s="110"/>
      <c r="D388" s="110"/>
      <c r="E388" s="111"/>
      <c r="F388" s="112">
        <f>SUM(F386:F387)</f>
        <v>1050</v>
      </c>
      <c r="G388" s="81"/>
      <c r="H388" s="81"/>
      <c r="I388" s="81"/>
      <c r="J388" s="81"/>
      <c r="K388" s="81"/>
      <c r="L388" s="81"/>
      <c r="M388" s="81"/>
      <c r="N388" s="81"/>
    </row>
    <row r="389" spans="1:14" ht="14.25" customHeight="1" x14ac:dyDescent="0.25">
      <c r="A389" s="88"/>
      <c r="B389" s="89"/>
      <c r="C389" s="113"/>
      <c r="D389" s="113"/>
      <c r="E389" s="114"/>
      <c r="F389" s="113"/>
      <c r="G389" s="81"/>
      <c r="H389" s="81"/>
      <c r="I389" s="81"/>
      <c r="J389" s="81"/>
      <c r="K389" s="81"/>
      <c r="L389" s="81"/>
      <c r="M389" s="81"/>
      <c r="N389" s="81"/>
    </row>
    <row r="390" spans="1:14" ht="14.25" customHeight="1" x14ac:dyDescent="0.25">
      <c r="A390" s="88"/>
      <c r="B390" s="89"/>
      <c r="C390" s="113"/>
      <c r="D390" s="113"/>
      <c r="E390" s="114"/>
      <c r="F390" s="113"/>
      <c r="G390" s="81"/>
      <c r="H390" s="81"/>
      <c r="I390" s="81"/>
      <c r="J390" s="81"/>
      <c r="K390" s="81"/>
      <c r="L390" s="81"/>
      <c r="M390" s="81"/>
      <c r="N390" s="81"/>
    </row>
    <row r="391" spans="1:14" ht="14.25" customHeight="1" x14ac:dyDescent="0.25">
      <c r="A391" s="612" t="s">
        <v>588</v>
      </c>
      <c r="B391" s="608"/>
      <c r="C391" s="608"/>
      <c r="D391" s="608"/>
      <c r="E391" s="609"/>
      <c r="F391" s="131">
        <f>ROUND(F366+F374+F382+F388,0)</f>
        <v>12572</v>
      </c>
      <c r="G391" s="81"/>
      <c r="H391" s="117">
        <f>+F391-12572</f>
        <v>0</v>
      </c>
      <c r="I391" s="81"/>
      <c r="J391" s="81"/>
      <c r="K391" s="81"/>
      <c r="L391" s="81"/>
      <c r="M391" s="81"/>
      <c r="N391" s="81"/>
    </row>
    <row r="392" spans="1:14" ht="14.25" customHeight="1" x14ac:dyDescent="0.25">
      <c r="A392" s="612" t="s">
        <v>589</v>
      </c>
      <c r="B392" s="608"/>
      <c r="C392" s="608"/>
      <c r="D392" s="608"/>
      <c r="E392" s="609"/>
      <c r="F392" s="132"/>
      <c r="G392" s="81"/>
      <c r="H392" s="81"/>
      <c r="I392" s="81"/>
      <c r="J392" s="81"/>
      <c r="K392" s="81"/>
      <c r="L392" s="81"/>
      <c r="M392" s="81"/>
      <c r="N392" s="81"/>
    </row>
    <row r="393" spans="1:14" ht="14.25" customHeight="1" x14ac:dyDescent="0.25">
      <c r="A393" s="612" t="s">
        <v>556</v>
      </c>
      <c r="B393" s="608"/>
      <c r="C393" s="608"/>
      <c r="D393" s="608"/>
      <c r="E393" s="609"/>
      <c r="F393" s="133"/>
      <c r="G393" s="81"/>
      <c r="H393" s="81"/>
      <c r="I393" s="81"/>
      <c r="J393" s="81"/>
      <c r="K393" s="81"/>
      <c r="L393" s="81"/>
      <c r="M393" s="81"/>
      <c r="N393" s="81"/>
    </row>
    <row r="394" spans="1:14" ht="14.25" customHeight="1" x14ac:dyDescent="0.25">
      <c r="A394" s="134"/>
      <c r="B394" s="135"/>
      <c r="C394" s="135"/>
      <c r="D394" s="135"/>
      <c r="E394" s="135"/>
      <c r="F394" s="136"/>
      <c r="G394" s="81"/>
      <c r="H394" s="81"/>
      <c r="I394" s="81"/>
      <c r="J394" s="81"/>
      <c r="K394" s="81"/>
      <c r="L394" s="81"/>
      <c r="M394" s="81"/>
      <c r="N394" s="81"/>
    </row>
    <row r="395" spans="1:14" ht="14.25" customHeight="1" x14ac:dyDescent="0.25">
      <c r="A395" s="81"/>
      <c r="B395" s="81"/>
      <c r="C395" s="137"/>
      <c r="D395" s="81"/>
      <c r="E395" s="81"/>
      <c r="F395" s="81"/>
      <c r="G395" s="81"/>
      <c r="H395" s="81"/>
      <c r="I395" s="81"/>
      <c r="J395" s="81"/>
      <c r="K395" s="81"/>
      <c r="L395" s="81"/>
      <c r="M395" s="81"/>
      <c r="N395" s="81"/>
    </row>
    <row r="396" spans="1:14" ht="14.25" customHeight="1" x14ac:dyDescent="0.25">
      <c r="A396" s="81"/>
      <c r="B396" s="81"/>
      <c r="C396" s="137"/>
      <c r="D396" s="81"/>
      <c r="E396" s="81"/>
      <c r="F396" s="81"/>
      <c r="G396" s="81"/>
      <c r="H396" s="81"/>
      <c r="I396" s="81"/>
      <c r="J396" s="81"/>
      <c r="K396" s="81"/>
      <c r="L396" s="81"/>
      <c r="M396" s="81"/>
      <c r="N396" s="81"/>
    </row>
    <row r="397" spans="1:14" ht="14.25" customHeight="1" x14ac:dyDescent="0.25">
      <c r="A397" s="81"/>
      <c r="B397" s="81"/>
      <c r="C397" s="137"/>
      <c r="D397" s="81"/>
      <c r="E397" s="81"/>
      <c r="F397" s="81"/>
      <c r="G397" s="81"/>
      <c r="H397" s="81"/>
      <c r="I397" s="81"/>
      <c r="J397" s="81"/>
      <c r="K397" s="81"/>
      <c r="L397" s="81"/>
      <c r="M397" s="81"/>
      <c r="N397" s="81"/>
    </row>
    <row r="398" spans="1:14" ht="14.25" customHeight="1" x14ac:dyDescent="0.25">
      <c r="A398" s="81"/>
      <c r="B398" s="81"/>
      <c r="C398" s="137"/>
      <c r="D398" s="81"/>
      <c r="E398" s="81"/>
      <c r="F398" s="81"/>
      <c r="G398" s="81"/>
      <c r="H398" s="81"/>
      <c r="I398" s="81"/>
      <c r="J398" s="81"/>
      <c r="K398" s="81"/>
      <c r="L398" s="81"/>
      <c r="M398" s="81"/>
      <c r="N398" s="81"/>
    </row>
    <row r="399" spans="1:14" ht="14.25" customHeight="1" x14ac:dyDescent="0.25">
      <c r="A399" s="81"/>
      <c r="B399" s="81"/>
      <c r="C399" s="137"/>
      <c r="D399" s="81"/>
      <c r="E399" s="81"/>
      <c r="F399" s="81"/>
      <c r="G399" s="81"/>
      <c r="H399" s="81"/>
      <c r="I399" s="81"/>
      <c r="J399" s="81"/>
      <c r="K399" s="81"/>
      <c r="L399" s="81"/>
      <c r="M399" s="81"/>
      <c r="N399" s="81"/>
    </row>
    <row r="400" spans="1:14" ht="14.25" customHeight="1" x14ac:dyDescent="0.25">
      <c r="A400" s="134"/>
      <c r="B400" s="135"/>
      <c r="C400" s="135"/>
      <c r="D400" s="135"/>
      <c r="E400" s="135"/>
      <c r="F400" s="136"/>
      <c r="G400" s="81"/>
      <c r="H400" s="81"/>
      <c r="I400" s="81"/>
      <c r="J400" s="81"/>
      <c r="K400" s="81"/>
      <c r="L400" s="81"/>
      <c r="M400" s="81"/>
      <c r="N400" s="81"/>
    </row>
    <row r="401" spans="1:14" ht="14.25" customHeight="1" x14ac:dyDescent="0.25">
      <c r="A401" s="134"/>
      <c r="B401" s="135"/>
      <c r="C401" s="135"/>
      <c r="D401" s="135"/>
      <c r="E401" s="135"/>
      <c r="F401" s="136"/>
      <c r="G401" s="81"/>
      <c r="H401" s="81"/>
      <c r="I401" s="81"/>
      <c r="J401" s="81"/>
      <c r="K401" s="81"/>
      <c r="L401" s="81"/>
      <c r="M401" s="81"/>
      <c r="N401" s="81"/>
    </row>
    <row r="402" spans="1:14" ht="14.25" customHeight="1" x14ac:dyDescent="0.25">
      <c r="A402" s="134"/>
      <c r="B402" s="135"/>
      <c r="C402" s="135"/>
      <c r="D402" s="135"/>
      <c r="E402" s="135"/>
      <c r="F402" s="136"/>
      <c r="G402" s="81"/>
      <c r="H402" s="81"/>
      <c r="I402" s="81"/>
      <c r="J402" s="81"/>
      <c r="K402" s="81"/>
      <c r="L402" s="81"/>
      <c r="M402" s="81"/>
      <c r="N402" s="81"/>
    </row>
    <row r="403" spans="1:14" ht="14.25" customHeight="1" thickBot="1" x14ac:dyDescent="0.3">
      <c r="A403" s="81"/>
      <c r="B403" s="81"/>
      <c r="C403" s="81"/>
      <c r="D403" s="81"/>
      <c r="E403" s="81"/>
      <c r="F403" s="81"/>
      <c r="G403" s="81"/>
      <c r="H403" s="81"/>
      <c r="I403" s="81"/>
      <c r="J403" s="81"/>
      <c r="K403" s="81"/>
      <c r="L403" s="81"/>
      <c r="M403" s="81"/>
      <c r="N403" s="81"/>
    </row>
    <row r="404" spans="1:14" ht="14.25" customHeight="1" x14ac:dyDescent="0.25">
      <c r="A404" s="83"/>
      <c r="B404" s="84"/>
      <c r="C404" s="85"/>
      <c r="D404" s="86"/>
      <c r="E404" s="86"/>
      <c r="F404" s="87"/>
      <c r="G404" s="81"/>
      <c r="H404" s="81"/>
      <c r="I404" s="81"/>
      <c r="J404" s="81"/>
      <c r="K404" s="81"/>
      <c r="L404" s="81"/>
      <c r="M404" s="81"/>
      <c r="N404" s="81"/>
    </row>
    <row r="405" spans="1:14" ht="14.25" customHeight="1" x14ac:dyDescent="0.25">
      <c r="A405" s="599"/>
      <c r="B405" s="600"/>
      <c r="C405" s="600"/>
      <c r="D405" s="600"/>
      <c r="E405" s="600"/>
      <c r="F405" s="601"/>
      <c r="G405" s="81"/>
      <c r="H405" s="81"/>
      <c r="I405" s="81"/>
      <c r="J405" s="81"/>
      <c r="K405" s="81"/>
      <c r="L405" s="81"/>
      <c r="M405" s="81"/>
      <c r="N405" s="81"/>
    </row>
    <row r="406" spans="1:14" ht="14.25" customHeight="1" x14ac:dyDescent="0.25">
      <c r="A406" s="602" t="s">
        <v>561</v>
      </c>
      <c r="B406" s="600"/>
      <c r="C406" s="600"/>
      <c r="D406" s="600"/>
      <c r="E406" s="600"/>
      <c r="F406" s="601"/>
      <c r="G406" s="81"/>
      <c r="H406" s="81"/>
      <c r="I406" s="81"/>
      <c r="J406" s="81"/>
      <c r="K406" s="81"/>
      <c r="L406" s="81"/>
      <c r="M406" s="81"/>
      <c r="N406" s="81"/>
    </row>
    <row r="407" spans="1:14" ht="14.25" customHeight="1" thickBot="1" x14ac:dyDescent="0.3">
      <c r="A407" s="603"/>
      <c r="B407" s="604"/>
      <c r="C407" s="604"/>
      <c r="D407" s="604"/>
      <c r="E407" s="604"/>
      <c r="F407" s="605"/>
      <c r="G407" s="81"/>
      <c r="H407" s="81"/>
      <c r="I407" s="81"/>
      <c r="J407" s="81"/>
      <c r="K407" s="81"/>
      <c r="L407" s="81"/>
      <c r="M407" s="81"/>
      <c r="N407" s="81"/>
    </row>
    <row r="408" spans="1:14" ht="14.25" customHeight="1" x14ac:dyDescent="0.25">
      <c r="A408" s="88"/>
      <c r="B408" s="88"/>
      <c r="C408" s="89"/>
      <c r="D408" s="89"/>
      <c r="E408" s="89"/>
      <c r="F408" s="89"/>
      <c r="G408" s="81"/>
      <c r="H408" s="81"/>
      <c r="I408" s="81"/>
      <c r="J408" s="81"/>
      <c r="K408" s="81"/>
      <c r="L408" s="81"/>
      <c r="M408" s="81"/>
      <c r="N408" s="81"/>
    </row>
    <row r="409" spans="1:14" ht="33" customHeight="1" x14ac:dyDescent="0.25">
      <c r="A409" s="90" t="s">
        <v>47</v>
      </c>
      <c r="B409" s="613" t="s">
        <v>72</v>
      </c>
      <c r="C409" s="600"/>
      <c r="D409" s="600"/>
      <c r="E409" s="600"/>
      <c r="F409" s="600"/>
      <c r="G409" s="81"/>
      <c r="H409" s="81"/>
      <c r="I409" s="81"/>
      <c r="J409" s="81"/>
      <c r="K409" s="81"/>
      <c r="L409" s="81"/>
      <c r="M409" s="81"/>
      <c r="N409" s="81"/>
    </row>
    <row r="410" spans="1:14" ht="14.25" customHeight="1" x14ac:dyDescent="0.25">
      <c r="A410" s="91"/>
      <c r="B410" s="91"/>
      <c r="C410" s="91"/>
      <c r="D410" s="91"/>
      <c r="E410" s="91"/>
      <c r="F410" s="91"/>
      <c r="G410" s="81"/>
      <c r="H410" s="81"/>
      <c r="I410" s="81"/>
      <c r="J410" s="81"/>
      <c r="K410" s="81"/>
      <c r="L410" s="81"/>
      <c r="M410" s="81"/>
      <c r="N410" s="81"/>
    </row>
    <row r="411" spans="1:14" ht="14.25" customHeight="1" x14ac:dyDescent="0.25">
      <c r="A411" s="88" t="s">
        <v>49</v>
      </c>
      <c r="B411" s="92" t="s">
        <v>56</v>
      </c>
      <c r="C411" s="89"/>
      <c r="D411" s="89"/>
      <c r="E411" s="89"/>
      <c r="F411" s="93"/>
      <c r="G411" s="81"/>
      <c r="H411" s="81"/>
      <c r="I411" s="81"/>
      <c r="J411" s="81"/>
      <c r="K411" s="81"/>
      <c r="L411" s="81"/>
      <c r="M411" s="81"/>
      <c r="N411" s="81"/>
    </row>
    <row r="412" spans="1:14" ht="14.25" customHeight="1" x14ac:dyDescent="0.25">
      <c r="A412" s="88"/>
      <c r="B412" s="94"/>
      <c r="C412" s="89"/>
      <c r="D412" s="89"/>
      <c r="E412" s="89"/>
      <c r="F412" s="93"/>
      <c r="G412" s="81"/>
      <c r="H412" s="81"/>
      <c r="I412" s="81"/>
      <c r="J412" s="81"/>
      <c r="K412" s="81"/>
      <c r="L412" s="81"/>
      <c r="M412" s="81"/>
      <c r="N412" s="81"/>
    </row>
    <row r="413" spans="1:14" ht="14.25" customHeight="1" x14ac:dyDescent="0.25">
      <c r="A413" s="95" t="s">
        <v>562</v>
      </c>
      <c r="B413" s="96"/>
      <c r="C413" s="92"/>
      <c r="D413" s="92"/>
      <c r="E413" s="92"/>
      <c r="F413" s="92"/>
      <c r="G413" s="81"/>
      <c r="H413" s="81"/>
      <c r="I413" s="81"/>
      <c r="J413" s="81"/>
      <c r="K413" s="81"/>
      <c r="L413" s="81"/>
      <c r="M413" s="81"/>
      <c r="N413" s="81"/>
    </row>
    <row r="414" spans="1:14" ht="14.25" customHeight="1" x14ac:dyDescent="0.25">
      <c r="A414" s="97" t="s">
        <v>563</v>
      </c>
      <c r="B414" s="98" t="s">
        <v>564</v>
      </c>
      <c r="C414" s="98" t="s">
        <v>565</v>
      </c>
      <c r="D414" s="98" t="s">
        <v>566</v>
      </c>
      <c r="E414" s="98" t="s">
        <v>567</v>
      </c>
      <c r="F414" s="98" t="s">
        <v>568</v>
      </c>
      <c r="G414" s="81"/>
      <c r="H414" s="81"/>
      <c r="I414" s="81"/>
      <c r="J414" s="81"/>
      <c r="K414" s="81"/>
      <c r="L414" s="81"/>
      <c r="M414" s="81"/>
      <c r="N414" s="81"/>
    </row>
    <row r="415" spans="1:14" ht="14.25" customHeight="1" x14ac:dyDescent="0.25">
      <c r="A415" s="99" t="s">
        <v>606</v>
      </c>
      <c r="B415" s="100" t="s">
        <v>64</v>
      </c>
      <c r="C415" s="101">
        <v>7500</v>
      </c>
      <c r="D415" s="104">
        <v>0.15</v>
      </c>
      <c r="E415" s="102"/>
      <c r="F415" s="101">
        <f t="shared" ref="F415:F416" si="21">C415*(D415+(D415*E415))</f>
        <v>1125</v>
      </c>
      <c r="G415" s="81"/>
      <c r="H415" s="81"/>
      <c r="I415" s="81"/>
      <c r="J415" s="81"/>
      <c r="K415" s="81"/>
      <c r="L415" s="81"/>
      <c r="M415" s="81"/>
      <c r="N415" s="81"/>
    </row>
    <row r="416" spans="1:14" ht="14.25" customHeight="1" x14ac:dyDescent="0.25">
      <c r="A416" s="99"/>
      <c r="B416" s="100"/>
      <c r="C416" s="101"/>
      <c r="D416" s="104"/>
      <c r="E416" s="102"/>
      <c r="F416" s="101">
        <f t="shared" si="21"/>
        <v>0</v>
      </c>
      <c r="G416" s="81"/>
      <c r="H416" s="81"/>
      <c r="I416" s="81"/>
      <c r="J416" s="81"/>
      <c r="K416" s="81"/>
      <c r="L416" s="81"/>
      <c r="M416" s="81"/>
      <c r="N416" s="81"/>
    </row>
    <row r="417" spans="1:14" ht="14.25" customHeight="1" x14ac:dyDescent="0.25">
      <c r="A417" s="103"/>
      <c r="B417" s="100"/>
      <c r="C417" s="101"/>
      <c r="D417" s="104"/>
      <c r="E417" s="102"/>
      <c r="F417" s="101"/>
      <c r="G417" s="81"/>
      <c r="H417" s="81"/>
      <c r="I417" s="81"/>
      <c r="J417" s="81"/>
      <c r="K417" s="81"/>
      <c r="L417" s="81"/>
      <c r="M417" s="81"/>
      <c r="N417" s="81"/>
    </row>
    <row r="418" spans="1:14" ht="14.25" customHeight="1" x14ac:dyDescent="0.25">
      <c r="A418" s="99"/>
      <c r="B418" s="100"/>
      <c r="C418" s="101"/>
      <c r="D418" s="104"/>
      <c r="E418" s="102"/>
      <c r="F418" s="101"/>
      <c r="G418" s="81"/>
      <c r="H418" s="81"/>
      <c r="I418" s="81"/>
      <c r="J418" s="81"/>
      <c r="K418" s="81"/>
      <c r="L418" s="81"/>
      <c r="M418" s="81"/>
      <c r="N418" s="81"/>
    </row>
    <row r="419" spans="1:14" ht="14.25" customHeight="1" x14ac:dyDescent="0.25">
      <c r="A419" s="99"/>
      <c r="B419" s="100"/>
      <c r="C419" s="106"/>
      <c r="D419" s="104"/>
      <c r="E419" s="102"/>
      <c r="F419" s="101"/>
      <c r="G419" s="81"/>
      <c r="H419" s="81"/>
      <c r="I419" s="81"/>
      <c r="J419" s="81"/>
      <c r="K419" s="81"/>
      <c r="L419" s="81"/>
      <c r="M419" s="81"/>
      <c r="N419" s="81"/>
    </row>
    <row r="420" spans="1:14" ht="14.25" customHeight="1" x14ac:dyDescent="0.25">
      <c r="A420" s="103"/>
      <c r="B420" s="100"/>
      <c r="C420" s="101"/>
      <c r="D420" s="105"/>
      <c r="E420" s="102"/>
      <c r="F420" s="101"/>
      <c r="G420" s="81"/>
      <c r="H420" s="81"/>
      <c r="I420" s="81"/>
      <c r="J420" s="81"/>
      <c r="K420" s="81"/>
      <c r="L420" s="81"/>
      <c r="M420" s="81"/>
      <c r="N420" s="81"/>
    </row>
    <row r="421" spans="1:14" ht="14.25" customHeight="1" x14ac:dyDescent="0.25">
      <c r="A421" s="99"/>
      <c r="B421" s="100"/>
      <c r="C421" s="106"/>
      <c r="D421" s="107"/>
      <c r="E421" s="108"/>
      <c r="F421" s="106"/>
      <c r="G421" s="81"/>
      <c r="H421" s="81"/>
      <c r="I421" s="81"/>
      <c r="J421" s="81"/>
      <c r="K421" s="81"/>
      <c r="L421" s="81"/>
      <c r="M421" s="81"/>
      <c r="N421" s="81"/>
    </row>
    <row r="422" spans="1:14" ht="14.25" customHeight="1" x14ac:dyDescent="0.25">
      <c r="A422" s="97" t="s">
        <v>548</v>
      </c>
      <c r="B422" s="97"/>
      <c r="C422" s="109"/>
      <c r="D422" s="110"/>
      <c r="E422" s="111"/>
      <c r="F422" s="112">
        <f>SUM(F415:F421)</f>
        <v>1125</v>
      </c>
      <c r="G422" s="81"/>
      <c r="H422" s="81"/>
      <c r="I422" s="81"/>
      <c r="J422" s="81"/>
      <c r="K422" s="81"/>
      <c r="L422" s="81"/>
      <c r="M422" s="81"/>
      <c r="N422" s="81"/>
    </row>
    <row r="423" spans="1:14" ht="14.25" customHeight="1" x14ac:dyDescent="0.25">
      <c r="A423" s="88"/>
      <c r="B423" s="88"/>
      <c r="C423" s="113"/>
      <c r="D423" s="113"/>
      <c r="E423" s="114"/>
      <c r="F423" s="113"/>
      <c r="G423" s="81"/>
      <c r="H423" s="81"/>
      <c r="I423" s="81"/>
      <c r="J423" s="81"/>
      <c r="K423" s="81"/>
      <c r="L423" s="81"/>
      <c r="M423" s="81"/>
      <c r="N423" s="81"/>
    </row>
    <row r="424" spans="1:14" ht="14.25" customHeight="1" x14ac:dyDescent="0.25">
      <c r="A424" s="96" t="s">
        <v>573</v>
      </c>
      <c r="B424" s="96"/>
      <c r="C424" s="92"/>
      <c r="D424" s="92"/>
      <c r="E424" s="92"/>
      <c r="F424" s="92"/>
      <c r="G424" s="81"/>
      <c r="H424" s="81"/>
      <c r="I424" s="81"/>
      <c r="J424" s="81"/>
      <c r="K424" s="81"/>
      <c r="L424" s="81"/>
      <c r="M424" s="81"/>
      <c r="N424" s="81"/>
    </row>
    <row r="425" spans="1:14" ht="14.25" customHeight="1" x14ac:dyDescent="0.25">
      <c r="A425" s="611" t="s">
        <v>563</v>
      </c>
      <c r="B425" s="608"/>
      <c r="C425" s="609"/>
      <c r="D425" s="98" t="s">
        <v>574</v>
      </c>
      <c r="E425" s="98" t="s">
        <v>575</v>
      </c>
      <c r="F425" s="98" t="s">
        <v>568</v>
      </c>
      <c r="G425" s="81"/>
      <c r="H425" s="81"/>
      <c r="I425" s="81"/>
      <c r="J425" s="81"/>
      <c r="K425" s="81"/>
      <c r="L425" s="81"/>
      <c r="M425" s="81"/>
      <c r="N425" s="81"/>
    </row>
    <row r="426" spans="1:14" ht="14.25" customHeight="1" x14ac:dyDescent="0.25">
      <c r="A426" s="607" t="s">
        <v>577</v>
      </c>
      <c r="B426" s="608"/>
      <c r="C426" s="609"/>
      <c r="D426" s="116"/>
      <c r="E426" s="107"/>
      <c r="F426" s="106">
        <v>390</v>
      </c>
      <c r="G426" s="81"/>
      <c r="H426" s="81"/>
      <c r="I426" s="81"/>
      <c r="J426" s="81"/>
      <c r="K426" s="81"/>
      <c r="L426" s="81"/>
      <c r="M426" s="81"/>
      <c r="N426" s="81"/>
    </row>
    <row r="427" spans="1:14" ht="14.25" customHeight="1" x14ac:dyDescent="0.25">
      <c r="A427" s="607" t="s">
        <v>1314</v>
      </c>
      <c r="B427" s="608"/>
      <c r="C427" s="609"/>
      <c r="D427" s="142">
        <v>130000</v>
      </c>
      <c r="E427" s="107">
        <v>23</v>
      </c>
      <c r="F427" s="106">
        <f t="shared" ref="F427" si="22">D427/E427</f>
        <v>5652.173913043478</v>
      </c>
      <c r="G427" s="81"/>
      <c r="H427" s="81"/>
      <c r="I427" s="81"/>
      <c r="J427" s="81"/>
      <c r="K427" s="81"/>
      <c r="L427" s="81"/>
      <c r="M427" s="81"/>
      <c r="N427" s="81"/>
    </row>
    <row r="428" spans="1:14" ht="14.25" customHeight="1" x14ac:dyDescent="0.25">
      <c r="A428" s="607"/>
      <c r="B428" s="608"/>
      <c r="C428" s="609"/>
      <c r="D428" s="142"/>
      <c r="E428" s="107"/>
      <c r="F428" s="106"/>
      <c r="G428" s="81"/>
      <c r="H428" s="81"/>
      <c r="I428" s="81"/>
      <c r="J428" s="81"/>
      <c r="K428" s="81"/>
      <c r="L428" s="81"/>
      <c r="M428" s="81"/>
      <c r="N428" s="81"/>
    </row>
    <row r="429" spans="1:14" ht="14.25" customHeight="1" x14ac:dyDescent="0.25">
      <c r="A429" s="610"/>
      <c r="B429" s="608"/>
      <c r="C429" s="609"/>
      <c r="D429" s="115"/>
      <c r="E429" s="107"/>
      <c r="F429" s="106"/>
      <c r="G429" s="81"/>
      <c r="H429" s="81"/>
      <c r="I429" s="81"/>
      <c r="J429" s="81"/>
      <c r="K429" s="81"/>
      <c r="L429" s="81"/>
      <c r="M429" s="81"/>
      <c r="N429" s="81"/>
    </row>
    <row r="430" spans="1:14" ht="14.25" customHeight="1" x14ac:dyDescent="0.25">
      <c r="A430" s="611" t="s">
        <v>548</v>
      </c>
      <c r="B430" s="608"/>
      <c r="C430" s="609"/>
      <c r="D430" s="110"/>
      <c r="E430" s="110"/>
      <c r="F430" s="112">
        <f>SUM(F426:F428)</f>
        <v>6042.173913043478</v>
      </c>
      <c r="G430" s="81"/>
      <c r="H430" s="81"/>
      <c r="I430" s="81"/>
      <c r="J430" s="81"/>
      <c r="K430" s="81"/>
      <c r="L430" s="81"/>
      <c r="M430" s="81"/>
      <c r="N430" s="81"/>
    </row>
    <row r="431" spans="1:14" ht="14.25" customHeight="1" x14ac:dyDescent="0.25">
      <c r="A431" s="88"/>
      <c r="B431" s="88"/>
      <c r="C431" s="89"/>
      <c r="D431" s="113"/>
      <c r="E431" s="113"/>
      <c r="F431" s="113"/>
      <c r="G431" s="81"/>
      <c r="H431" s="81"/>
      <c r="I431" s="81"/>
      <c r="J431" s="81"/>
      <c r="K431" s="81"/>
      <c r="L431" s="81"/>
      <c r="M431" s="81"/>
      <c r="N431" s="81"/>
    </row>
    <row r="432" spans="1:14" ht="14.25" customHeight="1" x14ac:dyDescent="0.25">
      <c r="A432" s="96" t="s">
        <v>578</v>
      </c>
      <c r="B432" s="96"/>
      <c r="C432" s="92"/>
      <c r="D432" s="118"/>
      <c r="E432" s="118"/>
      <c r="F432" s="118"/>
      <c r="G432" s="81"/>
      <c r="H432" s="81"/>
      <c r="I432" s="81"/>
      <c r="J432" s="81"/>
      <c r="K432" s="81"/>
      <c r="L432" s="81"/>
      <c r="M432" s="81"/>
      <c r="N432" s="81"/>
    </row>
    <row r="433" spans="1:14" ht="38.25" x14ac:dyDescent="0.25">
      <c r="A433" s="119" t="s">
        <v>563</v>
      </c>
      <c r="B433" s="120" t="s">
        <v>579</v>
      </c>
      <c r="C433" s="120" t="s">
        <v>580</v>
      </c>
      <c r="D433" s="121" t="s">
        <v>581</v>
      </c>
      <c r="E433" s="121" t="s">
        <v>575</v>
      </c>
      <c r="F433" s="121" t="s">
        <v>568</v>
      </c>
      <c r="G433" s="81"/>
      <c r="H433" s="81"/>
      <c r="I433" s="81"/>
      <c r="J433" s="81"/>
      <c r="K433" s="81"/>
      <c r="L433" s="81"/>
      <c r="M433" s="81"/>
      <c r="N433" s="81"/>
    </row>
    <row r="434" spans="1:14" ht="14.25" customHeight="1" x14ac:dyDescent="0.25">
      <c r="A434" s="122" t="s">
        <v>593</v>
      </c>
      <c r="B434" s="127">
        <v>1</v>
      </c>
      <c r="C434" s="101">
        <v>32688</v>
      </c>
      <c r="D434" s="101">
        <f t="shared" ref="D434:D435" si="23">+C434*1.7</f>
        <v>55569.599999999999</v>
      </c>
      <c r="E434" s="107">
        <f>+E427*2</f>
        <v>46</v>
      </c>
      <c r="F434" s="106">
        <f t="shared" ref="F434:F435" si="24">+B434*(D434)/E434</f>
        <v>1208.0347826086957</v>
      </c>
      <c r="G434" s="81"/>
      <c r="H434" s="81"/>
      <c r="I434" s="81"/>
      <c r="J434" s="81"/>
      <c r="K434" s="81"/>
      <c r="L434" s="81"/>
      <c r="M434" s="81"/>
      <c r="N434" s="81"/>
    </row>
    <row r="435" spans="1:14" ht="14.25" customHeight="1" x14ac:dyDescent="0.25">
      <c r="A435" s="122" t="s">
        <v>594</v>
      </c>
      <c r="B435" s="127">
        <v>1</v>
      </c>
      <c r="C435" s="101">
        <v>52538</v>
      </c>
      <c r="D435" s="101">
        <f t="shared" si="23"/>
        <v>89314.599999999991</v>
      </c>
      <c r="E435" s="107">
        <f>+E434</f>
        <v>46</v>
      </c>
      <c r="F435" s="106">
        <f t="shared" si="24"/>
        <v>1941.6217391304347</v>
      </c>
      <c r="G435" s="81"/>
      <c r="H435" s="81"/>
      <c r="I435" s="81"/>
      <c r="J435" s="81"/>
      <c r="K435" s="81"/>
      <c r="L435" s="81"/>
      <c r="M435" s="81"/>
      <c r="N435" s="81"/>
    </row>
    <row r="436" spans="1:14" ht="14.25" customHeight="1" x14ac:dyDescent="0.25">
      <c r="A436" s="122"/>
      <c r="B436" s="127"/>
      <c r="C436" s="101"/>
      <c r="D436" s="101"/>
      <c r="E436" s="107"/>
      <c r="F436" s="106"/>
      <c r="G436" s="81"/>
      <c r="H436" s="81"/>
      <c r="I436" s="81"/>
      <c r="J436" s="81"/>
      <c r="K436" s="81"/>
      <c r="L436" s="81"/>
      <c r="M436" s="81"/>
      <c r="N436" s="81"/>
    </row>
    <row r="437" spans="1:14" ht="14.25" customHeight="1" x14ac:dyDescent="0.25">
      <c r="A437" s="122"/>
      <c r="B437" s="127"/>
      <c r="C437" s="101"/>
      <c r="D437" s="101"/>
      <c r="E437" s="125"/>
      <c r="F437" s="106"/>
      <c r="G437" s="81"/>
      <c r="H437" s="81"/>
      <c r="I437" s="81"/>
      <c r="J437" s="81"/>
      <c r="K437" s="81"/>
      <c r="L437" s="81"/>
      <c r="M437" s="81"/>
      <c r="N437" s="81"/>
    </row>
    <row r="438" spans="1:14" ht="14.25" customHeight="1" x14ac:dyDescent="0.25">
      <c r="A438" s="97" t="s">
        <v>548</v>
      </c>
      <c r="B438" s="128"/>
      <c r="C438" s="110"/>
      <c r="D438" s="110"/>
      <c r="E438" s="110"/>
      <c r="F438" s="112">
        <f>SUM(F434:F437)</f>
        <v>3149.6565217391303</v>
      </c>
      <c r="G438" s="81"/>
      <c r="H438" s="81"/>
      <c r="I438" s="81"/>
      <c r="J438" s="81"/>
      <c r="K438" s="81"/>
      <c r="L438" s="81"/>
      <c r="M438" s="81"/>
      <c r="N438" s="81"/>
    </row>
    <row r="439" spans="1:14" ht="14.25" customHeight="1" x14ac:dyDescent="0.25">
      <c r="A439" s="96"/>
      <c r="B439" s="129"/>
      <c r="C439" s="118"/>
      <c r="D439" s="118"/>
      <c r="E439" s="118"/>
      <c r="F439" s="118"/>
      <c r="G439" s="81"/>
      <c r="H439" s="81"/>
      <c r="I439" s="81"/>
      <c r="J439" s="81"/>
      <c r="K439" s="81"/>
      <c r="L439" s="81"/>
      <c r="M439" s="81"/>
      <c r="N439" s="81"/>
    </row>
    <row r="440" spans="1:14" ht="14.25" customHeight="1" x14ac:dyDescent="0.25">
      <c r="A440" s="95" t="s">
        <v>583</v>
      </c>
      <c r="B440" s="96"/>
      <c r="C440" s="92"/>
      <c r="D440" s="92"/>
      <c r="E440" s="92" t="s">
        <v>584</v>
      </c>
      <c r="F440" s="92"/>
      <c r="G440" s="81"/>
      <c r="H440" s="81"/>
      <c r="I440" s="81"/>
      <c r="J440" s="81"/>
      <c r="K440" s="81"/>
      <c r="L440" s="81"/>
      <c r="M440" s="81"/>
      <c r="N440" s="81"/>
    </row>
    <row r="441" spans="1:14" ht="14.25" customHeight="1" x14ac:dyDescent="0.25">
      <c r="A441" s="97" t="s">
        <v>563</v>
      </c>
      <c r="B441" s="98" t="s">
        <v>564</v>
      </c>
      <c r="C441" s="98" t="s">
        <v>585</v>
      </c>
      <c r="D441" s="98" t="s">
        <v>586</v>
      </c>
      <c r="E441" s="120" t="s">
        <v>587</v>
      </c>
      <c r="F441" s="98" t="s">
        <v>568</v>
      </c>
      <c r="G441" s="81"/>
      <c r="H441" s="81"/>
      <c r="I441" s="81"/>
      <c r="J441" s="81"/>
      <c r="K441" s="81"/>
      <c r="L441" s="81"/>
      <c r="M441" s="81"/>
      <c r="N441" s="81"/>
    </row>
    <row r="442" spans="1:14" ht="14.25" customHeight="1" x14ac:dyDescent="0.25">
      <c r="A442" s="103" t="s">
        <v>604</v>
      </c>
      <c r="B442" s="100" t="s">
        <v>605</v>
      </c>
      <c r="C442" s="101">
        <v>1000</v>
      </c>
      <c r="D442" s="130">
        <f>+D415</f>
        <v>0.15</v>
      </c>
      <c r="E442" s="107">
        <v>1</v>
      </c>
      <c r="F442" s="109">
        <f>+C442*D442*E442</f>
        <v>150</v>
      </c>
      <c r="G442" s="81"/>
      <c r="H442" s="81"/>
      <c r="I442" s="81"/>
      <c r="J442" s="81"/>
      <c r="K442" s="81"/>
      <c r="L442" s="81"/>
      <c r="M442" s="81"/>
      <c r="N442" s="81"/>
    </row>
    <row r="443" spans="1:14" ht="14.25" customHeight="1" x14ac:dyDescent="0.25">
      <c r="A443" s="103"/>
      <c r="B443" s="100"/>
      <c r="C443" s="107"/>
      <c r="D443" s="107"/>
      <c r="E443" s="108"/>
      <c r="F443" s="109"/>
      <c r="G443" s="81"/>
      <c r="H443" s="81"/>
      <c r="I443" s="81"/>
      <c r="J443" s="81"/>
      <c r="K443" s="81"/>
      <c r="L443" s="81"/>
      <c r="M443" s="81"/>
      <c r="N443" s="81"/>
    </row>
    <row r="444" spans="1:14" ht="14.25" customHeight="1" x14ac:dyDescent="0.25">
      <c r="A444" s="97" t="s">
        <v>548</v>
      </c>
      <c r="B444" s="98"/>
      <c r="C444" s="110"/>
      <c r="D444" s="110"/>
      <c r="E444" s="111"/>
      <c r="F444" s="112">
        <f>SUM(F442:F443)</f>
        <v>150</v>
      </c>
      <c r="G444" s="81"/>
      <c r="H444" s="81"/>
      <c r="I444" s="81"/>
      <c r="J444" s="81"/>
      <c r="K444" s="81"/>
      <c r="L444" s="81"/>
      <c r="M444" s="81"/>
      <c r="N444" s="81"/>
    </row>
    <row r="445" spans="1:14" ht="14.25" customHeight="1" x14ac:dyDescent="0.25">
      <c r="A445" s="88"/>
      <c r="B445" s="89"/>
      <c r="C445" s="113"/>
      <c r="D445" s="113"/>
      <c r="E445" s="114"/>
      <c r="F445" s="113"/>
      <c r="G445" s="81"/>
      <c r="H445" s="81"/>
      <c r="I445" s="81"/>
      <c r="J445" s="81"/>
      <c r="K445" s="81"/>
      <c r="L445" s="81"/>
      <c r="M445" s="81"/>
      <c r="N445" s="81"/>
    </row>
    <row r="446" spans="1:14" ht="14.25" customHeight="1" x14ac:dyDescent="0.25">
      <c r="A446" s="88"/>
      <c r="B446" s="89"/>
      <c r="C446" s="113"/>
      <c r="D446" s="113"/>
      <c r="E446" s="114"/>
      <c r="F446" s="113"/>
      <c r="G446" s="81"/>
      <c r="H446" s="81"/>
      <c r="I446" s="81"/>
      <c r="J446" s="81"/>
      <c r="K446" s="81"/>
      <c r="L446" s="81"/>
      <c r="M446" s="81"/>
      <c r="N446" s="81"/>
    </row>
    <row r="447" spans="1:14" ht="14.25" customHeight="1" x14ac:dyDescent="0.25">
      <c r="A447" s="612" t="s">
        <v>588</v>
      </c>
      <c r="B447" s="608"/>
      <c r="C447" s="608"/>
      <c r="D447" s="608"/>
      <c r="E447" s="609"/>
      <c r="F447" s="131">
        <f>ROUND(F422+F430+F438+F444,0)</f>
        <v>10467</v>
      </c>
      <c r="G447" s="81"/>
      <c r="H447" s="117">
        <f>10467-F447</f>
        <v>0</v>
      </c>
      <c r="I447" s="81"/>
      <c r="J447" s="81"/>
      <c r="K447" s="81"/>
      <c r="L447" s="81"/>
      <c r="M447" s="81"/>
      <c r="N447" s="81"/>
    </row>
    <row r="448" spans="1:14" ht="14.25" customHeight="1" x14ac:dyDescent="0.25">
      <c r="A448" s="612" t="s">
        <v>589</v>
      </c>
      <c r="B448" s="608"/>
      <c r="C448" s="608"/>
      <c r="D448" s="608"/>
      <c r="E448" s="609"/>
      <c r="F448" s="132"/>
      <c r="G448" s="81"/>
      <c r="H448" s="81"/>
      <c r="I448" s="81"/>
      <c r="J448" s="81"/>
      <c r="K448" s="81"/>
      <c r="L448" s="81"/>
      <c r="M448" s="81"/>
      <c r="N448" s="81"/>
    </row>
    <row r="449" spans="1:14" ht="14.25" customHeight="1" x14ac:dyDescent="0.25">
      <c r="A449" s="612" t="s">
        <v>556</v>
      </c>
      <c r="B449" s="608"/>
      <c r="C449" s="608"/>
      <c r="D449" s="608"/>
      <c r="E449" s="609"/>
      <c r="F449" s="133"/>
      <c r="G449" s="81"/>
      <c r="H449" s="81"/>
      <c r="I449" s="81"/>
      <c r="J449" s="81"/>
      <c r="K449" s="81"/>
      <c r="L449" s="81"/>
      <c r="M449" s="81"/>
      <c r="N449" s="81"/>
    </row>
    <row r="450" spans="1:14" ht="14.25" customHeight="1" x14ac:dyDescent="0.25">
      <c r="A450" s="134"/>
      <c r="B450" s="135"/>
      <c r="C450" s="135"/>
      <c r="D450" s="135"/>
      <c r="E450" s="135"/>
      <c r="F450" s="136"/>
      <c r="G450" s="81"/>
      <c r="H450" s="81"/>
      <c r="I450" s="81"/>
      <c r="J450" s="81"/>
      <c r="K450" s="81"/>
      <c r="L450" s="81"/>
      <c r="M450" s="81"/>
      <c r="N450" s="81"/>
    </row>
    <row r="451" spans="1:14" ht="14.25" customHeight="1" x14ac:dyDescent="0.25">
      <c r="A451" s="81"/>
      <c r="B451" s="81"/>
      <c r="C451" s="137"/>
      <c r="D451" s="81"/>
      <c r="E451" s="81"/>
      <c r="F451" s="81"/>
      <c r="G451" s="81"/>
      <c r="H451" s="81"/>
      <c r="I451" s="81"/>
      <c r="J451" s="81"/>
      <c r="K451" s="81"/>
      <c r="L451" s="81"/>
      <c r="M451" s="81"/>
      <c r="N451" s="81"/>
    </row>
    <row r="452" spans="1:14" ht="14.25" customHeight="1" x14ac:dyDescent="0.25">
      <c r="A452" s="81"/>
      <c r="B452" s="81"/>
      <c r="C452" s="137"/>
      <c r="D452" s="81"/>
      <c r="E452" s="81"/>
      <c r="F452" s="81"/>
      <c r="G452" s="81"/>
      <c r="H452" s="81"/>
      <c r="I452" s="81"/>
      <c r="J452" s="81"/>
      <c r="K452" s="81"/>
      <c r="L452" s="81"/>
      <c r="M452" s="81"/>
      <c r="N452" s="81"/>
    </row>
    <row r="453" spans="1:14" ht="14.25" customHeight="1" x14ac:dyDescent="0.25">
      <c r="A453" s="81"/>
      <c r="B453" s="81"/>
      <c r="C453" s="137"/>
      <c r="D453" s="81"/>
      <c r="E453" s="81"/>
      <c r="F453" s="81"/>
      <c r="G453" s="81"/>
      <c r="H453" s="81"/>
      <c r="I453" s="81"/>
      <c r="J453" s="81"/>
      <c r="K453" s="81"/>
      <c r="L453" s="81"/>
      <c r="M453" s="81"/>
      <c r="N453" s="81"/>
    </row>
    <row r="454" spans="1:14" ht="14.25" customHeight="1" x14ac:dyDescent="0.25">
      <c r="A454" s="81"/>
      <c r="B454" s="81"/>
      <c r="C454" s="137"/>
      <c r="D454" s="81"/>
      <c r="E454" s="81"/>
      <c r="F454" s="81"/>
      <c r="G454" s="81"/>
      <c r="H454" s="81"/>
      <c r="I454" s="81"/>
      <c r="J454" s="81"/>
      <c r="K454" s="81"/>
      <c r="L454" s="81"/>
      <c r="M454" s="81"/>
      <c r="N454" s="81"/>
    </row>
    <row r="455" spans="1:14" ht="14.25" customHeight="1" x14ac:dyDescent="0.25">
      <c r="A455" s="81"/>
      <c r="B455" s="81"/>
      <c r="C455" s="137"/>
      <c r="D455" s="81"/>
      <c r="E455" s="81"/>
      <c r="F455" s="81"/>
      <c r="G455" s="81"/>
      <c r="H455" s="81"/>
      <c r="I455" s="81"/>
      <c r="J455" s="81"/>
      <c r="K455" s="81"/>
      <c r="L455" s="81"/>
      <c r="M455" s="81"/>
      <c r="N455" s="81"/>
    </row>
    <row r="456" spans="1:14" ht="14.25" customHeight="1" x14ac:dyDescent="0.25">
      <c r="A456" s="81"/>
      <c r="B456" s="81"/>
      <c r="C456" s="137"/>
      <c r="D456" s="81"/>
      <c r="E456" s="81"/>
      <c r="F456" s="81"/>
      <c r="G456" s="81"/>
      <c r="H456" s="81"/>
      <c r="I456" s="81"/>
      <c r="J456" s="81"/>
      <c r="K456" s="81"/>
      <c r="L456" s="81"/>
      <c r="M456" s="81"/>
      <c r="N456" s="81"/>
    </row>
    <row r="457" spans="1:14" ht="14.25" customHeight="1" x14ac:dyDescent="0.25">
      <c r="A457" s="134"/>
      <c r="B457" s="135"/>
      <c r="C457" s="135"/>
      <c r="D457" s="135"/>
      <c r="E457" s="135"/>
      <c r="F457" s="136"/>
      <c r="G457" s="81"/>
      <c r="H457" s="81"/>
      <c r="I457" s="81"/>
      <c r="J457" s="81"/>
      <c r="K457" s="81"/>
      <c r="L457" s="81"/>
      <c r="M457" s="81"/>
      <c r="N457" s="81"/>
    </row>
    <row r="458" spans="1:14" ht="14.25" customHeight="1" x14ac:dyDescent="0.25">
      <c r="A458" s="134"/>
      <c r="B458" s="135"/>
      <c r="C458" s="135"/>
      <c r="D458" s="135"/>
      <c r="E458" s="135"/>
      <c r="F458" s="136"/>
      <c r="G458" s="81"/>
      <c r="H458" s="81"/>
      <c r="I458" s="81"/>
      <c r="J458" s="81"/>
      <c r="K458" s="81"/>
      <c r="L458" s="81"/>
      <c r="M458" s="81"/>
      <c r="N458" s="81"/>
    </row>
    <row r="459" spans="1:14" ht="14.25" customHeight="1" x14ac:dyDescent="0.25">
      <c r="A459" s="134"/>
      <c r="B459" s="135"/>
      <c r="C459" s="135"/>
      <c r="D459" s="135"/>
      <c r="E459" s="135"/>
      <c r="F459" s="136"/>
      <c r="G459" s="81"/>
      <c r="H459" s="81"/>
      <c r="I459" s="81"/>
      <c r="J459" s="81"/>
      <c r="K459" s="81"/>
      <c r="L459" s="81"/>
      <c r="M459" s="81"/>
      <c r="N459" s="81"/>
    </row>
    <row r="460" spans="1:14" ht="14.25" customHeight="1" thickBot="1" x14ac:dyDescent="0.3">
      <c r="A460" s="81"/>
      <c r="B460" s="81"/>
      <c r="C460" s="81"/>
      <c r="D460" s="81"/>
      <c r="E460" s="81"/>
      <c r="F460" s="81"/>
      <c r="G460" s="81"/>
      <c r="H460" s="81"/>
      <c r="I460" s="81"/>
      <c r="J460" s="81"/>
      <c r="K460" s="81"/>
      <c r="L460" s="81"/>
      <c r="M460" s="81"/>
      <c r="N460" s="81"/>
    </row>
    <row r="461" spans="1:14" ht="14.25" customHeight="1" x14ac:dyDescent="0.25">
      <c r="A461" s="83"/>
      <c r="B461" s="84"/>
      <c r="C461" s="85"/>
      <c r="D461" s="86"/>
      <c r="E461" s="86"/>
      <c r="F461" s="87"/>
      <c r="G461" s="81"/>
      <c r="H461" s="81"/>
      <c r="I461" s="81"/>
      <c r="J461" s="81"/>
      <c r="K461" s="81"/>
      <c r="L461" s="81"/>
      <c r="M461" s="81"/>
      <c r="N461" s="81"/>
    </row>
    <row r="462" spans="1:14" ht="14.25" customHeight="1" x14ac:dyDescent="0.25">
      <c r="A462" s="599"/>
      <c r="B462" s="600"/>
      <c r="C462" s="600"/>
      <c r="D462" s="600"/>
      <c r="E462" s="600"/>
      <c r="F462" s="601"/>
      <c r="G462" s="81"/>
      <c r="H462" s="81"/>
      <c r="I462" s="81"/>
      <c r="J462" s="81"/>
      <c r="K462" s="81"/>
      <c r="L462" s="81"/>
      <c r="M462" s="81"/>
      <c r="N462" s="81"/>
    </row>
    <row r="463" spans="1:14" ht="14.25" customHeight="1" x14ac:dyDescent="0.25">
      <c r="A463" s="602" t="s">
        <v>561</v>
      </c>
      <c r="B463" s="600"/>
      <c r="C463" s="600"/>
      <c r="D463" s="600"/>
      <c r="E463" s="600"/>
      <c r="F463" s="601"/>
      <c r="G463" s="81"/>
      <c r="H463" s="81"/>
      <c r="I463" s="81"/>
      <c r="J463" s="81"/>
      <c r="K463" s="81"/>
      <c r="L463" s="81"/>
      <c r="M463" s="81"/>
      <c r="N463" s="81"/>
    </row>
    <row r="464" spans="1:14" ht="14.25" customHeight="1" thickBot="1" x14ac:dyDescent="0.3">
      <c r="A464" s="603"/>
      <c r="B464" s="604"/>
      <c r="C464" s="604"/>
      <c r="D464" s="604"/>
      <c r="E464" s="604"/>
      <c r="F464" s="605"/>
      <c r="G464" s="81"/>
      <c r="H464" s="81"/>
      <c r="I464" s="81"/>
      <c r="J464" s="81"/>
      <c r="K464" s="81"/>
      <c r="L464" s="81"/>
      <c r="M464" s="81"/>
      <c r="N464" s="81"/>
    </row>
    <row r="465" spans="1:14" ht="14.25" customHeight="1" x14ac:dyDescent="0.25">
      <c r="A465" s="88"/>
      <c r="B465" s="88"/>
      <c r="C465" s="89"/>
      <c r="D465" s="89"/>
      <c r="E465" s="89"/>
      <c r="F465" s="89"/>
      <c r="G465" s="81"/>
      <c r="H465" s="81"/>
      <c r="I465" s="81"/>
      <c r="J465" s="81"/>
      <c r="K465" s="81"/>
      <c r="L465" s="81"/>
      <c r="M465" s="81"/>
      <c r="N465" s="81"/>
    </row>
    <row r="466" spans="1:14" ht="31.5" customHeight="1" x14ac:dyDescent="0.25">
      <c r="A466" s="90" t="s">
        <v>47</v>
      </c>
      <c r="B466" s="613" t="s">
        <v>74</v>
      </c>
      <c r="C466" s="600"/>
      <c r="D466" s="600"/>
      <c r="E466" s="600"/>
      <c r="F466" s="600"/>
      <c r="G466" s="81"/>
      <c r="H466" s="81"/>
      <c r="I466" s="81"/>
      <c r="J466" s="81"/>
      <c r="K466" s="81"/>
      <c r="L466" s="81"/>
      <c r="M466" s="81"/>
      <c r="N466" s="81"/>
    </row>
    <row r="467" spans="1:14" ht="14.25" customHeight="1" x14ac:dyDescent="0.25">
      <c r="A467" s="91"/>
      <c r="B467" s="91"/>
      <c r="C467" s="91"/>
      <c r="D467" s="91"/>
      <c r="E467" s="91"/>
      <c r="F467" s="91"/>
      <c r="G467" s="81"/>
      <c r="H467" s="81"/>
      <c r="I467" s="81"/>
      <c r="J467" s="81"/>
      <c r="K467" s="81"/>
      <c r="L467" s="81"/>
      <c r="M467" s="81"/>
      <c r="N467" s="81"/>
    </row>
    <row r="468" spans="1:14" ht="14.25" customHeight="1" x14ac:dyDescent="0.25">
      <c r="A468" s="88" t="s">
        <v>49</v>
      </c>
      <c r="B468" s="92" t="s">
        <v>64</v>
      </c>
      <c r="C468" s="89"/>
      <c r="D468" s="89"/>
      <c r="E468" s="89"/>
      <c r="F468" s="93"/>
      <c r="G468" s="81"/>
      <c r="H468" s="81"/>
      <c r="I468" s="81"/>
      <c r="J468" s="81"/>
      <c r="K468" s="81"/>
      <c r="L468" s="81"/>
      <c r="M468" s="81"/>
      <c r="N468" s="81"/>
    </row>
    <row r="469" spans="1:14" ht="14.25" customHeight="1" x14ac:dyDescent="0.25">
      <c r="A469" s="88"/>
      <c r="B469" s="94"/>
      <c r="C469" s="89"/>
      <c r="D469" s="89"/>
      <c r="E469" s="89"/>
      <c r="F469" s="93"/>
      <c r="G469" s="81"/>
      <c r="H469" s="81"/>
      <c r="I469" s="81"/>
      <c r="J469" s="81"/>
      <c r="K469" s="81"/>
      <c r="L469" s="81"/>
      <c r="M469" s="81"/>
      <c r="N469" s="81"/>
    </row>
    <row r="470" spans="1:14" ht="14.25" customHeight="1" x14ac:dyDescent="0.25">
      <c r="A470" s="95" t="s">
        <v>562</v>
      </c>
      <c r="B470" s="96"/>
      <c r="C470" s="92"/>
      <c r="D470" s="92"/>
      <c r="E470" s="92"/>
      <c r="F470" s="92"/>
      <c r="G470" s="81"/>
      <c r="H470" s="81"/>
      <c r="I470" s="81"/>
      <c r="J470" s="81"/>
      <c r="K470" s="81"/>
      <c r="L470" s="81"/>
      <c r="M470" s="81"/>
      <c r="N470" s="81"/>
    </row>
    <row r="471" spans="1:14" ht="14.25" customHeight="1" x14ac:dyDescent="0.25">
      <c r="A471" s="97" t="s">
        <v>563</v>
      </c>
      <c r="B471" s="98" t="s">
        <v>564</v>
      </c>
      <c r="C471" s="98" t="s">
        <v>565</v>
      </c>
      <c r="D471" s="98" t="s">
        <v>566</v>
      </c>
      <c r="E471" s="98" t="s">
        <v>567</v>
      </c>
      <c r="F471" s="98" t="s">
        <v>568</v>
      </c>
      <c r="G471" s="81"/>
      <c r="H471" s="81"/>
      <c r="I471" s="81"/>
      <c r="J471" s="81"/>
      <c r="K471" s="81"/>
      <c r="L471" s="81"/>
      <c r="M471" s="81"/>
      <c r="N471" s="81"/>
    </row>
    <row r="472" spans="1:14" ht="14.25" customHeight="1" x14ac:dyDescent="0.25">
      <c r="A472" s="99" t="s">
        <v>606</v>
      </c>
      <c r="B472" s="100" t="s">
        <v>64</v>
      </c>
      <c r="C472" s="101">
        <v>7500</v>
      </c>
      <c r="D472" s="104">
        <v>1.3</v>
      </c>
      <c r="E472" s="102"/>
      <c r="F472" s="101">
        <f t="shared" ref="F472:F473" si="25">C472*(D472+(D472*E472))</f>
        <v>9750</v>
      </c>
      <c r="G472" s="81"/>
      <c r="H472" s="81"/>
      <c r="I472" s="81"/>
      <c r="J472" s="81"/>
      <c r="K472" s="81"/>
      <c r="L472" s="81"/>
      <c r="M472" s="81"/>
      <c r="N472" s="81"/>
    </row>
    <row r="473" spans="1:14" ht="14.25" customHeight="1" x14ac:dyDescent="0.25">
      <c r="A473" s="99"/>
      <c r="B473" s="100"/>
      <c r="C473" s="101"/>
      <c r="D473" s="104"/>
      <c r="E473" s="102"/>
      <c r="F473" s="101">
        <f t="shared" si="25"/>
        <v>0</v>
      </c>
      <c r="G473" s="81"/>
      <c r="H473" s="81"/>
      <c r="I473" s="81"/>
      <c r="J473" s="81"/>
      <c r="K473" s="81"/>
      <c r="L473" s="81"/>
      <c r="M473" s="81"/>
      <c r="N473" s="81"/>
    </row>
    <row r="474" spans="1:14" ht="14.25" customHeight="1" x14ac:dyDescent="0.25">
      <c r="A474" s="103"/>
      <c r="B474" s="100"/>
      <c r="C474" s="101"/>
      <c r="D474" s="104"/>
      <c r="E474" s="102"/>
      <c r="F474" s="101"/>
      <c r="G474" s="81"/>
      <c r="H474" s="81"/>
      <c r="I474" s="81"/>
      <c r="J474" s="81"/>
      <c r="K474" s="81"/>
      <c r="L474" s="81"/>
      <c r="M474" s="81"/>
      <c r="N474" s="81"/>
    </row>
    <row r="475" spans="1:14" ht="14.25" customHeight="1" x14ac:dyDescent="0.25">
      <c r="A475" s="99"/>
      <c r="B475" s="100"/>
      <c r="C475" s="101"/>
      <c r="D475" s="104"/>
      <c r="E475" s="102"/>
      <c r="F475" s="101"/>
      <c r="G475" s="81"/>
      <c r="H475" s="81"/>
      <c r="I475" s="81"/>
      <c r="J475" s="81"/>
      <c r="K475" s="81"/>
      <c r="L475" s="81"/>
      <c r="M475" s="81"/>
      <c r="N475" s="81"/>
    </row>
    <row r="476" spans="1:14" ht="14.25" customHeight="1" x14ac:dyDescent="0.25">
      <c r="A476" s="99"/>
      <c r="B476" s="100"/>
      <c r="C476" s="106"/>
      <c r="D476" s="104"/>
      <c r="E476" s="102"/>
      <c r="F476" s="101"/>
      <c r="G476" s="81"/>
      <c r="H476" s="81"/>
      <c r="I476" s="81"/>
      <c r="J476" s="81"/>
      <c r="K476" s="81"/>
      <c r="L476" s="81"/>
      <c r="M476" s="81"/>
      <c r="N476" s="81"/>
    </row>
    <row r="477" spans="1:14" ht="14.25" customHeight="1" x14ac:dyDescent="0.25">
      <c r="A477" s="103"/>
      <c r="B477" s="100"/>
      <c r="C477" s="101"/>
      <c r="D477" s="105"/>
      <c r="E477" s="102"/>
      <c r="F477" s="101"/>
      <c r="G477" s="81"/>
      <c r="H477" s="81"/>
      <c r="I477" s="81"/>
      <c r="J477" s="81"/>
      <c r="K477" s="81"/>
      <c r="L477" s="81"/>
      <c r="M477" s="81"/>
      <c r="N477" s="81"/>
    </row>
    <row r="478" spans="1:14" ht="14.25" customHeight="1" x14ac:dyDescent="0.25">
      <c r="A478" s="99"/>
      <c r="B478" s="100"/>
      <c r="C478" s="106"/>
      <c r="D478" s="107"/>
      <c r="E478" s="108"/>
      <c r="F478" s="106"/>
      <c r="G478" s="81"/>
      <c r="H478" s="81"/>
      <c r="I478" s="81"/>
      <c r="J478" s="81"/>
      <c r="K478" s="81"/>
      <c r="L478" s="81"/>
      <c r="M478" s="81"/>
      <c r="N478" s="81"/>
    </row>
    <row r="479" spans="1:14" ht="14.25" customHeight="1" x14ac:dyDescent="0.25">
      <c r="A479" s="97" t="s">
        <v>548</v>
      </c>
      <c r="B479" s="97"/>
      <c r="C479" s="109"/>
      <c r="D479" s="110"/>
      <c r="E479" s="111"/>
      <c r="F479" s="112">
        <f>SUM(F472:F478)</f>
        <v>9750</v>
      </c>
      <c r="G479" s="81"/>
      <c r="H479" s="81"/>
      <c r="I479" s="81"/>
      <c r="J479" s="81"/>
      <c r="K479" s="81"/>
      <c r="L479" s="81"/>
      <c r="M479" s="81"/>
      <c r="N479" s="81"/>
    </row>
    <row r="480" spans="1:14" ht="14.25" customHeight="1" x14ac:dyDescent="0.25">
      <c r="A480" s="88"/>
      <c r="B480" s="88"/>
      <c r="C480" s="113"/>
      <c r="D480" s="113"/>
      <c r="E480" s="114"/>
      <c r="F480" s="113"/>
      <c r="G480" s="81"/>
      <c r="H480" s="81"/>
      <c r="I480" s="81"/>
      <c r="J480" s="81"/>
      <c r="K480" s="81"/>
      <c r="L480" s="81"/>
      <c r="M480" s="81"/>
      <c r="N480" s="81"/>
    </row>
    <row r="481" spans="1:14" ht="14.25" customHeight="1" x14ac:dyDescent="0.25">
      <c r="A481" s="96" t="s">
        <v>573</v>
      </c>
      <c r="B481" s="96"/>
      <c r="C481" s="92"/>
      <c r="D481" s="92"/>
      <c r="E481" s="92"/>
      <c r="F481" s="92"/>
      <c r="G481" s="81"/>
      <c r="H481" s="81"/>
      <c r="I481" s="81"/>
      <c r="J481" s="81"/>
      <c r="K481" s="81"/>
      <c r="L481" s="81"/>
      <c r="M481" s="81"/>
      <c r="N481" s="81"/>
    </row>
    <row r="482" spans="1:14" ht="14.25" customHeight="1" x14ac:dyDescent="0.25">
      <c r="A482" s="611" t="s">
        <v>563</v>
      </c>
      <c r="B482" s="608"/>
      <c r="C482" s="609"/>
      <c r="D482" s="98" t="s">
        <v>574</v>
      </c>
      <c r="E482" s="98" t="s">
        <v>575</v>
      </c>
      <c r="F482" s="98" t="s">
        <v>568</v>
      </c>
      <c r="G482" s="81"/>
      <c r="H482" s="81"/>
      <c r="I482" s="81"/>
      <c r="J482" s="81"/>
      <c r="K482" s="81"/>
      <c r="L482" s="81"/>
      <c r="M482" s="81"/>
      <c r="N482" s="81"/>
    </row>
    <row r="483" spans="1:14" ht="14.25" customHeight="1" x14ac:dyDescent="0.25">
      <c r="A483" s="607" t="s">
        <v>577</v>
      </c>
      <c r="B483" s="608"/>
      <c r="C483" s="609"/>
      <c r="D483" s="116"/>
      <c r="E483" s="107"/>
      <c r="F483" s="106">
        <v>330</v>
      </c>
      <c r="G483" s="81"/>
      <c r="H483" s="81"/>
      <c r="I483" s="81"/>
      <c r="J483" s="81"/>
      <c r="K483" s="81"/>
      <c r="L483" s="81"/>
      <c r="M483" s="81"/>
      <c r="N483" s="81"/>
    </row>
    <row r="484" spans="1:14" ht="14.25" customHeight="1" x14ac:dyDescent="0.25">
      <c r="A484" s="607" t="s">
        <v>607</v>
      </c>
      <c r="B484" s="608"/>
      <c r="C484" s="609"/>
      <c r="D484" s="142">
        <v>180000</v>
      </c>
      <c r="E484" s="107">
        <v>30</v>
      </c>
      <c r="F484" s="106">
        <f t="shared" ref="F484" si="26">D484/E484</f>
        <v>6000</v>
      </c>
      <c r="G484" s="81"/>
      <c r="H484" s="81"/>
      <c r="I484" s="81"/>
      <c r="J484" s="81"/>
      <c r="K484" s="81"/>
      <c r="L484" s="81"/>
      <c r="M484" s="81"/>
      <c r="N484" s="81"/>
    </row>
    <row r="485" spans="1:14" ht="14.25" customHeight="1" x14ac:dyDescent="0.25">
      <c r="A485" s="607"/>
      <c r="B485" s="608"/>
      <c r="C485" s="609"/>
      <c r="D485" s="142"/>
      <c r="E485" s="107"/>
      <c r="F485" s="106"/>
      <c r="G485" s="81"/>
      <c r="H485" s="81"/>
      <c r="I485" s="81"/>
      <c r="J485" s="81"/>
      <c r="K485" s="81"/>
      <c r="L485" s="81"/>
      <c r="M485" s="81"/>
      <c r="N485" s="81"/>
    </row>
    <row r="486" spans="1:14" ht="14.25" customHeight="1" x14ac:dyDescent="0.25">
      <c r="A486" s="610"/>
      <c r="B486" s="608"/>
      <c r="C486" s="609"/>
      <c r="D486" s="115"/>
      <c r="E486" s="107"/>
      <c r="F486" s="106"/>
      <c r="G486" s="81"/>
      <c r="H486" s="81"/>
      <c r="I486" s="81"/>
      <c r="J486" s="81"/>
      <c r="K486" s="81"/>
      <c r="L486" s="81"/>
      <c r="M486" s="81"/>
      <c r="N486" s="81"/>
    </row>
    <row r="487" spans="1:14" ht="14.25" customHeight="1" x14ac:dyDescent="0.25">
      <c r="A487" s="611" t="s">
        <v>548</v>
      </c>
      <c r="B487" s="608"/>
      <c r="C487" s="609"/>
      <c r="D487" s="110"/>
      <c r="E487" s="110"/>
      <c r="F487" s="112">
        <f>SUM(F483:F485)</f>
        <v>6330</v>
      </c>
      <c r="G487" s="81"/>
      <c r="H487" s="81"/>
      <c r="I487" s="81"/>
      <c r="J487" s="81"/>
      <c r="K487" s="81"/>
      <c r="L487" s="81"/>
      <c r="M487" s="81"/>
      <c r="N487" s="81"/>
    </row>
    <row r="488" spans="1:14" ht="14.25" customHeight="1" x14ac:dyDescent="0.25">
      <c r="A488" s="88"/>
      <c r="B488" s="88"/>
      <c r="C488" s="89"/>
      <c r="D488" s="113"/>
      <c r="E488" s="113"/>
      <c r="F488" s="113"/>
      <c r="G488" s="81"/>
      <c r="H488" s="81"/>
      <c r="I488" s="81"/>
      <c r="J488" s="81"/>
      <c r="K488" s="81"/>
      <c r="L488" s="81"/>
      <c r="M488" s="81"/>
      <c r="N488" s="81"/>
    </row>
    <row r="489" spans="1:14" ht="14.25" customHeight="1" x14ac:dyDescent="0.25">
      <c r="A489" s="96" t="s">
        <v>578</v>
      </c>
      <c r="B489" s="96"/>
      <c r="C489" s="92"/>
      <c r="D489" s="118"/>
      <c r="E489" s="118"/>
      <c r="F489" s="118"/>
      <c r="G489" s="81"/>
      <c r="H489" s="81"/>
      <c r="I489" s="81"/>
      <c r="J489" s="81"/>
      <c r="K489" s="81"/>
      <c r="L489" s="81"/>
      <c r="M489" s="81"/>
      <c r="N489" s="81"/>
    </row>
    <row r="490" spans="1:14" ht="14.25" customHeight="1" x14ac:dyDescent="0.25">
      <c r="A490" s="119" t="s">
        <v>563</v>
      </c>
      <c r="B490" s="120" t="s">
        <v>579</v>
      </c>
      <c r="C490" s="120" t="s">
        <v>580</v>
      </c>
      <c r="D490" s="121" t="s">
        <v>581</v>
      </c>
      <c r="E490" s="121" t="s">
        <v>575</v>
      </c>
      <c r="F490" s="121" t="s">
        <v>568</v>
      </c>
      <c r="G490" s="81"/>
      <c r="H490" s="81"/>
      <c r="I490" s="81"/>
      <c r="J490" s="81"/>
      <c r="K490" s="81"/>
      <c r="L490" s="81"/>
      <c r="M490" s="81"/>
      <c r="N490" s="81"/>
    </row>
    <row r="491" spans="1:14" ht="14.25" customHeight="1" x14ac:dyDescent="0.25">
      <c r="A491" s="122" t="s">
        <v>593</v>
      </c>
      <c r="B491" s="127">
        <v>1</v>
      </c>
      <c r="C491" s="101">
        <v>32688</v>
      </c>
      <c r="D491" s="101">
        <f t="shared" ref="D491:D492" si="27">+C491*1.7</f>
        <v>55569.599999999999</v>
      </c>
      <c r="E491" s="107">
        <f>+(E484*8/2)*0.11</f>
        <v>13.2</v>
      </c>
      <c r="F491" s="106">
        <f t="shared" ref="F491:F492" si="28">+B491*(D491)/E491</f>
        <v>4209.818181818182</v>
      </c>
      <c r="G491" s="81"/>
      <c r="H491" s="81"/>
      <c r="I491" s="81"/>
      <c r="J491" s="81"/>
      <c r="K491" s="81"/>
      <c r="L491" s="81"/>
      <c r="M491" s="81"/>
      <c r="N491" s="81"/>
    </row>
    <row r="492" spans="1:14" ht="14.25" customHeight="1" x14ac:dyDescent="0.25">
      <c r="A492" s="122" t="s">
        <v>594</v>
      </c>
      <c r="B492" s="127">
        <v>1</v>
      </c>
      <c r="C492" s="101">
        <v>52538</v>
      </c>
      <c r="D492" s="101">
        <f t="shared" si="27"/>
        <v>89314.599999999991</v>
      </c>
      <c r="E492" s="107">
        <f>+E491</f>
        <v>13.2</v>
      </c>
      <c r="F492" s="106">
        <f t="shared" si="28"/>
        <v>6766.2575757575751</v>
      </c>
      <c r="G492" s="81"/>
      <c r="H492" s="81"/>
      <c r="I492" s="81"/>
      <c r="J492" s="81"/>
      <c r="K492" s="81"/>
      <c r="L492" s="81"/>
      <c r="M492" s="81"/>
      <c r="N492" s="81"/>
    </row>
    <row r="493" spans="1:14" ht="14.25" customHeight="1" x14ac:dyDescent="0.25">
      <c r="A493" s="122"/>
      <c r="B493" s="127"/>
      <c r="C493" s="101"/>
      <c r="D493" s="101"/>
      <c r="E493" s="107"/>
      <c r="F493" s="106"/>
      <c r="G493" s="81"/>
      <c r="H493" s="81"/>
      <c r="I493" s="81"/>
      <c r="J493" s="81"/>
      <c r="K493" s="81"/>
      <c r="L493" s="81"/>
      <c r="M493" s="81"/>
      <c r="N493" s="81"/>
    </row>
    <row r="494" spans="1:14" ht="14.25" customHeight="1" x14ac:dyDescent="0.25">
      <c r="A494" s="122"/>
      <c r="B494" s="127"/>
      <c r="C494" s="101"/>
      <c r="D494" s="101"/>
      <c r="E494" s="125"/>
      <c r="F494" s="106"/>
      <c r="G494" s="81"/>
      <c r="H494" s="81"/>
      <c r="I494" s="81"/>
      <c r="J494" s="81"/>
      <c r="K494" s="81"/>
      <c r="L494" s="81"/>
      <c r="M494" s="81"/>
      <c r="N494" s="81"/>
    </row>
    <row r="495" spans="1:14" ht="14.25" customHeight="1" x14ac:dyDescent="0.25">
      <c r="A495" s="97" t="s">
        <v>548</v>
      </c>
      <c r="B495" s="128"/>
      <c r="C495" s="110"/>
      <c r="D495" s="110"/>
      <c r="E495" s="110"/>
      <c r="F495" s="112">
        <f>SUM(F491:F494)</f>
        <v>10976.075757575756</v>
      </c>
      <c r="G495" s="81"/>
      <c r="H495" s="81"/>
      <c r="I495" s="81"/>
      <c r="J495" s="81"/>
      <c r="K495" s="81"/>
      <c r="L495" s="81"/>
      <c r="M495" s="81"/>
      <c r="N495" s="81"/>
    </row>
    <row r="496" spans="1:14" ht="14.25" customHeight="1" x14ac:dyDescent="0.25">
      <c r="A496" s="96"/>
      <c r="B496" s="129"/>
      <c r="C496" s="118"/>
      <c r="D496" s="118"/>
      <c r="E496" s="118"/>
      <c r="F496" s="118"/>
      <c r="G496" s="81"/>
      <c r="H496" s="81"/>
      <c r="I496" s="81"/>
      <c r="J496" s="81"/>
      <c r="K496" s="81"/>
      <c r="L496" s="81"/>
      <c r="M496" s="81"/>
      <c r="N496" s="81"/>
    </row>
    <row r="497" spans="1:14" ht="14.25" customHeight="1" x14ac:dyDescent="0.25">
      <c r="A497" s="95" t="s">
        <v>583</v>
      </c>
      <c r="B497" s="96"/>
      <c r="C497" s="92"/>
      <c r="D497" s="92"/>
      <c r="E497" s="92" t="s">
        <v>584</v>
      </c>
      <c r="F497" s="92"/>
      <c r="G497" s="81"/>
      <c r="H497" s="81"/>
      <c r="I497" s="81"/>
      <c r="J497" s="81"/>
      <c r="K497" s="81"/>
      <c r="L497" s="81"/>
      <c r="M497" s="81"/>
      <c r="N497" s="81"/>
    </row>
    <row r="498" spans="1:14" ht="14.25" customHeight="1" x14ac:dyDescent="0.25">
      <c r="A498" s="97" t="s">
        <v>563</v>
      </c>
      <c r="B498" s="98" t="s">
        <v>564</v>
      </c>
      <c r="C498" s="98" t="s">
        <v>585</v>
      </c>
      <c r="D498" s="98" t="s">
        <v>586</v>
      </c>
      <c r="E498" s="120" t="s">
        <v>587</v>
      </c>
      <c r="F498" s="98" t="s">
        <v>568</v>
      </c>
      <c r="G498" s="81"/>
      <c r="H498" s="81"/>
      <c r="I498" s="81"/>
      <c r="J498" s="81"/>
      <c r="K498" s="81"/>
      <c r="L498" s="81"/>
      <c r="M498" s="81"/>
      <c r="N498" s="81"/>
    </row>
    <row r="499" spans="1:14" ht="14.25" customHeight="1" x14ac:dyDescent="0.25">
      <c r="A499" s="103" t="s">
        <v>1315</v>
      </c>
      <c r="B499" s="100" t="s">
        <v>551</v>
      </c>
      <c r="C499" s="101">
        <v>1000</v>
      </c>
      <c r="D499" s="140">
        <v>1.3</v>
      </c>
      <c r="E499" s="107">
        <v>1</v>
      </c>
      <c r="F499" s="109">
        <f>+C499*D499*E499</f>
        <v>1300</v>
      </c>
      <c r="G499" s="81"/>
      <c r="H499" s="81"/>
      <c r="I499" s="81"/>
      <c r="J499" s="81"/>
      <c r="K499" s="81"/>
      <c r="L499" s="81"/>
      <c r="M499" s="81"/>
      <c r="N499" s="81"/>
    </row>
    <row r="500" spans="1:14" ht="14.25" customHeight="1" x14ac:dyDescent="0.25">
      <c r="A500" s="103"/>
      <c r="B500" s="100"/>
      <c r="C500" s="107"/>
      <c r="D500" s="107"/>
      <c r="E500" s="108"/>
      <c r="F500" s="109"/>
      <c r="G500" s="81"/>
      <c r="H500" s="81"/>
      <c r="I500" s="81"/>
      <c r="J500" s="81"/>
      <c r="K500" s="81"/>
      <c r="L500" s="81"/>
      <c r="M500" s="81"/>
      <c r="N500" s="81"/>
    </row>
    <row r="501" spans="1:14" ht="14.25" customHeight="1" x14ac:dyDescent="0.25">
      <c r="A501" s="97" t="s">
        <v>548</v>
      </c>
      <c r="B501" s="98"/>
      <c r="C501" s="110"/>
      <c r="D501" s="110"/>
      <c r="E501" s="111"/>
      <c r="F501" s="112">
        <f>SUM(F499:F500)</f>
        <v>1300</v>
      </c>
      <c r="G501" s="81"/>
      <c r="H501" s="81"/>
      <c r="I501" s="81"/>
      <c r="J501" s="81"/>
      <c r="K501" s="81"/>
      <c r="L501" s="81"/>
      <c r="M501" s="81"/>
      <c r="N501" s="81"/>
    </row>
    <row r="502" spans="1:14" ht="14.25" customHeight="1" x14ac:dyDescent="0.25">
      <c r="A502" s="88"/>
      <c r="B502" s="89"/>
      <c r="C502" s="113"/>
      <c r="D502" s="113"/>
      <c r="E502" s="114"/>
      <c r="F502" s="113"/>
      <c r="G502" s="81"/>
      <c r="H502" s="81"/>
      <c r="I502" s="81"/>
      <c r="J502" s="81"/>
      <c r="K502" s="81"/>
      <c r="L502" s="81"/>
      <c r="M502" s="81"/>
      <c r="N502" s="81"/>
    </row>
    <row r="503" spans="1:14" ht="14.25" customHeight="1" x14ac:dyDescent="0.25">
      <c r="A503" s="88"/>
      <c r="B503" s="89"/>
      <c r="C503" s="113"/>
      <c r="D503" s="113"/>
      <c r="E503" s="114"/>
      <c r="F503" s="113"/>
      <c r="G503" s="81"/>
      <c r="H503" s="81"/>
      <c r="I503" s="81"/>
      <c r="J503" s="81"/>
      <c r="K503" s="81"/>
      <c r="L503" s="81"/>
      <c r="M503" s="81"/>
      <c r="N503" s="81"/>
    </row>
    <row r="504" spans="1:14" ht="14.25" customHeight="1" x14ac:dyDescent="0.25">
      <c r="A504" s="612" t="s">
        <v>588</v>
      </c>
      <c r="B504" s="608"/>
      <c r="C504" s="608"/>
      <c r="D504" s="608"/>
      <c r="E504" s="609"/>
      <c r="F504" s="131">
        <f>ROUND(F479+F487+F495+F501,0)</f>
        <v>28356</v>
      </c>
      <c r="G504" s="81"/>
      <c r="H504" s="117">
        <f>28356-F504</f>
        <v>0</v>
      </c>
      <c r="I504" s="81"/>
      <c r="J504" s="81"/>
      <c r="K504" s="81"/>
      <c r="L504" s="81"/>
      <c r="M504" s="81"/>
      <c r="N504" s="81"/>
    </row>
    <row r="505" spans="1:14" ht="14.25" customHeight="1" x14ac:dyDescent="0.25">
      <c r="A505" s="612" t="s">
        <v>589</v>
      </c>
      <c r="B505" s="608"/>
      <c r="C505" s="608"/>
      <c r="D505" s="608"/>
      <c r="E505" s="609"/>
      <c r="F505" s="132"/>
      <c r="G505" s="81"/>
      <c r="H505" s="81"/>
      <c r="I505" s="81"/>
      <c r="J505" s="81"/>
      <c r="K505" s="81"/>
      <c r="L505" s="81"/>
      <c r="M505" s="81"/>
      <c r="N505" s="81"/>
    </row>
    <row r="506" spans="1:14" ht="14.25" customHeight="1" x14ac:dyDescent="0.25">
      <c r="A506" s="612" t="s">
        <v>556</v>
      </c>
      <c r="B506" s="608"/>
      <c r="C506" s="608"/>
      <c r="D506" s="608"/>
      <c r="E506" s="609"/>
      <c r="F506" s="133"/>
      <c r="G506" s="81"/>
      <c r="H506" s="81"/>
      <c r="I506" s="81"/>
      <c r="J506" s="81"/>
      <c r="K506" s="81"/>
      <c r="L506" s="81"/>
      <c r="M506" s="81"/>
      <c r="N506" s="81"/>
    </row>
    <row r="507" spans="1:14" ht="14.25" customHeight="1" x14ac:dyDescent="0.25">
      <c r="A507" s="134"/>
      <c r="B507" s="135"/>
      <c r="C507" s="135"/>
      <c r="D507" s="135"/>
      <c r="E507" s="135"/>
      <c r="F507" s="136"/>
      <c r="G507" s="81"/>
      <c r="H507" s="81"/>
      <c r="I507" s="81"/>
      <c r="J507" s="81"/>
      <c r="K507" s="81"/>
      <c r="L507" s="81"/>
      <c r="M507" s="81"/>
      <c r="N507" s="81"/>
    </row>
    <row r="508" spans="1:14" ht="14.25" customHeight="1" x14ac:dyDescent="0.25">
      <c r="A508" s="81"/>
      <c r="B508" s="81"/>
      <c r="C508" s="137"/>
      <c r="D508" s="81"/>
      <c r="E508" s="81"/>
      <c r="F508" s="81"/>
      <c r="G508" s="81"/>
      <c r="H508" s="81"/>
      <c r="I508" s="81"/>
      <c r="J508" s="81"/>
      <c r="K508" s="81"/>
      <c r="L508" s="81"/>
      <c r="M508" s="81"/>
      <c r="N508" s="81"/>
    </row>
    <row r="509" spans="1:14" ht="14.25" customHeight="1" x14ac:dyDescent="0.25">
      <c r="A509" s="81"/>
      <c r="B509" s="81"/>
      <c r="C509" s="137"/>
      <c r="D509" s="81"/>
      <c r="E509" s="81"/>
      <c r="F509" s="81"/>
      <c r="G509" s="81"/>
      <c r="H509" s="81"/>
      <c r="I509" s="81"/>
      <c r="J509" s="81"/>
      <c r="K509" s="81"/>
      <c r="L509" s="81"/>
      <c r="M509" s="81"/>
      <c r="N509" s="81"/>
    </row>
    <row r="510" spans="1:14" ht="14.25" customHeight="1" x14ac:dyDescent="0.25">
      <c r="A510" s="81"/>
      <c r="B510" s="81"/>
      <c r="C510" s="137"/>
      <c r="D510" s="81"/>
      <c r="E510" s="81"/>
      <c r="F510" s="81"/>
      <c r="G510" s="81"/>
      <c r="H510" s="81"/>
      <c r="I510" s="81"/>
      <c r="J510" s="81"/>
      <c r="K510" s="81"/>
      <c r="L510" s="81"/>
      <c r="M510" s="81"/>
      <c r="N510" s="81"/>
    </row>
    <row r="511" spans="1:14" ht="14.25" customHeight="1" x14ac:dyDescent="0.25">
      <c r="A511" s="81"/>
      <c r="B511" s="81"/>
      <c r="C511" s="137"/>
      <c r="D511" s="81"/>
      <c r="E511" s="81"/>
      <c r="F511" s="81"/>
      <c r="G511" s="81"/>
      <c r="H511" s="81"/>
      <c r="I511" s="81"/>
      <c r="J511" s="81"/>
      <c r="K511" s="81"/>
      <c r="L511" s="81"/>
      <c r="M511" s="81"/>
      <c r="N511" s="81"/>
    </row>
    <row r="512" spans="1:14" ht="14.25" customHeight="1" x14ac:dyDescent="0.25">
      <c r="A512" s="81"/>
      <c r="B512" s="81"/>
      <c r="C512" s="137"/>
      <c r="D512" s="81"/>
      <c r="E512" s="81"/>
      <c r="F512" s="81"/>
      <c r="G512" s="81"/>
      <c r="H512" s="81"/>
      <c r="I512" s="81"/>
      <c r="J512" s="81"/>
      <c r="K512" s="81"/>
      <c r="L512" s="81"/>
      <c r="M512" s="81"/>
      <c r="N512" s="81"/>
    </row>
    <row r="513" spans="1:14" ht="14.25" customHeight="1" x14ac:dyDescent="0.25">
      <c r="A513" s="81"/>
      <c r="B513" s="81"/>
      <c r="C513" s="137"/>
      <c r="D513" s="81"/>
      <c r="E513" s="81"/>
      <c r="F513" s="81"/>
      <c r="G513" s="81"/>
      <c r="H513" s="81"/>
      <c r="I513" s="81"/>
      <c r="J513" s="81"/>
      <c r="K513" s="81"/>
      <c r="L513" s="81"/>
      <c r="M513" s="81"/>
      <c r="N513" s="81"/>
    </row>
    <row r="514" spans="1:14" ht="14.25" customHeight="1" x14ac:dyDescent="0.25">
      <c r="A514" s="81"/>
      <c r="B514" s="81"/>
      <c r="C514" s="137"/>
      <c r="D514" s="81"/>
      <c r="E514" s="81"/>
      <c r="F514" s="81"/>
      <c r="G514" s="81"/>
      <c r="H514" s="81"/>
      <c r="I514" s="81"/>
      <c r="J514" s="81"/>
      <c r="K514" s="81"/>
      <c r="L514" s="81"/>
      <c r="M514" s="81"/>
      <c r="N514" s="81"/>
    </row>
    <row r="515" spans="1:14" ht="14.25" customHeight="1" x14ac:dyDescent="0.25">
      <c r="A515" s="134"/>
      <c r="B515" s="135"/>
      <c r="C515" s="135"/>
      <c r="D515" s="135"/>
      <c r="E515" s="135"/>
      <c r="F515" s="136"/>
      <c r="G515" s="81"/>
      <c r="H515" s="81"/>
      <c r="I515" s="81"/>
      <c r="J515" s="81"/>
      <c r="K515" s="81"/>
      <c r="L515" s="81"/>
      <c r="M515" s="81"/>
      <c r="N515" s="81"/>
    </row>
    <row r="516" spans="1:14" ht="14.25" customHeight="1" x14ac:dyDescent="0.25">
      <c r="A516" s="134"/>
      <c r="B516" s="135"/>
      <c r="C516" s="135"/>
      <c r="D516" s="135"/>
      <c r="E516" s="135"/>
      <c r="F516" s="136"/>
      <c r="G516" s="81"/>
      <c r="H516" s="81"/>
      <c r="I516" s="81"/>
      <c r="J516" s="81"/>
      <c r="K516" s="81"/>
      <c r="L516" s="81"/>
      <c r="M516" s="81"/>
      <c r="N516" s="81"/>
    </row>
    <row r="517" spans="1:14" ht="14.25" customHeight="1" x14ac:dyDescent="0.25">
      <c r="A517" s="134"/>
      <c r="B517" s="135"/>
      <c r="C517" s="135"/>
      <c r="D517" s="135"/>
      <c r="E517" s="135"/>
      <c r="F517" s="136"/>
      <c r="G517" s="81"/>
      <c r="H517" s="81"/>
      <c r="I517" s="81"/>
      <c r="J517" s="81"/>
      <c r="K517" s="81"/>
      <c r="L517" s="81"/>
      <c r="M517" s="81"/>
      <c r="N517" s="81"/>
    </row>
    <row r="518" spans="1:14" ht="14.25" customHeight="1" thickBot="1" x14ac:dyDescent="0.3">
      <c r="A518" s="81"/>
      <c r="B518" s="81"/>
      <c r="C518" s="81"/>
      <c r="D518" s="81"/>
      <c r="E518" s="81"/>
      <c r="F518" s="81"/>
      <c r="G518" s="81"/>
      <c r="H518" s="81"/>
      <c r="I518" s="81"/>
      <c r="J518" s="81"/>
      <c r="K518" s="81"/>
      <c r="L518" s="81"/>
      <c r="M518" s="81"/>
      <c r="N518" s="81"/>
    </row>
    <row r="519" spans="1:14" ht="14.25" customHeight="1" x14ac:dyDescent="0.25">
      <c r="A519" s="83"/>
      <c r="B519" s="84"/>
      <c r="C519" s="85"/>
      <c r="D519" s="86"/>
      <c r="E519" s="86"/>
      <c r="F519" s="87"/>
      <c r="G519" s="81"/>
      <c r="H519" s="81"/>
      <c r="I519" s="81"/>
      <c r="J519" s="81"/>
      <c r="K519" s="81"/>
      <c r="L519" s="81"/>
      <c r="M519" s="81"/>
      <c r="N519" s="81"/>
    </row>
    <row r="520" spans="1:14" ht="14.25" customHeight="1" x14ac:dyDescent="0.25">
      <c r="A520" s="599"/>
      <c r="B520" s="600"/>
      <c r="C520" s="600"/>
      <c r="D520" s="600"/>
      <c r="E520" s="600"/>
      <c r="F520" s="601"/>
      <c r="G520" s="81"/>
      <c r="H520" s="81"/>
      <c r="I520" s="81"/>
      <c r="J520" s="81"/>
      <c r="K520" s="81"/>
      <c r="L520" s="81"/>
      <c r="M520" s="81"/>
      <c r="N520" s="81"/>
    </row>
    <row r="521" spans="1:14" ht="14.25" customHeight="1" x14ac:dyDescent="0.25">
      <c r="A521" s="602" t="s">
        <v>561</v>
      </c>
      <c r="B521" s="600"/>
      <c r="C521" s="600"/>
      <c r="D521" s="600"/>
      <c r="E521" s="600"/>
      <c r="F521" s="601"/>
      <c r="G521" s="81"/>
      <c r="H521" s="81"/>
      <c r="I521" s="81"/>
      <c r="J521" s="81"/>
      <c r="K521" s="81"/>
      <c r="L521" s="81"/>
      <c r="M521" s="81"/>
      <c r="N521" s="81"/>
    </row>
    <row r="522" spans="1:14" ht="14.25" customHeight="1" thickBot="1" x14ac:dyDescent="0.3">
      <c r="A522" s="603"/>
      <c r="B522" s="604"/>
      <c r="C522" s="604"/>
      <c r="D522" s="604"/>
      <c r="E522" s="604"/>
      <c r="F522" s="605"/>
      <c r="G522" s="81"/>
      <c r="H522" s="81"/>
      <c r="I522" s="81"/>
      <c r="J522" s="81"/>
      <c r="K522" s="81"/>
      <c r="L522" s="81"/>
      <c r="M522" s="81"/>
      <c r="N522" s="81"/>
    </row>
    <row r="523" spans="1:14" ht="14.25" customHeight="1" x14ac:dyDescent="0.25">
      <c r="A523" s="88"/>
      <c r="B523" s="88"/>
      <c r="C523" s="89"/>
      <c r="D523" s="89"/>
      <c r="E523" s="89"/>
      <c r="F523" s="89"/>
      <c r="G523" s="81"/>
      <c r="H523" s="81"/>
      <c r="I523" s="81"/>
      <c r="J523" s="81"/>
      <c r="K523" s="81"/>
      <c r="L523" s="81"/>
      <c r="M523" s="81"/>
      <c r="N523" s="81"/>
    </row>
    <row r="524" spans="1:14" ht="42" customHeight="1" x14ac:dyDescent="0.25">
      <c r="A524" s="90" t="s">
        <v>47</v>
      </c>
      <c r="B524" s="613" t="s">
        <v>76</v>
      </c>
      <c r="C524" s="600"/>
      <c r="D524" s="600"/>
      <c r="E524" s="600"/>
      <c r="F524" s="600"/>
      <c r="G524" s="81"/>
      <c r="H524" s="81"/>
      <c r="I524" s="81"/>
      <c r="J524" s="81"/>
      <c r="K524" s="81"/>
      <c r="L524" s="81"/>
      <c r="M524" s="81"/>
      <c r="N524" s="81"/>
    </row>
    <row r="525" spans="1:14" ht="14.25" customHeight="1" x14ac:dyDescent="0.25">
      <c r="A525" s="91"/>
      <c r="B525" s="91"/>
      <c r="C525" s="91"/>
      <c r="D525" s="91"/>
      <c r="E525" s="91"/>
      <c r="F525" s="91"/>
      <c r="G525" s="81"/>
      <c r="H525" s="81"/>
      <c r="I525" s="81"/>
      <c r="J525" s="81"/>
      <c r="K525" s="81"/>
      <c r="L525" s="81"/>
      <c r="M525" s="81"/>
      <c r="N525" s="81"/>
    </row>
    <row r="526" spans="1:14" ht="14.25" customHeight="1" x14ac:dyDescent="0.25">
      <c r="A526" s="88" t="s">
        <v>49</v>
      </c>
      <c r="B526" s="92" t="s">
        <v>59</v>
      </c>
      <c r="C526" s="89"/>
      <c r="D526" s="89"/>
      <c r="E526" s="89"/>
      <c r="F526" s="93"/>
      <c r="G526" s="81"/>
      <c r="H526" s="81"/>
      <c r="I526" s="81"/>
      <c r="J526" s="81"/>
      <c r="K526" s="81"/>
      <c r="L526" s="81"/>
      <c r="M526" s="81"/>
      <c r="N526" s="81"/>
    </row>
    <row r="527" spans="1:14" ht="14.25" customHeight="1" x14ac:dyDescent="0.25">
      <c r="A527" s="88"/>
      <c r="B527" s="94"/>
      <c r="C527" s="89"/>
      <c r="D527" s="89"/>
      <c r="E527" s="89"/>
      <c r="F527" s="93"/>
      <c r="G527" s="81"/>
      <c r="H527" s="81"/>
      <c r="I527" s="81"/>
      <c r="J527" s="81"/>
      <c r="K527" s="81"/>
      <c r="L527" s="81"/>
      <c r="M527" s="81"/>
      <c r="N527" s="81"/>
    </row>
    <row r="528" spans="1:14" ht="14.25" customHeight="1" x14ac:dyDescent="0.25">
      <c r="A528" s="95" t="s">
        <v>562</v>
      </c>
      <c r="B528" s="96"/>
      <c r="C528" s="92"/>
      <c r="D528" s="92"/>
      <c r="E528" s="92"/>
      <c r="F528" s="92"/>
      <c r="G528" s="81"/>
      <c r="H528" s="81"/>
      <c r="I528" s="81"/>
      <c r="J528" s="81"/>
      <c r="K528" s="81"/>
      <c r="L528" s="81"/>
      <c r="M528" s="81"/>
      <c r="N528" s="81"/>
    </row>
    <row r="529" spans="1:14" ht="14.25" customHeight="1" x14ac:dyDescent="0.25">
      <c r="A529" s="97" t="s">
        <v>563</v>
      </c>
      <c r="B529" s="98" t="s">
        <v>564</v>
      </c>
      <c r="C529" s="98" t="s">
        <v>565</v>
      </c>
      <c r="D529" s="98" t="s">
        <v>566</v>
      </c>
      <c r="E529" s="98" t="s">
        <v>567</v>
      </c>
      <c r="F529" s="98" t="s">
        <v>568</v>
      </c>
      <c r="G529" s="81"/>
      <c r="H529" s="81"/>
      <c r="I529" s="81"/>
      <c r="J529" s="81"/>
      <c r="K529" s="81"/>
      <c r="L529" s="81"/>
      <c r="M529" s="81"/>
      <c r="N529" s="81"/>
    </row>
    <row r="530" spans="1:14" ht="14.25" customHeight="1" x14ac:dyDescent="0.25">
      <c r="A530" s="99" t="s">
        <v>606</v>
      </c>
      <c r="B530" s="100" t="s">
        <v>64</v>
      </c>
      <c r="C530" s="101">
        <v>7500</v>
      </c>
      <c r="D530" s="104">
        <v>0.13</v>
      </c>
      <c r="E530" s="102"/>
      <c r="F530" s="101">
        <f t="shared" ref="F530:F531" si="29">C530*(D530+(D530*E530))</f>
        <v>975</v>
      </c>
      <c r="G530" s="81"/>
      <c r="H530" s="81"/>
      <c r="I530" s="81"/>
      <c r="J530" s="81"/>
      <c r="K530" s="81"/>
      <c r="L530" s="81"/>
      <c r="M530" s="81"/>
      <c r="N530" s="81"/>
    </row>
    <row r="531" spans="1:14" ht="14.25" customHeight="1" x14ac:dyDescent="0.25">
      <c r="A531" s="99"/>
      <c r="B531" s="100"/>
      <c r="C531" s="101"/>
      <c r="D531" s="104"/>
      <c r="E531" s="102"/>
      <c r="F531" s="101">
        <f t="shared" si="29"/>
        <v>0</v>
      </c>
      <c r="G531" s="81"/>
      <c r="H531" s="81"/>
      <c r="I531" s="81"/>
      <c r="J531" s="81"/>
      <c r="K531" s="81"/>
      <c r="L531" s="81"/>
      <c r="M531" s="81"/>
      <c r="N531" s="81"/>
    </row>
    <row r="532" spans="1:14" ht="14.25" customHeight="1" x14ac:dyDescent="0.25">
      <c r="A532" s="103"/>
      <c r="B532" s="100"/>
      <c r="C532" s="101"/>
      <c r="D532" s="104"/>
      <c r="E532" s="102"/>
      <c r="F532" s="101"/>
      <c r="G532" s="81"/>
      <c r="H532" s="81"/>
      <c r="I532" s="81"/>
      <c r="J532" s="81"/>
      <c r="K532" s="81"/>
      <c r="L532" s="81"/>
      <c r="M532" s="81"/>
      <c r="N532" s="81"/>
    </row>
    <row r="533" spans="1:14" ht="14.25" customHeight="1" x14ac:dyDescent="0.25">
      <c r="A533" s="99"/>
      <c r="B533" s="100"/>
      <c r="C533" s="101"/>
      <c r="D533" s="104"/>
      <c r="E533" s="102"/>
      <c r="F533" s="101"/>
      <c r="G533" s="81"/>
      <c r="H533" s="81"/>
      <c r="I533" s="81"/>
      <c r="J533" s="81"/>
      <c r="K533" s="81"/>
      <c r="L533" s="81"/>
      <c r="M533" s="81"/>
      <c r="N533" s="81"/>
    </row>
    <row r="534" spans="1:14" ht="14.25" customHeight="1" x14ac:dyDescent="0.25">
      <c r="A534" s="99"/>
      <c r="B534" s="100"/>
      <c r="C534" s="106"/>
      <c r="D534" s="104"/>
      <c r="E534" s="102"/>
      <c r="F534" s="101"/>
      <c r="G534" s="81"/>
      <c r="H534" s="81"/>
      <c r="I534" s="81"/>
      <c r="J534" s="81"/>
      <c r="K534" s="81"/>
      <c r="L534" s="81"/>
      <c r="M534" s="81"/>
      <c r="N534" s="81"/>
    </row>
    <row r="535" spans="1:14" ht="14.25" customHeight="1" x14ac:dyDescent="0.25">
      <c r="A535" s="103"/>
      <c r="B535" s="100"/>
      <c r="C535" s="101"/>
      <c r="D535" s="105"/>
      <c r="E535" s="102"/>
      <c r="F535" s="101"/>
      <c r="G535" s="81"/>
      <c r="H535" s="81"/>
      <c r="I535" s="81"/>
      <c r="J535" s="81"/>
      <c r="K535" s="81"/>
      <c r="L535" s="81"/>
      <c r="M535" s="81"/>
      <c r="N535" s="81"/>
    </row>
    <row r="536" spans="1:14" ht="14.25" customHeight="1" x14ac:dyDescent="0.25">
      <c r="A536" s="99"/>
      <c r="B536" s="100"/>
      <c r="C536" s="106"/>
      <c r="D536" s="107"/>
      <c r="E536" s="108"/>
      <c r="F536" s="106"/>
      <c r="G536" s="81"/>
      <c r="H536" s="81"/>
      <c r="I536" s="81"/>
      <c r="J536" s="81"/>
      <c r="K536" s="81"/>
      <c r="L536" s="81"/>
      <c r="M536" s="81"/>
      <c r="N536" s="81"/>
    </row>
    <row r="537" spans="1:14" ht="14.25" customHeight="1" x14ac:dyDescent="0.25">
      <c r="A537" s="97" t="s">
        <v>548</v>
      </c>
      <c r="B537" s="97"/>
      <c r="C537" s="109"/>
      <c r="D537" s="110"/>
      <c r="E537" s="111"/>
      <c r="F537" s="112">
        <f>SUM(F530:F536)</f>
        <v>975</v>
      </c>
      <c r="G537" s="81"/>
      <c r="H537" s="81"/>
      <c r="I537" s="81"/>
      <c r="J537" s="81"/>
      <c r="K537" s="81"/>
      <c r="L537" s="81"/>
      <c r="M537" s="81"/>
      <c r="N537" s="81"/>
    </row>
    <row r="538" spans="1:14" ht="14.25" customHeight="1" x14ac:dyDescent="0.25">
      <c r="A538" s="88"/>
      <c r="B538" s="88"/>
      <c r="C538" s="113"/>
      <c r="D538" s="113"/>
      <c r="E538" s="114"/>
      <c r="F538" s="113"/>
      <c r="G538" s="81"/>
      <c r="H538" s="81"/>
      <c r="I538" s="81"/>
      <c r="J538" s="81"/>
      <c r="K538" s="81"/>
      <c r="L538" s="81"/>
      <c r="M538" s="81"/>
      <c r="N538" s="81"/>
    </row>
    <row r="539" spans="1:14" ht="14.25" customHeight="1" x14ac:dyDescent="0.25">
      <c r="A539" s="96" t="s">
        <v>573</v>
      </c>
      <c r="B539" s="96"/>
      <c r="C539" s="92"/>
      <c r="D539" s="92"/>
      <c r="E539" s="92"/>
      <c r="F539" s="92"/>
      <c r="G539" s="81"/>
      <c r="H539" s="81"/>
      <c r="I539" s="81"/>
      <c r="J539" s="81"/>
      <c r="K539" s="81"/>
      <c r="L539" s="81"/>
      <c r="M539" s="81"/>
      <c r="N539" s="81"/>
    </row>
    <row r="540" spans="1:14" ht="14.25" customHeight="1" x14ac:dyDescent="0.25">
      <c r="A540" s="611" t="s">
        <v>563</v>
      </c>
      <c r="B540" s="608"/>
      <c r="C540" s="609"/>
      <c r="D540" s="98" t="s">
        <v>574</v>
      </c>
      <c r="E540" s="98" t="s">
        <v>575</v>
      </c>
      <c r="F540" s="98" t="s">
        <v>568</v>
      </c>
      <c r="G540" s="81"/>
      <c r="H540" s="81"/>
      <c r="I540" s="81"/>
      <c r="J540" s="81"/>
      <c r="K540" s="81"/>
      <c r="L540" s="81"/>
      <c r="M540" s="81"/>
      <c r="N540" s="81"/>
    </row>
    <row r="541" spans="1:14" ht="14.25" customHeight="1" x14ac:dyDescent="0.25">
      <c r="A541" s="607" t="s">
        <v>577</v>
      </c>
      <c r="B541" s="608"/>
      <c r="C541" s="609"/>
      <c r="D541" s="116"/>
      <c r="E541" s="107"/>
      <c r="F541" s="106">
        <v>708</v>
      </c>
      <c r="G541" s="81"/>
      <c r="H541" s="81"/>
      <c r="I541" s="81"/>
      <c r="J541" s="81"/>
      <c r="K541" s="81"/>
      <c r="L541" s="81"/>
      <c r="M541" s="81"/>
      <c r="N541" s="81"/>
    </row>
    <row r="542" spans="1:14" ht="14.25" customHeight="1" x14ac:dyDescent="0.25">
      <c r="A542" s="607" t="s">
        <v>1316</v>
      </c>
      <c r="B542" s="608"/>
      <c r="C542" s="609"/>
      <c r="D542" s="142">
        <v>85000</v>
      </c>
      <c r="E542" s="107">
        <v>20</v>
      </c>
      <c r="F542" s="106">
        <f t="shared" ref="F542" si="30">D542/E542</f>
        <v>4250</v>
      </c>
      <c r="G542" s="81"/>
      <c r="H542" s="81"/>
      <c r="I542" s="81"/>
      <c r="J542" s="81"/>
      <c r="K542" s="81"/>
      <c r="L542" s="81"/>
      <c r="M542" s="81"/>
      <c r="N542" s="81"/>
    </row>
    <row r="543" spans="1:14" ht="14.25" customHeight="1" x14ac:dyDescent="0.25">
      <c r="A543" s="607"/>
      <c r="B543" s="608"/>
      <c r="C543" s="609"/>
      <c r="D543" s="142"/>
      <c r="E543" s="107"/>
      <c r="F543" s="106"/>
      <c r="G543" s="81"/>
      <c r="H543" s="81"/>
      <c r="I543" s="81"/>
      <c r="J543" s="81"/>
      <c r="K543" s="81"/>
      <c r="L543" s="81"/>
      <c r="M543" s="81"/>
      <c r="N543" s="81"/>
    </row>
    <row r="544" spans="1:14" ht="14.25" customHeight="1" x14ac:dyDescent="0.25">
      <c r="A544" s="610"/>
      <c r="B544" s="608"/>
      <c r="C544" s="609"/>
      <c r="D544" s="115"/>
      <c r="E544" s="107"/>
      <c r="F544" s="106"/>
      <c r="G544" s="81"/>
      <c r="H544" s="81"/>
      <c r="I544" s="81"/>
      <c r="J544" s="81"/>
      <c r="K544" s="81"/>
      <c r="L544" s="81"/>
      <c r="M544" s="81"/>
      <c r="N544" s="81"/>
    </row>
    <row r="545" spans="1:14" ht="14.25" customHeight="1" x14ac:dyDescent="0.25">
      <c r="A545" s="611" t="s">
        <v>548</v>
      </c>
      <c r="B545" s="608"/>
      <c r="C545" s="609"/>
      <c r="D545" s="110"/>
      <c r="E545" s="110"/>
      <c r="F545" s="112">
        <f>SUM(F541:F543)</f>
        <v>4958</v>
      </c>
      <c r="G545" s="81"/>
      <c r="H545" s="81"/>
      <c r="I545" s="81"/>
      <c r="J545" s="81"/>
      <c r="K545" s="81"/>
      <c r="L545" s="81"/>
      <c r="M545" s="81"/>
      <c r="N545" s="81"/>
    </row>
    <row r="546" spans="1:14" ht="14.25" customHeight="1" x14ac:dyDescent="0.25">
      <c r="A546" s="88"/>
      <c r="B546" s="88"/>
      <c r="C546" s="89"/>
      <c r="D546" s="113"/>
      <c r="E546" s="113"/>
      <c r="F546" s="113"/>
      <c r="G546" s="81"/>
      <c r="H546" s="81"/>
      <c r="I546" s="81"/>
      <c r="J546" s="81"/>
      <c r="K546" s="81"/>
      <c r="L546" s="81"/>
      <c r="M546" s="81"/>
      <c r="N546" s="81"/>
    </row>
    <row r="547" spans="1:14" ht="14.25" customHeight="1" x14ac:dyDescent="0.25">
      <c r="A547" s="96" t="s">
        <v>578</v>
      </c>
      <c r="B547" s="96"/>
      <c r="C547" s="92"/>
      <c r="D547" s="118"/>
      <c r="E547" s="118"/>
      <c r="F547" s="118"/>
      <c r="G547" s="81"/>
      <c r="H547" s="81"/>
      <c r="I547" s="81"/>
      <c r="J547" s="81"/>
      <c r="K547" s="81"/>
      <c r="L547" s="81"/>
      <c r="M547" s="81"/>
      <c r="N547" s="81"/>
    </row>
    <row r="548" spans="1:14" ht="14.25" customHeight="1" x14ac:dyDescent="0.25">
      <c r="A548" s="119" t="s">
        <v>563</v>
      </c>
      <c r="B548" s="120" t="s">
        <v>579</v>
      </c>
      <c r="C548" s="120" t="s">
        <v>580</v>
      </c>
      <c r="D548" s="121" t="s">
        <v>581</v>
      </c>
      <c r="E548" s="121" t="s">
        <v>575</v>
      </c>
      <c r="F548" s="121" t="s">
        <v>568</v>
      </c>
      <c r="G548" s="81"/>
      <c r="H548" s="81"/>
      <c r="I548" s="81"/>
      <c r="J548" s="81"/>
      <c r="K548" s="81"/>
      <c r="L548" s="81"/>
      <c r="M548" s="81"/>
      <c r="N548" s="81"/>
    </row>
    <row r="549" spans="1:14" ht="14.25" customHeight="1" x14ac:dyDescent="0.25">
      <c r="A549" s="122" t="s">
        <v>593</v>
      </c>
      <c r="B549" s="127">
        <v>1</v>
      </c>
      <c r="C549" s="101">
        <v>32688</v>
      </c>
      <c r="D549" s="101">
        <f t="shared" ref="D549:D550" si="31">+C549*1.7</f>
        <v>55569.599999999999</v>
      </c>
      <c r="E549" s="107">
        <v>26.94</v>
      </c>
      <c r="F549" s="106">
        <f t="shared" ref="F549:F550" si="32">+B549*(D549)/E549</f>
        <v>2062.7171492204898</v>
      </c>
      <c r="G549" s="81"/>
      <c r="H549" s="81"/>
      <c r="I549" s="81"/>
      <c r="J549" s="81"/>
      <c r="K549" s="81"/>
      <c r="L549" s="81"/>
      <c r="M549" s="81"/>
      <c r="N549" s="81"/>
    </row>
    <row r="550" spans="1:14" ht="14.25" customHeight="1" x14ac:dyDescent="0.25">
      <c r="A550" s="122" t="s">
        <v>594</v>
      </c>
      <c r="B550" s="127">
        <v>1</v>
      </c>
      <c r="C550" s="101">
        <v>52538</v>
      </c>
      <c r="D550" s="101">
        <f t="shared" si="31"/>
        <v>89314.599999999991</v>
      </c>
      <c r="E550" s="107">
        <f>+E549</f>
        <v>26.94</v>
      </c>
      <c r="F550" s="106">
        <f t="shared" si="32"/>
        <v>3315.3155159613952</v>
      </c>
      <c r="G550" s="81"/>
      <c r="H550" s="81"/>
      <c r="I550" s="81"/>
      <c r="J550" s="81"/>
      <c r="K550" s="81"/>
      <c r="L550" s="81"/>
      <c r="M550" s="81"/>
      <c r="N550" s="81"/>
    </row>
    <row r="551" spans="1:14" ht="14.25" customHeight="1" x14ac:dyDescent="0.25">
      <c r="A551" s="122"/>
      <c r="B551" s="127"/>
      <c r="C551" s="101"/>
      <c r="D551" s="101"/>
      <c r="E551" s="107"/>
      <c r="F551" s="106"/>
      <c r="G551" s="81"/>
      <c r="H551" s="81"/>
      <c r="I551" s="81"/>
      <c r="J551" s="81"/>
      <c r="K551" s="81"/>
      <c r="L551" s="81"/>
      <c r="M551" s="81"/>
      <c r="N551" s="81"/>
    </row>
    <row r="552" spans="1:14" ht="14.25" customHeight="1" x14ac:dyDescent="0.25">
      <c r="A552" s="122"/>
      <c r="B552" s="127"/>
      <c r="C552" s="101"/>
      <c r="D552" s="101"/>
      <c r="E552" s="125"/>
      <c r="F552" s="106"/>
      <c r="G552" s="81"/>
      <c r="H552" s="81"/>
      <c r="I552" s="81"/>
      <c r="J552" s="81"/>
      <c r="K552" s="81"/>
      <c r="L552" s="81"/>
      <c r="M552" s="81"/>
      <c r="N552" s="81"/>
    </row>
    <row r="553" spans="1:14" ht="14.25" customHeight="1" x14ac:dyDescent="0.25">
      <c r="A553" s="97" t="s">
        <v>548</v>
      </c>
      <c r="B553" s="128"/>
      <c r="C553" s="110"/>
      <c r="D553" s="110"/>
      <c r="E553" s="110"/>
      <c r="F553" s="112">
        <f>SUM(F549:F552)</f>
        <v>5378.032665181885</v>
      </c>
      <c r="G553" s="81"/>
      <c r="H553" s="81"/>
      <c r="I553" s="81"/>
      <c r="J553" s="81"/>
      <c r="K553" s="81"/>
      <c r="L553" s="81"/>
      <c r="M553" s="81"/>
      <c r="N553" s="81"/>
    </row>
    <row r="554" spans="1:14" ht="14.25" customHeight="1" x14ac:dyDescent="0.25">
      <c r="A554" s="96"/>
      <c r="B554" s="129"/>
      <c r="C554" s="118"/>
      <c r="D554" s="118"/>
      <c r="E554" s="118"/>
      <c r="F554" s="118"/>
      <c r="G554" s="81"/>
      <c r="H554" s="81"/>
      <c r="I554" s="81"/>
      <c r="J554" s="81"/>
      <c r="K554" s="81"/>
      <c r="L554" s="81"/>
      <c r="M554" s="81"/>
      <c r="N554" s="81"/>
    </row>
    <row r="555" spans="1:14" ht="14.25" customHeight="1" x14ac:dyDescent="0.25">
      <c r="A555" s="95" t="s">
        <v>583</v>
      </c>
      <c r="B555" s="96"/>
      <c r="C555" s="92"/>
      <c r="D555" s="92"/>
      <c r="E555" s="92" t="s">
        <v>584</v>
      </c>
      <c r="F555" s="92"/>
      <c r="G555" s="81"/>
      <c r="H555" s="81"/>
      <c r="I555" s="81"/>
      <c r="J555" s="81"/>
      <c r="K555" s="81"/>
      <c r="L555" s="81"/>
      <c r="M555" s="81"/>
      <c r="N555" s="81"/>
    </row>
    <row r="556" spans="1:14" ht="14.25" customHeight="1" x14ac:dyDescent="0.25">
      <c r="A556" s="97" t="s">
        <v>563</v>
      </c>
      <c r="B556" s="98" t="s">
        <v>564</v>
      </c>
      <c r="C556" s="98" t="s">
        <v>585</v>
      </c>
      <c r="D556" s="98" t="s">
        <v>586</v>
      </c>
      <c r="E556" s="120" t="s">
        <v>587</v>
      </c>
      <c r="F556" s="98" t="s">
        <v>568</v>
      </c>
      <c r="G556" s="81"/>
      <c r="H556" s="81"/>
      <c r="I556" s="81"/>
      <c r="J556" s="81"/>
      <c r="K556" s="81"/>
      <c r="L556" s="81"/>
      <c r="M556" s="81"/>
      <c r="N556" s="81"/>
    </row>
    <row r="557" spans="1:14" ht="14.25" customHeight="1" x14ac:dyDescent="0.25">
      <c r="A557" s="103" t="s">
        <v>1315</v>
      </c>
      <c r="B557" s="100" t="s">
        <v>551</v>
      </c>
      <c r="C557" s="101">
        <v>1000</v>
      </c>
      <c r="D557" s="140">
        <f>+D530</f>
        <v>0.13</v>
      </c>
      <c r="E557" s="107">
        <v>1</v>
      </c>
      <c r="F557" s="109">
        <f>+C557*D557*E557</f>
        <v>130</v>
      </c>
      <c r="G557" s="81"/>
      <c r="H557" s="81"/>
      <c r="I557" s="81"/>
      <c r="J557" s="81"/>
      <c r="K557" s="81"/>
      <c r="L557" s="81"/>
      <c r="M557" s="81"/>
      <c r="N557" s="81"/>
    </row>
    <row r="558" spans="1:14" ht="14.25" customHeight="1" x14ac:dyDescent="0.25">
      <c r="A558" s="103"/>
      <c r="B558" s="100"/>
      <c r="C558" s="107"/>
      <c r="D558" s="107"/>
      <c r="E558" s="108"/>
      <c r="F558" s="109"/>
      <c r="G558" s="81"/>
      <c r="H558" s="81"/>
      <c r="I558" s="81"/>
      <c r="J558" s="81"/>
      <c r="K558" s="81"/>
      <c r="L558" s="81"/>
      <c r="M558" s="81"/>
      <c r="N558" s="81"/>
    </row>
    <row r="559" spans="1:14" ht="14.25" customHeight="1" x14ac:dyDescent="0.25">
      <c r="A559" s="97" t="s">
        <v>548</v>
      </c>
      <c r="B559" s="98"/>
      <c r="C559" s="110"/>
      <c r="D559" s="110"/>
      <c r="E559" s="111"/>
      <c r="F559" s="112">
        <f>SUM(F557:F558)</f>
        <v>130</v>
      </c>
      <c r="G559" s="81"/>
      <c r="H559" s="81"/>
      <c r="I559" s="81"/>
      <c r="J559" s="81"/>
      <c r="K559" s="81"/>
      <c r="L559" s="81"/>
      <c r="M559" s="81"/>
      <c r="N559" s="81"/>
    </row>
    <row r="560" spans="1:14" ht="14.25" customHeight="1" x14ac:dyDescent="0.25">
      <c r="A560" s="88"/>
      <c r="B560" s="89"/>
      <c r="C560" s="113"/>
      <c r="D560" s="113"/>
      <c r="E560" s="114"/>
      <c r="F560" s="113"/>
      <c r="G560" s="81"/>
      <c r="H560" s="81"/>
      <c r="I560" s="81"/>
      <c r="J560" s="81"/>
      <c r="K560" s="81"/>
      <c r="L560" s="81"/>
      <c r="M560" s="81"/>
      <c r="N560" s="81"/>
    </row>
    <row r="561" spans="1:14" ht="14.25" customHeight="1" x14ac:dyDescent="0.25">
      <c r="A561" s="88"/>
      <c r="B561" s="89"/>
      <c r="C561" s="113"/>
      <c r="D561" s="113"/>
      <c r="E561" s="114"/>
      <c r="F561" s="113"/>
      <c r="G561" s="81"/>
      <c r="H561" s="81"/>
      <c r="I561" s="81"/>
      <c r="J561" s="81"/>
      <c r="K561" s="81"/>
      <c r="L561" s="81"/>
      <c r="M561" s="81"/>
      <c r="N561" s="81"/>
    </row>
    <row r="562" spans="1:14" ht="14.25" customHeight="1" x14ac:dyDescent="0.25">
      <c r="A562" s="612" t="s">
        <v>588</v>
      </c>
      <c r="B562" s="608"/>
      <c r="C562" s="608"/>
      <c r="D562" s="608"/>
      <c r="E562" s="609"/>
      <c r="F562" s="131">
        <f>ROUND(F537+F545+F553+F559,0)</f>
        <v>11441</v>
      </c>
      <c r="G562" s="81"/>
      <c r="H562" s="117">
        <f>+'Presupuesto Especifico'!F16-F562</f>
        <v>0</v>
      </c>
      <c r="I562" s="81"/>
      <c r="J562" s="81"/>
      <c r="K562" s="81"/>
      <c r="L562" s="81"/>
      <c r="M562" s="81"/>
      <c r="N562" s="81"/>
    </row>
    <row r="563" spans="1:14" ht="14.25" customHeight="1" x14ac:dyDescent="0.25">
      <c r="A563" s="612" t="s">
        <v>589</v>
      </c>
      <c r="B563" s="608"/>
      <c r="C563" s="608"/>
      <c r="D563" s="608"/>
      <c r="E563" s="609"/>
      <c r="F563" s="132"/>
      <c r="G563" s="81"/>
      <c r="H563" s="81"/>
      <c r="I563" s="81"/>
      <c r="J563" s="81"/>
      <c r="K563" s="81"/>
      <c r="L563" s="81"/>
      <c r="M563" s="81"/>
      <c r="N563" s="81"/>
    </row>
    <row r="564" spans="1:14" ht="14.25" customHeight="1" x14ac:dyDescent="0.25">
      <c r="A564" s="612" t="s">
        <v>556</v>
      </c>
      <c r="B564" s="608"/>
      <c r="C564" s="608"/>
      <c r="D564" s="608"/>
      <c r="E564" s="609"/>
      <c r="F564" s="133"/>
      <c r="G564" s="81"/>
      <c r="H564" s="81"/>
      <c r="I564" s="81"/>
      <c r="J564" s="81"/>
      <c r="K564" s="81"/>
      <c r="L564" s="81"/>
      <c r="M564" s="81"/>
      <c r="N564" s="81"/>
    </row>
    <row r="565" spans="1:14" ht="14.25" customHeight="1" x14ac:dyDescent="0.25">
      <c r="A565" s="134"/>
      <c r="B565" s="135"/>
      <c r="C565" s="135"/>
      <c r="D565" s="135"/>
      <c r="E565" s="135"/>
      <c r="F565" s="136"/>
      <c r="G565" s="81"/>
      <c r="H565" s="81"/>
      <c r="I565" s="81"/>
      <c r="J565" s="81"/>
      <c r="K565" s="81"/>
      <c r="L565" s="81"/>
      <c r="M565" s="81"/>
      <c r="N565" s="81"/>
    </row>
    <row r="566" spans="1:14" ht="14.25" customHeight="1" x14ac:dyDescent="0.25">
      <c r="A566" s="81"/>
      <c r="B566" s="81"/>
      <c r="C566" s="137"/>
      <c r="D566" s="81"/>
      <c r="E566" s="81"/>
      <c r="F566" s="81"/>
      <c r="G566" s="81"/>
      <c r="H566" s="143"/>
      <c r="I566" s="81"/>
      <c r="J566" s="81"/>
      <c r="K566" s="81"/>
      <c r="L566" s="81"/>
      <c r="M566" s="81"/>
      <c r="N566" s="81"/>
    </row>
    <row r="567" spans="1:14" ht="14.25" customHeight="1" x14ac:dyDescent="0.25">
      <c r="A567" s="81"/>
      <c r="B567" s="81"/>
      <c r="C567" s="137"/>
      <c r="D567" s="81"/>
      <c r="E567" s="81"/>
      <c r="F567" s="81"/>
      <c r="G567" s="81"/>
      <c r="H567" s="81"/>
      <c r="I567" s="81"/>
      <c r="J567" s="81"/>
      <c r="K567" s="81"/>
      <c r="L567" s="81"/>
      <c r="M567" s="81"/>
      <c r="N567" s="81"/>
    </row>
    <row r="568" spans="1:14" ht="14.25" customHeight="1" x14ac:dyDescent="0.25">
      <c r="A568" s="81"/>
      <c r="B568" s="81"/>
      <c r="C568" s="137"/>
      <c r="D568" s="81"/>
      <c r="E568" s="81"/>
      <c r="F568" s="81"/>
      <c r="G568" s="81"/>
      <c r="H568" s="81"/>
      <c r="I568" s="81"/>
      <c r="J568" s="81"/>
      <c r="K568" s="81"/>
      <c r="L568" s="81"/>
      <c r="M568" s="81"/>
      <c r="N568" s="81"/>
    </row>
    <row r="569" spans="1:14" ht="14.25" customHeight="1" x14ac:dyDescent="0.25">
      <c r="A569" s="81"/>
      <c r="B569" s="81"/>
      <c r="C569" s="137"/>
      <c r="D569" s="81"/>
      <c r="E569" s="81"/>
      <c r="F569" s="81"/>
      <c r="G569" s="81"/>
      <c r="H569" s="81"/>
      <c r="I569" s="81"/>
      <c r="J569" s="81"/>
      <c r="K569" s="81"/>
      <c r="L569" s="81"/>
      <c r="M569" s="81"/>
      <c r="N569" s="81"/>
    </row>
    <row r="570" spans="1:14" ht="14.25" customHeight="1" x14ac:dyDescent="0.25">
      <c r="A570" s="81"/>
      <c r="B570" s="81"/>
      <c r="C570" s="137"/>
      <c r="D570" s="81"/>
      <c r="E570" s="81"/>
      <c r="F570" s="81"/>
      <c r="G570" s="81"/>
      <c r="H570" s="81"/>
      <c r="I570" s="81"/>
      <c r="J570" s="81"/>
      <c r="K570" s="81"/>
      <c r="L570" s="81"/>
      <c r="M570" s="81"/>
      <c r="N570" s="81"/>
    </row>
    <row r="571" spans="1:14" ht="14.25" customHeight="1" x14ac:dyDescent="0.25">
      <c r="A571" s="81"/>
      <c r="B571" s="81"/>
      <c r="C571" s="137"/>
      <c r="D571" s="81"/>
      <c r="E571" s="81"/>
      <c r="F571" s="81"/>
      <c r="G571" s="81"/>
      <c r="H571" s="81"/>
      <c r="I571" s="81"/>
      <c r="J571" s="81"/>
      <c r="K571" s="81"/>
      <c r="L571" s="81"/>
      <c r="M571" s="81"/>
      <c r="N571" s="81"/>
    </row>
    <row r="572" spans="1:14" ht="14.25" customHeight="1" x14ac:dyDescent="0.25">
      <c r="A572" s="134"/>
      <c r="B572" s="135"/>
      <c r="C572" s="135"/>
      <c r="D572" s="135"/>
      <c r="E572" s="135"/>
      <c r="F572" s="136"/>
      <c r="G572" s="81"/>
      <c r="H572" s="81"/>
      <c r="I572" s="81"/>
      <c r="J572" s="81"/>
      <c r="K572" s="81"/>
      <c r="L572" s="81"/>
      <c r="M572" s="81"/>
      <c r="N572" s="81"/>
    </row>
    <row r="573" spans="1:14" ht="14.25" customHeight="1" x14ac:dyDescent="0.25">
      <c r="A573" s="134"/>
      <c r="B573" s="135"/>
      <c r="C573" s="135"/>
      <c r="D573" s="135"/>
      <c r="E573" s="135"/>
      <c r="F573" s="136"/>
      <c r="G573" s="81"/>
      <c r="H573" s="81"/>
      <c r="I573" s="81"/>
      <c r="J573" s="81"/>
      <c r="K573" s="81"/>
      <c r="L573" s="81"/>
      <c r="M573" s="81"/>
      <c r="N573" s="81"/>
    </row>
    <row r="574" spans="1:14" ht="14.25" customHeight="1" x14ac:dyDescent="0.25">
      <c r="A574" s="134"/>
      <c r="B574" s="135"/>
      <c r="C574" s="135"/>
      <c r="D574" s="135"/>
      <c r="E574" s="135"/>
      <c r="F574" s="136"/>
      <c r="G574" s="81"/>
      <c r="H574" s="81"/>
      <c r="I574" s="81"/>
      <c r="J574" s="81"/>
      <c r="K574" s="81"/>
      <c r="L574" s="81"/>
      <c r="M574" s="81"/>
      <c r="N574" s="81"/>
    </row>
    <row r="575" spans="1:14" ht="14.25" customHeight="1" thickBot="1" x14ac:dyDescent="0.3">
      <c r="A575" s="81"/>
      <c r="B575" s="81"/>
      <c r="C575" s="81"/>
      <c r="D575" s="81"/>
      <c r="E575" s="81"/>
      <c r="F575" s="81"/>
      <c r="G575" s="81"/>
      <c r="H575" s="81"/>
      <c r="I575" s="81"/>
      <c r="J575" s="81"/>
      <c r="K575" s="81"/>
      <c r="L575" s="81"/>
      <c r="M575" s="81"/>
      <c r="N575" s="81"/>
    </row>
    <row r="576" spans="1:14" ht="14.25" customHeight="1" x14ac:dyDescent="0.25">
      <c r="A576" s="83"/>
      <c r="B576" s="84"/>
      <c r="C576" s="85"/>
      <c r="D576" s="86"/>
      <c r="E576" s="86"/>
      <c r="F576" s="87"/>
      <c r="G576" s="81"/>
      <c r="H576" s="81"/>
      <c r="I576" s="81"/>
      <c r="J576" s="81"/>
      <c r="K576" s="81"/>
      <c r="L576" s="81"/>
      <c r="M576" s="81"/>
      <c r="N576" s="81"/>
    </row>
    <row r="577" spans="1:14" ht="14.25" customHeight="1" x14ac:dyDescent="0.25">
      <c r="A577" s="599"/>
      <c r="B577" s="600"/>
      <c r="C577" s="600"/>
      <c r="D577" s="600"/>
      <c r="E577" s="600"/>
      <c r="F577" s="601"/>
      <c r="G577" s="81"/>
      <c r="H577" s="81"/>
      <c r="I577" s="81"/>
      <c r="J577" s="81"/>
      <c r="K577" s="81"/>
      <c r="L577" s="81"/>
      <c r="M577" s="81"/>
      <c r="N577" s="81"/>
    </row>
    <row r="578" spans="1:14" ht="14.25" customHeight="1" x14ac:dyDescent="0.25">
      <c r="A578" s="602" t="s">
        <v>561</v>
      </c>
      <c r="B578" s="600"/>
      <c r="C578" s="600"/>
      <c r="D578" s="600"/>
      <c r="E578" s="600"/>
      <c r="F578" s="601"/>
      <c r="G578" s="81"/>
      <c r="H578" s="81"/>
      <c r="I578" s="81"/>
      <c r="J578" s="81"/>
      <c r="K578" s="81"/>
      <c r="L578" s="81"/>
      <c r="M578" s="81"/>
      <c r="N578" s="81"/>
    </row>
    <row r="579" spans="1:14" ht="14.25" customHeight="1" thickBot="1" x14ac:dyDescent="0.3">
      <c r="A579" s="603"/>
      <c r="B579" s="604"/>
      <c r="C579" s="604"/>
      <c r="D579" s="604"/>
      <c r="E579" s="604"/>
      <c r="F579" s="605"/>
      <c r="G579" s="81"/>
      <c r="H579" s="81"/>
      <c r="I579" s="81"/>
      <c r="J579" s="81"/>
      <c r="K579" s="81"/>
      <c r="L579" s="81"/>
      <c r="M579" s="81"/>
      <c r="N579" s="81"/>
    </row>
    <row r="580" spans="1:14" ht="14.25" customHeight="1" x14ac:dyDescent="0.25">
      <c r="A580" s="88"/>
      <c r="B580" s="88"/>
      <c r="C580" s="89"/>
      <c r="D580" s="89"/>
      <c r="E580" s="89"/>
      <c r="F580" s="89"/>
      <c r="G580" s="81"/>
      <c r="H580" s="81"/>
      <c r="I580" s="81"/>
      <c r="J580" s="81"/>
      <c r="K580" s="81"/>
      <c r="L580" s="81"/>
      <c r="M580" s="81"/>
      <c r="N580" s="81"/>
    </row>
    <row r="581" spans="1:14" ht="39.75" customHeight="1" x14ac:dyDescent="0.25">
      <c r="A581" s="90" t="s">
        <v>47</v>
      </c>
      <c r="B581" s="613" t="s">
        <v>78</v>
      </c>
      <c r="C581" s="600"/>
      <c r="D581" s="600"/>
      <c r="E581" s="600"/>
      <c r="F581" s="600"/>
      <c r="G581" s="81"/>
      <c r="H581" s="81"/>
      <c r="I581" s="81"/>
      <c r="J581" s="81"/>
      <c r="K581" s="81"/>
      <c r="L581" s="81"/>
      <c r="M581" s="81"/>
      <c r="N581" s="81"/>
    </row>
    <row r="582" spans="1:14" ht="14.25" customHeight="1" x14ac:dyDescent="0.25">
      <c r="A582" s="91"/>
      <c r="B582" s="91"/>
      <c r="C582" s="91"/>
      <c r="D582" s="91"/>
      <c r="E582" s="91"/>
      <c r="F582" s="91"/>
      <c r="G582" s="81"/>
      <c r="H582" s="81"/>
      <c r="I582" s="81"/>
      <c r="J582" s="81"/>
      <c r="K582" s="81"/>
      <c r="L582" s="81"/>
      <c r="M582" s="81"/>
      <c r="N582" s="81"/>
    </row>
    <row r="583" spans="1:14" ht="14.25" customHeight="1" x14ac:dyDescent="0.25">
      <c r="A583" s="88" t="s">
        <v>49</v>
      </c>
      <c r="B583" s="92" t="s">
        <v>64</v>
      </c>
      <c r="C583" s="89"/>
      <c r="D583" s="89"/>
      <c r="E583" s="89"/>
      <c r="F583" s="93"/>
      <c r="G583" s="81"/>
      <c r="H583" s="81"/>
      <c r="I583" s="81"/>
      <c r="J583" s="81"/>
      <c r="K583" s="81"/>
      <c r="L583" s="81"/>
      <c r="M583" s="81"/>
      <c r="N583" s="81"/>
    </row>
    <row r="584" spans="1:14" ht="14.25" customHeight="1" x14ac:dyDescent="0.25">
      <c r="A584" s="88"/>
      <c r="B584" s="94"/>
      <c r="C584" s="89"/>
      <c r="D584" s="89"/>
      <c r="E584" s="89"/>
      <c r="F584" s="93"/>
      <c r="G584" s="81"/>
      <c r="H584" s="81"/>
      <c r="I584" s="81"/>
      <c r="J584" s="81"/>
      <c r="K584" s="81"/>
      <c r="L584" s="81"/>
      <c r="M584" s="81"/>
      <c r="N584" s="81"/>
    </row>
    <row r="585" spans="1:14" ht="14.25" customHeight="1" x14ac:dyDescent="0.25">
      <c r="A585" s="95" t="s">
        <v>562</v>
      </c>
      <c r="B585" s="96"/>
      <c r="C585" s="92"/>
      <c r="D585" s="92"/>
      <c r="E585" s="92"/>
      <c r="F585" s="92"/>
      <c r="G585" s="81"/>
      <c r="H585" s="81"/>
      <c r="I585" s="81"/>
      <c r="J585" s="81"/>
      <c r="K585" s="81"/>
      <c r="L585" s="81"/>
      <c r="M585" s="81"/>
      <c r="N585" s="81"/>
    </row>
    <row r="586" spans="1:14" ht="14.25" customHeight="1" x14ac:dyDescent="0.25">
      <c r="A586" s="97" t="s">
        <v>563</v>
      </c>
      <c r="B586" s="98" t="s">
        <v>564</v>
      </c>
      <c r="C586" s="98" t="s">
        <v>565</v>
      </c>
      <c r="D586" s="98" t="s">
        <v>566</v>
      </c>
      <c r="E586" s="98" t="s">
        <v>567</v>
      </c>
      <c r="F586" s="98" t="s">
        <v>568</v>
      </c>
      <c r="G586" s="81"/>
      <c r="H586" s="81"/>
      <c r="I586" s="81"/>
      <c r="J586" s="81"/>
      <c r="K586" s="81"/>
      <c r="L586" s="81"/>
      <c r="M586" s="81"/>
      <c r="N586" s="81"/>
    </row>
    <row r="587" spans="1:14" ht="14.25" customHeight="1" x14ac:dyDescent="0.25">
      <c r="A587" s="99" t="s">
        <v>606</v>
      </c>
      <c r="B587" s="100" t="s">
        <v>64</v>
      </c>
      <c r="C587" s="101">
        <v>7500</v>
      </c>
      <c r="D587" s="104">
        <v>1.3</v>
      </c>
      <c r="E587" s="102"/>
      <c r="F587" s="101">
        <f t="shared" ref="F587:F588" si="33">C587*(D587+(D587*E587))</f>
        <v>9750</v>
      </c>
      <c r="G587" s="81"/>
      <c r="H587" s="81"/>
      <c r="I587" s="81"/>
      <c r="J587" s="81"/>
      <c r="K587" s="81"/>
      <c r="L587" s="81"/>
      <c r="M587" s="81"/>
      <c r="N587" s="81"/>
    </row>
    <row r="588" spans="1:14" ht="14.25" customHeight="1" x14ac:dyDescent="0.25">
      <c r="A588" s="99"/>
      <c r="B588" s="100"/>
      <c r="C588" s="101"/>
      <c r="D588" s="104"/>
      <c r="E588" s="102"/>
      <c r="F588" s="101">
        <f t="shared" si="33"/>
        <v>0</v>
      </c>
      <c r="G588" s="81"/>
      <c r="H588" s="81"/>
      <c r="I588" s="81"/>
      <c r="J588" s="81"/>
      <c r="K588" s="81"/>
      <c r="L588" s="81"/>
      <c r="M588" s="81"/>
      <c r="N588" s="81"/>
    </row>
    <row r="589" spans="1:14" ht="14.25" customHeight="1" x14ac:dyDescent="0.25">
      <c r="A589" s="103"/>
      <c r="B589" s="100"/>
      <c r="C589" s="101"/>
      <c r="D589" s="104"/>
      <c r="E589" s="102"/>
      <c r="F589" s="101"/>
      <c r="G589" s="81"/>
      <c r="H589" s="81"/>
      <c r="I589" s="81"/>
      <c r="J589" s="81"/>
      <c r="K589" s="81"/>
      <c r="L589" s="81"/>
      <c r="M589" s="81"/>
      <c r="N589" s="81"/>
    </row>
    <row r="590" spans="1:14" ht="14.25" customHeight="1" x14ac:dyDescent="0.25">
      <c r="A590" s="99"/>
      <c r="B590" s="100"/>
      <c r="C590" s="101"/>
      <c r="D590" s="104"/>
      <c r="E590" s="102"/>
      <c r="F590" s="101"/>
      <c r="G590" s="81"/>
      <c r="H590" s="81"/>
      <c r="I590" s="81"/>
      <c r="J590" s="81"/>
      <c r="K590" s="81"/>
      <c r="L590" s="81"/>
      <c r="M590" s="81"/>
      <c r="N590" s="81"/>
    </row>
    <row r="591" spans="1:14" ht="14.25" customHeight="1" x14ac:dyDescent="0.25">
      <c r="A591" s="99"/>
      <c r="B591" s="100"/>
      <c r="C591" s="106"/>
      <c r="D591" s="104"/>
      <c r="E591" s="102"/>
      <c r="F591" s="101"/>
      <c r="G591" s="81"/>
      <c r="H591" s="81"/>
      <c r="I591" s="81"/>
      <c r="J591" s="81"/>
      <c r="K591" s="81"/>
      <c r="L591" s="81"/>
      <c r="M591" s="81"/>
      <c r="N591" s="81"/>
    </row>
    <row r="592" spans="1:14" ht="14.25" customHeight="1" x14ac:dyDescent="0.25">
      <c r="A592" s="103"/>
      <c r="B592" s="100"/>
      <c r="C592" s="101"/>
      <c r="D592" s="105"/>
      <c r="E592" s="102"/>
      <c r="F592" s="101"/>
      <c r="G592" s="81"/>
      <c r="H592" s="81"/>
      <c r="I592" s="81"/>
      <c r="J592" s="81"/>
      <c r="K592" s="81"/>
      <c r="L592" s="81"/>
      <c r="M592" s="81"/>
      <c r="N592" s="81"/>
    </row>
    <row r="593" spans="1:14" ht="14.25" customHeight="1" x14ac:dyDescent="0.25">
      <c r="A593" s="99"/>
      <c r="B593" s="100"/>
      <c r="C593" s="106"/>
      <c r="D593" s="107"/>
      <c r="E593" s="108"/>
      <c r="F593" s="106"/>
      <c r="G593" s="81"/>
      <c r="H593" s="81"/>
      <c r="I593" s="81"/>
      <c r="J593" s="81"/>
      <c r="K593" s="81"/>
      <c r="L593" s="81"/>
      <c r="M593" s="81"/>
      <c r="N593" s="81"/>
    </row>
    <row r="594" spans="1:14" ht="14.25" customHeight="1" x14ac:dyDescent="0.25">
      <c r="A594" s="97" t="s">
        <v>548</v>
      </c>
      <c r="B594" s="97"/>
      <c r="C594" s="109"/>
      <c r="D594" s="110"/>
      <c r="E594" s="111"/>
      <c r="F594" s="112">
        <f>SUM(F587:F593)</f>
        <v>9750</v>
      </c>
      <c r="G594" s="81"/>
      <c r="H594" s="81"/>
      <c r="I594" s="81"/>
      <c r="J594" s="81"/>
      <c r="K594" s="81"/>
      <c r="L594" s="81"/>
      <c r="M594" s="81"/>
      <c r="N594" s="81"/>
    </row>
    <row r="595" spans="1:14" ht="14.25" customHeight="1" x14ac:dyDescent="0.25">
      <c r="A595" s="88"/>
      <c r="B595" s="88"/>
      <c r="C595" s="113"/>
      <c r="D595" s="113"/>
      <c r="E595" s="114"/>
      <c r="F595" s="113"/>
      <c r="G595" s="81"/>
      <c r="H595" s="81"/>
      <c r="I595" s="81"/>
      <c r="J595" s="81"/>
      <c r="K595" s="81"/>
      <c r="L595" s="81"/>
      <c r="M595" s="81"/>
      <c r="N595" s="81"/>
    </row>
    <row r="596" spans="1:14" ht="14.25" customHeight="1" x14ac:dyDescent="0.25">
      <c r="A596" s="96" t="s">
        <v>573</v>
      </c>
      <c r="B596" s="96"/>
      <c r="C596" s="92"/>
      <c r="D596" s="92"/>
      <c r="E596" s="92"/>
      <c r="F596" s="92"/>
      <c r="G596" s="81"/>
      <c r="H596" s="81"/>
      <c r="I596" s="81"/>
      <c r="J596" s="81"/>
      <c r="K596" s="81"/>
      <c r="L596" s="81"/>
      <c r="M596" s="81"/>
      <c r="N596" s="81"/>
    </row>
    <row r="597" spans="1:14" ht="14.25" customHeight="1" x14ac:dyDescent="0.25">
      <c r="A597" s="611" t="s">
        <v>563</v>
      </c>
      <c r="B597" s="608"/>
      <c r="C597" s="609"/>
      <c r="D597" s="98" t="s">
        <v>574</v>
      </c>
      <c r="E597" s="98" t="s">
        <v>575</v>
      </c>
      <c r="F597" s="98" t="s">
        <v>568</v>
      </c>
      <c r="G597" s="81"/>
      <c r="H597" s="81"/>
      <c r="I597" s="81"/>
      <c r="J597" s="81"/>
      <c r="K597" s="81"/>
      <c r="L597" s="81"/>
      <c r="M597" s="81"/>
      <c r="N597" s="81"/>
    </row>
    <row r="598" spans="1:14" ht="14.25" customHeight="1" x14ac:dyDescent="0.25">
      <c r="A598" s="607" t="s">
        <v>577</v>
      </c>
      <c r="B598" s="608"/>
      <c r="C598" s="609"/>
      <c r="D598" s="116"/>
      <c r="E598" s="107"/>
      <c r="F598" s="106">
        <v>126</v>
      </c>
      <c r="G598" s="81"/>
      <c r="H598" s="81"/>
      <c r="I598" s="81"/>
      <c r="J598" s="81"/>
      <c r="K598" s="81"/>
      <c r="L598" s="81"/>
      <c r="M598" s="81"/>
      <c r="N598" s="81"/>
    </row>
    <row r="599" spans="1:14" ht="14.25" customHeight="1" x14ac:dyDescent="0.25">
      <c r="A599" s="607" t="s">
        <v>1316</v>
      </c>
      <c r="B599" s="608"/>
      <c r="C599" s="609"/>
      <c r="D599" s="142">
        <v>85000</v>
      </c>
      <c r="E599" s="107">
        <v>15</v>
      </c>
      <c r="F599" s="106">
        <f t="shared" ref="F599" si="34">D599/E599</f>
        <v>5666.666666666667</v>
      </c>
      <c r="G599" s="81"/>
      <c r="H599" s="81"/>
      <c r="I599" s="81"/>
      <c r="J599" s="81"/>
      <c r="K599" s="81"/>
      <c r="L599" s="81"/>
      <c r="M599" s="81"/>
      <c r="N599" s="81"/>
    </row>
    <row r="600" spans="1:14" ht="14.25" customHeight="1" x14ac:dyDescent="0.25">
      <c r="A600" s="607"/>
      <c r="B600" s="608"/>
      <c r="C600" s="609"/>
      <c r="D600" s="142"/>
      <c r="E600" s="107"/>
      <c r="F600" s="106"/>
      <c r="G600" s="81"/>
      <c r="H600" s="81"/>
      <c r="I600" s="81"/>
      <c r="J600" s="81"/>
      <c r="K600" s="81"/>
      <c r="L600" s="81"/>
      <c r="M600" s="81"/>
      <c r="N600" s="81"/>
    </row>
    <row r="601" spans="1:14" ht="14.25" customHeight="1" x14ac:dyDescent="0.25">
      <c r="A601" s="610"/>
      <c r="B601" s="608"/>
      <c r="C601" s="609"/>
      <c r="D601" s="115"/>
      <c r="E601" s="107"/>
      <c r="F601" s="106"/>
      <c r="G601" s="81"/>
      <c r="H601" s="81"/>
      <c r="I601" s="81"/>
      <c r="J601" s="81"/>
      <c r="K601" s="81"/>
      <c r="L601" s="81"/>
      <c r="M601" s="81"/>
      <c r="N601" s="81"/>
    </row>
    <row r="602" spans="1:14" ht="14.25" customHeight="1" x14ac:dyDescent="0.25">
      <c r="A602" s="611" t="s">
        <v>548</v>
      </c>
      <c r="B602" s="608"/>
      <c r="C602" s="609"/>
      <c r="D602" s="110"/>
      <c r="E602" s="110"/>
      <c r="F602" s="112">
        <f>SUM(F598:F600)</f>
        <v>5792.666666666667</v>
      </c>
      <c r="G602" s="81"/>
      <c r="H602" s="81"/>
      <c r="I602" s="81"/>
      <c r="J602" s="81"/>
      <c r="K602" s="81"/>
      <c r="L602" s="81"/>
      <c r="M602" s="81"/>
      <c r="N602" s="81"/>
    </row>
    <row r="603" spans="1:14" ht="14.25" customHeight="1" x14ac:dyDescent="0.25">
      <c r="A603" s="88"/>
      <c r="B603" s="88"/>
      <c r="C603" s="89"/>
      <c r="D603" s="113"/>
      <c r="E603" s="113"/>
      <c r="F603" s="113"/>
      <c r="G603" s="81"/>
      <c r="H603" s="81"/>
      <c r="I603" s="81"/>
      <c r="J603" s="81"/>
      <c r="K603" s="81"/>
      <c r="L603" s="81"/>
      <c r="M603" s="81"/>
      <c r="N603" s="81"/>
    </row>
    <row r="604" spans="1:14" ht="14.25" customHeight="1" x14ac:dyDescent="0.25">
      <c r="A604" s="96" t="s">
        <v>578</v>
      </c>
      <c r="B604" s="96"/>
      <c r="C604" s="92"/>
      <c r="D604" s="118"/>
      <c r="E604" s="118"/>
      <c r="F604" s="118"/>
      <c r="G604" s="81"/>
      <c r="H604" s="81"/>
      <c r="I604" s="81"/>
      <c r="J604" s="81"/>
      <c r="K604" s="81"/>
      <c r="L604" s="81"/>
      <c r="M604" s="81"/>
      <c r="N604" s="81"/>
    </row>
    <row r="605" spans="1:14" ht="14.25" customHeight="1" x14ac:dyDescent="0.25">
      <c r="A605" s="119" t="s">
        <v>563</v>
      </c>
      <c r="B605" s="120" t="s">
        <v>579</v>
      </c>
      <c r="C605" s="120" t="s">
        <v>580</v>
      </c>
      <c r="D605" s="121" t="s">
        <v>581</v>
      </c>
      <c r="E605" s="121" t="s">
        <v>575</v>
      </c>
      <c r="F605" s="121" t="s">
        <v>568</v>
      </c>
      <c r="G605" s="81"/>
      <c r="H605" s="81"/>
      <c r="I605" s="81"/>
      <c r="J605" s="81"/>
      <c r="K605" s="81"/>
      <c r="L605" s="81"/>
      <c r="M605" s="81"/>
      <c r="N605" s="81"/>
    </row>
    <row r="606" spans="1:14" ht="14.25" customHeight="1" x14ac:dyDescent="0.25">
      <c r="A606" s="122" t="s">
        <v>593</v>
      </c>
      <c r="B606" s="127">
        <v>2</v>
      </c>
      <c r="C606" s="101">
        <v>32688</v>
      </c>
      <c r="D606" s="101">
        <f t="shared" ref="D606:D607" si="35">+C606*1.7</f>
        <v>55569.599999999999</v>
      </c>
      <c r="E606" s="107">
        <f>E599*8/2</f>
        <v>60</v>
      </c>
      <c r="F606" s="106">
        <f t="shared" ref="F606:F607" si="36">+B606*(D606)/E606</f>
        <v>1852.32</v>
      </c>
      <c r="G606" s="81"/>
      <c r="H606" s="81"/>
      <c r="I606" s="81"/>
      <c r="J606" s="81"/>
      <c r="K606" s="81"/>
      <c r="L606" s="81"/>
      <c r="M606" s="81"/>
      <c r="N606" s="81"/>
    </row>
    <row r="607" spans="1:14" ht="14.25" customHeight="1" x14ac:dyDescent="0.25">
      <c r="A607" s="122" t="s">
        <v>594</v>
      </c>
      <c r="B607" s="127">
        <v>1</v>
      </c>
      <c r="C607" s="101">
        <v>52538</v>
      </c>
      <c r="D607" s="101">
        <f t="shared" si="35"/>
        <v>89314.599999999991</v>
      </c>
      <c r="E607" s="107">
        <f>+E606</f>
        <v>60</v>
      </c>
      <c r="F607" s="106">
        <f t="shared" si="36"/>
        <v>1488.5766666666666</v>
      </c>
      <c r="G607" s="81"/>
      <c r="H607" s="81"/>
      <c r="I607" s="81"/>
      <c r="J607" s="81"/>
      <c r="K607" s="81"/>
      <c r="L607" s="81"/>
      <c r="M607" s="81"/>
      <c r="N607" s="81"/>
    </row>
    <row r="608" spans="1:14" ht="14.25" customHeight="1" x14ac:dyDescent="0.25">
      <c r="A608" s="122"/>
      <c r="B608" s="127"/>
      <c r="C608" s="101"/>
      <c r="D608" s="101"/>
      <c r="E608" s="107"/>
      <c r="F608" s="106"/>
      <c r="G608" s="81"/>
      <c r="H608" s="81"/>
      <c r="I608" s="81"/>
      <c r="J608" s="81"/>
      <c r="K608" s="81"/>
      <c r="L608" s="81"/>
      <c r="M608" s="81"/>
      <c r="N608" s="81"/>
    </row>
    <row r="609" spans="1:14" ht="14.25" customHeight="1" x14ac:dyDescent="0.25">
      <c r="A609" s="122"/>
      <c r="B609" s="127"/>
      <c r="C609" s="101"/>
      <c r="D609" s="101"/>
      <c r="E609" s="125"/>
      <c r="F609" s="106"/>
      <c r="G609" s="81"/>
      <c r="H609" s="81"/>
      <c r="I609" s="81"/>
      <c r="J609" s="81"/>
      <c r="K609" s="81"/>
      <c r="L609" s="81"/>
      <c r="M609" s="81"/>
      <c r="N609" s="81"/>
    </row>
    <row r="610" spans="1:14" ht="14.25" customHeight="1" x14ac:dyDescent="0.25">
      <c r="A610" s="97" t="s">
        <v>548</v>
      </c>
      <c r="B610" s="128"/>
      <c r="C610" s="110"/>
      <c r="D610" s="110"/>
      <c r="E610" s="110"/>
      <c r="F610" s="112">
        <f>SUM(F606:F609)</f>
        <v>3340.8966666666665</v>
      </c>
      <c r="G610" s="81"/>
      <c r="H610" s="81"/>
      <c r="I610" s="81"/>
      <c r="J610" s="81"/>
      <c r="K610" s="81"/>
      <c r="L610" s="81"/>
      <c r="M610" s="81"/>
      <c r="N610" s="81"/>
    </row>
    <row r="611" spans="1:14" ht="14.25" customHeight="1" x14ac:dyDescent="0.25">
      <c r="A611" s="96"/>
      <c r="B611" s="129"/>
      <c r="C611" s="118"/>
      <c r="D611" s="118"/>
      <c r="E611" s="118"/>
      <c r="F611" s="118"/>
      <c r="G611" s="81"/>
      <c r="H611" s="81"/>
      <c r="I611" s="81"/>
      <c r="J611" s="81"/>
      <c r="K611" s="81"/>
      <c r="L611" s="81"/>
      <c r="M611" s="81"/>
      <c r="N611" s="81"/>
    </row>
    <row r="612" spans="1:14" ht="14.25" customHeight="1" x14ac:dyDescent="0.25">
      <c r="A612" s="95" t="s">
        <v>583</v>
      </c>
      <c r="B612" s="96"/>
      <c r="C612" s="92"/>
      <c r="D612" s="92"/>
      <c r="E612" s="92" t="s">
        <v>584</v>
      </c>
      <c r="F612" s="92"/>
      <c r="G612" s="81"/>
      <c r="H612" s="81"/>
      <c r="I612" s="81"/>
      <c r="J612" s="81"/>
      <c r="K612" s="81"/>
      <c r="L612" s="81"/>
      <c r="M612" s="81"/>
      <c r="N612" s="81"/>
    </row>
    <row r="613" spans="1:14" ht="14.25" customHeight="1" x14ac:dyDescent="0.25">
      <c r="A613" s="97" t="s">
        <v>563</v>
      </c>
      <c r="B613" s="98" t="s">
        <v>564</v>
      </c>
      <c r="C613" s="98" t="s">
        <v>585</v>
      </c>
      <c r="D613" s="98" t="s">
        <v>586</v>
      </c>
      <c r="E613" s="120" t="s">
        <v>587</v>
      </c>
      <c r="F613" s="98" t="s">
        <v>568</v>
      </c>
      <c r="G613" s="81"/>
      <c r="H613" s="81"/>
      <c r="I613" s="81"/>
      <c r="J613" s="81"/>
      <c r="K613" s="81"/>
      <c r="L613" s="81"/>
      <c r="M613" s="81"/>
      <c r="N613" s="81"/>
    </row>
    <row r="614" spans="1:14" ht="14.25" customHeight="1" x14ac:dyDescent="0.25">
      <c r="A614" s="103" t="s">
        <v>1315</v>
      </c>
      <c r="B614" s="100" t="s">
        <v>551</v>
      </c>
      <c r="C614" s="101">
        <v>1000</v>
      </c>
      <c r="D614" s="140">
        <f>+D587</f>
        <v>1.3</v>
      </c>
      <c r="E614" s="107">
        <v>1</v>
      </c>
      <c r="F614" s="109">
        <f>+C614*D614*E614</f>
        <v>1300</v>
      </c>
      <c r="G614" s="81"/>
      <c r="H614" s="81"/>
      <c r="I614" s="81"/>
      <c r="J614" s="81"/>
      <c r="K614" s="81"/>
      <c r="L614" s="81"/>
      <c r="M614" s="81"/>
      <c r="N614" s="81"/>
    </row>
    <row r="615" spans="1:14" ht="14.25" customHeight="1" x14ac:dyDescent="0.25">
      <c r="A615" s="103"/>
      <c r="B615" s="100"/>
      <c r="C615" s="107"/>
      <c r="D615" s="107"/>
      <c r="E615" s="108"/>
      <c r="F615" s="109"/>
      <c r="G615" s="81"/>
      <c r="H615" s="81"/>
      <c r="I615" s="81"/>
      <c r="J615" s="81"/>
      <c r="K615" s="81"/>
      <c r="L615" s="81"/>
      <c r="M615" s="81"/>
      <c r="N615" s="81"/>
    </row>
    <row r="616" spans="1:14" ht="14.25" customHeight="1" x14ac:dyDescent="0.25">
      <c r="A616" s="97" t="s">
        <v>548</v>
      </c>
      <c r="B616" s="98"/>
      <c r="C616" s="110"/>
      <c r="D616" s="110"/>
      <c r="E616" s="111"/>
      <c r="F616" s="112">
        <f>SUM(F614:F615)</f>
        <v>1300</v>
      </c>
      <c r="G616" s="81"/>
      <c r="H616" s="81"/>
      <c r="I616" s="81"/>
      <c r="J616" s="81"/>
      <c r="K616" s="81"/>
      <c r="L616" s="81"/>
      <c r="M616" s="81"/>
      <c r="N616" s="81"/>
    </row>
    <row r="617" spans="1:14" ht="14.25" customHeight="1" x14ac:dyDescent="0.25">
      <c r="A617" s="88"/>
      <c r="B617" s="89"/>
      <c r="C617" s="113"/>
      <c r="D617" s="113"/>
      <c r="E617" s="114"/>
      <c r="F617" s="113"/>
      <c r="G617" s="81"/>
      <c r="H617" s="81"/>
      <c r="I617" s="81"/>
      <c r="J617" s="81"/>
      <c r="K617" s="81"/>
      <c r="L617" s="81"/>
      <c r="M617" s="81"/>
      <c r="N617" s="81"/>
    </row>
    <row r="618" spans="1:14" ht="14.25" customHeight="1" x14ac:dyDescent="0.25">
      <c r="A618" s="88"/>
      <c r="B618" s="89"/>
      <c r="C618" s="113"/>
      <c r="D618" s="113"/>
      <c r="E618" s="114"/>
      <c r="F618" s="113"/>
      <c r="G618" s="81"/>
      <c r="H618" s="81"/>
      <c r="I618" s="81"/>
      <c r="J618" s="81"/>
      <c r="K618" s="81"/>
      <c r="L618" s="81"/>
      <c r="M618" s="81"/>
      <c r="N618" s="81"/>
    </row>
    <row r="619" spans="1:14" ht="14.25" customHeight="1" x14ac:dyDescent="0.25">
      <c r="A619" s="612" t="s">
        <v>588</v>
      </c>
      <c r="B619" s="608"/>
      <c r="C619" s="608"/>
      <c r="D619" s="608"/>
      <c r="E619" s="609"/>
      <c r="F619" s="131">
        <f>ROUND(F594+F602+F610+F616,0)</f>
        <v>20184</v>
      </c>
      <c r="G619" s="81"/>
      <c r="H619" s="117">
        <f>'Presupuesto Especifico'!F17-F619</f>
        <v>0</v>
      </c>
      <c r="I619" s="81"/>
      <c r="J619" s="81"/>
      <c r="K619" s="81"/>
      <c r="L619" s="81"/>
      <c r="M619" s="81"/>
      <c r="N619" s="81"/>
    </row>
    <row r="620" spans="1:14" ht="14.25" customHeight="1" x14ac:dyDescent="0.25">
      <c r="A620" s="612" t="s">
        <v>589</v>
      </c>
      <c r="B620" s="608"/>
      <c r="C620" s="608"/>
      <c r="D620" s="608"/>
      <c r="E620" s="609"/>
      <c r="F620" s="132"/>
      <c r="G620" s="81"/>
      <c r="H620" s="81"/>
      <c r="I620" s="81"/>
      <c r="J620" s="81"/>
      <c r="K620" s="81"/>
      <c r="L620" s="81"/>
      <c r="M620" s="81"/>
      <c r="N620" s="81"/>
    </row>
    <row r="621" spans="1:14" ht="14.25" customHeight="1" x14ac:dyDescent="0.25">
      <c r="A621" s="612" t="s">
        <v>556</v>
      </c>
      <c r="B621" s="608"/>
      <c r="C621" s="608"/>
      <c r="D621" s="608"/>
      <c r="E621" s="609"/>
      <c r="F621" s="133"/>
      <c r="G621" s="81"/>
      <c r="H621" s="81"/>
      <c r="I621" s="81"/>
      <c r="J621" s="81"/>
      <c r="K621" s="81"/>
      <c r="L621" s="81"/>
      <c r="M621" s="81"/>
      <c r="N621" s="81"/>
    </row>
    <row r="622" spans="1:14" ht="14.25" customHeight="1" x14ac:dyDescent="0.25">
      <c r="A622" s="134"/>
      <c r="B622" s="135"/>
      <c r="C622" s="135"/>
      <c r="D622" s="135"/>
      <c r="E622" s="135"/>
      <c r="F622" s="136"/>
      <c r="G622" s="81"/>
      <c r="H622" s="81"/>
      <c r="I622" s="81"/>
      <c r="J622" s="81"/>
      <c r="K622" s="81"/>
      <c r="L622" s="81"/>
      <c r="M622" s="81"/>
      <c r="N622" s="81"/>
    </row>
    <row r="623" spans="1:14" ht="14.25" customHeight="1" x14ac:dyDescent="0.25">
      <c r="A623" s="81"/>
      <c r="B623" s="81"/>
      <c r="C623" s="137"/>
      <c r="D623" s="81"/>
      <c r="E623" s="81"/>
      <c r="F623" s="81"/>
      <c r="G623" s="81"/>
      <c r="H623" s="81"/>
      <c r="I623" s="81"/>
      <c r="J623" s="81"/>
      <c r="K623" s="81"/>
      <c r="L623" s="81"/>
      <c r="M623" s="81"/>
      <c r="N623" s="81"/>
    </row>
    <row r="624" spans="1:14" ht="14.25" customHeight="1" x14ac:dyDescent="0.25">
      <c r="A624" s="81"/>
      <c r="B624" s="81"/>
      <c r="C624" s="137"/>
      <c r="D624" s="81"/>
      <c r="E624" s="81"/>
      <c r="F624" s="81"/>
      <c r="G624" s="81"/>
      <c r="H624" s="81"/>
      <c r="I624" s="81"/>
      <c r="J624" s="81"/>
      <c r="K624" s="81"/>
      <c r="L624" s="81"/>
      <c r="M624" s="81"/>
      <c r="N624" s="81"/>
    </row>
    <row r="625" spans="1:14" ht="14.25" customHeight="1" x14ac:dyDescent="0.25">
      <c r="A625" s="81"/>
      <c r="B625" s="81"/>
      <c r="C625" s="137"/>
      <c r="D625" s="81"/>
      <c r="E625" s="81"/>
      <c r="F625" s="81"/>
      <c r="G625" s="81"/>
      <c r="H625" s="81"/>
      <c r="I625" s="81"/>
      <c r="J625" s="81"/>
      <c r="K625" s="81"/>
      <c r="L625" s="81"/>
      <c r="M625" s="81"/>
      <c r="N625" s="81"/>
    </row>
    <row r="626" spans="1:14" ht="14.25" customHeight="1" x14ac:dyDescent="0.25">
      <c r="A626" s="81"/>
      <c r="B626" s="81"/>
      <c r="C626" s="137"/>
      <c r="D626" s="81"/>
      <c r="E626" s="81"/>
      <c r="F626" s="81"/>
      <c r="G626" s="81"/>
      <c r="H626" s="81"/>
      <c r="I626" s="81"/>
      <c r="J626" s="81"/>
      <c r="K626" s="81"/>
      <c r="L626" s="81"/>
      <c r="M626" s="81"/>
      <c r="N626" s="81"/>
    </row>
    <row r="627" spans="1:14" ht="14.25" customHeight="1" x14ac:dyDescent="0.25">
      <c r="A627" s="81"/>
      <c r="B627" s="81"/>
      <c r="C627" s="137"/>
      <c r="D627" s="81"/>
      <c r="E627" s="81"/>
      <c r="F627" s="81"/>
      <c r="G627" s="81"/>
      <c r="H627" s="81"/>
      <c r="I627" s="81"/>
      <c r="J627" s="81"/>
      <c r="K627" s="81"/>
      <c r="L627" s="81"/>
      <c r="M627" s="81"/>
      <c r="N627" s="81"/>
    </row>
    <row r="628" spans="1:14" ht="14.25" customHeight="1" x14ac:dyDescent="0.25">
      <c r="A628" s="134"/>
      <c r="B628" s="135"/>
      <c r="C628" s="135"/>
      <c r="D628" s="135"/>
      <c r="E628" s="135"/>
      <c r="F628" s="136"/>
      <c r="G628" s="81"/>
      <c r="H628" s="81"/>
      <c r="I628" s="81"/>
      <c r="J628" s="81"/>
      <c r="K628" s="81"/>
      <c r="L628" s="81"/>
      <c r="M628" s="81"/>
      <c r="N628" s="81"/>
    </row>
    <row r="629" spans="1:14" ht="14.25" customHeight="1" x14ac:dyDescent="0.25">
      <c r="A629" s="134"/>
      <c r="B629" s="135"/>
      <c r="C629" s="135"/>
      <c r="D629" s="135"/>
      <c r="E629" s="135"/>
      <c r="F629" s="136"/>
      <c r="G629" s="81"/>
      <c r="H629" s="81"/>
      <c r="I629" s="81"/>
      <c r="J629" s="81"/>
      <c r="K629" s="81"/>
      <c r="L629" s="81"/>
      <c r="M629" s="81"/>
      <c r="N629" s="81"/>
    </row>
    <row r="630" spans="1:14" ht="14.25" customHeight="1" x14ac:dyDescent="0.25">
      <c r="A630" s="134"/>
      <c r="B630" s="135"/>
      <c r="C630" s="135"/>
      <c r="D630" s="135"/>
      <c r="E630" s="135"/>
      <c r="F630" s="136"/>
      <c r="G630" s="81"/>
      <c r="H630" s="81"/>
      <c r="I630" s="81"/>
      <c r="J630" s="81"/>
      <c r="K630" s="81"/>
      <c r="L630" s="81"/>
      <c r="M630" s="81"/>
      <c r="N630" s="81"/>
    </row>
    <row r="631" spans="1:14" ht="14.25" customHeight="1" thickBot="1" x14ac:dyDescent="0.3">
      <c r="A631" s="81"/>
      <c r="B631" s="81"/>
      <c r="C631" s="81"/>
      <c r="D631" s="81"/>
      <c r="E631" s="81"/>
      <c r="F631" s="81"/>
      <c r="G631" s="81"/>
      <c r="H631" s="81"/>
      <c r="I631" s="81"/>
      <c r="J631" s="81"/>
      <c r="K631" s="81"/>
      <c r="L631" s="81"/>
      <c r="M631" s="81"/>
      <c r="N631" s="81"/>
    </row>
    <row r="632" spans="1:14" ht="14.25" customHeight="1" x14ac:dyDescent="0.25">
      <c r="A632" s="83"/>
      <c r="B632" s="84"/>
      <c r="C632" s="85"/>
      <c r="D632" s="86"/>
      <c r="E632" s="86"/>
      <c r="F632" s="87"/>
      <c r="G632" s="81"/>
      <c r="H632" s="81"/>
      <c r="I632" s="81"/>
      <c r="J632" s="81"/>
      <c r="K632" s="81"/>
      <c r="L632" s="81"/>
      <c r="M632" s="81"/>
      <c r="N632" s="81"/>
    </row>
    <row r="633" spans="1:14" ht="14.25" customHeight="1" x14ac:dyDescent="0.25">
      <c r="A633" s="599"/>
      <c r="B633" s="600"/>
      <c r="C633" s="600"/>
      <c r="D633" s="600"/>
      <c r="E633" s="600"/>
      <c r="F633" s="601"/>
      <c r="G633" s="81"/>
      <c r="H633" s="81"/>
      <c r="I633" s="81"/>
      <c r="J633" s="81"/>
      <c r="K633" s="81"/>
      <c r="L633" s="81"/>
      <c r="M633" s="81"/>
      <c r="N633" s="81"/>
    </row>
    <row r="634" spans="1:14" ht="14.25" customHeight="1" x14ac:dyDescent="0.25">
      <c r="A634" s="602" t="s">
        <v>561</v>
      </c>
      <c r="B634" s="600"/>
      <c r="C634" s="600"/>
      <c r="D634" s="600"/>
      <c r="E634" s="600"/>
      <c r="F634" s="601"/>
      <c r="G634" s="81"/>
      <c r="H634" s="81"/>
      <c r="I634" s="81"/>
      <c r="J634" s="81"/>
      <c r="K634" s="81"/>
      <c r="L634" s="81"/>
      <c r="M634" s="81"/>
      <c r="N634" s="81"/>
    </row>
    <row r="635" spans="1:14" ht="14.25" customHeight="1" thickBot="1" x14ac:dyDescent="0.3">
      <c r="A635" s="603"/>
      <c r="B635" s="604"/>
      <c r="C635" s="604"/>
      <c r="D635" s="604"/>
      <c r="E635" s="604"/>
      <c r="F635" s="605"/>
      <c r="G635" s="81"/>
      <c r="H635" s="81"/>
      <c r="I635" s="81"/>
      <c r="J635" s="81"/>
      <c r="K635" s="81"/>
      <c r="L635" s="81"/>
      <c r="M635" s="81"/>
      <c r="N635" s="81"/>
    </row>
    <row r="636" spans="1:14" ht="14.25" customHeight="1" x14ac:dyDescent="0.25">
      <c r="A636" s="88"/>
      <c r="B636" s="88"/>
      <c r="C636" s="89"/>
      <c r="D636" s="89"/>
      <c r="E636" s="89"/>
      <c r="F636" s="89"/>
      <c r="G636" s="81"/>
      <c r="H636" s="81"/>
      <c r="I636" s="81"/>
      <c r="J636" s="81"/>
      <c r="K636" s="81"/>
      <c r="L636" s="81"/>
      <c r="M636" s="81"/>
      <c r="N636" s="81"/>
    </row>
    <row r="637" spans="1:14" ht="22.5" customHeight="1" x14ac:dyDescent="0.25">
      <c r="A637" s="90" t="s">
        <v>47</v>
      </c>
      <c r="B637" s="613" t="s">
        <v>964</v>
      </c>
      <c r="C637" s="600"/>
      <c r="D637" s="600"/>
      <c r="E637" s="600"/>
      <c r="F637" s="600"/>
      <c r="G637" s="81"/>
      <c r="H637" s="81"/>
      <c r="I637" s="81"/>
      <c r="J637" s="81"/>
      <c r="K637" s="81"/>
      <c r="L637" s="81"/>
      <c r="M637" s="81"/>
      <c r="N637" s="81"/>
    </row>
    <row r="638" spans="1:14" ht="14.25" customHeight="1" x14ac:dyDescent="0.25">
      <c r="A638" s="91"/>
      <c r="B638" s="91"/>
      <c r="C638" s="91"/>
      <c r="D638" s="91"/>
      <c r="E638" s="91"/>
      <c r="F638" s="91"/>
      <c r="G638" s="81"/>
      <c r="H638" s="81"/>
      <c r="I638" s="81"/>
      <c r="J638" s="81"/>
      <c r="K638" s="81"/>
      <c r="L638" s="81"/>
      <c r="M638" s="81"/>
      <c r="N638" s="81"/>
    </row>
    <row r="639" spans="1:14" ht="14.25" customHeight="1" x14ac:dyDescent="0.25">
      <c r="A639" s="88" t="s">
        <v>49</v>
      </c>
      <c r="B639" s="92" t="s">
        <v>64</v>
      </c>
      <c r="C639" s="89"/>
      <c r="D639" s="89"/>
      <c r="E639" s="89"/>
      <c r="F639" s="93"/>
      <c r="G639" s="81"/>
      <c r="H639" s="81"/>
      <c r="I639" s="81"/>
      <c r="J639" s="81"/>
      <c r="K639" s="81"/>
      <c r="L639" s="81"/>
      <c r="M639" s="81"/>
      <c r="N639" s="81"/>
    </row>
    <row r="640" spans="1:14" ht="14.25" customHeight="1" x14ac:dyDescent="0.25">
      <c r="A640" s="88"/>
      <c r="B640" s="94"/>
      <c r="C640" s="89"/>
      <c r="D640" s="89"/>
      <c r="E640" s="89"/>
      <c r="F640" s="93"/>
      <c r="G640" s="81"/>
      <c r="H640" s="81"/>
      <c r="I640" s="81"/>
      <c r="J640" s="81"/>
      <c r="K640" s="81"/>
      <c r="L640" s="81"/>
      <c r="M640" s="81"/>
      <c r="N640" s="81"/>
    </row>
    <row r="641" spans="1:14" ht="14.25" customHeight="1" x14ac:dyDescent="0.25">
      <c r="A641" s="95" t="s">
        <v>562</v>
      </c>
      <c r="B641" s="96"/>
      <c r="C641" s="92"/>
      <c r="D641" s="92"/>
      <c r="E641" s="92"/>
      <c r="F641" s="92"/>
      <c r="G641" s="81"/>
      <c r="H641" s="81"/>
      <c r="I641" s="81"/>
      <c r="J641" s="81"/>
      <c r="K641" s="81"/>
      <c r="L641" s="81"/>
      <c r="M641" s="81"/>
      <c r="N641" s="81"/>
    </row>
    <row r="642" spans="1:14" ht="14.25" customHeight="1" x14ac:dyDescent="0.25">
      <c r="A642" s="97" t="s">
        <v>563</v>
      </c>
      <c r="B642" s="98" t="s">
        <v>564</v>
      </c>
      <c r="C642" s="98" t="s">
        <v>565</v>
      </c>
      <c r="D642" s="98" t="s">
        <v>566</v>
      </c>
      <c r="E642" s="98" t="s">
        <v>567</v>
      </c>
      <c r="F642" s="98" t="s">
        <v>568</v>
      </c>
      <c r="G642" s="81"/>
      <c r="H642" s="81"/>
      <c r="I642" s="81"/>
      <c r="J642" s="81"/>
      <c r="K642" s="81"/>
      <c r="L642" s="81"/>
      <c r="M642" s="81"/>
      <c r="N642" s="81"/>
    </row>
    <row r="643" spans="1:14" ht="14.25" customHeight="1" x14ac:dyDescent="0.25">
      <c r="A643" s="99" t="s">
        <v>606</v>
      </c>
      <c r="B643" s="100" t="s">
        <v>64</v>
      </c>
      <c r="C643" s="101">
        <v>7500</v>
      </c>
      <c r="D643" s="104">
        <v>1.3</v>
      </c>
      <c r="E643" s="102"/>
      <c r="F643" s="101">
        <f t="shared" ref="F643" si="37">C643*(D643+(D643*E643))</f>
        <v>9750</v>
      </c>
      <c r="G643" s="81"/>
      <c r="H643" s="81"/>
      <c r="I643" s="81"/>
      <c r="J643" s="81"/>
      <c r="K643" s="81"/>
      <c r="L643" s="81"/>
      <c r="M643" s="81"/>
      <c r="N643" s="81"/>
    </row>
    <row r="644" spans="1:14" ht="14.25" customHeight="1" x14ac:dyDescent="0.25">
      <c r="A644" s="99"/>
      <c r="B644" s="100"/>
      <c r="C644" s="101"/>
      <c r="D644" s="104"/>
      <c r="E644" s="102"/>
      <c r="F644" s="101"/>
      <c r="G644" s="81"/>
      <c r="H644" s="81"/>
      <c r="I644" s="81"/>
      <c r="J644" s="81"/>
      <c r="K644" s="81"/>
      <c r="L644" s="81"/>
      <c r="M644" s="81"/>
      <c r="N644" s="81"/>
    </row>
    <row r="645" spans="1:14" ht="14.25" customHeight="1" x14ac:dyDescent="0.25">
      <c r="A645" s="103"/>
      <c r="B645" s="100"/>
      <c r="C645" s="101"/>
      <c r="D645" s="104"/>
      <c r="E645" s="102"/>
      <c r="F645" s="101"/>
      <c r="G645" s="81"/>
      <c r="H645" s="81"/>
      <c r="I645" s="81"/>
      <c r="J645" s="81"/>
      <c r="K645" s="81"/>
      <c r="L645" s="81"/>
      <c r="M645" s="81"/>
      <c r="N645" s="81"/>
    </row>
    <row r="646" spans="1:14" ht="14.25" customHeight="1" x14ac:dyDescent="0.25">
      <c r="A646" s="99"/>
      <c r="B646" s="100"/>
      <c r="C646" s="101"/>
      <c r="D646" s="104"/>
      <c r="E646" s="102"/>
      <c r="F646" s="101"/>
      <c r="G646" s="81"/>
      <c r="H646" s="81"/>
      <c r="I646" s="81"/>
      <c r="J646" s="81"/>
      <c r="K646" s="81"/>
      <c r="L646" s="81"/>
      <c r="M646" s="81"/>
      <c r="N646" s="81"/>
    </row>
    <row r="647" spans="1:14" ht="14.25" customHeight="1" x14ac:dyDescent="0.25">
      <c r="A647" s="99"/>
      <c r="B647" s="100"/>
      <c r="C647" s="106"/>
      <c r="D647" s="104"/>
      <c r="E647" s="102"/>
      <c r="F647" s="101"/>
      <c r="G647" s="81"/>
      <c r="H647" s="81"/>
      <c r="I647" s="81"/>
      <c r="J647" s="81"/>
      <c r="K647" s="81"/>
      <c r="L647" s="81"/>
      <c r="M647" s="81"/>
      <c r="N647" s="81"/>
    </row>
    <row r="648" spans="1:14" ht="14.25" customHeight="1" x14ac:dyDescent="0.25">
      <c r="A648" s="103"/>
      <c r="B648" s="100"/>
      <c r="C648" s="101"/>
      <c r="D648" s="105"/>
      <c r="E648" s="102"/>
      <c r="F648" s="101"/>
      <c r="G648" s="81"/>
      <c r="H648" s="81"/>
      <c r="I648" s="81"/>
      <c r="J648" s="81"/>
      <c r="K648" s="81"/>
      <c r="L648" s="81"/>
      <c r="M648" s="81"/>
      <c r="N648" s="81"/>
    </row>
    <row r="649" spans="1:14" ht="14.25" customHeight="1" x14ac:dyDescent="0.25">
      <c r="A649" s="99"/>
      <c r="B649" s="100"/>
      <c r="C649" s="106"/>
      <c r="D649" s="107"/>
      <c r="E649" s="108"/>
      <c r="F649" s="106"/>
      <c r="G649" s="81"/>
      <c r="H649" s="81"/>
      <c r="I649" s="81"/>
      <c r="J649" s="81"/>
      <c r="K649" s="81"/>
      <c r="L649" s="81"/>
      <c r="M649" s="81"/>
      <c r="N649" s="81"/>
    </row>
    <row r="650" spans="1:14" ht="14.25" customHeight="1" x14ac:dyDescent="0.25">
      <c r="A650" s="97" t="s">
        <v>548</v>
      </c>
      <c r="B650" s="97"/>
      <c r="C650" s="109"/>
      <c r="D650" s="110"/>
      <c r="E650" s="111"/>
      <c r="F650" s="112">
        <f>SUM(F643:F649)</f>
        <v>9750</v>
      </c>
      <c r="G650" s="81"/>
      <c r="H650" s="81"/>
      <c r="I650" s="81"/>
      <c r="J650" s="81"/>
      <c r="K650" s="81"/>
      <c r="L650" s="81"/>
      <c r="M650" s="81"/>
      <c r="N650" s="81"/>
    </row>
    <row r="651" spans="1:14" ht="14.25" customHeight="1" x14ac:dyDescent="0.25">
      <c r="A651" s="88"/>
      <c r="B651" s="88"/>
      <c r="C651" s="113"/>
      <c r="D651" s="113"/>
      <c r="E651" s="114"/>
      <c r="F651" s="113"/>
      <c r="G651" s="81"/>
      <c r="H651" s="81"/>
      <c r="I651" s="81"/>
      <c r="J651" s="81"/>
      <c r="K651" s="81"/>
      <c r="L651" s="81"/>
      <c r="M651" s="81"/>
      <c r="N651" s="81"/>
    </row>
    <row r="652" spans="1:14" ht="14.25" customHeight="1" x14ac:dyDescent="0.25">
      <c r="A652" s="96" t="s">
        <v>573</v>
      </c>
      <c r="B652" s="96"/>
      <c r="C652" s="92"/>
      <c r="D652" s="92"/>
      <c r="E652" s="92"/>
      <c r="F652" s="92"/>
      <c r="G652" s="81"/>
      <c r="H652" s="81"/>
      <c r="I652" s="81"/>
      <c r="J652" s="81"/>
      <c r="K652" s="81"/>
      <c r="L652" s="81"/>
      <c r="M652" s="81"/>
      <c r="N652" s="81"/>
    </row>
    <row r="653" spans="1:14" ht="14.25" customHeight="1" x14ac:dyDescent="0.25">
      <c r="A653" s="611" t="s">
        <v>563</v>
      </c>
      <c r="B653" s="608"/>
      <c r="C653" s="609"/>
      <c r="D653" s="98" t="s">
        <v>574</v>
      </c>
      <c r="E653" s="98" t="s">
        <v>575</v>
      </c>
      <c r="F653" s="98" t="s">
        <v>568</v>
      </c>
      <c r="G653" s="81"/>
      <c r="H653" s="81"/>
      <c r="I653" s="81"/>
      <c r="J653" s="81"/>
      <c r="K653" s="81"/>
      <c r="L653" s="81"/>
      <c r="M653" s="81"/>
      <c r="N653" s="81"/>
    </row>
    <row r="654" spans="1:14" ht="14.25" customHeight="1" x14ac:dyDescent="0.25">
      <c r="A654" s="607"/>
      <c r="B654" s="608"/>
      <c r="C654" s="609"/>
      <c r="D654" s="116"/>
      <c r="E654" s="107"/>
      <c r="F654" s="106"/>
      <c r="G654" s="81"/>
      <c r="H654" s="81"/>
      <c r="I654" s="81"/>
      <c r="J654" s="81"/>
      <c r="K654" s="81"/>
      <c r="L654" s="81"/>
      <c r="M654" s="81"/>
      <c r="N654" s="81"/>
    </row>
    <row r="655" spans="1:14" ht="14.25" customHeight="1" x14ac:dyDescent="0.25">
      <c r="A655" s="607"/>
      <c r="B655" s="608"/>
      <c r="C655" s="609"/>
      <c r="D655" s="142"/>
      <c r="E655" s="107"/>
      <c r="F655" s="106"/>
      <c r="G655" s="81"/>
      <c r="H655" s="81"/>
      <c r="I655" s="81"/>
      <c r="J655" s="81"/>
      <c r="K655" s="81"/>
      <c r="L655" s="81"/>
      <c r="M655" s="81"/>
      <c r="N655" s="81"/>
    </row>
    <row r="656" spans="1:14" ht="14.25" customHeight="1" x14ac:dyDescent="0.25">
      <c r="A656" s="607"/>
      <c r="B656" s="608"/>
      <c r="C656" s="609"/>
      <c r="D656" s="142"/>
      <c r="E656" s="107"/>
      <c r="F656" s="106"/>
      <c r="G656" s="81"/>
      <c r="H656" s="81"/>
      <c r="I656" s="81"/>
      <c r="J656" s="81"/>
      <c r="K656" s="81"/>
      <c r="L656" s="81"/>
      <c r="M656" s="81"/>
      <c r="N656" s="81"/>
    </row>
    <row r="657" spans="1:14" ht="14.25" customHeight="1" x14ac:dyDescent="0.25">
      <c r="A657" s="610"/>
      <c r="B657" s="608"/>
      <c r="C657" s="609"/>
      <c r="D657" s="115"/>
      <c r="E657" s="107"/>
      <c r="F657" s="106"/>
      <c r="G657" s="81"/>
      <c r="H657" s="81"/>
      <c r="I657" s="81"/>
      <c r="J657" s="81"/>
      <c r="K657" s="81"/>
      <c r="L657" s="81"/>
      <c r="M657" s="81"/>
      <c r="N657" s="81"/>
    </row>
    <row r="658" spans="1:14" ht="14.25" customHeight="1" x14ac:dyDescent="0.25">
      <c r="A658" s="611" t="s">
        <v>548</v>
      </c>
      <c r="B658" s="608"/>
      <c r="C658" s="609"/>
      <c r="D658" s="110"/>
      <c r="E658" s="110"/>
      <c r="F658" s="112">
        <f>SUM(F654:F656)</f>
        <v>0</v>
      </c>
      <c r="G658" s="81"/>
      <c r="H658" s="81"/>
      <c r="I658" s="81"/>
      <c r="J658" s="81"/>
      <c r="K658" s="81"/>
      <c r="L658" s="81"/>
      <c r="M658" s="81"/>
      <c r="N658" s="81"/>
    </row>
    <row r="659" spans="1:14" ht="14.25" customHeight="1" x14ac:dyDescent="0.25">
      <c r="A659" s="88"/>
      <c r="B659" s="88"/>
      <c r="C659" s="89"/>
      <c r="D659" s="113"/>
      <c r="E659" s="113"/>
      <c r="F659" s="113"/>
      <c r="G659" s="81"/>
      <c r="H659" s="81"/>
      <c r="I659" s="81"/>
      <c r="J659" s="81"/>
      <c r="K659" s="81"/>
      <c r="L659" s="81"/>
      <c r="M659" s="81"/>
      <c r="N659" s="81"/>
    </row>
    <row r="660" spans="1:14" ht="14.25" customHeight="1" x14ac:dyDescent="0.25">
      <c r="A660" s="96" t="s">
        <v>578</v>
      </c>
      <c r="B660" s="96"/>
      <c r="C660" s="92"/>
      <c r="D660" s="118"/>
      <c r="E660" s="118"/>
      <c r="F660" s="118"/>
      <c r="G660" s="81"/>
      <c r="H660" s="81"/>
      <c r="I660" s="81"/>
      <c r="J660" s="81"/>
      <c r="K660" s="81"/>
      <c r="L660" s="81"/>
      <c r="M660" s="81"/>
      <c r="N660" s="81"/>
    </row>
    <row r="661" spans="1:14" ht="14.25" customHeight="1" x14ac:dyDescent="0.25">
      <c r="A661" s="119" t="s">
        <v>563</v>
      </c>
      <c r="B661" s="120" t="s">
        <v>579</v>
      </c>
      <c r="C661" s="120" t="s">
        <v>580</v>
      </c>
      <c r="D661" s="121" t="s">
        <v>581</v>
      </c>
      <c r="E661" s="121" t="s">
        <v>575</v>
      </c>
      <c r="F661" s="121" t="s">
        <v>568</v>
      </c>
      <c r="G661" s="81"/>
      <c r="H661" s="81"/>
      <c r="I661" s="81"/>
      <c r="J661" s="81"/>
      <c r="K661" s="81"/>
      <c r="L661" s="81"/>
      <c r="M661" s="81"/>
      <c r="N661" s="81"/>
    </row>
    <row r="662" spans="1:14" ht="14.25" customHeight="1" x14ac:dyDescent="0.25">
      <c r="A662" s="122"/>
      <c r="B662" s="127"/>
      <c r="C662" s="101"/>
      <c r="D662" s="101"/>
      <c r="E662" s="107"/>
      <c r="F662" s="106"/>
      <c r="G662" s="81"/>
      <c r="H662" s="81"/>
      <c r="I662" s="81"/>
      <c r="J662" s="81"/>
      <c r="K662" s="81"/>
      <c r="L662" s="81"/>
      <c r="M662" s="81"/>
      <c r="N662" s="81"/>
    </row>
    <row r="663" spans="1:14" ht="14.25" customHeight="1" x14ac:dyDescent="0.25">
      <c r="A663" s="122"/>
      <c r="B663" s="127"/>
      <c r="C663" s="101"/>
      <c r="D663" s="101"/>
      <c r="E663" s="107"/>
      <c r="F663" s="106"/>
      <c r="G663" s="81"/>
      <c r="H663" s="81"/>
      <c r="I663" s="81"/>
      <c r="J663" s="81"/>
      <c r="K663" s="81"/>
      <c r="L663" s="81"/>
      <c r="M663" s="81"/>
      <c r="N663" s="81"/>
    </row>
    <row r="664" spans="1:14" ht="14.25" customHeight="1" x14ac:dyDescent="0.25">
      <c r="A664" s="122"/>
      <c r="B664" s="127"/>
      <c r="C664" s="101"/>
      <c r="D664" s="101"/>
      <c r="E664" s="107"/>
      <c r="F664" s="106"/>
      <c r="G664" s="81"/>
      <c r="H664" s="81"/>
      <c r="I664" s="81"/>
      <c r="J664" s="81"/>
      <c r="K664" s="81"/>
      <c r="L664" s="81"/>
      <c r="M664" s="81"/>
      <c r="N664" s="81"/>
    </row>
    <row r="665" spans="1:14" ht="14.25" customHeight="1" x14ac:dyDescent="0.25">
      <c r="A665" s="122"/>
      <c r="B665" s="127"/>
      <c r="C665" s="101"/>
      <c r="D665" s="101"/>
      <c r="E665" s="125"/>
      <c r="F665" s="106"/>
      <c r="G665" s="81"/>
      <c r="H665" s="81"/>
      <c r="I665" s="81"/>
      <c r="J665" s="81"/>
      <c r="K665" s="81"/>
      <c r="L665" s="81"/>
      <c r="M665" s="81"/>
      <c r="N665" s="81"/>
    </row>
    <row r="666" spans="1:14" ht="14.25" customHeight="1" x14ac:dyDescent="0.25">
      <c r="A666" s="97" t="s">
        <v>548</v>
      </c>
      <c r="B666" s="128"/>
      <c r="C666" s="110"/>
      <c r="D666" s="110"/>
      <c r="E666" s="110"/>
      <c r="F666" s="112">
        <f>SUM(F662:F665)</f>
        <v>0</v>
      </c>
      <c r="G666" s="81"/>
      <c r="H666" s="81"/>
      <c r="I666" s="81"/>
      <c r="J666" s="81"/>
      <c r="K666" s="81"/>
      <c r="L666" s="81"/>
      <c r="M666" s="81"/>
      <c r="N666" s="81"/>
    </row>
    <row r="667" spans="1:14" ht="14.25" customHeight="1" x14ac:dyDescent="0.25">
      <c r="A667" s="96"/>
      <c r="B667" s="129"/>
      <c r="C667" s="118"/>
      <c r="D667" s="118"/>
      <c r="E667" s="118"/>
      <c r="F667" s="118"/>
      <c r="G667" s="81"/>
      <c r="H667" s="81"/>
      <c r="I667" s="81"/>
      <c r="J667" s="81"/>
      <c r="K667" s="81"/>
      <c r="L667" s="81"/>
      <c r="M667" s="81"/>
      <c r="N667" s="81"/>
    </row>
    <row r="668" spans="1:14" ht="14.25" customHeight="1" x14ac:dyDescent="0.25">
      <c r="A668" s="95" t="s">
        <v>583</v>
      </c>
      <c r="B668" s="96"/>
      <c r="C668" s="92"/>
      <c r="D668" s="92"/>
      <c r="E668" s="92" t="s">
        <v>584</v>
      </c>
      <c r="F668" s="92"/>
      <c r="G668" s="81"/>
      <c r="H668" s="81"/>
      <c r="I668" s="81"/>
      <c r="J668" s="81"/>
      <c r="K668" s="81"/>
      <c r="L668" s="81"/>
      <c r="M668" s="81"/>
      <c r="N668" s="81"/>
    </row>
    <row r="669" spans="1:14" ht="14.25" customHeight="1" x14ac:dyDescent="0.25">
      <c r="A669" s="97" t="s">
        <v>563</v>
      </c>
      <c r="B669" s="98" t="s">
        <v>564</v>
      </c>
      <c r="C669" s="98" t="s">
        <v>585</v>
      </c>
      <c r="D669" s="98" t="s">
        <v>586</v>
      </c>
      <c r="E669" s="120" t="s">
        <v>587</v>
      </c>
      <c r="F669" s="98" t="s">
        <v>568</v>
      </c>
      <c r="G669" s="81"/>
      <c r="H669" s="81"/>
      <c r="I669" s="81"/>
      <c r="J669" s="81"/>
      <c r="K669" s="81"/>
      <c r="L669" s="81"/>
      <c r="M669" s="81"/>
      <c r="N669" s="81"/>
    </row>
    <row r="670" spans="1:14" ht="14.25" customHeight="1" x14ac:dyDescent="0.25">
      <c r="A670" s="103" t="s">
        <v>1315</v>
      </c>
      <c r="B670" s="100" t="s">
        <v>551</v>
      </c>
      <c r="C670" s="101">
        <v>1000</v>
      </c>
      <c r="D670" s="140">
        <f>+D643</f>
        <v>1.3</v>
      </c>
      <c r="E670" s="107">
        <v>10</v>
      </c>
      <c r="F670" s="109">
        <f>+C670*D670*E670</f>
        <v>13000</v>
      </c>
      <c r="G670" s="81"/>
      <c r="H670" s="81"/>
      <c r="I670" s="81"/>
      <c r="J670" s="81"/>
      <c r="K670" s="81"/>
      <c r="L670" s="81"/>
      <c r="M670" s="81"/>
      <c r="N670" s="81"/>
    </row>
    <row r="671" spans="1:14" ht="14.25" customHeight="1" x14ac:dyDescent="0.25">
      <c r="A671" s="103"/>
      <c r="B671" s="100"/>
      <c r="C671" s="107"/>
      <c r="D671" s="107"/>
      <c r="E671" s="108"/>
      <c r="F671" s="109"/>
      <c r="G671" s="81"/>
      <c r="H671" s="81"/>
      <c r="I671" s="81"/>
      <c r="J671" s="81"/>
      <c r="K671" s="81"/>
      <c r="L671" s="81"/>
      <c r="M671" s="81"/>
      <c r="N671" s="81"/>
    </row>
    <row r="672" spans="1:14" ht="14.25" customHeight="1" x14ac:dyDescent="0.25">
      <c r="A672" s="97" t="s">
        <v>548</v>
      </c>
      <c r="B672" s="98"/>
      <c r="C672" s="110"/>
      <c r="D672" s="110"/>
      <c r="E672" s="111"/>
      <c r="F672" s="112">
        <f>SUM(F670:F671)</f>
        <v>13000</v>
      </c>
      <c r="G672" s="81"/>
      <c r="H672" s="81"/>
      <c r="I672" s="81"/>
      <c r="J672" s="81"/>
      <c r="K672" s="81"/>
      <c r="L672" s="81"/>
      <c r="M672" s="81"/>
      <c r="N672" s="81"/>
    </row>
    <row r="673" spans="1:14" ht="14.25" customHeight="1" x14ac:dyDescent="0.25">
      <c r="A673" s="88"/>
      <c r="B673" s="89"/>
      <c r="C673" s="113"/>
      <c r="D673" s="113"/>
      <c r="E673" s="114"/>
      <c r="F673" s="113"/>
      <c r="G673" s="81"/>
      <c r="H673" s="81"/>
      <c r="I673" s="81"/>
      <c r="J673" s="81"/>
      <c r="K673" s="81"/>
      <c r="L673" s="81"/>
      <c r="M673" s="81"/>
      <c r="N673" s="81"/>
    </row>
    <row r="674" spans="1:14" ht="14.25" customHeight="1" x14ac:dyDescent="0.25">
      <c r="A674" s="88"/>
      <c r="B674" s="89"/>
      <c r="C674" s="113"/>
      <c r="D674" s="113"/>
      <c r="E674" s="114"/>
      <c r="F674" s="113"/>
      <c r="G674" s="81"/>
      <c r="H674" s="81"/>
      <c r="I674" s="81"/>
      <c r="J674" s="81"/>
      <c r="K674" s="81"/>
      <c r="L674" s="81"/>
      <c r="M674" s="81"/>
      <c r="N674" s="81"/>
    </row>
    <row r="675" spans="1:14" ht="14.25" customHeight="1" x14ac:dyDescent="0.25">
      <c r="A675" s="612" t="s">
        <v>588</v>
      </c>
      <c r="B675" s="608"/>
      <c r="C675" s="608"/>
      <c r="D675" s="608"/>
      <c r="E675" s="609"/>
      <c r="F675" s="131">
        <f>ROUND(F650+F658+F666+F672,0)</f>
        <v>22750</v>
      </c>
      <c r="G675" s="81"/>
      <c r="H675" s="281">
        <f>+'Presupuesto Especifico'!F18-F675</f>
        <v>0</v>
      </c>
      <c r="I675" s="81"/>
      <c r="J675" s="81"/>
      <c r="K675" s="81"/>
      <c r="L675" s="81"/>
      <c r="M675" s="81"/>
      <c r="N675" s="81"/>
    </row>
    <row r="676" spans="1:14" ht="14.25" customHeight="1" x14ac:dyDescent="0.25">
      <c r="A676" s="612" t="s">
        <v>589</v>
      </c>
      <c r="B676" s="608"/>
      <c r="C676" s="608"/>
      <c r="D676" s="608"/>
      <c r="E676" s="609"/>
      <c r="F676" s="132"/>
      <c r="G676" s="81"/>
      <c r="H676" s="81"/>
      <c r="I676" s="81"/>
      <c r="J676" s="81"/>
      <c r="K676" s="81"/>
      <c r="L676" s="81"/>
      <c r="M676" s="81"/>
      <c r="N676" s="81"/>
    </row>
    <row r="677" spans="1:14" ht="14.25" customHeight="1" x14ac:dyDescent="0.25">
      <c r="A677" s="612" t="s">
        <v>556</v>
      </c>
      <c r="B677" s="608"/>
      <c r="C677" s="608"/>
      <c r="D677" s="608"/>
      <c r="E677" s="609"/>
      <c r="F677" s="133"/>
      <c r="G677" s="81"/>
      <c r="H677" s="81"/>
      <c r="I677" s="81"/>
      <c r="J677" s="81"/>
      <c r="K677" s="81"/>
      <c r="L677" s="81"/>
      <c r="M677" s="81"/>
      <c r="N677" s="81"/>
    </row>
    <row r="678" spans="1:14" ht="14.25" customHeight="1" x14ac:dyDescent="0.25">
      <c r="A678" s="134"/>
      <c r="B678" s="135"/>
      <c r="C678" s="135"/>
      <c r="D678" s="135"/>
      <c r="E678" s="135"/>
      <c r="F678" s="136"/>
      <c r="G678" s="81"/>
      <c r="H678" s="81"/>
      <c r="I678" s="81"/>
      <c r="J678" s="81"/>
      <c r="K678" s="81"/>
      <c r="L678" s="81"/>
      <c r="M678" s="81"/>
      <c r="N678" s="81"/>
    </row>
    <row r="679" spans="1:14" ht="14.25" customHeight="1" x14ac:dyDescent="0.25">
      <c r="A679" s="81"/>
      <c r="B679" s="81"/>
      <c r="C679" s="137"/>
      <c r="D679" s="81"/>
      <c r="E679" s="81"/>
      <c r="F679" s="81"/>
      <c r="G679" s="81"/>
      <c r="H679" s="81"/>
      <c r="I679" s="81"/>
      <c r="J679" s="81"/>
      <c r="K679" s="81"/>
      <c r="L679" s="81"/>
      <c r="M679" s="81"/>
      <c r="N679" s="81"/>
    </row>
    <row r="680" spans="1:14" ht="14.25" customHeight="1" x14ac:dyDescent="0.25">
      <c r="A680" s="81"/>
      <c r="B680" s="81"/>
      <c r="C680" s="137"/>
      <c r="D680" s="81"/>
      <c r="E680" s="81"/>
      <c r="F680" s="81"/>
      <c r="G680" s="81"/>
      <c r="H680" s="81"/>
      <c r="I680" s="81"/>
      <c r="J680" s="81"/>
      <c r="K680" s="81"/>
      <c r="L680" s="81"/>
      <c r="M680" s="81"/>
      <c r="N680" s="81"/>
    </row>
    <row r="681" spans="1:14" ht="14.25" customHeight="1" x14ac:dyDescent="0.25">
      <c r="A681" s="81"/>
      <c r="B681" s="81"/>
      <c r="C681" s="137"/>
      <c r="D681" s="81"/>
      <c r="E681" s="81"/>
      <c r="F681" s="81"/>
      <c r="G681" s="81"/>
      <c r="H681" s="81"/>
      <c r="I681" s="81"/>
      <c r="J681" s="81"/>
      <c r="K681" s="81"/>
      <c r="L681" s="81"/>
      <c r="M681" s="81"/>
      <c r="N681" s="81"/>
    </row>
    <row r="682" spans="1:14" ht="14.25" customHeight="1" x14ac:dyDescent="0.25">
      <c r="A682" s="81"/>
      <c r="B682" s="81"/>
      <c r="C682" s="137"/>
      <c r="D682" s="81"/>
      <c r="E682" s="81"/>
      <c r="F682" s="81"/>
      <c r="G682" s="81"/>
      <c r="H682" s="81"/>
      <c r="I682" s="81"/>
      <c r="J682" s="81"/>
      <c r="K682" s="81"/>
      <c r="L682" s="81"/>
      <c r="M682" s="81"/>
      <c r="N682" s="81"/>
    </row>
    <row r="683" spans="1:14" ht="14.25" customHeight="1" x14ac:dyDescent="0.25">
      <c r="A683" s="81"/>
      <c r="B683" s="81"/>
      <c r="C683" s="137"/>
      <c r="D683" s="81"/>
      <c r="E683" s="81"/>
      <c r="F683" s="81"/>
      <c r="G683" s="81"/>
      <c r="H683" s="81"/>
      <c r="I683" s="81"/>
      <c r="J683" s="81"/>
      <c r="K683" s="81"/>
      <c r="L683" s="81"/>
      <c r="M683" s="81"/>
      <c r="N683" s="81"/>
    </row>
    <row r="684" spans="1:14" ht="14.25" customHeight="1" x14ac:dyDescent="0.25">
      <c r="A684" s="81"/>
      <c r="B684" s="81"/>
      <c r="C684" s="137"/>
      <c r="D684" s="81"/>
      <c r="E684" s="81"/>
      <c r="F684" s="81"/>
      <c r="G684" s="81"/>
      <c r="H684" s="81"/>
      <c r="I684" s="81"/>
      <c r="J684" s="81"/>
      <c r="K684" s="81"/>
      <c r="L684" s="81"/>
      <c r="M684" s="81"/>
      <c r="N684" s="81"/>
    </row>
    <row r="685" spans="1:14" ht="14.25" customHeight="1" x14ac:dyDescent="0.25">
      <c r="A685" s="134"/>
      <c r="B685" s="135"/>
      <c r="C685" s="135"/>
      <c r="D685" s="135"/>
      <c r="E685" s="135"/>
      <c r="F685" s="136"/>
      <c r="G685" s="81"/>
      <c r="H685" s="81"/>
      <c r="I685" s="81"/>
      <c r="J685" s="81"/>
      <c r="K685" s="81"/>
      <c r="L685" s="81"/>
      <c r="M685" s="81"/>
      <c r="N685" s="81"/>
    </row>
    <row r="686" spans="1:14" ht="14.25" customHeight="1" x14ac:dyDescent="0.25">
      <c r="A686" s="134"/>
      <c r="B686" s="135"/>
      <c r="C686" s="135"/>
      <c r="D686" s="135"/>
      <c r="E686" s="135"/>
      <c r="F686" s="136"/>
      <c r="G686" s="81"/>
      <c r="H686" s="81"/>
      <c r="I686" s="81"/>
      <c r="J686" s="81"/>
      <c r="K686" s="81"/>
      <c r="L686" s="81"/>
      <c r="M686" s="81"/>
      <c r="N686" s="81"/>
    </row>
    <row r="687" spans="1:14" ht="14.25" customHeight="1" x14ac:dyDescent="0.25">
      <c r="A687" s="134"/>
      <c r="B687" s="135"/>
      <c r="C687" s="135"/>
      <c r="D687" s="135"/>
      <c r="E687" s="135"/>
      <c r="F687" s="136"/>
      <c r="G687" s="81"/>
      <c r="H687" s="81"/>
      <c r="I687" s="81"/>
      <c r="J687" s="81"/>
      <c r="K687" s="81"/>
      <c r="L687" s="81"/>
      <c r="M687" s="81"/>
      <c r="N687" s="81"/>
    </row>
    <row r="688" spans="1:14" ht="14.25" customHeight="1" thickBot="1" x14ac:dyDescent="0.3">
      <c r="A688" s="81"/>
      <c r="B688" s="81"/>
      <c r="C688" s="81"/>
      <c r="D688" s="81"/>
      <c r="E688" s="81"/>
      <c r="F688" s="81"/>
      <c r="G688" s="81"/>
      <c r="H688" s="81"/>
      <c r="I688" s="81"/>
      <c r="J688" s="81"/>
      <c r="K688" s="81"/>
      <c r="L688" s="81"/>
      <c r="M688" s="81"/>
      <c r="N688" s="81"/>
    </row>
    <row r="689" spans="1:14" ht="14.25" customHeight="1" x14ac:dyDescent="0.25">
      <c r="A689" s="83"/>
      <c r="B689" s="84"/>
      <c r="C689" s="85"/>
      <c r="D689" s="86"/>
      <c r="E689" s="86"/>
      <c r="F689" s="87"/>
      <c r="G689" s="81"/>
      <c r="H689" s="81"/>
      <c r="I689" s="81"/>
      <c r="J689" s="81"/>
      <c r="K689" s="81"/>
      <c r="L689" s="81"/>
      <c r="M689" s="81"/>
      <c r="N689" s="81"/>
    </row>
    <row r="690" spans="1:14" ht="14.25" customHeight="1" x14ac:dyDescent="0.25">
      <c r="A690" s="599"/>
      <c r="B690" s="600"/>
      <c r="C690" s="600"/>
      <c r="D690" s="600"/>
      <c r="E690" s="600"/>
      <c r="F690" s="601"/>
      <c r="G690" s="81"/>
      <c r="H690" s="81"/>
      <c r="I690" s="81"/>
      <c r="J690" s="81"/>
      <c r="K690" s="81"/>
      <c r="L690" s="81"/>
      <c r="M690" s="81"/>
      <c r="N690" s="81"/>
    </row>
    <row r="691" spans="1:14" ht="14.25" customHeight="1" x14ac:dyDescent="0.25">
      <c r="A691" s="602" t="s">
        <v>561</v>
      </c>
      <c r="B691" s="600"/>
      <c r="C691" s="600"/>
      <c r="D691" s="600"/>
      <c r="E691" s="600"/>
      <c r="F691" s="601"/>
      <c r="G691" s="81"/>
      <c r="H691" s="81"/>
      <c r="I691" s="81"/>
      <c r="J691" s="81"/>
      <c r="K691" s="81"/>
      <c r="L691" s="81"/>
      <c r="M691" s="81"/>
      <c r="N691" s="81"/>
    </row>
    <row r="692" spans="1:14" ht="14.25" customHeight="1" thickBot="1" x14ac:dyDescent="0.3">
      <c r="A692" s="603"/>
      <c r="B692" s="604"/>
      <c r="C692" s="604"/>
      <c r="D692" s="604"/>
      <c r="E692" s="604"/>
      <c r="F692" s="605"/>
      <c r="G692" s="81"/>
      <c r="H692" s="81"/>
      <c r="I692" s="81"/>
      <c r="J692" s="81"/>
      <c r="K692" s="81"/>
      <c r="L692" s="81"/>
      <c r="M692" s="81"/>
      <c r="N692" s="81"/>
    </row>
    <row r="693" spans="1:14" ht="14.25" customHeight="1" x14ac:dyDescent="0.25">
      <c r="A693" s="88"/>
      <c r="B693" s="88"/>
      <c r="C693" s="89"/>
      <c r="D693" s="89"/>
      <c r="E693" s="89"/>
      <c r="F693" s="89"/>
      <c r="G693" s="81"/>
      <c r="H693" s="81"/>
      <c r="I693" s="81"/>
      <c r="J693" s="81"/>
      <c r="K693" s="81"/>
      <c r="L693" s="81"/>
      <c r="M693" s="81"/>
      <c r="N693" s="81"/>
    </row>
    <row r="694" spans="1:14" ht="29.25" customHeight="1" x14ac:dyDescent="0.25">
      <c r="A694" s="90" t="s">
        <v>47</v>
      </c>
      <c r="B694" s="613" t="s">
        <v>80</v>
      </c>
      <c r="C694" s="600"/>
      <c r="D694" s="600"/>
      <c r="E694" s="600"/>
      <c r="F694" s="600"/>
      <c r="G694" s="81"/>
      <c r="H694" s="81"/>
      <c r="I694" s="81"/>
      <c r="J694" s="81"/>
      <c r="K694" s="81"/>
      <c r="L694" s="81"/>
      <c r="M694" s="81"/>
      <c r="N694" s="81"/>
    </row>
    <row r="695" spans="1:14" ht="14.25" customHeight="1" x14ac:dyDescent="0.25">
      <c r="A695" s="91"/>
      <c r="B695" s="91"/>
      <c r="C695" s="91"/>
      <c r="D695" s="91"/>
      <c r="E695" s="91"/>
      <c r="F695" s="91"/>
      <c r="G695" s="81"/>
      <c r="H695" s="81"/>
      <c r="I695" s="81"/>
      <c r="J695" s="81"/>
      <c r="K695" s="81"/>
      <c r="L695" s="81"/>
      <c r="M695" s="81"/>
      <c r="N695" s="81"/>
    </row>
    <row r="696" spans="1:14" ht="14.25" customHeight="1" x14ac:dyDescent="0.25">
      <c r="A696" s="88" t="s">
        <v>49</v>
      </c>
      <c r="B696" s="92" t="s">
        <v>64</v>
      </c>
      <c r="C696" s="89"/>
      <c r="D696" s="89"/>
      <c r="E696" s="89"/>
      <c r="F696" s="93"/>
      <c r="G696" s="81"/>
      <c r="H696" s="81"/>
      <c r="I696" s="81"/>
      <c r="J696" s="81"/>
      <c r="K696" s="81"/>
      <c r="L696" s="81"/>
      <c r="M696" s="81"/>
      <c r="N696" s="81"/>
    </row>
    <row r="697" spans="1:14" ht="14.25" customHeight="1" x14ac:dyDescent="0.25">
      <c r="A697" s="88"/>
      <c r="B697" s="94"/>
      <c r="C697" s="89"/>
      <c r="D697" s="89"/>
      <c r="E697" s="89"/>
      <c r="F697" s="93"/>
      <c r="G697" s="81"/>
      <c r="H697" s="81"/>
      <c r="I697" s="81"/>
      <c r="J697" s="81"/>
      <c r="K697" s="81"/>
      <c r="L697" s="81"/>
      <c r="M697" s="81"/>
      <c r="N697" s="81"/>
    </row>
    <row r="698" spans="1:14" ht="14.25" customHeight="1" x14ac:dyDescent="0.25">
      <c r="A698" s="95" t="s">
        <v>562</v>
      </c>
      <c r="B698" s="96"/>
      <c r="C698" s="92"/>
      <c r="D698" s="92"/>
      <c r="E698" s="92"/>
      <c r="F698" s="92"/>
      <c r="G698" s="81"/>
      <c r="H698" s="81"/>
      <c r="I698" s="81"/>
      <c r="J698" s="81"/>
      <c r="K698" s="81"/>
      <c r="L698" s="81"/>
      <c r="M698" s="81"/>
      <c r="N698" s="81"/>
    </row>
    <row r="699" spans="1:14" ht="14.25" customHeight="1" x14ac:dyDescent="0.25">
      <c r="A699" s="97" t="s">
        <v>563</v>
      </c>
      <c r="B699" s="98" t="s">
        <v>564</v>
      </c>
      <c r="C699" s="98" t="s">
        <v>565</v>
      </c>
      <c r="D699" s="98" t="s">
        <v>566</v>
      </c>
      <c r="E699" s="98" t="s">
        <v>567</v>
      </c>
      <c r="F699" s="98" t="s">
        <v>568</v>
      </c>
      <c r="G699" s="81"/>
      <c r="H699" s="81"/>
      <c r="I699" s="81"/>
      <c r="J699" s="81"/>
      <c r="K699" s="81"/>
      <c r="L699" s="81"/>
      <c r="M699" s="81"/>
      <c r="N699" s="81"/>
    </row>
    <row r="700" spans="1:14" ht="14.25" customHeight="1" x14ac:dyDescent="0.25">
      <c r="A700" s="99" t="s">
        <v>611</v>
      </c>
      <c r="B700" s="100" t="s">
        <v>612</v>
      </c>
      <c r="C700" s="101">
        <v>12</v>
      </c>
      <c r="D700" s="104">
        <v>35</v>
      </c>
      <c r="E700" s="102">
        <v>0.05</v>
      </c>
      <c r="F700" s="101">
        <f>C700*(D700+(D700*E700))</f>
        <v>441</v>
      </c>
      <c r="G700" s="81"/>
      <c r="H700" s="81"/>
      <c r="I700" s="81"/>
      <c r="J700" s="81"/>
      <c r="K700" s="81"/>
      <c r="L700" s="81"/>
      <c r="M700" s="81"/>
      <c r="N700" s="81"/>
    </row>
    <row r="701" spans="1:14" ht="14.25" customHeight="1" x14ac:dyDescent="0.25">
      <c r="A701" s="99" t="s">
        <v>1318</v>
      </c>
      <c r="B701" s="100" t="s">
        <v>551</v>
      </c>
      <c r="C701" s="101">
        <f>15000+1517.7</f>
        <v>16517.7</v>
      </c>
      <c r="D701" s="104">
        <v>1.3</v>
      </c>
      <c r="E701" s="102"/>
      <c r="F701" s="101">
        <f>+C701*D701</f>
        <v>21473.010000000002</v>
      </c>
      <c r="G701" s="81"/>
      <c r="H701" s="81"/>
      <c r="I701" s="81"/>
      <c r="J701" s="81"/>
      <c r="K701" s="81"/>
      <c r="L701" s="81"/>
      <c r="M701" s="81"/>
      <c r="N701" s="81"/>
    </row>
    <row r="702" spans="1:14" ht="14.25" customHeight="1" x14ac:dyDescent="0.25">
      <c r="A702" s="103"/>
      <c r="B702" s="100"/>
      <c r="C702" s="101"/>
      <c r="D702" s="104"/>
      <c r="E702" s="102"/>
      <c r="F702" s="101"/>
      <c r="G702" s="81"/>
      <c r="H702" s="81"/>
      <c r="I702" s="81"/>
      <c r="J702" s="81"/>
      <c r="K702" s="81"/>
      <c r="L702" s="81"/>
      <c r="M702" s="81"/>
      <c r="N702" s="81"/>
    </row>
    <row r="703" spans="1:14" ht="14.25" customHeight="1" x14ac:dyDescent="0.25">
      <c r="A703" s="99"/>
      <c r="B703" s="100"/>
      <c r="C703" s="101"/>
      <c r="D703" s="104"/>
      <c r="E703" s="102"/>
      <c r="F703" s="101"/>
      <c r="G703" s="81"/>
      <c r="H703" s="81"/>
      <c r="I703" s="81"/>
      <c r="J703" s="81"/>
      <c r="K703" s="81"/>
      <c r="L703" s="81"/>
      <c r="M703" s="81"/>
      <c r="N703" s="81"/>
    </row>
    <row r="704" spans="1:14" ht="14.25" customHeight="1" x14ac:dyDescent="0.25">
      <c r="A704" s="99"/>
      <c r="B704" s="100"/>
      <c r="C704" s="106"/>
      <c r="D704" s="104"/>
      <c r="E704" s="102"/>
      <c r="F704" s="101"/>
      <c r="G704" s="81"/>
      <c r="H704" s="81"/>
      <c r="I704" s="81"/>
      <c r="J704" s="81"/>
      <c r="K704" s="81"/>
      <c r="L704" s="81"/>
      <c r="M704" s="81"/>
      <c r="N704" s="81"/>
    </row>
    <row r="705" spans="1:14" ht="14.25" customHeight="1" x14ac:dyDescent="0.25">
      <c r="A705" s="103"/>
      <c r="B705" s="100"/>
      <c r="C705" s="101"/>
      <c r="D705" s="105"/>
      <c r="E705" s="102"/>
      <c r="F705" s="101"/>
      <c r="G705" s="81"/>
      <c r="H705" s="81"/>
      <c r="I705" s="81"/>
      <c r="J705" s="81"/>
      <c r="K705" s="81"/>
      <c r="L705" s="81"/>
      <c r="M705" s="81"/>
      <c r="N705" s="81"/>
    </row>
    <row r="706" spans="1:14" ht="14.25" customHeight="1" x14ac:dyDescent="0.25">
      <c r="A706" s="99"/>
      <c r="B706" s="100"/>
      <c r="C706" s="106"/>
      <c r="D706" s="107"/>
      <c r="E706" s="108"/>
      <c r="F706" s="106"/>
      <c r="G706" s="81"/>
      <c r="H706" s="81"/>
      <c r="I706" s="81"/>
      <c r="J706" s="81"/>
      <c r="K706" s="81"/>
      <c r="L706" s="81"/>
      <c r="M706" s="81"/>
      <c r="N706" s="81"/>
    </row>
    <row r="707" spans="1:14" ht="14.25" customHeight="1" x14ac:dyDescent="0.25">
      <c r="A707" s="97" t="s">
        <v>548</v>
      </c>
      <c r="B707" s="97"/>
      <c r="C707" s="109"/>
      <c r="D707" s="110"/>
      <c r="E707" s="111"/>
      <c r="F707" s="112">
        <f>SUM(F700:F706)</f>
        <v>21914.010000000002</v>
      </c>
      <c r="G707" s="81"/>
      <c r="H707" s="81"/>
      <c r="I707" s="81"/>
      <c r="J707" s="81"/>
      <c r="K707" s="81"/>
      <c r="L707" s="81"/>
      <c r="M707" s="81"/>
      <c r="N707" s="81"/>
    </row>
    <row r="708" spans="1:14" ht="14.25" customHeight="1" x14ac:dyDescent="0.25">
      <c r="A708" s="88"/>
      <c r="B708" s="88"/>
      <c r="C708" s="113"/>
      <c r="D708" s="113"/>
      <c r="E708" s="114"/>
      <c r="F708" s="113"/>
      <c r="G708" s="81"/>
      <c r="H708" s="81"/>
      <c r="I708" s="81"/>
      <c r="J708" s="81"/>
      <c r="K708" s="81"/>
      <c r="L708" s="81"/>
      <c r="M708" s="81"/>
      <c r="N708" s="81"/>
    </row>
    <row r="709" spans="1:14" ht="14.25" customHeight="1" x14ac:dyDescent="0.25">
      <c r="A709" s="96" t="s">
        <v>573</v>
      </c>
      <c r="B709" s="96"/>
      <c r="C709" s="92"/>
      <c r="D709" s="92"/>
      <c r="E709" s="92"/>
      <c r="F709" s="92"/>
      <c r="G709" s="81"/>
      <c r="H709" s="81"/>
      <c r="I709" s="81"/>
      <c r="J709" s="81"/>
      <c r="K709" s="81"/>
      <c r="L709" s="81"/>
      <c r="M709" s="81"/>
      <c r="N709" s="81"/>
    </row>
    <row r="710" spans="1:14" ht="14.25" customHeight="1" x14ac:dyDescent="0.25">
      <c r="A710" s="611" t="s">
        <v>563</v>
      </c>
      <c r="B710" s="608"/>
      <c r="C710" s="609"/>
      <c r="D710" s="98" t="s">
        <v>574</v>
      </c>
      <c r="E710" s="98" t="s">
        <v>575</v>
      </c>
      <c r="F710" s="98" t="s">
        <v>568</v>
      </c>
      <c r="G710" s="81"/>
      <c r="H710" s="81"/>
      <c r="I710" s="81"/>
      <c r="J710" s="81"/>
      <c r="K710" s="81"/>
      <c r="L710" s="81"/>
      <c r="M710" s="81"/>
      <c r="N710" s="81"/>
    </row>
    <row r="711" spans="1:14" ht="14.25" customHeight="1" x14ac:dyDescent="0.25">
      <c r="A711" s="607" t="s">
        <v>577</v>
      </c>
      <c r="B711" s="608"/>
      <c r="C711" s="609"/>
      <c r="D711" s="116"/>
      <c r="E711" s="107"/>
      <c r="F711" s="106">
        <v>1346</v>
      </c>
      <c r="G711" s="81"/>
      <c r="H711" s="81"/>
      <c r="I711" s="81"/>
      <c r="J711" s="81"/>
      <c r="K711" s="81"/>
      <c r="L711" s="81"/>
      <c r="M711" s="81"/>
      <c r="N711" s="81"/>
    </row>
    <row r="712" spans="1:14" ht="14.25" customHeight="1" x14ac:dyDescent="0.25">
      <c r="A712" s="607" t="s">
        <v>613</v>
      </c>
      <c r="B712" s="608"/>
      <c r="C712" s="609"/>
      <c r="D712" s="142">
        <v>100000</v>
      </c>
      <c r="E712" s="107">
        <v>10</v>
      </c>
      <c r="F712" s="106">
        <f t="shared" ref="F712" si="38">D712/E712</f>
        <v>10000</v>
      </c>
      <c r="G712" s="81"/>
      <c r="H712" s="81"/>
      <c r="I712" s="81"/>
      <c r="J712" s="81"/>
      <c r="K712" s="81"/>
      <c r="L712" s="81"/>
      <c r="M712" s="81"/>
      <c r="N712" s="81"/>
    </row>
    <row r="713" spans="1:14" ht="14.25" customHeight="1" x14ac:dyDescent="0.25">
      <c r="A713" s="607"/>
      <c r="B713" s="608"/>
      <c r="C713" s="609"/>
      <c r="D713" s="142"/>
      <c r="E713" s="107"/>
      <c r="F713" s="106"/>
      <c r="G713" s="81"/>
      <c r="H713" s="81"/>
      <c r="I713" s="81"/>
      <c r="J713" s="81"/>
      <c r="K713" s="81"/>
      <c r="L713" s="81"/>
      <c r="M713" s="81"/>
      <c r="N713" s="81"/>
    </row>
    <row r="714" spans="1:14" ht="14.25" customHeight="1" x14ac:dyDescent="0.25">
      <c r="A714" s="610"/>
      <c r="B714" s="608"/>
      <c r="C714" s="609"/>
      <c r="D714" s="115"/>
      <c r="E714" s="107"/>
      <c r="F714" s="106"/>
      <c r="G714" s="81"/>
      <c r="H714" s="81"/>
      <c r="I714" s="81"/>
      <c r="J714" s="81"/>
      <c r="K714" s="81"/>
      <c r="L714" s="81"/>
      <c r="M714" s="81"/>
      <c r="N714" s="81"/>
    </row>
    <row r="715" spans="1:14" ht="14.25" customHeight="1" x14ac:dyDescent="0.25">
      <c r="A715" s="611" t="s">
        <v>548</v>
      </c>
      <c r="B715" s="608"/>
      <c r="C715" s="609"/>
      <c r="D715" s="110"/>
      <c r="E715" s="110"/>
      <c r="F715" s="112">
        <f>SUM(F711:F713)</f>
        <v>11346</v>
      </c>
      <c r="G715" s="81"/>
      <c r="H715" s="81"/>
      <c r="I715" s="81"/>
      <c r="J715" s="81"/>
      <c r="K715" s="81"/>
      <c r="L715" s="81"/>
      <c r="M715" s="81"/>
      <c r="N715" s="81"/>
    </row>
    <row r="716" spans="1:14" ht="14.25" customHeight="1" x14ac:dyDescent="0.25">
      <c r="A716" s="88"/>
      <c r="B716" s="88"/>
      <c r="C716" s="89"/>
      <c r="D716" s="113"/>
      <c r="E716" s="113"/>
      <c r="F716" s="113"/>
      <c r="G716" s="81"/>
      <c r="H716" s="81"/>
      <c r="I716" s="81"/>
      <c r="J716" s="81"/>
      <c r="K716" s="81"/>
      <c r="L716" s="81"/>
      <c r="M716" s="81"/>
      <c r="N716" s="81"/>
    </row>
    <row r="717" spans="1:14" ht="14.25" customHeight="1" x14ac:dyDescent="0.25">
      <c r="A717" s="96" t="s">
        <v>578</v>
      </c>
      <c r="B717" s="96"/>
      <c r="C717" s="92"/>
      <c r="D717" s="118"/>
      <c r="E717" s="118"/>
      <c r="F717" s="118"/>
      <c r="G717" s="81"/>
      <c r="H717" s="81"/>
      <c r="I717" s="81"/>
      <c r="J717" s="81"/>
      <c r="K717" s="81"/>
      <c r="L717" s="81"/>
      <c r="M717" s="81"/>
      <c r="N717" s="81"/>
    </row>
    <row r="718" spans="1:14" ht="14.25" customHeight="1" x14ac:dyDescent="0.25">
      <c r="A718" s="119" t="s">
        <v>563</v>
      </c>
      <c r="B718" s="120" t="s">
        <v>579</v>
      </c>
      <c r="C718" s="120" t="s">
        <v>580</v>
      </c>
      <c r="D718" s="121" t="s">
        <v>581</v>
      </c>
      <c r="E718" s="121" t="s">
        <v>575</v>
      </c>
      <c r="F718" s="121" t="s">
        <v>568</v>
      </c>
      <c r="G718" s="81"/>
      <c r="H718" s="81"/>
      <c r="I718" s="81"/>
      <c r="J718" s="81"/>
      <c r="K718" s="81"/>
      <c r="L718" s="81"/>
      <c r="M718" s="81"/>
      <c r="N718" s="81"/>
    </row>
    <row r="719" spans="1:14" ht="14.25" customHeight="1" x14ac:dyDescent="0.25">
      <c r="A719" s="122" t="s">
        <v>593</v>
      </c>
      <c r="B719" s="127">
        <v>1</v>
      </c>
      <c r="C719" s="101">
        <v>32688</v>
      </c>
      <c r="D719" s="101">
        <f t="shared" ref="D719:D720" si="39">+C719*1.7</f>
        <v>55569.599999999999</v>
      </c>
      <c r="E719" s="107">
        <f>+(E712*4)*0.2</f>
        <v>8</v>
      </c>
      <c r="F719" s="106">
        <f t="shared" ref="F719:F720" si="40">+B719*(D719)/E719</f>
        <v>6946.2</v>
      </c>
      <c r="G719" s="81"/>
      <c r="H719" s="81"/>
      <c r="I719" s="81"/>
      <c r="J719" s="81"/>
      <c r="K719" s="81"/>
      <c r="L719" s="81"/>
      <c r="M719" s="81"/>
      <c r="N719" s="81"/>
    </row>
    <row r="720" spans="1:14" ht="14.25" customHeight="1" x14ac:dyDescent="0.25">
      <c r="A720" s="122" t="s">
        <v>594</v>
      </c>
      <c r="B720" s="127">
        <v>1</v>
      </c>
      <c r="C720" s="101">
        <v>52538</v>
      </c>
      <c r="D720" s="101">
        <f t="shared" si="39"/>
        <v>89314.599999999991</v>
      </c>
      <c r="E720" s="107">
        <f>E719</f>
        <v>8</v>
      </c>
      <c r="F720" s="106">
        <f t="shared" si="40"/>
        <v>11164.324999999999</v>
      </c>
      <c r="G720" s="81"/>
      <c r="H720" s="81"/>
      <c r="I720" s="81"/>
      <c r="J720" s="81"/>
      <c r="K720" s="81"/>
      <c r="L720" s="81"/>
      <c r="M720" s="81"/>
      <c r="N720" s="81"/>
    </row>
    <row r="721" spans="1:14" ht="14.25" customHeight="1" x14ac:dyDescent="0.25">
      <c r="A721" s="122"/>
      <c r="B721" s="127"/>
      <c r="C721" s="101"/>
      <c r="D721" s="101"/>
      <c r="E721" s="107"/>
      <c r="F721" s="106"/>
      <c r="G721" s="81"/>
      <c r="H721" s="81"/>
      <c r="I721" s="81"/>
      <c r="J721" s="81"/>
      <c r="K721" s="81"/>
      <c r="L721" s="81"/>
      <c r="M721" s="81"/>
      <c r="N721" s="81"/>
    </row>
    <row r="722" spans="1:14" ht="14.25" customHeight="1" x14ac:dyDescent="0.25">
      <c r="A722" s="122"/>
      <c r="B722" s="127"/>
      <c r="C722" s="101"/>
      <c r="D722" s="101"/>
      <c r="E722" s="125"/>
      <c r="F722" s="106"/>
      <c r="G722" s="81"/>
      <c r="H722" s="81"/>
      <c r="I722" s="81"/>
      <c r="J722" s="81"/>
      <c r="K722" s="81"/>
      <c r="L722" s="81"/>
      <c r="M722" s="81"/>
      <c r="N722" s="81"/>
    </row>
    <row r="723" spans="1:14" ht="14.25" customHeight="1" x14ac:dyDescent="0.25">
      <c r="A723" s="97" t="s">
        <v>548</v>
      </c>
      <c r="B723" s="128"/>
      <c r="C723" s="110"/>
      <c r="D723" s="110"/>
      <c r="E723" s="110"/>
      <c r="F723" s="112">
        <f>SUM(F719:F722)</f>
        <v>18110.524999999998</v>
      </c>
      <c r="G723" s="81"/>
      <c r="H723" s="81"/>
      <c r="I723" s="81"/>
      <c r="J723" s="81"/>
      <c r="K723" s="81"/>
      <c r="L723" s="81"/>
      <c r="M723" s="81"/>
      <c r="N723" s="81"/>
    </row>
    <row r="724" spans="1:14" ht="14.25" customHeight="1" x14ac:dyDescent="0.25">
      <c r="A724" s="96"/>
      <c r="B724" s="129"/>
      <c r="C724" s="118"/>
      <c r="D724" s="118"/>
      <c r="E724" s="118"/>
      <c r="F724" s="118"/>
      <c r="G724" s="81"/>
      <c r="H724" s="81"/>
      <c r="I724" s="81"/>
      <c r="J724" s="81"/>
      <c r="K724" s="81"/>
      <c r="L724" s="81"/>
      <c r="M724" s="81"/>
      <c r="N724" s="81"/>
    </row>
    <row r="725" spans="1:14" ht="14.25" customHeight="1" x14ac:dyDescent="0.25">
      <c r="A725" s="95" t="s">
        <v>583</v>
      </c>
      <c r="B725" s="96"/>
      <c r="C725" s="92"/>
      <c r="D725" s="92"/>
      <c r="E725" s="92" t="s">
        <v>584</v>
      </c>
      <c r="F725" s="92"/>
      <c r="G725" s="81"/>
      <c r="H725" s="81"/>
      <c r="I725" s="81"/>
      <c r="J725" s="81"/>
      <c r="K725" s="81"/>
      <c r="L725" s="81"/>
      <c r="M725" s="81"/>
      <c r="N725" s="81"/>
    </row>
    <row r="726" spans="1:14" ht="14.25" customHeight="1" x14ac:dyDescent="0.25">
      <c r="A726" s="97" t="s">
        <v>563</v>
      </c>
      <c r="B726" s="98" t="s">
        <v>564</v>
      </c>
      <c r="C726" s="98" t="s">
        <v>585</v>
      </c>
      <c r="D726" s="98" t="s">
        <v>586</v>
      </c>
      <c r="E726" s="120" t="s">
        <v>587</v>
      </c>
      <c r="F726" s="98" t="s">
        <v>568</v>
      </c>
      <c r="G726" s="81"/>
      <c r="H726" s="81"/>
      <c r="I726" s="81"/>
      <c r="J726" s="81"/>
      <c r="K726" s="81"/>
      <c r="L726" s="81"/>
      <c r="M726" s="81"/>
      <c r="N726" s="81"/>
    </row>
    <row r="727" spans="1:14" ht="14.25" customHeight="1" x14ac:dyDescent="0.25">
      <c r="A727" s="103" t="s">
        <v>1315</v>
      </c>
      <c r="B727" s="100" t="s">
        <v>551</v>
      </c>
      <c r="C727" s="101">
        <v>1000</v>
      </c>
      <c r="D727" s="140">
        <v>1.3</v>
      </c>
      <c r="E727" s="107">
        <v>18</v>
      </c>
      <c r="F727" s="109">
        <f>+C727*D727*E727</f>
        <v>23400</v>
      </c>
      <c r="G727" s="81"/>
      <c r="H727" s="81"/>
      <c r="I727" s="81"/>
      <c r="J727" s="81"/>
      <c r="K727" s="81"/>
      <c r="L727" s="81"/>
      <c r="M727" s="81"/>
      <c r="N727" s="81"/>
    </row>
    <row r="728" spans="1:14" ht="14.25" customHeight="1" x14ac:dyDescent="0.25">
      <c r="A728" s="103"/>
      <c r="B728" s="100"/>
      <c r="C728" s="107"/>
      <c r="D728" s="107"/>
      <c r="E728" s="108"/>
      <c r="F728" s="109"/>
      <c r="G728" s="81"/>
      <c r="H728" s="81"/>
      <c r="I728" s="81"/>
      <c r="J728" s="81"/>
      <c r="K728" s="81"/>
      <c r="L728" s="81"/>
      <c r="M728" s="81"/>
      <c r="N728" s="81"/>
    </row>
    <row r="729" spans="1:14" ht="14.25" customHeight="1" x14ac:dyDescent="0.25">
      <c r="A729" s="97" t="s">
        <v>548</v>
      </c>
      <c r="B729" s="98"/>
      <c r="C729" s="110"/>
      <c r="D729" s="110"/>
      <c r="E729" s="111"/>
      <c r="F729" s="112">
        <f>SUM(F727:F728)</f>
        <v>23400</v>
      </c>
      <c r="G729" s="81"/>
      <c r="H729" s="81"/>
      <c r="I729" s="81"/>
      <c r="J729" s="81"/>
      <c r="K729" s="81"/>
      <c r="L729" s="81"/>
      <c r="M729" s="81"/>
      <c r="N729" s="81"/>
    </row>
    <row r="730" spans="1:14" ht="14.25" customHeight="1" x14ac:dyDescent="0.25">
      <c r="A730" s="88"/>
      <c r="B730" s="89"/>
      <c r="C730" s="113"/>
      <c r="D730" s="113"/>
      <c r="E730" s="114"/>
      <c r="F730" s="113"/>
      <c r="G730" s="81"/>
      <c r="H730" s="81"/>
      <c r="I730" s="81"/>
      <c r="J730" s="81"/>
      <c r="K730" s="81"/>
      <c r="L730" s="81"/>
      <c r="M730" s="81"/>
      <c r="N730" s="81"/>
    </row>
    <row r="731" spans="1:14" ht="14.25" customHeight="1" x14ac:dyDescent="0.25">
      <c r="A731" s="88"/>
      <c r="B731" s="89"/>
      <c r="C731" s="113"/>
      <c r="D731" s="113"/>
      <c r="E731" s="114"/>
      <c r="F731" s="113"/>
      <c r="G731" s="81"/>
      <c r="H731" s="81"/>
      <c r="I731" s="81"/>
      <c r="J731" s="81"/>
      <c r="K731" s="81"/>
      <c r="L731" s="81"/>
      <c r="M731" s="81"/>
      <c r="N731" s="81"/>
    </row>
    <row r="732" spans="1:14" ht="14.25" customHeight="1" x14ac:dyDescent="0.25">
      <c r="A732" s="612" t="s">
        <v>588</v>
      </c>
      <c r="B732" s="608"/>
      <c r="C732" s="608"/>
      <c r="D732" s="608"/>
      <c r="E732" s="609"/>
      <c r="F732" s="131">
        <f>ROUND(F707+F715+F723+F729,0)</f>
        <v>74771</v>
      </c>
      <c r="G732" s="81"/>
      <c r="H732" s="281">
        <f>+'Presupuesto Especifico'!F19-F732</f>
        <v>0</v>
      </c>
      <c r="I732" s="81"/>
      <c r="J732" s="81"/>
      <c r="K732" s="81"/>
      <c r="L732" s="81"/>
      <c r="M732" s="81"/>
      <c r="N732" s="81"/>
    </row>
    <row r="733" spans="1:14" ht="14.25" customHeight="1" x14ac:dyDescent="0.25">
      <c r="A733" s="612" t="s">
        <v>589</v>
      </c>
      <c r="B733" s="608"/>
      <c r="C733" s="608"/>
      <c r="D733" s="608"/>
      <c r="E733" s="609"/>
      <c r="F733" s="132"/>
      <c r="G733" s="81"/>
      <c r="H733" s="81"/>
      <c r="I733" s="81"/>
      <c r="J733" s="81"/>
      <c r="K733" s="81"/>
      <c r="L733" s="81"/>
      <c r="M733" s="81"/>
      <c r="N733" s="81"/>
    </row>
    <row r="734" spans="1:14" ht="14.25" customHeight="1" x14ac:dyDescent="0.25">
      <c r="A734" s="612" t="s">
        <v>556</v>
      </c>
      <c r="B734" s="608"/>
      <c r="C734" s="608"/>
      <c r="D734" s="608"/>
      <c r="E734" s="609"/>
      <c r="F734" s="133"/>
      <c r="G734" s="81"/>
      <c r="H734" s="81"/>
      <c r="I734" s="81"/>
      <c r="J734" s="81"/>
      <c r="K734" s="81"/>
      <c r="L734" s="81"/>
      <c r="M734" s="81"/>
      <c r="N734" s="81"/>
    </row>
    <row r="735" spans="1:14" ht="14.25" customHeight="1" x14ac:dyDescent="0.25">
      <c r="A735" s="134"/>
      <c r="B735" s="135"/>
      <c r="C735" s="135"/>
      <c r="D735" s="135"/>
      <c r="E735" s="135"/>
      <c r="F735" s="136"/>
      <c r="G735" s="81"/>
      <c r="H735" s="81"/>
      <c r="I735" s="81"/>
      <c r="J735" s="81"/>
      <c r="K735" s="81"/>
      <c r="L735" s="81"/>
      <c r="M735" s="81"/>
      <c r="N735" s="81"/>
    </row>
    <row r="736" spans="1:14" ht="14.25" customHeight="1" x14ac:dyDescent="0.25">
      <c r="A736" s="81"/>
      <c r="B736" s="81"/>
      <c r="C736" s="137"/>
      <c r="D736" s="81"/>
      <c r="E736" s="81"/>
      <c r="F736" s="81"/>
      <c r="G736" s="81"/>
      <c r="H736" s="81"/>
      <c r="I736" s="81"/>
      <c r="J736" s="81"/>
      <c r="K736" s="81"/>
      <c r="L736" s="81"/>
      <c r="M736" s="81"/>
      <c r="N736" s="81"/>
    </row>
    <row r="737" spans="1:14" ht="14.25" customHeight="1" x14ac:dyDescent="0.25">
      <c r="A737" s="81"/>
      <c r="B737" s="81"/>
      <c r="C737" s="137"/>
      <c r="D737" s="81"/>
      <c r="E737" s="81"/>
      <c r="F737" s="81"/>
      <c r="G737" s="81"/>
      <c r="H737" s="81"/>
      <c r="I737" s="81"/>
      <c r="J737" s="81"/>
      <c r="K737" s="81"/>
      <c r="L737" s="81"/>
      <c r="M737" s="81"/>
      <c r="N737" s="81"/>
    </row>
    <row r="738" spans="1:14" ht="14.25" customHeight="1" x14ac:dyDescent="0.25">
      <c r="A738" s="81"/>
      <c r="B738" s="81"/>
      <c r="C738" s="137"/>
      <c r="D738" s="81"/>
      <c r="E738" s="81"/>
      <c r="F738" s="81"/>
      <c r="G738" s="81"/>
      <c r="H738" s="81"/>
      <c r="I738" s="81"/>
      <c r="J738" s="81"/>
      <c r="K738" s="81"/>
      <c r="L738" s="81"/>
      <c r="M738" s="81"/>
      <c r="N738" s="81"/>
    </row>
    <row r="739" spans="1:14" ht="14.25" customHeight="1" x14ac:dyDescent="0.25">
      <c r="A739" s="81"/>
      <c r="B739" s="81"/>
      <c r="C739" s="137"/>
      <c r="D739" s="81"/>
      <c r="E739" s="81"/>
      <c r="F739" s="81"/>
      <c r="G739" s="81"/>
      <c r="H739" s="81"/>
      <c r="I739" s="81"/>
      <c r="J739" s="81"/>
      <c r="K739" s="81"/>
      <c r="L739" s="81"/>
      <c r="M739" s="81"/>
      <c r="N739" s="81"/>
    </row>
    <row r="740" spans="1:14" s="278" customFormat="1" ht="14.25" customHeight="1" x14ac:dyDescent="0.25">
      <c r="A740" s="81"/>
      <c r="B740" s="81"/>
      <c r="C740" s="137"/>
      <c r="D740" s="81"/>
      <c r="E740" s="81"/>
      <c r="F740" s="81"/>
      <c r="G740" s="81"/>
      <c r="H740" s="81"/>
      <c r="I740" s="81"/>
      <c r="J740" s="81"/>
      <c r="K740" s="81"/>
      <c r="L740" s="81"/>
      <c r="M740" s="81"/>
      <c r="N740" s="81"/>
    </row>
    <row r="741" spans="1:14" s="278" customFormat="1" ht="14.25" customHeight="1" x14ac:dyDescent="0.25">
      <c r="A741" s="81"/>
      <c r="B741" s="81"/>
      <c r="C741" s="137"/>
      <c r="D741" s="81"/>
      <c r="E741" s="81"/>
      <c r="F741" s="81"/>
      <c r="G741" s="81"/>
      <c r="H741" s="81"/>
      <c r="I741" s="81"/>
      <c r="J741" s="81"/>
      <c r="K741" s="81"/>
      <c r="L741" s="81"/>
      <c r="M741" s="81"/>
      <c r="N741" s="81"/>
    </row>
    <row r="742" spans="1:14" s="278" customFormat="1" ht="14.25" customHeight="1" x14ac:dyDescent="0.25">
      <c r="A742" s="279"/>
      <c r="B742" s="135"/>
      <c r="C742" s="135"/>
      <c r="D742" s="135"/>
      <c r="E742" s="135"/>
      <c r="F742" s="136"/>
      <c r="G742" s="81"/>
      <c r="H742" s="81"/>
      <c r="I742" s="81"/>
      <c r="J742" s="81"/>
      <c r="K742" s="81"/>
      <c r="L742" s="81"/>
      <c r="M742" s="81"/>
      <c r="N742" s="81"/>
    </row>
    <row r="743" spans="1:14" s="278" customFormat="1" ht="14.25" customHeight="1" x14ac:dyDescent="0.25">
      <c r="A743" s="279"/>
      <c r="B743" s="135"/>
      <c r="C743" s="135"/>
      <c r="D743" s="135"/>
      <c r="E743" s="135"/>
      <c r="F743" s="136"/>
      <c r="G743" s="81"/>
      <c r="H743" s="81"/>
      <c r="I743" s="81"/>
      <c r="J743" s="81"/>
      <c r="K743" s="81"/>
      <c r="L743" s="81"/>
      <c r="M743" s="81"/>
      <c r="N743" s="81"/>
    </row>
    <row r="744" spans="1:14" s="278" customFormat="1" ht="14.25" customHeight="1" x14ac:dyDescent="0.25">
      <c r="A744" s="279"/>
      <c r="B744" s="135"/>
      <c r="C744" s="135"/>
      <c r="D744" s="135"/>
      <c r="E744" s="135"/>
      <c r="F744" s="136"/>
      <c r="G744" s="81"/>
      <c r="H744" s="81"/>
      <c r="I744" s="81"/>
      <c r="J744" s="81"/>
      <c r="K744" s="81"/>
      <c r="L744" s="81"/>
      <c r="M744" s="81"/>
      <c r="N744" s="81"/>
    </row>
    <row r="745" spans="1:14" s="278" customFormat="1" ht="14.25" customHeight="1" thickBot="1" x14ac:dyDescent="0.3">
      <c r="A745" s="81"/>
      <c r="B745" s="81"/>
      <c r="C745" s="81"/>
      <c r="D745" s="81"/>
      <c r="E745" s="81"/>
      <c r="F745" s="81"/>
      <c r="G745" s="81"/>
      <c r="H745" s="81"/>
      <c r="I745" s="81"/>
      <c r="J745" s="81"/>
      <c r="K745" s="81"/>
      <c r="L745" s="81"/>
      <c r="M745" s="81"/>
      <c r="N745" s="81"/>
    </row>
    <row r="746" spans="1:14" s="278" customFormat="1" ht="14.25" customHeight="1" x14ac:dyDescent="0.25">
      <c r="A746" s="83"/>
      <c r="B746" s="84"/>
      <c r="C746" s="85"/>
      <c r="D746" s="86"/>
      <c r="E746" s="86"/>
      <c r="F746" s="87"/>
      <c r="G746" s="81"/>
      <c r="H746" s="81"/>
      <c r="I746" s="81"/>
      <c r="J746" s="81"/>
      <c r="K746" s="81"/>
      <c r="L746" s="81"/>
      <c r="M746" s="81"/>
      <c r="N746" s="81"/>
    </row>
    <row r="747" spans="1:14" s="278" customFormat="1" ht="14.25" customHeight="1" x14ac:dyDescent="0.25">
      <c r="A747" s="599"/>
      <c r="B747" s="600"/>
      <c r="C747" s="600"/>
      <c r="D747" s="600"/>
      <c r="E747" s="600"/>
      <c r="F747" s="601"/>
      <c r="G747" s="81"/>
      <c r="H747" s="81"/>
      <c r="I747" s="81"/>
      <c r="J747" s="81"/>
      <c r="K747" s="81"/>
      <c r="L747" s="81"/>
      <c r="M747" s="81"/>
      <c r="N747" s="81"/>
    </row>
    <row r="748" spans="1:14" s="278" customFormat="1" ht="14.25" customHeight="1" x14ac:dyDescent="0.25">
      <c r="A748" s="602" t="s">
        <v>561</v>
      </c>
      <c r="B748" s="600"/>
      <c r="C748" s="600"/>
      <c r="D748" s="600"/>
      <c r="E748" s="600"/>
      <c r="F748" s="601"/>
      <c r="G748" s="81"/>
      <c r="H748" s="81"/>
      <c r="I748" s="81"/>
      <c r="J748" s="81"/>
      <c r="K748" s="81"/>
      <c r="L748" s="81"/>
      <c r="M748" s="81"/>
      <c r="N748" s="81"/>
    </row>
    <row r="749" spans="1:14" s="278" customFormat="1" ht="14.25" customHeight="1" thickBot="1" x14ac:dyDescent="0.3">
      <c r="A749" s="603"/>
      <c r="B749" s="604"/>
      <c r="C749" s="604"/>
      <c r="D749" s="604"/>
      <c r="E749" s="604"/>
      <c r="F749" s="605"/>
      <c r="G749" s="81"/>
      <c r="H749" s="81"/>
      <c r="I749" s="81"/>
      <c r="J749" s="81"/>
      <c r="K749" s="81"/>
      <c r="L749" s="81"/>
      <c r="M749" s="81"/>
      <c r="N749" s="81"/>
    </row>
    <row r="750" spans="1:14" s="278" customFormat="1" ht="14.25" customHeight="1" x14ac:dyDescent="0.25">
      <c r="A750" s="88"/>
      <c r="B750" s="88"/>
      <c r="C750" s="89"/>
      <c r="D750" s="89"/>
      <c r="E750" s="89"/>
      <c r="F750" s="89"/>
      <c r="G750" s="81"/>
      <c r="H750" s="81"/>
      <c r="I750" s="81"/>
      <c r="J750" s="81"/>
      <c r="K750" s="81"/>
      <c r="L750" s="81"/>
      <c r="M750" s="81"/>
      <c r="N750" s="81"/>
    </row>
    <row r="751" spans="1:14" s="278" customFormat="1" ht="29.25" customHeight="1" x14ac:dyDescent="0.25">
      <c r="A751" s="90" t="s">
        <v>47</v>
      </c>
      <c r="B751" s="613" t="s">
        <v>82</v>
      </c>
      <c r="C751" s="600"/>
      <c r="D751" s="600"/>
      <c r="E751" s="600"/>
      <c r="F751" s="600"/>
      <c r="G751" s="81"/>
      <c r="H751" s="81"/>
      <c r="I751" s="81"/>
      <c r="J751" s="81"/>
      <c r="K751" s="81"/>
      <c r="L751" s="81"/>
      <c r="M751" s="81"/>
      <c r="N751" s="81"/>
    </row>
    <row r="752" spans="1:14" s="278" customFormat="1" ht="14.25" customHeight="1" x14ac:dyDescent="0.25">
      <c r="A752" s="91"/>
      <c r="B752" s="91"/>
      <c r="C752" s="91"/>
      <c r="D752" s="91"/>
      <c r="E752" s="91"/>
      <c r="F752" s="91"/>
      <c r="G752" s="81"/>
      <c r="H752" s="81"/>
      <c r="I752" s="81"/>
      <c r="J752" s="81"/>
      <c r="K752" s="81"/>
      <c r="L752" s="81"/>
      <c r="M752" s="81"/>
      <c r="N752" s="81"/>
    </row>
    <row r="753" spans="1:14" s="278" customFormat="1" ht="14.25" customHeight="1" x14ac:dyDescent="0.25">
      <c r="A753" s="88" t="s">
        <v>49</v>
      </c>
      <c r="B753" s="92" t="s">
        <v>64</v>
      </c>
      <c r="C753" s="89"/>
      <c r="D753" s="89"/>
      <c r="E753" s="89"/>
      <c r="F753" s="93"/>
      <c r="G753" s="81"/>
      <c r="H753" s="81"/>
      <c r="I753" s="81"/>
      <c r="J753" s="81"/>
      <c r="K753" s="81"/>
      <c r="L753" s="81"/>
      <c r="M753" s="81"/>
      <c r="N753" s="81"/>
    </row>
    <row r="754" spans="1:14" s="278" customFormat="1" ht="14.25" customHeight="1" x14ac:dyDescent="0.25">
      <c r="A754" s="88"/>
      <c r="B754" s="94"/>
      <c r="C754" s="89"/>
      <c r="D754" s="89"/>
      <c r="E754" s="89"/>
      <c r="F754" s="93"/>
      <c r="G754" s="81"/>
      <c r="H754" s="81"/>
      <c r="I754" s="81"/>
      <c r="J754" s="81"/>
      <c r="K754" s="81"/>
      <c r="L754" s="81"/>
      <c r="M754" s="81"/>
      <c r="N754" s="81"/>
    </row>
    <row r="755" spans="1:14" s="278" customFormat="1" ht="14.25" customHeight="1" x14ac:dyDescent="0.25">
      <c r="A755" s="95" t="s">
        <v>562</v>
      </c>
      <c r="B755" s="96"/>
      <c r="C755" s="92"/>
      <c r="D755" s="92"/>
      <c r="E755" s="92"/>
      <c r="F755" s="92"/>
      <c r="G755" s="81"/>
      <c r="H755" s="81"/>
      <c r="I755" s="81"/>
      <c r="J755" s="81"/>
      <c r="K755" s="81"/>
      <c r="L755" s="81"/>
      <c r="M755" s="81"/>
      <c r="N755" s="81"/>
    </row>
    <row r="756" spans="1:14" s="278" customFormat="1" ht="14.25" customHeight="1" x14ac:dyDescent="0.25">
      <c r="A756" s="97" t="s">
        <v>563</v>
      </c>
      <c r="B756" s="98" t="s">
        <v>564</v>
      </c>
      <c r="C756" s="98" t="s">
        <v>565</v>
      </c>
      <c r="D756" s="98" t="s">
        <v>566</v>
      </c>
      <c r="E756" s="98" t="s">
        <v>567</v>
      </c>
      <c r="F756" s="98" t="s">
        <v>568</v>
      </c>
      <c r="G756" s="81"/>
      <c r="H756" s="81"/>
      <c r="I756" s="81"/>
      <c r="J756" s="81"/>
      <c r="K756" s="81"/>
      <c r="L756" s="81"/>
      <c r="M756" s="81"/>
      <c r="N756" s="81"/>
    </row>
    <row r="757" spans="1:14" s="278" customFormat="1" ht="14.25" customHeight="1" x14ac:dyDescent="0.25">
      <c r="A757" s="99" t="s">
        <v>611</v>
      </c>
      <c r="B757" s="100" t="s">
        <v>612</v>
      </c>
      <c r="C757" s="101">
        <v>12</v>
      </c>
      <c r="D757" s="104">
        <v>35</v>
      </c>
      <c r="E757" s="102">
        <v>0.05</v>
      </c>
      <c r="F757" s="101">
        <f>C757*(D757+(D757*E757))</f>
        <v>441</v>
      </c>
      <c r="G757" s="81"/>
      <c r="H757" s="81"/>
      <c r="I757" s="81"/>
      <c r="J757" s="81"/>
      <c r="K757" s="81"/>
      <c r="L757" s="81"/>
      <c r="M757" s="81"/>
      <c r="N757" s="81"/>
    </row>
    <row r="758" spans="1:14" s="278" customFormat="1" ht="14.25" customHeight="1" x14ac:dyDescent="0.25">
      <c r="A758" s="99"/>
      <c r="B758" s="100"/>
      <c r="C758" s="101"/>
      <c r="D758" s="104"/>
      <c r="E758" s="102"/>
      <c r="F758" s="101"/>
      <c r="G758" s="81"/>
      <c r="H758" s="81"/>
      <c r="I758" s="81"/>
      <c r="J758" s="81"/>
      <c r="K758" s="81"/>
      <c r="L758" s="81"/>
      <c r="M758" s="81"/>
      <c r="N758" s="81"/>
    </row>
    <row r="759" spans="1:14" s="278" customFormat="1" ht="14.25" customHeight="1" x14ac:dyDescent="0.25">
      <c r="A759" s="103"/>
      <c r="B759" s="100"/>
      <c r="C759" s="101"/>
      <c r="D759" s="104"/>
      <c r="E759" s="102"/>
      <c r="F759" s="101"/>
      <c r="G759" s="81"/>
      <c r="H759" s="81"/>
      <c r="I759" s="81"/>
      <c r="J759" s="81"/>
      <c r="K759" s="81"/>
      <c r="L759" s="81"/>
      <c r="M759" s="81"/>
      <c r="N759" s="81"/>
    </row>
    <row r="760" spans="1:14" s="278" customFormat="1" ht="14.25" customHeight="1" x14ac:dyDescent="0.25">
      <c r="A760" s="99"/>
      <c r="B760" s="100"/>
      <c r="C760" s="101"/>
      <c r="D760" s="104"/>
      <c r="E760" s="102"/>
      <c r="F760" s="101"/>
      <c r="G760" s="81"/>
      <c r="H760" s="81"/>
      <c r="I760" s="81"/>
      <c r="J760" s="81"/>
      <c r="K760" s="81"/>
      <c r="L760" s="81"/>
      <c r="M760" s="81"/>
      <c r="N760" s="81"/>
    </row>
    <row r="761" spans="1:14" s="278" customFormat="1" ht="14.25" customHeight="1" x14ac:dyDescent="0.25">
      <c r="A761" s="99"/>
      <c r="B761" s="100"/>
      <c r="C761" s="106"/>
      <c r="D761" s="104"/>
      <c r="E761" s="102"/>
      <c r="F761" s="101"/>
      <c r="G761" s="81"/>
      <c r="H761" s="81"/>
      <c r="I761" s="81"/>
      <c r="J761" s="81"/>
      <c r="K761" s="81"/>
      <c r="L761" s="81"/>
      <c r="M761" s="81"/>
      <c r="N761" s="81"/>
    </row>
    <row r="762" spans="1:14" s="278" customFormat="1" ht="14.25" customHeight="1" x14ac:dyDescent="0.25">
      <c r="A762" s="103"/>
      <c r="B762" s="100"/>
      <c r="C762" s="101"/>
      <c r="D762" s="105"/>
      <c r="E762" s="102"/>
      <c r="F762" s="101"/>
      <c r="G762" s="81"/>
      <c r="H762" s="81"/>
      <c r="I762" s="81"/>
      <c r="J762" s="81"/>
      <c r="K762" s="81"/>
      <c r="L762" s="81"/>
      <c r="M762" s="81"/>
      <c r="N762" s="81"/>
    </row>
    <row r="763" spans="1:14" s="278" customFormat="1" ht="14.25" customHeight="1" x14ac:dyDescent="0.25">
      <c r="A763" s="99"/>
      <c r="B763" s="100"/>
      <c r="C763" s="106"/>
      <c r="D763" s="107"/>
      <c r="E763" s="108"/>
      <c r="F763" s="106"/>
      <c r="G763" s="81"/>
      <c r="H763" s="81"/>
      <c r="I763" s="81"/>
      <c r="J763" s="81"/>
      <c r="K763" s="81"/>
      <c r="L763" s="81"/>
      <c r="M763" s="81"/>
      <c r="N763" s="81"/>
    </row>
    <row r="764" spans="1:14" s="278" customFormat="1" ht="14.25" customHeight="1" x14ac:dyDescent="0.25">
      <c r="A764" s="97" t="s">
        <v>548</v>
      </c>
      <c r="B764" s="97"/>
      <c r="C764" s="109"/>
      <c r="D764" s="110"/>
      <c r="E764" s="111"/>
      <c r="F764" s="112">
        <f>SUM(F757:F763)</f>
        <v>441</v>
      </c>
      <c r="G764" s="81"/>
      <c r="H764" s="81"/>
      <c r="I764" s="81"/>
      <c r="J764" s="81"/>
      <c r="K764" s="81"/>
      <c r="L764" s="81"/>
      <c r="M764" s="81"/>
      <c r="N764" s="81"/>
    </row>
    <row r="765" spans="1:14" s="278" customFormat="1" ht="14.25" customHeight="1" x14ac:dyDescent="0.25">
      <c r="A765" s="88"/>
      <c r="B765" s="88"/>
      <c r="C765" s="113"/>
      <c r="D765" s="113"/>
      <c r="E765" s="114"/>
      <c r="F765" s="113"/>
      <c r="G765" s="81"/>
      <c r="H765" s="81"/>
      <c r="I765" s="81"/>
      <c r="J765" s="81"/>
      <c r="K765" s="81"/>
      <c r="L765" s="81"/>
      <c r="M765" s="81"/>
      <c r="N765" s="81"/>
    </row>
    <row r="766" spans="1:14" s="278" customFormat="1" ht="14.25" customHeight="1" x14ac:dyDescent="0.25">
      <c r="A766" s="96" t="s">
        <v>573</v>
      </c>
      <c r="B766" s="96"/>
      <c r="C766" s="92"/>
      <c r="D766" s="92"/>
      <c r="E766" s="92"/>
      <c r="F766" s="92"/>
      <c r="G766" s="81"/>
      <c r="H766" s="81"/>
      <c r="I766" s="81"/>
      <c r="J766" s="81"/>
      <c r="K766" s="81"/>
      <c r="L766" s="81"/>
      <c r="M766" s="81"/>
      <c r="N766" s="81"/>
    </row>
    <row r="767" spans="1:14" s="278" customFormat="1" ht="14.25" customHeight="1" x14ac:dyDescent="0.25">
      <c r="A767" s="611" t="s">
        <v>563</v>
      </c>
      <c r="B767" s="608"/>
      <c r="C767" s="609"/>
      <c r="D767" s="98" t="s">
        <v>574</v>
      </c>
      <c r="E767" s="98" t="s">
        <v>575</v>
      </c>
      <c r="F767" s="98" t="s">
        <v>568</v>
      </c>
      <c r="G767" s="81"/>
      <c r="H767" s="81"/>
      <c r="I767" s="81"/>
      <c r="J767" s="81"/>
      <c r="K767" s="81"/>
      <c r="L767" s="81"/>
      <c r="M767" s="81"/>
      <c r="N767" s="81"/>
    </row>
    <row r="768" spans="1:14" s="278" customFormat="1" ht="14.25" customHeight="1" x14ac:dyDescent="0.25">
      <c r="A768" s="607" t="s">
        <v>577</v>
      </c>
      <c r="B768" s="608"/>
      <c r="C768" s="609"/>
      <c r="D768" s="116"/>
      <c r="E768" s="107"/>
      <c r="F768" s="106">
        <v>1346</v>
      </c>
      <c r="G768" s="81"/>
      <c r="H768" s="81"/>
      <c r="I768" s="81"/>
      <c r="J768" s="81"/>
      <c r="K768" s="81"/>
      <c r="L768" s="81"/>
      <c r="M768" s="81"/>
      <c r="N768" s="81"/>
    </row>
    <row r="769" spans="1:14" s="278" customFormat="1" ht="14.25" customHeight="1" x14ac:dyDescent="0.25">
      <c r="A769" s="607" t="s">
        <v>613</v>
      </c>
      <c r="B769" s="608"/>
      <c r="C769" s="609"/>
      <c r="D769" s="142">
        <v>100000</v>
      </c>
      <c r="E769" s="107">
        <v>10</v>
      </c>
      <c r="F769" s="106">
        <f t="shared" ref="F769" si="41">D769/E769</f>
        <v>10000</v>
      </c>
      <c r="G769" s="81"/>
      <c r="H769" s="81"/>
      <c r="I769" s="81"/>
      <c r="J769" s="81"/>
      <c r="K769" s="81"/>
      <c r="L769" s="81"/>
      <c r="M769" s="81"/>
      <c r="N769" s="81"/>
    </row>
    <row r="770" spans="1:14" s="278" customFormat="1" ht="14.25" customHeight="1" x14ac:dyDescent="0.25">
      <c r="A770" s="607"/>
      <c r="B770" s="608"/>
      <c r="C770" s="609"/>
      <c r="D770" s="142"/>
      <c r="E770" s="107"/>
      <c r="F770" s="106"/>
      <c r="G770" s="81"/>
      <c r="H770" s="81"/>
      <c r="I770" s="81"/>
      <c r="J770" s="81"/>
      <c r="K770" s="81"/>
      <c r="L770" s="81"/>
      <c r="M770" s="81"/>
      <c r="N770" s="81"/>
    </row>
    <row r="771" spans="1:14" s="278" customFormat="1" ht="14.25" customHeight="1" x14ac:dyDescent="0.25">
      <c r="A771" s="610"/>
      <c r="B771" s="608"/>
      <c r="C771" s="609"/>
      <c r="D771" s="115"/>
      <c r="E771" s="107"/>
      <c r="F771" s="106"/>
      <c r="G771" s="81"/>
      <c r="H771" s="81"/>
      <c r="I771" s="81"/>
      <c r="J771" s="81"/>
      <c r="K771" s="81"/>
      <c r="L771" s="81"/>
      <c r="M771" s="81"/>
      <c r="N771" s="81"/>
    </row>
    <row r="772" spans="1:14" s="278" customFormat="1" ht="14.25" customHeight="1" x14ac:dyDescent="0.25">
      <c r="A772" s="611" t="s">
        <v>548</v>
      </c>
      <c r="B772" s="608"/>
      <c r="C772" s="609"/>
      <c r="D772" s="110"/>
      <c r="E772" s="110"/>
      <c r="F772" s="112">
        <f>SUM(F768:F770)</f>
        <v>11346</v>
      </c>
      <c r="G772" s="81"/>
      <c r="H772" s="81"/>
      <c r="I772" s="81"/>
      <c r="J772" s="81"/>
      <c r="K772" s="81"/>
      <c r="L772" s="81"/>
      <c r="M772" s="81"/>
      <c r="N772" s="81"/>
    </row>
    <row r="773" spans="1:14" s="278" customFormat="1" ht="14.25" customHeight="1" x14ac:dyDescent="0.25">
      <c r="A773" s="88"/>
      <c r="B773" s="88"/>
      <c r="C773" s="89"/>
      <c r="D773" s="113"/>
      <c r="E773" s="113"/>
      <c r="F773" s="113"/>
      <c r="G773" s="81"/>
      <c r="H773" s="81"/>
      <c r="I773" s="81"/>
      <c r="J773" s="81"/>
      <c r="K773" s="81"/>
      <c r="L773" s="81"/>
      <c r="M773" s="81"/>
      <c r="N773" s="81"/>
    </row>
    <row r="774" spans="1:14" s="278" customFormat="1" ht="14.25" customHeight="1" x14ac:dyDescent="0.25">
      <c r="A774" s="96" t="s">
        <v>578</v>
      </c>
      <c r="B774" s="96"/>
      <c r="C774" s="92"/>
      <c r="D774" s="118"/>
      <c r="E774" s="118"/>
      <c r="F774" s="118"/>
      <c r="G774" s="81"/>
      <c r="H774" s="81"/>
      <c r="I774" s="81"/>
      <c r="J774" s="81"/>
      <c r="K774" s="81"/>
      <c r="L774" s="81"/>
      <c r="M774" s="81"/>
      <c r="N774" s="81"/>
    </row>
    <row r="775" spans="1:14" s="278" customFormat="1" ht="14.25" customHeight="1" x14ac:dyDescent="0.25">
      <c r="A775" s="119" t="s">
        <v>563</v>
      </c>
      <c r="B775" s="120" t="s">
        <v>579</v>
      </c>
      <c r="C775" s="120" t="s">
        <v>580</v>
      </c>
      <c r="D775" s="121" t="s">
        <v>581</v>
      </c>
      <c r="E775" s="121" t="s">
        <v>575</v>
      </c>
      <c r="F775" s="121" t="s">
        <v>568</v>
      </c>
      <c r="G775" s="81"/>
      <c r="H775" s="81"/>
      <c r="I775" s="81"/>
      <c r="J775" s="81"/>
      <c r="K775" s="81"/>
      <c r="L775" s="81"/>
      <c r="M775" s="81"/>
      <c r="N775" s="81"/>
    </row>
    <row r="776" spans="1:14" s="278" customFormat="1" ht="14.25" customHeight="1" x14ac:dyDescent="0.25">
      <c r="A776" s="122" t="s">
        <v>593</v>
      </c>
      <c r="B776" s="127">
        <v>1</v>
      </c>
      <c r="C776" s="101">
        <v>32688</v>
      </c>
      <c r="D776" s="101">
        <f t="shared" ref="D776:D777" si="42">+C776*1.7</f>
        <v>55569.599999999999</v>
      </c>
      <c r="E776" s="107">
        <f>+(E769*4)*0.2</f>
        <v>8</v>
      </c>
      <c r="F776" s="106">
        <f t="shared" ref="F776:F777" si="43">+B776*(D776)/E776</f>
        <v>6946.2</v>
      </c>
      <c r="G776" s="81"/>
      <c r="H776" s="81"/>
      <c r="I776" s="81"/>
      <c r="J776" s="81"/>
      <c r="K776" s="81"/>
      <c r="L776" s="81"/>
      <c r="M776" s="81"/>
      <c r="N776" s="81"/>
    </row>
    <row r="777" spans="1:14" s="278" customFormat="1" ht="14.25" customHeight="1" x14ac:dyDescent="0.25">
      <c r="A777" s="122" t="s">
        <v>594</v>
      </c>
      <c r="B777" s="127">
        <v>1</v>
      </c>
      <c r="C777" s="101">
        <v>52538</v>
      </c>
      <c r="D777" s="101">
        <f t="shared" si="42"/>
        <v>89314.599999999991</v>
      </c>
      <c r="E777" s="107">
        <f>E776</f>
        <v>8</v>
      </c>
      <c r="F777" s="106">
        <f t="shared" si="43"/>
        <v>11164.324999999999</v>
      </c>
      <c r="G777" s="81"/>
      <c r="H777" s="81"/>
      <c r="I777" s="81"/>
      <c r="J777" s="81"/>
      <c r="K777" s="81"/>
      <c r="L777" s="81"/>
      <c r="M777" s="81"/>
      <c r="N777" s="81"/>
    </row>
    <row r="778" spans="1:14" s="278" customFormat="1" ht="14.25" customHeight="1" x14ac:dyDescent="0.25">
      <c r="A778" s="122"/>
      <c r="B778" s="127"/>
      <c r="C778" s="101"/>
      <c r="D778" s="101"/>
      <c r="E778" s="107"/>
      <c r="F778" s="106"/>
      <c r="G778" s="81"/>
      <c r="H778" s="81"/>
      <c r="I778" s="81"/>
      <c r="J778" s="81"/>
      <c r="K778" s="81"/>
      <c r="L778" s="81"/>
      <c r="M778" s="81"/>
      <c r="N778" s="81"/>
    </row>
    <row r="779" spans="1:14" s="278" customFormat="1" ht="14.25" customHeight="1" x14ac:dyDescent="0.25">
      <c r="A779" s="122"/>
      <c r="B779" s="127"/>
      <c r="C779" s="101"/>
      <c r="D779" s="101"/>
      <c r="E779" s="125"/>
      <c r="F779" s="106"/>
      <c r="G779" s="81"/>
      <c r="H779" s="81"/>
      <c r="I779" s="81"/>
      <c r="J779" s="81"/>
      <c r="K779" s="81"/>
      <c r="L779" s="81"/>
      <c r="M779" s="81"/>
      <c r="N779" s="81"/>
    </row>
    <row r="780" spans="1:14" s="278" customFormat="1" ht="14.25" customHeight="1" x14ac:dyDescent="0.25">
      <c r="A780" s="97" t="s">
        <v>548</v>
      </c>
      <c r="B780" s="128"/>
      <c r="C780" s="110"/>
      <c r="D780" s="110"/>
      <c r="E780" s="110"/>
      <c r="F780" s="112">
        <f>SUM(F776:F779)</f>
        <v>18110.524999999998</v>
      </c>
      <c r="G780" s="81"/>
      <c r="H780" s="81"/>
      <c r="I780" s="81"/>
      <c r="J780" s="81"/>
      <c r="K780" s="81"/>
      <c r="L780" s="81"/>
      <c r="M780" s="81"/>
      <c r="N780" s="81"/>
    </row>
    <row r="781" spans="1:14" s="278" customFormat="1" ht="14.25" customHeight="1" x14ac:dyDescent="0.25">
      <c r="A781" s="96"/>
      <c r="B781" s="129"/>
      <c r="C781" s="118"/>
      <c r="D781" s="118"/>
      <c r="E781" s="118"/>
      <c r="F781" s="118"/>
      <c r="G781" s="81"/>
      <c r="H781" s="81"/>
      <c r="I781" s="81"/>
      <c r="J781" s="81"/>
      <c r="K781" s="81"/>
      <c r="L781" s="81"/>
      <c r="M781" s="81"/>
      <c r="N781" s="81"/>
    </row>
    <row r="782" spans="1:14" s="278" customFormat="1" ht="14.25" customHeight="1" x14ac:dyDescent="0.25">
      <c r="A782" s="95" t="s">
        <v>583</v>
      </c>
      <c r="B782" s="96"/>
      <c r="C782" s="92"/>
      <c r="D782" s="92"/>
      <c r="E782" s="92" t="s">
        <v>584</v>
      </c>
      <c r="F782" s="92"/>
      <c r="G782" s="81"/>
      <c r="H782" s="81"/>
      <c r="I782" s="81"/>
      <c r="J782" s="81"/>
      <c r="K782" s="81"/>
      <c r="L782" s="81"/>
      <c r="M782" s="81"/>
      <c r="N782" s="81"/>
    </row>
    <row r="783" spans="1:14" s="278" customFormat="1" ht="14.25" customHeight="1" x14ac:dyDescent="0.25">
      <c r="A783" s="97" t="s">
        <v>563</v>
      </c>
      <c r="B783" s="98" t="s">
        <v>564</v>
      </c>
      <c r="C783" s="98" t="s">
        <v>585</v>
      </c>
      <c r="D783" s="98" t="s">
        <v>586</v>
      </c>
      <c r="E783" s="120" t="s">
        <v>587</v>
      </c>
      <c r="F783" s="98" t="s">
        <v>568</v>
      </c>
      <c r="G783" s="81"/>
      <c r="H783" s="81"/>
      <c r="I783" s="81"/>
      <c r="J783" s="81"/>
      <c r="K783" s="81"/>
      <c r="L783" s="81"/>
      <c r="M783" s="81"/>
      <c r="N783" s="81"/>
    </row>
    <row r="784" spans="1:14" s="278" customFormat="1" ht="14.25" customHeight="1" x14ac:dyDescent="0.25">
      <c r="A784" s="103"/>
      <c r="B784" s="100"/>
      <c r="C784" s="101"/>
      <c r="D784" s="140"/>
      <c r="E784" s="107"/>
      <c r="F784" s="109">
        <f>+C784*D784*E784</f>
        <v>0</v>
      </c>
      <c r="G784" s="81"/>
      <c r="H784" s="81"/>
      <c r="I784" s="81"/>
      <c r="J784" s="81"/>
      <c r="K784" s="81"/>
      <c r="L784" s="81"/>
      <c r="M784" s="81"/>
      <c r="N784" s="81"/>
    </row>
    <row r="785" spans="1:14" s="278" customFormat="1" ht="14.25" customHeight="1" x14ac:dyDescent="0.25">
      <c r="A785" s="103"/>
      <c r="B785" s="100"/>
      <c r="C785" s="107"/>
      <c r="D785" s="107"/>
      <c r="E785" s="108"/>
      <c r="F785" s="109"/>
      <c r="G785" s="81"/>
      <c r="H785" s="81"/>
      <c r="I785" s="81"/>
      <c r="J785" s="81"/>
      <c r="K785" s="81"/>
      <c r="L785" s="81"/>
      <c r="M785" s="81"/>
      <c r="N785" s="81"/>
    </row>
    <row r="786" spans="1:14" s="278" customFormat="1" ht="14.25" customHeight="1" x14ac:dyDescent="0.25">
      <c r="A786" s="97" t="s">
        <v>548</v>
      </c>
      <c r="B786" s="98"/>
      <c r="C786" s="110"/>
      <c r="D786" s="110"/>
      <c r="E786" s="111"/>
      <c r="F786" s="112">
        <f>SUM(F784:F785)</f>
        <v>0</v>
      </c>
      <c r="G786" s="81"/>
      <c r="H786" s="81"/>
      <c r="I786" s="81"/>
      <c r="J786" s="81"/>
      <c r="K786" s="81"/>
      <c r="L786" s="81"/>
      <c r="M786" s="81"/>
      <c r="N786" s="81"/>
    </row>
    <row r="787" spans="1:14" s="278" customFormat="1" ht="14.25" customHeight="1" x14ac:dyDescent="0.25">
      <c r="A787" s="88"/>
      <c r="B787" s="89"/>
      <c r="C787" s="113"/>
      <c r="D787" s="113"/>
      <c r="E787" s="114"/>
      <c r="F787" s="113"/>
      <c r="G787" s="81"/>
      <c r="H787" s="81"/>
      <c r="I787" s="81"/>
      <c r="J787" s="81"/>
      <c r="K787" s="81"/>
      <c r="L787" s="81"/>
      <c r="M787" s="81"/>
      <c r="N787" s="81"/>
    </row>
    <row r="788" spans="1:14" s="278" customFormat="1" ht="14.25" customHeight="1" x14ac:dyDescent="0.25">
      <c r="A788" s="88"/>
      <c r="B788" s="89"/>
      <c r="C788" s="113"/>
      <c r="D788" s="113"/>
      <c r="E788" s="114"/>
      <c r="F788" s="113"/>
      <c r="G788" s="81"/>
      <c r="H788" s="81"/>
      <c r="I788" s="81"/>
      <c r="J788" s="81"/>
      <c r="K788" s="81"/>
      <c r="L788" s="81"/>
      <c r="M788" s="81"/>
      <c r="N788" s="81"/>
    </row>
    <row r="789" spans="1:14" s="278" customFormat="1" ht="14.25" customHeight="1" x14ac:dyDescent="0.25">
      <c r="A789" s="612" t="s">
        <v>588</v>
      </c>
      <c r="B789" s="608"/>
      <c r="C789" s="608"/>
      <c r="D789" s="608"/>
      <c r="E789" s="609"/>
      <c r="F789" s="131">
        <f>ROUND(F764+F772+F780+F786,0)</f>
        <v>29898</v>
      </c>
      <c r="G789" s="81"/>
      <c r="H789" s="281">
        <f>+'Presupuesto Especifico'!F20-F789</f>
        <v>0</v>
      </c>
      <c r="I789" s="81"/>
      <c r="J789" s="81"/>
      <c r="K789" s="81"/>
      <c r="L789" s="81"/>
      <c r="M789" s="81"/>
      <c r="N789" s="81"/>
    </row>
    <row r="790" spans="1:14" s="278" customFormat="1" ht="14.25" customHeight="1" x14ac:dyDescent="0.25">
      <c r="A790" s="612" t="s">
        <v>589</v>
      </c>
      <c r="B790" s="608"/>
      <c r="C790" s="608"/>
      <c r="D790" s="608"/>
      <c r="E790" s="609"/>
      <c r="F790" s="132"/>
      <c r="G790" s="81"/>
      <c r="H790" s="81"/>
      <c r="I790" s="81"/>
      <c r="J790" s="81"/>
      <c r="K790" s="81"/>
      <c r="L790" s="81"/>
      <c r="M790" s="81"/>
      <c r="N790" s="81"/>
    </row>
    <row r="791" spans="1:14" s="278" customFormat="1" ht="14.25" customHeight="1" x14ac:dyDescent="0.25">
      <c r="A791" s="612" t="s">
        <v>556</v>
      </c>
      <c r="B791" s="608"/>
      <c r="C791" s="608"/>
      <c r="D791" s="608"/>
      <c r="E791" s="609"/>
      <c r="F791" s="133"/>
      <c r="G791" s="81"/>
      <c r="H791" s="81"/>
      <c r="I791" s="81"/>
      <c r="J791" s="81"/>
      <c r="K791" s="81"/>
      <c r="L791" s="81"/>
      <c r="M791" s="81"/>
      <c r="N791" s="81"/>
    </row>
    <row r="792" spans="1:14" s="278" customFormat="1" ht="14.25" customHeight="1" x14ac:dyDescent="0.25">
      <c r="A792" s="279"/>
      <c r="B792" s="135"/>
      <c r="C792" s="135"/>
      <c r="D792" s="135"/>
      <c r="E792" s="135"/>
      <c r="F792" s="136"/>
      <c r="G792" s="81"/>
      <c r="H792" s="81"/>
      <c r="I792" s="81"/>
      <c r="J792" s="81"/>
      <c r="K792" s="81"/>
      <c r="L792" s="81"/>
      <c r="M792" s="81"/>
      <c r="N792" s="81"/>
    </row>
    <row r="793" spans="1:14" s="278" customFormat="1" ht="14.25" customHeight="1" x14ac:dyDescent="0.25">
      <c r="A793" s="81"/>
      <c r="B793" s="81"/>
      <c r="C793" s="137"/>
      <c r="D793" s="81"/>
      <c r="E793" s="81"/>
      <c r="F793" s="81"/>
      <c r="G793" s="81"/>
      <c r="H793" s="81"/>
      <c r="I793" s="81"/>
      <c r="J793" s="81"/>
      <c r="K793" s="81"/>
      <c r="L793" s="81"/>
      <c r="M793" s="81"/>
      <c r="N793" s="81"/>
    </row>
    <row r="794" spans="1:14" s="278" customFormat="1" ht="14.25" customHeight="1" x14ac:dyDescent="0.25">
      <c r="A794" s="81"/>
      <c r="B794" s="81"/>
      <c r="C794" s="137"/>
      <c r="D794" s="81"/>
      <c r="E794" s="81"/>
      <c r="F794" s="81"/>
      <c r="G794" s="81"/>
      <c r="H794" s="81"/>
      <c r="I794" s="81"/>
      <c r="J794" s="81"/>
      <c r="K794" s="81"/>
      <c r="L794" s="81"/>
      <c r="M794" s="81"/>
      <c r="N794" s="81"/>
    </row>
    <row r="795" spans="1:14" s="278" customFormat="1" ht="14.25" customHeight="1" x14ac:dyDescent="0.25">
      <c r="A795" s="81"/>
      <c r="B795" s="81"/>
      <c r="C795" s="137"/>
      <c r="D795" s="81"/>
      <c r="E795" s="81"/>
      <c r="F795" s="81"/>
      <c r="G795" s="81"/>
      <c r="H795" s="81"/>
      <c r="I795" s="81"/>
      <c r="J795" s="81"/>
      <c r="K795" s="81"/>
      <c r="L795" s="81"/>
      <c r="M795" s="81"/>
      <c r="N795" s="81"/>
    </row>
    <row r="796" spans="1:14" s="278" customFormat="1" ht="14.25" customHeight="1" x14ac:dyDescent="0.25">
      <c r="A796" s="81"/>
      <c r="B796" s="81"/>
      <c r="C796" s="137"/>
      <c r="D796" s="81"/>
      <c r="E796" s="81"/>
      <c r="F796" s="81"/>
      <c r="G796" s="81"/>
      <c r="H796" s="81"/>
      <c r="I796" s="81"/>
      <c r="J796" s="81"/>
      <c r="K796" s="81"/>
      <c r="L796" s="81"/>
      <c r="M796" s="81"/>
      <c r="N796" s="81"/>
    </row>
    <row r="797" spans="1:14" ht="14.25" customHeight="1" x14ac:dyDescent="0.25">
      <c r="A797" s="81"/>
      <c r="B797" s="81"/>
      <c r="C797" s="137"/>
      <c r="D797" s="81"/>
      <c r="E797" s="81"/>
      <c r="F797" s="81"/>
      <c r="G797" s="81"/>
      <c r="H797" s="81"/>
      <c r="I797" s="81"/>
      <c r="J797" s="81"/>
      <c r="K797" s="81"/>
      <c r="L797" s="81"/>
      <c r="M797" s="81"/>
      <c r="N797" s="81"/>
    </row>
    <row r="798" spans="1:14" ht="14.25" customHeight="1" x14ac:dyDescent="0.25">
      <c r="A798" s="81"/>
      <c r="B798" s="81"/>
      <c r="C798" s="137"/>
      <c r="D798" s="81"/>
      <c r="E798" s="81"/>
      <c r="F798" s="81"/>
      <c r="G798" s="81"/>
      <c r="H798" s="81"/>
      <c r="I798" s="81"/>
      <c r="J798" s="81"/>
      <c r="K798" s="81"/>
      <c r="L798" s="81"/>
      <c r="M798" s="81"/>
      <c r="N798" s="81"/>
    </row>
    <row r="799" spans="1:14" ht="14.25" customHeight="1" x14ac:dyDescent="0.25">
      <c r="A799" s="134"/>
      <c r="B799" s="135"/>
      <c r="C799" s="135"/>
      <c r="D799" s="135"/>
      <c r="E799" s="135"/>
      <c r="F799" s="136"/>
      <c r="G799" s="81"/>
      <c r="H799" s="81"/>
      <c r="I799" s="81"/>
      <c r="J799" s="81"/>
      <c r="K799" s="81"/>
      <c r="L799" s="81"/>
      <c r="M799" s="81"/>
      <c r="N799" s="81"/>
    </row>
    <row r="800" spans="1:14" ht="14.25" customHeight="1" x14ac:dyDescent="0.25">
      <c r="A800" s="134"/>
      <c r="B800" s="135"/>
      <c r="C800" s="135"/>
      <c r="D800" s="135"/>
      <c r="E800" s="135"/>
      <c r="F800" s="136"/>
      <c r="G800" s="81"/>
      <c r="H800" s="81"/>
      <c r="I800" s="81"/>
      <c r="J800" s="81"/>
      <c r="K800" s="81"/>
      <c r="L800" s="81"/>
      <c r="M800" s="81"/>
      <c r="N800" s="81"/>
    </row>
    <row r="801" spans="1:14" ht="14.25" customHeight="1" x14ac:dyDescent="0.25">
      <c r="A801" s="134"/>
      <c r="B801" s="135"/>
      <c r="C801" s="135"/>
      <c r="D801" s="135"/>
      <c r="E801" s="135"/>
      <c r="F801" s="136"/>
      <c r="G801" s="81"/>
      <c r="H801" s="81"/>
      <c r="I801" s="81"/>
      <c r="J801" s="81"/>
      <c r="K801" s="81"/>
      <c r="L801" s="81"/>
      <c r="M801" s="81"/>
      <c r="N801" s="81"/>
    </row>
    <row r="802" spans="1:14" ht="14.25" customHeight="1" thickBot="1" x14ac:dyDescent="0.3">
      <c r="A802" s="81"/>
      <c r="B802" s="81"/>
      <c r="C802" s="81"/>
      <c r="D802" s="81"/>
      <c r="E802" s="81"/>
      <c r="F802" s="81"/>
      <c r="G802" s="81"/>
      <c r="H802" s="81"/>
      <c r="I802" s="81"/>
      <c r="J802" s="81"/>
      <c r="K802" s="81"/>
      <c r="L802" s="81"/>
      <c r="M802" s="81"/>
      <c r="N802" s="81"/>
    </row>
    <row r="803" spans="1:14" ht="14.25" customHeight="1" x14ac:dyDescent="0.25">
      <c r="A803" s="83"/>
      <c r="B803" s="84"/>
      <c r="C803" s="85"/>
      <c r="D803" s="86"/>
      <c r="E803" s="86"/>
      <c r="F803" s="87"/>
      <c r="G803" s="81"/>
      <c r="H803" s="81"/>
      <c r="I803" s="81"/>
      <c r="J803" s="81"/>
      <c r="K803" s="81"/>
      <c r="L803" s="81"/>
      <c r="M803" s="81"/>
      <c r="N803" s="81"/>
    </row>
    <row r="804" spans="1:14" ht="14.25" customHeight="1" x14ac:dyDescent="0.25">
      <c r="A804" s="599"/>
      <c r="B804" s="600"/>
      <c r="C804" s="600"/>
      <c r="D804" s="600"/>
      <c r="E804" s="600"/>
      <c r="F804" s="601"/>
      <c r="G804" s="81"/>
      <c r="H804" s="81"/>
      <c r="I804" s="81"/>
      <c r="J804" s="81"/>
      <c r="K804" s="81"/>
      <c r="L804" s="81"/>
      <c r="M804" s="81"/>
      <c r="N804" s="81"/>
    </row>
    <row r="805" spans="1:14" ht="14.25" customHeight="1" x14ac:dyDescent="0.25">
      <c r="A805" s="602" t="s">
        <v>561</v>
      </c>
      <c r="B805" s="600"/>
      <c r="C805" s="600"/>
      <c r="D805" s="600"/>
      <c r="E805" s="600"/>
      <c r="F805" s="601"/>
      <c r="G805" s="81"/>
      <c r="H805" s="81"/>
      <c r="I805" s="81"/>
      <c r="J805" s="81"/>
      <c r="K805" s="81"/>
      <c r="L805" s="81"/>
      <c r="M805" s="81"/>
      <c r="N805" s="81"/>
    </row>
    <row r="806" spans="1:14" ht="14.25" customHeight="1" thickBot="1" x14ac:dyDescent="0.3">
      <c r="A806" s="603"/>
      <c r="B806" s="604"/>
      <c r="C806" s="604"/>
      <c r="D806" s="604"/>
      <c r="E806" s="604"/>
      <c r="F806" s="605"/>
      <c r="G806" s="81"/>
      <c r="H806" s="81"/>
      <c r="I806" s="81"/>
      <c r="J806" s="81"/>
      <c r="K806" s="81"/>
      <c r="L806" s="81"/>
      <c r="M806" s="81"/>
      <c r="N806" s="81"/>
    </row>
    <row r="807" spans="1:14" ht="14.25" customHeight="1" x14ac:dyDescent="0.25">
      <c r="A807" s="88"/>
      <c r="B807" s="88"/>
      <c r="C807" s="89"/>
      <c r="D807" s="89"/>
      <c r="E807" s="89"/>
      <c r="F807" s="89"/>
      <c r="G807" s="81"/>
      <c r="H807" s="81"/>
      <c r="I807" s="81"/>
      <c r="J807" s="81"/>
      <c r="K807" s="81"/>
      <c r="L807" s="81"/>
      <c r="M807" s="81"/>
      <c r="N807" s="81"/>
    </row>
    <row r="808" spans="1:14" ht="34.5" customHeight="1" x14ac:dyDescent="0.25">
      <c r="A808" s="90" t="s">
        <v>47</v>
      </c>
      <c r="B808" s="613" t="s">
        <v>84</v>
      </c>
      <c r="C808" s="600"/>
      <c r="D808" s="600"/>
      <c r="E808" s="600"/>
      <c r="F808" s="600"/>
      <c r="G808" s="81"/>
      <c r="H808" s="81"/>
      <c r="I808" s="81"/>
      <c r="J808" s="81"/>
      <c r="K808" s="81"/>
      <c r="L808" s="81"/>
      <c r="M808" s="81"/>
      <c r="N808" s="81"/>
    </row>
    <row r="809" spans="1:14" ht="14.25" customHeight="1" x14ac:dyDescent="0.25">
      <c r="A809" s="91"/>
      <c r="B809" s="91"/>
      <c r="C809" s="91"/>
      <c r="D809" s="91"/>
      <c r="E809" s="91"/>
      <c r="F809" s="91"/>
      <c r="G809" s="81"/>
      <c r="H809" s="81"/>
      <c r="I809" s="81"/>
      <c r="J809" s="81"/>
      <c r="K809" s="81"/>
      <c r="L809" s="81"/>
      <c r="M809" s="81"/>
      <c r="N809" s="81"/>
    </row>
    <row r="810" spans="1:14" ht="14.25" customHeight="1" x14ac:dyDescent="0.25">
      <c r="A810" s="88" t="s">
        <v>49</v>
      </c>
      <c r="B810" s="92" t="s">
        <v>85</v>
      </c>
      <c r="C810" s="89"/>
      <c r="D810" s="89"/>
      <c r="E810" s="89"/>
      <c r="F810" s="93"/>
      <c r="G810" s="81"/>
      <c r="H810" s="81"/>
      <c r="I810" s="81"/>
      <c r="J810" s="81"/>
      <c r="K810" s="81"/>
      <c r="L810" s="81"/>
      <c r="M810" s="81"/>
      <c r="N810" s="81"/>
    </row>
    <row r="811" spans="1:14" ht="14.25" customHeight="1" x14ac:dyDescent="0.25">
      <c r="A811" s="88"/>
      <c r="B811" s="94"/>
      <c r="C811" s="89"/>
      <c r="D811" s="89"/>
      <c r="E811" s="89"/>
      <c r="F811" s="93"/>
      <c r="G811" s="81"/>
      <c r="H811" s="81"/>
      <c r="I811" s="81"/>
      <c r="J811" s="81"/>
      <c r="K811" s="81"/>
      <c r="L811" s="81"/>
      <c r="M811" s="81"/>
      <c r="N811" s="81"/>
    </row>
    <row r="812" spans="1:14" ht="14.25" customHeight="1" x14ac:dyDescent="0.25">
      <c r="A812" s="95" t="s">
        <v>562</v>
      </c>
      <c r="B812" s="96"/>
      <c r="C812" s="92"/>
      <c r="D812" s="92"/>
      <c r="E812" s="92"/>
      <c r="F812" s="92"/>
      <c r="G812" s="81"/>
      <c r="H812" s="81"/>
      <c r="I812" s="81"/>
      <c r="J812" s="81"/>
      <c r="K812" s="81"/>
      <c r="L812" s="81"/>
      <c r="M812" s="81"/>
      <c r="N812" s="81"/>
    </row>
    <row r="813" spans="1:14" ht="14.25" customHeight="1" x14ac:dyDescent="0.25">
      <c r="A813" s="97" t="s">
        <v>563</v>
      </c>
      <c r="B813" s="98" t="s">
        <v>564</v>
      </c>
      <c r="C813" s="98" t="s">
        <v>565</v>
      </c>
      <c r="D813" s="98" t="s">
        <v>566</v>
      </c>
      <c r="E813" s="98" t="s">
        <v>567</v>
      </c>
      <c r="F813" s="98" t="s">
        <v>568</v>
      </c>
      <c r="G813" s="81"/>
      <c r="H813" s="81"/>
      <c r="I813" s="81"/>
      <c r="J813" s="81"/>
      <c r="K813" s="81"/>
      <c r="L813" s="81"/>
      <c r="M813" s="81"/>
      <c r="N813" s="81"/>
    </row>
    <row r="814" spans="1:14" ht="14.25" customHeight="1" x14ac:dyDescent="0.25">
      <c r="A814" s="99" t="s">
        <v>614</v>
      </c>
      <c r="B814" s="100" t="s">
        <v>99</v>
      </c>
      <c r="C814" s="101">
        <v>385000</v>
      </c>
      <c r="D814" s="104">
        <v>1</v>
      </c>
      <c r="E814" s="102"/>
      <c r="F814" s="101">
        <f t="shared" ref="F814:F819" si="44">C814*(D814+(D814*E814))</f>
        <v>385000</v>
      </c>
      <c r="G814" s="81"/>
      <c r="H814" s="81"/>
      <c r="I814" s="81"/>
      <c r="J814" s="81"/>
      <c r="K814" s="81"/>
      <c r="L814" s="81"/>
      <c r="M814" s="81"/>
      <c r="N814" s="81"/>
    </row>
    <row r="815" spans="1:14" ht="14.25" customHeight="1" x14ac:dyDescent="0.25">
      <c r="A815" s="99" t="s">
        <v>615</v>
      </c>
      <c r="B815" s="100" t="s">
        <v>99</v>
      </c>
      <c r="C815" s="101">
        <v>12000</v>
      </c>
      <c r="D815" s="104">
        <v>4</v>
      </c>
      <c r="E815" s="102"/>
      <c r="F815" s="101">
        <f t="shared" si="44"/>
        <v>48000</v>
      </c>
      <c r="G815" s="81"/>
      <c r="H815" s="81"/>
      <c r="I815" s="81"/>
      <c r="J815" s="81"/>
      <c r="K815" s="81"/>
      <c r="L815" s="81"/>
      <c r="M815" s="81"/>
      <c r="N815" s="81"/>
    </row>
    <row r="816" spans="1:14" ht="14.25" customHeight="1" x14ac:dyDescent="0.25">
      <c r="A816" s="99" t="s">
        <v>616</v>
      </c>
      <c r="B816" s="100" t="s">
        <v>99</v>
      </c>
      <c r="C816" s="101">
        <v>13000</v>
      </c>
      <c r="D816" s="104">
        <v>2</v>
      </c>
      <c r="E816" s="102"/>
      <c r="F816" s="101">
        <f t="shared" si="44"/>
        <v>26000</v>
      </c>
      <c r="G816" s="81"/>
      <c r="H816" s="81"/>
      <c r="I816" s="81"/>
      <c r="J816" s="81"/>
      <c r="K816" s="81"/>
      <c r="L816" s="81"/>
      <c r="M816" s="81"/>
      <c r="N816" s="81"/>
    </row>
    <row r="817" spans="1:14" ht="14.25" customHeight="1" x14ac:dyDescent="0.25">
      <c r="A817" s="99" t="s">
        <v>617</v>
      </c>
      <c r="B817" s="100" t="s">
        <v>99</v>
      </c>
      <c r="C817" s="101">
        <v>10000</v>
      </c>
      <c r="D817" s="104">
        <v>2</v>
      </c>
      <c r="E817" s="102"/>
      <c r="F817" s="101">
        <f t="shared" si="44"/>
        <v>20000</v>
      </c>
      <c r="G817" s="81"/>
      <c r="H817" s="81"/>
      <c r="I817" s="81"/>
      <c r="J817" s="81"/>
      <c r="K817" s="81"/>
      <c r="L817" s="81"/>
      <c r="M817" s="81"/>
      <c r="N817" s="81"/>
    </row>
    <row r="818" spans="1:14" ht="14.25" customHeight="1" x14ac:dyDescent="0.25">
      <c r="A818" s="99" t="s">
        <v>618</v>
      </c>
      <c r="B818" s="100" t="s">
        <v>99</v>
      </c>
      <c r="C818" s="106">
        <v>170000</v>
      </c>
      <c r="D818" s="104">
        <v>1</v>
      </c>
      <c r="E818" s="102"/>
      <c r="F818" s="101">
        <f t="shared" si="44"/>
        <v>170000</v>
      </c>
      <c r="G818" s="81"/>
      <c r="H818" s="81"/>
      <c r="I818" s="81"/>
      <c r="J818" s="81"/>
      <c r="K818" s="81"/>
      <c r="L818" s="81"/>
      <c r="M818" s="81"/>
      <c r="N818" s="81"/>
    </row>
    <row r="819" spans="1:14" ht="14.25" customHeight="1" x14ac:dyDescent="0.25">
      <c r="A819" s="103" t="s">
        <v>619</v>
      </c>
      <c r="B819" s="100" t="s">
        <v>59</v>
      </c>
      <c r="C819" s="101">
        <v>63150</v>
      </c>
      <c r="D819" s="105">
        <v>45.5</v>
      </c>
      <c r="E819" s="102"/>
      <c r="F819" s="101">
        <f t="shared" si="44"/>
        <v>2873325</v>
      </c>
      <c r="G819" s="81"/>
      <c r="H819" s="81"/>
      <c r="I819" s="81"/>
      <c r="J819" s="81"/>
      <c r="K819" s="81"/>
      <c r="L819" s="81"/>
      <c r="M819" s="81"/>
      <c r="N819" s="81"/>
    </row>
    <row r="820" spans="1:14" ht="14.25" customHeight="1" x14ac:dyDescent="0.25">
      <c r="A820" s="99"/>
      <c r="B820" s="100"/>
      <c r="C820" s="106"/>
      <c r="D820" s="107"/>
      <c r="E820" s="108"/>
      <c r="F820" s="106"/>
      <c r="G820" s="81"/>
      <c r="H820" s="81"/>
      <c r="I820" s="81"/>
      <c r="J820" s="81"/>
      <c r="K820" s="81"/>
      <c r="L820" s="81"/>
      <c r="M820" s="81"/>
      <c r="N820" s="81"/>
    </row>
    <row r="821" spans="1:14" ht="14.25" customHeight="1" x14ac:dyDescent="0.25">
      <c r="A821" s="97" t="s">
        <v>548</v>
      </c>
      <c r="B821" s="97"/>
      <c r="C821" s="109"/>
      <c r="D821" s="110"/>
      <c r="E821" s="111"/>
      <c r="F821" s="112">
        <f>SUM(F814:F820)</f>
        <v>3522325</v>
      </c>
      <c r="G821" s="81"/>
      <c r="H821" s="81"/>
      <c r="I821" s="81"/>
      <c r="J821" s="81"/>
      <c r="K821" s="81"/>
      <c r="L821" s="81"/>
      <c r="M821" s="81"/>
      <c r="N821" s="81"/>
    </row>
    <row r="822" spans="1:14" ht="14.25" customHeight="1" x14ac:dyDescent="0.25">
      <c r="A822" s="88"/>
      <c r="B822" s="88"/>
      <c r="C822" s="113"/>
      <c r="D822" s="113"/>
      <c r="E822" s="114"/>
      <c r="F822" s="113"/>
      <c r="G822" s="81"/>
      <c r="H822" s="81"/>
      <c r="I822" s="81"/>
      <c r="J822" s="81"/>
      <c r="K822" s="81"/>
      <c r="L822" s="81"/>
      <c r="M822" s="81"/>
      <c r="N822" s="81"/>
    </row>
    <row r="823" spans="1:14" ht="14.25" customHeight="1" x14ac:dyDescent="0.25">
      <c r="A823" s="96" t="s">
        <v>573</v>
      </c>
      <c r="B823" s="96"/>
      <c r="C823" s="92"/>
      <c r="D823" s="92"/>
      <c r="E823" s="92"/>
      <c r="F823" s="92"/>
      <c r="G823" s="81"/>
      <c r="H823" s="81"/>
      <c r="I823" s="81"/>
      <c r="J823" s="81"/>
      <c r="K823" s="81"/>
      <c r="L823" s="81"/>
      <c r="M823" s="81"/>
      <c r="N823" s="81"/>
    </row>
    <row r="824" spans="1:14" ht="14.25" customHeight="1" x14ac:dyDescent="0.25">
      <c r="A824" s="611" t="s">
        <v>563</v>
      </c>
      <c r="B824" s="608"/>
      <c r="C824" s="609"/>
      <c r="D824" s="98" t="s">
        <v>574</v>
      </c>
      <c r="E824" s="98" t="s">
        <v>575</v>
      </c>
      <c r="F824" s="98" t="s">
        <v>568</v>
      </c>
      <c r="G824" s="81"/>
      <c r="H824" s="81"/>
      <c r="I824" s="81"/>
      <c r="J824" s="81"/>
      <c r="K824" s="81"/>
      <c r="L824" s="81"/>
      <c r="M824" s="81"/>
      <c r="N824" s="81"/>
    </row>
    <row r="825" spans="1:14" ht="14.25" customHeight="1" x14ac:dyDescent="0.25">
      <c r="A825" s="607" t="s">
        <v>577</v>
      </c>
      <c r="B825" s="608"/>
      <c r="C825" s="609"/>
      <c r="D825" s="116"/>
      <c r="E825" s="107"/>
      <c r="F825" s="106">
        <f>+F837*5%</f>
        <v>23954.532678603908</v>
      </c>
      <c r="G825" s="81"/>
      <c r="H825" s="81"/>
      <c r="I825" s="81"/>
      <c r="J825" s="81"/>
      <c r="K825" s="81"/>
      <c r="L825" s="81"/>
      <c r="M825" s="81"/>
      <c r="N825" s="81"/>
    </row>
    <row r="826" spans="1:14" ht="14.25" customHeight="1" x14ac:dyDescent="0.25">
      <c r="A826" s="607"/>
      <c r="B826" s="608"/>
      <c r="C826" s="609"/>
      <c r="D826" s="142"/>
      <c r="E826" s="107"/>
      <c r="F826" s="106"/>
      <c r="G826" s="81"/>
      <c r="H826" s="81"/>
      <c r="I826" s="81"/>
      <c r="J826" s="81"/>
      <c r="K826" s="81"/>
      <c r="L826" s="81"/>
      <c r="M826" s="81"/>
      <c r="N826" s="81"/>
    </row>
    <row r="827" spans="1:14" ht="14.25" customHeight="1" x14ac:dyDescent="0.25">
      <c r="A827" s="607"/>
      <c r="B827" s="608"/>
      <c r="C827" s="609"/>
      <c r="D827" s="142"/>
      <c r="E827" s="107"/>
      <c r="F827" s="106"/>
      <c r="G827" s="81"/>
      <c r="H827" s="81"/>
      <c r="I827" s="81"/>
      <c r="J827" s="81"/>
      <c r="K827" s="81"/>
      <c r="L827" s="81"/>
      <c r="M827" s="81"/>
      <c r="N827" s="81"/>
    </row>
    <row r="828" spans="1:14" ht="14.25" customHeight="1" x14ac:dyDescent="0.25">
      <c r="A828" s="610"/>
      <c r="B828" s="608"/>
      <c r="C828" s="609"/>
      <c r="D828" s="115"/>
      <c r="E828" s="107"/>
      <c r="F828" s="106"/>
      <c r="G828" s="81"/>
      <c r="H828" s="81"/>
      <c r="I828" s="81"/>
      <c r="J828" s="81"/>
      <c r="K828" s="81"/>
      <c r="L828" s="81"/>
      <c r="M828" s="81"/>
      <c r="N828" s="81"/>
    </row>
    <row r="829" spans="1:14" ht="14.25" customHeight="1" x14ac:dyDescent="0.25">
      <c r="A829" s="611" t="s">
        <v>548</v>
      </c>
      <c r="B829" s="608"/>
      <c r="C829" s="609"/>
      <c r="D829" s="110"/>
      <c r="E829" s="110"/>
      <c r="F829" s="112">
        <f>SUM(F825:F827)</f>
        <v>23954.532678603908</v>
      </c>
      <c r="G829" s="81"/>
      <c r="H829" s="81"/>
      <c r="I829" s="81"/>
      <c r="J829" s="81"/>
      <c r="K829" s="81"/>
      <c r="L829" s="81"/>
      <c r="M829" s="81"/>
      <c r="N829" s="81"/>
    </row>
    <row r="830" spans="1:14" ht="14.25" customHeight="1" x14ac:dyDescent="0.25">
      <c r="A830" s="88"/>
      <c r="B830" s="88"/>
      <c r="C830" s="89"/>
      <c r="D830" s="113"/>
      <c r="E830" s="113"/>
      <c r="F830" s="113"/>
      <c r="G830" s="81"/>
      <c r="H830" s="81"/>
      <c r="I830" s="81"/>
      <c r="J830" s="81"/>
      <c r="K830" s="81"/>
      <c r="L830" s="81"/>
      <c r="M830" s="81"/>
      <c r="N830" s="81"/>
    </row>
    <row r="831" spans="1:14" ht="14.25" customHeight="1" x14ac:dyDescent="0.25">
      <c r="A831" s="96" t="s">
        <v>578</v>
      </c>
      <c r="B831" s="96"/>
      <c r="C831" s="92"/>
      <c r="D831" s="118"/>
      <c r="E831" s="118"/>
      <c r="F831" s="118"/>
      <c r="G831" s="81"/>
      <c r="H831" s="81"/>
      <c r="I831" s="81"/>
      <c r="J831" s="81"/>
      <c r="K831" s="81"/>
      <c r="L831" s="81"/>
      <c r="M831" s="81"/>
      <c r="N831" s="81"/>
    </row>
    <row r="832" spans="1:14" ht="14.25" customHeight="1" x14ac:dyDescent="0.25">
      <c r="A832" s="119" t="s">
        <v>563</v>
      </c>
      <c r="B832" s="120" t="s">
        <v>579</v>
      </c>
      <c r="C832" s="120" t="s">
        <v>580</v>
      </c>
      <c r="D832" s="121" t="s">
        <v>581</v>
      </c>
      <c r="E832" s="121" t="s">
        <v>575</v>
      </c>
      <c r="F832" s="121" t="s">
        <v>568</v>
      </c>
      <c r="G832" s="81"/>
      <c r="H832" s="81"/>
      <c r="I832" s="81"/>
      <c r="J832" s="81"/>
      <c r="K832" s="81"/>
      <c r="L832" s="81"/>
      <c r="M832" s="81"/>
      <c r="N832" s="81"/>
    </row>
    <row r="833" spans="1:14" ht="14.25" customHeight="1" x14ac:dyDescent="0.25">
      <c r="A833" s="122" t="s">
        <v>593</v>
      </c>
      <c r="B833" s="127">
        <v>1</v>
      </c>
      <c r="C833" s="101">
        <v>32688</v>
      </c>
      <c r="D833" s="101">
        <f t="shared" ref="D833:D834" si="45">+C833*1.7</f>
        <v>55569.599999999999</v>
      </c>
      <c r="E833" s="107">
        <v>0.30241499999999999</v>
      </c>
      <c r="F833" s="106">
        <f t="shared" ref="F833:F834" si="46">+B833*(D833)/E833</f>
        <v>183752.79004017659</v>
      </c>
      <c r="G833" s="81"/>
      <c r="H833" s="81"/>
      <c r="I833" s="81"/>
      <c r="J833" s="81"/>
      <c r="K833" s="81"/>
      <c r="L833" s="81"/>
      <c r="M833" s="81"/>
      <c r="N833" s="81"/>
    </row>
    <row r="834" spans="1:14" ht="14.25" customHeight="1" x14ac:dyDescent="0.25">
      <c r="A834" s="122" t="s">
        <v>594</v>
      </c>
      <c r="B834" s="127">
        <v>1</v>
      </c>
      <c r="C834" s="101">
        <v>52538</v>
      </c>
      <c r="D834" s="101">
        <f t="shared" si="45"/>
        <v>89314.599999999991</v>
      </c>
      <c r="E834" s="107">
        <f>E833</f>
        <v>0.30241499999999999</v>
      </c>
      <c r="F834" s="106">
        <f t="shared" si="46"/>
        <v>295337.8635319015</v>
      </c>
      <c r="G834" s="81"/>
      <c r="H834" s="81"/>
      <c r="I834" s="81"/>
      <c r="J834" s="81"/>
      <c r="K834" s="81"/>
      <c r="L834" s="81"/>
      <c r="M834" s="81"/>
      <c r="N834" s="81"/>
    </row>
    <row r="835" spans="1:14" ht="14.25" customHeight="1" x14ac:dyDescent="0.25">
      <c r="A835" s="122"/>
      <c r="B835" s="127"/>
      <c r="C835" s="101"/>
      <c r="D835" s="101"/>
      <c r="E835" s="107"/>
      <c r="F835" s="106"/>
      <c r="G835" s="81"/>
      <c r="H835" s="81"/>
      <c r="I835" s="81"/>
      <c r="J835" s="81"/>
      <c r="K835" s="81"/>
      <c r="L835" s="81"/>
      <c r="M835" s="81"/>
      <c r="N835" s="81"/>
    </row>
    <row r="836" spans="1:14" ht="14.25" customHeight="1" x14ac:dyDescent="0.25">
      <c r="A836" s="122"/>
      <c r="B836" s="127"/>
      <c r="C836" s="101"/>
      <c r="D836" s="101"/>
      <c r="E836" s="125"/>
      <c r="F836" s="106"/>
      <c r="G836" s="81"/>
      <c r="H836" s="81"/>
      <c r="I836" s="81"/>
      <c r="J836" s="81"/>
      <c r="K836" s="81"/>
      <c r="L836" s="81"/>
      <c r="M836" s="81"/>
      <c r="N836" s="81"/>
    </row>
    <row r="837" spans="1:14" ht="14.25" customHeight="1" x14ac:dyDescent="0.25">
      <c r="A837" s="97" t="s">
        <v>548</v>
      </c>
      <c r="B837" s="128"/>
      <c r="C837" s="110"/>
      <c r="D837" s="110"/>
      <c r="E837" s="110"/>
      <c r="F837" s="112">
        <f>SUM(F833:F836)</f>
        <v>479090.6535720781</v>
      </c>
      <c r="G837" s="81"/>
      <c r="H837" s="81"/>
      <c r="I837" s="81"/>
      <c r="J837" s="81"/>
      <c r="K837" s="81"/>
      <c r="L837" s="81"/>
      <c r="M837" s="81"/>
      <c r="N837" s="81"/>
    </row>
    <row r="838" spans="1:14" ht="14.25" customHeight="1" x14ac:dyDescent="0.25">
      <c r="A838" s="96"/>
      <c r="B838" s="129"/>
      <c r="C838" s="118"/>
      <c r="D838" s="118"/>
      <c r="E838" s="118"/>
      <c r="F838" s="118"/>
      <c r="G838" s="81"/>
      <c r="H838" s="81"/>
      <c r="I838" s="81"/>
      <c r="J838" s="81"/>
      <c r="K838" s="81"/>
      <c r="L838" s="81"/>
      <c r="M838" s="81"/>
      <c r="N838" s="81"/>
    </row>
    <row r="839" spans="1:14" ht="14.25" customHeight="1" x14ac:dyDescent="0.25">
      <c r="A839" s="95" t="s">
        <v>583</v>
      </c>
      <c r="B839" s="96"/>
      <c r="C839" s="92"/>
      <c r="D839" s="92"/>
      <c r="E839" s="92" t="s">
        <v>584</v>
      </c>
      <c r="F839" s="92"/>
      <c r="G839" s="81"/>
      <c r="H839" s="81"/>
      <c r="I839" s="81"/>
      <c r="J839" s="81"/>
      <c r="K839" s="81"/>
      <c r="L839" s="81"/>
      <c r="M839" s="81"/>
      <c r="N839" s="81"/>
    </row>
    <row r="840" spans="1:14" ht="14.25" customHeight="1" x14ac:dyDescent="0.25">
      <c r="A840" s="97" t="s">
        <v>563</v>
      </c>
      <c r="B840" s="98" t="s">
        <v>564</v>
      </c>
      <c r="C840" s="98" t="s">
        <v>585</v>
      </c>
      <c r="D840" s="98" t="s">
        <v>586</v>
      </c>
      <c r="E840" s="120" t="s">
        <v>587</v>
      </c>
      <c r="F840" s="98" t="s">
        <v>568</v>
      </c>
      <c r="G840" s="81"/>
      <c r="H840" s="81"/>
      <c r="I840" s="81"/>
      <c r="J840" s="81"/>
      <c r="K840" s="81"/>
      <c r="L840" s="81"/>
      <c r="M840" s="81"/>
      <c r="N840" s="81"/>
    </row>
    <row r="841" spans="1:14" ht="14.25" customHeight="1" x14ac:dyDescent="0.25">
      <c r="A841" s="103"/>
      <c r="B841" s="100"/>
      <c r="C841" s="101"/>
      <c r="D841" s="140"/>
      <c r="E841" s="107"/>
      <c r="F841" s="109">
        <f>+C841*D841*E841</f>
        <v>0</v>
      </c>
      <c r="G841" s="81"/>
      <c r="H841" s="81"/>
      <c r="I841" s="81"/>
      <c r="J841" s="81"/>
      <c r="K841" s="81"/>
      <c r="L841" s="81"/>
      <c r="M841" s="81"/>
      <c r="N841" s="81"/>
    </row>
    <row r="842" spans="1:14" ht="14.25" customHeight="1" x14ac:dyDescent="0.25">
      <c r="A842" s="103"/>
      <c r="B842" s="100"/>
      <c r="C842" s="107"/>
      <c r="D842" s="107"/>
      <c r="E842" s="108"/>
      <c r="F842" s="109"/>
      <c r="G842" s="81"/>
      <c r="H842" s="81"/>
      <c r="I842" s="81"/>
      <c r="J842" s="81"/>
      <c r="K842" s="81"/>
      <c r="L842" s="81"/>
      <c r="M842" s="81"/>
      <c r="N842" s="81"/>
    </row>
    <row r="843" spans="1:14" ht="14.25" customHeight="1" x14ac:dyDescent="0.25">
      <c r="A843" s="97" t="s">
        <v>548</v>
      </c>
      <c r="B843" s="98"/>
      <c r="C843" s="110"/>
      <c r="D843" s="110"/>
      <c r="E843" s="111"/>
      <c r="F843" s="112">
        <f>SUM(F841:F842)</f>
        <v>0</v>
      </c>
      <c r="G843" s="81"/>
      <c r="H843" s="81"/>
      <c r="I843" s="81"/>
      <c r="J843" s="81"/>
      <c r="K843" s="81"/>
      <c r="L843" s="81"/>
      <c r="M843" s="81"/>
      <c r="N843" s="81"/>
    </row>
    <row r="844" spans="1:14" ht="14.25" customHeight="1" x14ac:dyDescent="0.25">
      <c r="A844" s="88"/>
      <c r="B844" s="89"/>
      <c r="C844" s="113"/>
      <c r="D844" s="113"/>
      <c r="E844" s="114"/>
      <c r="F844" s="113"/>
      <c r="G844" s="81"/>
      <c r="H844" s="81"/>
      <c r="I844" s="81"/>
      <c r="J844" s="81"/>
      <c r="K844" s="81"/>
      <c r="L844" s="81"/>
      <c r="M844" s="81"/>
      <c r="N844" s="81"/>
    </row>
    <row r="845" spans="1:14" ht="14.25" customHeight="1" x14ac:dyDescent="0.25">
      <c r="A845" s="88"/>
      <c r="B845" s="89"/>
      <c r="C845" s="113"/>
      <c r="D845" s="113"/>
      <c r="E845" s="114"/>
      <c r="F845" s="113"/>
      <c r="G845" s="81"/>
      <c r="H845" s="81"/>
      <c r="I845" s="81"/>
      <c r="J845" s="81"/>
      <c r="K845" s="81"/>
      <c r="L845" s="81"/>
      <c r="M845" s="81"/>
      <c r="N845" s="81"/>
    </row>
    <row r="846" spans="1:14" ht="14.25" customHeight="1" x14ac:dyDescent="0.25">
      <c r="A846" s="612" t="s">
        <v>588</v>
      </c>
      <c r="B846" s="608"/>
      <c r="C846" s="608"/>
      <c r="D846" s="608"/>
      <c r="E846" s="609"/>
      <c r="F846" s="131">
        <f>ROUND(F821+F829+F837+F843,0)</f>
        <v>4025370</v>
      </c>
      <c r="G846" s="81"/>
      <c r="H846" s="117"/>
      <c r="I846" s="81"/>
      <c r="J846" s="81"/>
      <c r="K846" s="81"/>
      <c r="L846" s="81"/>
      <c r="M846" s="81"/>
      <c r="N846" s="81"/>
    </row>
    <row r="847" spans="1:14" ht="14.25" customHeight="1" x14ac:dyDescent="0.25">
      <c r="A847" s="612" t="s">
        <v>589</v>
      </c>
      <c r="B847" s="608"/>
      <c r="C847" s="608"/>
      <c r="D847" s="608"/>
      <c r="E847" s="609"/>
      <c r="F847" s="132"/>
      <c r="G847" s="81"/>
      <c r="H847" s="81"/>
      <c r="I847" s="81"/>
      <c r="J847" s="81"/>
      <c r="K847" s="81"/>
      <c r="L847" s="81"/>
      <c r="M847" s="81"/>
      <c r="N847" s="81"/>
    </row>
    <row r="848" spans="1:14" ht="14.25" customHeight="1" x14ac:dyDescent="0.25">
      <c r="A848" s="612" t="s">
        <v>556</v>
      </c>
      <c r="B848" s="608"/>
      <c r="C848" s="608"/>
      <c r="D848" s="608"/>
      <c r="E848" s="609"/>
      <c r="F848" s="133"/>
      <c r="G848" s="81"/>
      <c r="H848" s="81"/>
      <c r="I848" s="81"/>
      <c r="J848" s="81"/>
      <c r="K848" s="81"/>
      <c r="L848" s="81"/>
      <c r="M848" s="81"/>
      <c r="N848" s="81"/>
    </row>
    <row r="849" spans="1:14" ht="14.25" customHeight="1" x14ac:dyDescent="0.25">
      <c r="A849" s="134"/>
      <c r="B849" s="135"/>
      <c r="C849" s="135"/>
      <c r="D849" s="135"/>
      <c r="E849" s="135"/>
      <c r="F849" s="136"/>
      <c r="G849" s="81"/>
      <c r="H849" s="81"/>
      <c r="I849" s="81"/>
      <c r="J849" s="81"/>
      <c r="K849" s="81"/>
      <c r="L849" s="81"/>
      <c r="M849" s="81"/>
      <c r="N849" s="81"/>
    </row>
    <row r="850" spans="1:14" ht="14.25" customHeight="1" x14ac:dyDescent="0.25">
      <c r="A850" s="81"/>
      <c r="B850" s="81"/>
      <c r="C850" s="137"/>
      <c r="D850" s="81"/>
      <c r="E850" s="81"/>
      <c r="F850" s="81"/>
      <c r="G850" s="81"/>
      <c r="H850" s="81"/>
      <c r="I850" s="81"/>
      <c r="J850" s="81"/>
      <c r="K850" s="81"/>
      <c r="L850" s="81"/>
      <c r="M850" s="81"/>
      <c r="N850" s="81"/>
    </row>
    <row r="851" spans="1:14" ht="14.25" customHeight="1" x14ac:dyDescent="0.25">
      <c r="A851" s="81"/>
      <c r="B851" s="81"/>
      <c r="C851" s="137"/>
      <c r="D851" s="81"/>
      <c r="E851" s="81"/>
      <c r="F851" s="81"/>
      <c r="G851" s="81"/>
      <c r="H851" s="81"/>
      <c r="I851" s="81"/>
      <c r="J851" s="81"/>
      <c r="K851" s="81"/>
      <c r="L851" s="81"/>
      <c r="M851" s="81"/>
      <c r="N851" s="81"/>
    </row>
    <row r="852" spans="1:14" ht="14.25" customHeight="1" x14ac:dyDescent="0.25">
      <c r="A852" s="81"/>
      <c r="B852" s="81"/>
      <c r="C852" s="137"/>
      <c r="D852" s="81"/>
      <c r="E852" s="81"/>
      <c r="F852" s="81"/>
      <c r="G852" s="81"/>
      <c r="H852" s="81"/>
      <c r="I852" s="81"/>
      <c r="J852" s="81"/>
      <c r="K852" s="81"/>
      <c r="L852" s="81"/>
      <c r="M852" s="81"/>
      <c r="N852" s="81"/>
    </row>
    <row r="853" spans="1:14" ht="14.25" customHeight="1" x14ac:dyDescent="0.25">
      <c r="A853" s="81"/>
      <c r="B853" s="81"/>
      <c r="C853" s="137"/>
      <c r="D853" s="81"/>
      <c r="E853" s="81"/>
      <c r="F853" s="81"/>
      <c r="G853" s="81"/>
      <c r="H853" s="81"/>
      <c r="I853" s="81"/>
      <c r="J853" s="81"/>
      <c r="K853" s="81"/>
      <c r="L853" s="81"/>
      <c r="M853" s="81"/>
      <c r="N853" s="81"/>
    </row>
    <row r="854" spans="1:14" ht="14.25" customHeight="1" x14ac:dyDescent="0.25">
      <c r="A854" s="81"/>
      <c r="B854" s="81"/>
      <c r="C854" s="137"/>
      <c r="D854" s="81"/>
      <c r="E854" s="81"/>
      <c r="F854" s="81"/>
      <c r="G854" s="81"/>
      <c r="H854" s="81"/>
      <c r="I854" s="81"/>
      <c r="J854" s="81"/>
      <c r="K854" s="81"/>
      <c r="L854" s="81"/>
      <c r="M854" s="81"/>
      <c r="N854" s="81"/>
    </row>
    <row r="855" spans="1:14" ht="14.25" customHeight="1" x14ac:dyDescent="0.25">
      <c r="A855" s="81"/>
      <c r="B855" s="81"/>
      <c r="C855" s="137"/>
      <c r="D855" s="81"/>
      <c r="E855" s="81"/>
      <c r="F855" s="81"/>
      <c r="G855" s="81"/>
      <c r="H855" s="81"/>
      <c r="I855" s="81"/>
      <c r="J855" s="81"/>
      <c r="K855" s="81"/>
      <c r="L855" s="81"/>
      <c r="M855" s="81"/>
      <c r="N855" s="81"/>
    </row>
    <row r="856" spans="1:14" ht="14.25" customHeight="1" x14ac:dyDescent="0.25">
      <c r="A856" s="134"/>
      <c r="B856" s="135"/>
      <c r="C856" s="135"/>
      <c r="D856" s="135"/>
      <c r="E856" s="135"/>
      <c r="F856" s="136"/>
      <c r="G856" s="81"/>
      <c r="H856" s="81"/>
      <c r="I856" s="81"/>
      <c r="J856" s="81"/>
      <c r="K856" s="81"/>
      <c r="L856" s="81"/>
      <c r="M856" s="81"/>
      <c r="N856" s="81"/>
    </row>
    <row r="857" spans="1:14" ht="14.25" customHeight="1" x14ac:dyDescent="0.25">
      <c r="A857" s="134"/>
      <c r="B857" s="135"/>
      <c r="C857" s="135"/>
      <c r="D857" s="135"/>
      <c r="E857" s="135"/>
      <c r="F857" s="136"/>
      <c r="G857" s="81"/>
      <c r="H857" s="81"/>
      <c r="I857" s="81"/>
      <c r="J857" s="81"/>
      <c r="K857" s="81"/>
      <c r="L857" s="81"/>
      <c r="M857" s="81"/>
      <c r="N857" s="81"/>
    </row>
    <row r="858" spans="1:14" ht="14.25" customHeight="1" x14ac:dyDescent="0.25">
      <c r="A858" s="134"/>
      <c r="B858" s="135"/>
      <c r="C858" s="135"/>
      <c r="D858" s="135"/>
      <c r="E858" s="135"/>
      <c r="F858" s="136"/>
      <c r="G858" s="81"/>
      <c r="H858" s="81"/>
      <c r="I858" s="81"/>
      <c r="J858" s="81"/>
      <c r="K858" s="81"/>
      <c r="L858" s="81"/>
      <c r="M858" s="81"/>
      <c r="N858" s="81"/>
    </row>
    <row r="859" spans="1:14" ht="14.25" customHeight="1" thickBot="1" x14ac:dyDescent="0.3">
      <c r="A859" s="81"/>
      <c r="B859" s="81"/>
      <c r="C859" s="81"/>
      <c r="D859" s="81"/>
      <c r="E859" s="81"/>
      <c r="F859" s="81"/>
      <c r="G859" s="81"/>
      <c r="H859" s="81"/>
      <c r="I859" s="81"/>
      <c r="J859" s="81"/>
      <c r="K859" s="81"/>
      <c r="L859" s="81"/>
      <c r="M859" s="81"/>
      <c r="N859" s="81"/>
    </row>
    <row r="860" spans="1:14" ht="14.25" customHeight="1" x14ac:dyDescent="0.25">
      <c r="A860" s="83"/>
      <c r="B860" s="84"/>
      <c r="C860" s="85"/>
      <c r="D860" s="86"/>
      <c r="E860" s="86"/>
      <c r="F860" s="87"/>
      <c r="G860" s="81"/>
      <c r="H860" s="81"/>
      <c r="I860" s="81"/>
      <c r="J860" s="81"/>
      <c r="K860" s="81"/>
      <c r="L860" s="81"/>
      <c r="M860" s="81"/>
      <c r="N860" s="81"/>
    </row>
    <row r="861" spans="1:14" ht="14.25" customHeight="1" x14ac:dyDescent="0.25">
      <c r="A861" s="599"/>
      <c r="B861" s="600"/>
      <c r="C861" s="600"/>
      <c r="D861" s="600"/>
      <c r="E861" s="600"/>
      <c r="F861" s="601"/>
      <c r="G861" s="81"/>
      <c r="H861" s="81"/>
      <c r="I861" s="81"/>
      <c r="J861" s="81"/>
      <c r="K861" s="81"/>
      <c r="L861" s="81"/>
      <c r="M861" s="81"/>
      <c r="N861" s="81"/>
    </row>
    <row r="862" spans="1:14" ht="14.25" customHeight="1" x14ac:dyDescent="0.25">
      <c r="A862" s="602" t="s">
        <v>561</v>
      </c>
      <c r="B862" s="600"/>
      <c r="C862" s="600"/>
      <c r="D862" s="600"/>
      <c r="E862" s="600"/>
      <c r="F862" s="601"/>
      <c r="G862" s="81"/>
      <c r="H862" s="81"/>
      <c r="I862" s="81"/>
      <c r="J862" s="81"/>
      <c r="K862" s="81"/>
      <c r="L862" s="81"/>
      <c r="M862" s="81"/>
      <c r="N862" s="81"/>
    </row>
    <row r="863" spans="1:14" ht="14.25" customHeight="1" thickBot="1" x14ac:dyDescent="0.3">
      <c r="A863" s="603"/>
      <c r="B863" s="604"/>
      <c r="C863" s="604"/>
      <c r="D863" s="604"/>
      <c r="E863" s="604"/>
      <c r="F863" s="605"/>
      <c r="G863" s="81"/>
      <c r="H863" s="81"/>
      <c r="I863" s="81"/>
      <c r="J863" s="81"/>
      <c r="K863" s="81"/>
      <c r="L863" s="81"/>
      <c r="M863" s="81"/>
      <c r="N863" s="81"/>
    </row>
    <row r="864" spans="1:14" ht="14.25" customHeight="1" x14ac:dyDescent="0.25">
      <c r="A864" s="88"/>
      <c r="B864" s="88"/>
      <c r="C864" s="89"/>
      <c r="D864" s="89"/>
      <c r="E864" s="89"/>
      <c r="F864" s="89"/>
      <c r="G864" s="81"/>
      <c r="H864" s="81"/>
      <c r="I864" s="81"/>
      <c r="J864" s="81"/>
      <c r="K864" s="81"/>
      <c r="L864" s="81"/>
      <c r="M864" s="81"/>
      <c r="N864" s="81"/>
    </row>
    <row r="865" spans="1:14" ht="14.25" customHeight="1" x14ac:dyDescent="0.25">
      <c r="A865" s="90" t="s">
        <v>47</v>
      </c>
      <c r="B865" s="613" t="s">
        <v>87</v>
      </c>
      <c r="C865" s="600"/>
      <c r="D865" s="600"/>
      <c r="E865" s="600"/>
      <c r="F865" s="600"/>
      <c r="G865" s="81"/>
      <c r="H865" s="81"/>
      <c r="I865" s="81"/>
      <c r="J865" s="81"/>
      <c r="K865" s="81"/>
      <c r="L865" s="81"/>
      <c r="M865" s="81"/>
      <c r="N865" s="81"/>
    </row>
    <row r="866" spans="1:14" ht="14.25" customHeight="1" x14ac:dyDescent="0.25">
      <c r="A866" s="91"/>
      <c r="B866" s="91"/>
      <c r="C866" s="91"/>
      <c r="D866" s="91"/>
      <c r="E866" s="91"/>
      <c r="F866" s="91"/>
      <c r="G866" s="81"/>
      <c r="H866" s="81"/>
      <c r="I866" s="81"/>
      <c r="J866" s="81"/>
      <c r="K866" s="81"/>
      <c r="L866" s="81"/>
      <c r="M866" s="81"/>
      <c r="N866" s="81"/>
    </row>
    <row r="867" spans="1:14" ht="14.25" customHeight="1" x14ac:dyDescent="0.25">
      <c r="A867" s="88" t="s">
        <v>49</v>
      </c>
      <c r="B867" s="92" t="s">
        <v>85</v>
      </c>
      <c r="C867" s="89"/>
      <c r="D867" s="89"/>
      <c r="E867" s="89"/>
      <c r="F867" s="93"/>
      <c r="G867" s="81"/>
      <c r="H867" s="81"/>
      <c r="I867" s="81"/>
      <c r="J867" s="81"/>
      <c r="K867" s="81"/>
      <c r="L867" s="81"/>
      <c r="M867" s="81"/>
      <c r="N867" s="81"/>
    </row>
    <row r="868" spans="1:14" ht="14.25" customHeight="1" x14ac:dyDescent="0.25">
      <c r="A868" s="88"/>
      <c r="B868" s="94"/>
      <c r="C868" s="89"/>
      <c r="D868" s="89"/>
      <c r="E868" s="89"/>
      <c r="F868" s="93"/>
      <c r="G868" s="81"/>
      <c r="H868" s="81"/>
      <c r="I868" s="81"/>
      <c r="J868" s="81"/>
      <c r="K868" s="81"/>
      <c r="L868" s="81"/>
      <c r="M868" s="81"/>
      <c r="N868" s="81"/>
    </row>
    <row r="869" spans="1:14" ht="14.25" customHeight="1" x14ac:dyDescent="0.25">
      <c r="A869" s="95" t="s">
        <v>562</v>
      </c>
      <c r="B869" s="96"/>
      <c r="C869" s="92"/>
      <c r="D869" s="92"/>
      <c r="E869" s="92"/>
      <c r="F869" s="92"/>
      <c r="G869" s="81"/>
      <c r="H869" s="81"/>
      <c r="I869" s="81"/>
      <c r="J869" s="81"/>
      <c r="K869" s="81"/>
      <c r="L869" s="81"/>
      <c r="M869" s="81"/>
      <c r="N869" s="81"/>
    </row>
    <row r="870" spans="1:14" ht="14.25" customHeight="1" x14ac:dyDescent="0.25">
      <c r="A870" s="97" t="s">
        <v>563</v>
      </c>
      <c r="B870" s="98" t="s">
        <v>564</v>
      </c>
      <c r="C870" s="98" t="s">
        <v>565</v>
      </c>
      <c r="D870" s="98" t="s">
        <v>566</v>
      </c>
      <c r="E870" s="98" t="s">
        <v>567</v>
      </c>
      <c r="F870" s="98" t="s">
        <v>568</v>
      </c>
      <c r="G870" s="81"/>
      <c r="H870" s="81"/>
      <c r="I870" s="81"/>
      <c r="J870" s="81"/>
      <c r="K870" s="81"/>
      <c r="L870" s="81"/>
      <c r="M870" s="81"/>
      <c r="N870" s="81"/>
    </row>
    <row r="871" spans="1:14" ht="14.25" customHeight="1" x14ac:dyDescent="0.25">
      <c r="A871" s="99" t="s">
        <v>620</v>
      </c>
      <c r="B871" s="100" t="s">
        <v>99</v>
      </c>
      <c r="C871" s="101">
        <v>745000</v>
      </c>
      <c r="D871" s="104">
        <v>1</v>
      </c>
      <c r="E871" s="102"/>
      <c r="F871" s="101">
        <f t="shared" ref="F871:F884" si="47">C871*(D871+(D871*E871))</f>
        <v>745000</v>
      </c>
      <c r="G871" s="81"/>
      <c r="H871" s="81"/>
      <c r="I871" s="81"/>
      <c r="J871" s="81"/>
      <c r="K871" s="81"/>
      <c r="L871" s="81"/>
      <c r="M871" s="81"/>
      <c r="N871" s="81"/>
    </row>
    <row r="872" spans="1:14" ht="14.25" customHeight="1" x14ac:dyDescent="0.25">
      <c r="A872" s="99" t="s">
        <v>621</v>
      </c>
      <c r="B872" s="100" t="s">
        <v>59</v>
      </c>
      <c r="C872" s="101">
        <v>17500</v>
      </c>
      <c r="D872" s="104">
        <v>58.5</v>
      </c>
      <c r="E872" s="102">
        <v>0.05</v>
      </c>
      <c r="F872" s="101">
        <f t="shared" si="47"/>
        <v>1074937.5</v>
      </c>
      <c r="G872" s="81"/>
      <c r="H872" s="81"/>
      <c r="I872" s="81"/>
      <c r="J872" s="81"/>
      <c r="K872" s="81"/>
      <c r="L872" s="81"/>
      <c r="M872" s="81"/>
      <c r="N872" s="81"/>
    </row>
    <row r="873" spans="1:14" ht="14.25" customHeight="1" x14ac:dyDescent="0.25">
      <c r="A873" s="99" t="s">
        <v>622</v>
      </c>
      <c r="B873" s="100" t="s">
        <v>99</v>
      </c>
      <c r="C873" s="101">
        <v>85900</v>
      </c>
      <c r="D873" s="104">
        <v>1.5</v>
      </c>
      <c r="E873" s="102">
        <v>0.05</v>
      </c>
      <c r="F873" s="101">
        <f t="shared" si="47"/>
        <v>135292.5</v>
      </c>
      <c r="G873" s="81"/>
      <c r="H873" s="81"/>
      <c r="I873" s="81"/>
      <c r="J873" s="81"/>
      <c r="K873" s="81"/>
      <c r="L873" s="81"/>
      <c r="M873" s="81"/>
      <c r="N873" s="81"/>
    </row>
    <row r="874" spans="1:14" ht="14.25" customHeight="1" x14ac:dyDescent="0.25">
      <c r="A874" s="99" t="s">
        <v>623</v>
      </c>
      <c r="B874" s="100" t="s">
        <v>99</v>
      </c>
      <c r="C874" s="101">
        <v>8900</v>
      </c>
      <c r="D874" s="104">
        <v>8</v>
      </c>
      <c r="E874" s="102"/>
      <c r="F874" s="101">
        <f t="shared" si="47"/>
        <v>71200</v>
      </c>
      <c r="G874" s="81"/>
      <c r="H874" s="81"/>
      <c r="I874" s="81"/>
      <c r="J874" s="81"/>
      <c r="K874" s="81"/>
      <c r="L874" s="81"/>
      <c r="M874" s="81"/>
      <c r="N874" s="81"/>
    </row>
    <row r="875" spans="1:14" ht="14.25" customHeight="1" x14ac:dyDescent="0.25">
      <c r="A875" s="99" t="s">
        <v>624</v>
      </c>
      <c r="B875" s="100" t="s">
        <v>99</v>
      </c>
      <c r="C875" s="101">
        <v>9800</v>
      </c>
      <c r="D875" s="104">
        <v>8</v>
      </c>
      <c r="E875" s="102"/>
      <c r="F875" s="101">
        <f t="shared" si="47"/>
        <v>78400</v>
      </c>
      <c r="G875" s="81"/>
      <c r="H875" s="81"/>
      <c r="I875" s="81"/>
      <c r="J875" s="81"/>
      <c r="K875" s="81"/>
      <c r="L875" s="81"/>
      <c r="M875" s="81"/>
      <c r="N875" s="81"/>
    </row>
    <row r="876" spans="1:14" ht="14.25" customHeight="1" x14ac:dyDescent="0.25">
      <c r="A876" s="99" t="s">
        <v>625</v>
      </c>
      <c r="B876" s="100" t="s">
        <v>99</v>
      </c>
      <c r="C876" s="101">
        <v>3300</v>
      </c>
      <c r="D876" s="104">
        <v>14</v>
      </c>
      <c r="E876" s="102"/>
      <c r="F876" s="101">
        <f t="shared" si="47"/>
        <v>46200</v>
      </c>
      <c r="G876" s="81"/>
      <c r="H876" s="81"/>
      <c r="I876" s="81"/>
      <c r="J876" s="81"/>
      <c r="K876" s="81"/>
      <c r="L876" s="81"/>
      <c r="M876" s="81"/>
      <c r="N876" s="81"/>
    </row>
    <row r="877" spans="1:14" ht="14.25" customHeight="1" x14ac:dyDescent="0.25">
      <c r="A877" s="99" t="s">
        <v>626</v>
      </c>
      <c r="B877" s="100" t="s">
        <v>99</v>
      </c>
      <c r="C877" s="101">
        <v>4000</v>
      </c>
      <c r="D877" s="104">
        <v>1</v>
      </c>
      <c r="E877" s="102"/>
      <c r="F877" s="101">
        <f t="shared" si="47"/>
        <v>4000</v>
      </c>
      <c r="G877" s="81"/>
      <c r="H877" s="81"/>
      <c r="I877" s="81"/>
      <c r="J877" s="81"/>
      <c r="K877" s="81"/>
      <c r="L877" s="81"/>
      <c r="M877" s="81"/>
      <c r="N877" s="81"/>
    </row>
    <row r="878" spans="1:14" ht="14.25" customHeight="1" x14ac:dyDescent="0.25">
      <c r="A878" s="99" t="s">
        <v>627</v>
      </c>
      <c r="B878" s="100" t="s">
        <v>99</v>
      </c>
      <c r="C878" s="101">
        <v>11400</v>
      </c>
      <c r="D878" s="104">
        <v>4</v>
      </c>
      <c r="E878" s="102"/>
      <c r="F878" s="101">
        <f t="shared" si="47"/>
        <v>45600</v>
      </c>
      <c r="G878" s="81"/>
      <c r="H878" s="81"/>
      <c r="I878" s="81"/>
      <c r="J878" s="81"/>
      <c r="K878" s="81"/>
      <c r="L878" s="81"/>
      <c r="M878" s="81"/>
      <c r="N878" s="81"/>
    </row>
    <row r="879" spans="1:14" ht="14.25" customHeight="1" x14ac:dyDescent="0.25">
      <c r="A879" s="99" t="s">
        <v>628</v>
      </c>
      <c r="B879" s="100" t="s">
        <v>59</v>
      </c>
      <c r="C879" s="101">
        <v>5980</v>
      </c>
      <c r="D879" s="104">
        <v>22</v>
      </c>
      <c r="E879" s="102"/>
      <c r="F879" s="101">
        <f t="shared" si="47"/>
        <v>131560</v>
      </c>
      <c r="G879" s="81"/>
      <c r="H879" s="81"/>
      <c r="I879" s="81"/>
      <c r="J879" s="81"/>
      <c r="K879" s="81"/>
      <c r="L879" s="81"/>
      <c r="M879" s="81"/>
      <c r="N879" s="81"/>
    </row>
    <row r="880" spans="1:14" ht="14.25" customHeight="1" x14ac:dyDescent="0.25">
      <c r="A880" s="99" t="s">
        <v>629</v>
      </c>
      <c r="B880" s="100" t="s">
        <v>99</v>
      </c>
      <c r="C880" s="101">
        <v>1380</v>
      </c>
      <c r="D880" s="104">
        <v>8</v>
      </c>
      <c r="E880" s="102"/>
      <c r="F880" s="101">
        <f t="shared" si="47"/>
        <v>11040</v>
      </c>
      <c r="G880" s="81"/>
      <c r="H880" s="81"/>
      <c r="I880" s="81"/>
      <c r="J880" s="81"/>
      <c r="K880" s="81"/>
      <c r="L880" s="81"/>
      <c r="M880" s="81"/>
      <c r="N880" s="81"/>
    </row>
    <row r="881" spans="1:14" ht="14.25" customHeight="1" x14ac:dyDescent="0.25">
      <c r="A881" s="99" t="s">
        <v>630</v>
      </c>
      <c r="B881" s="100" t="s">
        <v>99</v>
      </c>
      <c r="C881" s="106">
        <v>58000</v>
      </c>
      <c r="D881" s="104">
        <v>1</v>
      </c>
      <c r="E881" s="102"/>
      <c r="F881" s="101">
        <f t="shared" si="47"/>
        <v>58000</v>
      </c>
      <c r="G881" s="81"/>
      <c r="H881" s="81"/>
      <c r="I881" s="81"/>
      <c r="J881" s="81"/>
      <c r="K881" s="81"/>
      <c r="L881" s="81"/>
      <c r="M881" s="81"/>
      <c r="N881" s="81"/>
    </row>
    <row r="882" spans="1:14" ht="14.25" customHeight="1" x14ac:dyDescent="0.25">
      <c r="A882" s="99" t="s">
        <v>631</v>
      </c>
      <c r="B882" s="100" t="s">
        <v>99</v>
      </c>
      <c r="C882" s="106">
        <v>1600</v>
      </c>
      <c r="D882" s="104">
        <v>10</v>
      </c>
      <c r="E882" s="102"/>
      <c r="F882" s="101">
        <f t="shared" si="47"/>
        <v>16000</v>
      </c>
      <c r="G882" s="81"/>
      <c r="H882" s="81"/>
      <c r="I882" s="81"/>
      <c r="J882" s="81"/>
      <c r="K882" s="81"/>
      <c r="L882" s="81"/>
      <c r="M882" s="81"/>
      <c r="N882" s="81"/>
    </row>
    <row r="883" spans="1:14" ht="14.25" customHeight="1" x14ac:dyDescent="0.25">
      <c r="A883" s="103" t="s">
        <v>632</v>
      </c>
      <c r="B883" s="100" t="s">
        <v>99</v>
      </c>
      <c r="C883" s="101">
        <v>35000</v>
      </c>
      <c r="D883" s="105">
        <v>1.5</v>
      </c>
      <c r="E883" s="102">
        <v>0.05</v>
      </c>
      <c r="F883" s="101">
        <f t="shared" si="47"/>
        <v>55125</v>
      </c>
      <c r="G883" s="81"/>
      <c r="H883" s="81"/>
      <c r="I883" s="81"/>
      <c r="J883" s="81"/>
      <c r="K883" s="81"/>
      <c r="L883" s="81"/>
      <c r="M883" s="81"/>
      <c r="N883" s="81"/>
    </row>
    <row r="884" spans="1:14" ht="14.25" customHeight="1" x14ac:dyDescent="0.25">
      <c r="A884" s="103" t="s">
        <v>633</v>
      </c>
      <c r="B884" s="100" t="s">
        <v>634</v>
      </c>
      <c r="C884" s="101">
        <v>8900</v>
      </c>
      <c r="D884" s="105">
        <v>4</v>
      </c>
      <c r="E884" s="102">
        <v>0.05</v>
      </c>
      <c r="F884" s="101">
        <f t="shared" si="47"/>
        <v>37380</v>
      </c>
      <c r="G884" s="81"/>
      <c r="H884" s="81"/>
      <c r="I884" s="81"/>
      <c r="J884" s="81"/>
      <c r="K884" s="81"/>
      <c r="L884" s="81"/>
      <c r="M884" s="81"/>
      <c r="N884" s="81"/>
    </row>
    <row r="885" spans="1:14" ht="14.25" customHeight="1" x14ac:dyDescent="0.25">
      <c r="A885" s="99"/>
      <c r="B885" s="100"/>
      <c r="C885" s="106"/>
      <c r="D885" s="107"/>
      <c r="E885" s="108"/>
      <c r="F885" s="106"/>
      <c r="G885" s="81"/>
      <c r="H885" s="81"/>
      <c r="I885" s="81"/>
      <c r="J885" s="81"/>
      <c r="K885" s="81"/>
      <c r="L885" s="81"/>
      <c r="M885" s="81"/>
      <c r="N885" s="81"/>
    </row>
    <row r="886" spans="1:14" ht="14.25" customHeight="1" x14ac:dyDescent="0.25">
      <c r="A886" s="97" t="s">
        <v>548</v>
      </c>
      <c r="B886" s="97"/>
      <c r="C886" s="109"/>
      <c r="D886" s="110"/>
      <c r="E886" s="111"/>
      <c r="F886" s="112">
        <f>SUM(F871:F885)</f>
        <v>2509735</v>
      </c>
      <c r="G886" s="81"/>
      <c r="H886" s="81"/>
      <c r="I886" s="81"/>
      <c r="J886" s="81"/>
      <c r="K886" s="81"/>
      <c r="L886" s="81"/>
      <c r="M886" s="81"/>
      <c r="N886" s="81"/>
    </row>
    <row r="887" spans="1:14" ht="14.25" customHeight="1" x14ac:dyDescent="0.25">
      <c r="A887" s="88"/>
      <c r="B887" s="88"/>
      <c r="C887" s="113"/>
      <c r="D887" s="113"/>
      <c r="E887" s="114"/>
      <c r="F887" s="113"/>
      <c r="G887" s="81"/>
      <c r="H887" s="81"/>
      <c r="I887" s="81"/>
      <c r="J887" s="81"/>
      <c r="K887" s="81"/>
      <c r="L887" s="81"/>
      <c r="M887" s="81"/>
      <c r="N887" s="81"/>
    </row>
    <row r="888" spans="1:14" ht="14.25" customHeight="1" x14ac:dyDescent="0.25">
      <c r="A888" s="96" t="s">
        <v>573</v>
      </c>
      <c r="B888" s="96"/>
      <c r="C888" s="92"/>
      <c r="D888" s="92"/>
      <c r="E888" s="92"/>
      <c r="F888" s="92"/>
      <c r="G888" s="81"/>
      <c r="H888" s="81"/>
      <c r="I888" s="81"/>
      <c r="J888" s="81"/>
      <c r="K888" s="81"/>
      <c r="L888" s="81"/>
      <c r="M888" s="81"/>
      <c r="N888" s="81"/>
    </row>
    <row r="889" spans="1:14" ht="14.25" customHeight="1" x14ac:dyDescent="0.25">
      <c r="A889" s="611" t="s">
        <v>563</v>
      </c>
      <c r="B889" s="608"/>
      <c r="C889" s="609"/>
      <c r="D889" s="98" t="s">
        <v>574</v>
      </c>
      <c r="E889" s="98" t="s">
        <v>575</v>
      </c>
      <c r="F889" s="98" t="s">
        <v>568</v>
      </c>
      <c r="G889" s="81"/>
      <c r="H889" s="81"/>
      <c r="I889" s="81"/>
      <c r="J889" s="81"/>
      <c r="K889" s="81"/>
      <c r="L889" s="81"/>
      <c r="M889" s="81"/>
      <c r="N889" s="81"/>
    </row>
    <row r="890" spans="1:14" ht="14.25" customHeight="1" x14ac:dyDescent="0.25">
      <c r="A890" s="607" t="s">
        <v>577</v>
      </c>
      <c r="B890" s="608"/>
      <c r="C890" s="609"/>
      <c r="D890" s="116"/>
      <c r="E890" s="107"/>
      <c r="F890" s="106">
        <f>+F902*5%</f>
        <v>25048.356033180156</v>
      </c>
      <c r="G890" s="81"/>
      <c r="H890" s="81"/>
      <c r="I890" s="81"/>
      <c r="J890" s="81"/>
      <c r="K890" s="81"/>
      <c r="L890" s="81"/>
      <c r="M890" s="81"/>
      <c r="N890" s="81"/>
    </row>
    <row r="891" spans="1:14" ht="14.25" customHeight="1" x14ac:dyDescent="0.25">
      <c r="A891" s="607"/>
      <c r="B891" s="608"/>
      <c r="C891" s="609"/>
      <c r="D891" s="142"/>
      <c r="E891" s="107"/>
      <c r="F891" s="106"/>
      <c r="G891" s="81"/>
      <c r="H891" s="81"/>
      <c r="I891" s="81"/>
      <c r="J891" s="81"/>
      <c r="K891" s="81"/>
      <c r="L891" s="81"/>
      <c r="M891" s="81"/>
      <c r="N891" s="81"/>
    </row>
    <row r="892" spans="1:14" ht="14.25" customHeight="1" x14ac:dyDescent="0.25">
      <c r="A892" s="607"/>
      <c r="B892" s="608"/>
      <c r="C892" s="609"/>
      <c r="D892" s="142"/>
      <c r="E892" s="107"/>
      <c r="F892" s="106"/>
      <c r="G892" s="81"/>
      <c r="H892" s="81"/>
      <c r="I892" s="81"/>
      <c r="J892" s="81"/>
      <c r="K892" s="81"/>
      <c r="L892" s="81"/>
      <c r="M892" s="81"/>
      <c r="N892" s="81"/>
    </row>
    <row r="893" spans="1:14" ht="14.25" customHeight="1" x14ac:dyDescent="0.25">
      <c r="A893" s="610"/>
      <c r="B893" s="608"/>
      <c r="C893" s="609"/>
      <c r="D893" s="115"/>
      <c r="E893" s="107"/>
      <c r="F893" s="106"/>
      <c r="G893" s="81"/>
      <c r="H893" s="81"/>
      <c r="I893" s="81"/>
      <c r="J893" s="81"/>
      <c r="K893" s="81"/>
      <c r="L893" s="81"/>
      <c r="M893" s="81"/>
      <c r="N893" s="81"/>
    </row>
    <row r="894" spans="1:14" ht="14.25" customHeight="1" x14ac:dyDescent="0.25">
      <c r="A894" s="611" t="s">
        <v>548</v>
      </c>
      <c r="B894" s="608"/>
      <c r="C894" s="609"/>
      <c r="D894" s="110"/>
      <c r="E894" s="110"/>
      <c r="F894" s="112">
        <f>SUM(F890:F892)</f>
        <v>25048.356033180156</v>
      </c>
      <c r="G894" s="81"/>
      <c r="H894" s="81"/>
      <c r="I894" s="81"/>
      <c r="J894" s="81"/>
      <c r="K894" s="81"/>
      <c r="L894" s="81"/>
      <c r="M894" s="81"/>
      <c r="N894" s="81"/>
    </row>
    <row r="895" spans="1:14" ht="14.25" customHeight="1" x14ac:dyDescent="0.25">
      <c r="A895" s="88"/>
      <c r="B895" s="88"/>
      <c r="C895" s="89"/>
      <c r="D895" s="113"/>
      <c r="E895" s="113"/>
      <c r="F895" s="113"/>
      <c r="G895" s="81"/>
      <c r="H895" s="81"/>
      <c r="I895" s="81"/>
      <c r="J895" s="81"/>
      <c r="K895" s="81"/>
      <c r="L895" s="81"/>
      <c r="M895" s="81"/>
      <c r="N895" s="81"/>
    </row>
    <row r="896" spans="1:14" ht="14.25" customHeight="1" x14ac:dyDescent="0.25">
      <c r="A896" s="96" t="s">
        <v>578</v>
      </c>
      <c r="B896" s="96"/>
      <c r="C896" s="92"/>
      <c r="D896" s="118"/>
      <c r="E896" s="118"/>
      <c r="F896" s="118"/>
      <c r="G896" s="81"/>
      <c r="H896" s="81"/>
      <c r="I896" s="81"/>
      <c r="J896" s="81"/>
      <c r="K896" s="81"/>
      <c r="L896" s="81"/>
      <c r="M896" s="81"/>
      <c r="N896" s="81"/>
    </row>
    <row r="897" spans="1:14" ht="14.25" customHeight="1" x14ac:dyDescent="0.25">
      <c r="A897" s="119" t="s">
        <v>563</v>
      </c>
      <c r="B897" s="120" t="s">
        <v>579</v>
      </c>
      <c r="C897" s="120" t="s">
        <v>580</v>
      </c>
      <c r="D897" s="121" t="s">
        <v>581</v>
      </c>
      <c r="E897" s="121" t="s">
        <v>575</v>
      </c>
      <c r="F897" s="121" t="s">
        <v>568</v>
      </c>
      <c r="G897" s="81"/>
      <c r="H897" s="81"/>
      <c r="I897" s="81"/>
      <c r="J897" s="81"/>
      <c r="K897" s="81"/>
      <c r="L897" s="81"/>
      <c r="M897" s="81"/>
      <c r="N897" s="81"/>
    </row>
    <row r="898" spans="1:14" ht="14.25" customHeight="1" x14ac:dyDescent="0.25">
      <c r="A898" s="122" t="s">
        <v>593</v>
      </c>
      <c r="B898" s="127">
        <v>1</v>
      </c>
      <c r="C898" s="101">
        <v>32688</v>
      </c>
      <c r="D898" s="101">
        <f t="shared" ref="D898:D899" si="48">+C898*1.7</f>
        <v>55569.599999999999</v>
      </c>
      <c r="E898" s="107">
        <v>0.28920899999999999</v>
      </c>
      <c r="F898" s="106">
        <f t="shared" ref="F898:F899" si="49">+B898*(D898)/E898</f>
        <v>192143.39802703235</v>
      </c>
      <c r="G898" s="81"/>
      <c r="H898" s="81"/>
      <c r="I898" s="81"/>
      <c r="J898" s="81"/>
      <c r="K898" s="81"/>
      <c r="L898" s="81"/>
      <c r="M898" s="81"/>
      <c r="N898" s="81"/>
    </row>
    <row r="899" spans="1:14" ht="14.25" customHeight="1" x14ac:dyDescent="0.25">
      <c r="A899" s="122" t="s">
        <v>594</v>
      </c>
      <c r="B899" s="127">
        <v>1</v>
      </c>
      <c r="C899" s="101">
        <v>52538</v>
      </c>
      <c r="D899" s="101">
        <f t="shared" si="48"/>
        <v>89314.599999999991</v>
      </c>
      <c r="E899" s="107">
        <f>E898</f>
        <v>0.28920899999999999</v>
      </c>
      <c r="F899" s="106">
        <f t="shared" si="49"/>
        <v>308823.72263657075</v>
      </c>
      <c r="G899" s="81"/>
      <c r="H899" s="81"/>
      <c r="I899" s="81"/>
      <c r="J899" s="81"/>
      <c r="K899" s="81"/>
      <c r="L899" s="81"/>
      <c r="M899" s="81"/>
      <c r="N899" s="81"/>
    </row>
    <row r="900" spans="1:14" ht="14.25" customHeight="1" x14ac:dyDescent="0.25">
      <c r="A900" s="122"/>
      <c r="B900" s="127"/>
      <c r="C900" s="101"/>
      <c r="D900" s="101"/>
      <c r="E900" s="107"/>
      <c r="F900" s="106"/>
      <c r="G900" s="81"/>
      <c r="H900" s="81"/>
      <c r="I900" s="81"/>
      <c r="J900" s="81"/>
      <c r="K900" s="81"/>
      <c r="L900" s="81"/>
      <c r="M900" s="81"/>
      <c r="N900" s="81"/>
    </row>
    <row r="901" spans="1:14" ht="14.25" customHeight="1" x14ac:dyDescent="0.25">
      <c r="A901" s="122"/>
      <c r="B901" s="127"/>
      <c r="C901" s="101"/>
      <c r="D901" s="101"/>
      <c r="E901" s="125"/>
      <c r="F901" s="106"/>
      <c r="G901" s="81"/>
      <c r="H901" s="81"/>
      <c r="I901" s="81"/>
      <c r="J901" s="81"/>
      <c r="K901" s="81"/>
      <c r="L901" s="81"/>
      <c r="M901" s="81"/>
      <c r="N901" s="81"/>
    </row>
    <row r="902" spans="1:14" ht="14.25" customHeight="1" x14ac:dyDescent="0.25">
      <c r="A902" s="97" t="s">
        <v>548</v>
      </c>
      <c r="B902" s="128"/>
      <c r="C902" s="110"/>
      <c r="D902" s="110"/>
      <c r="E902" s="110"/>
      <c r="F902" s="112">
        <f>SUM(F898:F901)</f>
        <v>500967.12066360307</v>
      </c>
      <c r="G902" s="81"/>
      <c r="H902" s="81"/>
      <c r="I902" s="81"/>
      <c r="J902" s="81"/>
      <c r="K902" s="81"/>
      <c r="L902" s="81"/>
      <c r="M902" s="81"/>
      <c r="N902" s="81"/>
    </row>
    <row r="903" spans="1:14" ht="14.25" customHeight="1" x14ac:dyDescent="0.25">
      <c r="A903" s="96"/>
      <c r="B903" s="129"/>
      <c r="C903" s="118"/>
      <c r="D903" s="118"/>
      <c r="E903" s="118"/>
      <c r="F903" s="118"/>
      <c r="G903" s="81"/>
      <c r="H903" s="81"/>
      <c r="I903" s="81"/>
      <c r="J903" s="81"/>
      <c r="K903" s="81"/>
      <c r="L903" s="81"/>
      <c r="M903" s="81"/>
      <c r="N903" s="81"/>
    </row>
    <row r="904" spans="1:14" ht="14.25" customHeight="1" x14ac:dyDescent="0.25">
      <c r="A904" s="95" t="s">
        <v>583</v>
      </c>
      <c r="B904" s="96"/>
      <c r="C904" s="92"/>
      <c r="D904" s="92"/>
      <c r="E904" s="92" t="s">
        <v>584</v>
      </c>
      <c r="F904" s="92"/>
      <c r="G904" s="81"/>
      <c r="H904" s="81"/>
      <c r="I904" s="81"/>
      <c r="J904" s="81"/>
      <c r="K904" s="81"/>
      <c r="L904" s="81"/>
      <c r="M904" s="81"/>
      <c r="N904" s="81"/>
    </row>
    <row r="905" spans="1:14" ht="14.25" customHeight="1" x14ac:dyDescent="0.25">
      <c r="A905" s="97" t="s">
        <v>563</v>
      </c>
      <c r="B905" s="98" t="s">
        <v>564</v>
      </c>
      <c r="C905" s="98" t="s">
        <v>585</v>
      </c>
      <c r="D905" s="98" t="s">
        <v>586</v>
      </c>
      <c r="E905" s="120" t="s">
        <v>587</v>
      </c>
      <c r="F905" s="98" t="s">
        <v>568</v>
      </c>
      <c r="G905" s="81"/>
      <c r="H905" s="81"/>
      <c r="I905" s="81"/>
      <c r="J905" s="81"/>
      <c r="K905" s="81"/>
      <c r="L905" s="81"/>
      <c r="M905" s="81"/>
      <c r="N905" s="81"/>
    </row>
    <row r="906" spans="1:14" ht="14.25" customHeight="1" x14ac:dyDescent="0.25">
      <c r="A906" s="103"/>
      <c r="B906" s="100"/>
      <c r="C906" s="101"/>
      <c r="D906" s="140"/>
      <c r="E906" s="107"/>
      <c r="F906" s="109">
        <f>+C906*D906*E906</f>
        <v>0</v>
      </c>
      <c r="G906" s="81"/>
      <c r="H906" s="81"/>
      <c r="I906" s="81"/>
      <c r="J906" s="81"/>
      <c r="K906" s="81"/>
      <c r="L906" s="81"/>
      <c r="M906" s="81"/>
      <c r="N906" s="81"/>
    </row>
    <row r="907" spans="1:14" ht="14.25" customHeight="1" x14ac:dyDescent="0.25">
      <c r="A907" s="103"/>
      <c r="B907" s="100"/>
      <c r="C907" s="107"/>
      <c r="D907" s="107"/>
      <c r="E907" s="108"/>
      <c r="F907" s="109"/>
      <c r="G907" s="81"/>
      <c r="H907" s="81"/>
      <c r="I907" s="81"/>
      <c r="J907" s="81"/>
      <c r="K907" s="81"/>
      <c r="L907" s="81"/>
      <c r="M907" s="81"/>
      <c r="N907" s="81"/>
    </row>
    <row r="908" spans="1:14" ht="14.25" customHeight="1" x14ac:dyDescent="0.25">
      <c r="A908" s="97" t="s">
        <v>548</v>
      </c>
      <c r="B908" s="98"/>
      <c r="C908" s="110"/>
      <c r="D908" s="110"/>
      <c r="E908" s="111"/>
      <c r="F908" s="112">
        <f>SUM(F906:F907)</f>
        <v>0</v>
      </c>
      <c r="G908" s="81"/>
      <c r="H908" s="81"/>
      <c r="I908" s="81"/>
      <c r="J908" s="81"/>
      <c r="K908" s="81"/>
      <c r="L908" s="81"/>
      <c r="M908" s="81"/>
      <c r="N908" s="81"/>
    </row>
    <row r="909" spans="1:14" ht="14.25" customHeight="1" x14ac:dyDescent="0.25">
      <c r="A909" s="88"/>
      <c r="B909" s="89"/>
      <c r="C909" s="113"/>
      <c r="D909" s="113"/>
      <c r="E909" s="114"/>
      <c r="F909" s="113"/>
      <c r="G909" s="81"/>
      <c r="H909" s="81"/>
      <c r="I909" s="81"/>
      <c r="J909" s="81"/>
      <c r="K909" s="81"/>
      <c r="L909" s="81"/>
      <c r="M909" s="81"/>
      <c r="N909" s="81"/>
    </row>
    <row r="910" spans="1:14" ht="14.25" customHeight="1" x14ac:dyDescent="0.25">
      <c r="A910" s="88"/>
      <c r="B910" s="89"/>
      <c r="C910" s="113"/>
      <c r="D910" s="113"/>
      <c r="E910" s="114"/>
      <c r="F910" s="113"/>
      <c r="G910" s="81"/>
      <c r="H910" s="81"/>
      <c r="I910" s="81"/>
      <c r="J910" s="81"/>
      <c r="K910" s="81"/>
      <c r="L910" s="81"/>
      <c r="M910" s="81"/>
      <c r="N910" s="81"/>
    </row>
    <row r="911" spans="1:14" ht="14.25" customHeight="1" x14ac:dyDescent="0.25">
      <c r="A911" s="612" t="s">
        <v>588</v>
      </c>
      <c r="B911" s="608"/>
      <c r="C911" s="608"/>
      <c r="D911" s="608"/>
      <c r="E911" s="609"/>
      <c r="F911" s="131">
        <f>ROUND(F886+F894+F902+F908,0)</f>
        <v>3035750</v>
      </c>
      <c r="G911" s="81"/>
      <c r="H911" s="117"/>
      <c r="I911" s="81"/>
      <c r="J911" s="81"/>
      <c r="K911" s="81"/>
      <c r="L911" s="81"/>
      <c r="M911" s="81"/>
      <c r="N911" s="81"/>
    </row>
    <row r="912" spans="1:14" ht="14.25" customHeight="1" x14ac:dyDescent="0.25">
      <c r="A912" s="612" t="s">
        <v>589</v>
      </c>
      <c r="B912" s="608"/>
      <c r="C912" s="608"/>
      <c r="D912" s="608"/>
      <c r="E912" s="609"/>
      <c r="F912" s="132"/>
      <c r="G912" s="81"/>
      <c r="H912" s="81"/>
      <c r="I912" s="81"/>
      <c r="J912" s="81"/>
      <c r="K912" s="81"/>
      <c r="L912" s="81"/>
      <c r="M912" s="81"/>
      <c r="N912" s="81"/>
    </row>
    <row r="913" spans="1:14" ht="14.25" customHeight="1" x14ac:dyDescent="0.25">
      <c r="A913" s="612" t="s">
        <v>556</v>
      </c>
      <c r="B913" s="608"/>
      <c r="C913" s="608"/>
      <c r="D913" s="608"/>
      <c r="E913" s="609"/>
      <c r="F913" s="133"/>
      <c r="G913" s="81"/>
      <c r="H913" s="81"/>
      <c r="I913" s="81"/>
      <c r="J913" s="81"/>
      <c r="K913" s="81"/>
      <c r="L913" s="81"/>
      <c r="M913" s="81"/>
      <c r="N913" s="81"/>
    </row>
    <row r="914" spans="1:14" ht="14.25" customHeight="1" x14ac:dyDescent="0.25">
      <c r="A914" s="134"/>
      <c r="B914" s="135"/>
      <c r="C914" s="135"/>
      <c r="D914" s="135"/>
      <c r="E914" s="135"/>
      <c r="F914" s="136"/>
      <c r="G914" s="81"/>
      <c r="H914" s="143"/>
      <c r="I914" s="81"/>
      <c r="J914" s="81"/>
      <c r="K914" s="81"/>
      <c r="L914" s="81"/>
      <c r="M914" s="81"/>
      <c r="N914" s="81"/>
    </row>
    <row r="915" spans="1:14" ht="14.25" customHeight="1" x14ac:dyDescent="0.25">
      <c r="A915" s="81"/>
      <c r="B915" s="81"/>
      <c r="C915" s="137"/>
      <c r="D915" s="81"/>
      <c r="E915" s="81"/>
      <c r="F915" s="81"/>
      <c r="G915" s="81"/>
      <c r="H915" s="81"/>
      <c r="I915" s="81"/>
      <c r="J915" s="81"/>
      <c r="K915" s="81"/>
      <c r="L915" s="81"/>
      <c r="M915" s="81"/>
      <c r="N915" s="81"/>
    </row>
    <row r="916" spans="1:14" ht="14.25" customHeight="1" x14ac:dyDescent="0.25">
      <c r="A916" s="81"/>
      <c r="B916" s="81"/>
      <c r="C916" s="137"/>
      <c r="D916" s="81"/>
      <c r="E916" s="81"/>
      <c r="F916" s="81"/>
      <c r="G916" s="81"/>
      <c r="H916" s="81"/>
      <c r="I916" s="81"/>
      <c r="J916" s="81"/>
      <c r="K916" s="81"/>
      <c r="L916" s="81"/>
      <c r="M916" s="81"/>
      <c r="N916" s="81"/>
    </row>
    <row r="917" spans="1:14" ht="14.25" customHeight="1" x14ac:dyDescent="0.25">
      <c r="A917" s="81"/>
      <c r="B917" s="81"/>
      <c r="C917" s="137"/>
      <c r="D917" s="81"/>
      <c r="E917" s="81"/>
      <c r="F917" s="81"/>
      <c r="G917" s="81"/>
      <c r="H917" s="81"/>
      <c r="I917" s="81"/>
      <c r="J917" s="81"/>
      <c r="K917" s="81"/>
      <c r="L917" s="81"/>
      <c r="M917" s="81"/>
      <c r="N917" s="81"/>
    </row>
    <row r="918" spans="1:14" ht="14.25" customHeight="1" x14ac:dyDescent="0.25">
      <c r="A918" s="81"/>
      <c r="B918" s="81"/>
      <c r="C918" s="137"/>
      <c r="D918" s="81"/>
      <c r="E918" s="81"/>
      <c r="F918" s="81"/>
      <c r="G918" s="81"/>
      <c r="H918" s="81"/>
      <c r="I918" s="81"/>
      <c r="J918" s="81"/>
      <c r="K918" s="81"/>
      <c r="L918" s="81"/>
      <c r="M918" s="81"/>
      <c r="N918" s="81"/>
    </row>
    <row r="919" spans="1:14" ht="14.25" customHeight="1" x14ac:dyDescent="0.25">
      <c r="A919" s="81"/>
      <c r="B919" s="81"/>
      <c r="C919" s="137"/>
      <c r="D919" s="81"/>
      <c r="E919" s="81"/>
      <c r="F919" s="81"/>
      <c r="G919" s="81"/>
      <c r="H919" s="81"/>
      <c r="I919" s="81"/>
      <c r="J919" s="81"/>
      <c r="K919" s="81"/>
      <c r="L919" s="81"/>
      <c r="M919" s="81"/>
      <c r="N919" s="81"/>
    </row>
    <row r="920" spans="1:14" ht="14.25" customHeight="1" x14ac:dyDescent="0.25">
      <c r="A920" s="81"/>
      <c r="B920" s="81"/>
      <c r="C920" s="137"/>
      <c r="D920" s="81"/>
      <c r="E920" s="81"/>
      <c r="F920" s="81"/>
      <c r="G920" s="81"/>
      <c r="H920" s="81"/>
      <c r="I920" s="81"/>
      <c r="J920" s="81"/>
      <c r="K920" s="81"/>
      <c r="L920" s="81"/>
      <c r="M920" s="81"/>
      <c r="N920" s="81"/>
    </row>
    <row r="921" spans="1:14" ht="14.25" customHeight="1" x14ac:dyDescent="0.25">
      <c r="A921" s="134"/>
      <c r="B921" s="135"/>
      <c r="C921" s="135"/>
      <c r="D921" s="135"/>
      <c r="E921" s="135"/>
      <c r="F921" s="136"/>
      <c r="G921" s="81"/>
      <c r="H921" s="81"/>
      <c r="I921" s="81"/>
      <c r="J921" s="81"/>
      <c r="K921" s="81"/>
      <c r="L921" s="81"/>
      <c r="M921" s="81"/>
      <c r="N921" s="81"/>
    </row>
    <row r="922" spans="1:14" ht="14.25" customHeight="1" x14ac:dyDescent="0.25">
      <c r="A922" s="134"/>
      <c r="B922" s="135"/>
      <c r="C922" s="135"/>
      <c r="D922" s="135"/>
      <c r="E922" s="135"/>
      <c r="F922" s="136"/>
      <c r="G922" s="81"/>
      <c r="H922" s="81"/>
      <c r="I922" s="81"/>
      <c r="J922" s="81"/>
      <c r="K922" s="81"/>
      <c r="L922" s="81"/>
      <c r="M922" s="81"/>
      <c r="N922" s="81"/>
    </row>
    <row r="923" spans="1:14" ht="14.25" customHeight="1" x14ac:dyDescent="0.25">
      <c r="A923" s="134"/>
      <c r="B923" s="135"/>
      <c r="C923" s="135"/>
      <c r="D923" s="135"/>
      <c r="E923" s="135"/>
      <c r="F923" s="136"/>
      <c r="G923" s="81"/>
      <c r="H923" s="81"/>
      <c r="I923" s="81"/>
      <c r="J923" s="81"/>
      <c r="K923" s="81"/>
      <c r="L923" s="81"/>
      <c r="M923" s="81"/>
      <c r="N923" s="81"/>
    </row>
    <row r="924" spans="1:14" ht="14.25" customHeight="1" thickBot="1" x14ac:dyDescent="0.3">
      <c r="A924" s="81"/>
      <c r="B924" s="81"/>
      <c r="C924" s="81"/>
      <c r="D924" s="81"/>
      <c r="E924" s="81"/>
      <c r="F924" s="81"/>
      <c r="G924" s="81"/>
      <c r="H924" s="81"/>
      <c r="I924" s="81"/>
      <c r="J924" s="81"/>
      <c r="K924" s="81"/>
      <c r="L924" s="81"/>
      <c r="M924" s="81"/>
      <c r="N924" s="81"/>
    </row>
    <row r="925" spans="1:14" ht="14.25" customHeight="1" x14ac:dyDescent="0.25">
      <c r="A925" s="83"/>
      <c r="B925" s="84"/>
      <c r="C925" s="85"/>
      <c r="D925" s="86"/>
      <c r="E925" s="86"/>
      <c r="F925" s="87"/>
      <c r="G925" s="81"/>
      <c r="H925" s="81"/>
      <c r="I925" s="81"/>
      <c r="J925" s="81"/>
      <c r="K925" s="81"/>
      <c r="L925" s="81"/>
      <c r="M925" s="81"/>
      <c r="N925" s="81"/>
    </row>
    <row r="926" spans="1:14" ht="14.25" customHeight="1" x14ac:dyDescent="0.25">
      <c r="A926" s="599"/>
      <c r="B926" s="600"/>
      <c r="C926" s="600"/>
      <c r="D926" s="600"/>
      <c r="E926" s="600"/>
      <c r="F926" s="601"/>
      <c r="G926" s="81"/>
      <c r="H926" s="81"/>
      <c r="I926" s="81"/>
      <c r="J926" s="81"/>
      <c r="K926" s="81"/>
      <c r="L926" s="81"/>
      <c r="M926" s="81"/>
      <c r="N926" s="81"/>
    </row>
    <row r="927" spans="1:14" ht="14.25" customHeight="1" x14ac:dyDescent="0.25">
      <c r="A927" s="602" t="s">
        <v>561</v>
      </c>
      <c r="B927" s="600"/>
      <c r="C927" s="600"/>
      <c r="D927" s="600"/>
      <c r="E927" s="600"/>
      <c r="F927" s="601"/>
      <c r="G927" s="81"/>
      <c r="H927" s="81"/>
      <c r="I927" s="81"/>
      <c r="J927" s="81"/>
      <c r="K927" s="81"/>
      <c r="L927" s="81"/>
      <c r="M927" s="81"/>
      <c r="N927" s="81"/>
    </row>
    <row r="928" spans="1:14" ht="14.25" customHeight="1" thickBot="1" x14ac:dyDescent="0.3">
      <c r="A928" s="603"/>
      <c r="B928" s="604"/>
      <c r="C928" s="604"/>
      <c r="D928" s="604"/>
      <c r="E928" s="604"/>
      <c r="F928" s="605"/>
      <c r="G928" s="81"/>
      <c r="H928" s="81"/>
      <c r="I928" s="81"/>
      <c r="J928" s="81"/>
      <c r="K928" s="81"/>
      <c r="L928" s="81"/>
      <c r="M928" s="81"/>
      <c r="N928" s="81"/>
    </row>
    <row r="929" spans="1:14" ht="14.25" customHeight="1" x14ac:dyDescent="0.25">
      <c r="A929" s="88"/>
      <c r="B929" s="88"/>
      <c r="C929" s="89"/>
      <c r="D929" s="89"/>
      <c r="E929" s="89"/>
      <c r="F929" s="89"/>
      <c r="G929" s="81"/>
      <c r="H929" s="81"/>
      <c r="I929" s="81"/>
      <c r="J929" s="81"/>
      <c r="K929" s="81"/>
      <c r="L929" s="81"/>
      <c r="M929" s="81"/>
      <c r="N929" s="81"/>
    </row>
    <row r="930" spans="1:14" ht="14.25" customHeight="1" x14ac:dyDescent="0.25">
      <c r="A930" s="90" t="s">
        <v>47</v>
      </c>
      <c r="B930" s="613" t="s">
        <v>89</v>
      </c>
      <c r="C930" s="600"/>
      <c r="D930" s="600"/>
      <c r="E930" s="600"/>
      <c r="F930" s="600"/>
      <c r="G930" s="81"/>
      <c r="H930" s="81"/>
      <c r="I930" s="81"/>
      <c r="J930" s="81"/>
      <c r="K930" s="81"/>
      <c r="L930" s="81"/>
      <c r="M930" s="81"/>
      <c r="N930" s="81"/>
    </row>
    <row r="931" spans="1:14" ht="14.25" customHeight="1" x14ac:dyDescent="0.25">
      <c r="A931" s="91"/>
      <c r="B931" s="91"/>
      <c r="C931" s="91"/>
      <c r="D931" s="91"/>
      <c r="E931" s="91"/>
      <c r="F931" s="91"/>
      <c r="G931" s="81"/>
      <c r="H931" s="81"/>
      <c r="I931" s="81"/>
      <c r="J931" s="81"/>
      <c r="K931" s="81"/>
      <c r="L931" s="81"/>
      <c r="M931" s="81"/>
      <c r="N931" s="81"/>
    </row>
    <row r="932" spans="1:14" ht="14.25" customHeight="1" x14ac:dyDescent="0.25">
      <c r="A932" s="88" t="s">
        <v>49</v>
      </c>
      <c r="B932" s="92" t="s">
        <v>85</v>
      </c>
      <c r="C932" s="89"/>
      <c r="D932" s="89"/>
      <c r="E932" s="89"/>
      <c r="F932" s="93"/>
      <c r="G932" s="81"/>
      <c r="H932" s="81"/>
      <c r="I932" s="81"/>
      <c r="J932" s="81"/>
      <c r="K932" s="81"/>
      <c r="L932" s="81"/>
      <c r="M932" s="81"/>
      <c r="N932" s="81"/>
    </row>
    <row r="933" spans="1:14" ht="14.25" customHeight="1" x14ac:dyDescent="0.25">
      <c r="A933" s="88"/>
      <c r="B933" s="94"/>
      <c r="C933" s="89"/>
      <c r="D933" s="89"/>
      <c r="E933" s="89"/>
      <c r="F933" s="93"/>
      <c r="G933" s="81"/>
      <c r="H933" s="81"/>
      <c r="I933" s="81"/>
      <c r="J933" s="81"/>
      <c r="K933" s="81"/>
      <c r="L933" s="81"/>
      <c r="M933" s="81"/>
      <c r="N933" s="81"/>
    </row>
    <row r="934" spans="1:14" ht="14.25" customHeight="1" x14ac:dyDescent="0.25">
      <c r="A934" s="95" t="s">
        <v>562</v>
      </c>
      <c r="B934" s="96"/>
      <c r="C934" s="92"/>
      <c r="D934" s="92"/>
      <c r="E934" s="92"/>
      <c r="F934" s="92"/>
      <c r="G934" s="81"/>
      <c r="H934" s="81"/>
      <c r="I934" s="81"/>
      <c r="J934" s="81"/>
      <c r="K934" s="81"/>
      <c r="L934" s="81"/>
      <c r="M934" s="81"/>
      <c r="N934" s="81"/>
    </row>
    <row r="935" spans="1:14" ht="14.25" customHeight="1" x14ac:dyDescent="0.25">
      <c r="A935" s="97" t="s">
        <v>563</v>
      </c>
      <c r="B935" s="98" t="s">
        <v>564</v>
      </c>
      <c r="C935" s="98" t="s">
        <v>565</v>
      </c>
      <c r="D935" s="98" t="s">
        <v>566</v>
      </c>
      <c r="E935" s="98" t="s">
        <v>567</v>
      </c>
      <c r="F935" s="98" t="s">
        <v>568</v>
      </c>
      <c r="G935" s="81"/>
      <c r="H935" s="81"/>
      <c r="I935" s="81"/>
      <c r="J935" s="81"/>
      <c r="K935" s="81"/>
      <c r="L935" s="81"/>
      <c r="M935" s="81"/>
      <c r="N935" s="81"/>
    </row>
    <row r="936" spans="1:14" ht="14.25" customHeight="1" x14ac:dyDescent="0.25">
      <c r="A936" s="99"/>
      <c r="B936" s="100"/>
      <c r="C936" s="101"/>
      <c r="D936" s="104"/>
      <c r="E936" s="102"/>
      <c r="F936" s="101">
        <f t="shared" ref="F936:F941" si="50">C936*(D936+(D936*E936))</f>
        <v>0</v>
      </c>
      <c r="G936" s="81"/>
      <c r="H936" s="81"/>
      <c r="I936" s="81"/>
      <c r="J936" s="81"/>
      <c r="K936" s="81"/>
      <c r="L936" s="81"/>
      <c r="M936" s="81"/>
      <c r="N936" s="81"/>
    </row>
    <row r="937" spans="1:14" ht="14.25" customHeight="1" x14ac:dyDescent="0.25">
      <c r="A937" s="99"/>
      <c r="B937" s="100"/>
      <c r="C937" s="101"/>
      <c r="D937" s="104"/>
      <c r="E937" s="102"/>
      <c r="F937" s="101">
        <f t="shared" si="50"/>
        <v>0</v>
      </c>
      <c r="G937" s="81"/>
      <c r="H937" s="81"/>
      <c r="I937" s="81"/>
      <c r="J937" s="81"/>
      <c r="K937" s="81"/>
      <c r="L937" s="81"/>
      <c r="M937" s="81"/>
      <c r="N937" s="81"/>
    </row>
    <row r="938" spans="1:14" ht="14.25" customHeight="1" x14ac:dyDescent="0.25">
      <c r="A938" s="99"/>
      <c r="B938" s="100"/>
      <c r="C938" s="101"/>
      <c r="D938" s="104"/>
      <c r="E938" s="102"/>
      <c r="F938" s="101">
        <f t="shared" si="50"/>
        <v>0</v>
      </c>
      <c r="G938" s="81"/>
      <c r="H938" s="81"/>
      <c r="I938" s="81"/>
      <c r="J938" s="81"/>
      <c r="K938" s="81"/>
      <c r="L938" s="81"/>
      <c r="M938" s="81"/>
      <c r="N938" s="81"/>
    </row>
    <row r="939" spans="1:14" ht="14.25" customHeight="1" x14ac:dyDescent="0.25">
      <c r="A939" s="99"/>
      <c r="B939" s="100"/>
      <c r="C939" s="101"/>
      <c r="D939" s="104"/>
      <c r="E939" s="102"/>
      <c r="F939" s="101">
        <f t="shared" si="50"/>
        <v>0</v>
      </c>
      <c r="G939" s="81"/>
      <c r="H939" s="81"/>
      <c r="I939" s="81"/>
      <c r="J939" s="81"/>
      <c r="K939" s="81"/>
      <c r="L939" s="81"/>
      <c r="M939" s="81"/>
      <c r="N939" s="81"/>
    </row>
    <row r="940" spans="1:14" ht="14.25" customHeight="1" x14ac:dyDescent="0.25">
      <c r="A940" s="99"/>
      <c r="B940" s="100"/>
      <c r="C940" s="101"/>
      <c r="D940" s="104"/>
      <c r="E940" s="102"/>
      <c r="F940" s="101">
        <f t="shared" si="50"/>
        <v>0</v>
      </c>
      <c r="G940" s="81"/>
      <c r="H940" s="81"/>
      <c r="I940" s="81"/>
      <c r="J940" s="81"/>
      <c r="K940" s="81"/>
      <c r="L940" s="81"/>
      <c r="M940" s="81"/>
      <c r="N940" s="81"/>
    </row>
    <row r="941" spans="1:14" ht="14.25" customHeight="1" x14ac:dyDescent="0.25">
      <c r="A941" s="99"/>
      <c r="B941" s="100"/>
      <c r="C941" s="101"/>
      <c r="D941" s="104"/>
      <c r="E941" s="102"/>
      <c r="F941" s="101">
        <f t="shared" si="50"/>
        <v>0</v>
      </c>
      <c r="G941" s="81"/>
      <c r="H941" s="81"/>
      <c r="I941" s="81"/>
      <c r="J941" s="81"/>
      <c r="K941" s="81"/>
      <c r="L941" s="81"/>
      <c r="M941" s="81"/>
      <c r="N941" s="81"/>
    </row>
    <row r="942" spans="1:14" ht="14.25" customHeight="1" x14ac:dyDescent="0.25">
      <c r="A942" s="99"/>
      <c r="B942" s="100"/>
      <c r="C942" s="106"/>
      <c r="D942" s="107"/>
      <c r="E942" s="108"/>
      <c r="F942" s="106"/>
      <c r="G942" s="81"/>
      <c r="H942" s="81"/>
      <c r="I942" s="81"/>
      <c r="J942" s="81"/>
      <c r="K942" s="81"/>
      <c r="L942" s="81"/>
      <c r="M942" s="81"/>
      <c r="N942" s="81"/>
    </row>
    <row r="943" spans="1:14" ht="14.25" customHeight="1" x14ac:dyDescent="0.25">
      <c r="A943" s="97" t="s">
        <v>548</v>
      </c>
      <c r="B943" s="97"/>
      <c r="C943" s="109"/>
      <c r="D943" s="110"/>
      <c r="E943" s="111"/>
      <c r="F943" s="112">
        <f>SUM(F936:F942)</f>
        <v>0</v>
      </c>
      <c r="G943" s="81"/>
      <c r="H943" s="81"/>
      <c r="I943" s="81"/>
      <c r="J943" s="81"/>
      <c r="K943" s="81"/>
      <c r="L943" s="81"/>
      <c r="M943" s="81"/>
      <c r="N943" s="81"/>
    </row>
    <row r="944" spans="1:14" ht="14.25" customHeight="1" x14ac:dyDescent="0.25">
      <c r="A944" s="88"/>
      <c r="B944" s="88"/>
      <c r="C944" s="113"/>
      <c r="D944" s="113"/>
      <c r="E944" s="114"/>
      <c r="F944" s="113"/>
      <c r="G944" s="81"/>
      <c r="H944" s="81"/>
      <c r="I944" s="81"/>
      <c r="J944" s="81"/>
      <c r="K944" s="81"/>
      <c r="L944" s="81"/>
      <c r="M944" s="81"/>
      <c r="N944" s="81"/>
    </row>
    <row r="945" spans="1:14" ht="14.25" customHeight="1" x14ac:dyDescent="0.25">
      <c r="A945" s="96" t="s">
        <v>573</v>
      </c>
      <c r="B945" s="96"/>
      <c r="C945" s="92"/>
      <c r="D945" s="92"/>
      <c r="E945" s="92"/>
      <c r="F945" s="92"/>
      <c r="G945" s="81"/>
      <c r="H945" s="81"/>
      <c r="I945" s="81"/>
      <c r="J945" s="81"/>
      <c r="K945" s="81"/>
      <c r="L945" s="81"/>
      <c r="M945" s="81"/>
      <c r="N945" s="81"/>
    </row>
    <row r="946" spans="1:14" ht="14.25" customHeight="1" x14ac:dyDescent="0.25">
      <c r="A946" s="611" t="s">
        <v>563</v>
      </c>
      <c r="B946" s="608"/>
      <c r="C946" s="609"/>
      <c r="D946" s="98" t="s">
        <v>574</v>
      </c>
      <c r="E946" s="98" t="s">
        <v>575</v>
      </c>
      <c r="F946" s="98" t="s">
        <v>568</v>
      </c>
      <c r="G946" s="81"/>
      <c r="H946" s="81"/>
      <c r="I946" s="81"/>
      <c r="J946" s="81"/>
      <c r="K946" s="81"/>
      <c r="L946" s="81"/>
      <c r="M946" s="81"/>
      <c r="N946" s="81"/>
    </row>
    <row r="947" spans="1:14" ht="14.25" customHeight="1" x14ac:dyDescent="0.25">
      <c r="A947" s="607" t="s">
        <v>577</v>
      </c>
      <c r="B947" s="608"/>
      <c r="C947" s="609"/>
      <c r="D947" s="116"/>
      <c r="E947" s="107"/>
      <c r="F947" s="106">
        <f>+F959*5%</f>
        <v>1516088.3333333337</v>
      </c>
      <c r="G947" s="81"/>
      <c r="H947" s="81"/>
      <c r="I947" s="81"/>
      <c r="J947" s="81"/>
      <c r="K947" s="81"/>
      <c r="L947" s="81"/>
      <c r="M947" s="81"/>
      <c r="N947" s="81"/>
    </row>
    <row r="948" spans="1:14" ht="14.25" customHeight="1" x14ac:dyDescent="0.25">
      <c r="A948" s="607"/>
      <c r="B948" s="608"/>
      <c r="C948" s="609"/>
      <c r="D948" s="142"/>
      <c r="E948" s="107"/>
      <c r="F948" s="106"/>
      <c r="G948" s="81"/>
      <c r="H948" s="81"/>
      <c r="I948" s="81"/>
      <c r="J948" s="81"/>
      <c r="K948" s="81"/>
      <c r="L948" s="81"/>
      <c r="M948" s="81"/>
      <c r="N948" s="81"/>
    </row>
    <row r="949" spans="1:14" ht="14.25" customHeight="1" x14ac:dyDescent="0.25">
      <c r="A949" s="607"/>
      <c r="B949" s="608"/>
      <c r="C949" s="609"/>
      <c r="D949" s="142"/>
      <c r="E949" s="107"/>
      <c r="F949" s="106"/>
      <c r="G949" s="81"/>
      <c r="H949" s="81"/>
      <c r="I949" s="81"/>
      <c r="J949" s="81"/>
      <c r="K949" s="81"/>
      <c r="L949" s="81"/>
      <c r="M949" s="81"/>
      <c r="N949" s="81"/>
    </row>
    <row r="950" spans="1:14" ht="14.25" customHeight="1" x14ac:dyDescent="0.25">
      <c r="A950" s="610"/>
      <c r="B950" s="608"/>
      <c r="C950" s="609"/>
      <c r="D950" s="115"/>
      <c r="E950" s="107"/>
      <c r="F950" s="106"/>
      <c r="G950" s="81"/>
      <c r="H950" s="81"/>
      <c r="I950" s="81"/>
      <c r="J950" s="81"/>
      <c r="K950" s="81"/>
      <c r="L950" s="81"/>
      <c r="M950" s="81"/>
      <c r="N950" s="81"/>
    </row>
    <row r="951" spans="1:14" ht="14.25" customHeight="1" x14ac:dyDescent="0.25">
      <c r="A951" s="611" t="s">
        <v>548</v>
      </c>
      <c r="B951" s="608"/>
      <c r="C951" s="609"/>
      <c r="D951" s="110"/>
      <c r="E951" s="110"/>
      <c r="F951" s="112">
        <f>SUM(F947:F949)</f>
        <v>1516088.3333333337</v>
      </c>
      <c r="G951" s="81"/>
      <c r="H951" s="81"/>
      <c r="I951" s="81"/>
      <c r="J951" s="81"/>
      <c r="K951" s="81"/>
      <c r="L951" s="81"/>
      <c r="M951" s="81"/>
      <c r="N951" s="81"/>
    </row>
    <row r="952" spans="1:14" ht="14.25" customHeight="1" x14ac:dyDescent="0.25">
      <c r="A952" s="88"/>
      <c r="B952" s="88"/>
      <c r="C952" s="89"/>
      <c r="D952" s="113"/>
      <c r="E952" s="113"/>
      <c r="F952" s="113"/>
      <c r="G952" s="81"/>
      <c r="H952" s="81"/>
      <c r="I952" s="81"/>
      <c r="J952" s="81"/>
      <c r="K952" s="81"/>
      <c r="L952" s="81"/>
      <c r="M952" s="81"/>
      <c r="N952" s="81"/>
    </row>
    <row r="953" spans="1:14" ht="14.25" customHeight="1" x14ac:dyDescent="0.25">
      <c r="A953" s="96" t="s">
        <v>578</v>
      </c>
      <c r="B953" s="96"/>
      <c r="C953" s="92"/>
      <c r="D953" s="118"/>
      <c r="E953" s="118"/>
      <c r="F953" s="118"/>
      <c r="G953" s="81"/>
      <c r="H953" s="81"/>
      <c r="I953" s="81"/>
      <c r="J953" s="81"/>
      <c r="K953" s="81"/>
      <c r="L953" s="81"/>
      <c r="M953" s="81"/>
      <c r="N953" s="81"/>
    </row>
    <row r="954" spans="1:14" ht="14.25" customHeight="1" x14ac:dyDescent="0.25">
      <c r="A954" s="119" t="s">
        <v>563</v>
      </c>
      <c r="B954" s="120" t="s">
        <v>579</v>
      </c>
      <c r="C954" s="120" t="s">
        <v>580</v>
      </c>
      <c r="D954" s="121" t="s">
        <v>581</v>
      </c>
      <c r="E954" s="121" t="s">
        <v>575</v>
      </c>
      <c r="F954" s="121" t="s">
        <v>568</v>
      </c>
      <c r="G954" s="81"/>
      <c r="H954" s="81"/>
      <c r="I954" s="81"/>
      <c r="J954" s="81"/>
      <c r="K954" s="81"/>
      <c r="L954" s="81"/>
      <c r="M954" s="81"/>
      <c r="N954" s="81"/>
    </row>
    <row r="955" spans="1:14" ht="14.25" customHeight="1" x14ac:dyDescent="0.25">
      <c r="A955" s="122" t="s">
        <v>593</v>
      </c>
      <c r="B955" s="127">
        <v>5</v>
      </c>
      <c r="C955" s="101">
        <v>32688</v>
      </c>
      <c r="D955" s="101">
        <f t="shared" ref="D955:D956" si="51">+C955*1.7</f>
        <v>55569.599999999999</v>
      </c>
      <c r="E955" s="105">
        <v>1.7999999999999999E-2</v>
      </c>
      <c r="F955" s="106">
        <f t="shared" ref="F955:F956" si="52">+B955*(D955)/E955</f>
        <v>15436000.000000002</v>
      </c>
      <c r="G955" s="81"/>
      <c r="H955" s="81"/>
      <c r="I955" s="81"/>
      <c r="J955" s="81"/>
      <c r="K955" s="81"/>
      <c r="L955" s="81"/>
      <c r="M955" s="81"/>
      <c r="N955" s="81"/>
    </row>
    <row r="956" spans="1:14" ht="14.25" customHeight="1" x14ac:dyDescent="0.25">
      <c r="A956" s="122" t="s">
        <v>594</v>
      </c>
      <c r="B956" s="127">
        <v>3</v>
      </c>
      <c r="C956" s="101">
        <v>52538</v>
      </c>
      <c r="D956" s="101">
        <f t="shared" si="51"/>
        <v>89314.599999999991</v>
      </c>
      <c r="E956" s="105">
        <f>E955</f>
        <v>1.7999999999999999E-2</v>
      </c>
      <c r="F956" s="106">
        <f t="shared" si="52"/>
        <v>14885766.666666668</v>
      </c>
      <c r="G956" s="81"/>
      <c r="H956" s="81"/>
      <c r="I956" s="81"/>
      <c r="J956" s="81"/>
      <c r="K956" s="81"/>
      <c r="L956" s="81"/>
      <c r="M956" s="81"/>
      <c r="N956" s="81"/>
    </row>
    <row r="957" spans="1:14" ht="14.25" customHeight="1" x14ac:dyDescent="0.25">
      <c r="A957" s="122"/>
      <c r="B957" s="127"/>
      <c r="C957" s="101"/>
      <c r="D957" s="101"/>
      <c r="E957" s="107"/>
      <c r="F957" s="106"/>
      <c r="G957" s="81"/>
      <c r="H957" s="81"/>
      <c r="I957" s="81"/>
      <c r="J957" s="81"/>
      <c r="K957" s="81"/>
      <c r="L957" s="81"/>
      <c r="M957" s="81"/>
      <c r="N957" s="81"/>
    </row>
    <row r="958" spans="1:14" ht="14.25" customHeight="1" x14ac:dyDescent="0.25">
      <c r="A958" s="122"/>
      <c r="B958" s="127"/>
      <c r="C958" s="101"/>
      <c r="D958" s="101"/>
      <c r="E958" s="125"/>
      <c r="F958" s="106"/>
      <c r="G958" s="81"/>
      <c r="H958" s="81"/>
      <c r="I958" s="81"/>
      <c r="J958" s="81"/>
      <c r="K958" s="81"/>
      <c r="L958" s="81"/>
      <c r="M958" s="81"/>
      <c r="N958" s="81"/>
    </row>
    <row r="959" spans="1:14" ht="14.25" customHeight="1" x14ac:dyDescent="0.25">
      <c r="A959" s="97" t="s">
        <v>548</v>
      </c>
      <c r="B959" s="128"/>
      <c r="C959" s="110"/>
      <c r="D959" s="110"/>
      <c r="E959" s="110"/>
      <c r="F959" s="112">
        <f>SUM(F955:F958)</f>
        <v>30321766.666666672</v>
      </c>
      <c r="G959" s="81"/>
      <c r="H959" s="81"/>
      <c r="I959" s="81"/>
      <c r="J959" s="81"/>
      <c r="K959" s="81"/>
      <c r="L959" s="81"/>
      <c r="M959" s="81"/>
      <c r="N959" s="81"/>
    </row>
    <row r="960" spans="1:14" ht="14.25" customHeight="1" x14ac:dyDescent="0.25">
      <c r="A960" s="96"/>
      <c r="B960" s="129"/>
      <c r="C960" s="118"/>
      <c r="D960" s="118"/>
      <c r="E960" s="118"/>
      <c r="F960" s="118"/>
      <c r="G960" s="81"/>
      <c r="H960" s="81"/>
      <c r="I960" s="81"/>
      <c r="J960" s="81"/>
      <c r="K960" s="81"/>
      <c r="L960" s="81"/>
      <c r="M960" s="81"/>
      <c r="N960" s="81"/>
    </row>
    <row r="961" spans="1:14" ht="14.25" customHeight="1" x14ac:dyDescent="0.25">
      <c r="A961" s="95" t="s">
        <v>583</v>
      </c>
      <c r="B961" s="96"/>
      <c r="C961" s="92"/>
      <c r="D961" s="92"/>
      <c r="E961" s="92" t="s">
        <v>584</v>
      </c>
      <c r="F961" s="92"/>
      <c r="G961" s="81"/>
      <c r="H961" s="81"/>
      <c r="I961" s="81"/>
      <c r="J961" s="81"/>
      <c r="K961" s="81"/>
      <c r="L961" s="81"/>
      <c r="M961" s="81"/>
      <c r="N961" s="81"/>
    </row>
    <row r="962" spans="1:14" ht="14.25" customHeight="1" x14ac:dyDescent="0.25">
      <c r="A962" s="97" t="s">
        <v>563</v>
      </c>
      <c r="B962" s="98" t="s">
        <v>564</v>
      </c>
      <c r="C962" s="98" t="s">
        <v>585</v>
      </c>
      <c r="D962" s="98" t="s">
        <v>586</v>
      </c>
      <c r="E962" s="120" t="s">
        <v>587</v>
      </c>
      <c r="F962" s="98" t="s">
        <v>568</v>
      </c>
      <c r="G962" s="81"/>
      <c r="H962" s="81"/>
      <c r="I962" s="81"/>
      <c r="J962" s="81"/>
      <c r="K962" s="81"/>
      <c r="L962" s="81"/>
      <c r="M962" s="81"/>
      <c r="N962" s="81"/>
    </row>
    <row r="963" spans="1:14" ht="14.25" customHeight="1" x14ac:dyDescent="0.25">
      <c r="A963" s="103" t="s">
        <v>604</v>
      </c>
      <c r="B963" s="100" t="s">
        <v>605</v>
      </c>
      <c r="C963" s="101">
        <v>1000</v>
      </c>
      <c r="D963" s="140">
        <v>605</v>
      </c>
      <c r="E963" s="107">
        <v>2.6658919999999999</v>
      </c>
      <c r="F963" s="109">
        <f>+C963*D963*E963</f>
        <v>1612864.66</v>
      </c>
      <c r="G963" s="81"/>
      <c r="H963" s="81"/>
      <c r="I963" s="81"/>
      <c r="J963" s="81"/>
      <c r="K963" s="81"/>
      <c r="L963" s="81"/>
      <c r="M963" s="81"/>
      <c r="N963" s="81"/>
    </row>
    <row r="964" spans="1:14" ht="14.25" customHeight="1" x14ac:dyDescent="0.25">
      <c r="A964" s="103"/>
      <c r="B964" s="100"/>
      <c r="C964" s="107"/>
      <c r="D964" s="107"/>
      <c r="E964" s="108"/>
      <c r="F964" s="109"/>
      <c r="G964" s="81"/>
      <c r="H964" s="81"/>
      <c r="I964" s="81"/>
      <c r="J964" s="81"/>
      <c r="K964" s="81"/>
      <c r="L964" s="81"/>
      <c r="M964" s="81"/>
      <c r="N964" s="81"/>
    </row>
    <row r="965" spans="1:14" ht="14.25" customHeight="1" x14ac:dyDescent="0.25">
      <c r="A965" s="97" t="s">
        <v>548</v>
      </c>
      <c r="B965" s="98"/>
      <c r="C965" s="110"/>
      <c r="D965" s="110"/>
      <c r="E965" s="111"/>
      <c r="F965" s="112">
        <f>SUM(F963:F964)</f>
        <v>1612864.66</v>
      </c>
      <c r="G965" s="81"/>
      <c r="H965" s="81"/>
      <c r="I965" s="81"/>
      <c r="J965" s="81"/>
      <c r="K965" s="81"/>
      <c r="L965" s="81"/>
      <c r="M965" s="81"/>
      <c r="N965" s="81"/>
    </row>
    <row r="966" spans="1:14" ht="14.25" customHeight="1" x14ac:dyDescent="0.25">
      <c r="A966" s="88"/>
      <c r="B966" s="89"/>
      <c r="C966" s="113"/>
      <c r="D966" s="113"/>
      <c r="E966" s="114"/>
      <c r="F966" s="113"/>
      <c r="G966" s="81"/>
      <c r="H966" s="81"/>
      <c r="I966" s="81"/>
      <c r="J966" s="81"/>
      <c r="K966" s="81"/>
      <c r="L966" s="81"/>
      <c r="M966" s="81"/>
      <c r="N966" s="81"/>
    </row>
    <row r="967" spans="1:14" ht="14.25" customHeight="1" x14ac:dyDescent="0.25">
      <c r="A967" s="88"/>
      <c r="B967" s="89"/>
      <c r="C967" s="113"/>
      <c r="D967" s="113"/>
      <c r="E967" s="114"/>
      <c r="F967" s="113"/>
      <c r="G967" s="81"/>
      <c r="H967" s="81"/>
      <c r="I967" s="81"/>
      <c r="J967" s="81"/>
      <c r="K967" s="81"/>
      <c r="L967" s="81"/>
      <c r="M967" s="81"/>
      <c r="N967" s="81"/>
    </row>
    <row r="968" spans="1:14" ht="14.25" customHeight="1" x14ac:dyDescent="0.25">
      <c r="A968" s="612" t="s">
        <v>588</v>
      </c>
      <c r="B968" s="608"/>
      <c r="C968" s="608"/>
      <c r="D968" s="608"/>
      <c r="E968" s="609"/>
      <c r="F968" s="131">
        <f>ROUND(F943+F951+F959+F965,0)</f>
        <v>33450720</v>
      </c>
      <c r="G968" s="81"/>
      <c r="H968" s="117"/>
      <c r="I968" s="81"/>
      <c r="J968" s="81"/>
      <c r="K968" s="81"/>
      <c r="L968" s="81"/>
      <c r="M968" s="81"/>
      <c r="N968" s="81"/>
    </row>
    <row r="969" spans="1:14" ht="14.25" customHeight="1" x14ac:dyDescent="0.25">
      <c r="A969" s="612" t="s">
        <v>589</v>
      </c>
      <c r="B969" s="608"/>
      <c r="C969" s="608"/>
      <c r="D969" s="608"/>
      <c r="E969" s="609"/>
      <c r="F969" s="132"/>
      <c r="G969" s="81"/>
      <c r="H969" s="81"/>
      <c r="I969" s="81"/>
      <c r="J969" s="81"/>
      <c r="K969" s="81"/>
      <c r="L969" s="81"/>
      <c r="M969" s="81"/>
      <c r="N969" s="81"/>
    </row>
    <row r="970" spans="1:14" ht="14.25" customHeight="1" x14ac:dyDescent="0.25">
      <c r="A970" s="612" t="s">
        <v>556</v>
      </c>
      <c r="B970" s="608"/>
      <c r="C970" s="608"/>
      <c r="D970" s="608"/>
      <c r="E970" s="609"/>
      <c r="F970" s="133"/>
      <c r="G970" s="81"/>
      <c r="H970" s="81"/>
      <c r="I970" s="81"/>
      <c r="J970" s="81"/>
      <c r="K970" s="81"/>
      <c r="L970" s="81"/>
      <c r="M970" s="81"/>
      <c r="N970" s="81"/>
    </row>
    <row r="971" spans="1:14" ht="14.25" customHeight="1" x14ac:dyDescent="0.25">
      <c r="A971" s="134"/>
      <c r="B971" s="135"/>
      <c r="C971" s="135"/>
      <c r="D971" s="135"/>
      <c r="E971" s="135"/>
      <c r="F971" s="136"/>
      <c r="G971" s="81"/>
      <c r="H971" s="81"/>
      <c r="I971" s="81"/>
      <c r="J971" s="81"/>
      <c r="K971" s="81"/>
      <c r="L971" s="81"/>
      <c r="M971" s="81"/>
      <c r="N971" s="81"/>
    </row>
    <row r="972" spans="1:14" ht="14.25" customHeight="1" x14ac:dyDescent="0.25">
      <c r="A972" s="81"/>
      <c r="B972" s="81"/>
      <c r="C972" s="137"/>
      <c r="D972" s="81"/>
      <c r="E972" s="81"/>
      <c r="F972" s="81"/>
      <c r="G972" s="81"/>
      <c r="H972" s="81"/>
      <c r="I972" s="81"/>
      <c r="J972" s="81"/>
      <c r="K972" s="81"/>
      <c r="L972" s="81"/>
      <c r="M972" s="81"/>
      <c r="N972" s="81"/>
    </row>
    <row r="973" spans="1:14" ht="14.25" customHeight="1" x14ac:dyDescent="0.25">
      <c r="A973" s="81"/>
      <c r="B973" s="81"/>
      <c r="C973" s="137"/>
      <c r="D973" s="81"/>
      <c r="E973" s="81"/>
      <c r="F973" s="81"/>
      <c r="G973" s="81"/>
      <c r="H973" s="81"/>
      <c r="I973" s="81"/>
      <c r="J973" s="81"/>
      <c r="K973" s="81"/>
      <c r="L973" s="81"/>
      <c r="M973" s="81"/>
      <c r="N973" s="81"/>
    </row>
    <row r="974" spans="1:14" ht="14.25" customHeight="1" x14ac:dyDescent="0.25">
      <c r="A974" s="81"/>
      <c r="B974" s="81"/>
      <c r="C974" s="137"/>
      <c r="D974" s="81"/>
      <c r="E974" s="81"/>
      <c r="F974" s="81"/>
      <c r="G974" s="81"/>
      <c r="H974" s="81"/>
      <c r="I974" s="81"/>
      <c r="J974" s="81"/>
      <c r="K974" s="81"/>
      <c r="L974" s="81"/>
      <c r="M974" s="81"/>
      <c r="N974" s="81"/>
    </row>
    <row r="975" spans="1:14" ht="14.25" customHeight="1" x14ac:dyDescent="0.25">
      <c r="A975" s="81"/>
      <c r="B975" s="81"/>
      <c r="C975" s="137"/>
      <c r="D975" s="81"/>
      <c r="E975" s="81"/>
      <c r="F975" s="81"/>
      <c r="G975" s="81"/>
      <c r="H975" s="81"/>
      <c r="I975" s="81"/>
      <c r="J975" s="81"/>
      <c r="K975" s="81"/>
      <c r="L975" s="81"/>
      <c r="M975" s="81"/>
      <c r="N975" s="81"/>
    </row>
    <row r="976" spans="1:14" ht="14.25" customHeight="1" x14ac:dyDescent="0.25">
      <c r="A976" s="81"/>
      <c r="B976" s="81"/>
      <c r="C976" s="137"/>
      <c r="D976" s="81"/>
      <c r="E976" s="81"/>
      <c r="F976" s="81"/>
      <c r="G976" s="81"/>
      <c r="H976" s="81"/>
      <c r="I976" s="81"/>
      <c r="J976" s="81"/>
      <c r="K976" s="81"/>
      <c r="L976" s="81"/>
      <c r="M976" s="81"/>
      <c r="N976" s="81"/>
    </row>
    <row r="977" spans="1:14" ht="14.25" customHeight="1" x14ac:dyDescent="0.25">
      <c r="A977" s="81"/>
      <c r="B977" s="81"/>
      <c r="C977" s="137"/>
      <c r="D977" s="81"/>
      <c r="E977" s="81"/>
      <c r="F977" s="81"/>
      <c r="G977" s="81"/>
      <c r="H977" s="81"/>
      <c r="I977" s="81"/>
      <c r="J977" s="81"/>
      <c r="K977" s="81"/>
      <c r="L977" s="81"/>
      <c r="M977" s="81"/>
      <c r="N977" s="81"/>
    </row>
    <row r="978" spans="1:14" ht="14.25" customHeight="1" x14ac:dyDescent="0.25">
      <c r="A978" s="134"/>
      <c r="B978" s="135"/>
      <c r="C978" s="135"/>
      <c r="D978" s="135"/>
      <c r="E978" s="135"/>
      <c r="F978" s="136"/>
      <c r="G978" s="81"/>
      <c r="H978" s="81"/>
      <c r="I978" s="81"/>
      <c r="J978" s="81"/>
      <c r="K978" s="81"/>
      <c r="L978" s="81"/>
      <c r="M978" s="81"/>
      <c r="N978" s="81"/>
    </row>
    <row r="979" spans="1:14" ht="14.25" customHeight="1" x14ac:dyDescent="0.25">
      <c r="A979" s="134"/>
      <c r="B979" s="135"/>
      <c r="C979" s="135"/>
      <c r="D979" s="135"/>
      <c r="E979" s="135"/>
      <c r="F979" s="136"/>
      <c r="G979" s="81"/>
      <c r="H979" s="81"/>
      <c r="I979" s="81"/>
      <c r="J979" s="81"/>
      <c r="K979" s="81"/>
      <c r="L979" s="81"/>
      <c r="M979" s="81"/>
      <c r="N979" s="81"/>
    </row>
    <row r="980" spans="1:14" ht="14.25" customHeight="1" x14ac:dyDescent="0.25">
      <c r="A980" s="134"/>
      <c r="B980" s="135"/>
      <c r="C980" s="135"/>
      <c r="D980" s="135"/>
      <c r="E980" s="135"/>
      <c r="F980" s="136"/>
      <c r="G980" s="81"/>
      <c r="H980" s="81"/>
      <c r="I980" s="81"/>
      <c r="J980" s="81"/>
      <c r="K980" s="81"/>
      <c r="L980" s="81"/>
      <c r="M980" s="81"/>
      <c r="N980" s="81"/>
    </row>
    <row r="981" spans="1:14" ht="14.25" customHeight="1" thickBot="1" x14ac:dyDescent="0.3">
      <c r="A981" s="81"/>
      <c r="B981" s="81"/>
      <c r="C981" s="81"/>
      <c r="D981" s="81"/>
      <c r="E981" s="81"/>
      <c r="F981" s="81"/>
      <c r="G981" s="81"/>
      <c r="H981" s="81"/>
      <c r="I981" s="81"/>
      <c r="J981" s="81"/>
      <c r="K981" s="81"/>
      <c r="L981" s="81"/>
      <c r="M981" s="81"/>
      <c r="N981" s="81"/>
    </row>
    <row r="982" spans="1:14" ht="14.25" customHeight="1" x14ac:dyDescent="0.25">
      <c r="A982" s="83"/>
      <c r="B982" s="84"/>
      <c r="C982" s="85"/>
      <c r="D982" s="86"/>
      <c r="E982" s="86"/>
      <c r="F982" s="87"/>
      <c r="G982" s="81"/>
      <c r="H982" s="81"/>
      <c r="I982" s="81"/>
      <c r="J982" s="81"/>
      <c r="K982" s="81"/>
      <c r="L982" s="81"/>
      <c r="M982" s="81"/>
      <c r="N982" s="81"/>
    </row>
    <row r="983" spans="1:14" ht="14.25" customHeight="1" x14ac:dyDescent="0.25">
      <c r="A983" s="599"/>
      <c r="B983" s="600"/>
      <c r="C983" s="600"/>
      <c r="D983" s="600"/>
      <c r="E983" s="600"/>
      <c r="F983" s="601"/>
      <c r="G983" s="81"/>
      <c r="H983" s="81"/>
      <c r="I983" s="81"/>
      <c r="J983" s="81"/>
      <c r="K983" s="81"/>
      <c r="L983" s="81"/>
      <c r="M983" s="81"/>
      <c r="N983" s="81"/>
    </row>
    <row r="984" spans="1:14" ht="14.25" customHeight="1" x14ac:dyDescent="0.25">
      <c r="A984" s="602" t="s">
        <v>561</v>
      </c>
      <c r="B984" s="600"/>
      <c r="C984" s="600"/>
      <c r="D984" s="600"/>
      <c r="E984" s="600"/>
      <c r="F984" s="601"/>
      <c r="G984" s="81"/>
      <c r="H984" s="81"/>
      <c r="I984" s="81"/>
      <c r="J984" s="81"/>
      <c r="K984" s="81"/>
      <c r="L984" s="81"/>
      <c r="M984" s="81"/>
      <c r="N984" s="81"/>
    </row>
    <row r="985" spans="1:14" ht="14.25" customHeight="1" thickBot="1" x14ac:dyDescent="0.3">
      <c r="A985" s="603"/>
      <c r="B985" s="604"/>
      <c r="C985" s="604"/>
      <c r="D985" s="604"/>
      <c r="E985" s="604"/>
      <c r="F985" s="605"/>
      <c r="G985" s="81"/>
      <c r="H985" s="81"/>
      <c r="I985" s="81"/>
      <c r="J985" s="81"/>
      <c r="K985" s="81"/>
      <c r="L985" s="81"/>
      <c r="M985" s="81"/>
      <c r="N985" s="81"/>
    </row>
    <row r="986" spans="1:14" ht="14.25" customHeight="1" x14ac:dyDescent="0.25">
      <c r="A986" s="88"/>
      <c r="B986" s="88"/>
      <c r="C986" s="89"/>
      <c r="D986" s="89"/>
      <c r="E986" s="89"/>
      <c r="F986" s="89"/>
      <c r="G986" s="81"/>
      <c r="H986" s="81"/>
      <c r="I986" s="81"/>
      <c r="J986" s="81"/>
      <c r="K986" s="81"/>
      <c r="L986" s="81"/>
      <c r="M986" s="81"/>
      <c r="N986" s="81"/>
    </row>
    <row r="987" spans="1:14" ht="18.75" customHeight="1" x14ac:dyDescent="0.25">
      <c r="A987" s="90" t="s">
        <v>47</v>
      </c>
      <c r="B987" s="613" t="s">
        <v>91</v>
      </c>
      <c r="C987" s="600"/>
      <c r="D987" s="600"/>
      <c r="E987" s="600"/>
      <c r="F987" s="600"/>
      <c r="G987" s="81"/>
      <c r="H987" s="81"/>
      <c r="I987" s="81"/>
      <c r="J987" s="81"/>
      <c r="K987" s="81"/>
      <c r="L987" s="81"/>
      <c r="M987" s="81"/>
      <c r="N987" s="81"/>
    </row>
    <row r="988" spans="1:14" ht="14.25" customHeight="1" x14ac:dyDescent="0.25">
      <c r="A988" s="91"/>
      <c r="B988" s="91"/>
      <c r="C988" s="91"/>
      <c r="D988" s="91"/>
      <c r="E988" s="91"/>
      <c r="F988" s="91"/>
      <c r="G988" s="81"/>
      <c r="H988" s="81"/>
      <c r="I988" s="81"/>
      <c r="J988" s="81"/>
      <c r="K988" s="81"/>
      <c r="L988" s="81"/>
      <c r="M988" s="81"/>
      <c r="N988" s="81"/>
    </row>
    <row r="989" spans="1:14" ht="14.25" customHeight="1" x14ac:dyDescent="0.25">
      <c r="A989" s="88" t="s">
        <v>49</v>
      </c>
      <c r="B989" s="92" t="s">
        <v>85</v>
      </c>
      <c r="C989" s="89"/>
      <c r="D989" s="89"/>
      <c r="E989" s="89"/>
      <c r="F989" s="93"/>
      <c r="G989" s="81"/>
      <c r="H989" s="81"/>
      <c r="I989" s="81"/>
      <c r="J989" s="81"/>
      <c r="K989" s="81"/>
      <c r="L989" s="81"/>
      <c r="M989" s="81"/>
      <c r="N989" s="81"/>
    </row>
    <row r="990" spans="1:14" ht="14.25" customHeight="1" x14ac:dyDescent="0.25">
      <c r="A990" s="88"/>
      <c r="B990" s="94"/>
      <c r="C990" s="89"/>
      <c r="D990" s="89"/>
      <c r="E990" s="89"/>
      <c r="F990" s="93"/>
      <c r="G990" s="81"/>
      <c r="H990" s="81"/>
      <c r="I990" s="81"/>
      <c r="J990" s="81"/>
      <c r="K990" s="81"/>
      <c r="L990" s="81"/>
      <c r="M990" s="81"/>
      <c r="N990" s="81"/>
    </row>
    <row r="991" spans="1:14" ht="14.25" customHeight="1" x14ac:dyDescent="0.25">
      <c r="A991" s="95" t="s">
        <v>562</v>
      </c>
      <c r="B991" s="96"/>
      <c r="C991" s="92"/>
      <c r="D991" s="92"/>
      <c r="E991" s="92"/>
      <c r="F991" s="92"/>
      <c r="G991" s="81"/>
      <c r="H991" s="81"/>
      <c r="I991" s="81"/>
      <c r="J991" s="81"/>
      <c r="K991" s="81"/>
      <c r="L991" s="81"/>
      <c r="M991" s="81"/>
      <c r="N991" s="81"/>
    </row>
    <row r="992" spans="1:14" ht="14.25" customHeight="1" x14ac:dyDescent="0.25">
      <c r="A992" s="97" t="s">
        <v>563</v>
      </c>
      <c r="B992" s="98" t="s">
        <v>564</v>
      </c>
      <c r="C992" s="98" t="s">
        <v>565</v>
      </c>
      <c r="D992" s="98" t="s">
        <v>566</v>
      </c>
      <c r="E992" s="98" t="s">
        <v>567</v>
      </c>
      <c r="F992" s="98" t="s">
        <v>568</v>
      </c>
      <c r="G992" s="81"/>
      <c r="H992" s="81"/>
      <c r="I992" s="81"/>
      <c r="J992" s="81"/>
      <c r="K992" s="81"/>
      <c r="L992" s="81"/>
      <c r="M992" s="81"/>
      <c r="N992" s="81"/>
    </row>
    <row r="993" spans="1:14" ht="14.25" customHeight="1" x14ac:dyDescent="0.25">
      <c r="A993" s="99"/>
      <c r="B993" s="100"/>
      <c r="C993" s="101"/>
      <c r="D993" s="104"/>
      <c r="E993" s="102"/>
      <c r="F993" s="101">
        <f t="shared" ref="F993:F998" si="53">C993*(D993+(D993*E993))</f>
        <v>0</v>
      </c>
      <c r="G993" s="81"/>
      <c r="H993" s="81"/>
      <c r="I993" s="81"/>
      <c r="J993" s="81"/>
      <c r="K993" s="81"/>
      <c r="L993" s="81"/>
      <c r="M993" s="81"/>
      <c r="N993" s="81"/>
    </row>
    <row r="994" spans="1:14" ht="14.25" customHeight="1" x14ac:dyDescent="0.25">
      <c r="A994" s="99"/>
      <c r="B994" s="100"/>
      <c r="C994" s="101"/>
      <c r="D994" s="104"/>
      <c r="E994" s="102"/>
      <c r="F994" s="101">
        <f t="shared" si="53"/>
        <v>0</v>
      </c>
      <c r="G994" s="81"/>
      <c r="H994" s="81"/>
      <c r="I994" s="81"/>
      <c r="J994" s="81"/>
      <c r="K994" s="81"/>
      <c r="L994" s="81"/>
      <c r="M994" s="81"/>
      <c r="N994" s="81"/>
    </row>
    <row r="995" spans="1:14" ht="14.25" customHeight="1" x14ac:dyDescent="0.25">
      <c r="A995" s="99"/>
      <c r="B995" s="100"/>
      <c r="C995" s="101"/>
      <c r="D995" s="104"/>
      <c r="E995" s="102"/>
      <c r="F995" s="101">
        <f t="shared" si="53"/>
        <v>0</v>
      </c>
      <c r="G995" s="81"/>
      <c r="H995" s="81"/>
      <c r="I995" s="81"/>
      <c r="J995" s="81"/>
      <c r="K995" s="81"/>
      <c r="L995" s="81"/>
      <c r="M995" s="81"/>
      <c r="N995" s="81"/>
    </row>
    <row r="996" spans="1:14" ht="14.25" customHeight="1" x14ac:dyDescent="0.25">
      <c r="A996" s="99"/>
      <c r="B996" s="100"/>
      <c r="C996" s="101"/>
      <c r="D996" s="104"/>
      <c r="E996" s="102"/>
      <c r="F996" s="101">
        <f t="shared" si="53"/>
        <v>0</v>
      </c>
      <c r="G996" s="81"/>
      <c r="H996" s="81"/>
      <c r="I996" s="81"/>
      <c r="J996" s="81"/>
      <c r="K996" s="81"/>
      <c r="L996" s="81"/>
      <c r="M996" s="81"/>
      <c r="N996" s="81"/>
    </row>
    <row r="997" spans="1:14" ht="14.25" customHeight="1" x14ac:dyDescent="0.25">
      <c r="A997" s="99"/>
      <c r="B997" s="100"/>
      <c r="C997" s="101"/>
      <c r="D997" s="104"/>
      <c r="E997" s="102"/>
      <c r="F997" s="101">
        <f t="shared" si="53"/>
        <v>0</v>
      </c>
      <c r="G997" s="81"/>
      <c r="H997" s="81"/>
      <c r="I997" s="81"/>
      <c r="J997" s="81"/>
      <c r="K997" s="81"/>
      <c r="L997" s="81"/>
      <c r="M997" s="81"/>
      <c r="N997" s="81"/>
    </row>
    <row r="998" spans="1:14" ht="14.25" customHeight="1" x14ac:dyDescent="0.25">
      <c r="A998" s="99"/>
      <c r="B998" s="100"/>
      <c r="C998" s="101"/>
      <c r="D998" s="104"/>
      <c r="E998" s="102"/>
      <c r="F998" s="101">
        <f t="shared" si="53"/>
        <v>0</v>
      </c>
      <c r="G998" s="81"/>
      <c r="H998" s="81"/>
      <c r="I998" s="81"/>
      <c r="J998" s="81"/>
      <c r="K998" s="81"/>
      <c r="L998" s="81"/>
      <c r="M998" s="81"/>
      <c r="N998" s="81"/>
    </row>
    <row r="999" spans="1:14" ht="14.25" customHeight="1" x14ac:dyDescent="0.25">
      <c r="A999" s="99"/>
      <c r="B999" s="100"/>
      <c r="C999" s="106"/>
      <c r="D999" s="107"/>
      <c r="E999" s="108"/>
      <c r="F999" s="106"/>
      <c r="G999" s="81"/>
      <c r="H999" s="81"/>
      <c r="I999" s="81"/>
      <c r="J999" s="81"/>
      <c r="K999" s="81"/>
      <c r="L999" s="81"/>
      <c r="M999" s="81"/>
      <c r="N999" s="81"/>
    </row>
    <row r="1000" spans="1:14" ht="14.25" customHeight="1" x14ac:dyDescent="0.25">
      <c r="A1000" s="97" t="s">
        <v>548</v>
      </c>
      <c r="B1000" s="97"/>
      <c r="C1000" s="109"/>
      <c r="D1000" s="110"/>
      <c r="E1000" s="111"/>
      <c r="F1000" s="112">
        <f>SUM(F993:F999)</f>
        <v>0</v>
      </c>
      <c r="G1000" s="81"/>
      <c r="H1000" s="81"/>
      <c r="I1000" s="81"/>
      <c r="J1000" s="81"/>
      <c r="K1000" s="81"/>
      <c r="L1000" s="81"/>
      <c r="M1000" s="81"/>
      <c r="N1000" s="81"/>
    </row>
    <row r="1001" spans="1:14" ht="14.25" customHeight="1" x14ac:dyDescent="0.25">
      <c r="A1001" s="88"/>
      <c r="B1001" s="88"/>
      <c r="C1001" s="113"/>
      <c r="D1001" s="113"/>
      <c r="E1001" s="114"/>
      <c r="F1001" s="113"/>
      <c r="G1001" s="81"/>
      <c r="H1001" s="81"/>
      <c r="I1001" s="81"/>
      <c r="J1001" s="81"/>
      <c r="K1001" s="81"/>
      <c r="L1001" s="81"/>
      <c r="M1001" s="81"/>
      <c r="N1001" s="81"/>
    </row>
    <row r="1002" spans="1:14" ht="14.25" customHeight="1" x14ac:dyDescent="0.25">
      <c r="A1002" s="96" t="s">
        <v>573</v>
      </c>
      <c r="B1002" s="96"/>
      <c r="C1002" s="92"/>
      <c r="D1002" s="92"/>
      <c r="E1002" s="92"/>
      <c r="F1002" s="92"/>
      <c r="G1002" s="81"/>
      <c r="H1002" s="81"/>
      <c r="I1002" s="81"/>
      <c r="J1002" s="81"/>
      <c r="K1002" s="81"/>
      <c r="L1002" s="81"/>
      <c r="M1002" s="81"/>
      <c r="N1002" s="81"/>
    </row>
    <row r="1003" spans="1:14" ht="14.25" customHeight="1" x14ac:dyDescent="0.25">
      <c r="A1003" s="611" t="s">
        <v>563</v>
      </c>
      <c r="B1003" s="608"/>
      <c r="C1003" s="609"/>
      <c r="D1003" s="98" t="s">
        <v>574</v>
      </c>
      <c r="E1003" s="98" t="s">
        <v>575</v>
      </c>
      <c r="F1003" s="98" t="s">
        <v>568</v>
      </c>
      <c r="G1003" s="81"/>
      <c r="H1003" s="81"/>
      <c r="I1003" s="81"/>
      <c r="J1003" s="81"/>
      <c r="K1003" s="81"/>
      <c r="L1003" s="81"/>
      <c r="M1003" s="81"/>
      <c r="N1003" s="81"/>
    </row>
    <row r="1004" spans="1:14" ht="14.25" customHeight="1" x14ac:dyDescent="0.25">
      <c r="A1004" s="607" t="s">
        <v>577</v>
      </c>
      <c r="B1004" s="608"/>
      <c r="C1004" s="609"/>
      <c r="D1004" s="116"/>
      <c r="E1004" s="107"/>
      <c r="F1004" s="106">
        <f>+F1016*5%</f>
        <v>1341781.8844566215</v>
      </c>
      <c r="G1004" s="81"/>
      <c r="H1004" s="81"/>
      <c r="I1004" s="81"/>
      <c r="J1004" s="81"/>
      <c r="K1004" s="81"/>
      <c r="L1004" s="81"/>
      <c r="M1004" s="81"/>
      <c r="N1004" s="81"/>
    </row>
    <row r="1005" spans="1:14" ht="14.25" customHeight="1" x14ac:dyDescent="0.25">
      <c r="A1005" s="607"/>
      <c r="B1005" s="608"/>
      <c r="C1005" s="609"/>
      <c r="D1005" s="142"/>
      <c r="E1005" s="107"/>
      <c r="F1005" s="106"/>
      <c r="G1005" s="81"/>
      <c r="H1005" s="81"/>
      <c r="I1005" s="81"/>
      <c r="J1005" s="81"/>
      <c r="K1005" s="81"/>
      <c r="L1005" s="81"/>
      <c r="M1005" s="81"/>
      <c r="N1005" s="81"/>
    </row>
    <row r="1006" spans="1:14" ht="14.25" customHeight="1" x14ac:dyDescent="0.25">
      <c r="A1006" s="607"/>
      <c r="B1006" s="608"/>
      <c r="C1006" s="609"/>
      <c r="D1006" s="142"/>
      <c r="E1006" s="107"/>
      <c r="F1006" s="106"/>
      <c r="G1006" s="81"/>
      <c r="H1006" s="81"/>
      <c r="I1006" s="81"/>
      <c r="J1006" s="81"/>
      <c r="K1006" s="81"/>
      <c r="L1006" s="81"/>
      <c r="M1006" s="81"/>
      <c r="N1006" s="81"/>
    </row>
    <row r="1007" spans="1:14" ht="14.25" customHeight="1" x14ac:dyDescent="0.25">
      <c r="A1007" s="610"/>
      <c r="B1007" s="608"/>
      <c r="C1007" s="609"/>
      <c r="D1007" s="115"/>
      <c r="E1007" s="107"/>
      <c r="F1007" s="106"/>
      <c r="G1007" s="81"/>
      <c r="H1007" s="81"/>
      <c r="I1007" s="81"/>
      <c r="J1007" s="81"/>
      <c r="K1007" s="81"/>
      <c r="L1007" s="81"/>
      <c r="M1007" s="81"/>
      <c r="N1007" s="81"/>
    </row>
    <row r="1008" spans="1:14" ht="14.25" customHeight="1" x14ac:dyDescent="0.25">
      <c r="A1008" s="611" t="s">
        <v>548</v>
      </c>
      <c r="B1008" s="608"/>
      <c r="C1008" s="609"/>
      <c r="D1008" s="110"/>
      <c r="E1008" s="110"/>
      <c r="F1008" s="112">
        <f>SUM(F1004:F1006)</f>
        <v>1341781.8844566215</v>
      </c>
      <c r="G1008" s="81"/>
      <c r="H1008" s="81"/>
      <c r="I1008" s="81"/>
      <c r="J1008" s="81"/>
      <c r="K1008" s="81"/>
      <c r="L1008" s="81"/>
      <c r="M1008" s="81"/>
      <c r="N1008" s="81"/>
    </row>
    <row r="1009" spans="1:14" ht="14.25" customHeight="1" x14ac:dyDescent="0.25">
      <c r="A1009" s="88"/>
      <c r="B1009" s="88"/>
      <c r="C1009" s="89"/>
      <c r="D1009" s="113"/>
      <c r="E1009" s="113"/>
      <c r="F1009" s="113"/>
      <c r="G1009" s="81"/>
      <c r="H1009" s="81"/>
      <c r="I1009" s="81"/>
      <c r="J1009" s="81"/>
      <c r="K1009" s="81"/>
      <c r="L1009" s="81"/>
      <c r="M1009" s="81"/>
      <c r="N1009" s="81"/>
    </row>
    <row r="1010" spans="1:14" ht="14.25" customHeight="1" x14ac:dyDescent="0.25">
      <c r="A1010" s="96" t="s">
        <v>578</v>
      </c>
      <c r="B1010" s="96"/>
      <c r="C1010" s="92"/>
      <c r="D1010" s="118"/>
      <c r="E1010" s="118"/>
      <c r="F1010" s="118"/>
      <c r="G1010" s="81"/>
      <c r="H1010" s="81"/>
      <c r="I1010" s="81"/>
      <c r="J1010" s="81"/>
      <c r="K1010" s="81"/>
      <c r="L1010" s="81"/>
      <c r="M1010" s="81"/>
      <c r="N1010" s="81"/>
    </row>
    <row r="1011" spans="1:14" ht="14.25" customHeight="1" x14ac:dyDescent="0.25">
      <c r="A1011" s="119" t="s">
        <v>563</v>
      </c>
      <c r="B1011" s="120" t="s">
        <v>579</v>
      </c>
      <c r="C1011" s="120" t="s">
        <v>580</v>
      </c>
      <c r="D1011" s="121" t="s">
        <v>581</v>
      </c>
      <c r="E1011" s="121" t="s">
        <v>575</v>
      </c>
      <c r="F1011" s="121" t="s">
        <v>568</v>
      </c>
      <c r="G1011" s="81"/>
      <c r="H1011" s="81"/>
      <c r="I1011" s="81"/>
      <c r="J1011" s="81"/>
      <c r="K1011" s="81"/>
      <c r="L1011" s="81"/>
      <c r="M1011" s="81"/>
      <c r="N1011" s="81"/>
    </row>
    <row r="1012" spans="1:14" ht="14.25" customHeight="1" x14ac:dyDescent="0.25">
      <c r="A1012" s="122" t="s">
        <v>593</v>
      </c>
      <c r="B1012" s="127">
        <v>5</v>
      </c>
      <c r="C1012" s="101">
        <v>32688</v>
      </c>
      <c r="D1012" s="101">
        <f t="shared" ref="D1012:D1013" si="54">+C1012*1.7</f>
        <v>55569.599999999999</v>
      </c>
      <c r="E1012" s="105">
        <v>1.70101119E-2</v>
      </c>
      <c r="F1012" s="106">
        <f t="shared" ref="F1012:F1013" si="55">+B1012*(D1012)/E1012</f>
        <v>16334284.079577396</v>
      </c>
      <c r="G1012" s="81"/>
      <c r="H1012" s="81"/>
      <c r="I1012" s="81"/>
      <c r="J1012" s="81"/>
      <c r="K1012" s="81"/>
      <c r="L1012" s="81"/>
      <c r="M1012" s="81"/>
      <c r="N1012" s="81"/>
    </row>
    <row r="1013" spans="1:14" ht="14.25" customHeight="1" x14ac:dyDescent="0.25">
      <c r="A1013" s="122" t="s">
        <v>594</v>
      </c>
      <c r="B1013" s="127">
        <v>2</v>
      </c>
      <c r="C1013" s="101">
        <v>52538</v>
      </c>
      <c r="D1013" s="101">
        <f t="shared" si="54"/>
        <v>89314.599999999991</v>
      </c>
      <c r="E1013" s="105">
        <f>E1012</f>
        <v>1.70101119E-2</v>
      </c>
      <c r="F1013" s="106">
        <f t="shared" si="55"/>
        <v>10501353.60955503</v>
      </c>
      <c r="G1013" s="81"/>
      <c r="H1013" s="81"/>
      <c r="I1013" s="81"/>
      <c r="J1013" s="81"/>
      <c r="K1013" s="81"/>
      <c r="L1013" s="81"/>
      <c r="M1013" s="81"/>
      <c r="N1013" s="81"/>
    </row>
    <row r="1014" spans="1:14" ht="14.25" customHeight="1" x14ac:dyDescent="0.25">
      <c r="A1014" s="122"/>
      <c r="B1014" s="127"/>
      <c r="C1014" s="101"/>
      <c r="D1014" s="101"/>
      <c r="E1014" s="107"/>
      <c r="F1014" s="106"/>
      <c r="G1014" s="81"/>
      <c r="H1014" s="81"/>
      <c r="I1014" s="81"/>
      <c r="J1014" s="81"/>
      <c r="K1014" s="81"/>
      <c r="L1014" s="81"/>
      <c r="M1014" s="81"/>
      <c r="N1014" s="81"/>
    </row>
    <row r="1015" spans="1:14" ht="14.25" customHeight="1" x14ac:dyDescent="0.25">
      <c r="A1015" s="122"/>
      <c r="B1015" s="127"/>
      <c r="C1015" s="101"/>
      <c r="D1015" s="101"/>
      <c r="E1015" s="125"/>
      <c r="F1015" s="106"/>
      <c r="G1015" s="81"/>
      <c r="H1015" s="81"/>
      <c r="I1015" s="81"/>
      <c r="J1015" s="81"/>
      <c r="K1015" s="81"/>
      <c r="L1015" s="81"/>
      <c r="M1015" s="81"/>
      <c r="N1015" s="81"/>
    </row>
    <row r="1016" spans="1:14" ht="14.25" customHeight="1" x14ac:dyDescent="0.25">
      <c r="A1016" s="97" t="s">
        <v>548</v>
      </c>
      <c r="B1016" s="128"/>
      <c r="C1016" s="110"/>
      <c r="D1016" s="110"/>
      <c r="E1016" s="110"/>
      <c r="F1016" s="112">
        <f>SUM(F1012:F1015)</f>
        <v>26835637.689132426</v>
      </c>
      <c r="G1016" s="81"/>
      <c r="H1016" s="81"/>
      <c r="I1016" s="81"/>
      <c r="J1016" s="81"/>
      <c r="K1016" s="81"/>
      <c r="L1016" s="81"/>
      <c r="M1016" s="81"/>
      <c r="N1016" s="81"/>
    </row>
    <row r="1017" spans="1:14" ht="14.25" customHeight="1" x14ac:dyDescent="0.25">
      <c r="A1017" s="96"/>
      <c r="B1017" s="129"/>
      <c r="C1017" s="118"/>
      <c r="D1017" s="118"/>
      <c r="E1017" s="118"/>
      <c r="F1017" s="118"/>
      <c r="G1017" s="81"/>
      <c r="H1017" s="81"/>
      <c r="I1017" s="81"/>
      <c r="J1017" s="81"/>
      <c r="K1017" s="81"/>
      <c r="L1017" s="81"/>
      <c r="M1017" s="81"/>
      <c r="N1017" s="81"/>
    </row>
    <row r="1018" spans="1:14" ht="14.25" customHeight="1" x14ac:dyDescent="0.25">
      <c r="A1018" s="95" t="s">
        <v>583</v>
      </c>
      <c r="B1018" s="96"/>
      <c r="C1018" s="92"/>
      <c r="D1018" s="92"/>
      <c r="E1018" s="92" t="s">
        <v>584</v>
      </c>
      <c r="F1018" s="92"/>
      <c r="G1018" s="81"/>
      <c r="H1018" s="81"/>
      <c r="I1018" s="81"/>
      <c r="J1018" s="81"/>
      <c r="K1018" s="81"/>
      <c r="L1018" s="81"/>
      <c r="M1018" s="81"/>
      <c r="N1018" s="81"/>
    </row>
    <row r="1019" spans="1:14" ht="14.25" customHeight="1" x14ac:dyDescent="0.25">
      <c r="A1019" s="97" t="s">
        <v>563</v>
      </c>
      <c r="B1019" s="98" t="s">
        <v>564</v>
      </c>
      <c r="C1019" s="98" t="s">
        <v>585</v>
      </c>
      <c r="D1019" s="98" t="s">
        <v>586</v>
      </c>
      <c r="E1019" s="120" t="s">
        <v>587</v>
      </c>
      <c r="F1019" s="98" t="s">
        <v>568</v>
      </c>
      <c r="G1019" s="81"/>
      <c r="H1019" s="81"/>
      <c r="I1019" s="81"/>
      <c r="J1019" s="81"/>
      <c r="K1019" s="81"/>
      <c r="L1019" s="81"/>
      <c r="M1019" s="81"/>
      <c r="N1019" s="81"/>
    </row>
    <row r="1020" spans="1:14" ht="14.25" customHeight="1" x14ac:dyDescent="0.25">
      <c r="A1020" s="103" t="s">
        <v>604</v>
      </c>
      <c r="B1020" s="100" t="s">
        <v>605</v>
      </c>
      <c r="C1020" s="101">
        <v>1000</v>
      </c>
      <c r="D1020" s="140">
        <v>605</v>
      </c>
      <c r="E1020" s="107">
        <v>2.65</v>
      </c>
      <c r="F1020" s="109">
        <f>+C1020*D1020*E1020</f>
        <v>1603250</v>
      </c>
      <c r="G1020" s="81"/>
      <c r="H1020" s="81"/>
      <c r="I1020" s="81"/>
      <c r="J1020" s="81"/>
      <c r="K1020" s="81"/>
      <c r="L1020" s="81"/>
      <c r="M1020" s="81"/>
      <c r="N1020" s="81"/>
    </row>
    <row r="1021" spans="1:14" ht="14.25" customHeight="1" x14ac:dyDescent="0.25">
      <c r="A1021" s="103"/>
      <c r="B1021" s="100"/>
      <c r="C1021" s="107"/>
      <c r="D1021" s="107"/>
      <c r="E1021" s="108"/>
      <c r="F1021" s="109"/>
      <c r="G1021" s="81"/>
      <c r="H1021" s="81"/>
      <c r="I1021" s="81"/>
      <c r="J1021" s="81"/>
      <c r="K1021" s="81"/>
      <c r="L1021" s="81"/>
      <c r="M1021" s="81"/>
      <c r="N1021" s="81"/>
    </row>
    <row r="1022" spans="1:14" ht="14.25" customHeight="1" x14ac:dyDescent="0.25">
      <c r="A1022" s="97" t="s">
        <v>548</v>
      </c>
      <c r="B1022" s="98"/>
      <c r="C1022" s="110"/>
      <c r="D1022" s="110"/>
      <c r="E1022" s="111"/>
      <c r="F1022" s="112">
        <f>SUM(F1020:F1021)</f>
        <v>1603250</v>
      </c>
      <c r="G1022" s="81"/>
      <c r="H1022" s="81"/>
      <c r="I1022" s="81"/>
      <c r="J1022" s="81"/>
      <c r="K1022" s="81"/>
      <c r="L1022" s="81"/>
      <c r="M1022" s="81"/>
      <c r="N1022" s="81"/>
    </row>
    <row r="1023" spans="1:14" ht="14.25" customHeight="1" x14ac:dyDescent="0.25">
      <c r="A1023" s="88"/>
      <c r="B1023" s="89"/>
      <c r="C1023" s="113"/>
      <c r="D1023" s="113"/>
      <c r="E1023" s="114"/>
      <c r="F1023" s="113"/>
      <c r="G1023" s="81"/>
      <c r="H1023" s="81"/>
      <c r="I1023" s="81"/>
      <c r="J1023" s="81"/>
      <c r="K1023" s="81"/>
      <c r="L1023" s="81"/>
      <c r="M1023" s="81"/>
      <c r="N1023" s="81"/>
    </row>
    <row r="1024" spans="1:14" ht="14.25" customHeight="1" x14ac:dyDescent="0.25">
      <c r="A1024" s="88"/>
      <c r="B1024" s="89"/>
      <c r="C1024" s="113"/>
      <c r="D1024" s="113"/>
      <c r="E1024" s="114"/>
      <c r="F1024" s="113"/>
      <c r="G1024" s="81"/>
      <c r="H1024" s="81"/>
      <c r="I1024" s="81"/>
      <c r="J1024" s="81"/>
      <c r="K1024" s="81"/>
      <c r="L1024" s="81"/>
      <c r="M1024" s="81"/>
      <c r="N1024" s="81"/>
    </row>
    <row r="1025" spans="1:14" ht="14.25" customHeight="1" x14ac:dyDescent="0.25">
      <c r="A1025" s="612" t="s">
        <v>588</v>
      </c>
      <c r="B1025" s="608"/>
      <c r="C1025" s="608"/>
      <c r="D1025" s="608"/>
      <c r="E1025" s="609"/>
      <c r="F1025" s="131">
        <f>ROUND(F1000+F1008+F1016+F1022,0)</f>
        <v>29780670</v>
      </c>
      <c r="G1025" s="81"/>
      <c r="H1025" s="117"/>
      <c r="I1025" s="81"/>
      <c r="J1025" s="81"/>
      <c r="K1025" s="81"/>
      <c r="L1025" s="81"/>
      <c r="M1025" s="81"/>
      <c r="N1025" s="81"/>
    </row>
    <row r="1026" spans="1:14" ht="14.25" customHeight="1" x14ac:dyDescent="0.25">
      <c r="A1026" s="612" t="s">
        <v>589</v>
      </c>
      <c r="B1026" s="608"/>
      <c r="C1026" s="608"/>
      <c r="D1026" s="608"/>
      <c r="E1026" s="609"/>
      <c r="F1026" s="132"/>
      <c r="G1026" s="81"/>
      <c r="H1026" s="81"/>
      <c r="I1026" s="81"/>
      <c r="J1026" s="81"/>
      <c r="K1026" s="81"/>
      <c r="L1026" s="81"/>
      <c r="M1026" s="81"/>
      <c r="N1026" s="81"/>
    </row>
    <row r="1027" spans="1:14" ht="14.25" customHeight="1" x14ac:dyDescent="0.25">
      <c r="A1027" s="612" t="s">
        <v>556</v>
      </c>
      <c r="B1027" s="608"/>
      <c r="C1027" s="608"/>
      <c r="D1027" s="608"/>
      <c r="E1027" s="609"/>
      <c r="F1027" s="133"/>
      <c r="G1027" s="81"/>
      <c r="H1027" s="81"/>
      <c r="I1027" s="81"/>
      <c r="J1027" s="81"/>
      <c r="K1027" s="81"/>
      <c r="L1027" s="81"/>
      <c r="M1027" s="81"/>
      <c r="N1027" s="81"/>
    </row>
    <row r="1028" spans="1:14" ht="14.25" customHeight="1" x14ac:dyDescent="0.25">
      <c r="A1028" s="134"/>
      <c r="B1028" s="135"/>
      <c r="C1028" s="135"/>
      <c r="D1028" s="135"/>
      <c r="E1028" s="135"/>
      <c r="F1028" s="136"/>
      <c r="G1028" s="81"/>
      <c r="H1028" s="81"/>
      <c r="I1028" s="81"/>
      <c r="J1028" s="81"/>
      <c r="K1028" s="81"/>
      <c r="L1028" s="81"/>
      <c r="M1028" s="81"/>
      <c r="N1028" s="81"/>
    </row>
    <row r="1029" spans="1:14" ht="14.25" customHeight="1" x14ac:dyDescent="0.25">
      <c r="A1029" s="81"/>
      <c r="B1029" s="81"/>
      <c r="C1029" s="137"/>
      <c r="D1029" s="81"/>
      <c r="E1029" s="81"/>
      <c r="F1029" s="81"/>
      <c r="G1029" s="81"/>
      <c r="H1029" s="81"/>
      <c r="I1029" s="81"/>
      <c r="J1029" s="81"/>
      <c r="K1029" s="81"/>
      <c r="L1029" s="81"/>
      <c r="M1029" s="81"/>
      <c r="N1029" s="81"/>
    </row>
    <row r="1030" spans="1:14" ht="14.25" customHeight="1" x14ac:dyDescent="0.25">
      <c r="A1030" s="81"/>
      <c r="B1030" s="81"/>
      <c r="C1030" s="137"/>
      <c r="D1030" s="81"/>
      <c r="E1030" s="81"/>
      <c r="F1030" s="81"/>
      <c r="G1030" s="81"/>
      <c r="H1030" s="81"/>
      <c r="I1030" s="81"/>
      <c r="J1030" s="81"/>
      <c r="K1030" s="81"/>
      <c r="L1030" s="81"/>
      <c r="M1030" s="81"/>
      <c r="N1030" s="81"/>
    </row>
    <row r="1031" spans="1:14" ht="14.25" customHeight="1" x14ac:dyDescent="0.25">
      <c r="A1031" s="81"/>
      <c r="B1031" s="81"/>
      <c r="C1031" s="137"/>
      <c r="D1031" s="81"/>
      <c r="E1031" s="81"/>
      <c r="F1031" s="81"/>
      <c r="G1031" s="81"/>
      <c r="H1031" s="81"/>
      <c r="I1031" s="81"/>
      <c r="J1031" s="81"/>
      <c r="K1031" s="81"/>
      <c r="L1031" s="81"/>
      <c r="M1031" s="81"/>
      <c r="N1031" s="81"/>
    </row>
    <row r="1032" spans="1:14" ht="14.25" customHeight="1" x14ac:dyDescent="0.25">
      <c r="A1032" s="81"/>
      <c r="B1032" s="81"/>
      <c r="C1032" s="137"/>
      <c r="D1032" s="81"/>
      <c r="E1032" s="81"/>
      <c r="F1032" s="81"/>
      <c r="G1032" s="81"/>
      <c r="H1032" s="81"/>
      <c r="I1032" s="81"/>
      <c r="J1032" s="81"/>
      <c r="K1032" s="81"/>
      <c r="L1032" s="81"/>
      <c r="M1032" s="81"/>
      <c r="N1032" s="81"/>
    </row>
    <row r="1033" spans="1:14" ht="14.25" customHeight="1" x14ac:dyDescent="0.25">
      <c r="A1033" s="81"/>
      <c r="B1033" s="81"/>
      <c r="C1033" s="137"/>
      <c r="D1033" s="81"/>
      <c r="E1033" s="81"/>
      <c r="F1033" s="81"/>
      <c r="G1033" s="81"/>
      <c r="H1033" s="81"/>
      <c r="I1033" s="81"/>
      <c r="J1033" s="81"/>
      <c r="K1033" s="81"/>
      <c r="L1033" s="81"/>
      <c r="M1033" s="81"/>
      <c r="N1033" s="81"/>
    </row>
    <row r="1034" spans="1:14" ht="14.25" customHeight="1" x14ac:dyDescent="0.25">
      <c r="A1034" s="134"/>
      <c r="B1034" s="135"/>
      <c r="C1034" s="135"/>
      <c r="D1034" s="135"/>
      <c r="E1034" s="135"/>
      <c r="F1034" s="136"/>
      <c r="G1034" s="81"/>
      <c r="H1034" s="81"/>
      <c r="I1034" s="81"/>
      <c r="J1034" s="81"/>
      <c r="K1034" s="81"/>
      <c r="L1034" s="81"/>
      <c r="M1034" s="81"/>
      <c r="N1034" s="81"/>
    </row>
    <row r="1035" spans="1:14" ht="14.25" customHeight="1" x14ac:dyDescent="0.25">
      <c r="A1035" s="134"/>
      <c r="B1035" s="135"/>
      <c r="C1035" s="135"/>
      <c r="D1035" s="135"/>
      <c r="E1035" s="135"/>
      <c r="F1035" s="136"/>
      <c r="G1035" s="81"/>
      <c r="H1035" s="81"/>
      <c r="I1035" s="81"/>
      <c r="J1035" s="81"/>
      <c r="K1035" s="81"/>
      <c r="L1035" s="81"/>
      <c r="M1035" s="81"/>
      <c r="N1035" s="81"/>
    </row>
    <row r="1036" spans="1:14" ht="14.25" customHeight="1" x14ac:dyDescent="0.25">
      <c r="A1036" s="134"/>
      <c r="B1036" s="135"/>
      <c r="C1036" s="135"/>
      <c r="D1036" s="135"/>
      <c r="E1036" s="135"/>
      <c r="F1036" s="136"/>
      <c r="G1036" s="81"/>
      <c r="H1036" s="81"/>
      <c r="I1036" s="81"/>
      <c r="J1036" s="81"/>
      <c r="K1036" s="81"/>
      <c r="L1036" s="81"/>
      <c r="M1036" s="81"/>
      <c r="N1036" s="81"/>
    </row>
    <row r="1037" spans="1:14" ht="14.25" customHeight="1" thickBot="1" x14ac:dyDescent="0.3">
      <c r="A1037" s="81"/>
      <c r="B1037" s="81"/>
      <c r="C1037" s="81"/>
      <c r="D1037" s="81"/>
      <c r="E1037" s="81"/>
      <c r="F1037" s="81"/>
      <c r="G1037" s="81"/>
      <c r="H1037" s="81"/>
      <c r="I1037" s="81"/>
      <c r="J1037" s="81"/>
      <c r="K1037" s="81"/>
      <c r="L1037" s="81"/>
      <c r="M1037" s="81"/>
      <c r="N1037" s="81"/>
    </row>
    <row r="1038" spans="1:14" ht="14.25" customHeight="1" x14ac:dyDescent="0.25">
      <c r="A1038" s="83"/>
      <c r="B1038" s="84"/>
      <c r="C1038" s="85"/>
      <c r="D1038" s="86"/>
      <c r="E1038" s="86"/>
      <c r="F1038" s="87"/>
      <c r="G1038" s="81"/>
      <c r="H1038" s="81"/>
      <c r="I1038" s="81"/>
      <c r="J1038" s="81"/>
      <c r="K1038" s="81"/>
      <c r="L1038" s="81"/>
      <c r="M1038" s="81"/>
      <c r="N1038" s="81"/>
    </row>
    <row r="1039" spans="1:14" ht="14.25" customHeight="1" x14ac:dyDescent="0.25">
      <c r="A1039" s="599"/>
      <c r="B1039" s="600"/>
      <c r="C1039" s="600"/>
      <c r="D1039" s="600"/>
      <c r="E1039" s="600"/>
      <c r="F1039" s="601"/>
      <c r="G1039" s="81"/>
      <c r="H1039" s="81"/>
      <c r="I1039" s="81"/>
      <c r="J1039" s="81"/>
      <c r="K1039" s="81"/>
      <c r="L1039" s="81"/>
      <c r="M1039" s="81"/>
      <c r="N1039" s="81"/>
    </row>
    <row r="1040" spans="1:14" ht="14.25" customHeight="1" x14ac:dyDescent="0.25">
      <c r="A1040" s="602" t="s">
        <v>561</v>
      </c>
      <c r="B1040" s="600"/>
      <c r="C1040" s="600"/>
      <c r="D1040" s="600"/>
      <c r="E1040" s="600"/>
      <c r="F1040" s="601"/>
      <c r="G1040" s="81"/>
      <c r="H1040" s="81"/>
      <c r="I1040" s="81"/>
      <c r="J1040" s="81"/>
      <c r="K1040" s="81"/>
      <c r="L1040" s="81"/>
      <c r="M1040" s="81"/>
      <c r="N1040" s="81"/>
    </row>
    <row r="1041" spans="1:14" ht="14.25" customHeight="1" thickBot="1" x14ac:dyDescent="0.3">
      <c r="A1041" s="603"/>
      <c r="B1041" s="604"/>
      <c r="C1041" s="604"/>
      <c r="D1041" s="604"/>
      <c r="E1041" s="604"/>
      <c r="F1041" s="605"/>
      <c r="G1041" s="81"/>
      <c r="H1041" s="81"/>
      <c r="I1041" s="81"/>
      <c r="J1041" s="81"/>
      <c r="K1041" s="81"/>
      <c r="L1041" s="81"/>
      <c r="M1041" s="81"/>
      <c r="N1041" s="81"/>
    </row>
    <row r="1042" spans="1:14" ht="14.25" customHeight="1" x14ac:dyDescent="0.25">
      <c r="A1042" s="88"/>
      <c r="B1042" s="88"/>
      <c r="C1042" s="89"/>
      <c r="D1042" s="89"/>
      <c r="E1042" s="89"/>
      <c r="F1042" s="89"/>
      <c r="G1042" s="81"/>
      <c r="H1042" s="81"/>
      <c r="I1042" s="81"/>
      <c r="J1042" s="81"/>
      <c r="K1042" s="81"/>
      <c r="L1042" s="81"/>
      <c r="M1042" s="81"/>
      <c r="N1042" s="81"/>
    </row>
    <row r="1043" spans="1:14" ht="14.25" customHeight="1" x14ac:dyDescent="0.25">
      <c r="A1043" s="90" t="s">
        <v>47</v>
      </c>
      <c r="B1043" s="613" t="s">
        <v>635</v>
      </c>
      <c r="C1043" s="600"/>
      <c r="D1043" s="600"/>
      <c r="E1043" s="600"/>
      <c r="F1043" s="600"/>
      <c r="G1043" s="81"/>
      <c r="H1043" s="81"/>
      <c r="I1043" s="81"/>
      <c r="J1043" s="81"/>
      <c r="K1043" s="81"/>
      <c r="L1043" s="81"/>
      <c r="M1043" s="81"/>
      <c r="N1043" s="81"/>
    </row>
    <row r="1044" spans="1:14" ht="14.25" customHeight="1" x14ac:dyDescent="0.25">
      <c r="A1044" s="91"/>
      <c r="B1044" s="91"/>
      <c r="C1044" s="91"/>
      <c r="D1044" s="91"/>
      <c r="E1044" s="91"/>
      <c r="F1044" s="91"/>
      <c r="G1044" s="81"/>
      <c r="H1044" s="81"/>
      <c r="I1044" s="81"/>
      <c r="J1044" s="81"/>
      <c r="K1044" s="81"/>
      <c r="L1044" s="81"/>
      <c r="M1044" s="81"/>
      <c r="N1044" s="81"/>
    </row>
    <row r="1045" spans="1:14" ht="14.25" customHeight="1" x14ac:dyDescent="0.25">
      <c r="A1045" s="88" t="s">
        <v>49</v>
      </c>
      <c r="B1045" s="92" t="s">
        <v>56</v>
      </c>
      <c r="C1045" s="89"/>
      <c r="D1045" s="89"/>
      <c r="E1045" s="89"/>
      <c r="F1045" s="93"/>
      <c r="G1045" s="81"/>
      <c r="H1045" s="81"/>
      <c r="I1045" s="81"/>
      <c r="J1045" s="81"/>
      <c r="K1045" s="81"/>
      <c r="L1045" s="81"/>
      <c r="M1045" s="81"/>
      <c r="N1045" s="81"/>
    </row>
    <row r="1046" spans="1:14" ht="14.25" customHeight="1" x14ac:dyDescent="0.25">
      <c r="A1046" s="88"/>
      <c r="B1046" s="94"/>
      <c r="C1046" s="89"/>
      <c r="D1046" s="89"/>
      <c r="E1046" s="89"/>
      <c r="F1046" s="93"/>
      <c r="G1046" s="81"/>
      <c r="H1046" s="81"/>
      <c r="I1046" s="81"/>
      <c r="J1046" s="81"/>
      <c r="K1046" s="81"/>
      <c r="L1046" s="81"/>
      <c r="M1046" s="81"/>
      <c r="N1046" s="81"/>
    </row>
    <row r="1047" spans="1:14" ht="14.25" customHeight="1" x14ac:dyDescent="0.25">
      <c r="A1047" s="95" t="s">
        <v>562</v>
      </c>
      <c r="B1047" s="96"/>
      <c r="C1047" s="92"/>
      <c r="D1047" s="92"/>
      <c r="E1047" s="92"/>
      <c r="F1047" s="92"/>
      <c r="G1047" s="81"/>
      <c r="H1047" s="81"/>
      <c r="I1047" s="81"/>
      <c r="J1047" s="81"/>
      <c r="K1047" s="81"/>
      <c r="L1047" s="81"/>
      <c r="M1047" s="81"/>
      <c r="N1047" s="81"/>
    </row>
    <row r="1048" spans="1:14" ht="14.25" customHeight="1" x14ac:dyDescent="0.25">
      <c r="A1048" s="97" t="s">
        <v>563</v>
      </c>
      <c r="B1048" s="98" t="s">
        <v>564</v>
      </c>
      <c r="C1048" s="98" t="s">
        <v>565</v>
      </c>
      <c r="D1048" s="98" t="s">
        <v>566</v>
      </c>
      <c r="E1048" s="98" t="s">
        <v>567</v>
      </c>
      <c r="F1048" s="98" t="s">
        <v>568</v>
      </c>
      <c r="G1048" s="81"/>
      <c r="H1048" s="81"/>
      <c r="I1048" s="81"/>
      <c r="J1048" s="81"/>
      <c r="K1048" s="81"/>
      <c r="L1048" s="81"/>
      <c r="M1048" s="81"/>
      <c r="N1048" s="81"/>
    </row>
    <row r="1049" spans="1:14" ht="14.25" customHeight="1" x14ac:dyDescent="0.25">
      <c r="A1049" s="99"/>
      <c r="B1049" s="100"/>
      <c r="C1049" s="101"/>
      <c r="D1049" s="104"/>
      <c r="E1049" s="102"/>
      <c r="F1049" s="101">
        <f t="shared" ref="F1049:F1054" si="56">C1049*(D1049+(D1049*E1049))</f>
        <v>0</v>
      </c>
      <c r="G1049" s="81"/>
      <c r="H1049" s="81"/>
      <c r="I1049" s="81"/>
      <c r="J1049" s="81"/>
      <c r="K1049" s="81"/>
      <c r="L1049" s="81"/>
      <c r="M1049" s="81"/>
      <c r="N1049" s="81"/>
    </row>
    <row r="1050" spans="1:14" ht="14.25" customHeight="1" x14ac:dyDescent="0.25">
      <c r="A1050" s="99"/>
      <c r="B1050" s="100"/>
      <c r="C1050" s="101"/>
      <c r="D1050" s="104"/>
      <c r="E1050" s="102"/>
      <c r="F1050" s="101">
        <f t="shared" si="56"/>
        <v>0</v>
      </c>
      <c r="G1050" s="81"/>
      <c r="H1050" s="81"/>
      <c r="I1050" s="81"/>
      <c r="J1050" s="81"/>
      <c r="K1050" s="81"/>
      <c r="L1050" s="81"/>
      <c r="M1050" s="81"/>
      <c r="N1050" s="81"/>
    </row>
    <row r="1051" spans="1:14" ht="14.25" customHeight="1" x14ac:dyDescent="0.25">
      <c r="A1051" s="99"/>
      <c r="B1051" s="100"/>
      <c r="C1051" s="101"/>
      <c r="D1051" s="104"/>
      <c r="E1051" s="102"/>
      <c r="F1051" s="101">
        <f t="shared" si="56"/>
        <v>0</v>
      </c>
      <c r="G1051" s="81"/>
      <c r="H1051" s="81"/>
      <c r="I1051" s="81"/>
      <c r="J1051" s="81"/>
      <c r="K1051" s="81"/>
      <c r="L1051" s="81"/>
      <c r="M1051" s="81"/>
      <c r="N1051" s="81"/>
    </row>
    <row r="1052" spans="1:14" ht="14.25" customHeight="1" x14ac:dyDescent="0.25">
      <c r="A1052" s="99"/>
      <c r="B1052" s="100"/>
      <c r="C1052" s="101"/>
      <c r="D1052" s="104"/>
      <c r="E1052" s="102"/>
      <c r="F1052" s="101">
        <f t="shared" si="56"/>
        <v>0</v>
      </c>
      <c r="G1052" s="81"/>
      <c r="H1052" s="81"/>
      <c r="I1052" s="81"/>
      <c r="J1052" s="81"/>
      <c r="K1052" s="81"/>
      <c r="L1052" s="81"/>
      <c r="M1052" s="81"/>
      <c r="N1052" s="81"/>
    </row>
    <row r="1053" spans="1:14" ht="14.25" customHeight="1" x14ac:dyDescent="0.25">
      <c r="A1053" s="99"/>
      <c r="B1053" s="100"/>
      <c r="C1053" s="101"/>
      <c r="D1053" s="104"/>
      <c r="E1053" s="102"/>
      <c r="F1053" s="101">
        <f t="shared" si="56"/>
        <v>0</v>
      </c>
      <c r="G1053" s="81"/>
      <c r="H1053" s="81"/>
      <c r="I1053" s="81"/>
      <c r="J1053" s="81"/>
      <c r="K1053" s="81"/>
      <c r="L1053" s="81"/>
      <c r="M1053" s="81"/>
      <c r="N1053" s="81"/>
    </row>
    <row r="1054" spans="1:14" ht="14.25" customHeight="1" x14ac:dyDescent="0.25">
      <c r="A1054" s="99"/>
      <c r="B1054" s="100"/>
      <c r="C1054" s="101"/>
      <c r="D1054" s="104"/>
      <c r="E1054" s="102"/>
      <c r="F1054" s="101">
        <f t="shared" si="56"/>
        <v>0</v>
      </c>
      <c r="G1054" s="81"/>
      <c r="H1054" s="81"/>
      <c r="I1054" s="81"/>
      <c r="J1054" s="81"/>
      <c r="K1054" s="81"/>
      <c r="L1054" s="81"/>
      <c r="M1054" s="81"/>
      <c r="N1054" s="81"/>
    </row>
    <row r="1055" spans="1:14" ht="14.25" customHeight="1" x14ac:dyDescent="0.25">
      <c r="A1055" s="99"/>
      <c r="B1055" s="100"/>
      <c r="C1055" s="106"/>
      <c r="D1055" s="107"/>
      <c r="E1055" s="108"/>
      <c r="F1055" s="106"/>
      <c r="G1055" s="81"/>
      <c r="H1055" s="81"/>
      <c r="I1055" s="81"/>
      <c r="J1055" s="81"/>
      <c r="K1055" s="81"/>
      <c r="L1055" s="81"/>
      <c r="M1055" s="81"/>
      <c r="N1055" s="81"/>
    </row>
    <row r="1056" spans="1:14" ht="14.25" customHeight="1" x14ac:dyDescent="0.25">
      <c r="A1056" s="97" t="s">
        <v>548</v>
      </c>
      <c r="B1056" s="97"/>
      <c r="C1056" s="109"/>
      <c r="D1056" s="110"/>
      <c r="E1056" s="111"/>
      <c r="F1056" s="112">
        <f>SUM(F1049:F1055)</f>
        <v>0</v>
      </c>
      <c r="G1056" s="81"/>
      <c r="H1056" s="81"/>
      <c r="I1056" s="81"/>
      <c r="J1056" s="81"/>
      <c r="K1056" s="81"/>
      <c r="L1056" s="81"/>
      <c r="M1056" s="81"/>
      <c r="N1056" s="81"/>
    </row>
    <row r="1057" spans="1:14" ht="14.25" customHeight="1" x14ac:dyDescent="0.25">
      <c r="A1057" s="88"/>
      <c r="B1057" s="88"/>
      <c r="C1057" s="113"/>
      <c r="D1057" s="113"/>
      <c r="E1057" s="114"/>
      <c r="F1057" s="113"/>
      <c r="G1057" s="81"/>
      <c r="H1057" s="81"/>
      <c r="I1057" s="81"/>
      <c r="J1057" s="81"/>
      <c r="K1057" s="81"/>
      <c r="L1057" s="81"/>
      <c r="M1057" s="81"/>
      <c r="N1057" s="81"/>
    </row>
    <row r="1058" spans="1:14" ht="14.25" customHeight="1" x14ac:dyDescent="0.25">
      <c r="A1058" s="96" t="s">
        <v>573</v>
      </c>
      <c r="B1058" s="96"/>
      <c r="C1058" s="92"/>
      <c r="D1058" s="92"/>
      <c r="E1058" s="92"/>
      <c r="F1058" s="92"/>
      <c r="G1058" s="81"/>
      <c r="H1058" s="81"/>
      <c r="I1058" s="81"/>
      <c r="J1058" s="81"/>
      <c r="K1058" s="81"/>
      <c r="L1058" s="81"/>
      <c r="M1058" s="81"/>
      <c r="N1058" s="81"/>
    </row>
    <row r="1059" spans="1:14" ht="14.25" customHeight="1" x14ac:dyDescent="0.25">
      <c r="A1059" s="611" t="s">
        <v>563</v>
      </c>
      <c r="B1059" s="608"/>
      <c r="C1059" s="609"/>
      <c r="D1059" s="98" t="s">
        <v>574</v>
      </c>
      <c r="E1059" s="98" t="s">
        <v>575</v>
      </c>
      <c r="F1059" s="98" t="s">
        <v>568</v>
      </c>
      <c r="G1059" s="81"/>
      <c r="H1059" s="81"/>
      <c r="I1059" s="81"/>
      <c r="J1059" s="81"/>
      <c r="K1059" s="81"/>
      <c r="L1059" s="81"/>
      <c r="M1059" s="81"/>
      <c r="N1059" s="81"/>
    </row>
    <row r="1060" spans="1:14" ht="14.25" customHeight="1" x14ac:dyDescent="0.25">
      <c r="A1060" s="607" t="s">
        <v>577</v>
      </c>
      <c r="B1060" s="608"/>
      <c r="C1060" s="609"/>
      <c r="D1060" s="116"/>
      <c r="E1060" s="107"/>
      <c r="F1060" s="106">
        <f>+F1072*5%</f>
        <v>837.12164238941614</v>
      </c>
      <c r="G1060" s="81"/>
      <c r="H1060" s="81"/>
      <c r="I1060" s="81"/>
      <c r="J1060" s="81"/>
      <c r="K1060" s="81"/>
      <c r="L1060" s="81"/>
      <c r="M1060" s="81"/>
      <c r="N1060" s="81"/>
    </row>
    <row r="1061" spans="1:14" ht="14.25" customHeight="1" x14ac:dyDescent="0.25">
      <c r="A1061" s="607"/>
      <c r="B1061" s="608"/>
      <c r="C1061" s="609"/>
      <c r="D1061" s="142"/>
      <c r="E1061" s="107"/>
      <c r="F1061" s="106"/>
      <c r="G1061" s="81"/>
      <c r="H1061" s="81"/>
      <c r="I1061" s="81"/>
      <c r="J1061" s="81"/>
      <c r="K1061" s="81"/>
      <c r="L1061" s="81"/>
      <c r="M1061" s="81"/>
      <c r="N1061" s="81"/>
    </row>
    <row r="1062" spans="1:14" ht="14.25" customHeight="1" x14ac:dyDescent="0.25">
      <c r="A1062" s="607"/>
      <c r="B1062" s="608"/>
      <c r="C1062" s="609"/>
      <c r="D1062" s="142"/>
      <c r="E1062" s="107"/>
      <c r="F1062" s="106"/>
      <c r="G1062" s="81"/>
      <c r="H1062" s="81"/>
      <c r="I1062" s="81"/>
      <c r="J1062" s="81"/>
      <c r="K1062" s="81"/>
      <c r="L1062" s="81"/>
      <c r="M1062" s="81"/>
      <c r="N1062" s="81"/>
    </row>
    <row r="1063" spans="1:14" ht="14.25" customHeight="1" x14ac:dyDescent="0.25">
      <c r="A1063" s="610"/>
      <c r="B1063" s="608"/>
      <c r="C1063" s="609"/>
      <c r="D1063" s="115"/>
      <c r="E1063" s="107"/>
      <c r="F1063" s="106"/>
      <c r="G1063" s="81"/>
      <c r="H1063" s="81"/>
      <c r="I1063" s="81"/>
      <c r="J1063" s="81"/>
      <c r="K1063" s="81"/>
      <c r="L1063" s="81"/>
      <c r="M1063" s="81"/>
      <c r="N1063" s="81"/>
    </row>
    <row r="1064" spans="1:14" ht="14.25" customHeight="1" x14ac:dyDescent="0.25">
      <c r="A1064" s="611" t="s">
        <v>548</v>
      </c>
      <c r="B1064" s="608"/>
      <c r="C1064" s="609"/>
      <c r="D1064" s="110"/>
      <c r="E1064" s="110"/>
      <c r="F1064" s="112">
        <f>SUM(F1060:F1062)</f>
        <v>837.12164238941614</v>
      </c>
      <c r="G1064" s="81"/>
      <c r="H1064" s="81"/>
      <c r="I1064" s="81"/>
      <c r="J1064" s="81"/>
      <c r="K1064" s="81"/>
      <c r="L1064" s="81"/>
      <c r="M1064" s="81"/>
      <c r="N1064" s="81"/>
    </row>
    <row r="1065" spans="1:14" ht="14.25" customHeight="1" x14ac:dyDescent="0.25">
      <c r="A1065" s="88"/>
      <c r="B1065" s="88"/>
      <c r="C1065" s="89"/>
      <c r="D1065" s="113"/>
      <c r="E1065" s="113"/>
      <c r="F1065" s="113"/>
      <c r="G1065" s="81"/>
      <c r="H1065" s="81"/>
      <c r="I1065" s="81"/>
      <c r="J1065" s="81"/>
      <c r="K1065" s="81"/>
      <c r="L1065" s="81"/>
      <c r="M1065" s="81"/>
      <c r="N1065" s="81"/>
    </row>
    <row r="1066" spans="1:14" ht="14.25" customHeight="1" x14ac:dyDescent="0.25">
      <c r="A1066" s="96" t="s">
        <v>578</v>
      </c>
      <c r="B1066" s="96"/>
      <c r="C1066" s="92"/>
      <c r="D1066" s="118"/>
      <c r="E1066" s="118"/>
      <c r="F1066" s="118"/>
      <c r="G1066" s="81"/>
      <c r="H1066" s="81"/>
      <c r="I1066" s="81"/>
      <c r="J1066" s="81"/>
      <c r="K1066" s="81"/>
      <c r="L1066" s="81"/>
      <c r="M1066" s="81"/>
      <c r="N1066" s="81"/>
    </row>
    <row r="1067" spans="1:14" ht="14.25" customHeight="1" x14ac:dyDescent="0.25">
      <c r="A1067" s="119" t="s">
        <v>563</v>
      </c>
      <c r="B1067" s="120" t="s">
        <v>579</v>
      </c>
      <c r="C1067" s="120" t="s">
        <v>580</v>
      </c>
      <c r="D1067" s="121" t="s">
        <v>581</v>
      </c>
      <c r="E1067" s="121" t="s">
        <v>575</v>
      </c>
      <c r="F1067" s="121" t="s">
        <v>568</v>
      </c>
      <c r="G1067" s="81"/>
      <c r="H1067" s="81"/>
      <c r="I1067" s="81"/>
      <c r="J1067" s="81"/>
      <c r="K1067" s="81"/>
      <c r="L1067" s="81"/>
      <c r="M1067" s="81"/>
      <c r="N1067" s="81"/>
    </row>
    <row r="1068" spans="1:14" ht="14.25" customHeight="1" x14ac:dyDescent="0.25">
      <c r="A1068" s="122" t="s">
        <v>593</v>
      </c>
      <c r="B1068" s="127">
        <v>2</v>
      </c>
      <c r="C1068" s="101">
        <v>32688</v>
      </c>
      <c r="D1068" s="101">
        <f t="shared" ref="D1068:D1069" si="57">+C1068*1.7</f>
        <v>55569.599999999999</v>
      </c>
      <c r="E1068" s="144">
        <v>11.972799999999999</v>
      </c>
      <c r="F1068" s="106">
        <f t="shared" ref="F1068:F1069" si="58">+B1068*(D1068)/E1068</f>
        <v>9282.6406521448625</v>
      </c>
      <c r="G1068" s="81"/>
      <c r="H1068" s="81"/>
      <c r="I1068" s="81"/>
      <c r="J1068" s="81"/>
      <c r="K1068" s="81"/>
      <c r="L1068" s="81"/>
      <c r="M1068" s="81"/>
      <c r="N1068" s="81"/>
    </row>
    <row r="1069" spans="1:14" ht="14.25" customHeight="1" x14ac:dyDescent="0.25">
      <c r="A1069" s="122" t="s">
        <v>594</v>
      </c>
      <c r="B1069" s="127">
        <v>1</v>
      </c>
      <c r="C1069" s="101">
        <v>52538</v>
      </c>
      <c r="D1069" s="101">
        <f t="shared" si="57"/>
        <v>89314.599999999991</v>
      </c>
      <c r="E1069" s="144">
        <f>E1068</f>
        <v>11.972799999999999</v>
      </c>
      <c r="F1069" s="106">
        <f t="shared" si="58"/>
        <v>7459.7921956434584</v>
      </c>
      <c r="G1069" s="81"/>
      <c r="H1069" s="81"/>
      <c r="I1069" s="81"/>
      <c r="J1069" s="81"/>
      <c r="K1069" s="81"/>
      <c r="L1069" s="81"/>
      <c r="M1069" s="81"/>
      <c r="N1069" s="81"/>
    </row>
    <row r="1070" spans="1:14" ht="14.25" customHeight="1" x14ac:dyDescent="0.25">
      <c r="A1070" s="122"/>
      <c r="B1070" s="127"/>
      <c r="C1070" s="101"/>
      <c r="D1070" s="101"/>
      <c r="E1070" s="107"/>
      <c r="F1070" s="106"/>
      <c r="G1070" s="81"/>
      <c r="H1070" s="81"/>
      <c r="I1070" s="81"/>
      <c r="J1070" s="81"/>
      <c r="K1070" s="81"/>
      <c r="L1070" s="81"/>
      <c r="M1070" s="81"/>
      <c r="N1070" s="81"/>
    </row>
    <row r="1071" spans="1:14" ht="14.25" customHeight="1" x14ac:dyDescent="0.25">
      <c r="A1071" s="122"/>
      <c r="B1071" s="127"/>
      <c r="C1071" s="101"/>
      <c r="D1071" s="101"/>
      <c r="E1071" s="125"/>
      <c r="F1071" s="106"/>
      <c r="G1071" s="81"/>
      <c r="H1071" s="81"/>
      <c r="I1071" s="81"/>
      <c r="J1071" s="81"/>
      <c r="K1071" s="81"/>
      <c r="L1071" s="81"/>
      <c r="M1071" s="81"/>
      <c r="N1071" s="81"/>
    </row>
    <row r="1072" spans="1:14" ht="14.25" customHeight="1" x14ac:dyDescent="0.25">
      <c r="A1072" s="97" t="s">
        <v>548</v>
      </c>
      <c r="B1072" s="128"/>
      <c r="C1072" s="110"/>
      <c r="D1072" s="110"/>
      <c r="E1072" s="110"/>
      <c r="F1072" s="112">
        <f>SUM(F1068:F1071)</f>
        <v>16742.432847788321</v>
      </c>
      <c r="G1072" s="81"/>
      <c r="H1072" s="81"/>
      <c r="I1072" s="81"/>
      <c r="J1072" s="81"/>
      <c r="K1072" s="81"/>
      <c r="L1072" s="81"/>
      <c r="M1072" s="81"/>
      <c r="N1072" s="81"/>
    </row>
    <row r="1073" spans="1:14" ht="14.25" customHeight="1" x14ac:dyDescent="0.25">
      <c r="A1073" s="96"/>
      <c r="B1073" s="129"/>
      <c r="C1073" s="118"/>
      <c r="D1073" s="118"/>
      <c r="E1073" s="118"/>
      <c r="F1073" s="118"/>
      <c r="G1073" s="81"/>
      <c r="H1073" s="81"/>
      <c r="I1073" s="81"/>
      <c r="J1073" s="81"/>
      <c r="K1073" s="81"/>
      <c r="L1073" s="81"/>
      <c r="M1073" s="81"/>
      <c r="N1073" s="81"/>
    </row>
    <row r="1074" spans="1:14" ht="14.25" customHeight="1" x14ac:dyDescent="0.25">
      <c r="A1074" s="95" t="s">
        <v>583</v>
      </c>
      <c r="B1074" s="96"/>
      <c r="C1074" s="92"/>
      <c r="D1074" s="92"/>
      <c r="E1074" s="92" t="s">
        <v>584</v>
      </c>
      <c r="F1074" s="92"/>
      <c r="G1074" s="81"/>
      <c r="H1074" s="81"/>
      <c r="I1074" s="81"/>
      <c r="J1074" s="81"/>
      <c r="K1074" s="81"/>
      <c r="L1074" s="81"/>
      <c r="M1074" s="81"/>
      <c r="N1074" s="81"/>
    </row>
    <row r="1075" spans="1:14" ht="14.25" customHeight="1" x14ac:dyDescent="0.25">
      <c r="A1075" s="97" t="s">
        <v>563</v>
      </c>
      <c r="B1075" s="98" t="s">
        <v>564</v>
      </c>
      <c r="C1075" s="98" t="s">
        <v>585</v>
      </c>
      <c r="D1075" s="98" t="s">
        <v>586</v>
      </c>
      <c r="E1075" s="120" t="s">
        <v>587</v>
      </c>
      <c r="F1075" s="98" t="s">
        <v>568</v>
      </c>
      <c r="G1075" s="81"/>
      <c r="H1075" s="81"/>
      <c r="I1075" s="81"/>
      <c r="J1075" s="81"/>
      <c r="K1075" s="81"/>
      <c r="L1075" s="81"/>
      <c r="M1075" s="81"/>
      <c r="N1075" s="81"/>
    </row>
    <row r="1076" spans="1:14" ht="14.25" customHeight="1" x14ac:dyDescent="0.25">
      <c r="A1076" s="103" t="s">
        <v>604</v>
      </c>
      <c r="B1076" s="100" t="s">
        <v>605</v>
      </c>
      <c r="C1076" s="101">
        <v>1000</v>
      </c>
      <c r="D1076" s="140">
        <v>6</v>
      </c>
      <c r="E1076" s="107">
        <v>1</v>
      </c>
      <c r="F1076" s="109">
        <f>+C1076*D1076*E1076</f>
        <v>6000</v>
      </c>
      <c r="G1076" s="81"/>
      <c r="H1076" s="81"/>
      <c r="I1076" s="81"/>
      <c r="J1076" s="81"/>
      <c r="K1076" s="81"/>
      <c r="L1076" s="81"/>
      <c r="M1076" s="81"/>
      <c r="N1076" s="81"/>
    </row>
    <row r="1077" spans="1:14" ht="14.25" customHeight="1" x14ac:dyDescent="0.25">
      <c r="A1077" s="103"/>
      <c r="B1077" s="100"/>
      <c r="C1077" s="107"/>
      <c r="D1077" s="107"/>
      <c r="E1077" s="108"/>
      <c r="F1077" s="109"/>
      <c r="G1077" s="81"/>
      <c r="H1077" s="81"/>
      <c r="I1077" s="81"/>
      <c r="J1077" s="81"/>
      <c r="K1077" s="81"/>
      <c r="L1077" s="81"/>
      <c r="M1077" s="81"/>
      <c r="N1077" s="81"/>
    </row>
    <row r="1078" spans="1:14" ht="14.25" customHeight="1" x14ac:dyDescent="0.25">
      <c r="A1078" s="97" t="s">
        <v>548</v>
      </c>
      <c r="B1078" s="98"/>
      <c r="C1078" s="110"/>
      <c r="D1078" s="110"/>
      <c r="E1078" s="111"/>
      <c r="F1078" s="112">
        <f>SUM(F1076:F1077)</f>
        <v>6000</v>
      </c>
      <c r="G1078" s="81"/>
      <c r="H1078" s="81"/>
      <c r="I1078" s="81"/>
      <c r="J1078" s="81"/>
      <c r="K1078" s="81"/>
      <c r="L1078" s="81"/>
      <c r="M1078" s="81"/>
      <c r="N1078" s="81"/>
    </row>
    <row r="1079" spans="1:14" ht="14.25" customHeight="1" x14ac:dyDescent="0.25">
      <c r="A1079" s="88"/>
      <c r="B1079" s="89"/>
      <c r="C1079" s="113"/>
      <c r="D1079" s="113"/>
      <c r="E1079" s="114"/>
      <c r="F1079" s="113"/>
      <c r="G1079" s="81"/>
      <c r="H1079" s="81"/>
      <c r="I1079" s="81"/>
      <c r="J1079" s="81"/>
      <c r="K1079" s="81"/>
      <c r="L1079" s="81"/>
      <c r="M1079" s="81"/>
      <c r="N1079" s="81"/>
    </row>
    <row r="1080" spans="1:14" ht="14.25" customHeight="1" x14ac:dyDescent="0.25">
      <c r="A1080" s="88"/>
      <c r="B1080" s="89"/>
      <c r="C1080" s="113"/>
      <c r="D1080" s="113"/>
      <c r="E1080" s="114"/>
      <c r="F1080" s="113"/>
      <c r="G1080" s="81"/>
      <c r="H1080" s="81"/>
      <c r="I1080" s="81"/>
      <c r="J1080" s="81"/>
      <c r="K1080" s="81"/>
      <c r="L1080" s="81"/>
      <c r="M1080" s="81"/>
      <c r="N1080" s="81"/>
    </row>
    <row r="1081" spans="1:14" ht="14.25" customHeight="1" x14ac:dyDescent="0.25">
      <c r="A1081" s="612" t="s">
        <v>588</v>
      </c>
      <c r="B1081" s="608"/>
      <c r="C1081" s="608"/>
      <c r="D1081" s="608"/>
      <c r="E1081" s="609"/>
      <c r="F1081" s="131">
        <f>ROUND(F1056+F1064+F1072+F1078,0)</f>
        <v>23580</v>
      </c>
      <c r="G1081" s="81"/>
      <c r="H1081" s="117"/>
      <c r="I1081" s="81"/>
      <c r="J1081" s="81"/>
      <c r="K1081" s="81"/>
      <c r="L1081" s="81"/>
      <c r="M1081" s="81"/>
      <c r="N1081" s="81"/>
    </row>
    <row r="1082" spans="1:14" ht="14.25" customHeight="1" x14ac:dyDescent="0.25">
      <c r="A1082" s="612" t="s">
        <v>589</v>
      </c>
      <c r="B1082" s="608"/>
      <c r="C1082" s="608"/>
      <c r="D1082" s="608"/>
      <c r="E1082" s="609"/>
      <c r="F1082" s="132"/>
      <c r="G1082" s="81"/>
      <c r="H1082" s="81"/>
      <c r="I1082" s="81"/>
      <c r="J1082" s="81"/>
      <c r="K1082" s="81"/>
      <c r="L1082" s="81"/>
      <c r="M1082" s="81"/>
      <c r="N1082" s="81"/>
    </row>
    <row r="1083" spans="1:14" ht="14.25" customHeight="1" x14ac:dyDescent="0.25">
      <c r="A1083" s="612" t="s">
        <v>556</v>
      </c>
      <c r="B1083" s="608"/>
      <c r="C1083" s="608"/>
      <c r="D1083" s="608"/>
      <c r="E1083" s="609"/>
      <c r="F1083" s="133"/>
      <c r="G1083" s="81"/>
      <c r="H1083" s="81"/>
      <c r="I1083" s="81"/>
      <c r="J1083" s="81"/>
      <c r="K1083" s="81"/>
      <c r="L1083" s="81"/>
      <c r="M1083" s="81"/>
      <c r="N1083" s="81"/>
    </row>
    <row r="1084" spans="1:14" ht="14.25" customHeight="1" x14ac:dyDescent="0.25">
      <c r="A1084" s="134"/>
      <c r="B1084" s="135"/>
      <c r="C1084" s="135"/>
      <c r="D1084" s="135"/>
      <c r="E1084" s="135"/>
      <c r="F1084" s="136"/>
      <c r="G1084" s="81"/>
      <c r="H1084" s="81"/>
      <c r="I1084" s="81"/>
      <c r="J1084" s="81"/>
      <c r="K1084" s="81"/>
      <c r="L1084" s="81"/>
      <c r="M1084" s="81"/>
      <c r="N1084" s="81"/>
    </row>
    <row r="1085" spans="1:14" ht="14.25" customHeight="1" x14ac:dyDescent="0.25">
      <c r="A1085" s="81"/>
      <c r="B1085" s="81"/>
      <c r="C1085" s="137"/>
      <c r="D1085" s="81"/>
      <c r="E1085" s="81"/>
      <c r="F1085" s="81"/>
      <c r="G1085" s="81"/>
      <c r="H1085" s="81"/>
      <c r="I1085" s="81"/>
      <c r="J1085" s="81"/>
      <c r="K1085" s="81"/>
      <c r="L1085" s="81"/>
      <c r="M1085" s="81"/>
      <c r="N1085" s="81"/>
    </row>
    <row r="1086" spans="1:14" ht="14.25" customHeight="1" x14ac:dyDescent="0.25">
      <c r="A1086" s="81"/>
      <c r="B1086" s="81"/>
      <c r="C1086" s="137"/>
      <c r="D1086" s="81"/>
      <c r="E1086" s="81"/>
      <c r="F1086" s="81"/>
      <c r="G1086" s="81"/>
      <c r="H1086" s="81"/>
      <c r="I1086" s="81"/>
      <c r="J1086" s="81"/>
      <c r="K1086" s="81"/>
      <c r="L1086" s="81"/>
      <c r="M1086" s="81"/>
      <c r="N1086" s="81"/>
    </row>
    <row r="1087" spans="1:14" ht="14.25" customHeight="1" x14ac:dyDescent="0.25">
      <c r="A1087" s="81"/>
      <c r="B1087" s="81"/>
      <c r="C1087" s="137"/>
      <c r="D1087" s="81"/>
      <c r="E1087" s="81"/>
      <c r="F1087" s="81"/>
      <c r="G1087" s="81"/>
      <c r="H1087" s="81"/>
      <c r="I1087" s="81"/>
      <c r="J1087" s="81"/>
      <c r="K1087" s="81"/>
      <c r="L1087" s="81"/>
      <c r="M1087" s="81"/>
      <c r="N1087" s="81"/>
    </row>
    <row r="1088" spans="1:14" ht="14.25" customHeight="1" x14ac:dyDescent="0.25">
      <c r="A1088" s="81"/>
      <c r="B1088" s="81"/>
      <c r="C1088" s="137"/>
      <c r="D1088" s="81"/>
      <c r="E1088" s="81"/>
      <c r="F1088" s="81"/>
      <c r="G1088" s="81"/>
      <c r="H1088" s="81"/>
      <c r="I1088" s="81"/>
      <c r="J1088" s="81"/>
      <c r="K1088" s="81"/>
      <c r="L1088" s="81"/>
      <c r="M1088" s="81"/>
      <c r="N1088" s="81"/>
    </row>
    <row r="1089" spans="1:14" ht="14.25" customHeight="1" x14ac:dyDescent="0.25">
      <c r="A1089" s="81"/>
      <c r="B1089" s="81"/>
      <c r="C1089" s="137"/>
      <c r="D1089" s="81"/>
      <c r="E1089" s="81"/>
      <c r="F1089" s="81"/>
      <c r="G1089" s="81"/>
      <c r="H1089" s="81"/>
      <c r="I1089" s="81"/>
      <c r="J1089" s="81"/>
      <c r="K1089" s="81"/>
      <c r="L1089" s="81"/>
      <c r="M1089" s="81"/>
      <c r="N1089" s="81"/>
    </row>
    <row r="1090" spans="1:14" ht="14.25" customHeight="1" x14ac:dyDescent="0.25">
      <c r="A1090" s="134"/>
      <c r="B1090" s="135"/>
      <c r="C1090" s="135"/>
      <c r="D1090" s="135"/>
      <c r="E1090" s="135"/>
      <c r="F1090" s="136"/>
      <c r="G1090" s="81"/>
      <c r="H1090" s="81"/>
      <c r="I1090" s="81"/>
      <c r="J1090" s="81"/>
      <c r="K1090" s="81"/>
      <c r="L1090" s="81"/>
      <c r="M1090" s="81"/>
      <c r="N1090" s="81"/>
    </row>
    <row r="1091" spans="1:14" ht="14.25" customHeight="1" x14ac:dyDescent="0.25">
      <c r="A1091" s="134"/>
      <c r="B1091" s="135"/>
      <c r="C1091" s="135"/>
      <c r="D1091" s="135"/>
      <c r="E1091" s="135"/>
      <c r="F1091" s="136"/>
      <c r="G1091" s="81"/>
      <c r="H1091" s="81"/>
      <c r="I1091" s="81"/>
      <c r="J1091" s="81"/>
      <c r="K1091" s="81"/>
      <c r="L1091" s="81"/>
      <c r="M1091" s="81"/>
      <c r="N1091" s="81"/>
    </row>
    <row r="1092" spans="1:14" ht="14.25" customHeight="1" x14ac:dyDescent="0.25">
      <c r="A1092" s="134"/>
      <c r="B1092" s="135"/>
      <c r="C1092" s="135"/>
      <c r="D1092" s="135"/>
      <c r="E1092" s="135"/>
      <c r="F1092" s="136"/>
      <c r="G1092" s="81"/>
      <c r="H1092" s="81"/>
      <c r="I1092" s="81"/>
      <c r="J1092" s="81"/>
      <c r="K1092" s="81"/>
      <c r="L1092" s="81"/>
      <c r="M1092" s="81"/>
      <c r="N1092" s="81"/>
    </row>
    <row r="1093" spans="1:14" ht="14.25" customHeight="1" thickBot="1" x14ac:dyDescent="0.3">
      <c r="A1093" s="81"/>
      <c r="B1093" s="81"/>
      <c r="C1093" s="81"/>
      <c r="D1093" s="81"/>
      <c r="E1093" s="81"/>
      <c r="F1093" s="81"/>
      <c r="G1093" s="81"/>
      <c r="H1093" s="81"/>
      <c r="I1093" s="81"/>
      <c r="J1093" s="81"/>
      <c r="K1093" s="81"/>
      <c r="L1093" s="81"/>
      <c r="M1093" s="81"/>
      <c r="N1093" s="81"/>
    </row>
    <row r="1094" spans="1:14" ht="14.25" customHeight="1" x14ac:dyDescent="0.25">
      <c r="A1094" s="83"/>
      <c r="B1094" s="84"/>
      <c r="C1094" s="85"/>
      <c r="D1094" s="86"/>
      <c r="E1094" s="86"/>
      <c r="F1094" s="87"/>
      <c r="G1094" s="81"/>
      <c r="H1094" s="81"/>
      <c r="I1094" s="81"/>
      <c r="J1094" s="81"/>
      <c r="K1094" s="81"/>
      <c r="L1094" s="81"/>
      <c r="M1094" s="81"/>
      <c r="N1094" s="81"/>
    </row>
    <row r="1095" spans="1:14" ht="14.25" customHeight="1" x14ac:dyDescent="0.25">
      <c r="A1095" s="599"/>
      <c r="B1095" s="600"/>
      <c r="C1095" s="600"/>
      <c r="D1095" s="600"/>
      <c r="E1095" s="600"/>
      <c r="F1095" s="601"/>
      <c r="G1095" s="81"/>
      <c r="H1095" s="81"/>
      <c r="I1095" s="81"/>
      <c r="J1095" s="81"/>
      <c r="K1095" s="81"/>
      <c r="L1095" s="81"/>
      <c r="M1095" s="81"/>
      <c r="N1095" s="81"/>
    </row>
    <row r="1096" spans="1:14" ht="14.25" customHeight="1" x14ac:dyDescent="0.25">
      <c r="A1096" s="602" t="s">
        <v>561</v>
      </c>
      <c r="B1096" s="600"/>
      <c r="C1096" s="600"/>
      <c r="D1096" s="600"/>
      <c r="E1096" s="600"/>
      <c r="F1096" s="601"/>
      <c r="G1096" s="81"/>
      <c r="H1096" s="81"/>
      <c r="I1096" s="81"/>
      <c r="J1096" s="81"/>
      <c r="K1096" s="81"/>
      <c r="L1096" s="81"/>
      <c r="M1096" s="81"/>
      <c r="N1096" s="81"/>
    </row>
    <row r="1097" spans="1:14" ht="14.25" customHeight="1" thickBot="1" x14ac:dyDescent="0.3">
      <c r="A1097" s="603"/>
      <c r="B1097" s="604"/>
      <c r="C1097" s="604"/>
      <c r="D1097" s="604"/>
      <c r="E1097" s="604"/>
      <c r="F1097" s="605"/>
      <c r="G1097" s="81"/>
      <c r="H1097" s="81"/>
      <c r="I1097" s="81"/>
      <c r="J1097" s="81"/>
      <c r="K1097" s="81"/>
      <c r="L1097" s="81"/>
      <c r="M1097" s="81"/>
      <c r="N1097" s="81"/>
    </row>
    <row r="1098" spans="1:14" ht="14.25" customHeight="1" x14ac:dyDescent="0.25">
      <c r="A1098" s="88"/>
      <c r="B1098" s="88"/>
      <c r="C1098" s="89"/>
      <c r="D1098" s="89"/>
      <c r="E1098" s="89"/>
      <c r="F1098" s="89"/>
      <c r="G1098" s="81"/>
      <c r="H1098" s="81"/>
      <c r="I1098" s="81"/>
      <c r="J1098" s="81"/>
      <c r="K1098" s="81"/>
      <c r="L1098" s="81"/>
      <c r="M1098" s="81"/>
      <c r="N1098" s="81"/>
    </row>
    <row r="1099" spans="1:14" ht="14.25" customHeight="1" x14ac:dyDescent="0.25">
      <c r="A1099" s="90" t="s">
        <v>47</v>
      </c>
      <c r="B1099" s="613" t="s">
        <v>94</v>
      </c>
      <c r="C1099" s="600"/>
      <c r="D1099" s="600"/>
      <c r="E1099" s="600"/>
      <c r="F1099" s="600"/>
      <c r="G1099" s="81"/>
      <c r="H1099" s="81"/>
      <c r="I1099" s="81"/>
      <c r="J1099" s="81"/>
      <c r="K1099" s="81"/>
      <c r="L1099" s="81"/>
      <c r="M1099" s="81"/>
      <c r="N1099" s="81"/>
    </row>
    <row r="1100" spans="1:14" ht="14.25" customHeight="1" x14ac:dyDescent="0.25">
      <c r="A1100" s="91"/>
      <c r="B1100" s="91"/>
      <c r="C1100" s="91"/>
      <c r="D1100" s="91"/>
      <c r="E1100" s="91"/>
      <c r="F1100" s="91"/>
      <c r="G1100" s="81"/>
      <c r="H1100" s="81"/>
      <c r="I1100" s="81"/>
      <c r="J1100" s="81"/>
      <c r="K1100" s="81"/>
      <c r="L1100" s="81"/>
      <c r="M1100" s="81"/>
      <c r="N1100" s="81"/>
    </row>
    <row r="1101" spans="1:14" ht="14.25" customHeight="1" x14ac:dyDescent="0.25">
      <c r="A1101" s="88" t="s">
        <v>49</v>
      </c>
      <c r="B1101" s="92" t="s">
        <v>56</v>
      </c>
      <c r="C1101" s="89"/>
      <c r="D1101" s="89"/>
      <c r="E1101" s="89"/>
      <c r="F1101" s="93"/>
      <c r="G1101" s="81"/>
      <c r="H1101" s="81"/>
      <c r="I1101" s="81"/>
      <c r="J1101" s="81"/>
      <c r="K1101" s="81"/>
      <c r="L1101" s="81"/>
      <c r="M1101" s="81"/>
      <c r="N1101" s="81"/>
    </row>
    <row r="1102" spans="1:14" ht="14.25" customHeight="1" x14ac:dyDescent="0.25">
      <c r="A1102" s="88"/>
      <c r="B1102" s="94"/>
      <c r="C1102" s="89"/>
      <c r="D1102" s="89"/>
      <c r="E1102" s="89"/>
      <c r="F1102" s="93"/>
      <c r="G1102" s="81"/>
      <c r="H1102" s="81"/>
      <c r="I1102" s="81"/>
      <c r="J1102" s="81"/>
      <c r="K1102" s="81"/>
      <c r="L1102" s="81"/>
      <c r="M1102" s="81"/>
      <c r="N1102" s="81"/>
    </row>
    <row r="1103" spans="1:14" ht="14.25" customHeight="1" x14ac:dyDescent="0.25">
      <c r="A1103" s="95" t="s">
        <v>562</v>
      </c>
      <c r="B1103" s="96"/>
      <c r="C1103" s="92"/>
      <c r="D1103" s="92"/>
      <c r="E1103" s="92"/>
      <c r="F1103" s="92"/>
      <c r="G1103" s="81"/>
      <c r="H1103" s="81"/>
      <c r="I1103" s="81"/>
      <c r="J1103" s="81"/>
      <c r="K1103" s="81"/>
      <c r="L1103" s="81"/>
      <c r="M1103" s="81"/>
      <c r="N1103" s="81"/>
    </row>
    <row r="1104" spans="1:14" ht="14.25" customHeight="1" x14ac:dyDescent="0.25">
      <c r="A1104" s="97" t="s">
        <v>563</v>
      </c>
      <c r="B1104" s="98" t="s">
        <v>564</v>
      </c>
      <c r="C1104" s="98" t="s">
        <v>565</v>
      </c>
      <c r="D1104" s="98" t="s">
        <v>566</v>
      </c>
      <c r="E1104" s="98" t="s">
        <v>567</v>
      </c>
      <c r="F1104" s="98" t="s">
        <v>568</v>
      </c>
      <c r="G1104" s="81"/>
      <c r="H1104" s="81"/>
      <c r="I1104" s="81"/>
      <c r="J1104" s="81"/>
      <c r="K1104" s="81"/>
      <c r="L1104" s="81"/>
      <c r="M1104" s="81"/>
      <c r="N1104" s="81"/>
    </row>
    <row r="1105" spans="1:14" ht="14.25" customHeight="1" x14ac:dyDescent="0.25">
      <c r="A1105" s="99"/>
      <c r="B1105" s="100"/>
      <c r="C1105" s="101"/>
      <c r="D1105" s="104"/>
      <c r="E1105" s="102"/>
      <c r="F1105" s="101">
        <f t="shared" ref="F1105:F1110" si="59">C1105*(D1105+(D1105*E1105))</f>
        <v>0</v>
      </c>
      <c r="G1105" s="81"/>
      <c r="H1105" s="81"/>
      <c r="I1105" s="81"/>
      <c r="J1105" s="81"/>
      <c r="K1105" s="81"/>
      <c r="L1105" s="81"/>
      <c r="M1105" s="81"/>
      <c r="N1105" s="81"/>
    </row>
    <row r="1106" spans="1:14" ht="14.25" customHeight="1" x14ac:dyDescent="0.25">
      <c r="A1106" s="99"/>
      <c r="B1106" s="100"/>
      <c r="C1106" s="101"/>
      <c r="D1106" s="104"/>
      <c r="E1106" s="102"/>
      <c r="F1106" s="101">
        <f t="shared" si="59"/>
        <v>0</v>
      </c>
      <c r="G1106" s="81"/>
      <c r="H1106" s="81"/>
      <c r="I1106" s="81"/>
      <c r="J1106" s="81"/>
      <c r="K1106" s="81"/>
      <c r="L1106" s="81"/>
      <c r="M1106" s="81"/>
      <c r="N1106" s="81"/>
    </row>
    <row r="1107" spans="1:14" ht="14.25" customHeight="1" x14ac:dyDescent="0.25">
      <c r="A1107" s="99"/>
      <c r="B1107" s="100"/>
      <c r="C1107" s="101"/>
      <c r="D1107" s="104"/>
      <c r="E1107" s="102"/>
      <c r="F1107" s="101">
        <f t="shared" si="59"/>
        <v>0</v>
      </c>
      <c r="G1107" s="81"/>
      <c r="H1107" s="81"/>
      <c r="I1107" s="81"/>
      <c r="J1107" s="81"/>
      <c r="K1107" s="81"/>
      <c r="L1107" s="81"/>
      <c r="M1107" s="81"/>
      <c r="N1107" s="81"/>
    </row>
    <row r="1108" spans="1:14" ht="14.25" customHeight="1" x14ac:dyDescent="0.25">
      <c r="A1108" s="99"/>
      <c r="B1108" s="100"/>
      <c r="C1108" s="101"/>
      <c r="D1108" s="104"/>
      <c r="E1108" s="102"/>
      <c r="F1108" s="101">
        <f t="shared" si="59"/>
        <v>0</v>
      </c>
      <c r="G1108" s="81"/>
      <c r="H1108" s="81"/>
      <c r="I1108" s="81"/>
      <c r="J1108" s="81"/>
      <c r="K1108" s="81"/>
      <c r="L1108" s="81"/>
      <c r="M1108" s="81"/>
      <c r="N1108" s="81"/>
    </row>
    <row r="1109" spans="1:14" ht="14.25" customHeight="1" x14ac:dyDescent="0.25">
      <c r="A1109" s="99"/>
      <c r="B1109" s="100"/>
      <c r="C1109" s="101"/>
      <c r="D1109" s="104"/>
      <c r="E1109" s="102"/>
      <c r="F1109" s="101">
        <f t="shared" si="59"/>
        <v>0</v>
      </c>
      <c r="G1109" s="81"/>
      <c r="H1109" s="81"/>
      <c r="I1109" s="81"/>
      <c r="J1109" s="81"/>
      <c r="K1109" s="81"/>
      <c r="L1109" s="81"/>
      <c r="M1109" s="81"/>
      <c r="N1109" s="81"/>
    </row>
    <row r="1110" spans="1:14" ht="14.25" customHeight="1" x14ac:dyDescent="0.25">
      <c r="A1110" s="99"/>
      <c r="B1110" s="100"/>
      <c r="C1110" s="101"/>
      <c r="D1110" s="104"/>
      <c r="E1110" s="102"/>
      <c r="F1110" s="101">
        <f t="shared" si="59"/>
        <v>0</v>
      </c>
      <c r="G1110" s="81"/>
      <c r="H1110" s="81"/>
      <c r="I1110" s="81"/>
      <c r="J1110" s="81"/>
      <c r="K1110" s="81"/>
      <c r="L1110" s="81"/>
      <c r="M1110" s="81"/>
      <c r="N1110" s="81"/>
    </row>
    <row r="1111" spans="1:14" ht="14.25" customHeight="1" x14ac:dyDescent="0.25">
      <c r="A1111" s="99"/>
      <c r="B1111" s="100"/>
      <c r="C1111" s="106"/>
      <c r="D1111" s="107"/>
      <c r="E1111" s="108"/>
      <c r="F1111" s="106"/>
      <c r="G1111" s="81"/>
      <c r="H1111" s="81"/>
      <c r="I1111" s="81"/>
      <c r="J1111" s="81"/>
      <c r="K1111" s="81"/>
      <c r="L1111" s="81"/>
      <c r="M1111" s="81"/>
      <c r="N1111" s="81"/>
    </row>
    <row r="1112" spans="1:14" ht="14.25" customHeight="1" x14ac:dyDescent="0.25">
      <c r="A1112" s="97" t="s">
        <v>548</v>
      </c>
      <c r="B1112" s="97"/>
      <c r="C1112" s="109"/>
      <c r="D1112" s="110"/>
      <c r="E1112" s="111"/>
      <c r="F1112" s="112">
        <f>SUM(F1105:F1111)</f>
        <v>0</v>
      </c>
      <c r="G1112" s="81"/>
      <c r="H1112" s="81"/>
      <c r="I1112" s="81"/>
      <c r="J1112" s="81"/>
      <c r="K1112" s="81"/>
      <c r="L1112" s="81"/>
      <c r="M1112" s="81"/>
      <c r="N1112" s="81"/>
    </row>
    <row r="1113" spans="1:14" ht="14.25" customHeight="1" x14ac:dyDescent="0.25">
      <c r="A1113" s="88"/>
      <c r="B1113" s="88"/>
      <c r="C1113" s="113"/>
      <c r="D1113" s="113"/>
      <c r="E1113" s="114"/>
      <c r="F1113" s="113"/>
      <c r="G1113" s="81"/>
      <c r="H1113" s="81"/>
      <c r="I1113" s="81"/>
      <c r="J1113" s="81"/>
      <c r="K1113" s="81"/>
      <c r="L1113" s="81"/>
      <c r="M1113" s="81"/>
      <c r="N1113" s="81"/>
    </row>
    <row r="1114" spans="1:14" ht="14.25" customHeight="1" x14ac:dyDescent="0.25">
      <c r="A1114" s="96" t="s">
        <v>573</v>
      </c>
      <c r="B1114" s="96"/>
      <c r="C1114" s="92"/>
      <c r="D1114" s="92"/>
      <c r="E1114" s="92"/>
      <c r="F1114" s="92"/>
      <c r="G1114" s="81"/>
      <c r="H1114" s="81"/>
      <c r="I1114" s="81"/>
      <c r="J1114" s="81"/>
      <c r="K1114" s="81"/>
      <c r="L1114" s="81"/>
      <c r="M1114" s="81"/>
      <c r="N1114" s="81"/>
    </row>
    <row r="1115" spans="1:14" ht="14.25" customHeight="1" x14ac:dyDescent="0.25">
      <c r="A1115" s="611" t="s">
        <v>563</v>
      </c>
      <c r="B1115" s="608"/>
      <c r="C1115" s="609"/>
      <c r="D1115" s="98" t="s">
        <v>574</v>
      </c>
      <c r="E1115" s="98" t="s">
        <v>575</v>
      </c>
      <c r="F1115" s="98" t="s">
        <v>568</v>
      </c>
      <c r="G1115" s="81"/>
      <c r="H1115" s="81"/>
      <c r="I1115" s="81"/>
      <c r="J1115" s="81"/>
      <c r="K1115" s="81"/>
      <c r="L1115" s="81"/>
      <c r="M1115" s="81"/>
      <c r="N1115" s="81"/>
    </row>
    <row r="1116" spans="1:14" ht="14.25" customHeight="1" x14ac:dyDescent="0.25">
      <c r="A1116" s="607" t="s">
        <v>577</v>
      </c>
      <c r="B1116" s="608"/>
      <c r="C1116" s="609"/>
      <c r="D1116" s="116"/>
      <c r="E1116" s="107"/>
      <c r="F1116" s="106">
        <f>+F1128*5%</f>
        <v>493.82587702010244</v>
      </c>
      <c r="G1116" s="81"/>
      <c r="H1116" s="81"/>
      <c r="I1116" s="81"/>
      <c r="J1116" s="81"/>
      <c r="K1116" s="81"/>
      <c r="L1116" s="81"/>
      <c r="M1116" s="81"/>
      <c r="N1116" s="81"/>
    </row>
    <row r="1117" spans="1:14" ht="14.25" customHeight="1" x14ac:dyDescent="0.25">
      <c r="A1117" s="607"/>
      <c r="B1117" s="608"/>
      <c r="C1117" s="609"/>
      <c r="D1117" s="142"/>
      <c r="E1117" s="107"/>
      <c r="F1117" s="106"/>
      <c r="G1117" s="81"/>
      <c r="H1117" s="81"/>
      <c r="I1117" s="81"/>
      <c r="J1117" s="81"/>
      <c r="K1117" s="81"/>
      <c r="L1117" s="81"/>
      <c r="M1117" s="81"/>
      <c r="N1117" s="81"/>
    </row>
    <row r="1118" spans="1:14" ht="14.25" customHeight="1" x14ac:dyDescent="0.25">
      <c r="A1118" s="607"/>
      <c r="B1118" s="608"/>
      <c r="C1118" s="609"/>
      <c r="D1118" s="142"/>
      <c r="E1118" s="107"/>
      <c r="F1118" s="106"/>
      <c r="G1118" s="81"/>
      <c r="H1118" s="81"/>
      <c r="I1118" s="81"/>
      <c r="J1118" s="81"/>
      <c r="K1118" s="81"/>
      <c r="L1118" s="81"/>
      <c r="M1118" s="81"/>
      <c r="N1118" s="81"/>
    </row>
    <row r="1119" spans="1:14" ht="14.25" customHeight="1" x14ac:dyDescent="0.25">
      <c r="A1119" s="610"/>
      <c r="B1119" s="608"/>
      <c r="C1119" s="609"/>
      <c r="D1119" s="115"/>
      <c r="E1119" s="107"/>
      <c r="F1119" s="106"/>
      <c r="G1119" s="81"/>
      <c r="H1119" s="81"/>
      <c r="I1119" s="81"/>
      <c r="J1119" s="81"/>
      <c r="K1119" s="81"/>
      <c r="L1119" s="81"/>
      <c r="M1119" s="81"/>
      <c r="N1119" s="81"/>
    </row>
    <row r="1120" spans="1:14" ht="14.25" customHeight="1" x14ac:dyDescent="0.25">
      <c r="A1120" s="611" t="s">
        <v>548</v>
      </c>
      <c r="B1120" s="608"/>
      <c r="C1120" s="609"/>
      <c r="D1120" s="110"/>
      <c r="E1120" s="110"/>
      <c r="F1120" s="112">
        <f>SUM(F1116:F1118)</f>
        <v>493.82587702010244</v>
      </c>
      <c r="G1120" s="81"/>
      <c r="H1120" s="81"/>
      <c r="I1120" s="81"/>
      <c r="J1120" s="81"/>
      <c r="K1120" s="81"/>
      <c r="L1120" s="81"/>
      <c r="M1120" s="81"/>
      <c r="N1120" s="81"/>
    </row>
    <row r="1121" spans="1:14" ht="14.25" customHeight="1" x14ac:dyDescent="0.25">
      <c r="A1121" s="88"/>
      <c r="B1121" s="88"/>
      <c r="C1121" s="89"/>
      <c r="D1121" s="113"/>
      <c r="E1121" s="113"/>
      <c r="F1121" s="113"/>
      <c r="G1121" s="81"/>
      <c r="H1121" s="81"/>
      <c r="I1121" s="81"/>
      <c r="J1121" s="81"/>
      <c r="K1121" s="81"/>
      <c r="L1121" s="81"/>
      <c r="M1121" s="81"/>
      <c r="N1121" s="81"/>
    </row>
    <row r="1122" spans="1:14" ht="14.25" customHeight="1" x14ac:dyDescent="0.25">
      <c r="A1122" s="96" t="s">
        <v>578</v>
      </c>
      <c r="B1122" s="96"/>
      <c r="C1122" s="92"/>
      <c r="D1122" s="118"/>
      <c r="E1122" s="118"/>
      <c r="F1122" s="118"/>
      <c r="G1122" s="81"/>
      <c r="H1122" s="81"/>
      <c r="I1122" s="81"/>
      <c r="J1122" s="81"/>
      <c r="K1122" s="81"/>
      <c r="L1122" s="81"/>
      <c r="M1122" s="81"/>
      <c r="N1122" s="81"/>
    </row>
    <row r="1123" spans="1:14" ht="14.25" customHeight="1" x14ac:dyDescent="0.25">
      <c r="A1123" s="119" t="s">
        <v>563</v>
      </c>
      <c r="B1123" s="120" t="s">
        <v>579</v>
      </c>
      <c r="C1123" s="120" t="s">
        <v>580</v>
      </c>
      <c r="D1123" s="121" t="s">
        <v>581</v>
      </c>
      <c r="E1123" s="121" t="s">
        <v>575</v>
      </c>
      <c r="F1123" s="121" t="s">
        <v>568</v>
      </c>
      <c r="G1123" s="81"/>
      <c r="H1123" s="81"/>
      <c r="I1123" s="81"/>
      <c r="J1123" s="81"/>
      <c r="K1123" s="81"/>
      <c r="L1123" s="81"/>
      <c r="M1123" s="81"/>
      <c r="N1123" s="81"/>
    </row>
    <row r="1124" spans="1:14" ht="14.25" customHeight="1" x14ac:dyDescent="0.25">
      <c r="A1124" s="122" t="s">
        <v>593</v>
      </c>
      <c r="B1124" s="127">
        <v>2</v>
      </c>
      <c r="C1124" s="101">
        <v>32688</v>
      </c>
      <c r="D1124" s="101">
        <f t="shared" ref="D1124:D1125" si="60">+C1124*1.7</f>
        <v>55569.599999999999</v>
      </c>
      <c r="E1124" s="144">
        <v>20.295999999999999</v>
      </c>
      <c r="F1124" s="106">
        <f t="shared" ref="F1124:F1125" si="61">+B1124*(D1124)/E1124</f>
        <v>5475.9164367363028</v>
      </c>
      <c r="G1124" s="81"/>
      <c r="H1124" s="81"/>
      <c r="I1124" s="81"/>
      <c r="J1124" s="81"/>
      <c r="K1124" s="81"/>
      <c r="L1124" s="81"/>
      <c r="M1124" s="81"/>
      <c r="N1124" s="81"/>
    </row>
    <row r="1125" spans="1:14" ht="14.25" customHeight="1" x14ac:dyDescent="0.25">
      <c r="A1125" s="122" t="s">
        <v>594</v>
      </c>
      <c r="B1125" s="127">
        <v>1</v>
      </c>
      <c r="C1125" s="101">
        <v>52538</v>
      </c>
      <c r="D1125" s="101">
        <f t="shared" si="60"/>
        <v>89314.599999999991</v>
      </c>
      <c r="E1125" s="144">
        <f>E1124</f>
        <v>20.295999999999999</v>
      </c>
      <c r="F1125" s="106">
        <f t="shared" si="61"/>
        <v>4400.6011036657465</v>
      </c>
      <c r="G1125" s="81"/>
      <c r="H1125" s="81"/>
      <c r="I1125" s="81"/>
      <c r="J1125" s="81"/>
      <c r="K1125" s="81"/>
      <c r="L1125" s="81"/>
      <c r="M1125" s="81"/>
      <c r="N1125" s="81"/>
    </row>
    <row r="1126" spans="1:14" ht="14.25" customHeight="1" x14ac:dyDescent="0.25">
      <c r="A1126" s="122"/>
      <c r="B1126" s="127"/>
      <c r="C1126" s="101"/>
      <c r="D1126" s="101"/>
      <c r="E1126" s="107"/>
      <c r="F1126" s="106"/>
      <c r="G1126" s="81"/>
      <c r="H1126" s="81"/>
      <c r="I1126" s="81"/>
      <c r="J1126" s="81"/>
      <c r="K1126" s="81"/>
      <c r="L1126" s="81"/>
      <c r="M1126" s="81"/>
      <c r="N1126" s="81"/>
    </row>
    <row r="1127" spans="1:14" ht="14.25" customHeight="1" x14ac:dyDescent="0.25">
      <c r="A1127" s="122"/>
      <c r="B1127" s="127"/>
      <c r="C1127" s="101"/>
      <c r="D1127" s="101"/>
      <c r="E1127" s="125"/>
      <c r="F1127" s="106"/>
      <c r="G1127" s="81"/>
      <c r="H1127" s="81"/>
      <c r="I1127" s="81"/>
      <c r="J1127" s="81"/>
      <c r="K1127" s="81"/>
      <c r="L1127" s="81"/>
      <c r="M1127" s="81"/>
      <c r="N1127" s="81"/>
    </row>
    <row r="1128" spans="1:14" ht="14.25" customHeight="1" x14ac:dyDescent="0.25">
      <c r="A1128" s="97" t="s">
        <v>548</v>
      </c>
      <c r="B1128" s="128"/>
      <c r="C1128" s="110"/>
      <c r="D1128" s="110"/>
      <c r="E1128" s="110"/>
      <c r="F1128" s="112">
        <f>SUM(F1124:F1127)</f>
        <v>9876.5175404020483</v>
      </c>
      <c r="G1128" s="81"/>
      <c r="H1128" s="81"/>
      <c r="I1128" s="81"/>
      <c r="J1128" s="81"/>
      <c r="K1128" s="81"/>
      <c r="L1128" s="81"/>
      <c r="M1128" s="81"/>
      <c r="N1128" s="81"/>
    </row>
    <row r="1129" spans="1:14" ht="14.25" customHeight="1" x14ac:dyDescent="0.25">
      <c r="A1129" s="96"/>
      <c r="B1129" s="129"/>
      <c r="C1129" s="118"/>
      <c r="D1129" s="118"/>
      <c r="E1129" s="118"/>
      <c r="F1129" s="118"/>
      <c r="G1129" s="81"/>
      <c r="H1129" s="81"/>
      <c r="I1129" s="81"/>
      <c r="J1129" s="81"/>
      <c r="K1129" s="81"/>
      <c r="L1129" s="81"/>
      <c r="M1129" s="81"/>
      <c r="N1129" s="81"/>
    </row>
    <row r="1130" spans="1:14" ht="14.25" customHeight="1" x14ac:dyDescent="0.25">
      <c r="A1130" s="95" t="s">
        <v>583</v>
      </c>
      <c r="B1130" s="96"/>
      <c r="C1130" s="92"/>
      <c r="D1130" s="92"/>
      <c r="E1130" s="92" t="s">
        <v>584</v>
      </c>
      <c r="F1130" s="92"/>
      <c r="G1130" s="81"/>
      <c r="H1130" s="81"/>
      <c r="I1130" s="81"/>
      <c r="J1130" s="81"/>
      <c r="K1130" s="81"/>
      <c r="L1130" s="81"/>
      <c r="M1130" s="81"/>
      <c r="N1130" s="81"/>
    </row>
    <row r="1131" spans="1:14" ht="14.25" customHeight="1" x14ac:dyDescent="0.25">
      <c r="A1131" s="97" t="s">
        <v>563</v>
      </c>
      <c r="B1131" s="98" t="s">
        <v>564</v>
      </c>
      <c r="C1131" s="98" t="s">
        <v>585</v>
      </c>
      <c r="D1131" s="98" t="s">
        <v>586</v>
      </c>
      <c r="E1131" s="120" t="s">
        <v>587</v>
      </c>
      <c r="F1131" s="98" t="s">
        <v>568</v>
      </c>
      <c r="G1131" s="81"/>
      <c r="H1131" s="81"/>
      <c r="I1131" s="81"/>
      <c r="J1131" s="81"/>
      <c r="K1131" s="81"/>
      <c r="L1131" s="81"/>
      <c r="M1131" s="81"/>
      <c r="N1131" s="81"/>
    </row>
    <row r="1132" spans="1:14" ht="14.25" customHeight="1" x14ac:dyDescent="0.25">
      <c r="A1132" s="103" t="s">
        <v>604</v>
      </c>
      <c r="B1132" s="100" t="s">
        <v>605</v>
      </c>
      <c r="C1132" s="101">
        <v>1000</v>
      </c>
      <c r="D1132" s="140">
        <v>2.2000000000000002</v>
      </c>
      <c r="E1132" s="107">
        <v>1</v>
      </c>
      <c r="F1132" s="109">
        <f>+C1132*D1132*E1132</f>
        <v>2200</v>
      </c>
      <c r="G1132" s="81"/>
      <c r="H1132" s="81"/>
      <c r="I1132" s="81"/>
      <c r="J1132" s="81"/>
      <c r="K1132" s="81"/>
      <c r="L1132" s="81"/>
      <c r="M1132" s="81"/>
      <c r="N1132" s="81"/>
    </row>
    <row r="1133" spans="1:14" ht="14.25" customHeight="1" x14ac:dyDescent="0.25">
      <c r="A1133" s="103"/>
      <c r="B1133" s="100"/>
      <c r="C1133" s="107"/>
      <c r="D1133" s="107"/>
      <c r="E1133" s="108"/>
      <c r="F1133" s="109"/>
      <c r="G1133" s="81"/>
      <c r="H1133" s="81"/>
      <c r="I1133" s="81"/>
      <c r="J1133" s="81"/>
      <c r="K1133" s="81"/>
      <c r="L1133" s="81"/>
      <c r="M1133" s="81"/>
      <c r="N1133" s="81"/>
    </row>
    <row r="1134" spans="1:14" ht="14.25" customHeight="1" x14ac:dyDescent="0.25">
      <c r="A1134" s="97" t="s">
        <v>548</v>
      </c>
      <c r="B1134" s="98"/>
      <c r="C1134" s="110"/>
      <c r="D1134" s="110"/>
      <c r="E1134" s="111"/>
      <c r="F1134" s="112">
        <f>SUM(F1132:F1133)</f>
        <v>2200</v>
      </c>
      <c r="G1134" s="81"/>
      <c r="H1134" s="81"/>
      <c r="I1134" s="81"/>
      <c r="J1134" s="81"/>
      <c r="K1134" s="81"/>
      <c r="L1134" s="81"/>
      <c r="M1134" s="81"/>
      <c r="N1134" s="81"/>
    </row>
    <row r="1135" spans="1:14" ht="14.25" customHeight="1" x14ac:dyDescent="0.25">
      <c r="A1135" s="88"/>
      <c r="B1135" s="89"/>
      <c r="C1135" s="113"/>
      <c r="D1135" s="113"/>
      <c r="E1135" s="114"/>
      <c r="F1135" s="113"/>
      <c r="G1135" s="81"/>
      <c r="H1135" s="81"/>
      <c r="I1135" s="81"/>
      <c r="J1135" s="81"/>
      <c r="K1135" s="81"/>
      <c r="L1135" s="81"/>
      <c r="M1135" s="81"/>
      <c r="N1135" s="81"/>
    </row>
    <row r="1136" spans="1:14" ht="14.25" customHeight="1" x14ac:dyDescent="0.25">
      <c r="A1136" s="88"/>
      <c r="B1136" s="89"/>
      <c r="C1136" s="113"/>
      <c r="D1136" s="113"/>
      <c r="E1136" s="114"/>
      <c r="F1136" s="113"/>
      <c r="G1136" s="81"/>
      <c r="H1136" s="81"/>
      <c r="I1136" s="81"/>
      <c r="J1136" s="81"/>
      <c r="K1136" s="81"/>
      <c r="L1136" s="81"/>
      <c r="M1136" s="81"/>
      <c r="N1136" s="81"/>
    </row>
    <row r="1137" spans="1:14" ht="14.25" customHeight="1" x14ac:dyDescent="0.25">
      <c r="A1137" s="612" t="s">
        <v>588</v>
      </c>
      <c r="B1137" s="608"/>
      <c r="C1137" s="608"/>
      <c r="D1137" s="608"/>
      <c r="E1137" s="609"/>
      <c r="F1137" s="131">
        <f>ROUND(F1112+F1120+F1128+F1134,0)</f>
        <v>12570</v>
      </c>
      <c r="G1137" s="81"/>
      <c r="H1137" s="117"/>
      <c r="I1137" s="81"/>
      <c r="J1137" s="81"/>
      <c r="K1137" s="81"/>
      <c r="L1137" s="81"/>
      <c r="M1137" s="81"/>
      <c r="N1137" s="81"/>
    </row>
    <row r="1138" spans="1:14" ht="14.25" customHeight="1" x14ac:dyDescent="0.25">
      <c r="A1138" s="612" t="s">
        <v>589</v>
      </c>
      <c r="B1138" s="608"/>
      <c r="C1138" s="608"/>
      <c r="D1138" s="608"/>
      <c r="E1138" s="609"/>
      <c r="F1138" s="132"/>
      <c r="G1138" s="81"/>
      <c r="H1138" s="81"/>
      <c r="I1138" s="81"/>
      <c r="J1138" s="81"/>
      <c r="K1138" s="81"/>
      <c r="L1138" s="81"/>
      <c r="M1138" s="81"/>
      <c r="N1138" s="81"/>
    </row>
    <row r="1139" spans="1:14" ht="14.25" customHeight="1" x14ac:dyDescent="0.25">
      <c r="A1139" s="612" t="s">
        <v>556</v>
      </c>
      <c r="B1139" s="608"/>
      <c r="C1139" s="608"/>
      <c r="D1139" s="608"/>
      <c r="E1139" s="609"/>
      <c r="F1139" s="133"/>
      <c r="G1139" s="81"/>
      <c r="H1139" s="81"/>
      <c r="I1139" s="81"/>
      <c r="J1139" s="81"/>
      <c r="K1139" s="81"/>
      <c r="L1139" s="81"/>
      <c r="M1139" s="81"/>
      <c r="N1139" s="81"/>
    </row>
    <row r="1140" spans="1:14" ht="14.25" customHeight="1" x14ac:dyDescent="0.25">
      <c r="A1140" s="134"/>
      <c r="B1140" s="135"/>
      <c r="C1140" s="135"/>
      <c r="D1140" s="135"/>
      <c r="E1140" s="135"/>
      <c r="F1140" s="136"/>
      <c r="G1140" s="81"/>
      <c r="H1140" s="81"/>
      <c r="I1140" s="81"/>
      <c r="J1140" s="81"/>
      <c r="K1140" s="81"/>
      <c r="L1140" s="81"/>
      <c r="M1140" s="81"/>
      <c r="N1140" s="81"/>
    </row>
    <row r="1141" spans="1:14" ht="14.25" customHeight="1" x14ac:dyDescent="0.25">
      <c r="A1141" s="81"/>
      <c r="B1141" s="81"/>
      <c r="C1141" s="137"/>
      <c r="D1141" s="81"/>
      <c r="E1141" s="81"/>
      <c r="F1141" s="81"/>
      <c r="G1141" s="81"/>
      <c r="H1141" s="81"/>
      <c r="I1141" s="81"/>
      <c r="J1141" s="81"/>
      <c r="K1141" s="81"/>
      <c r="L1141" s="81"/>
      <c r="M1141" s="81"/>
      <c r="N1141" s="81"/>
    </row>
    <row r="1142" spans="1:14" ht="14.25" customHeight="1" x14ac:dyDescent="0.25">
      <c r="A1142" s="81"/>
      <c r="B1142" s="81"/>
      <c r="C1142" s="137"/>
      <c r="D1142" s="81"/>
      <c r="E1142" s="81"/>
      <c r="F1142" s="81"/>
      <c r="G1142" s="81"/>
      <c r="H1142" s="81"/>
      <c r="I1142" s="81"/>
      <c r="J1142" s="81"/>
      <c r="K1142" s="81"/>
      <c r="L1142" s="81"/>
      <c r="M1142" s="81"/>
      <c r="N1142" s="81"/>
    </row>
    <row r="1143" spans="1:14" ht="14.25" customHeight="1" x14ac:dyDescent="0.25">
      <c r="A1143" s="81"/>
      <c r="B1143" s="81"/>
      <c r="C1143" s="137"/>
      <c r="D1143" s="81"/>
      <c r="E1143" s="81"/>
      <c r="F1143" s="81"/>
      <c r="G1143" s="81"/>
      <c r="H1143" s="81"/>
      <c r="I1143" s="81"/>
      <c r="J1143" s="81"/>
      <c r="K1143" s="81"/>
      <c r="L1143" s="81"/>
      <c r="M1143" s="81"/>
      <c r="N1143" s="81"/>
    </row>
    <row r="1144" spans="1:14" ht="14.25" customHeight="1" x14ac:dyDescent="0.25">
      <c r="A1144" s="81"/>
      <c r="B1144" s="81"/>
      <c r="C1144" s="137"/>
      <c r="D1144" s="81"/>
      <c r="E1144" s="81"/>
      <c r="F1144" s="81"/>
      <c r="G1144" s="81"/>
      <c r="H1144" s="81"/>
      <c r="I1144" s="81"/>
      <c r="J1144" s="81"/>
      <c r="K1144" s="81"/>
      <c r="L1144" s="81"/>
      <c r="M1144" s="81"/>
      <c r="N1144" s="81"/>
    </row>
    <row r="1145" spans="1:14" ht="14.25" customHeight="1" x14ac:dyDescent="0.25">
      <c r="A1145" s="81"/>
      <c r="B1145" s="81"/>
      <c r="C1145" s="137"/>
      <c r="D1145" s="81"/>
      <c r="E1145" s="81"/>
      <c r="F1145" s="81"/>
      <c r="G1145" s="81"/>
      <c r="H1145" s="81"/>
      <c r="I1145" s="81"/>
      <c r="J1145" s="81"/>
      <c r="K1145" s="81"/>
      <c r="L1145" s="81"/>
      <c r="M1145" s="81"/>
      <c r="N1145" s="81"/>
    </row>
    <row r="1146" spans="1:14" ht="14.25" customHeight="1" x14ac:dyDescent="0.25">
      <c r="A1146" s="81"/>
      <c r="B1146" s="81"/>
      <c r="C1146" s="137"/>
      <c r="D1146" s="81"/>
      <c r="E1146" s="81"/>
      <c r="F1146" s="81"/>
      <c r="G1146" s="81"/>
      <c r="H1146" s="81"/>
      <c r="I1146" s="81"/>
      <c r="J1146" s="81"/>
      <c r="K1146" s="81"/>
      <c r="L1146" s="81"/>
      <c r="M1146" s="81"/>
      <c r="N1146" s="81"/>
    </row>
    <row r="1147" spans="1:14" ht="14.25" customHeight="1" x14ac:dyDescent="0.25">
      <c r="A1147" s="134"/>
      <c r="B1147" s="135"/>
      <c r="C1147" s="135"/>
      <c r="D1147" s="135"/>
      <c r="E1147" s="135"/>
      <c r="F1147" s="136"/>
      <c r="G1147" s="81"/>
      <c r="H1147" s="81"/>
      <c r="I1147" s="81"/>
      <c r="J1147" s="81"/>
      <c r="K1147" s="81"/>
      <c r="L1147" s="81"/>
      <c r="M1147" s="81"/>
      <c r="N1147" s="81"/>
    </row>
    <row r="1148" spans="1:14" ht="14.25" customHeight="1" x14ac:dyDescent="0.25">
      <c r="A1148" s="134"/>
      <c r="B1148" s="135"/>
      <c r="C1148" s="135"/>
      <c r="D1148" s="135"/>
      <c r="E1148" s="135"/>
      <c r="F1148" s="136"/>
      <c r="G1148" s="81"/>
      <c r="H1148" s="81"/>
      <c r="I1148" s="81"/>
      <c r="J1148" s="81"/>
      <c r="K1148" s="81"/>
      <c r="L1148" s="81"/>
      <c r="M1148" s="81"/>
      <c r="N1148" s="81"/>
    </row>
    <row r="1149" spans="1:14" ht="14.25" customHeight="1" x14ac:dyDescent="0.25">
      <c r="A1149" s="134"/>
      <c r="B1149" s="135"/>
      <c r="C1149" s="135"/>
      <c r="D1149" s="135"/>
      <c r="E1149" s="135"/>
      <c r="F1149" s="136"/>
      <c r="G1149" s="81"/>
      <c r="H1149" s="81"/>
      <c r="I1149" s="81"/>
      <c r="J1149" s="81"/>
      <c r="K1149" s="81"/>
      <c r="L1149" s="81"/>
      <c r="M1149" s="81"/>
      <c r="N1149" s="81"/>
    </row>
    <row r="1150" spans="1:14" ht="14.25" customHeight="1" thickBot="1" x14ac:dyDescent="0.3">
      <c r="A1150" s="81"/>
      <c r="B1150" s="81"/>
      <c r="C1150" s="81"/>
      <c r="D1150" s="81"/>
      <c r="E1150" s="81"/>
      <c r="F1150" s="81"/>
      <c r="G1150" s="81"/>
      <c r="H1150" s="81"/>
      <c r="I1150" s="81"/>
      <c r="J1150" s="81"/>
      <c r="K1150" s="81"/>
      <c r="L1150" s="81"/>
      <c r="M1150" s="81"/>
      <c r="N1150" s="81"/>
    </row>
    <row r="1151" spans="1:14" ht="14.25" customHeight="1" x14ac:dyDescent="0.25">
      <c r="A1151" s="83"/>
      <c r="B1151" s="84"/>
      <c r="C1151" s="85"/>
      <c r="D1151" s="86"/>
      <c r="E1151" s="86"/>
      <c r="F1151" s="87"/>
      <c r="G1151" s="81"/>
      <c r="H1151" s="81"/>
      <c r="I1151" s="81"/>
      <c r="J1151" s="81"/>
      <c r="K1151" s="81"/>
      <c r="L1151" s="81"/>
      <c r="M1151" s="81"/>
      <c r="N1151" s="81"/>
    </row>
    <row r="1152" spans="1:14" ht="14.25" customHeight="1" x14ac:dyDescent="0.25">
      <c r="A1152" s="599"/>
      <c r="B1152" s="600"/>
      <c r="C1152" s="600"/>
      <c r="D1152" s="600"/>
      <c r="E1152" s="600"/>
      <c r="F1152" s="601"/>
      <c r="G1152" s="81"/>
      <c r="H1152" s="81"/>
      <c r="I1152" s="81"/>
      <c r="J1152" s="81"/>
      <c r="K1152" s="81"/>
      <c r="L1152" s="81"/>
      <c r="M1152" s="81"/>
      <c r="N1152" s="81"/>
    </row>
    <row r="1153" spans="1:14" ht="14.25" customHeight="1" x14ac:dyDescent="0.25">
      <c r="A1153" s="602" t="s">
        <v>561</v>
      </c>
      <c r="B1153" s="600"/>
      <c r="C1153" s="600"/>
      <c r="D1153" s="600"/>
      <c r="E1153" s="600"/>
      <c r="F1153" s="601"/>
      <c r="G1153" s="81"/>
      <c r="H1153" s="81"/>
      <c r="I1153" s="81"/>
      <c r="J1153" s="81"/>
      <c r="K1153" s="81"/>
      <c r="L1153" s="81"/>
      <c r="M1153" s="81"/>
      <c r="N1153" s="81"/>
    </row>
    <row r="1154" spans="1:14" ht="14.25" customHeight="1" thickBot="1" x14ac:dyDescent="0.3">
      <c r="A1154" s="603"/>
      <c r="B1154" s="604"/>
      <c r="C1154" s="604"/>
      <c r="D1154" s="604"/>
      <c r="E1154" s="604"/>
      <c r="F1154" s="605"/>
      <c r="G1154" s="81"/>
      <c r="H1154" s="81"/>
      <c r="I1154" s="81"/>
      <c r="J1154" s="81"/>
      <c r="K1154" s="81"/>
      <c r="L1154" s="81"/>
      <c r="M1154" s="81"/>
      <c r="N1154" s="81"/>
    </row>
    <row r="1155" spans="1:14" ht="14.25" customHeight="1" x14ac:dyDescent="0.25">
      <c r="A1155" s="88"/>
      <c r="B1155" s="88"/>
      <c r="C1155" s="89"/>
      <c r="D1155" s="89"/>
      <c r="E1155" s="89"/>
      <c r="F1155" s="89"/>
      <c r="G1155" s="81"/>
      <c r="H1155" s="81"/>
      <c r="I1155" s="81"/>
      <c r="J1155" s="81"/>
      <c r="K1155" s="81"/>
      <c r="L1155" s="81"/>
      <c r="M1155" s="81"/>
      <c r="N1155" s="81"/>
    </row>
    <row r="1156" spans="1:14" ht="14.25" customHeight="1" x14ac:dyDescent="0.25">
      <c r="A1156" s="90" t="s">
        <v>47</v>
      </c>
      <c r="B1156" s="613" t="s">
        <v>96</v>
      </c>
      <c r="C1156" s="600"/>
      <c r="D1156" s="600"/>
      <c r="E1156" s="600"/>
      <c r="F1156" s="600"/>
      <c r="G1156" s="81"/>
      <c r="H1156" s="81"/>
      <c r="I1156" s="81"/>
      <c r="J1156" s="81"/>
      <c r="K1156" s="81"/>
      <c r="L1156" s="81"/>
      <c r="M1156" s="81"/>
      <c r="N1156" s="81"/>
    </row>
    <row r="1157" spans="1:14" ht="14.25" customHeight="1" x14ac:dyDescent="0.25">
      <c r="A1157" s="91"/>
      <c r="B1157" s="91"/>
      <c r="C1157" s="91"/>
      <c r="D1157" s="91"/>
      <c r="E1157" s="91"/>
      <c r="F1157" s="91"/>
      <c r="G1157" s="81"/>
      <c r="H1157" s="81"/>
      <c r="I1157" s="81"/>
      <c r="J1157" s="81"/>
      <c r="K1157" s="81"/>
      <c r="L1157" s="81"/>
      <c r="M1157" s="81"/>
      <c r="N1157" s="81"/>
    </row>
    <row r="1158" spans="1:14" ht="14.25" customHeight="1" x14ac:dyDescent="0.25">
      <c r="A1158" s="88" t="s">
        <v>49</v>
      </c>
      <c r="B1158" s="92" t="s">
        <v>64</v>
      </c>
      <c r="C1158" s="89"/>
      <c r="D1158" s="89"/>
      <c r="E1158" s="89"/>
      <c r="F1158" s="93"/>
      <c r="G1158" s="81"/>
      <c r="H1158" s="81"/>
      <c r="I1158" s="81"/>
      <c r="J1158" s="81"/>
      <c r="K1158" s="81"/>
      <c r="L1158" s="81"/>
      <c r="M1158" s="81"/>
      <c r="N1158" s="81"/>
    </row>
    <row r="1159" spans="1:14" ht="14.25" customHeight="1" x14ac:dyDescent="0.25">
      <c r="A1159" s="88"/>
      <c r="B1159" s="94"/>
      <c r="C1159" s="89"/>
      <c r="D1159" s="89"/>
      <c r="E1159" s="89"/>
      <c r="F1159" s="93"/>
      <c r="G1159" s="81"/>
      <c r="H1159" s="81"/>
      <c r="I1159" s="81"/>
      <c r="J1159" s="81"/>
      <c r="K1159" s="81"/>
      <c r="L1159" s="81"/>
      <c r="M1159" s="81"/>
      <c r="N1159" s="81"/>
    </row>
    <row r="1160" spans="1:14" ht="14.25" customHeight="1" x14ac:dyDescent="0.25">
      <c r="A1160" s="95" t="s">
        <v>562</v>
      </c>
      <c r="B1160" s="96"/>
      <c r="C1160" s="92"/>
      <c r="D1160" s="92"/>
      <c r="E1160" s="92"/>
      <c r="F1160" s="92"/>
      <c r="G1160" s="81"/>
      <c r="H1160" s="81"/>
      <c r="I1160" s="81"/>
      <c r="J1160" s="81"/>
      <c r="K1160" s="81"/>
      <c r="L1160" s="81"/>
      <c r="M1160" s="81"/>
      <c r="N1160" s="81"/>
    </row>
    <row r="1161" spans="1:14" ht="14.25" customHeight="1" x14ac:dyDescent="0.25">
      <c r="A1161" s="97" t="s">
        <v>563</v>
      </c>
      <c r="B1161" s="98" t="s">
        <v>564</v>
      </c>
      <c r="C1161" s="98" t="s">
        <v>565</v>
      </c>
      <c r="D1161" s="98" t="s">
        <v>566</v>
      </c>
      <c r="E1161" s="98" t="s">
        <v>567</v>
      </c>
      <c r="F1161" s="98" t="s">
        <v>568</v>
      </c>
      <c r="G1161" s="81"/>
      <c r="H1161" s="81"/>
      <c r="I1161" s="81"/>
      <c r="J1161" s="81"/>
      <c r="K1161" s="81"/>
      <c r="L1161" s="81"/>
      <c r="M1161" s="81"/>
      <c r="N1161" s="81"/>
    </row>
    <row r="1162" spans="1:14" ht="14.25" customHeight="1" x14ac:dyDescent="0.25">
      <c r="A1162" s="99" t="s">
        <v>606</v>
      </c>
      <c r="B1162" s="100" t="s">
        <v>64</v>
      </c>
      <c r="C1162" s="101">
        <v>7500</v>
      </c>
      <c r="D1162" s="104">
        <v>1.3</v>
      </c>
      <c r="E1162" s="102"/>
      <c r="F1162" s="101">
        <f t="shared" ref="F1162:F1167" si="62">C1162*(D1162+(D1162*E1162))</f>
        <v>9750</v>
      </c>
      <c r="G1162" s="81"/>
      <c r="H1162" s="81"/>
      <c r="I1162" s="81"/>
      <c r="J1162" s="81"/>
      <c r="K1162" s="81"/>
      <c r="L1162" s="81"/>
      <c r="M1162" s="81"/>
      <c r="N1162" s="81"/>
    </row>
    <row r="1163" spans="1:14" ht="14.25" customHeight="1" x14ac:dyDescent="0.25">
      <c r="A1163" s="99"/>
      <c r="B1163" s="100"/>
      <c r="C1163" s="101"/>
      <c r="D1163" s="104"/>
      <c r="E1163" s="102"/>
      <c r="F1163" s="101">
        <f t="shared" si="62"/>
        <v>0</v>
      </c>
      <c r="G1163" s="81"/>
      <c r="H1163" s="81"/>
      <c r="I1163" s="81"/>
      <c r="J1163" s="81"/>
      <c r="K1163" s="81"/>
      <c r="L1163" s="81"/>
      <c r="M1163" s="81"/>
      <c r="N1163" s="81"/>
    </row>
    <row r="1164" spans="1:14" ht="14.25" customHeight="1" x14ac:dyDescent="0.25">
      <c r="A1164" s="99"/>
      <c r="B1164" s="100"/>
      <c r="C1164" s="101"/>
      <c r="D1164" s="104"/>
      <c r="E1164" s="102"/>
      <c r="F1164" s="101">
        <f t="shared" si="62"/>
        <v>0</v>
      </c>
      <c r="G1164" s="81"/>
      <c r="H1164" s="81"/>
      <c r="I1164" s="81"/>
      <c r="J1164" s="81"/>
      <c r="K1164" s="81"/>
      <c r="L1164" s="81"/>
      <c r="M1164" s="81"/>
      <c r="N1164" s="81"/>
    </row>
    <row r="1165" spans="1:14" ht="14.25" customHeight="1" x14ac:dyDescent="0.25">
      <c r="A1165" s="99"/>
      <c r="B1165" s="100"/>
      <c r="C1165" s="101"/>
      <c r="D1165" s="104"/>
      <c r="E1165" s="102"/>
      <c r="F1165" s="101">
        <f t="shared" si="62"/>
        <v>0</v>
      </c>
      <c r="G1165" s="81"/>
      <c r="H1165" s="81"/>
      <c r="I1165" s="81"/>
      <c r="J1165" s="81"/>
      <c r="K1165" s="81"/>
      <c r="L1165" s="81"/>
      <c r="M1165" s="81"/>
      <c r="N1165" s="81"/>
    </row>
    <row r="1166" spans="1:14" ht="14.25" customHeight="1" x14ac:dyDescent="0.25">
      <c r="A1166" s="99"/>
      <c r="B1166" s="100"/>
      <c r="C1166" s="101"/>
      <c r="D1166" s="104"/>
      <c r="E1166" s="102"/>
      <c r="F1166" s="101">
        <f t="shared" si="62"/>
        <v>0</v>
      </c>
      <c r="G1166" s="81"/>
      <c r="H1166" s="81"/>
      <c r="I1166" s="81"/>
      <c r="J1166" s="81"/>
      <c r="K1166" s="81"/>
      <c r="L1166" s="81"/>
      <c r="M1166" s="81"/>
      <c r="N1166" s="81"/>
    </row>
    <row r="1167" spans="1:14" ht="14.25" customHeight="1" x14ac:dyDescent="0.25">
      <c r="A1167" s="99"/>
      <c r="B1167" s="100"/>
      <c r="C1167" s="101"/>
      <c r="D1167" s="104"/>
      <c r="E1167" s="102"/>
      <c r="F1167" s="101">
        <f t="shared" si="62"/>
        <v>0</v>
      </c>
      <c r="G1167" s="81"/>
      <c r="H1167" s="81"/>
      <c r="I1167" s="81"/>
      <c r="J1167" s="81"/>
      <c r="K1167" s="81"/>
      <c r="L1167" s="81"/>
      <c r="M1167" s="81"/>
      <c r="N1167" s="81"/>
    </row>
    <row r="1168" spans="1:14" ht="14.25" customHeight="1" x14ac:dyDescent="0.25">
      <c r="A1168" s="99"/>
      <c r="B1168" s="100"/>
      <c r="C1168" s="106"/>
      <c r="D1168" s="107"/>
      <c r="E1168" s="108"/>
      <c r="F1168" s="106"/>
      <c r="G1168" s="81"/>
      <c r="H1168" s="81"/>
      <c r="I1168" s="81"/>
      <c r="J1168" s="81"/>
      <c r="K1168" s="81"/>
      <c r="L1168" s="81"/>
      <c r="M1168" s="81"/>
      <c r="N1168" s="81"/>
    </row>
    <row r="1169" spans="1:14" ht="14.25" customHeight="1" x14ac:dyDescent="0.25">
      <c r="A1169" s="97" t="s">
        <v>548</v>
      </c>
      <c r="B1169" s="97"/>
      <c r="C1169" s="109"/>
      <c r="D1169" s="110"/>
      <c r="E1169" s="111"/>
      <c r="F1169" s="112">
        <f>SUM(F1162:F1168)</f>
        <v>9750</v>
      </c>
      <c r="G1169" s="81"/>
      <c r="H1169" s="81"/>
      <c r="I1169" s="81"/>
      <c r="J1169" s="81"/>
      <c r="K1169" s="81"/>
      <c r="L1169" s="81"/>
      <c r="M1169" s="81"/>
      <c r="N1169" s="81"/>
    </row>
    <row r="1170" spans="1:14" ht="14.25" customHeight="1" x14ac:dyDescent="0.25">
      <c r="A1170" s="88"/>
      <c r="B1170" s="88"/>
      <c r="C1170" s="113"/>
      <c r="D1170" s="113"/>
      <c r="E1170" s="114"/>
      <c r="F1170" s="113"/>
      <c r="G1170" s="81"/>
      <c r="H1170" s="81"/>
      <c r="I1170" s="81"/>
      <c r="J1170" s="81"/>
      <c r="K1170" s="81"/>
      <c r="L1170" s="81"/>
      <c r="M1170" s="81"/>
      <c r="N1170" s="81"/>
    </row>
    <row r="1171" spans="1:14" ht="14.25" customHeight="1" x14ac:dyDescent="0.25">
      <c r="A1171" s="96" t="s">
        <v>573</v>
      </c>
      <c r="B1171" s="96"/>
      <c r="C1171" s="92"/>
      <c r="D1171" s="92"/>
      <c r="E1171" s="92"/>
      <c r="F1171" s="92"/>
      <c r="G1171" s="81"/>
      <c r="H1171" s="81"/>
      <c r="I1171" s="81"/>
      <c r="J1171" s="81"/>
      <c r="K1171" s="81"/>
      <c r="L1171" s="81"/>
      <c r="M1171" s="81"/>
      <c r="N1171" s="81"/>
    </row>
    <row r="1172" spans="1:14" ht="14.25" customHeight="1" x14ac:dyDescent="0.25">
      <c r="A1172" s="611" t="s">
        <v>563</v>
      </c>
      <c r="B1172" s="608"/>
      <c r="C1172" s="609"/>
      <c r="D1172" s="98" t="s">
        <v>574</v>
      </c>
      <c r="E1172" s="98" t="s">
        <v>575</v>
      </c>
      <c r="F1172" s="98" t="s">
        <v>568</v>
      </c>
      <c r="G1172" s="81"/>
      <c r="H1172" s="81"/>
      <c r="I1172" s="81"/>
      <c r="J1172" s="81"/>
      <c r="K1172" s="81"/>
      <c r="L1172" s="81"/>
      <c r="M1172" s="81"/>
      <c r="N1172" s="81"/>
    </row>
    <row r="1173" spans="1:14" ht="14.25" customHeight="1" x14ac:dyDescent="0.25">
      <c r="A1173" s="607" t="s">
        <v>577</v>
      </c>
      <c r="B1173" s="608"/>
      <c r="C1173" s="609"/>
      <c r="D1173" s="116"/>
      <c r="E1173" s="107"/>
      <c r="F1173" s="106">
        <v>352</v>
      </c>
      <c r="G1173" s="81"/>
      <c r="H1173" s="81"/>
      <c r="I1173" s="81"/>
      <c r="J1173" s="81"/>
      <c r="K1173" s="81"/>
      <c r="L1173" s="81"/>
      <c r="M1173" s="81"/>
      <c r="N1173" s="81"/>
    </row>
    <row r="1174" spans="1:14" ht="14.25" customHeight="1" x14ac:dyDescent="0.25">
      <c r="A1174" s="607" t="s">
        <v>610</v>
      </c>
      <c r="B1174" s="608"/>
      <c r="C1174" s="609"/>
      <c r="D1174" s="142">
        <v>85000</v>
      </c>
      <c r="E1174" s="107">
        <v>17</v>
      </c>
      <c r="F1174" s="106">
        <f t="shared" ref="F1174:F1175" si="63">D1174/E1174</f>
        <v>5000</v>
      </c>
      <c r="G1174" s="81"/>
      <c r="H1174" s="81"/>
      <c r="I1174" s="81"/>
      <c r="J1174" s="81"/>
      <c r="K1174" s="81"/>
      <c r="L1174" s="81"/>
      <c r="M1174" s="81"/>
      <c r="N1174" s="81"/>
    </row>
    <row r="1175" spans="1:14" ht="14.25" customHeight="1" x14ac:dyDescent="0.25">
      <c r="A1175" s="607" t="s">
        <v>608</v>
      </c>
      <c r="B1175" s="608"/>
      <c r="C1175" s="609"/>
      <c r="D1175" s="142">
        <v>110000</v>
      </c>
      <c r="E1175" s="107">
        <v>15</v>
      </c>
      <c r="F1175" s="106">
        <f t="shared" si="63"/>
        <v>7333.333333333333</v>
      </c>
      <c r="G1175" s="81"/>
      <c r="H1175" s="81"/>
      <c r="I1175" s="81"/>
      <c r="J1175" s="81"/>
      <c r="K1175" s="81"/>
      <c r="L1175" s="81"/>
      <c r="M1175" s="81"/>
      <c r="N1175" s="81"/>
    </row>
    <row r="1176" spans="1:14" ht="14.25" customHeight="1" x14ac:dyDescent="0.25">
      <c r="A1176" s="610"/>
      <c r="B1176" s="608"/>
      <c r="C1176" s="609"/>
      <c r="D1176" s="115"/>
      <c r="E1176" s="107"/>
      <c r="F1176" s="106"/>
      <c r="G1176" s="81"/>
      <c r="H1176" s="81"/>
      <c r="I1176" s="81"/>
      <c r="J1176" s="81"/>
      <c r="K1176" s="81"/>
      <c r="L1176" s="81"/>
      <c r="M1176" s="81"/>
      <c r="N1176" s="81"/>
    </row>
    <row r="1177" spans="1:14" ht="14.25" customHeight="1" x14ac:dyDescent="0.25">
      <c r="A1177" s="611" t="s">
        <v>548</v>
      </c>
      <c r="B1177" s="608"/>
      <c r="C1177" s="609"/>
      <c r="D1177" s="110"/>
      <c r="E1177" s="110"/>
      <c r="F1177" s="112">
        <f>SUM(F1173:F1175)</f>
        <v>12685.333333333332</v>
      </c>
      <c r="G1177" s="81"/>
      <c r="H1177" s="81"/>
      <c r="I1177" s="81"/>
      <c r="J1177" s="81"/>
      <c r="K1177" s="81"/>
      <c r="L1177" s="81"/>
      <c r="M1177" s="81"/>
      <c r="N1177" s="81"/>
    </row>
    <row r="1178" spans="1:14" ht="14.25" customHeight="1" x14ac:dyDescent="0.25">
      <c r="A1178" s="88"/>
      <c r="B1178" s="88"/>
      <c r="C1178" s="89"/>
      <c r="D1178" s="113"/>
      <c r="E1178" s="113"/>
      <c r="F1178" s="113"/>
      <c r="G1178" s="81"/>
      <c r="H1178" s="81"/>
      <c r="I1178" s="81"/>
      <c r="J1178" s="81"/>
      <c r="K1178" s="81"/>
      <c r="L1178" s="81"/>
      <c r="M1178" s="81"/>
      <c r="N1178" s="81"/>
    </row>
    <row r="1179" spans="1:14" ht="14.25" customHeight="1" x14ac:dyDescent="0.25">
      <c r="A1179" s="96" t="s">
        <v>578</v>
      </c>
      <c r="B1179" s="96"/>
      <c r="C1179" s="92"/>
      <c r="D1179" s="118"/>
      <c r="E1179" s="118"/>
      <c r="F1179" s="118"/>
      <c r="G1179" s="81"/>
      <c r="H1179" s="81"/>
      <c r="I1179" s="81"/>
      <c r="J1179" s="81"/>
      <c r="K1179" s="81"/>
      <c r="L1179" s="81"/>
      <c r="M1179" s="81"/>
      <c r="N1179" s="81"/>
    </row>
    <row r="1180" spans="1:14" ht="14.25" customHeight="1" x14ac:dyDescent="0.25">
      <c r="A1180" s="119" t="s">
        <v>563</v>
      </c>
      <c r="B1180" s="120" t="s">
        <v>579</v>
      </c>
      <c r="C1180" s="120" t="s">
        <v>580</v>
      </c>
      <c r="D1180" s="121" t="s">
        <v>581</v>
      </c>
      <c r="E1180" s="121" t="s">
        <v>575</v>
      </c>
      <c r="F1180" s="121" t="s">
        <v>568</v>
      </c>
      <c r="G1180" s="81"/>
      <c r="H1180" s="81"/>
      <c r="I1180" s="81"/>
      <c r="J1180" s="81"/>
      <c r="K1180" s="81"/>
      <c r="L1180" s="81"/>
      <c r="M1180" s="81"/>
      <c r="N1180" s="81"/>
    </row>
    <row r="1181" spans="1:14" ht="14.25" customHeight="1" x14ac:dyDescent="0.25">
      <c r="A1181" s="122" t="s">
        <v>593</v>
      </c>
      <c r="B1181" s="127">
        <v>1</v>
      </c>
      <c r="C1181" s="101">
        <v>32688</v>
      </c>
      <c r="D1181" s="101">
        <f t="shared" ref="D1181:D1182" si="64">+C1181*1.7</f>
        <v>55569.599999999999</v>
      </c>
      <c r="E1181" s="144">
        <v>60</v>
      </c>
      <c r="F1181" s="106">
        <f t="shared" ref="F1181:F1182" si="65">+B1181*(D1181)/E1181</f>
        <v>926.16</v>
      </c>
      <c r="G1181" s="81"/>
      <c r="H1181" s="81"/>
      <c r="I1181" s="81"/>
      <c r="J1181" s="81"/>
      <c r="K1181" s="81"/>
      <c r="L1181" s="81"/>
      <c r="M1181" s="81"/>
      <c r="N1181" s="81"/>
    </row>
    <row r="1182" spans="1:14" ht="14.25" customHeight="1" x14ac:dyDescent="0.25">
      <c r="A1182" s="122" t="s">
        <v>594</v>
      </c>
      <c r="B1182" s="127">
        <v>1</v>
      </c>
      <c r="C1182" s="101">
        <v>52538</v>
      </c>
      <c r="D1182" s="101">
        <f t="shared" si="64"/>
        <v>89314.599999999991</v>
      </c>
      <c r="E1182" s="144">
        <f>E1181</f>
        <v>60</v>
      </c>
      <c r="F1182" s="106">
        <f t="shared" si="65"/>
        <v>1488.5766666666666</v>
      </c>
      <c r="G1182" s="81"/>
      <c r="H1182" s="81"/>
      <c r="I1182" s="81"/>
      <c r="J1182" s="81"/>
      <c r="K1182" s="81"/>
      <c r="L1182" s="81"/>
      <c r="M1182" s="81"/>
      <c r="N1182" s="81"/>
    </row>
    <row r="1183" spans="1:14" ht="14.25" customHeight="1" x14ac:dyDescent="0.25">
      <c r="A1183" s="122"/>
      <c r="B1183" s="127"/>
      <c r="C1183" s="101"/>
      <c r="D1183" s="101"/>
      <c r="E1183" s="107"/>
      <c r="F1183" s="106"/>
      <c r="G1183" s="81"/>
      <c r="H1183" s="81"/>
      <c r="I1183" s="81"/>
      <c r="J1183" s="81"/>
      <c r="K1183" s="81"/>
      <c r="L1183" s="81"/>
      <c r="M1183" s="81"/>
      <c r="N1183" s="81"/>
    </row>
    <row r="1184" spans="1:14" ht="14.25" customHeight="1" x14ac:dyDescent="0.25">
      <c r="A1184" s="122"/>
      <c r="B1184" s="127"/>
      <c r="C1184" s="101"/>
      <c r="D1184" s="101"/>
      <c r="E1184" s="125"/>
      <c r="F1184" s="106"/>
      <c r="G1184" s="81"/>
      <c r="H1184" s="81"/>
      <c r="I1184" s="81"/>
      <c r="J1184" s="81"/>
      <c r="K1184" s="81"/>
      <c r="L1184" s="81"/>
      <c r="M1184" s="81"/>
      <c r="N1184" s="81"/>
    </row>
    <row r="1185" spans="1:14" ht="14.25" customHeight="1" x14ac:dyDescent="0.25">
      <c r="A1185" s="97" t="s">
        <v>548</v>
      </c>
      <c r="B1185" s="128"/>
      <c r="C1185" s="110"/>
      <c r="D1185" s="110"/>
      <c r="E1185" s="110"/>
      <c r="F1185" s="112">
        <f>SUM(F1181:F1184)</f>
        <v>2414.7366666666667</v>
      </c>
      <c r="G1185" s="81"/>
      <c r="H1185" s="81"/>
      <c r="I1185" s="81"/>
      <c r="J1185" s="81"/>
      <c r="K1185" s="81"/>
      <c r="L1185" s="81"/>
      <c r="M1185" s="81"/>
      <c r="N1185" s="81"/>
    </row>
    <row r="1186" spans="1:14" ht="14.25" customHeight="1" x14ac:dyDescent="0.25">
      <c r="A1186" s="96"/>
      <c r="B1186" s="129"/>
      <c r="C1186" s="118"/>
      <c r="D1186" s="118"/>
      <c r="E1186" s="118"/>
      <c r="F1186" s="118"/>
      <c r="G1186" s="81"/>
      <c r="H1186" s="81"/>
      <c r="I1186" s="81"/>
      <c r="J1186" s="81"/>
      <c r="K1186" s="81"/>
      <c r="L1186" s="81"/>
      <c r="M1186" s="81"/>
      <c r="N1186" s="81"/>
    </row>
    <row r="1187" spans="1:14" ht="14.25" customHeight="1" x14ac:dyDescent="0.25">
      <c r="A1187" s="95" t="s">
        <v>583</v>
      </c>
      <c r="B1187" s="96"/>
      <c r="C1187" s="92"/>
      <c r="D1187" s="92"/>
      <c r="E1187" s="92" t="s">
        <v>584</v>
      </c>
      <c r="F1187" s="92"/>
      <c r="G1187" s="81"/>
      <c r="H1187" s="81"/>
      <c r="I1187" s="81"/>
      <c r="J1187" s="81"/>
      <c r="K1187" s="81"/>
      <c r="L1187" s="81"/>
      <c r="M1187" s="81"/>
      <c r="N1187" s="81"/>
    </row>
    <row r="1188" spans="1:14" ht="14.25" customHeight="1" x14ac:dyDescent="0.25">
      <c r="A1188" s="97" t="s">
        <v>563</v>
      </c>
      <c r="B1188" s="98" t="s">
        <v>564</v>
      </c>
      <c r="C1188" s="98" t="s">
        <v>585</v>
      </c>
      <c r="D1188" s="98" t="s">
        <v>586</v>
      </c>
      <c r="E1188" s="120" t="s">
        <v>587</v>
      </c>
      <c r="F1188" s="98" t="s">
        <v>568</v>
      </c>
      <c r="G1188" s="81"/>
      <c r="H1188" s="81"/>
      <c r="I1188" s="81"/>
      <c r="J1188" s="81"/>
      <c r="K1188" s="81"/>
      <c r="L1188" s="81"/>
      <c r="M1188" s="81"/>
      <c r="N1188" s="81"/>
    </row>
    <row r="1189" spans="1:14" ht="14.25" customHeight="1" x14ac:dyDescent="0.25">
      <c r="A1189" s="103"/>
      <c r="B1189" s="100"/>
      <c r="C1189" s="101"/>
      <c r="D1189" s="140"/>
      <c r="E1189" s="107"/>
      <c r="F1189" s="109">
        <f>+C1189*D1189*E1189</f>
        <v>0</v>
      </c>
      <c r="G1189" s="81"/>
      <c r="H1189" s="81"/>
      <c r="I1189" s="81"/>
      <c r="J1189" s="81"/>
      <c r="K1189" s="81"/>
      <c r="L1189" s="81"/>
      <c r="M1189" s="81"/>
      <c r="N1189" s="81"/>
    </row>
    <row r="1190" spans="1:14" ht="14.25" customHeight="1" x14ac:dyDescent="0.25">
      <c r="A1190" s="103"/>
      <c r="B1190" s="100"/>
      <c r="C1190" s="107"/>
      <c r="D1190" s="107"/>
      <c r="E1190" s="108"/>
      <c r="F1190" s="109"/>
      <c r="G1190" s="81"/>
      <c r="H1190" s="81"/>
      <c r="I1190" s="81"/>
      <c r="J1190" s="81"/>
      <c r="K1190" s="81"/>
      <c r="L1190" s="81"/>
      <c r="M1190" s="81"/>
      <c r="N1190" s="81"/>
    </row>
    <row r="1191" spans="1:14" ht="14.25" customHeight="1" x14ac:dyDescent="0.25">
      <c r="A1191" s="97" t="s">
        <v>548</v>
      </c>
      <c r="B1191" s="98"/>
      <c r="C1191" s="110"/>
      <c r="D1191" s="110"/>
      <c r="E1191" s="111"/>
      <c r="F1191" s="112">
        <f>SUM(F1189:F1190)</f>
        <v>0</v>
      </c>
      <c r="G1191" s="81"/>
      <c r="H1191" s="81"/>
      <c r="I1191" s="81"/>
      <c r="J1191" s="81"/>
      <c r="K1191" s="81"/>
      <c r="L1191" s="81"/>
      <c r="M1191" s="81"/>
      <c r="N1191" s="81"/>
    </row>
    <row r="1192" spans="1:14" ht="14.25" customHeight="1" x14ac:dyDescent="0.25">
      <c r="A1192" s="88"/>
      <c r="B1192" s="89"/>
      <c r="C1192" s="113"/>
      <c r="D1192" s="113"/>
      <c r="E1192" s="114"/>
      <c r="F1192" s="113"/>
      <c r="G1192" s="81"/>
      <c r="H1192" s="81"/>
      <c r="I1192" s="81"/>
      <c r="J1192" s="81"/>
      <c r="K1192" s="81"/>
      <c r="L1192" s="81"/>
      <c r="M1192" s="81"/>
      <c r="N1192" s="81"/>
    </row>
    <row r="1193" spans="1:14" ht="14.25" customHeight="1" x14ac:dyDescent="0.25">
      <c r="A1193" s="88"/>
      <c r="B1193" s="89"/>
      <c r="C1193" s="113"/>
      <c r="D1193" s="113"/>
      <c r="E1193" s="114"/>
      <c r="F1193" s="113"/>
      <c r="G1193" s="81"/>
      <c r="H1193" s="81"/>
      <c r="I1193" s="81"/>
      <c r="J1193" s="81"/>
      <c r="K1193" s="81"/>
      <c r="L1193" s="81"/>
      <c r="M1193" s="81"/>
      <c r="N1193" s="81"/>
    </row>
    <row r="1194" spans="1:14" ht="14.25" customHeight="1" x14ac:dyDescent="0.25">
      <c r="A1194" s="612" t="s">
        <v>588</v>
      </c>
      <c r="B1194" s="608"/>
      <c r="C1194" s="608"/>
      <c r="D1194" s="608"/>
      <c r="E1194" s="609"/>
      <c r="F1194" s="131">
        <f>ROUND(F1169+F1177+F1185+F1191,0)</f>
        <v>24850</v>
      </c>
      <c r="G1194" s="81"/>
      <c r="H1194" s="145">
        <f>24850-F1194</f>
        <v>0</v>
      </c>
      <c r="I1194" s="81"/>
      <c r="J1194" s="81"/>
      <c r="K1194" s="81"/>
      <c r="L1194" s="81"/>
      <c r="M1194" s="81"/>
      <c r="N1194" s="81"/>
    </row>
    <row r="1195" spans="1:14" ht="14.25" customHeight="1" x14ac:dyDescent="0.25">
      <c r="A1195" s="612" t="s">
        <v>589</v>
      </c>
      <c r="B1195" s="608"/>
      <c r="C1195" s="608"/>
      <c r="D1195" s="608"/>
      <c r="E1195" s="609"/>
      <c r="F1195" s="132"/>
      <c r="G1195" s="81"/>
      <c r="H1195" s="81"/>
      <c r="I1195" s="81"/>
      <c r="J1195" s="81"/>
      <c r="K1195" s="81"/>
      <c r="L1195" s="81"/>
      <c r="M1195" s="81"/>
      <c r="N1195" s="81"/>
    </row>
    <row r="1196" spans="1:14" ht="14.25" customHeight="1" x14ac:dyDescent="0.25">
      <c r="A1196" s="146" t="s">
        <v>556</v>
      </c>
      <c r="B1196" s="147"/>
      <c r="C1196" s="147"/>
      <c r="D1196" s="147"/>
      <c r="E1196" s="148"/>
      <c r="F1196" s="133"/>
      <c r="G1196" s="81"/>
      <c r="H1196" s="81"/>
      <c r="I1196" s="81"/>
      <c r="J1196" s="81"/>
      <c r="K1196" s="81"/>
      <c r="L1196" s="81"/>
      <c r="M1196" s="81"/>
      <c r="N1196" s="81"/>
    </row>
    <row r="1197" spans="1:14" ht="14.25" customHeight="1" x14ac:dyDescent="0.25">
      <c r="A1197" s="134"/>
      <c r="B1197" s="135"/>
      <c r="C1197" s="135"/>
      <c r="D1197" s="135"/>
      <c r="E1197" s="135"/>
      <c r="F1197" s="136"/>
      <c r="G1197" s="81"/>
      <c r="H1197" s="81"/>
      <c r="I1197" s="81"/>
      <c r="J1197" s="81"/>
      <c r="K1197" s="81"/>
      <c r="L1197" s="81"/>
      <c r="M1197" s="81"/>
      <c r="N1197" s="81"/>
    </row>
    <row r="1198" spans="1:14" ht="14.25" customHeight="1" x14ac:dyDescent="0.25">
      <c r="A1198" s="81"/>
      <c r="B1198" s="81"/>
      <c r="C1198" s="137"/>
      <c r="D1198" s="81"/>
      <c r="E1198" s="81"/>
      <c r="F1198" s="81"/>
      <c r="G1198" s="81"/>
      <c r="H1198" s="81"/>
      <c r="I1198" s="81"/>
      <c r="J1198" s="81"/>
      <c r="K1198" s="81"/>
      <c r="L1198" s="81"/>
      <c r="M1198" s="81"/>
      <c r="N1198" s="81"/>
    </row>
    <row r="1199" spans="1:14" ht="14.25" customHeight="1" x14ac:dyDescent="0.25">
      <c r="A1199" s="81"/>
      <c r="B1199" s="81"/>
      <c r="C1199" s="137"/>
      <c r="D1199" s="81"/>
      <c r="E1199" s="81"/>
      <c r="F1199" s="81"/>
      <c r="G1199" s="81"/>
      <c r="H1199" s="81"/>
      <c r="I1199" s="81"/>
      <c r="J1199" s="81"/>
      <c r="K1199" s="81"/>
      <c r="L1199" s="81"/>
      <c r="M1199" s="81"/>
      <c r="N1199" s="81"/>
    </row>
    <row r="1200" spans="1:14" ht="14.25" customHeight="1" x14ac:dyDescent="0.25">
      <c r="A1200" s="81"/>
      <c r="B1200" s="81"/>
      <c r="C1200" s="137"/>
      <c r="D1200" s="81"/>
      <c r="E1200" s="81"/>
      <c r="F1200" s="81"/>
      <c r="G1200" s="81"/>
      <c r="H1200" s="81"/>
      <c r="I1200" s="81"/>
      <c r="J1200" s="81"/>
      <c r="K1200" s="81"/>
      <c r="L1200" s="81"/>
      <c r="M1200" s="81"/>
      <c r="N1200" s="81"/>
    </row>
    <row r="1201" spans="1:14" ht="14.25" customHeight="1" x14ac:dyDescent="0.25">
      <c r="A1201" s="81"/>
      <c r="B1201" s="81"/>
      <c r="C1201" s="137"/>
      <c r="D1201" s="81"/>
      <c r="E1201" s="81"/>
      <c r="F1201" s="81"/>
      <c r="G1201" s="81"/>
      <c r="H1201" s="81"/>
      <c r="I1201" s="81"/>
      <c r="J1201" s="81"/>
      <c r="K1201" s="81"/>
      <c r="L1201" s="81"/>
      <c r="M1201" s="81"/>
      <c r="N1201" s="81"/>
    </row>
    <row r="1202" spans="1:14" ht="14.25" customHeight="1" x14ac:dyDescent="0.25">
      <c r="A1202" s="81"/>
      <c r="B1202" s="81"/>
      <c r="C1202" s="137"/>
      <c r="D1202" s="81"/>
      <c r="E1202" s="81"/>
      <c r="F1202" s="81"/>
      <c r="G1202" s="81"/>
      <c r="H1202" s="81"/>
      <c r="I1202" s="81"/>
      <c r="J1202" s="81"/>
      <c r="K1202" s="81"/>
      <c r="L1202" s="81"/>
      <c r="M1202" s="81"/>
      <c r="N1202" s="81"/>
    </row>
    <row r="1203" spans="1:14" ht="14.25" customHeight="1" x14ac:dyDescent="0.25">
      <c r="A1203" s="134"/>
      <c r="B1203" s="135"/>
      <c r="C1203" s="135"/>
      <c r="D1203" s="135"/>
      <c r="E1203" s="135"/>
      <c r="F1203" s="136"/>
      <c r="G1203" s="81"/>
      <c r="H1203" s="81"/>
      <c r="I1203" s="81"/>
      <c r="J1203" s="81"/>
      <c r="K1203" s="81"/>
      <c r="L1203" s="81"/>
      <c r="M1203" s="81"/>
      <c r="N1203" s="81"/>
    </row>
    <row r="1204" spans="1:14" ht="14.25" customHeight="1" x14ac:dyDescent="0.25">
      <c r="A1204" s="134"/>
      <c r="B1204" s="135"/>
      <c r="C1204" s="135"/>
      <c r="D1204" s="135"/>
      <c r="E1204" s="135"/>
      <c r="F1204" s="136"/>
      <c r="G1204" s="81"/>
      <c r="H1204" s="81"/>
      <c r="I1204" s="81"/>
      <c r="J1204" s="81"/>
      <c r="K1204" s="81"/>
      <c r="L1204" s="81"/>
      <c r="M1204" s="81"/>
      <c r="N1204" s="81"/>
    </row>
    <row r="1205" spans="1:14" ht="14.25" customHeight="1" x14ac:dyDescent="0.25">
      <c r="A1205" s="134"/>
      <c r="B1205" s="135"/>
      <c r="C1205" s="135"/>
      <c r="D1205" s="135"/>
      <c r="E1205" s="135"/>
      <c r="F1205" s="136"/>
      <c r="G1205" s="81"/>
      <c r="H1205" s="81"/>
      <c r="I1205" s="81"/>
      <c r="J1205" s="81"/>
      <c r="K1205" s="81"/>
      <c r="L1205" s="81"/>
      <c r="M1205" s="81"/>
      <c r="N1205" s="81"/>
    </row>
    <row r="1206" spans="1:14" ht="14.25" customHeight="1" thickBot="1" x14ac:dyDescent="0.3">
      <c r="A1206" s="81"/>
      <c r="B1206" s="81"/>
      <c r="C1206" s="81"/>
      <c r="D1206" s="81"/>
      <c r="E1206" s="81"/>
      <c r="F1206" s="81"/>
      <c r="G1206" s="81"/>
      <c r="H1206" s="81"/>
      <c r="I1206" s="81"/>
      <c r="J1206" s="81"/>
      <c r="K1206" s="81"/>
      <c r="L1206" s="81"/>
      <c r="M1206" s="81"/>
      <c r="N1206" s="81"/>
    </row>
    <row r="1207" spans="1:14" ht="14.25" customHeight="1" x14ac:dyDescent="0.25">
      <c r="A1207" s="83"/>
      <c r="B1207" s="84"/>
      <c r="C1207" s="85"/>
      <c r="D1207" s="86"/>
      <c r="E1207" s="86"/>
      <c r="F1207" s="87"/>
      <c r="G1207" s="81"/>
      <c r="H1207" s="81"/>
      <c r="I1207" s="81"/>
      <c r="J1207" s="81"/>
      <c r="K1207" s="81"/>
      <c r="L1207" s="81"/>
      <c r="M1207" s="81"/>
      <c r="N1207" s="81"/>
    </row>
    <row r="1208" spans="1:14" ht="14.25" customHeight="1" x14ac:dyDescent="0.25">
      <c r="A1208" s="599"/>
      <c r="B1208" s="600"/>
      <c r="C1208" s="600"/>
      <c r="D1208" s="600"/>
      <c r="E1208" s="600"/>
      <c r="F1208" s="601"/>
      <c r="G1208" s="81"/>
      <c r="H1208" s="81"/>
      <c r="I1208" s="81"/>
      <c r="J1208" s="81"/>
      <c r="K1208" s="81"/>
      <c r="L1208" s="81"/>
      <c r="M1208" s="81"/>
      <c r="N1208" s="81"/>
    </row>
    <row r="1209" spans="1:14" ht="14.25" customHeight="1" x14ac:dyDescent="0.25">
      <c r="A1209" s="602" t="s">
        <v>561</v>
      </c>
      <c r="B1209" s="600"/>
      <c r="C1209" s="600"/>
      <c r="D1209" s="600"/>
      <c r="E1209" s="600"/>
      <c r="F1209" s="601"/>
      <c r="G1209" s="81"/>
      <c r="H1209" s="81"/>
      <c r="I1209" s="81"/>
      <c r="J1209" s="81"/>
      <c r="K1209" s="81"/>
      <c r="L1209" s="81"/>
      <c r="M1209" s="81"/>
      <c r="N1209" s="81"/>
    </row>
    <row r="1210" spans="1:14" ht="14.25" customHeight="1" thickBot="1" x14ac:dyDescent="0.3">
      <c r="A1210" s="603"/>
      <c r="B1210" s="604"/>
      <c r="C1210" s="604"/>
      <c r="D1210" s="604"/>
      <c r="E1210" s="604"/>
      <c r="F1210" s="605"/>
      <c r="G1210" s="81"/>
      <c r="H1210" s="81"/>
      <c r="I1210" s="81"/>
      <c r="J1210" s="81"/>
      <c r="K1210" s="81"/>
      <c r="L1210" s="81"/>
      <c r="M1210" s="81"/>
      <c r="N1210" s="81"/>
    </row>
    <row r="1211" spans="1:14" ht="14.25" customHeight="1" x14ac:dyDescent="0.25">
      <c r="A1211" s="88"/>
      <c r="B1211" s="88"/>
      <c r="C1211" s="89"/>
      <c r="D1211" s="89"/>
      <c r="E1211" s="89"/>
      <c r="F1211" s="89"/>
      <c r="G1211" s="81"/>
      <c r="H1211" s="81"/>
      <c r="I1211" s="81"/>
      <c r="J1211" s="81"/>
      <c r="K1211" s="81"/>
      <c r="L1211" s="81"/>
      <c r="M1211" s="81"/>
      <c r="N1211" s="81"/>
    </row>
    <row r="1212" spans="1:14" ht="14.25" customHeight="1" x14ac:dyDescent="0.25">
      <c r="A1212" s="90" t="s">
        <v>47</v>
      </c>
      <c r="B1212" s="613" t="s">
        <v>98</v>
      </c>
      <c r="C1212" s="600"/>
      <c r="D1212" s="600"/>
      <c r="E1212" s="600"/>
      <c r="F1212" s="600"/>
      <c r="G1212" s="81"/>
      <c r="H1212" s="81"/>
      <c r="I1212" s="81"/>
      <c r="J1212" s="81"/>
      <c r="K1212" s="81"/>
      <c r="L1212" s="81"/>
      <c r="M1212" s="81"/>
      <c r="N1212" s="81"/>
    </row>
    <row r="1213" spans="1:14" ht="14.25" customHeight="1" x14ac:dyDescent="0.25">
      <c r="A1213" s="91"/>
      <c r="B1213" s="91"/>
      <c r="C1213" s="91"/>
      <c r="D1213" s="91"/>
      <c r="E1213" s="91"/>
      <c r="F1213" s="91"/>
      <c r="G1213" s="81"/>
      <c r="H1213" s="81"/>
      <c r="I1213" s="81"/>
      <c r="J1213" s="81"/>
      <c r="K1213" s="81"/>
      <c r="L1213" s="81"/>
      <c r="M1213" s="81"/>
      <c r="N1213" s="81"/>
    </row>
    <row r="1214" spans="1:14" ht="14.25" customHeight="1" x14ac:dyDescent="0.25">
      <c r="A1214" s="88" t="s">
        <v>49</v>
      </c>
      <c r="B1214" s="92" t="s">
        <v>99</v>
      </c>
      <c r="C1214" s="89"/>
      <c r="D1214" s="89"/>
      <c r="E1214" s="89"/>
      <c r="F1214" s="93"/>
      <c r="G1214" s="81"/>
      <c r="H1214" s="81"/>
      <c r="I1214" s="81"/>
      <c r="J1214" s="81"/>
      <c r="K1214" s="81"/>
      <c r="L1214" s="81"/>
      <c r="M1214" s="81"/>
      <c r="N1214" s="81"/>
    </row>
    <row r="1215" spans="1:14" ht="14.25" customHeight="1" x14ac:dyDescent="0.25">
      <c r="A1215" s="88"/>
      <c r="B1215" s="94"/>
      <c r="C1215" s="89"/>
      <c r="D1215" s="89"/>
      <c r="E1215" s="89"/>
      <c r="F1215" s="93"/>
      <c r="G1215" s="81"/>
      <c r="H1215" s="81"/>
      <c r="I1215" s="81"/>
      <c r="J1215" s="81"/>
      <c r="K1215" s="81"/>
      <c r="L1215" s="81"/>
      <c r="M1215" s="81"/>
      <c r="N1215" s="81"/>
    </row>
    <row r="1216" spans="1:14" ht="14.25" customHeight="1" x14ac:dyDescent="0.25">
      <c r="A1216" s="95" t="s">
        <v>562</v>
      </c>
      <c r="B1216" s="96"/>
      <c r="C1216" s="92"/>
      <c r="D1216" s="92"/>
      <c r="E1216" s="92"/>
      <c r="F1216" s="92"/>
      <c r="G1216" s="81"/>
      <c r="H1216" s="81"/>
      <c r="I1216" s="81"/>
      <c r="J1216" s="81"/>
      <c r="K1216" s="81"/>
      <c r="L1216" s="81"/>
      <c r="M1216" s="81"/>
      <c r="N1216" s="81"/>
    </row>
    <row r="1217" spans="1:14" ht="14.25" customHeight="1" x14ac:dyDescent="0.25">
      <c r="A1217" s="97" t="s">
        <v>563</v>
      </c>
      <c r="B1217" s="98" t="s">
        <v>564</v>
      </c>
      <c r="C1217" s="98" t="s">
        <v>565</v>
      </c>
      <c r="D1217" s="98" t="s">
        <v>566</v>
      </c>
      <c r="E1217" s="98" t="s">
        <v>567</v>
      </c>
      <c r="F1217" s="98" t="s">
        <v>568</v>
      </c>
      <c r="G1217" s="81"/>
      <c r="H1217" s="81"/>
      <c r="I1217" s="81"/>
      <c r="J1217" s="81"/>
      <c r="K1217" s="81"/>
      <c r="L1217" s="81"/>
      <c r="M1217" s="81"/>
      <c r="N1217" s="81"/>
    </row>
    <row r="1218" spans="1:14" ht="14.25" customHeight="1" x14ac:dyDescent="0.25">
      <c r="A1218" s="99"/>
      <c r="B1218" s="100"/>
      <c r="C1218" s="101"/>
      <c r="D1218" s="104"/>
      <c r="E1218" s="102"/>
      <c r="F1218" s="101">
        <f t="shared" ref="F1218:F1223" si="66">C1218*(D1218+(D1218*E1218))</f>
        <v>0</v>
      </c>
      <c r="G1218" s="81"/>
      <c r="H1218" s="81"/>
      <c r="I1218" s="81"/>
      <c r="J1218" s="81"/>
      <c r="K1218" s="81"/>
      <c r="L1218" s="81"/>
      <c r="M1218" s="81"/>
      <c r="N1218" s="81"/>
    </row>
    <row r="1219" spans="1:14" ht="14.25" customHeight="1" x14ac:dyDescent="0.25">
      <c r="A1219" s="99"/>
      <c r="B1219" s="100"/>
      <c r="C1219" s="101"/>
      <c r="D1219" s="104"/>
      <c r="E1219" s="102"/>
      <c r="F1219" s="101">
        <f t="shared" si="66"/>
        <v>0</v>
      </c>
      <c r="G1219" s="81"/>
      <c r="H1219" s="81"/>
      <c r="I1219" s="81"/>
      <c r="J1219" s="81"/>
      <c r="K1219" s="81"/>
      <c r="L1219" s="81"/>
      <c r="M1219" s="81"/>
      <c r="N1219" s="81"/>
    </row>
    <row r="1220" spans="1:14" ht="14.25" customHeight="1" x14ac:dyDescent="0.25">
      <c r="A1220" s="99"/>
      <c r="B1220" s="100"/>
      <c r="C1220" s="101"/>
      <c r="D1220" s="104"/>
      <c r="E1220" s="102"/>
      <c r="F1220" s="101">
        <f t="shared" si="66"/>
        <v>0</v>
      </c>
      <c r="G1220" s="81"/>
      <c r="H1220" s="81"/>
      <c r="I1220" s="81"/>
      <c r="J1220" s="81"/>
      <c r="K1220" s="81"/>
      <c r="L1220" s="81"/>
      <c r="M1220" s="81"/>
      <c r="N1220" s="81"/>
    </row>
    <row r="1221" spans="1:14" ht="14.25" customHeight="1" x14ac:dyDescent="0.25">
      <c r="A1221" s="99"/>
      <c r="B1221" s="100"/>
      <c r="C1221" s="101"/>
      <c r="D1221" s="104"/>
      <c r="E1221" s="102"/>
      <c r="F1221" s="101">
        <f t="shared" si="66"/>
        <v>0</v>
      </c>
      <c r="G1221" s="81"/>
      <c r="H1221" s="81"/>
      <c r="I1221" s="81"/>
      <c r="J1221" s="81"/>
      <c r="K1221" s="81"/>
      <c r="L1221" s="81"/>
      <c r="M1221" s="81"/>
      <c r="N1221" s="81"/>
    </row>
    <row r="1222" spans="1:14" ht="14.25" customHeight="1" x14ac:dyDescent="0.25">
      <c r="A1222" s="99"/>
      <c r="B1222" s="100"/>
      <c r="C1222" s="101"/>
      <c r="D1222" s="104"/>
      <c r="E1222" s="102"/>
      <c r="F1222" s="101">
        <f t="shared" si="66"/>
        <v>0</v>
      </c>
      <c r="G1222" s="81"/>
      <c r="H1222" s="81"/>
      <c r="I1222" s="81"/>
      <c r="J1222" s="81"/>
      <c r="K1222" s="81"/>
      <c r="L1222" s="81"/>
      <c r="M1222" s="81"/>
      <c r="N1222" s="81"/>
    </row>
    <row r="1223" spans="1:14" ht="14.25" customHeight="1" x14ac:dyDescent="0.25">
      <c r="A1223" s="99"/>
      <c r="B1223" s="100"/>
      <c r="C1223" s="101"/>
      <c r="D1223" s="104"/>
      <c r="E1223" s="102"/>
      <c r="F1223" s="101">
        <f t="shared" si="66"/>
        <v>0</v>
      </c>
      <c r="G1223" s="81"/>
      <c r="H1223" s="81"/>
      <c r="I1223" s="81"/>
      <c r="J1223" s="81"/>
      <c r="K1223" s="81"/>
      <c r="L1223" s="81"/>
      <c r="M1223" s="81"/>
      <c r="N1223" s="81"/>
    </row>
    <row r="1224" spans="1:14" ht="14.25" customHeight="1" x14ac:dyDescent="0.25">
      <c r="A1224" s="99"/>
      <c r="B1224" s="100"/>
      <c r="C1224" s="106"/>
      <c r="D1224" s="107"/>
      <c r="E1224" s="108"/>
      <c r="F1224" s="106"/>
      <c r="G1224" s="81"/>
      <c r="H1224" s="81"/>
      <c r="I1224" s="81"/>
      <c r="J1224" s="81"/>
      <c r="K1224" s="81"/>
      <c r="L1224" s="81"/>
      <c r="M1224" s="81"/>
      <c r="N1224" s="81"/>
    </row>
    <row r="1225" spans="1:14" ht="14.25" customHeight="1" x14ac:dyDescent="0.25">
      <c r="A1225" s="97" t="s">
        <v>548</v>
      </c>
      <c r="B1225" s="97"/>
      <c r="C1225" s="109"/>
      <c r="D1225" s="110"/>
      <c r="E1225" s="111"/>
      <c r="F1225" s="112">
        <f>SUM(F1218:F1224)</f>
        <v>0</v>
      </c>
      <c r="G1225" s="81"/>
      <c r="H1225" s="81"/>
      <c r="I1225" s="81"/>
      <c r="J1225" s="81"/>
      <c r="K1225" s="81"/>
      <c r="L1225" s="81"/>
      <c r="M1225" s="81"/>
      <c r="N1225" s="81"/>
    </row>
    <row r="1226" spans="1:14" ht="14.25" customHeight="1" x14ac:dyDescent="0.25">
      <c r="A1226" s="88"/>
      <c r="B1226" s="88"/>
      <c r="C1226" s="113"/>
      <c r="D1226" s="113"/>
      <c r="E1226" s="114"/>
      <c r="F1226" s="113"/>
      <c r="G1226" s="81"/>
      <c r="H1226" s="81"/>
      <c r="I1226" s="81"/>
      <c r="J1226" s="81"/>
      <c r="K1226" s="81"/>
      <c r="L1226" s="81"/>
      <c r="M1226" s="81"/>
      <c r="N1226" s="81"/>
    </row>
    <row r="1227" spans="1:14" ht="14.25" customHeight="1" x14ac:dyDescent="0.25">
      <c r="A1227" s="96" t="s">
        <v>573</v>
      </c>
      <c r="B1227" s="96"/>
      <c r="C1227" s="92"/>
      <c r="D1227" s="92"/>
      <c r="E1227" s="92"/>
      <c r="F1227" s="92"/>
      <c r="G1227" s="81"/>
      <c r="H1227" s="81"/>
      <c r="I1227" s="81"/>
      <c r="J1227" s="81"/>
      <c r="K1227" s="81"/>
      <c r="L1227" s="81"/>
      <c r="M1227" s="81"/>
      <c r="N1227" s="81"/>
    </row>
    <row r="1228" spans="1:14" ht="14.25" customHeight="1" x14ac:dyDescent="0.25">
      <c r="A1228" s="611" t="s">
        <v>563</v>
      </c>
      <c r="B1228" s="608"/>
      <c r="C1228" s="609"/>
      <c r="D1228" s="98" t="s">
        <v>574</v>
      </c>
      <c r="E1228" s="98" t="s">
        <v>575</v>
      </c>
      <c r="F1228" s="98" t="s">
        <v>568</v>
      </c>
      <c r="G1228" s="81"/>
      <c r="H1228" s="81"/>
      <c r="I1228" s="81"/>
      <c r="J1228" s="81"/>
      <c r="K1228" s="81"/>
      <c r="L1228" s="81"/>
      <c r="M1228" s="81"/>
      <c r="N1228" s="81"/>
    </row>
    <row r="1229" spans="1:14" ht="14.25" customHeight="1" x14ac:dyDescent="0.25">
      <c r="A1229" s="607" t="s">
        <v>577</v>
      </c>
      <c r="B1229" s="608"/>
      <c r="C1229" s="609"/>
      <c r="D1229" s="116"/>
      <c r="E1229" s="107"/>
      <c r="F1229" s="106">
        <f>+F1241*5%</f>
        <v>1000.0151847710549</v>
      </c>
      <c r="G1229" s="81"/>
      <c r="H1229" s="81"/>
      <c r="I1229" s="81"/>
      <c r="J1229" s="81"/>
      <c r="K1229" s="81"/>
      <c r="L1229" s="81"/>
      <c r="M1229" s="81"/>
      <c r="N1229" s="81"/>
    </row>
    <row r="1230" spans="1:14" ht="14.25" customHeight="1" x14ac:dyDescent="0.25">
      <c r="A1230" s="607"/>
      <c r="B1230" s="608"/>
      <c r="C1230" s="609"/>
      <c r="D1230" s="142"/>
      <c r="E1230" s="107"/>
      <c r="F1230" s="106"/>
      <c r="G1230" s="81"/>
      <c r="H1230" s="81"/>
      <c r="I1230" s="81"/>
      <c r="J1230" s="81"/>
      <c r="K1230" s="81"/>
      <c r="L1230" s="81"/>
      <c r="M1230" s="81"/>
      <c r="N1230" s="81"/>
    </row>
    <row r="1231" spans="1:14" ht="14.25" customHeight="1" x14ac:dyDescent="0.25">
      <c r="A1231" s="607"/>
      <c r="B1231" s="608"/>
      <c r="C1231" s="609"/>
      <c r="D1231" s="142"/>
      <c r="E1231" s="107"/>
      <c r="F1231" s="106"/>
      <c r="G1231" s="81"/>
      <c r="H1231" s="81"/>
      <c r="I1231" s="81"/>
      <c r="J1231" s="81"/>
      <c r="K1231" s="81"/>
      <c r="L1231" s="81"/>
      <c r="M1231" s="81"/>
      <c r="N1231" s="81"/>
    </row>
    <row r="1232" spans="1:14" ht="14.25" customHeight="1" x14ac:dyDescent="0.25">
      <c r="A1232" s="610"/>
      <c r="B1232" s="608"/>
      <c r="C1232" s="609"/>
      <c r="D1232" s="115"/>
      <c r="E1232" s="107"/>
      <c r="F1232" s="106"/>
      <c r="G1232" s="81"/>
      <c r="H1232" s="81"/>
      <c r="I1232" s="81"/>
      <c r="J1232" s="81"/>
      <c r="K1232" s="81"/>
      <c r="L1232" s="81"/>
      <c r="M1232" s="81"/>
      <c r="N1232" s="81"/>
    </row>
    <row r="1233" spans="1:14" ht="14.25" customHeight="1" x14ac:dyDescent="0.25">
      <c r="A1233" s="611" t="s">
        <v>548</v>
      </c>
      <c r="B1233" s="608"/>
      <c r="C1233" s="609"/>
      <c r="D1233" s="110"/>
      <c r="E1233" s="110"/>
      <c r="F1233" s="112">
        <f>SUM(F1229:F1231)</f>
        <v>1000.0151847710549</v>
      </c>
      <c r="G1233" s="81"/>
      <c r="H1233" s="81"/>
      <c r="I1233" s="81"/>
      <c r="J1233" s="81"/>
      <c r="K1233" s="81"/>
      <c r="L1233" s="81"/>
      <c r="M1233" s="81"/>
      <c r="N1233" s="81"/>
    </row>
    <row r="1234" spans="1:14" ht="14.25" customHeight="1" x14ac:dyDescent="0.25">
      <c r="A1234" s="88"/>
      <c r="B1234" s="88"/>
      <c r="C1234" s="89"/>
      <c r="D1234" s="113"/>
      <c r="E1234" s="113"/>
      <c r="F1234" s="113"/>
      <c r="G1234" s="81"/>
      <c r="H1234" s="81"/>
      <c r="I1234" s="81"/>
      <c r="J1234" s="81"/>
      <c r="K1234" s="81"/>
      <c r="L1234" s="81"/>
      <c r="M1234" s="81"/>
      <c r="N1234" s="81"/>
    </row>
    <row r="1235" spans="1:14" ht="14.25" customHeight="1" x14ac:dyDescent="0.25">
      <c r="A1235" s="96" t="s">
        <v>578</v>
      </c>
      <c r="B1235" s="96"/>
      <c r="C1235" s="92"/>
      <c r="D1235" s="118"/>
      <c r="E1235" s="118"/>
      <c r="F1235" s="118"/>
      <c r="G1235" s="81"/>
      <c r="H1235" s="81"/>
      <c r="I1235" s="81"/>
      <c r="J1235" s="81"/>
      <c r="K1235" s="81"/>
      <c r="L1235" s="81"/>
      <c r="M1235" s="81"/>
      <c r="N1235" s="81"/>
    </row>
    <row r="1236" spans="1:14" ht="14.25" customHeight="1" x14ac:dyDescent="0.25">
      <c r="A1236" s="119" t="s">
        <v>563</v>
      </c>
      <c r="B1236" s="120" t="s">
        <v>579</v>
      </c>
      <c r="C1236" s="120" t="s">
        <v>580</v>
      </c>
      <c r="D1236" s="121" t="s">
        <v>581</v>
      </c>
      <c r="E1236" s="121" t="s">
        <v>575</v>
      </c>
      <c r="F1236" s="121" t="s">
        <v>568</v>
      </c>
      <c r="G1236" s="81"/>
      <c r="H1236" s="81"/>
      <c r="I1236" s="81"/>
      <c r="J1236" s="81"/>
      <c r="K1236" s="81"/>
      <c r="L1236" s="81"/>
      <c r="M1236" s="81"/>
      <c r="N1236" s="81"/>
    </row>
    <row r="1237" spans="1:14" ht="14.25" customHeight="1" x14ac:dyDescent="0.25">
      <c r="A1237" s="122" t="s">
        <v>593</v>
      </c>
      <c r="B1237" s="127">
        <v>1</v>
      </c>
      <c r="C1237" s="101">
        <v>32688</v>
      </c>
      <c r="D1237" s="101">
        <f t="shared" ref="D1237:D1238" si="67">+C1237*1.7</f>
        <v>55569.599999999999</v>
      </c>
      <c r="E1237" s="144">
        <v>7.2441000000000004</v>
      </c>
      <c r="F1237" s="106">
        <f t="shared" ref="F1237:F1238" si="68">+B1237*(D1237)/E1237</f>
        <v>7671.0150329233438</v>
      </c>
      <c r="G1237" s="81"/>
      <c r="H1237" s="81"/>
      <c r="I1237" s="81"/>
      <c r="J1237" s="81"/>
      <c r="K1237" s="81"/>
      <c r="L1237" s="81"/>
      <c r="M1237" s="81"/>
      <c r="N1237" s="81"/>
    </row>
    <row r="1238" spans="1:14" ht="14.25" customHeight="1" x14ac:dyDescent="0.25">
      <c r="A1238" s="122" t="s">
        <v>594</v>
      </c>
      <c r="B1238" s="127">
        <v>1</v>
      </c>
      <c r="C1238" s="101">
        <v>52538</v>
      </c>
      <c r="D1238" s="101">
        <f t="shared" si="67"/>
        <v>89314.599999999991</v>
      </c>
      <c r="E1238" s="144">
        <f>E1237</f>
        <v>7.2441000000000004</v>
      </c>
      <c r="F1238" s="106">
        <f t="shared" si="68"/>
        <v>12329.288662497755</v>
      </c>
      <c r="G1238" s="81"/>
      <c r="H1238" s="81"/>
      <c r="I1238" s="81"/>
      <c r="J1238" s="81"/>
      <c r="K1238" s="81"/>
      <c r="L1238" s="81"/>
      <c r="M1238" s="81"/>
      <c r="N1238" s="81"/>
    </row>
    <row r="1239" spans="1:14" ht="14.25" customHeight="1" x14ac:dyDescent="0.25">
      <c r="A1239" s="122"/>
      <c r="B1239" s="127"/>
      <c r="C1239" s="101"/>
      <c r="D1239" s="101"/>
      <c r="E1239" s="107"/>
      <c r="F1239" s="106"/>
      <c r="G1239" s="81"/>
      <c r="H1239" s="81"/>
      <c r="I1239" s="81"/>
      <c r="J1239" s="81"/>
      <c r="K1239" s="81"/>
      <c r="L1239" s="81"/>
      <c r="M1239" s="81"/>
      <c r="N1239" s="81"/>
    </row>
    <row r="1240" spans="1:14" ht="14.25" customHeight="1" x14ac:dyDescent="0.25">
      <c r="A1240" s="122"/>
      <c r="B1240" s="127"/>
      <c r="C1240" s="101"/>
      <c r="D1240" s="101"/>
      <c r="E1240" s="125"/>
      <c r="F1240" s="106"/>
      <c r="G1240" s="81"/>
      <c r="H1240" s="81"/>
      <c r="I1240" s="81"/>
      <c r="J1240" s="81"/>
      <c r="K1240" s="81"/>
      <c r="L1240" s="81"/>
      <c r="M1240" s="81"/>
      <c r="N1240" s="81"/>
    </row>
    <row r="1241" spans="1:14" ht="14.25" customHeight="1" x14ac:dyDescent="0.25">
      <c r="A1241" s="97" t="s">
        <v>548</v>
      </c>
      <c r="B1241" s="128"/>
      <c r="C1241" s="110"/>
      <c r="D1241" s="110"/>
      <c r="E1241" s="110"/>
      <c r="F1241" s="112">
        <f>SUM(F1237:F1240)</f>
        <v>20000.303695421098</v>
      </c>
      <c r="G1241" s="81"/>
      <c r="H1241" s="81"/>
      <c r="I1241" s="81"/>
      <c r="J1241" s="81"/>
      <c r="K1241" s="81"/>
      <c r="L1241" s="81"/>
      <c r="M1241" s="81"/>
      <c r="N1241" s="81"/>
    </row>
    <row r="1242" spans="1:14" ht="14.25" customHeight="1" x14ac:dyDescent="0.25">
      <c r="A1242" s="96"/>
      <c r="B1242" s="129"/>
      <c r="C1242" s="118"/>
      <c r="D1242" s="118"/>
      <c r="E1242" s="118"/>
      <c r="F1242" s="118"/>
      <c r="G1242" s="81"/>
      <c r="H1242" s="81"/>
      <c r="I1242" s="81"/>
      <c r="J1242" s="81"/>
      <c r="K1242" s="81"/>
      <c r="L1242" s="81"/>
      <c r="M1242" s="81"/>
      <c r="N1242" s="81"/>
    </row>
    <row r="1243" spans="1:14" ht="14.25" customHeight="1" x14ac:dyDescent="0.25">
      <c r="A1243" s="95" t="s">
        <v>583</v>
      </c>
      <c r="B1243" s="96"/>
      <c r="C1243" s="92"/>
      <c r="D1243" s="92"/>
      <c r="E1243" s="92" t="s">
        <v>584</v>
      </c>
      <c r="F1243" s="92"/>
      <c r="G1243" s="81"/>
      <c r="H1243" s="81"/>
      <c r="I1243" s="81"/>
      <c r="J1243" s="81"/>
      <c r="K1243" s="81"/>
      <c r="L1243" s="81"/>
      <c r="M1243" s="81"/>
      <c r="N1243" s="81"/>
    </row>
    <row r="1244" spans="1:14" ht="14.25" customHeight="1" x14ac:dyDescent="0.25">
      <c r="A1244" s="97" t="s">
        <v>563</v>
      </c>
      <c r="B1244" s="98" t="s">
        <v>564</v>
      </c>
      <c r="C1244" s="98" t="s">
        <v>585</v>
      </c>
      <c r="D1244" s="98" t="s">
        <v>586</v>
      </c>
      <c r="E1244" s="120" t="s">
        <v>587</v>
      </c>
      <c r="F1244" s="98" t="s">
        <v>568</v>
      </c>
      <c r="G1244" s="81"/>
      <c r="H1244" s="81"/>
      <c r="I1244" s="81"/>
      <c r="J1244" s="81"/>
      <c r="K1244" s="81"/>
      <c r="L1244" s="81"/>
      <c r="M1244" s="81"/>
      <c r="N1244" s="81"/>
    </row>
    <row r="1245" spans="1:14" ht="14.25" customHeight="1" x14ac:dyDescent="0.25">
      <c r="A1245" s="103" t="s">
        <v>604</v>
      </c>
      <c r="B1245" s="100" t="s">
        <v>605</v>
      </c>
      <c r="C1245" s="101">
        <v>1000</v>
      </c>
      <c r="D1245" s="140">
        <v>4</v>
      </c>
      <c r="E1245" s="107">
        <v>1</v>
      </c>
      <c r="F1245" s="109">
        <f>+C1245*D1245*E1245</f>
        <v>4000</v>
      </c>
      <c r="G1245" s="81"/>
      <c r="H1245" s="81"/>
      <c r="I1245" s="81"/>
      <c r="J1245" s="81"/>
      <c r="K1245" s="81"/>
      <c r="L1245" s="81"/>
      <c r="M1245" s="81"/>
      <c r="N1245" s="81"/>
    </row>
    <row r="1246" spans="1:14" ht="14.25" customHeight="1" x14ac:dyDescent="0.25">
      <c r="A1246" s="103"/>
      <c r="B1246" s="100"/>
      <c r="C1246" s="107"/>
      <c r="D1246" s="107"/>
      <c r="E1246" s="108"/>
      <c r="F1246" s="109"/>
      <c r="G1246" s="81"/>
      <c r="H1246" s="81"/>
      <c r="I1246" s="81"/>
      <c r="J1246" s="81"/>
      <c r="K1246" s="81"/>
      <c r="L1246" s="81"/>
      <c r="M1246" s="81"/>
      <c r="N1246" s="81"/>
    </row>
    <row r="1247" spans="1:14" ht="14.25" customHeight="1" x14ac:dyDescent="0.25">
      <c r="A1247" s="97" t="s">
        <v>548</v>
      </c>
      <c r="B1247" s="98"/>
      <c r="C1247" s="110"/>
      <c r="D1247" s="110"/>
      <c r="E1247" s="111"/>
      <c r="F1247" s="112">
        <f>SUM(F1245:F1246)</f>
        <v>4000</v>
      </c>
      <c r="G1247" s="81"/>
      <c r="H1247" s="117"/>
      <c r="I1247" s="81"/>
      <c r="J1247" s="81"/>
      <c r="K1247" s="81"/>
      <c r="L1247" s="81"/>
      <c r="M1247" s="81"/>
      <c r="N1247" s="81"/>
    </row>
    <row r="1248" spans="1:14" ht="14.25" customHeight="1" x14ac:dyDescent="0.25">
      <c r="A1248" s="88"/>
      <c r="B1248" s="89"/>
      <c r="C1248" s="113"/>
      <c r="D1248" s="113"/>
      <c r="E1248" s="114"/>
      <c r="F1248" s="113"/>
      <c r="G1248" s="81"/>
      <c r="H1248" s="81"/>
      <c r="I1248" s="81"/>
      <c r="J1248" s="81"/>
      <c r="K1248" s="81"/>
      <c r="L1248" s="81"/>
      <c r="M1248" s="81"/>
      <c r="N1248" s="81"/>
    </row>
    <row r="1249" spans="1:14" ht="14.25" customHeight="1" x14ac:dyDescent="0.25">
      <c r="A1249" s="88"/>
      <c r="B1249" s="89"/>
      <c r="C1249" s="113"/>
      <c r="D1249" s="113"/>
      <c r="E1249" s="114"/>
      <c r="F1249" s="113"/>
      <c r="G1249" s="81"/>
      <c r="H1249" s="81"/>
      <c r="I1249" s="81"/>
      <c r="J1249" s="81"/>
      <c r="K1249" s="81"/>
      <c r="L1249" s="81"/>
      <c r="M1249" s="81"/>
      <c r="N1249" s="81"/>
    </row>
    <row r="1250" spans="1:14" ht="14.25" customHeight="1" x14ac:dyDescent="0.25">
      <c r="A1250" s="612" t="s">
        <v>588</v>
      </c>
      <c r="B1250" s="608"/>
      <c r="C1250" s="608"/>
      <c r="D1250" s="608"/>
      <c r="E1250" s="609"/>
      <c r="F1250" s="131">
        <f>ROUND(F1225+F1233+F1241+F1247,0)</f>
        <v>25000</v>
      </c>
      <c r="G1250" s="81"/>
      <c r="H1250" s="143"/>
      <c r="I1250" s="81"/>
      <c r="J1250" s="81"/>
      <c r="K1250" s="81"/>
      <c r="L1250" s="81"/>
      <c r="M1250" s="81"/>
      <c r="N1250" s="81"/>
    </row>
    <row r="1251" spans="1:14" ht="14.25" customHeight="1" x14ac:dyDescent="0.25">
      <c r="A1251" s="612" t="s">
        <v>589</v>
      </c>
      <c r="B1251" s="608"/>
      <c r="C1251" s="608"/>
      <c r="D1251" s="608"/>
      <c r="E1251" s="609"/>
      <c r="F1251" s="132"/>
      <c r="G1251" s="81"/>
      <c r="H1251" s="81"/>
      <c r="I1251" s="81"/>
      <c r="J1251" s="81"/>
      <c r="K1251" s="81"/>
      <c r="L1251" s="81"/>
      <c r="M1251" s="81"/>
      <c r="N1251" s="81"/>
    </row>
    <row r="1252" spans="1:14" ht="14.25" customHeight="1" x14ac:dyDescent="0.25">
      <c r="A1252" s="146" t="s">
        <v>556</v>
      </c>
      <c r="B1252" s="147"/>
      <c r="C1252" s="147"/>
      <c r="D1252" s="147"/>
      <c r="E1252" s="148"/>
      <c r="F1252" s="133"/>
      <c r="G1252" s="81"/>
      <c r="H1252" s="81"/>
      <c r="I1252" s="81"/>
      <c r="J1252" s="81"/>
      <c r="K1252" s="81"/>
      <c r="L1252" s="81"/>
      <c r="M1252" s="81"/>
      <c r="N1252" s="81"/>
    </row>
    <row r="1253" spans="1:14" ht="14.25" customHeight="1" x14ac:dyDescent="0.25">
      <c r="A1253" s="134"/>
      <c r="B1253" s="135"/>
      <c r="C1253" s="135"/>
      <c r="D1253" s="135"/>
      <c r="E1253" s="135"/>
      <c r="F1253" s="136"/>
      <c r="G1253" s="81"/>
      <c r="H1253" s="81"/>
      <c r="I1253" s="81"/>
      <c r="J1253" s="81"/>
      <c r="K1253" s="81"/>
      <c r="L1253" s="81"/>
      <c r="M1253" s="81"/>
      <c r="N1253" s="81"/>
    </row>
    <row r="1254" spans="1:14" ht="14.25" customHeight="1" x14ac:dyDescent="0.25">
      <c r="A1254" s="81"/>
      <c r="B1254" s="81"/>
      <c r="C1254" s="137"/>
      <c r="D1254" s="81"/>
      <c r="E1254" s="81"/>
      <c r="F1254" s="81"/>
      <c r="G1254" s="81"/>
      <c r="H1254" s="81"/>
      <c r="I1254" s="81"/>
      <c r="J1254" s="81"/>
      <c r="K1254" s="81"/>
      <c r="L1254" s="81"/>
      <c r="M1254" s="81"/>
      <c r="N1254" s="81"/>
    </row>
    <row r="1255" spans="1:14" ht="14.25" customHeight="1" x14ac:dyDescent="0.25">
      <c r="A1255" s="81"/>
      <c r="B1255" s="81"/>
      <c r="C1255" s="137"/>
      <c r="D1255" s="81"/>
      <c r="E1255" s="81"/>
      <c r="F1255" s="81"/>
      <c r="G1255" s="81"/>
      <c r="H1255" s="81"/>
      <c r="I1255" s="81"/>
      <c r="J1255" s="81"/>
      <c r="K1255" s="81"/>
      <c r="L1255" s="81"/>
      <c r="M1255" s="81"/>
      <c r="N1255" s="81"/>
    </row>
    <row r="1256" spans="1:14" ht="14.25" customHeight="1" x14ac:dyDescent="0.25">
      <c r="A1256" s="81"/>
      <c r="B1256" s="81"/>
      <c r="C1256" s="137"/>
      <c r="D1256" s="81"/>
      <c r="E1256" s="81"/>
      <c r="F1256" s="81"/>
      <c r="G1256" s="81"/>
      <c r="H1256" s="81"/>
      <c r="I1256" s="81"/>
      <c r="J1256" s="81"/>
      <c r="K1256" s="81"/>
      <c r="L1256" s="81"/>
      <c r="M1256" s="81"/>
      <c r="N1256" s="81"/>
    </row>
    <row r="1257" spans="1:14" ht="14.25" customHeight="1" x14ac:dyDescent="0.25">
      <c r="A1257" s="81"/>
      <c r="B1257" s="81"/>
      <c r="C1257" s="137"/>
      <c r="D1257" s="81"/>
      <c r="E1257" s="81"/>
      <c r="F1257" s="81"/>
      <c r="G1257" s="81"/>
      <c r="H1257" s="81"/>
      <c r="I1257" s="81"/>
      <c r="J1257" s="81"/>
      <c r="K1257" s="81"/>
      <c r="L1257" s="81"/>
      <c r="M1257" s="81"/>
      <c r="N1257" s="81"/>
    </row>
    <row r="1258" spans="1:14" ht="14.25" customHeight="1" x14ac:dyDescent="0.25">
      <c r="A1258" s="81"/>
      <c r="B1258" s="81"/>
      <c r="C1258" s="137"/>
      <c r="D1258" s="81"/>
      <c r="E1258" s="81"/>
      <c r="F1258" s="81"/>
      <c r="G1258" s="81"/>
      <c r="H1258" s="81"/>
      <c r="I1258" s="81"/>
      <c r="J1258" s="81"/>
      <c r="K1258" s="81"/>
      <c r="L1258" s="81"/>
      <c r="M1258" s="81"/>
      <c r="N1258" s="81"/>
    </row>
    <row r="1259" spans="1:14" ht="14.25" customHeight="1" x14ac:dyDescent="0.25">
      <c r="A1259" s="134"/>
      <c r="B1259" s="135"/>
      <c r="C1259" s="135"/>
      <c r="D1259" s="135"/>
      <c r="E1259" s="135"/>
      <c r="F1259" s="136"/>
      <c r="G1259" s="81"/>
      <c r="H1259" s="81"/>
      <c r="I1259" s="81"/>
      <c r="J1259" s="81"/>
      <c r="K1259" s="81"/>
      <c r="L1259" s="81"/>
      <c r="M1259" s="81"/>
      <c r="N1259" s="81"/>
    </row>
    <row r="1260" spans="1:14" ht="14.25" customHeight="1" x14ac:dyDescent="0.25">
      <c r="A1260" s="134"/>
      <c r="B1260" s="135"/>
      <c r="C1260" s="135"/>
      <c r="D1260" s="135"/>
      <c r="E1260" s="135"/>
      <c r="F1260" s="136"/>
      <c r="G1260" s="81"/>
      <c r="H1260" s="81"/>
      <c r="I1260" s="81"/>
      <c r="J1260" s="81"/>
      <c r="K1260" s="81"/>
      <c r="L1260" s="81"/>
      <c r="M1260" s="81"/>
      <c r="N1260" s="81"/>
    </row>
    <row r="1261" spans="1:14" ht="14.25" customHeight="1" x14ac:dyDescent="0.25">
      <c r="A1261" s="134"/>
      <c r="B1261" s="135"/>
      <c r="C1261" s="135"/>
      <c r="D1261" s="135"/>
      <c r="E1261" s="135"/>
      <c r="F1261" s="136"/>
      <c r="G1261" s="81"/>
      <c r="H1261" s="81"/>
      <c r="I1261" s="81"/>
      <c r="J1261" s="81"/>
      <c r="K1261" s="81"/>
      <c r="L1261" s="81"/>
      <c r="M1261" s="81"/>
      <c r="N1261" s="81"/>
    </row>
    <row r="1262" spans="1:14" ht="14.25" customHeight="1" thickBot="1" x14ac:dyDescent="0.3">
      <c r="A1262" s="81"/>
      <c r="B1262" s="81"/>
      <c r="C1262" s="81"/>
      <c r="D1262" s="81"/>
      <c r="E1262" s="81"/>
      <c r="F1262" s="81"/>
      <c r="G1262" s="81"/>
      <c r="H1262" s="81"/>
      <c r="I1262" s="81"/>
      <c r="J1262" s="81"/>
      <c r="K1262" s="81"/>
      <c r="L1262" s="81"/>
      <c r="M1262" s="81"/>
      <c r="N1262" s="81"/>
    </row>
    <row r="1263" spans="1:14" ht="14.25" customHeight="1" x14ac:dyDescent="0.25">
      <c r="A1263" s="83"/>
      <c r="B1263" s="84"/>
      <c r="C1263" s="85"/>
      <c r="D1263" s="86"/>
      <c r="E1263" s="86"/>
      <c r="F1263" s="87"/>
      <c r="G1263" s="81"/>
      <c r="H1263" s="81"/>
      <c r="I1263" s="81"/>
      <c r="J1263" s="81"/>
      <c r="K1263" s="81"/>
      <c r="L1263" s="81"/>
      <c r="M1263" s="81"/>
      <c r="N1263" s="81"/>
    </row>
    <row r="1264" spans="1:14" ht="14.25" customHeight="1" x14ac:dyDescent="0.25">
      <c r="A1264" s="599"/>
      <c r="B1264" s="600"/>
      <c r="C1264" s="600"/>
      <c r="D1264" s="600"/>
      <c r="E1264" s="600"/>
      <c r="F1264" s="601"/>
      <c r="G1264" s="81"/>
      <c r="H1264" s="81"/>
      <c r="I1264" s="81"/>
      <c r="J1264" s="81"/>
      <c r="K1264" s="81"/>
      <c r="L1264" s="81"/>
      <c r="M1264" s="81"/>
      <c r="N1264" s="81"/>
    </row>
    <row r="1265" spans="1:14" ht="14.25" customHeight="1" x14ac:dyDescent="0.25">
      <c r="A1265" s="602" t="s">
        <v>561</v>
      </c>
      <c r="B1265" s="600"/>
      <c r="C1265" s="600"/>
      <c r="D1265" s="600"/>
      <c r="E1265" s="600"/>
      <c r="F1265" s="601"/>
      <c r="G1265" s="81"/>
      <c r="H1265" s="81"/>
      <c r="I1265" s="81"/>
      <c r="J1265" s="81"/>
      <c r="K1265" s="81"/>
      <c r="L1265" s="81"/>
      <c r="M1265" s="81"/>
      <c r="N1265" s="81"/>
    </row>
    <row r="1266" spans="1:14" ht="14.25" customHeight="1" thickBot="1" x14ac:dyDescent="0.3">
      <c r="A1266" s="603"/>
      <c r="B1266" s="604"/>
      <c r="C1266" s="604"/>
      <c r="D1266" s="604"/>
      <c r="E1266" s="604"/>
      <c r="F1266" s="605"/>
      <c r="G1266" s="81"/>
      <c r="H1266" s="81"/>
      <c r="I1266" s="81"/>
      <c r="J1266" s="81"/>
      <c r="K1266" s="81"/>
      <c r="L1266" s="81"/>
      <c r="M1266" s="81"/>
      <c r="N1266" s="81"/>
    </row>
    <row r="1267" spans="1:14" ht="14.25" customHeight="1" x14ac:dyDescent="0.25">
      <c r="A1267" s="88"/>
      <c r="B1267" s="88"/>
      <c r="C1267" s="89"/>
      <c r="D1267" s="89"/>
      <c r="E1267" s="89"/>
      <c r="F1267" s="89"/>
      <c r="G1267" s="81"/>
      <c r="H1267" s="81"/>
      <c r="I1267" s="81"/>
      <c r="J1267" s="81"/>
      <c r="K1267" s="81"/>
      <c r="L1267" s="81"/>
      <c r="M1267" s="81"/>
      <c r="N1267" s="81"/>
    </row>
    <row r="1268" spans="1:14" ht="14.25" customHeight="1" x14ac:dyDescent="0.25">
      <c r="A1268" s="90" t="s">
        <v>47</v>
      </c>
      <c r="B1268" s="613" t="s">
        <v>101</v>
      </c>
      <c r="C1268" s="600"/>
      <c r="D1268" s="600"/>
      <c r="E1268" s="600"/>
      <c r="F1268" s="600"/>
      <c r="G1268" s="81"/>
      <c r="H1268" s="81"/>
      <c r="I1268" s="81"/>
      <c r="J1268" s="81"/>
      <c r="K1268" s="81"/>
      <c r="L1268" s="81"/>
      <c r="M1268" s="81"/>
      <c r="N1268" s="81"/>
    </row>
    <row r="1269" spans="1:14" ht="14.25" customHeight="1" x14ac:dyDescent="0.25">
      <c r="A1269" s="91"/>
      <c r="B1269" s="91"/>
      <c r="C1269" s="91"/>
      <c r="D1269" s="91"/>
      <c r="E1269" s="91"/>
      <c r="F1269" s="91"/>
      <c r="G1269" s="81"/>
      <c r="H1269" s="81"/>
      <c r="I1269" s="81"/>
      <c r="J1269" s="81"/>
      <c r="K1269" s="81"/>
      <c r="L1269" s="81"/>
      <c r="M1269" s="81"/>
      <c r="N1269" s="81"/>
    </row>
    <row r="1270" spans="1:14" ht="14.25" customHeight="1" x14ac:dyDescent="0.25">
      <c r="A1270" s="88" t="s">
        <v>49</v>
      </c>
      <c r="B1270" s="92" t="s">
        <v>59</v>
      </c>
      <c r="C1270" s="89"/>
      <c r="D1270" s="89"/>
      <c r="E1270" s="89"/>
      <c r="F1270" s="93"/>
      <c r="G1270" s="81"/>
      <c r="H1270" s="81"/>
      <c r="I1270" s="81"/>
      <c r="J1270" s="81"/>
      <c r="K1270" s="81"/>
      <c r="L1270" s="81"/>
      <c r="M1270" s="81"/>
      <c r="N1270" s="81"/>
    </row>
    <row r="1271" spans="1:14" ht="14.25" customHeight="1" x14ac:dyDescent="0.25">
      <c r="A1271" s="88"/>
      <c r="B1271" s="94"/>
      <c r="C1271" s="89"/>
      <c r="D1271" s="89"/>
      <c r="E1271" s="89"/>
      <c r="F1271" s="93"/>
      <c r="G1271" s="81"/>
      <c r="H1271" s="81"/>
      <c r="I1271" s="81"/>
      <c r="J1271" s="81"/>
      <c r="K1271" s="81"/>
      <c r="L1271" s="81"/>
      <c r="M1271" s="81"/>
      <c r="N1271" s="81"/>
    </row>
    <row r="1272" spans="1:14" ht="14.25" customHeight="1" x14ac:dyDescent="0.25">
      <c r="A1272" s="95" t="s">
        <v>562</v>
      </c>
      <c r="B1272" s="96"/>
      <c r="C1272" s="92"/>
      <c r="D1272" s="92"/>
      <c r="E1272" s="92"/>
      <c r="F1272" s="92"/>
      <c r="G1272" s="81"/>
      <c r="H1272" s="81"/>
      <c r="I1272" s="81"/>
      <c r="J1272" s="81"/>
      <c r="K1272" s="81"/>
      <c r="L1272" s="81"/>
      <c r="M1272" s="81"/>
      <c r="N1272" s="81"/>
    </row>
    <row r="1273" spans="1:14" ht="14.25" customHeight="1" x14ac:dyDescent="0.25">
      <c r="A1273" s="97" t="s">
        <v>563</v>
      </c>
      <c r="B1273" s="98" t="s">
        <v>564</v>
      </c>
      <c r="C1273" s="98" t="s">
        <v>565</v>
      </c>
      <c r="D1273" s="98" t="s">
        <v>566</v>
      </c>
      <c r="E1273" s="98" t="s">
        <v>567</v>
      </c>
      <c r="F1273" s="98" t="s">
        <v>568</v>
      </c>
      <c r="G1273" s="81"/>
      <c r="H1273" s="81"/>
      <c r="I1273" s="81"/>
      <c r="J1273" s="81"/>
      <c r="K1273" s="81"/>
      <c r="L1273" s="81"/>
      <c r="M1273" s="81"/>
      <c r="N1273" s="81"/>
    </row>
    <row r="1274" spans="1:14" ht="14.25" customHeight="1" x14ac:dyDescent="0.25">
      <c r="A1274" s="99" t="s">
        <v>636</v>
      </c>
      <c r="B1274" s="100" t="s">
        <v>99</v>
      </c>
      <c r="C1274" s="101">
        <v>7850</v>
      </c>
      <c r="D1274" s="104">
        <v>0.08</v>
      </c>
      <c r="E1274" s="102">
        <v>0.05</v>
      </c>
      <c r="F1274" s="101">
        <f t="shared" ref="F1274:F1279" si="69">C1274*(D1274+(D1274*E1274))</f>
        <v>659.40000000000009</v>
      </c>
      <c r="G1274" s="81"/>
      <c r="H1274" s="81"/>
      <c r="I1274" s="81"/>
      <c r="J1274" s="81"/>
      <c r="K1274" s="81"/>
      <c r="L1274" s="81"/>
      <c r="M1274" s="81"/>
      <c r="N1274" s="81"/>
    </row>
    <row r="1275" spans="1:14" ht="14.25" customHeight="1" x14ac:dyDescent="0.25">
      <c r="A1275" s="99"/>
      <c r="B1275" s="100"/>
      <c r="C1275" s="101"/>
      <c r="D1275" s="104"/>
      <c r="E1275" s="102"/>
      <c r="F1275" s="101">
        <f t="shared" si="69"/>
        <v>0</v>
      </c>
      <c r="G1275" s="81"/>
      <c r="H1275" s="81"/>
      <c r="I1275" s="81"/>
      <c r="J1275" s="81"/>
      <c r="K1275" s="81"/>
      <c r="L1275" s="81"/>
      <c r="M1275" s="81"/>
      <c r="N1275" s="81"/>
    </row>
    <row r="1276" spans="1:14" ht="14.25" customHeight="1" x14ac:dyDescent="0.25">
      <c r="A1276" s="99"/>
      <c r="B1276" s="100"/>
      <c r="C1276" s="101"/>
      <c r="D1276" s="104"/>
      <c r="E1276" s="102"/>
      <c r="F1276" s="101">
        <f t="shared" si="69"/>
        <v>0</v>
      </c>
      <c r="G1276" s="81"/>
      <c r="H1276" s="81"/>
      <c r="I1276" s="81"/>
      <c r="J1276" s="81"/>
      <c r="K1276" s="81"/>
      <c r="L1276" s="81"/>
      <c r="M1276" s="81"/>
      <c r="N1276" s="81"/>
    </row>
    <row r="1277" spans="1:14" ht="14.25" customHeight="1" x14ac:dyDescent="0.25">
      <c r="A1277" s="99"/>
      <c r="B1277" s="100"/>
      <c r="C1277" s="101"/>
      <c r="D1277" s="104"/>
      <c r="E1277" s="102"/>
      <c r="F1277" s="101">
        <f t="shared" si="69"/>
        <v>0</v>
      </c>
      <c r="G1277" s="81"/>
      <c r="H1277" s="81"/>
      <c r="I1277" s="81"/>
      <c r="J1277" s="81"/>
      <c r="K1277" s="81"/>
      <c r="L1277" s="81"/>
      <c r="M1277" s="81"/>
      <c r="N1277" s="81"/>
    </row>
    <row r="1278" spans="1:14" ht="14.25" customHeight="1" x14ac:dyDescent="0.25">
      <c r="A1278" s="99"/>
      <c r="B1278" s="100"/>
      <c r="C1278" s="101"/>
      <c r="D1278" s="104"/>
      <c r="E1278" s="102"/>
      <c r="F1278" s="101">
        <f t="shared" si="69"/>
        <v>0</v>
      </c>
      <c r="G1278" s="81"/>
      <c r="H1278" s="81"/>
      <c r="I1278" s="81"/>
      <c r="J1278" s="81"/>
      <c r="K1278" s="81"/>
      <c r="L1278" s="81"/>
      <c r="M1278" s="81"/>
      <c r="N1278" s="81"/>
    </row>
    <row r="1279" spans="1:14" ht="14.25" customHeight="1" x14ac:dyDescent="0.25">
      <c r="A1279" s="99"/>
      <c r="B1279" s="100"/>
      <c r="C1279" s="101"/>
      <c r="D1279" s="104"/>
      <c r="E1279" s="102"/>
      <c r="F1279" s="101">
        <f t="shared" si="69"/>
        <v>0</v>
      </c>
      <c r="G1279" s="81"/>
      <c r="H1279" s="81"/>
      <c r="I1279" s="81"/>
      <c r="J1279" s="81"/>
      <c r="K1279" s="81"/>
      <c r="L1279" s="81"/>
      <c r="M1279" s="81"/>
      <c r="N1279" s="81"/>
    </row>
    <row r="1280" spans="1:14" ht="14.25" customHeight="1" x14ac:dyDescent="0.25">
      <c r="A1280" s="99"/>
      <c r="B1280" s="100"/>
      <c r="C1280" s="106"/>
      <c r="D1280" s="107"/>
      <c r="E1280" s="108"/>
      <c r="F1280" s="106"/>
      <c r="G1280" s="81"/>
      <c r="H1280" s="81"/>
      <c r="I1280" s="81"/>
      <c r="J1280" s="81"/>
      <c r="K1280" s="81"/>
      <c r="L1280" s="81"/>
      <c r="M1280" s="81"/>
      <c r="N1280" s="81"/>
    </row>
    <row r="1281" spans="1:14" ht="14.25" customHeight="1" x14ac:dyDescent="0.25">
      <c r="A1281" s="97" t="s">
        <v>548</v>
      </c>
      <c r="B1281" s="97"/>
      <c r="C1281" s="109"/>
      <c r="D1281" s="110"/>
      <c r="E1281" s="111"/>
      <c r="F1281" s="112">
        <f>SUM(F1274:F1280)</f>
        <v>659.40000000000009</v>
      </c>
      <c r="G1281" s="81"/>
      <c r="H1281" s="81"/>
      <c r="I1281" s="81"/>
      <c r="J1281" s="81"/>
      <c r="K1281" s="81"/>
      <c r="L1281" s="81"/>
      <c r="M1281" s="81"/>
      <c r="N1281" s="81"/>
    </row>
    <row r="1282" spans="1:14" ht="14.25" customHeight="1" x14ac:dyDescent="0.25">
      <c r="A1282" s="88"/>
      <c r="B1282" s="88"/>
      <c r="C1282" s="113"/>
      <c r="D1282" s="113"/>
      <c r="E1282" s="114"/>
      <c r="F1282" s="113"/>
      <c r="G1282" s="81"/>
      <c r="H1282" s="81"/>
      <c r="I1282" s="81"/>
      <c r="J1282" s="81"/>
      <c r="K1282" s="81"/>
      <c r="L1282" s="81"/>
      <c r="M1282" s="81"/>
      <c r="N1282" s="81"/>
    </row>
    <row r="1283" spans="1:14" ht="14.25" customHeight="1" x14ac:dyDescent="0.25">
      <c r="A1283" s="96" t="s">
        <v>573</v>
      </c>
      <c r="B1283" s="96"/>
      <c r="C1283" s="92"/>
      <c r="D1283" s="92"/>
      <c r="E1283" s="92"/>
      <c r="F1283" s="92"/>
      <c r="G1283" s="81"/>
      <c r="H1283" s="81"/>
      <c r="I1283" s="81"/>
      <c r="J1283" s="81"/>
      <c r="K1283" s="81"/>
      <c r="L1283" s="81"/>
      <c r="M1283" s="81"/>
      <c r="N1283" s="81"/>
    </row>
    <row r="1284" spans="1:14" ht="14.25" customHeight="1" x14ac:dyDescent="0.25">
      <c r="A1284" s="611" t="s">
        <v>563</v>
      </c>
      <c r="B1284" s="608"/>
      <c r="C1284" s="609"/>
      <c r="D1284" s="98" t="s">
        <v>574</v>
      </c>
      <c r="E1284" s="98" t="s">
        <v>575</v>
      </c>
      <c r="F1284" s="98" t="s">
        <v>568</v>
      </c>
      <c r="G1284" s="81"/>
      <c r="H1284" s="81"/>
      <c r="I1284" s="81"/>
      <c r="J1284" s="81"/>
      <c r="K1284" s="81"/>
      <c r="L1284" s="81"/>
      <c r="M1284" s="81"/>
      <c r="N1284" s="81"/>
    </row>
    <row r="1285" spans="1:14" ht="14.25" customHeight="1" x14ac:dyDescent="0.25">
      <c r="A1285" s="607" t="s">
        <v>577</v>
      </c>
      <c r="B1285" s="608"/>
      <c r="C1285" s="609"/>
      <c r="D1285" s="116"/>
      <c r="E1285" s="107"/>
      <c r="F1285" s="106">
        <v>557</v>
      </c>
      <c r="G1285" s="81"/>
      <c r="H1285" s="81"/>
      <c r="I1285" s="81"/>
      <c r="J1285" s="81"/>
      <c r="K1285" s="81"/>
      <c r="L1285" s="81"/>
      <c r="M1285" s="81"/>
      <c r="N1285" s="81"/>
    </row>
    <row r="1286" spans="1:14" ht="14.25" customHeight="1" x14ac:dyDescent="0.25">
      <c r="A1286" s="607" t="s">
        <v>637</v>
      </c>
      <c r="B1286" s="608"/>
      <c r="C1286" s="609"/>
      <c r="D1286" s="142">
        <v>9150</v>
      </c>
      <c r="E1286" s="107">
        <v>20</v>
      </c>
      <c r="F1286" s="106">
        <f t="shared" ref="F1286:F1288" si="70">D1286/E1286</f>
        <v>457.5</v>
      </c>
      <c r="G1286" s="81"/>
      <c r="H1286" s="81"/>
      <c r="I1286" s="81"/>
      <c r="J1286" s="81"/>
      <c r="K1286" s="81"/>
      <c r="L1286" s="81"/>
      <c r="M1286" s="81"/>
      <c r="N1286" s="81"/>
    </row>
    <row r="1287" spans="1:14" ht="14.25" customHeight="1" x14ac:dyDescent="0.25">
      <c r="A1287" s="607" t="s">
        <v>638</v>
      </c>
      <c r="B1287" s="608"/>
      <c r="C1287" s="609"/>
      <c r="D1287" s="142">
        <v>7850</v>
      </c>
      <c r="E1287" s="107">
        <v>14</v>
      </c>
      <c r="F1287" s="106">
        <f t="shared" si="70"/>
        <v>560.71428571428567</v>
      </c>
      <c r="G1287" s="81"/>
      <c r="H1287" s="81"/>
      <c r="I1287" s="81"/>
      <c r="J1287" s="81"/>
      <c r="K1287" s="81"/>
      <c r="L1287" s="81"/>
      <c r="M1287" s="81"/>
      <c r="N1287" s="81"/>
    </row>
    <row r="1288" spans="1:14" ht="14.25" customHeight="1" x14ac:dyDescent="0.25">
      <c r="A1288" s="607" t="s">
        <v>639</v>
      </c>
      <c r="B1288" s="608"/>
      <c r="C1288" s="609"/>
      <c r="D1288" s="142">
        <v>5150</v>
      </c>
      <c r="E1288" s="107">
        <v>8</v>
      </c>
      <c r="F1288" s="106">
        <f t="shared" si="70"/>
        <v>643.75</v>
      </c>
      <c r="G1288" s="81"/>
      <c r="H1288" s="81"/>
      <c r="I1288" s="81"/>
      <c r="J1288" s="81"/>
      <c r="K1288" s="81"/>
      <c r="L1288" s="81"/>
      <c r="M1288" s="81"/>
      <c r="N1288" s="81"/>
    </row>
    <row r="1289" spans="1:14" ht="14.25" customHeight="1" x14ac:dyDescent="0.25">
      <c r="A1289" s="610"/>
      <c r="B1289" s="608"/>
      <c r="C1289" s="609"/>
      <c r="D1289" s="115"/>
      <c r="E1289" s="107"/>
      <c r="F1289" s="106"/>
      <c r="G1289" s="81"/>
      <c r="H1289" s="81"/>
      <c r="I1289" s="81"/>
      <c r="J1289" s="81"/>
      <c r="K1289" s="81"/>
      <c r="L1289" s="81"/>
      <c r="M1289" s="81"/>
      <c r="N1289" s="81"/>
    </row>
    <row r="1290" spans="1:14" ht="14.25" customHeight="1" x14ac:dyDescent="0.25">
      <c r="A1290" s="611" t="s">
        <v>548</v>
      </c>
      <c r="B1290" s="608"/>
      <c r="C1290" s="609"/>
      <c r="D1290" s="110"/>
      <c r="E1290" s="110"/>
      <c r="F1290" s="112">
        <f>SUM(F1285:F1288)</f>
        <v>2218.9642857142858</v>
      </c>
      <c r="G1290" s="81"/>
      <c r="H1290" s="81"/>
      <c r="I1290" s="81"/>
      <c r="J1290" s="81"/>
      <c r="K1290" s="81"/>
      <c r="L1290" s="81"/>
      <c r="M1290" s="81"/>
      <c r="N1290" s="81"/>
    </row>
    <row r="1291" spans="1:14" ht="14.25" customHeight="1" x14ac:dyDescent="0.25">
      <c r="A1291" s="88"/>
      <c r="B1291" s="88"/>
      <c r="C1291" s="89"/>
      <c r="D1291" s="113"/>
      <c r="E1291" s="113"/>
      <c r="F1291" s="113"/>
      <c r="G1291" s="81"/>
      <c r="H1291" s="81"/>
      <c r="I1291" s="81"/>
      <c r="J1291" s="81"/>
      <c r="K1291" s="81"/>
      <c r="L1291" s="81"/>
      <c r="M1291" s="81"/>
      <c r="N1291" s="81"/>
    </row>
    <row r="1292" spans="1:14" ht="14.25" customHeight="1" x14ac:dyDescent="0.25">
      <c r="A1292" s="96" t="s">
        <v>578</v>
      </c>
      <c r="B1292" s="96"/>
      <c r="C1292" s="92"/>
      <c r="D1292" s="118"/>
      <c r="E1292" s="118"/>
      <c r="F1292" s="118"/>
      <c r="G1292" s="81"/>
      <c r="H1292" s="81"/>
      <c r="I1292" s="81"/>
      <c r="J1292" s="81"/>
      <c r="K1292" s="81"/>
      <c r="L1292" s="81"/>
      <c r="M1292" s="81"/>
      <c r="N1292" s="81"/>
    </row>
    <row r="1293" spans="1:14" ht="14.25" customHeight="1" x14ac:dyDescent="0.25">
      <c r="A1293" s="119" t="s">
        <v>563</v>
      </c>
      <c r="B1293" s="120" t="s">
        <v>579</v>
      </c>
      <c r="C1293" s="120" t="s">
        <v>580</v>
      </c>
      <c r="D1293" s="121" t="s">
        <v>581</v>
      </c>
      <c r="E1293" s="121" t="s">
        <v>575</v>
      </c>
      <c r="F1293" s="121" t="s">
        <v>568</v>
      </c>
      <c r="G1293" s="81"/>
      <c r="H1293" s="81"/>
      <c r="I1293" s="81"/>
      <c r="J1293" s="81"/>
      <c r="K1293" s="81"/>
      <c r="L1293" s="81"/>
      <c r="M1293" s="81"/>
      <c r="N1293" s="81"/>
    </row>
    <row r="1294" spans="1:14" ht="14.25" customHeight="1" x14ac:dyDescent="0.25">
      <c r="A1294" s="122" t="s">
        <v>593</v>
      </c>
      <c r="B1294" s="127">
        <v>1</v>
      </c>
      <c r="C1294" s="101">
        <v>32688</v>
      </c>
      <c r="D1294" s="101">
        <f t="shared" ref="D1294:D1295" si="71">+C1294*1.7</f>
        <v>55569.599999999999</v>
      </c>
      <c r="E1294" s="144">
        <v>40</v>
      </c>
      <c r="F1294" s="106">
        <f t="shared" ref="F1294:F1295" si="72">+B1294*(D1294)/E1294</f>
        <v>1389.24</v>
      </c>
      <c r="G1294" s="81"/>
      <c r="H1294" s="81"/>
      <c r="I1294" s="81"/>
      <c r="J1294" s="81"/>
      <c r="K1294" s="81"/>
      <c r="L1294" s="81"/>
      <c r="M1294" s="81"/>
      <c r="N1294" s="81"/>
    </row>
    <row r="1295" spans="1:14" ht="14.25" customHeight="1" x14ac:dyDescent="0.25">
      <c r="A1295" s="122" t="s">
        <v>594</v>
      </c>
      <c r="B1295" s="127">
        <v>1</v>
      </c>
      <c r="C1295" s="101">
        <v>52538</v>
      </c>
      <c r="D1295" s="101">
        <f t="shared" si="71"/>
        <v>89314.599999999991</v>
      </c>
      <c r="E1295" s="144">
        <f>E1294</f>
        <v>40</v>
      </c>
      <c r="F1295" s="106">
        <f t="shared" si="72"/>
        <v>2232.8649999999998</v>
      </c>
      <c r="G1295" s="81"/>
      <c r="H1295" s="81"/>
      <c r="I1295" s="81"/>
      <c r="J1295" s="81"/>
      <c r="K1295" s="81"/>
      <c r="L1295" s="81"/>
      <c r="M1295" s="81"/>
      <c r="N1295" s="81"/>
    </row>
    <row r="1296" spans="1:14" ht="14.25" customHeight="1" x14ac:dyDescent="0.25">
      <c r="A1296" s="122"/>
      <c r="B1296" s="127"/>
      <c r="C1296" s="101"/>
      <c r="D1296" s="101"/>
      <c r="E1296" s="107"/>
      <c r="F1296" s="106"/>
      <c r="G1296" s="81"/>
      <c r="H1296" s="81"/>
      <c r="I1296" s="81"/>
      <c r="J1296" s="81"/>
      <c r="K1296" s="81"/>
      <c r="L1296" s="81"/>
      <c r="M1296" s="81"/>
      <c r="N1296" s="81"/>
    </row>
    <row r="1297" spans="1:14" ht="14.25" customHeight="1" x14ac:dyDescent="0.25">
      <c r="A1297" s="122"/>
      <c r="B1297" s="127"/>
      <c r="C1297" s="101"/>
      <c r="D1297" s="101"/>
      <c r="E1297" s="125"/>
      <c r="F1297" s="106"/>
      <c r="G1297" s="81"/>
      <c r="H1297" s="81"/>
      <c r="I1297" s="81"/>
      <c r="J1297" s="81"/>
      <c r="K1297" s="81"/>
      <c r="L1297" s="81"/>
      <c r="M1297" s="81"/>
      <c r="N1297" s="81"/>
    </row>
    <row r="1298" spans="1:14" ht="14.25" customHeight="1" x14ac:dyDescent="0.25">
      <c r="A1298" s="97" t="s">
        <v>548</v>
      </c>
      <c r="B1298" s="128"/>
      <c r="C1298" s="110"/>
      <c r="D1298" s="110"/>
      <c r="E1298" s="110"/>
      <c r="F1298" s="112">
        <f>SUM(F1294:F1297)</f>
        <v>3622.1049999999996</v>
      </c>
      <c r="G1298" s="81"/>
      <c r="H1298" s="81"/>
      <c r="I1298" s="81"/>
      <c r="J1298" s="81"/>
      <c r="K1298" s="81"/>
      <c r="L1298" s="81"/>
      <c r="M1298" s="81"/>
      <c r="N1298" s="81"/>
    </row>
    <row r="1299" spans="1:14" ht="14.25" customHeight="1" x14ac:dyDescent="0.25">
      <c r="A1299" s="96"/>
      <c r="B1299" s="129"/>
      <c r="C1299" s="118"/>
      <c r="D1299" s="118"/>
      <c r="E1299" s="118"/>
      <c r="F1299" s="118"/>
      <c r="G1299" s="81"/>
      <c r="H1299" s="81"/>
      <c r="I1299" s="81"/>
      <c r="J1299" s="81"/>
      <c r="K1299" s="81"/>
      <c r="L1299" s="81"/>
      <c r="M1299" s="81"/>
      <c r="N1299" s="81"/>
    </row>
    <row r="1300" spans="1:14" ht="14.25" customHeight="1" x14ac:dyDescent="0.25">
      <c r="A1300" s="95" t="s">
        <v>583</v>
      </c>
      <c r="B1300" s="96"/>
      <c r="C1300" s="92"/>
      <c r="D1300" s="92"/>
      <c r="E1300" s="92" t="s">
        <v>584</v>
      </c>
      <c r="F1300" s="92"/>
      <c r="G1300" s="81"/>
      <c r="H1300" s="81"/>
      <c r="I1300" s="81"/>
      <c r="J1300" s="81"/>
      <c r="K1300" s="81"/>
      <c r="L1300" s="81"/>
      <c r="M1300" s="81"/>
      <c r="N1300" s="81"/>
    </row>
    <row r="1301" spans="1:14" ht="14.25" customHeight="1" x14ac:dyDescent="0.25">
      <c r="A1301" s="97" t="s">
        <v>563</v>
      </c>
      <c r="B1301" s="98" t="s">
        <v>564</v>
      </c>
      <c r="C1301" s="98" t="s">
        <v>585</v>
      </c>
      <c r="D1301" s="98" t="s">
        <v>586</v>
      </c>
      <c r="E1301" s="120" t="s">
        <v>587</v>
      </c>
      <c r="F1301" s="98" t="s">
        <v>568</v>
      </c>
      <c r="G1301" s="81"/>
      <c r="H1301" s="81"/>
      <c r="I1301" s="81"/>
      <c r="J1301" s="81"/>
      <c r="K1301" s="81"/>
      <c r="L1301" s="81"/>
      <c r="M1301" s="81"/>
      <c r="N1301" s="81"/>
    </row>
    <row r="1302" spans="1:14" ht="14.25" customHeight="1" x14ac:dyDescent="0.25">
      <c r="A1302" s="103" t="s">
        <v>604</v>
      </c>
      <c r="B1302" s="100" t="s">
        <v>605</v>
      </c>
      <c r="C1302" s="101">
        <v>1000</v>
      </c>
      <c r="D1302" s="140">
        <v>1.5</v>
      </c>
      <c r="E1302" s="107">
        <v>1</v>
      </c>
      <c r="F1302" s="109">
        <f>+C1302*D1302*E1302</f>
        <v>1500</v>
      </c>
      <c r="G1302" s="81"/>
      <c r="H1302" s="81"/>
      <c r="I1302" s="81"/>
      <c r="J1302" s="81"/>
      <c r="K1302" s="81"/>
      <c r="L1302" s="81"/>
      <c r="M1302" s="81"/>
      <c r="N1302" s="81"/>
    </row>
    <row r="1303" spans="1:14" ht="14.25" customHeight="1" x14ac:dyDescent="0.25">
      <c r="A1303" s="103"/>
      <c r="B1303" s="100"/>
      <c r="C1303" s="107"/>
      <c r="D1303" s="107"/>
      <c r="E1303" s="108"/>
      <c r="F1303" s="109"/>
      <c r="G1303" s="81"/>
      <c r="H1303" s="81"/>
      <c r="I1303" s="81"/>
      <c r="J1303" s="81"/>
      <c r="K1303" s="81"/>
      <c r="L1303" s="81"/>
      <c r="M1303" s="81"/>
      <c r="N1303" s="81"/>
    </row>
    <row r="1304" spans="1:14" ht="14.25" customHeight="1" x14ac:dyDescent="0.25">
      <c r="A1304" s="97" t="s">
        <v>548</v>
      </c>
      <c r="B1304" s="98"/>
      <c r="C1304" s="110"/>
      <c r="D1304" s="110"/>
      <c r="E1304" s="111"/>
      <c r="F1304" s="112">
        <f>SUM(F1302:F1303)</f>
        <v>1500</v>
      </c>
      <c r="G1304" s="81"/>
      <c r="H1304" s="81"/>
      <c r="I1304" s="81"/>
      <c r="J1304" s="81"/>
      <c r="K1304" s="81"/>
      <c r="L1304" s="81"/>
      <c r="M1304" s="81"/>
      <c r="N1304" s="81"/>
    </row>
    <row r="1305" spans="1:14" ht="14.25" customHeight="1" x14ac:dyDescent="0.25">
      <c r="A1305" s="88"/>
      <c r="B1305" s="89"/>
      <c r="C1305" s="113"/>
      <c r="D1305" s="113"/>
      <c r="E1305" s="114"/>
      <c r="F1305" s="113"/>
      <c r="G1305" s="81"/>
      <c r="H1305" s="81"/>
      <c r="I1305" s="81"/>
      <c r="J1305" s="81"/>
      <c r="K1305" s="81"/>
      <c r="L1305" s="81"/>
      <c r="M1305" s="81"/>
      <c r="N1305" s="81"/>
    </row>
    <row r="1306" spans="1:14" ht="14.25" customHeight="1" x14ac:dyDescent="0.25">
      <c r="A1306" s="88"/>
      <c r="B1306" s="89"/>
      <c r="C1306" s="113"/>
      <c r="D1306" s="113"/>
      <c r="E1306" s="114"/>
      <c r="F1306" s="113"/>
      <c r="G1306" s="81"/>
      <c r="H1306" s="81"/>
      <c r="I1306" s="81"/>
      <c r="J1306" s="81"/>
      <c r="K1306" s="81"/>
      <c r="L1306" s="81"/>
      <c r="M1306" s="81"/>
      <c r="N1306" s="81"/>
    </row>
    <row r="1307" spans="1:14" ht="14.25" customHeight="1" x14ac:dyDescent="0.25">
      <c r="A1307" s="612" t="s">
        <v>588</v>
      </c>
      <c r="B1307" s="608"/>
      <c r="C1307" s="608"/>
      <c r="D1307" s="608"/>
      <c r="E1307" s="609"/>
      <c r="F1307" s="131">
        <f>ROUND(F1281+F1290+F1298+F1304,0)</f>
        <v>8000</v>
      </c>
      <c r="G1307" s="81"/>
      <c r="H1307" s="117"/>
      <c r="I1307" s="81"/>
      <c r="J1307" s="81"/>
      <c r="K1307" s="81"/>
      <c r="L1307" s="81"/>
      <c r="M1307" s="81"/>
      <c r="N1307" s="81"/>
    </row>
    <row r="1308" spans="1:14" ht="14.25" customHeight="1" x14ac:dyDescent="0.25">
      <c r="A1308" s="612" t="s">
        <v>589</v>
      </c>
      <c r="B1308" s="608"/>
      <c r="C1308" s="608"/>
      <c r="D1308" s="608"/>
      <c r="E1308" s="609"/>
      <c r="F1308" s="132"/>
      <c r="G1308" s="81"/>
      <c r="H1308" s="81"/>
      <c r="I1308" s="81"/>
      <c r="J1308" s="81"/>
      <c r="K1308" s="81"/>
      <c r="L1308" s="81"/>
      <c r="M1308" s="81"/>
      <c r="N1308" s="81"/>
    </row>
    <row r="1309" spans="1:14" ht="14.25" customHeight="1" x14ac:dyDescent="0.25">
      <c r="A1309" s="146" t="s">
        <v>556</v>
      </c>
      <c r="B1309" s="147"/>
      <c r="C1309" s="147"/>
      <c r="D1309" s="147"/>
      <c r="E1309" s="148"/>
      <c r="F1309" s="133"/>
      <c r="G1309" s="81"/>
      <c r="H1309" s="81"/>
      <c r="I1309" s="81"/>
      <c r="J1309" s="81"/>
      <c r="K1309" s="81"/>
      <c r="L1309" s="81"/>
      <c r="M1309" s="81"/>
      <c r="N1309" s="81"/>
    </row>
    <row r="1310" spans="1:14" ht="14.25" customHeight="1" x14ac:dyDescent="0.25">
      <c r="A1310" s="134"/>
      <c r="B1310" s="135"/>
      <c r="C1310" s="135"/>
      <c r="D1310" s="135"/>
      <c r="E1310" s="135"/>
      <c r="F1310" s="136"/>
      <c r="G1310" s="81"/>
      <c r="H1310" s="81"/>
      <c r="I1310" s="81"/>
      <c r="J1310" s="81"/>
      <c r="K1310" s="81"/>
      <c r="L1310" s="81"/>
      <c r="M1310" s="81"/>
      <c r="N1310" s="81"/>
    </row>
    <row r="1311" spans="1:14" ht="14.25" customHeight="1" x14ac:dyDescent="0.25">
      <c r="A1311" s="81"/>
      <c r="B1311" s="81"/>
      <c r="C1311" s="137"/>
      <c r="D1311" s="81"/>
      <c r="E1311" s="81"/>
      <c r="F1311" s="81"/>
      <c r="G1311" s="81"/>
      <c r="H1311" s="143"/>
      <c r="I1311" s="81"/>
      <c r="J1311" s="81"/>
      <c r="K1311" s="81"/>
      <c r="L1311" s="81"/>
      <c r="M1311" s="81"/>
      <c r="N1311" s="81"/>
    </row>
    <row r="1312" spans="1:14" ht="14.25" customHeight="1" x14ac:dyDescent="0.25">
      <c r="A1312" s="81"/>
      <c r="B1312" s="81"/>
      <c r="C1312" s="137"/>
      <c r="D1312" s="81"/>
      <c r="E1312" s="81"/>
      <c r="F1312" s="81"/>
      <c r="G1312" s="81"/>
      <c r="H1312" s="81"/>
      <c r="I1312" s="81"/>
      <c r="J1312" s="81"/>
      <c r="K1312" s="81"/>
      <c r="L1312" s="81"/>
      <c r="M1312" s="81"/>
      <c r="N1312" s="81"/>
    </row>
    <row r="1313" spans="1:14" ht="14.25" customHeight="1" x14ac:dyDescent="0.25">
      <c r="A1313" s="81"/>
      <c r="B1313" s="81"/>
      <c r="C1313" s="137"/>
      <c r="D1313" s="81"/>
      <c r="E1313" s="81"/>
      <c r="F1313" s="81"/>
      <c r="G1313" s="81"/>
      <c r="H1313" s="81"/>
      <c r="I1313" s="81"/>
      <c r="J1313" s="81"/>
      <c r="K1313" s="81"/>
      <c r="L1313" s="81"/>
      <c r="M1313" s="81"/>
      <c r="N1313" s="81"/>
    </row>
    <row r="1314" spans="1:14" ht="14.25" customHeight="1" x14ac:dyDescent="0.25">
      <c r="A1314" s="81"/>
      <c r="B1314" s="81"/>
      <c r="C1314" s="137"/>
      <c r="D1314" s="81"/>
      <c r="E1314" s="81"/>
      <c r="F1314" s="81"/>
      <c r="G1314" s="81"/>
      <c r="H1314" s="81"/>
      <c r="I1314" s="81"/>
      <c r="J1314" s="81"/>
      <c r="K1314" s="81"/>
      <c r="L1314" s="81"/>
      <c r="M1314" s="81"/>
      <c r="N1314" s="81"/>
    </row>
    <row r="1315" spans="1:14" ht="14.25" customHeight="1" x14ac:dyDescent="0.25">
      <c r="A1315" s="81"/>
      <c r="B1315" s="81"/>
      <c r="C1315" s="137"/>
      <c r="D1315" s="81"/>
      <c r="E1315" s="81"/>
      <c r="F1315" s="81"/>
      <c r="G1315" s="81"/>
      <c r="H1315" s="81"/>
      <c r="I1315" s="81"/>
      <c r="J1315" s="81"/>
      <c r="K1315" s="81"/>
      <c r="L1315" s="81"/>
      <c r="M1315" s="81"/>
      <c r="N1315" s="81"/>
    </row>
    <row r="1316" spans="1:14" ht="14.25" customHeight="1" x14ac:dyDescent="0.25">
      <c r="A1316" s="134"/>
      <c r="B1316" s="135"/>
      <c r="C1316" s="135"/>
      <c r="D1316" s="135"/>
      <c r="E1316" s="135"/>
      <c r="F1316" s="136"/>
      <c r="G1316" s="81"/>
      <c r="H1316" s="81"/>
      <c r="I1316" s="81"/>
      <c r="J1316" s="81"/>
      <c r="K1316" s="81"/>
      <c r="L1316" s="81"/>
      <c r="M1316" s="81"/>
      <c r="N1316" s="81"/>
    </row>
    <row r="1317" spans="1:14" ht="14.25" customHeight="1" x14ac:dyDescent="0.25">
      <c r="A1317" s="134"/>
      <c r="B1317" s="135"/>
      <c r="C1317" s="135"/>
      <c r="D1317" s="135"/>
      <c r="E1317" s="135"/>
      <c r="F1317" s="136"/>
      <c r="G1317" s="81"/>
      <c r="H1317" s="81"/>
      <c r="I1317" s="81"/>
      <c r="J1317" s="81"/>
      <c r="K1317" s="81"/>
      <c r="L1317" s="81"/>
      <c r="M1317" s="81"/>
      <c r="N1317" s="81"/>
    </row>
    <row r="1318" spans="1:14" ht="14.25" customHeight="1" x14ac:dyDescent="0.25">
      <c r="A1318" s="134"/>
      <c r="B1318" s="135"/>
      <c r="C1318" s="135"/>
      <c r="D1318" s="135"/>
      <c r="E1318" s="135"/>
      <c r="F1318" s="136"/>
      <c r="G1318" s="81"/>
      <c r="H1318" s="81"/>
      <c r="I1318" s="81"/>
      <c r="J1318" s="81"/>
      <c r="K1318" s="81"/>
      <c r="L1318" s="81"/>
      <c r="M1318" s="81"/>
      <c r="N1318" s="81"/>
    </row>
    <row r="1319" spans="1:14" ht="14.25" customHeight="1" thickBot="1" x14ac:dyDescent="0.3">
      <c r="A1319" s="81"/>
      <c r="B1319" s="81"/>
      <c r="C1319" s="81"/>
      <c r="D1319" s="81"/>
      <c r="E1319" s="81"/>
      <c r="F1319" s="81"/>
      <c r="G1319" s="81"/>
      <c r="H1319" s="81"/>
      <c r="I1319" s="81"/>
      <c r="J1319" s="81"/>
      <c r="K1319" s="81"/>
      <c r="L1319" s="81"/>
      <c r="M1319" s="81"/>
      <c r="N1319" s="81"/>
    </row>
    <row r="1320" spans="1:14" ht="14.25" customHeight="1" x14ac:dyDescent="0.25">
      <c r="A1320" s="83"/>
      <c r="B1320" s="84"/>
      <c r="C1320" s="85"/>
      <c r="D1320" s="86"/>
      <c r="E1320" s="86"/>
      <c r="F1320" s="87"/>
      <c r="G1320" s="81"/>
      <c r="H1320" s="81"/>
      <c r="I1320" s="81"/>
      <c r="J1320" s="81"/>
      <c r="K1320" s="81"/>
      <c r="L1320" s="81"/>
      <c r="M1320" s="81"/>
      <c r="N1320" s="81"/>
    </row>
    <row r="1321" spans="1:14" ht="14.25" customHeight="1" x14ac:dyDescent="0.25">
      <c r="A1321" s="599"/>
      <c r="B1321" s="600"/>
      <c r="C1321" s="600"/>
      <c r="D1321" s="600"/>
      <c r="E1321" s="600"/>
      <c r="F1321" s="601"/>
      <c r="G1321" s="81"/>
      <c r="H1321" s="81"/>
      <c r="I1321" s="81"/>
      <c r="J1321" s="81"/>
      <c r="K1321" s="81"/>
      <c r="L1321" s="81"/>
      <c r="M1321" s="81"/>
      <c r="N1321" s="81"/>
    </row>
    <row r="1322" spans="1:14" ht="14.25" customHeight="1" x14ac:dyDescent="0.25">
      <c r="A1322" s="602" t="s">
        <v>561</v>
      </c>
      <c r="B1322" s="600"/>
      <c r="C1322" s="600"/>
      <c r="D1322" s="600"/>
      <c r="E1322" s="600"/>
      <c r="F1322" s="601"/>
      <c r="G1322" s="81"/>
      <c r="H1322" s="81"/>
      <c r="I1322" s="81"/>
      <c r="J1322" s="81"/>
      <c r="K1322" s="81"/>
      <c r="L1322" s="81"/>
      <c r="M1322" s="81"/>
      <c r="N1322" s="81"/>
    </row>
    <row r="1323" spans="1:14" ht="14.25" customHeight="1" thickBot="1" x14ac:dyDescent="0.3">
      <c r="A1323" s="603"/>
      <c r="B1323" s="604"/>
      <c r="C1323" s="604"/>
      <c r="D1323" s="604"/>
      <c r="E1323" s="604"/>
      <c r="F1323" s="605"/>
      <c r="G1323" s="81"/>
      <c r="H1323" s="81"/>
      <c r="I1323" s="81"/>
      <c r="J1323" s="81"/>
      <c r="K1323" s="81"/>
      <c r="L1323" s="81"/>
      <c r="M1323" s="81"/>
      <c r="N1323" s="81"/>
    </row>
    <row r="1324" spans="1:14" ht="14.25" customHeight="1" x14ac:dyDescent="0.25">
      <c r="A1324" s="88"/>
      <c r="B1324" s="88"/>
      <c r="C1324" s="89"/>
      <c r="D1324" s="89"/>
      <c r="E1324" s="89"/>
      <c r="F1324" s="89"/>
      <c r="G1324" s="81"/>
      <c r="H1324" s="81"/>
      <c r="I1324" s="81"/>
      <c r="J1324" s="81"/>
      <c r="K1324" s="81"/>
      <c r="L1324" s="81"/>
      <c r="M1324" s="81"/>
      <c r="N1324" s="81"/>
    </row>
    <row r="1325" spans="1:14" ht="14.25" customHeight="1" x14ac:dyDescent="0.25">
      <c r="A1325" s="90" t="s">
        <v>47</v>
      </c>
      <c r="B1325" s="613" t="s">
        <v>105</v>
      </c>
      <c r="C1325" s="600"/>
      <c r="D1325" s="600"/>
      <c r="E1325" s="600"/>
      <c r="F1325" s="600"/>
      <c r="G1325" s="81"/>
      <c r="H1325" s="81"/>
      <c r="I1325" s="81"/>
      <c r="J1325" s="81"/>
      <c r="K1325" s="81"/>
      <c r="L1325" s="81"/>
      <c r="M1325" s="81"/>
      <c r="N1325" s="81"/>
    </row>
    <row r="1326" spans="1:14" ht="14.25" customHeight="1" x14ac:dyDescent="0.25">
      <c r="A1326" s="91"/>
      <c r="B1326" s="91"/>
      <c r="C1326" s="91"/>
      <c r="D1326" s="91"/>
      <c r="E1326" s="91"/>
      <c r="F1326" s="91"/>
      <c r="G1326" s="81"/>
      <c r="H1326" s="81"/>
      <c r="I1326" s="81"/>
      <c r="J1326" s="81"/>
      <c r="K1326" s="81"/>
      <c r="L1326" s="81"/>
      <c r="M1326" s="81"/>
      <c r="N1326" s="81"/>
    </row>
    <row r="1327" spans="1:14" ht="14.25" customHeight="1" x14ac:dyDescent="0.25">
      <c r="A1327" s="88" t="s">
        <v>49</v>
      </c>
      <c r="B1327" s="92" t="s">
        <v>56</v>
      </c>
      <c r="C1327" s="89"/>
      <c r="D1327" s="89"/>
      <c r="E1327" s="89"/>
      <c r="F1327" s="93"/>
      <c r="G1327" s="81"/>
      <c r="H1327" s="81"/>
      <c r="I1327" s="81"/>
      <c r="J1327" s="81"/>
      <c r="K1327" s="81"/>
      <c r="L1327" s="81"/>
      <c r="M1327" s="81"/>
      <c r="N1327" s="81"/>
    </row>
    <row r="1328" spans="1:14" ht="14.25" customHeight="1" x14ac:dyDescent="0.25">
      <c r="A1328" s="88"/>
      <c r="B1328" s="94"/>
      <c r="C1328" s="89"/>
      <c r="D1328" s="89"/>
      <c r="E1328" s="89"/>
      <c r="F1328" s="93"/>
      <c r="G1328" s="81"/>
      <c r="H1328" s="81"/>
      <c r="I1328" s="81"/>
      <c r="J1328" s="81"/>
      <c r="K1328" s="81"/>
      <c r="L1328" s="81"/>
      <c r="M1328" s="81"/>
      <c r="N1328" s="81"/>
    </row>
    <row r="1329" spans="1:14" ht="14.25" customHeight="1" x14ac:dyDescent="0.25">
      <c r="A1329" s="95" t="s">
        <v>562</v>
      </c>
      <c r="B1329" s="96"/>
      <c r="C1329" s="92"/>
      <c r="D1329" s="92"/>
      <c r="E1329" s="92"/>
      <c r="F1329" s="92"/>
      <c r="G1329" s="81"/>
      <c r="H1329" s="81"/>
      <c r="I1329" s="81"/>
      <c r="J1329" s="81"/>
      <c r="K1329" s="81"/>
      <c r="L1329" s="81"/>
      <c r="M1329" s="81"/>
      <c r="N1329" s="81"/>
    </row>
    <row r="1330" spans="1:14" ht="14.25" customHeight="1" x14ac:dyDescent="0.25">
      <c r="A1330" s="97" t="s">
        <v>563</v>
      </c>
      <c r="B1330" s="98" t="s">
        <v>564</v>
      </c>
      <c r="C1330" s="98" t="s">
        <v>565</v>
      </c>
      <c r="D1330" s="98" t="s">
        <v>566</v>
      </c>
      <c r="E1330" s="98" t="s">
        <v>567</v>
      </c>
      <c r="F1330" s="98" t="s">
        <v>568</v>
      </c>
      <c r="G1330" s="81"/>
      <c r="H1330" s="81"/>
      <c r="I1330" s="81"/>
      <c r="J1330" s="81"/>
      <c r="K1330" s="81"/>
      <c r="L1330" s="81"/>
      <c r="M1330" s="81"/>
      <c r="N1330" s="81"/>
    </row>
    <row r="1331" spans="1:14" ht="25.5" x14ac:dyDescent="0.25">
      <c r="A1331" s="99" t="s">
        <v>640</v>
      </c>
      <c r="B1331" s="100" t="s">
        <v>64</v>
      </c>
      <c r="C1331" s="101">
        <f>347950*0.1</f>
        <v>34795</v>
      </c>
      <c r="D1331" s="104">
        <v>0.105</v>
      </c>
      <c r="E1331" s="102">
        <v>0.05</v>
      </c>
      <c r="F1331" s="101">
        <f t="shared" ref="F1331:F1336" si="73">C1331*(D1331+(D1331*E1331))</f>
        <v>3836.1487499999998</v>
      </c>
      <c r="G1331" s="81"/>
      <c r="H1331" s="81"/>
      <c r="I1331" s="81"/>
      <c r="J1331" s="81"/>
      <c r="K1331" s="81"/>
      <c r="L1331" s="81"/>
      <c r="M1331" s="81"/>
      <c r="N1331" s="81"/>
    </row>
    <row r="1332" spans="1:14" ht="14.25" customHeight="1" x14ac:dyDescent="0.25">
      <c r="A1332" s="99"/>
      <c r="B1332" s="100"/>
      <c r="C1332" s="101"/>
      <c r="D1332" s="104"/>
      <c r="E1332" s="102"/>
      <c r="F1332" s="101">
        <f t="shared" si="73"/>
        <v>0</v>
      </c>
      <c r="G1332" s="81"/>
      <c r="H1332" s="81"/>
      <c r="I1332" s="81"/>
      <c r="J1332" s="81"/>
      <c r="K1332" s="81"/>
      <c r="L1332" s="81"/>
      <c r="M1332" s="81"/>
      <c r="N1332" s="81"/>
    </row>
    <row r="1333" spans="1:14" ht="14.25" customHeight="1" x14ac:dyDescent="0.25">
      <c r="A1333" s="99"/>
      <c r="B1333" s="100"/>
      <c r="C1333" s="101"/>
      <c r="D1333" s="104"/>
      <c r="E1333" s="102"/>
      <c r="F1333" s="101">
        <f t="shared" si="73"/>
        <v>0</v>
      </c>
      <c r="G1333" s="81"/>
      <c r="H1333" s="81"/>
      <c r="I1333" s="81"/>
      <c r="J1333" s="81"/>
      <c r="K1333" s="81"/>
      <c r="L1333" s="81"/>
      <c r="M1333" s="81"/>
      <c r="N1333" s="81"/>
    </row>
    <row r="1334" spans="1:14" ht="14.25" customHeight="1" x14ac:dyDescent="0.25">
      <c r="A1334" s="99"/>
      <c r="B1334" s="100"/>
      <c r="C1334" s="101"/>
      <c r="D1334" s="104"/>
      <c r="E1334" s="102"/>
      <c r="F1334" s="101">
        <f t="shared" si="73"/>
        <v>0</v>
      </c>
      <c r="G1334" s="81"/>
      <c r="H1334" s="81"/>
      <c r="I1334" s="81"/>
      <c r="J1334" s="81"/>
      <c r="K1334" s="81"/>
      <c r="L1334" s="81"/>
      <c r="M1334" s="81"/>
      <c r="N1334" s="81"/>
    </row>
    <row r="1335" spans="1:14" ht="14.25" customHeight="1" x14ac:dyDescent="0.25">
      <c r="A1335" s="99"/>
      <c r="B1335" s="100"/>
      <c r="C1335" s="101"/>
      <c r="D1335" s="104"/>
      <c r="E1335" s="102"/>
      <c r="F1335" s="101">
        <f t="shared" si="73"/>
        <v>0</v>
      </c>
      <c r="G1335" s="81"/>
      <c r="H1335" s="81"/>
      <c r="I1335" s="81"/>
      <c r="J1335" s="81"/>
      <c r="K1335" s="81"/>
      <c r="L1335" s="81"/>
      <c r="M1335" s="81"/>
      <c r="N1335" s="81"/>
    </row>
    <row r="1336" spans="1:14" ht="14.25" customHeight="1" x14ac:dyDescent="0.25">
      <c r="A1336" s="99"/>
      <c r="B1336" s="100"/>
      <c r="C1336" s="101"/>
      <c r="D1336" s="104"/>
      <c r="E1336" s="102"/>
      <c r="F1336" s="101">
        <f t="shared" si="73"/>
        <v>0</v>
      </c>
      <c r="G1336" s="81"/>
      <c r="H1336" s="81"/>
      <c r="I1336" s="81"/>
      <c r="J1336" s="81"/>
      <c r="K1336" s="81"/>
      <c r="L1336" s="81"/>
      <c r="M1336" s="81"/>
      <c r="N1336" s="81"/>
    </row>
    <row r="1337" spans="1:14" ht="14.25" customHeight="1" x14ac:dyDescent="0.25">
      <c r="A1337" s="99"/>
      <c r="B1337" s="100"/>
      <c r="C1337" s="106"/>
      <c r="D1337" s="107"/>
      <c r="E1337" s="108"/>
      <c r="F1337" s="106"/>
      <c r="G1337" s="81"/>
      <c r="H1337" s="81"/>
      <c r="I1337" s="81"/>
      <c r="J1337" s="81"/>
      <c r="K1337" s="81"/>
      <c r="L1337" s="81"/>
      <c r="M1337" s="81"/>
      <c r="N1337" s="81"/>
    </row>
    <row r="1338" spans="1:14" ht="14.25" customHeight="1" x14ac:dyDescent="0.25">
      <c r="A1338" s="97" t="s">
        <v>548</v>
      </c>
      <c r="B1338" s="97"/>
      <c r="C1338" s="109"/>
      <c r="D1338" s="110"/>
      <c r="E1338" s="111"/>
      <c r="F1338" s="112">
        <f>SUM(F1331:F1337)</f>
        <v>3836.1487499999998</v>
      </c>
      <c r="G1338" s="81"/>
      <c r="H1338" s="81"/>
      <c r="I1338" s="81"/>
      <c r="J1338" s="81"/>
      <c r="K1338" s="81"/>
      <c r="L1338" s="81"/>
      <c r="M1338" s="81"/>
      <c r="N1338" s="81"/>
    </row>
    <row r="1339" spans="1:14" ht="14.25" customHeight="1" x14ac:dyDescent="0.25">
      <c r="A1339" s="88"/>
      <c r="B1339" s="88"/>
      <c r="C1339" s="113"/>
      <c r="D1339" s="113"/>
      <c r="E1339" s="114"/>
      <c r="F1339" s="113"/>
      <c r="G1339" s="81"/>
      <c r="H1339" s="81"/>
      <c r="I1339" s="81"/>
      <c r="J1339" s="81"/>
      <c r="K1339" s="81"/>
      <c r="L1339" s="81"/>
      <c r="M1339" s="81"/>
      <c r="N1339" s="81"/>
    </row>
    <row r="1340" spans="1:14" ht="14.25" customHeight="1" x14ac:dyDescent="0.25">
      <c r="A1340" s="96" t="s">
        <v>573</v>
      </c>
      <c r="B1340" s="96"/>
      <c r="C1340" s="92"/>
      <c r="D1340" s="92"/>
      <c r="E1340" s="92"/>
      <c r="F1340" s="92"/>
      <c r="G1340" s="81"/>
      <c r="H1340" s="81"/>
      <c r="I1340" s="81"/>
      <c r="J1340" s="81"/>
      <c r="K1340" s="81"/>
      <c r="L1340" s="81"/>
      <c r="M1340" s="81"/>
      <c r="N1340" s="81"/>
    </row>
    <row r="1341" spans="1:14" ht="14.25" customHeight="1" x14ac:dyDescent="0.25">
      <c r="A1341" s="611" t="s">
        <v>563</v>
      </c>
      <c r="B1341" s="608"/>
      <c r="C1341" s="609"/>
      <c r="D1341" s="98" t="s">
        <v>574</v>
      </c>
      <c r="E1341" s="98" t="s">
        <v>575</v>
      </c>
      <c r="F1341" s="98" t="s">
        <v>568</v>
      </c>
      <c r="G1341" s="81"/>
      <c r="H1341" s="81"/>
      <c r="I1341" s="81"/>
      <c r="J1341" s="81"/>
      <c r="K1341" s="81"/>
      <c r="L1341" s="81"/>
      <c r="M1341" s="81"/>
      <c r="N1341" s="81"/>
    </row>
    <row r="1342" spans="1:14" ht="14.25" customHeight="1" x14ac:dyDescent="0.25">
      <c r="A1342" s="607" t="s">
        <v>577</v>
      </c>
      <c r="B1342" s="608"/>
      <c r="C1342" s="609"/>
      <c r="D1342" s="116"/>
      <c r="E1342" s="107"/>
      <c r="F1342" s="106">
        <v>3177</v>
      </c>
      <c r="G1342" s="81"/>
      <c r="H1342" s="81"/>
      <c r="I1342" s="81"/>
      <c r="J1342" s="81"/>
      <c r="K1342" s="81"/>
      <c r="L1342" s="81"/>
      <c r="M1342" s="81"/>
      <c r="N1342" s="81"/>
    </row>
    <row r="1343" spans="1:14" ht="14.25" customHeight="1" x14ac:dyDescent="0.25">
      <c r="A1343" s="607"/>
      <c r="B1343" s="608"/>
      <c r="C1343" s="609"/>
      <c r="D1343" s="142"/>
      <c r="E1343" s="107"/>
      <c r="F1343" s="106"/>
      <c r="G1343" s="81"/>
      <c r="H1343" s="81"/>
      <c r="I1343" s="81"/>
      <c r="J1343" s="81"/>
      <c r="K1343" s="81"/>
      <c r="L1343" s="81"/>
      <c r="M1343" s="81"/>
      <c r="N1343" s="81"/>
    </row>
    <row r="1344" spans="1:14" ht="14.25" customHeight="1" x14ac:dyDescent="0.25">
      <c r="A1344" s="607"/>
      <c r="B1344" s="608"/>
      <c r="C1344" s="609"/>
      <c r="D1344" s="142"/>
      <c r="E1344" s="107"/>
      <c r="F1344" s="106"/>
      <c r="G1344" s="81"/>
      <c r="H1344" s="81"/>
      <c r="I1344" s="81"/>
      <c r="J1344" s="81"/>
      <c r="K1344" s="81"/>
      <c r="L1344" s="81"/>
      <c r="M1344" s="81"/>
      <c r="N1344" s="81"/>
    </row>
    <row r="1345" spans="1:14" ht="14.25" customHeight="1" x14ac:dyDescent="0.25">
      <c r="A1345" s="607"/>
      <c r="B1345" s="608"/>
      <c r="C1345" s="609"/>
      <c r="D1345" s="142"/>
      <c r="E1345" s="107"/>
      <c r="F1345" s="106"/>
      <c r="G1345" s="81"/>
      <c r="H1345" s="81"/>
      <c r="I1345" s="81"/>
      <c r="J1345" s="81"/>
      <c r="K1345" s="81"/>
      <c r="L1345" s="81"/>
      <c r="M1345" s="81"/>
      <c r="N1345" s="81"/>
    </row>
    <row r="1346" spans="1:14" ht="14.25" customHeight="1" x14ac:dyDescent="0.25">
      <c r="A1346" s="610"/>
      <c r="B1346" s="608"/>
      <c r="C1346" s="609"/>
      <c r="D1346" s="115"/>
      <c r="E1346" s="107"/>
      <c r="F1346" s="106"/>
      <c r="G1346" s="81"/>
      <c r="H1346" s="81"/>
      <c r="I1346" s="117"/>
      <c r="J1346" s="138"/>
      <c r="K1346" s="117"/>
      <c r="L1346" s="81"/>
      <c r="M1346" s="81"/>
      <c r="N1346" s="81"/>
    </row>
    <row r="1347" spans="1:14" ht="14.25" customHeight="1" x14ac:dyDescent="0.25">
      <c r="A1347" s="611" t="s">
        <v>548</v>
      </c>
      <c r="B1347" s="608"/>
      <c r="C1347" s="609"/>
      <c r="D1347" s="110"/>
      <c r="E1347" s="110"/>
      <c r="F1347" s="112">
        <f>SUM(F1342:F1345)</f>
        <v>3177</v>
      </c>
      <c r="G1347" s="81"/>
      <c r="H1347" s="81"/>
      <c r="I1347" s="117"/>
      <c r="J1347" s="138"/>
      <c r="K1347" s="117"/>
      <c r="L1347" s="81"/>
      <c r="M1347" s="81"/>
      <c r="N1347" s="81"/>
    </row>
    <row r="1348" spans="1:14" ht="14.25" customHeight="1" x14ac:dyDescent="0.25">
      <c r="A1348" s="88"/>
      <c r="B1348" s="88"/>
      <c r="C1348" s="89"/>
      <c r="D1348" s="113"/>
      <c r="E1348" s="113"/>
      <c r="F1348" s="113"/>
      <c r="G1348" s="81"/>
      <c r="H1348" s="81"/>
      <c r="I1348" s="117"/>
      <c r="J1348" s="138"/>
      <c r="K1348" s="117"/>
      <c r="L1348" s="81"/>
      <c r="M1348" s="81"/>
      <c r="N1348" s="81"/>
    </row>
    <row r="1349" spans="1:14" ht="14.25" customHeight="1" x14ac:dyDescent="0.25">
      <c r="A1349" s="96" t="s">
        <v>578</v>
      </c>
      <c r="B1349" s="96"/>
      <c r="C1349" s="92"/>
      <c r="D1349" s="118"/>
      <c r="E1349" s="118"/>
      <c r="F1349" s="118"/>
      <c r="G1349" s="81"/>
      <c r="H1349" s="81"/>
      <c r="I1349" s="117"/>
      <c r="J1349" s="138"/>
      <c r="K1349" s="117"/>
      <c r="L1349" s="81"/>
      <c r="M1349" s="81"/>
      <c r="N1349" s="81"/>
    </row>
    <row r="1350" spans="1:14" ht="14.25" customHeight="1" x14ac:dyDescent="0.25">
      <c r="A1350" s="119" t="s">
        <v>563</v>
      </c>
      <c r="B1350" s="120" t="s">
        <v>579</v>
      </c>
      <c r="C1350" s="120" t="s">
        <v>580</v>
      </c>
      <c r="D1350" s="121" t="s">
        <v>581</v>
      </c>
      <c r="E1350" s="121" t="s">
        <v>575</v>
      </c>
      <c r="F1350" s="121" t="s">
        <v>568</v>
      </c>
      <c r="G1350" s="81"/>
      <c r="H1350" s="81"/>
      <c r="I1350" s="117"/>
      <c r="J1350" s="81"/>
      <c r="K1350" s="117"/>
      <c r="L1350" s="81"/>
      <c r="M1350" s="81"/>
      <c r="N1350" s="81"/>
    </row>
    <row r="1351" spans="1:14" ht="14.25" customHeight="1" x14ac:dyDescent="0.25">
      <c r="A1351" s="122" t="s">
        <v>593</v>
      </c>
      <c r="B1351" s="127">
        <v>3</v>
      </c>
      <c r="C1351" s="101">
        <v>32688</v>
      </c>
      <c r="D1351" s="101">
        <f t="shared" ref="D1351:D1352" si="74">+C1351*1.7</f>
        <v>55569.599999999999</v>
      </c>
      <c r="E1351" s="144">
        <v>10</v>
      </c>
      <c r="F1351" s="106">
        <f t="shared" ref="F1351:F1352" si="75">+B1351*(D1351)/E1351</f>
        <v>16670.879999999997</v>
      </c>
      <c r="G1351" s="81"/>
      <c r="H1351" s="81"/>
      <c r="I1351" s="117"/>
      <c r="J1351" s="138"/>
      <c r="K1351" s="117"/>
      <c r="L1351" s="81"/>
      <c r="M1351" s="81"/>
      <c r="N1351" s="81"/>
    </row>
    <row r="1352" spans="1:14" ht="14.25" customHeight="1" x14ac:dyDescent="0.25">
      <c r="A1352" s="122" t="s">
        <v>594</v>
      </c>
      <c r="B1352" s="127">
        <v>1</v>
      </c>
      <c r="C1352" s="101">
        <v>52538</v>
      </c>
      <c r="D1352" s="101">
        <f t="shared" si="74"/>
        <v>89314.599999999991</v>
      </c>
      <c r="E1352" s="144">
        <f>E1351</f>
        <v>10</v>
      </c>
      <c r="F1352" s="106">
        <f t="shared" si="75"/>
        <v>8931.4599999999991</v>
      </c>
      <c r="G1352" s="81"/>
      <c r="H1352" s="81"/>
      <c r="I1352" s="81"/>
      <c r="J1352" s="139"/>
      <c r="K1352" s="117"/>
      <c r="L1352" s="81"/>
      <c r="M1352" s="81"/>
      <c r="N1352" s="81"/>
    </row>
    <row r="1353" spans="1:14" ht="14.25" customHeight="1" x14ac:dyDescent="0.25">
      <c r="A1353" s="122"/>
      <c r="B1353" s="127"/>
      <c r="C1353" s="101"/>
      <c r="D1353" s="101"/>
      <c r="E1353" s="107"/>
      <c r="F1353" s="106"/>
      <c r="G1353" s="81"/>
      <c r="H1353" s="81"/>
      <c r="I1353" s="81"/>
      <c r="J1353" s="81"/>
      <c r="K1353" s="117"/>
      <c r="L1353" s="81"/>
      <c r="M1353" s="81"/>
      <c r="N1353" s="81"/>
    </row>
    <row r="1354" spans="1:14" ht="14.25" customHeight="1" x14ac:dyDescent="0.25">
      <c r="A1354" s="122"/>
      <c r="B1354" s="127"/>
      <c r="C1354" s="101"/>
      <c r="D1354" s="101"/>
      <c r="E1354" s="125"/>
      <c r="F1354" s="106"/>
      <c r="G1354" s="81"/>
      <c r="H1354" s="81"/>
      <c r="I1354" s="81"/>
      <c r="J1354" s="81"/>
      <c r="K1354" s="81"/>
      <c r="L1354" s="81"/>
      <c r="M1354" s="81"/>
      <c r="N1354" s="81"/>
    </row>
    <row r="1355" spans="1:14" ht="14.25" customHeight="1" x14ac:dyDescent="0.25">
      <c r="A1355" s="97" t="s">
        <v>548</v>
      </c>
      <c r="B1355" s="128"/>
      <c r="C1355" s="110"/>
      <c r="D1355" s="110"/>
      <c r="E1355" s="110"/>
      <c r="F1355" s="112">
        <f>SUM(F1351:F1354)</f>
        <v>25602.339999999997</v>
      </c>
      <c r="G1355" s="81"/>
      <c r="H1355" s="81"/>
      <c r="I1355" s="81"/>
      <c r="J1355" s="81"/>
      <c r="K1355" s="81"/>
      <c r="L1355" s="81"/>
      <c r="M1355" s="81"/>
      <c r="N1355" s="81"/>
    </row>
    <row r="1356" spans="1:14" ht="14.25" customHeight="1" x14ac:dyDescent="0.25">
      <c r="A1356" s="96"/>
      <c r="B1356" s="129"/>
      <c r="C1356" s="118"/>
      <c r="D1356" s="118"/>
      <c r="E1356" s="118"/>
      <c r="F1356" s="118"/>
      <c r="G1356" s="81"/>
      <c r="H1356" s="81"/>
      <c r="I1356" s="81"/>
      <c r="J1356" s="81"/>
      <c r="K1356" s="81"/>
      <c r="L1356" s="81"/>
      <c r="M1356" s="81"/>
      <c r="N1356" s="81"/>
    </row>
    <row r="1357" spans="1:14" ht="14.25" customHeight="1" x14ac:dyDescent="0.25">
      <c r="A1357" s="95" t="s">
        <v>583</v>
      </c>
      <c r="B1357" s="96"/>
      <c r="C1357" s="92"/>
      <c r="D1357" s="92"/>
      <c r="E1357" s="92" t="s">
        <v>584</v>
      </c>
      <c r="F1357" s="92"/>
      <c r="G1357" s="81"/>
      <c r="H1357" s="81"/>
      <c r="I1357" s="81"/>
      <c r="J1357" s="81"/>
      <c r="K1357" s="81"/>
      <c r="L1357" s="81"/>
      <c r="M1357" s="81"/>
      <c r="N1357" s="81"/>
    </row>
    <row r="1358" spans="1:14" ht="14.25" customHeight="1" x14ac:dyDescent="0.25">
      <c r="A1358" s="97" t="s">
        <v>563</v>
      </c>
      <c r="B1358" s="98" t="s">
        <v>564</v>
      </c>
      <c r="C1358" s="98" t="s">
        <v>585</v>
      </c>
      <c r="D1358" s="98" t="s">
        <v>586</v>
      </c>
      <c r="E1358" s="120" t="s">
        <v>587</v>
      </c>
      <c r="F1358" s="98" t="s">
        <v>568</v>
      </c>
      <c r="G1358" s="81"/>
      <c r="H1358" s="81"/>
      <c r="I1358" s="81"/>
      <c r="J1358" s="81"/>
      <c r="K1358" s="81"/>
      <c r="L1358" s="81"/>
      <c r="M1358" s="81"/>
      <c r="N1358" s="81"/>
    </row>
    <row r="1359" spans="1:14" ht="14.25" customHeight="1" x14ac:dyDescent="0.25">
      <c r="A1359" s="103"/>
      <c r="B1359" s="100"/>
      <c r="C1359" s="101"/>
      <c r="D1359" s="140"/>
      <c r="E1359" s="107"/>
      <c r="F1359" s="109"/>
      <c r="G1359" s="81"/>
      <c r="H1359" s="81"/>
      <c r="I1359" s="81"/>
      <c r="J1359" s="81"/>
      <c r="K1359" s="81"/>
      <c r="L1359" s="81"/>
      <c r="M1359" s="81"/>
      <c r="N1359" s="81"/>
    </row>
    <row r="1360" spans="1:14" ht="14.25" customHeight="1" x14ac:dyDescent="0.25">
      <c r="A1360" s="103"/>
      <c r="B1360" s="100"/>
      <c r="C1360" s="107"/>
      <c r="D1360" s="107"/>
      <c r="E1360" s="108"/>
      <c r="F1360" s="109"/>
      <c r="G1360" s="81"/>
      <c r="H1360" s="81"/>
      <c r="I1360" s="81"/>
      <c r="J1360" s="81"/>
      <c r="K1360" s="81"/>
      <c r="L1360" s="81"/>
      <c r="M1360" s="81"/>
      <c r="N1360" s="81"/>
    </row>
    <row r="1361" spans="1:14" ht="14.25" customHeight="1" x14ac:dyDescent="0.25">
      <c r="A1361" s="97" t="s">
        <v>548</v>
      </c>
      <c r="B1361" s="98"/>
      <c r="C1361" s="110"/>
      <c r="D1361" s="110"/>
      <c r="E1361" s="111"/>
      <c r="F1361" s="112">
        <f>SUM(F1359:F1360)</f>
        <v>0</v>
      </c>
      <c r="G1361" s="81"/>
      <c r="H1361" s="81"/>
      <c r="I1361" s="81"/>
      <c r="J1361" s="81"/>
      <c r="K1361" s="81"/>
      <c r="L1361" s="81"/>
      <c r="M1361" s="81"/>
      <c r="N1361" s="81"/>
    </row>
    <row r="1362" spans="1:14" ht="14.25" customHeight="1" x14ac:dyDescent="0.25">
      <c r="A1362" s="88"/>
      <c r="B1362" s="89"/>
      <c r="C1362" s="113"/>
      <c r="D1362" s="113"/>
      <c r="E1362" s="114"/>
      <c r="F1362" s="113"/>
      <c r="G1362" s="81"/>
      <c r="H1362" s="81"/>
      <c r="I1362" s="81"/>
      <c r="J1362" s="81"/>
      <c r="K1362" s="81"/>
      <c r="L1362" s="81"/>
      <c r="M1362" s="81"/>
      <c r="N1362" s="81"/>
    </row>
    <row r="1363" spans="1:14" ht="14.25" customHeight="1" x14ac:dyDescent="0.25">
      <c r="A1363" s="88"/>
      <c r="B1363" s="89"/>
      <c r="C1363" s="113"/>
      <c r="D1363" s="113"/>
      <c r="E1363" s="114"/>
      <c r="F1363" s="113"/>
      <c r="G1363" s="81"/>
      <c r="H1363" s="81"/>
      <c r="I1363" s="81"/>
      <c r="J1363" s="81"/>
      <c r="K1363" s="81"/>
      <c r="L1363" s="81"/>
      <c r="M1363" s="81"/>
      <c r="N1363" s="81"/>
    </row>
    <row r="1364" spans="1:14" ht="14.25" customHeight="1" x14ac:dyDescent="0.25">
      <c r="A1364" s="612" t="s">
        <v>588</v>
      </c>
      <c r="B1364" s="608"/>
      <c r="C1364" s="608"/>
      <c r="D1364" s="608"/>
      <c r="E1364" s="609"/>
      <c r="F1364" s="131">
        <f>ROUND(F1338+F1347+F1355+F1361,0)</f>
        <v>32615</v>
      </c>
      <c r="G1364" s="81"/>
      <c r="H1364" s="117">
        <f>32615-F1364</f>
        <v>0</v>
      </c>
      <c r="I1364" s="81"/>
      <c r="J1364" s="81"/>
      <c r="K1364" s="81"/>
      <c r="L1364" s="81"/>
      <c r="M1364" s="81"/>
      <c r="N1364" s="81"/>
    </row>
    <row r="1365" spans="1:14" ht="14.25" customHeight="1" x14ac:dyDescent="0.25">
      <c r="A1365" s="612" t="s">
        <v>589</v>
      </c>
      <c r="B1365" s="608"/>
      <c r="C1365" s="608"/>
      <c r="D1365" s="608"/>
      <c r="E1365" s="609"/>
      <c r="F1365" s="132"/>
      <c r="G1365" s="81"/>
      <c r="H1365" s="81"/>
      <c r="I1365" s="81"/>
      <c r="J1365" s="81"/>
      <c r="K1365" s="81"/>
      <c r="L1365" s="81"/>
      <c r="M1365" s="81"/>
      <c r="N1365" s="81"/>
    </row>
    <row r="1366" spans="1:14" ht="14.25" customHeight="1" x14ac:dyDescent="0.25">
      <c r="A1366" s="146" t="s">
        <v>556</v>
      </c>
      <c r="B1366" s="147"/>
      <c r="C1366" s="147"/>
      <c r="D1366" s="147"/>
      <c r="E1366" s="148"/>
      <c r="F1366" s="133"/>
      <c r="G1366" s="81"/>
      <c r="H1366" s="81"/>
      <c r="I1366" s="81"/>
      <c r="J1366" s="81"/>
      <c r="K1366" s="81"/>
      <c r="L1366" s="81"/>
      <c r="M1366" s="81"/>
      <c r="N1366" s="81"/>
    </row>
    <row r="1367" spans="1:14" ht="14.25" customHeight="1" x14ac:dyDescent="0.25">
      <c r="A1367" s="134"/>
      <c r="B1367" s="135"/>
      <c r="C1367" s="135"/>
      <c r="D1367" s="135"/>
      <c r="E1367" s="135"/>
      <c r="F1367" s="136"/>
      <c r="G1367" s="81"/>
      <c r="H1367" s="81"/>
      <c r="I1367" s="81"/>
      <c r="J1367" s="81"/>
      <c r="K1367" s="81"/>
      <c r="L1367" s="81"/>
      <c r="M1367" s="81"/>
      <c r="N1367" s="81"/>
    </row>
    <row r="1368" spans="1:14" ht="14.25" customHeight="1" x14ac:dyDescent="0.25">
      <c r="A1368" s="81"/>
      <c r="B1368" s="81"/>
      <c r="C1368" s="137"/>
      <c r="D1368" s="81"/>
      <c r="E1368" s="81"/>
      <c r="F1368" s="81"/>
      <c r="G1368" s="81"/>
      <c r="H1368" s="81"/>
      <c r="I1368" s="81"/>
      <c r="J1368" s="81"/>
      <c r="K1368" s="81"/>
      <c r="L1368" s="81"/>
      <c r="M1368" s="81"/>
      <c r="N1368" s="81"/>
    </row>
    <row r="1369" spans="1:14" ht="14.25" customHeight="1" x14ac:dyDescent="0.25">
      <c r="A1369" s="81"/>
      <c r="B1369" s="81"/>
      <c r="C1369" s="137"/>
      <c r="D1369" s="81"/>
      <c r="E1369" s="81"/>
      <c r="F1369" s="81"/>
      <c r="G1369" s="81"/>
      <c r="H1369" s="81"/>
      <c r="I1369" s="81"/>
      <c r="J1369" s="81"/>
      <c r="K1369" s="81"/>
      <c r="L1369" s="81"/>
      <c r="M1369" s="81"/>
      <c r="N1369" s="81"/>
    </row>
    <row r="1370" spans="1:14" ht="14.25" customHeight="1" x14ac:dyDescent="0.25">
      <c r="A1370" s="81"/>
      <c r="B1370" s="81"/>
      <c r="C1370" s="137"/>
      <c r="D1370" s="81"/>
      <c r="E1370" s="81"/>
      <c r="F1370" s="81"/>
      <c r="G1370" s="81"/>
      <c r="H1370" s="81"/>
      <c r="I1370" s="81"/>
      <c r="J1370" s="81"/>
      <c r="K1370" s="81"/>
      <c r="L1370" s="81"/>
      <c r="M1370" s="81"/>
      <c r="N1370" s="81"/>
    </row>
    <row r="1371" spans="1:14" ht="14.25" customHeight="1" x14ac:dyDescent="0.25">
      <c r="A1371" s="81"/>
      <c r="B1371" s="81"/>
      <c r="C1371" s="137"/>
      <c r="D1371" s="81"/>
      <c r="E1371" s="81"/>
      <c r="F1371" s="81"/>
      <c r="G1371" s="81"/>
      <c r="H1371" s="81"/>
      <c r="I1371" s="81"/>
      <c r="J1371" s="81"/>
      <c r="K1371" s="81"/>
      <c r="L1371" s="81"/>
      <c r="M1371" s="81"/>
      <c r="N1371" s="81"/>
    </row>
    <row r="1372" spans="1:14" ht="14.25" customHeight="1" x14ac:dyDescent="0.25">
      <c r="A1372" s="81"/>
      <c r="B1372" s="81"/>
      <c r="C1372" s="137"/>
      <c r="D1372" s="81"/>
      <c r="E1372" s="81"/>
      <c r="F1372" s="81"/>
      <c r="G1372" s="81"/>
      <c r="H1372" s="81"/>
      <c r="I1372" s="81"/>
      <c r="J1372" s="81"/>
      <c r="K1372" s="81"/>
      <c r="L1372" s="81"/>
      <c r="M1372" s="81"/>
      <c r="N1372" s="81"/>
    </row>
    <row r="1373" spans="1:14" ht="14.25" customHeight="1" x14ac:dyDescent="0.25">
      <c r="A1373" s="81"/>
      <c r="B1373" s="81"/>
      <c r="C1373" s="137"/>
      <c r="D1373" s="81"/>
      <c r="E1373" s="81"/>
      <c r="F1373" s="81"/>
      <c r="G1373" s="81"/>
      <c r="H1373" s="81"/>
      <c r="I1373" s="81"/>
      <c r="J1373" s="81"/>
      <c r="K1373" s="81"/>
      <c r="L1373" s="81"/>
      <c r="M1373" s="81"/>
      <c r="N1373" s="81"/>
    </row>
    <row r="1374" spans="1:14" ht="14.25" customHeight="1" x14ac:dyDescent="0.25">
      <c r="A1374" s="134"/>
      <c r="B1374" s="135"/>
      <c r="C1374" s="135"/>
      <c r="D1374" s="135"/>
      <c r="E1374" s="135"/>
      <c r="F1374" s="136"/>
      <c r="G1374" s="81"/>
      <c r="H1374" s="81"/>
      <c r="I1374" s="81"/>
      <c r="J1374" s="81"/>
      <c r="K1374" s="81"/>
      <c r="L1374" s="81"/>
      <c r="M1374" s="81"/>
      <c r="N1374" s="81"/>
    </row>
    <row r="1375" spans="1:14" ht="14.25" customHeight="1" x14ac:dyDescent="0.25">
      <c r="A1375" s="134"/>
      <c r="B1375" s="135"/>
      <c r="C1375" s="135"/>
      <c r="D1375" s="135"/>
      <c r="E1375" s="135"/>
      <c r="F1375" s="136"/>
      <c r="G1375" s="81"/>
      <c r="H1375" s="81"/>
      <c r="I1375" s="81"/>
      <c r="J1375" s="81"/>
      <c r="K1375" s="81"/>
      <c r="L1375" s="81"/>
      <c r="M1375" s="81"/>
      <c r="N1375" s="81"/>
    </row>
    <row r="1376" spans="1:14" ht="14.25" customHeight="1" x14ac:dyDescent="0.25">
      <c r="A1376" s="134"/>
      <c r="B1376" s="135"/>
      <c r="C1376" s="135"/>
      <c r="D1376" s="135"/>
      <c r="E1376" s="135"/>
      <c r="F1376" s="136"/>
      <c r="G1376" s="81"/>
      <c r="H1376" s="81"/>
      <c r="I1376" s="81"/>
      <c r="J1376" s="81"/>
      <c r="K1376" s="81"/>
      <c r="L1376" s="81"/>
      <c r="M1376" s="81"/>
      <c r="N1376" s="81"/>
    </row>
    <row r="1377" spans="1:14" ht="14.25" customHeight="1" thickBot="1" x14ac:dyDescent="0.3">
      <c r="A1377" s="81"/>
      <c r="B1377" s="81"/>
      <c r="C1377" s="81"/>
      <c r="D1377" s="81"/>
      <c r="E1377" s="81"/>
      <c r="F1377" s="81"/>
      <c r="G1377" s="81"/>
      <c r="H1377" s="81"/>
      <c r="I1377" s="81"/>
      <c r="J1377" s="81"/>
      <c r="K1377" s="81"/>
      <c r="L1377" s="81"/>
      <c r="M1377" s="81"/>
      <c r="N1377" s="81"/>
    </row>
    <row r="1378" spans="1:14" ht="14.25" customHeight="1" x14ac:dyDescent="0.25">
      <c r="A1378" s="83"/>
      <c r="B1378" s="84"/>
      <c r="C1378" s="85"/>
      <c r="D1378" s="86"/>
      <c r="E1378" s="86"/>
      <c r="F1378" s="87"/>
      <c r="G1378" s="81"/>
      <c r="H1378" s="81"/>
      <c r="I1378" s="81"/>
      <c r="J1378" s="81"/>
      <c r="K1378" s="81"/>
      <c r="L1378" s="81"/>
      <c r="M1378" s="81"/>
      <c r="N1378" s="81"/>
    </row>
    <row r="1379" spans="1:14" ht="14.25" customHeight="1" x14ac:dyDescent="0.25">
      <c r="A1379" s="599"/>
      <c r="B1379" s="600"/>
      <c r="C1379" s="600"/>
      <c r="D1379" s="600"/>
      <c r="E1379" s="600"/>
      <c r="F1379" s="601"/>
      <c r="G1379" s="81"/>
      <c r="H1379" s="81"/>
      <c r="I1379" s="81"/>
      <c r="J1379" s="81"/>
      <c r="K1379" s="81"/>
      <c r="L1379" s="81"/>
      <c r="M1379" s="81"/>
      <c r="N1379" s="81"/>
    </row>
    <row r="1380" spans="1:14" ht="14.25" customHeight="1" x14ac:dyDescent="0.25">
      <c r="A1380" s="602" t="s">
        <v>561</v>
      </c>
      <c r="B1380" s="600"/>
      <c r="C1380" s="600"/>
      <c r="D1380" s="600"/>
      <c r="E1380" s="600"/>
      <c r="F1380" s="601"/>
      <c r="G1380" s="81"/>
      <c r="H1380" s="81"/>
      <c r="I1380" s="81"/>
      <c r="J1380" s="81"/>
      <c r="K1380" s="81"/>
      <c r="L1380" s="81"/>
      <c r="M1380" s="81"/>
      <c r="N1380" s="81"/>
    </row>
    <row r="1381" spans="1:14" ht="14.25" customHeight="1" thickBot="1" x14ac:dyDescent="0.3">
      <c r="A1381" s="603"/>
      <c r="B1381" s="604"/>
      <c r="C1381" s="604"/>
      <c r="D1381" s="604"/>
      <c r="E1381" s="604"/>
      <c r="F1381" s="605"/>
      <c r="G1381" s="81"/>
      <c r="H1381" s="81"/>
      <c r="I1381" s="81"/>
      <c r="J1381" s="81"/>
      <c r="K1381" s="81"/>
      <c r="L1381" s="81"/>
      <c r="M1381" s="81"/>
      <c r="N1381" s="81"/>
    </row>
    <row r="1382" spans="1:14" ht="14.25" customHeight="1" x14ac:dyDescent="0.25">
      <c r="A1382" s="88"/>
      <c r="B1382" s="88"/>
      <c r="C1382" s="89"/>
      <c r="D1382" s="89"/>
      <c r="E1382" s="89"/>
      <c r="F1382" s="89"/>
      <c r="G1382" s="81"/>
      <c r="H1382" s="81"/>
      <c r="I1382" s="81"/>
      <c r="J1382" s="81"/>
      <c r="K1382" s="81"/>
      <c r="L1382" s="81"/>
      <c r="M1382" s="81"/>
      <c r="N1382" s="81"/>
    </row>
    <row r="1383" spans="1:14" ht="14.25" customHeight="1" x14ac:dyDescent="0.25">
      <c r="A1383" s="90" t="s">
        <v>47</v>
      </c>
      <c r="B1383" s="613" t="s">
        <v>1322</v>
      </c>
      <c r="C1383" s="600"/>
      <c r="D1383" s="600"/>
      <c r="E1383" s="600"/>
      <c r="F1383" s="600"/>
      <c r="G1383" s="81"/>
      <c r="H1383" s="81"/>
      <c r="I1383" s="81"/>
      <c r="J1383" s="81"/>
      <c r="K1383" s="81"/>
      <c r="L1383" s="81"/>
      <c r="M1383" s="81"/>
      <c r="N1383" s="81"/>
    </row>
    <row r="1384" spans="1:14" ht="14.25" customHeight="1" x14ac:dyDescent="0.25">
      <c r="A1384" s="91"/>
      <c r="B1384" s="91"/>
      <c r="C1384" s="91"/>
      <c r="D1384" s="91"/>
      <c r="E1384" s="91"/>
      <c r="F1384" s="91"/>
      <c r="G1384" s="81"/>
      <c r="H1384" s="81"/>
      <c r="I1384" s="81"/>
      <c r="J1384" s="81"/>
      <c r="K1384" s="81"/>
      <c r="L1384" s="81"/>
      <c r="M1384" s="81"/>
      <c r="N1384" s="81"/>
    </row>
    <row r="1385" spans="1:14" ht="14.25" customHeight="1" x14ac:dyDescent="0.25">
      <c r="A1385" s="88" t="s">
        <v>49</v>
      </c>
      <c r="B1385" s="92" t="s">
        <v>64</v>
      </c>
      <c r="C1385" s="89"/>
      <c r="D1385" s="89"/>
      <c r="E1385" s="89"/>
      <c r="F1385" s="93"/>
      <c r="G1385" s="81"/>
      <c r="H1385" s="81"/>
      <c r="I1385" s="81"/>
      <c r="J1385" s="81"/>
      <c r="K1385" s="81"/>
      <c r="L1385" s="81"/>
      <c r="M1385" s="81"/>
      <c r="N1385" s="81"/>
    </row>
    <row r="1386" spans="1:14" ht="14.25" customHeight="1" x14ac:dyDescent="0.25">
      <c r="A1386" s="88"/>
      <c r="B1386" s="94"/>
      <c r="C1386" s="89"/>
      <c r="D1386" s="89"/>
      <c r="E1386" s="89"/>
      <c r="F1386" s="93"/>
      <c r="G1386" s="81"/>
      <c r="H1386" s="81"/>
      <c r="I1386" s="81"/>
      <c r="J1386" s="81"/>
      <c r="K1386" s="81"/>
      <c r="L1386" s="81"/>
      <c r="M1386" s="81"/>
      <c r="N1386" s="81"/>
    </row>
    <row r="1387" spans="1:14" ht="14.25" customHeight="1" x14ac:dyDescent="0.25">
      <c r="A1387" s="95" t="s">
        <v>562</v>
      </c>
      <c r="B1387" s="96"/>
      <c r="C1387" s="92"/>
      <c r="D1387" s="92"/>
      <c r="E1387" s="92"/>
      <c r="F1387" s="92"/>
      <c r="G1387" s="81"/>
      <c r="H1387" s="81"/>
      <c r="I1387" s="81"/>
      <c r="J1387" s="81"/>
      <c r="K1387" s="81"/>
      <c r="L1387" s="81"/>
      <c r="M1387" s="81"/>
      <c r="N1387" s="81"/>
    </row>
    <row r="1388" spans="1:14" ht="14.25" customHeight="1" x14ac:dyDescent="0.25">
      <c r="A1388" s="97" t="s">
        <v>563</v>
      </c>
      <c r="B1388" s="98" t="s">
        <v>564</v>
      </c>
      <c r="C1388" s="98" t="s">
        <v>565</v>
      </c>
      <c r="D1388" s="98" t="s">
        <v>566</v>
      </c>
      <c r="E1388" s="98" t="s">
        <v>567</v>
      </c>
      <c r="F1388" s="98" t="s">
        <v>568</v>
      </c>
      <c r="G1388" s="81"/>
      <c r="H1388" s="81"/>
      <c r="I1388" s="81"/>
      <c r="J1388" s="81"/>
      <c r="K1388" s="81"/>
      <c r="L1388" s="81"/>
      <c r="M1388" s="81"/>
      <c r="N1388" s="81"/>
    </row>
    <row r="1389" spans="1:14" ht="25.5" x14ac:dyDescent="0.25">
      <c r="A1389" s="99" t="s">
        <v>641</v>
      </c>
      <c r="B1389" s="100" t="s">
        <v>64</v>
      </c>
      <c r="C1389" s="101">
        <v>441370</v>
      </c>
      <c r="D1389" s="104">
        <v>1</v>
      </c>
      <c r="E1389" s="102">
        <v>0.05</v>
      </c>
      <c r="F1389" s="101">
        <f t="shared" ref="F1389:F1394" si="76">C1389*(D1389+(D1389*E1389))</f>
        <v>463438.5</v>
      </c>
      <c r="G1389" s="81"/>
      <c r="H1389" s="81"/>
      <c r="I1389" s="81"/>
      <c r="J1389" s="81"/>
      <c r="K1389" s="81"/>
      <c r="L1389" s="81"/>
      <c r="M1389" s="81"/>
      <c r="N1389" s="81"/>
    </row>
    <row r="1390" spans="1:14" ht="14.25" customHeight="1" x14ac:dyDescent="0.25">
      <c r="A1390" s="99"/>
      <c r="B1390" s="100"/>
      <c r="C1390" s="101"/>
      <c r="D1390" s="104"/>
      <c r="E1390" s="102"/>
      <c r="F1390" s="101">
        <f t="shared" si="76"/>
        <v>0</v>
      </c>
      <c r="G1390" s="81"/>
      <c r="H1390" s="81"/>
      <c r="I1390" s="81"/>
      <c r="J1390" s="81"/>
      <c r="K1390" s="81"/>
      <c r="L1390" s="81"/>
      <c r="M1390" s="81"/>
      <c r="N1390" s="81"/>
    </row>
    <row r="1391" spans="1:14" ht="14.25" customHeight="1" x14ac:dyDescent="0.25">
      <c r="A1391" s="99"/>
      <c r="B1391" s="100"/>
      <c r="C1391" s="101"/>
      <c r="D1391" s="104"/>
      <c r="E1391" s="102"/>
      <c r="F1391" s="101">
        <f t="shared" si="76"/>
        <v>0</v>
      </c>
      <c r="G1391" s="81"/>
      <c r="H1391" s="81"/>
      <c r="I1391" s="81"/>
      <c r="J1391" s="81"/>
      <c r="K1391" s="81"/>
      <c r="L1391" s="81"/>
      <c r="M1391" s="81"/>
      <c r="N1391" s="81"/>
    </row>
    <row r="1392" spans="1:14" ht="14.25" customHeight="1" x14ac:dyDescent="0.25">
      <c r="A1392" s="99"/>
      <c r="B1392" s="100"/>
      <c r="C1392" s="101"/>
      <c r="D1392" s="104"/>
      <c r="E1392" s="102"/>
      <c r="F1392" s="101">
        <f t="shared" si="76"/>
        <v>0</v>
      </c>
      <c r="G1392" s="81"/>
      <c r="H1392" s="81"/>
      <c r="I1392" s="81"/>
      <c r="J1392" s="81"/>
      <c r="K1392" s="81"/>
      <c r="L1392" s="81"/>
      <c r="M1392" s="81"/>
      <c r="N1392" s="81"/>
    </row>
    <row r="1393" spans="1:14" ht="14.25" customHeight="1" x14ac:dyDescent="0.25">
      <c r="A1393" s="99"/>
      <c r="B1393" s="100"/>
      <c r="C1393" s="101"/>
      <c r="D1393" s="104"/>
      <c r="E1393" s="102"/>
      <c r="F1393" s="101">
        <f t="shared" si="76"/>
        <v>0</v>
      </c>
      <c r="G1393" s="81"/>
      <c r="H1393" s="81"/>
      <c r="I1393" s="81"/>
      <c r="J1393" s="81"/>
      <c r="K1393" s="81"/>
      <c r="L1393" s="81"/>
      <c r="M1393" s="81"/>
      <c r="N1393" s="81"/>
    </row>
    <row r="1394" spans="1:14" ht="14.25" customHeight="1" x14ac:dyDescent="0.25">
      <c r="A1394" s="99"/>
      <c r="B1394" s="100"/>
      <c r="C1394" s="101"/>
      <c r="D1394" s="104"/>
      <c r="E1394" s="102"/>
      <c r="F1394" s="101">
        <f t="shared" si="76"/>
        <v>0</v>
      </c>
      <c r="G1394" s="81"/>
      <c r="H1394" s="81"/>
      <c r="I1394" s="81"/>
      <c r="J1394" s="81"/>
      <c r="K1394" s="81"/>
      <c r="L1394" s="81"/>
      <c r="M1394" s="81"/>
      <c r="N1394" s="81"/>
    </row>
    <row r="1395" spans="1:14" ht="14.25" customHeight="1" x14ac:dyDescent="0.25">
      <c r="A1395" s="99"/>
      <c r="B1395" s="100"/>
      <c r="C1395" s="106"/>
      <c r="D1395" s="107"/>
      <c r="E1395" s="108"/>
      <c r="F1395" s="106"/>
      <c r="G1395" s="81"/>
      <c r="H1395" s="81"/>
      <c r="I1395" s="81"/>
      <c r="J1395" s="81"/>
      <c r="K1395" s="81"/>
      <c r="L1395" s="81"/>
      <c r="M1395" s="81"/>
      <c r="N1395" s="81"/>
    </row>
    <row r="1396" spans="1:14" ht="14.25" customHeight="1" x14ac:dyDescent="0.25">
      <c r="A1396" s="97" t="s">
        <v>548</v>
      </c>
      <c r="B1396" s="97"/>
      <c r="C1396" s="109"/>
      <c r="D1396" s="110"/>
      <c r="E1396" s="111"/>
      <c r="F1396" s="112">
        <f>SUM(F1389:F1395)</f>
        <v>463438.5</v>
      </c>
      <c r="G1396" s="81"/>
      <c r="H1396" s="81"/>
      <c r="I1396" s="81"/>
      <c r="J1396" s="81"/>
      <c r="K1396" s="81"/>
      <c r="L1396" s="81"/>
      <c r="M1396" s="81"/>
      <c r="N1396" s="81"/>
    </row>
    <row r="1397" spans="1:14" ht="14.25" customHeight="1" x14ac:dyDescent="0.25">
      <c r="A1397" s="88"/>
      <c r="B1397" s="88"/>
      <c r="C1397" s="113"/>
      <c r="D1397" s="113"/>
      <c r="E1397" s="114"/>
      <c r="F1397" s="113"/>
      <c r="G1397" s="81"/>
      <c r="H1397" s="81"/>
      <c r="I1397" s="81"/>
      <c r="J1397" s="81"/>
      <c r="K1397" s="81"/>
      <c r="L1397" s="81"/>
      <c r="M1397" s="81"/>
      <c r="N1397" s="81"/>
    </row>
    <row r="1398" spans="1:14" ht="14.25" customHeight="1" x14ac:dyDescent="0.25">
      <c r="A1398" s="96" t="s">
        <v>573</v>
      </c>
      <c r="B1398" s="96"/>
      <c r="C1398" s="92"/>
      <c r="D1398" s="92"/>
      <c r="E1398" s="92"/>
      <c r="F1398" s="92"/>
      <c r="G1398" s="81"/>
      <c r="H1398" s="81"/>
      <c r="I1398" s="81"/>
      <c r="J1398" s="81"/>
      <c r="K1398" s="81"/>
      <c r="L1398" s="81"/>
      <c r="M1398" s="81"/>
      <c r="N1398" s="81"/>
    </row>
    <row r="1399" spans="1:14" ht="14.25" customHeight="1" x14ac:dyDescent="0.25">
      <c r="A1399" s="611" t="s">
        <v>563</v>
      </c>
      <c r="B1399" s="608"/>
      <c r="C1399" s="609"/>
      <c r="D1399" s="98" t="s">
        <v>574</v>
      </c>
      <c r="E1399" s="98" t="s">
        <v>575</v>
      </c>
      <c r="F1399" s="98" t="s">
        <v>568</v>
      </c>
      <c r="G1399" s="81"/>
      <c r="H1399" s="81"/>
      <c r="I1399" s="81"/>
      <c r="J1399" s="81"/>
      <c r="K1399" s="81"/>
      <c r="L1399" s="81"/>
      <c r="M1399" s="81"/>
      <c r="N1399" s="81"/>
    </row>
    <row r="1400" spans="1:14" ht="14.25" customHeight="1" x14ac:dyDescent="0.25">
      <c r="A1400" s="607" t="s">
        <v>577</v>
      </c>
      <c r="B1400" s="608"/>
      <c r="C1400" s="609"/>
      <c r="D1400" s="116"/>
      <c r="E1400" s="107"/>
      <c r="F1400" s="106">
        <f>+F1413*5%</f>
        <v>10551.889788094364</v>
      </c>
      <c r="G1400" s="81"/>
      <c r="H1400" s="81"/>
      <c r="I1400" s="81"/>
      <c r="J1400" s="81"/>
      <c r="K1400" s="81"/>
      <c r="L1400" s="81"/>
      <c r="M1400" s="81"/>
      <c r="N1400" s="81"/>
    </row>
    <row r="1401" spans="1:14" ht="14.25" customHeight="1" x14ac:dyDescent="0.25">
      <c r="A1401" s="607" t="s">
        <v>642</v>
      </c>
      <c r="B1401" s="608"/>
      <c r="C1401" s="609"/>
      <c r="D1401" s="142">
        <v>8750</v>
      </c>
      <c r="E1401" s="107">
        <v>1</v>
      </c>
      <c r="F1401" s="106">
        <f>D1401/E1401</f>
        <v>8750</v>
      </c>
      <c r="G1401" s="81"/>
      <c r="H1401" s="143"/>
      <c r="I1401" s="81"/>
      <c r="J1401" s="81"/>
      <c r="K1401" s="81"/>
      <c r="L1401" s="81"/>
      <c r="M1401" s="81"/>
      <c r="N1401" s="81"/>
    </row>
    <row r="1402" spans="1:14" ht="14.25" customHeight="1" x14ac:dyDescent="0.25">
      <c r="A1402" s="607"/>
      <c r="B1402" s="608"/>
      <c r="C1402" s="609"/>
      <c r="D1402" s="142"/>
      <c r="E1402" s="107"/>
      <c r="F1402" s="106"/>
      <c r="G1402" s="81"/>
      <c r="H1402" s="81"/>
      <c r="I1402" s="81"/>
      <c r="J1402" s="81"/>
      <c r="K1402" s="81"/>
      <c r="L1402" s="81"/>
      <c r="M1402" s="81"/>
      <c r="N1402" s="81"/>
    </row>
    <row r="1403" spans="1:14" ht="14.25" customHeight="1" x14ac:dyDescent="0.25">
      <c r="A1403" s="607"/>
      <c r="B1403" s="608"/>
      <c r="C1403" s="609"/>
      <c r="D1403" s="142"/>
      <c r="E1403" s="107"/>
      <c r="F1403" s="106"/>
      <c r="G1403" s="81"/>
      <c r="H1403" s="81"/>
      <c r="I1403" s="81"/>
      <c r="J1403" s="81"/>
      <c r="K1403" s="81"/>
      <c r="L1403" s="81"/>
      <c r="M1403" s="81"/>
      <c r="N1403" s="81"/>
    </row>
    <row r="1404" spans="1:14" ht="14.25" customHeight="1" x14ac:dyDescent="0.25">
      <c r="A1404" s="610"/>
      <c r="B1404" s="608"/>
      <c r="C1404" s="609"/>
      <c r="D1404" s="115"/>
      <c r="E1404" s="107"/>
      <c r="F1404" s="106"/>
      <c r="G1404" s="81"/>
      <c r="H1404" s="81"/>
      <c r="I1404" s="117"/>
      <c r="J1404" s="138"/>
      <c r="K1404" s="117"/>
      <c r="L1404" s="81"/>
      <c r="M1404" s="81"/>
      <c r="N1404" s="81"/>
    </row>
    <row r="1405" spans="1:14" ht="14.25" customHeight="1" x14ac:dyDescent="0.25">
      <c r="A1405" s="611" t="s">
        <v>548</v>
      </c>
      <c r="B1405" s="608"/>
      <c r="C1405" s="609"/>
      <c r="D1405" s="110"/>
      <c r="E1405" s="110"/>
      <c r="F1405" s="112">
        <f>SUM(F1400:F1403)</f>
        <v>19301.889788094362</v>
      </c>
      <c r="G1405" s="81"/>
      <c r="H1405" s="81"/>
      <c r="I1405" s="117"/>
      <c r="J1405" s="138"/>
      <c r="K1405" s="117"/>
      <c r="L1405" s="81"/>
      <c r="M1405" s="81"/>
      <c r="N1405" s="81"/>
    </row>
    <row r="1406" spans="1:14" ht="14.25" customHeight="1" x14ac:dyDescent="0.25">
      <c r="A1406" s="88"/>
      <c r="B1406" s="88"/>
      <c r="C1406" s="89"/>
      <c r="D1406" s="113"/>
      <c r="E1406" s="113"/>
      <c r="F1406" s="113"/>
      <c r="G1406" s="81"/>
      <c r="H1406" s="81"/>
      <c r="I1406" s="117"/>
      <c r="J1406" s="138"/>
      <c r="K1406" s="117"/>
      <c r="L1406" s="81"/>
      <c r="M1406" s="81"/>
      <c r="N1406" s="81"/>
    </row>
    <row r="1407" spans="1:14" ht="14.25" customHeight="1" x14ac:dyDescent="0.25">
      <c r="A1407" s="96" t="s">
        <v>578</v>
      </c>
      <c r="B1407" s="96"/>
      <c r="C1407" s="92"/>
      <c r="D1407" s="118"/>
      <c r="E1407" s="118"/>
      <c r="F1407" s="118"/>
      <c r="G1407" s="81"/>
      <c r="H1407" s="81"/>
      <c r="I1407" s="117"/>
      <c r="J1407" s="138"/>
      <c r="K1407" s="117"/>
      <c r="L1407" s="81"/>
      <c r="M1407" s="81"/>
      <c r="N1407" s="81"/>
    </row>
    <row r="1408" spans="1:14" ht="14.25" customHeight="1" x14ac:dyDescent="0.25">
      <c r="A1408" s="119" t="s">
        <v>563</v>
      </c>
      <c r="B1408" s="120" t="s">
        <v>579</v>
      </c>
      <c r="C1408" s="120" t="s">
        <v>580</v>
      </c>
      <c r="D1408" s="121" t="s">
        <v>581</v>
      </c>
      <c r="E1408" s="121" t="s">
        <v>575</v>
      </c>
      <c r="F1408" s="121" t="s">
        <v>568</v>
      </c>
      <c r="G1408" s="81"/>
      <c r="H1408" s="81"/>
      <c r="I1408" s="117"/>
      <c r="J1408" s="81"/>
      <c r="K1408" s="117"/>
      <c r="L1408" s="81"/>
      <c r="M1408" s="81"/>
      <c r="N1408" s="81"/>
    </row>
    <row r="1409" spans="1:14" ht="14.25" customHeight="1" x14ac:dyDescent="0.25">
      <c r="A1409" s="122" t="s">
        <v>593</v>
      </c>
      <c r="B1409" s="127">
        <v>1</v>
      </c>
      <c r="C1409" s="101">
        <v>32688</v>
      </c>
      <c r="D1409" s="101">
        <f t="shared" ref="D1409:D1410" si="77">+C1409*1.7</f>
        <v>55569.599999999999</v>
      </c>
      <c r="E1409" s="107">
        <v>0.68653200000000003</v>
      </c>
      <c r="F1409" s="106">
        <f t="shared" ref="F1409:F1410" si="78">+B1409*(D1409)/E1409</f>
        <v>80942.476097254024</v>
      </c>
      <c r="G1409" s="81"/>
      <c r="H1409" s="81"/>
      <c r="I1409" s="117"/>
      <c r="J1409" s="138"/>
      <c r="K1409" s="117"/>
      <c r="L1409" s="81"/>
      <c r="M1409" s="81"/>
      <c r="N1409" s="81"/>
    </row>
    <row r="1410" spans="1:14" ht="14.25" customHeight="1" x14ac:dyDescent="0.25">
      <c r="A1410" s="122" t="s">
        <v>594</v>
      </c>
      <c r="B1410" s="127">
        <v>1</v>
      </c>
      <c r="C1410" s="101">
        <v>52538</v>
      </c>
      <c r="D1410" s="101">
        <f t="shared" si="77"/>
        <v>89314.599999999991</v>
      </c>
      <c r="E1410" s="107">
        <f>E1409</f>
        <v>0.68653200000000003</v>
      </c>
      <c r="F1410" s="106">
        <f t="shared" si="78"/>
        <v>130095.31966463324</v>
      </c>
      <c r="G1410" s="81"/>
      <c r="H1410" s="81"/>
      <c r="I1410" s="81"/>
      <c r="J1410" s="139"/>
      <c r="K1410" s="117"/>
      <c r="L1410" s="81"/>
      <c r="M1410" s="81"/>
      <c r="N1410" s="81"/>
    </row>
    <row r="1411" spans="1:14" ht="14.25" customHeight="1" x14ac:dyDescent="0.25">
      <c r="A1411" s="122"/>
      <c r="B1411" s="127"/>
      <c r="C1411" s="101"/>
      <c r="D1411" s="101"/>
      <c r="E1411" s="105"/>
      <c r="F1411" s="106"/>
      <c r="G1411" s="81"/>
      <c r="H1411" s="81"/>
      <c r="I1411" s="81"/>
      <c r="J1411" s="81"/>
      <c r="K1411" s="117"/>
      <c r="L1411" s="81"/>
      <c r="M1411" s="81"/>
      <c r="N1411" s="81"/>
    </row>
    <row r="1412" spans="1:14" ht="14.25" customHeight="1" x14ac:dyDescent="0.25">
      <c r="A1412" s="122"/>
      <c r="B1412" s="127"/>
      <c r="C1412" s="101"/>
      <c r="D1412" s="101"/>
      <c r="E1412" s="125"/>
      <c r="F1412" s="106"/>
      <c r="G1412" s="81"/>
      <c r="H1412" s="81"/>
      <c r="I1412" s="81"/>
      <c r="J1412" s="81"/>
      <c r="K1412" s="81"/>
      <c r="L1412" s="81"/>
      <c r="M1412" s="81"/>
      <c r="N1412" s="81"/>
    </row>
    <row r="1413" spans="1:14" ht="14.25" customHeight="1" x14ac:dyDescent="0.25">
      <c r="A1413" s="97" t="s">
        <v>548</v>
      </c>
      <c r="B1413" s="128"/>
      <c r="C1413" s="110"/>
      <c r="D1413" s="110"/>
      <c r="E1413" s="110"/>
      <c r="F1413" s="112">
        <f>SUM(F1409:F1412)</f>
        <v>211037.79576188728</v>
      </c>
      <c r="G1413" s="81"/>
      <c r="H1413" s="81"/>
      <c r="I1413" s="81"/>
      <c r="J1413" s="81"/>
      <c r="K1413" s="81"/>
      <c r="L1413" s="81"/>
      <c r="M1413" s="81"/>
      <c r="N1413" s="81"/>
    </row>
    <row r="1414" spans="1:14" ht="14.25" customHeight="1" x14ac:dyDescent="0.25">
      <c r="A1414" s="96"/>
      <c r="B1414" s="129"/>
      <c r="C1414" s="118"/>
      <c r="D1414" s="118"/>
      <c r="E1414" s="118"/>
      <c r="F1414" s="118"/>
      <c r="G1414" s="81"/>
      <c r="H1414" s="81"/>
      <c r="I1414" s="81"/>
      <c r="J1414" s="81"/>
      <c r="K1414" s="81"/>
      <c r="L1414" s="81"/>
      <c r="M1414" s="81"/>
      <c r="N1414" s="81"/>
    </row>
    <row r="1415" spans="1:14" ht="14.25" customHeight="1" x14ac:dyDescent="0.25">
      <c r="A1415" s="95" t="s">
        <v>583</v>
      </c>
      <c r="B1415" s="96"/>
      <c r="C1415" s="92"/>
      <c r="D1415" s="92"/>
      <c r="E1415" s="92" t="s">
        <v>584</v>
      </c>
      <c r="F1415" s="92"/>
      <c r="G1415" s="81"/>
      <c r="H1415" s="81"/>
      <c r="I1415" s="81"/>
      <c r="J1415" s="81"/>
      <c r="K1415" s="81"/>
      <c r="L1415" s="81"/>
      <c r="M1415" s="81"/>
      <c r="N1415" s="81"/>
    </row>
    <row r="1416" spans="1:14" ht="14.25" customHeight="1" x14ac:dyDescent="0.25">
      <c r="A1416" s="97" t="s">
        <v>563</v>
      </c>
      <c r="B1416" s="98" t="s">
        <v>564</v>
      </c>
      <c r="C1416" s="98" t="s">
        <v>585</v>
      </c>
      <c r="D1416" s="98" t="s">
        <v>586</v>
      </c>
      <c r="E1416" s="120" t="s">
        <v>587</v>
      </c>
      <c r="F1416" s="98" t="s">
        <v>568</v>
      </c>
      <c r="G1416" s="81"/>
      <c r="H1416" s="81"/>
      <c r="I1416" s="81"/>
      <c r="J1416" s="81"/>
      <c r="K1416" s="81"/>
      <c r="L1416" s="81"/>
      <c r="M1416" s="81"/>
      <c r="N1416" s="81"/>
    </row>
    <row r="1417" spans="1:14" ht="14.25" customHeight="1" x14ac:dyDescent="0.25">
      <c r="A1417" s="103"/>
      <c r="B1417" s="100"/>
      <c r="C1417" s="101"/>
      <c r="D1417" s="140"/>
      <c r="E1417" s="107"/>
      <c r="F1417" s="109"/>
      <c r="G1417" s="81"/>
      <c r="H1417" s="81"/>
      <c r="I1417" s="81"/>
      <c r="J1417" s="81"/>
      <c r="K1417" s="81"/>
      <c r="L1417" s="81"/>
      <c r="M1417" s="81"/>
      <c r="N1417" s="81"/>
    </row>
    <row r="1418" spans="1:14" ht="14.25" customHeight="1" x14ac:dyDescent="0.25">
      <c r="A1418" s="103"/>
      <c r="B1418" s="100"/>
      <c r="C1418" s="107"/>
      <c r="D1418" s="107"/>
      <c r="E1418" s="108"/>
      <c r="F1418" s="109"/>
      <c r="G1418" s="81"/>
      <c r="H1418" s="81"/>
      <c r="I1418" s="81"/>
      <c r="J1418" s="81"/>
      <c r="K1418" s="81"/>
      <c r="L1418" s="81"/>
      <c r="M1418" s="81"/>
      <c r="N1418" s="81"/>
    </row>
    <row r="1419" spans="1:14" ht="14.25" customHeight="1" x14ac:dyDescent="0.25">
      <c r="A1419" s="97" t="s">
        <v>548</v>
      </c>
      <c r="B1419" s="98"/>
      <c r="C1419" s="110"/>
      <c r="D1419" s="110"/>
      <c r="E1419" s="111"/>
      <c r="F1419" s="112">
        <f>SUM(F1417:F1418)</f>
        <v>0</v>
      </c>
      <c r="G1419" s="81"/>
      <c r="H1419" s="81"/>
      <c r="I1419" s="81"/>
      <c r="J1419" s="81"/>
      <c r="K1419" s="81"/>
      <c r="L1419" s="81"/>
      <c r="M1419" s="81"/>
      <c r="N1419" s="81"/>
    </row>
    <row r="1420" spans="1:14" ht="14.25" customHeight="1" x14ac:dyDescent="0.25">
      <c r="A1420" s="88"/>
      <c r="B1420" s="89"/>
      <c r="C1420" s="113"/>
      <c r="D1420" s="113"/>
      <c r="E1420" s="114"/>
      <c r="F1420" s="113"/>
      <c r="G1420" s="81"/>
      <c r="H1420" s="81"/>
      <c r="I1420" s="81"/>
      <c r="J1420" s="81"/>
      <c r="K1420" s="81"/>
      <c r="L1420" s="81"/>
      <c r="M1420" s="81"/>
      <c r="N1420" s="81"/>
    </row>
    <row r="1421" spans="1:14" ht="14.25" customHeight="1" x14ac:dyDescent="0.25">
      <c r="A1421" s="88"/>
      <c r="B1421" s="89"/>
      <c r="C1421" s="113"/>
      <c r="D1421" s="113"/>
      <c r="E1421" s="114"/>
      <c r="F1421" s="113"/>
      <c r="G1421" s="81"/>
      <c r="H1421" s="81"/>
      <c r="I1421" s="81"/>
      <c r="J1421" s="81"/>
      <c r="K1421" s="81"/>
      <c r="L1421" s="81"/>
      <c r="M1421" s="81"/>
      <c r="N1421" s="81"/>
    </row>
    <row r="1422" spans="1:14" ht="14.25" customHeight="1" x14ac:dyDescent="0.25">
      <c r="A1422" s="612" t="s">
        <v>588</v>
      </c>
      <c r="B1422" s="608"/>
      <c r="C1422" s="608"/>
      <c r="D1422" s="608"/>
      <c r="E1422" s="609"/>
      <c r="F1422" s="131">
        <f>ROUND(F1396+F1405+F1413+F1419,0)</f>
        <v>693778</v>
      </c>
      <c r="G1422" s="81"/>
      <c r="H1422" s="117"/>
      <c r="I1422" s="81"/>
      <c r="J1422" s="81"/>
      <c r="K1422" s="81"/>
      <c r="L1422" s="81"/>
      <c r="M1422" s="81"/>
      <c r="N1422" s="81"/>
    </row>
    <row r="1423" spans="1:14" ht="14.25" customHeight="1" x14ac:dyDescent="0.25">
      <c r="A1423" s="612" t="s">
        <v>589</v>
      </c>
      <c r="B1423" s="608"/>
      <c r="C1423" s="608"/>
      <c r="D1423" s="608"/>
      <c r="E1423" s="609"/>
      <c r="F1423" s="132"/>
      <c r="G1423" s="81"/>
      <c r="H1423" s="81"/>
      <c r="I1423" s="81"/>
      <c r="J1423" s="81"/>
      <c r="K1423" s="81"/>
      <c r="L1423" s="81"/>
      <c r="M1423" s="81"/>
      <c r="N1423" s="81"/>
    </row>
    <row r="1424" spans="1:14" ht="14.25" customHeight="1" x14ac:dyDescent="0.25">
      <c r="A1424" s="146" t="s">
        <v>556</v>
      </c>
      <c r="B1424" s="147"/>
      <c r="C1424" s="147"/>
      <c r="D1424" s="147"/>
      <c r="E1424" s="148"/>
      <c r="F1424" s="133"/>
      <c r="G1424" s="81"/>
      <c r="H1424" s="81"/>
      <c r="I1424" s="81"/>
      <c r="J1424" s="81"/>
      <c r="K1424" s="81"/>
      <c r="L1424" s="81"/>
      <c r="M1424" s="81"/>
      <c r="N1424" s="81"/>
    </row>
    <row r="1425" spans="1:14" ht="14.25" customHeight="1" x14ac:dyDescent="0.25">
      <c r="A1425" s="134"/>
      <c r="B1425" s="135"/>
      <c r="C1425" s="135"/>
      <c r="D1425" s="135"/>
      <c r="E1425" s="135"/>
      <c r="F1425" s="136"/>
      <c r="G1425" s="81"/>
      <c r="H1425" s="81"/>
      <c r="I1425" s="81"/>
      <c r="J1425" s="81"/>
      <c r="K1425" s="81"/>
      <c r="L1425" s="81"/>
      <c r="M1425" s="81"/>
      <c r="N1425" s="81"/>
    </row>
    <row r="1426" spans="1:14" ht="14.25" customHeight="1" x14ac:dyDescent="0.25">
      <c r="A1426" s="81"/>
      <c r="B1426" s="81"/>
      <c r="C1426" s="137"/>
      <c r="D1426" s="81"/>
      <c r="E1426" s="81"/>
      <c r="F1426" s="81"/>
      <c r="G1426" s="81"/>
      <c r="H1426" s="81"/>
      <c r="I1426" s="81"/>
      <c r="J1426" s="81"/>
      <c r="K1426" s="81"/>
      <c r="L1426" s="81"/>
      <c r="M1426" s="81"/>
      <c r="N1426" s="81"/>
    </row>
    <row r="1427" spans="1:14" ht="14.25" customHeight="1" x14ac:dyDescent="0.25">
      <c r="A1427" s="81"/>
      <c r="B1427" s="81"/>
      <c r="C1427" s="137"/>
      <c r="D1427" s="81"/>
      <c r="E1427" s="81"/>
      <c r="F1427" s="81"/>
      <c r="G1427" s="81"/>
      <c r="H1427" s="81"/>
      <c r="I1427" s="81"/>
      <c r="J1427" s="81"/>
      <c r="K1427" s="81"/>
      <c r="L1427" s="81"/>
      <c r="M1427" s="81"/>
      <c r="N1427" s="81"/>
    </row>
    <row r="1428" spans="1:14" ht="14.25" customHeight="1" x14ac:dyDescent="0.25">
      <c r="A1428" s="81"/>
      <c r="B1428" s="81"/>
      <c r="C1428" s="137"/>
      <c r="D1428" s="81"/>
      <c r="E1428" s="81"/>
      <c r="F1428" s="81"/>
      <c r="G1428" s="81"/>
      <c r="H1428" s="81"/>
      <c r="I1428" s="81"/>
      <c r="J1428" s="81"/>
      <c r="K1428" s="81"/>
      <c r="L1428" s="81"/>
      <c r="M1428" s="81"/>
      <c r="N1428" s="81"/>
    </row>
    <row r="1429" spans="1:14" ht="14.25" customHeight="1" x14ac:dyDescent="0.25">
      <c r="A1429" s="81"/>
      <c r="B1429" s="81"/>
      <c r="C1429" s="137"/>
      <c r="D1429" s="81"/>
      <c r="E1429" s="81"/>
      <c r="F1429" s="81"/>
      <c r="G1429" s="81"/>
      <c r="H1429" s="81"/>
      <c r="I1429" s="81"/>
      <c r="J1429" s="81"/>
      <c r="K1429" s="81"/>
      <c r="L1429" s="81"/>
      <c r="M1429" s="81"/>
      <c r="N1429" s="81"/>
    </row>
    <row r="1430" spans="1:14" ht="14.25" customHeight="1" x14ac:dyDescent="0.25">
      <c r="A1430" s="81"/>
      <c r="B1430" s="81"/>
      <c r="C1430" s="137"/>
      <c r="D1430" s="81"/>
      <c r="E1430" s="81"/>
      <c r="F1430" s="81"/>
      <c r="G1430" s="81"/>
      <c r="H1430" s="81"/>
      <c r="I1430" s="81"/>
      <c r="J1430" s="81"/>
      <c r="K1430" s="81"/>
      <c r="L1430" s="81"/>
      <c r="M1430" s="81"/>
      <c r="N1430" s="81"/>
    </row>
    <row r="1431" spans="1:14" ht="14.25" customHeight="1" x14ac:dyDescent="0.25">
      <c r="A1431" s="81"/>
      <c r="B1431" s="81"/>
      <c r="C1431" s="137"/>
      <c r="D1431" s="81"/>
      <c r="E1431" s="81"/>
      <c r="F1431" s="81"/>
      <c r="G1431" s="81"/>
      <c r="H1431" s="81"/>
      <c r="I1431" s="81"/>
      <c r="J1431" s="81"/>
      <c r="K1431" s="81"/>
      <c r="L1431" s="81"/>
      <c r="M1431" s="81"/>
      <c r="N1431" s="81"/>
    </row>
    <row r="1432" spans="1:14" ht="14.25" customHeight="1" x14ac:dyDescent="0.25">
      <c r="A1432" s="134"/>
      <c r="B1432" s="135"/>
      <c r="C1432" s="135"/>
      <c r="D1432" s="135"/>
      <c r="E1432" s="135"/>
      <c r="F1432" s="136"/>
      <c r="G1432" s="81"/>
      <c r="H1432" s="81"/>
      <c r="I1432" s="81"/>
      <c r="J1432" s="81"/>
      <c r="K1432" s="81"/>
      <c r="L1432" s="81"/>
      <c r="M1432" s="81"/>
      <c r="N1432" s="81"/>
    </row>
    <row r="1433" spans="1:14" ht="14.25" customHeight="1" x14ac:dyDescent="0.25">
      <c r="A1433" s="134"/>
      <c r="B1433" s="135"/>
      <c r="C1433" s="135"/>
      <c r="D1433" s="135"/>
      <c r="E1433" s="135"/>
      <c r="F1433" s="136"/>
      <c r="G1433" s="81"/>
      <c r="H1433" s="81"/>
      <c r="I1433" s="81"/>
      <c r="J1433" s="81"/>
      <c r="K1433" s="81"/>
      <c r="L1433" s="81"/>
      <c r="M1433" s="81"/>
      <c r="N1433" s="81"/>
    </row>
    <row r="1434" spans="1:14" ht="14.25" customHeight="1" x14ac:dyDescent="0.25">
      <c r="A1434" s="134"/>
      <c r="B1434" s="135"/>
      <c r="C1434" s="135"/>
      <c r="D1434" s="135"/>
      <c r="E1434" s="135"/>
      <c r="F1434" s="136"/>
      <c r="G1434" s="81"/>
      <c r="H1434" s="81"/>
      <c r="I1434" s="81"/>
      <c r="J1434" s="81"/>
      <c r="K1434" s="81"/>
      <c r="L1434" s="81"/>
      <c r="M1434" s="81"/>
      <c r="N1434" s="81"/>
    </row>
    <row r="1435" spans="1:14" ht="14.25" customHeight="1" thickBot="1" x14ac:dyDescent="0.3">
      <c r="A1435" s="81"/>
      <c r="B1435" s="81"/>
      <c r="C1435" s="81"/>
      <c r="D1435" s="81"/>
      <c r="E1435" s="81"/>
      <c r="F1435" s="81"/>
      <c r="G1435" s="81"/>
      <c r="H1435" s="81"/>
      <c r="I1435" s="81"/>
      <c r="J1435" s="81"/>
      <c r="K1435" s="81"/>
      <c r="L1435" s="81"/>
      <c r="M1435" s="81"/>
      <c r="N1435" s="81"/>
    </row>
    <row r="1436" spans="1:14" ht="14.25" customHeight="1" x14ac:dyDescent="0.25">
      <c r="A1436" s="83"/>
      <c r="B1436" s="84"/>
      <c r="C1436" s="85"/>
      <c r="D1436" s="86"/>
      <c r="E1436" s="86"/>
      <c r="F1436" s="87"/>
      <c r="G1436" s="81"/>
      <c r="H1436" s="81"/>
      <c r="I1436" s="81"/>
      <c r="J1436" s="81"/>
      <c r="K1436" s="81"/>
      <c r="L1436" s="81"/>
      <c r="M1436" s="81"/>
      <c r="N1436" s="81"/>
    </row>
    <row r="1437" spans="1:14" ht="14.25" customHeight="1" x14ac:dyDescent="0.25">
      <c r="A1437" s="599"/>
      <c r="B1437" s="600"/>
      <c r="C1437" s="600"/>
      <c r="D1437" s="600"/>
      <c r="E1437" s="600"/>
      <c r="F1437" s="601"/>
      <c r="G1437" s="81"/>
      <c r="H1437" s="81"/>
      <c r="I1437" s="81"/>
      <c r="J1437" s="81"/>
      <c r="K1437" s="81"/>
      <c r="L1437" s="81"/>
      <c r="M1437" s="81"/>
      <c r="N1437" s="81"/>
    </row>
    <row r="1438" spans="1:14" ht="14.25" customHeight="1" x14ac:dyDescent="0.25">
      <c r="A1438" s="602" t="s">
        <v>561</v>
      </c>
      <c r="B1438" s="600"/>
      <c r="C1438" s="600"/>
      <c r="D1438" s="600"/>
      <c r="E1438" s="600"/>
      <c r="F1438" s="601"/>
      <c r="G1438" s="81"/>
      <c r="H1438" s="81"/>
      <c r="I1438" s="81"/>
      <c r="J1438" s="81"/>
      <c r="K1438" s="81"/>
      <c r="L1438" s="81"/>
      <c r="M1438" s="81"/>
      <c r="N1438" s="81"/>
    </row>
    <row r="1439" spans="1:14" ht="14.25" customHeight="1" thickBot="1" x14ac:dyDescent="0.3">
      <c r="A1439" s="603"/>
      <c r="B1439" s="604"/>
      <c r="C1439" s="604"/>
      <c r="D1439" s="604"/>
      <c r="E1439" s="604"/>
      <c r="F1439" s="605"/>
      <c r="G1439" s="81"/>
      <c r="H1439" s="81"/>
      <c r="I1439" s="81"/>
      <c r="J1439" s="81"/>
      <c r="K1439" s="81"/>
      <c r="L1439" s="81"/>
      <c r="M1439" s="81"/>
      <c r="N1439" s="81"/>
    </row>
    <row r="1440" spans="1:14" ht="14.25" customHeight="1" x14ac:dyDescent="0.25">
      <c r="A1440" s="88"/>
      <c r="B1440" s="88"/>
      <c r="C1440" s="89"/>
      <c r="D1440" s="89"/>
      <c r="E1440" s="89"/>
      <c r="F1440" s="89"/>
      <c r="G1440" s="81"/>
      <c r="H1440" s="81"/>
      <c r="I1440" s="81"/>
      <c r="J1440" s="81"/>
      <c r="K1440" s="81"/>
      <c r="L1440" s="81"/>
      <c r="M1440" s="81"/>
      <c r="N1440" s="81"/>
    </row>
    <row r="1441" spans="1:14" ht="29.25" customHeight="1" x14ac:dyDescent="0.25">
      <c r="A1441" s="90" t="s">
        <v>47</v>
      </c>
      <c r="B1441" s="613" t="s">
        <v>1321</v>
      </c>
      <c r="C1441" s="600"/>
      <c r="D1441" s="600"/>
      <c r="E1441" s="600"/>
      <c r="F1441" s="600"/>
      <c r="G1441" s="81"/>
      <c r="H1441" s="81"/>
      <c r="I1441" s="81"/>
      <c r="J1441" s="81"/>
      <c r="K1441" s="81"/>
      <c r="L1441" s="81"/>
      <c r="M1441" s="81"/>
      <c r="N1441" s="81"/>
    </row>
    <row r="1442" spans="1:14" ht="14.25" customHeight="1" x14ac:dyDescent="0.25">
      <c r="A1442" s="91"/>
      <c r="B1442" s="91"/>
      <c r="C1442" s="91"/>
      <c r="D1442" s="91"/>
      <c r="E1442" s="91"/>
      <c r="F1442" s="91"/>
      <c r="G1442" s="81"/>
      <c r="H1442" s="81"/>
      <c r="I1442" s="81"/>
      <c r="J1442" s="81"/>
      <c r="K1442" s="81"/>
      <c r="L1442" s="81"/>
      <c r="M1442" s="81"/>
      <c r="N1442" s="81"/>
    </row>
    <row r="1443" spans="1:14" ht="14.25" customHeight="1" x14ac:dyDescent="0.25">
      <c r="A1443" s="88" t="s">
        <v>49</v>
      </c>
      <c r="B1443" s="92" t="s">
        <v>64</v>
      </c>
      <c r="C1443" s="89"/>
      <c r="D1443" s="89"/>
      <c r="E1443" s="89"/>
      <c r="F1443" s="93"/>
      <c r="G1443" s="81"/>
      <c r="H1443" s="81"/>
      <c r="I1443" s="81"/>
      <c r="J1443" s="81"/>
      <c r="K1443" s="81"/>
      <c r="L1443" s="81"/>
      <c r="M1443" s="81"/>
      <c r="N1443" s="81"/>
    </row>
    <row r="1444" spans="1:14" ht="14.25" customHeight="1" x14ac:dyDescent="0.25">
      <c r="A1444" s="88"/>
      <c r="B1444" s="94"/>
      <c r="C1444" s="89"/>
      <c r="D1444" s="89"/>
      <c r="E1444" s="89"/>
      <c r="F1444" s="93"/>
      <c r="G1444" s="81"/>
      <c r="H1444" s="81"/>
      <c r="I1444" s="81"/>
      <c r="J1444" s="81"/>
      <c r="K1444" s="81"/>
      <c r="L1444" s="81"/>
      <c r="M1444" s="81"/>
      <c r="N1444" s="81"/>
    </row>
    <row r="1445" spans="1:14" ht="14.25" customHeight="1" x14ac:dyDescent="0.25">
      <c r="A1445" s="95" t="s">
        <v>562</v>
      </c>
      <c r="B1445" s="96"/>
      <c r="C1445" s="92"/>
      <c r="D1445" s="92"/>
      <c r="E1445" s="92"/>
      <c r="F1445" s="92"/>
      <c r="G1445" s="81"/>
      <c r="H1445" s="81"/>
      <c r="I1445" s="81"/>
      <c r="J1445" s="81"/>
      <c r="K1445" s="81"/>
      <c r="L1445" s="81"/>
      <c r="M1445" s="81"/>
      <c r="N1445" s="81"/>
    </row>
    <row r="1446" spans="1:14" ht="14.25" customHeight="1" x14ac:dyDescent="0.25">
      <c r="A1446" s="97" t="s">
        <v>563</v>
      </c>
      <c r="B1446" s="98" t="s">
        <v>564</v>
      </c>
      <c r="C1446" s="98" t="s">
        <v>565</v>
      </c>
      <c r="D1446" s="98" t="s">
        <v>566</v>
      </c>
      <c r="E1446" s="98" t="s">
        <v>567</v>
      </c>
      <c r="F1446" s="98" t="s">
        <v>568</v>
      </c>
      <c r="G1446" s="81"/>
      <c r="H1446" s="81"/>
      <c r="I1446" s="81"/>
      <c r="J1446" s="81"/>
      <c r="K1446" s="81"/>
      <c r="L1446" s="81"/>
      <c r="M1446" s="81"/>
      <c r="N1446" s="81"/>
    </row>
    <row r="1447" spans="1:14" ht="25.5" x14ac:dyDescent="0.25">
      <c r="A1447" s="99" t="s">
        <v>641</v>
      </c>
      <c r="B1447" s="100" t="s">
        <v>64</v>
      </c>
      <c r="C1447" s="101">
        <v>441370</v>
      </c>
      <c r="D1447" s="104">
        <v>1</v>
      </c>
      <c r="E1447" s="102">
        <v>0.05</v>
      </c>
      <c r="F1447" s="101">
        <f t="shared" ref="F1447:F1452" si="79">C1447*(D1447+(D1447*E1447))</f>
        <v>463438.5</v>
      </c>
      <c r="G1447" s="81"/>
      <c r="H1447" s="81"/>
      <c r="I1447" s="81"/>
      <c r="J1447" s="81"/>
      <c r="K1447" s="81"/>
      <c r="L1447" s="81"/>
      <c r="M1447" s="81"/>
      <c r="N1447" s="81"/>
    </row>
    <row r="1448" spans="1:14" ht="14.25" customHeight="1" x14ac:dyDescent="0.25">
      <c r="A1448" s="99"/>
      <c r="B1448" s="100"/>
      <c r="C1448" s="101"/>
      <c r="D1448" s="104"/>
      <c r="E1448" s="102"/>
      <c r="F1448" s="101">
        <f t="shared" si="79"/>
        <v>0</v>
      </c>
      <c r="G1448" s="81"/>
      <c r="H1448" s="81"/>
      <c r="I1448" s="81"/>
      <c r="J1448" s="81"/>
      <c r="K1448" s="81"/>
      <c r="L1448" s="81"/>
      <c r="M1448" s="81"/>
      <c r="N1448" s="81"/>
    </row>
    <row r="1449" spans="1:14" ht="14.25" customHeight="1" x14ac:dyDescent="0.25">
      <c r="A1449" s="99"/>
      <c r="B1449" s="100"/>
      <c r="C1449" s="101"/>
      <c r="D1449" s="104"/>
      <c r="E1449" s="102"/>
      <c r="F1449" s="101">
        <f t="shared" si="79"/>
        <v>0</v>
      </c>
      <c r="G1449" s="81"/>
      <c r="H1449" s="81"/>
      <c r="I1449" s="81"/>
      <c r="J1449" s="81"/>
      <c r="K1449" s="81"/>
      <c r="L1449" s="81"/>
      <c r="M1449" s="81"/>
      <c r="N1449" s="81"/>
    </row>
    <row r="1450" spans="1:14" ht="14.25" customHeight="1" x14ac:dyDescent="0.25">
      <c r="A1450" s="99"/>
      <c r="B1450" s="100"/>
      <c r="C1450" s="101"/>
      <c r="D1450" s="104"/>
      <c r="E1450" s="102"/>
      <c r="F1450" s="101">
        <f t="shared" si="79"/>
        <v>0</v>
      </c>
      <c r="G1450" s="81"/>
      <c r="H1450" s="81"/>
      <c r="I1450" s="81"/>
      <c r="J1450" s="81"/>
      <c r="K1450" s="81"/>
      <c r="L1450" s="81"/>
      <c r="M1450" s="81"/>
      <c r="N1450" s="81"/>
    </row>
    <row r="1451" spans="1:14" ht="14.25" customHeight="1" x14ac:dyDescent="0.25">
      <c r="A1451" s="99"/>
      <c r="B1451" s="100"/>
      <c r="C1451" s="101"/>
      <c r="D1451" s="104"/>
      <c r="E1451" s="102"/>
      <c r="F1451" s="101">
        <f t="shared" si="79"/>
        <v>0</v>
      </c>
      <c r="G1451" s="81"/>
      <c r="H1451" s="81"/>
      <c r="I1451" s="81"/>
      <c r="J1451" s="81"/>
      <c r="K1451" s="81"/>
      <c r="L1451" s="81"/>
      <c r="M1451" s="81"/>
      <c r="N1451" s="81"/>
    </row>
    <row r="1452" spans="1:14" ht="14.25" customHeight="1" x14ac:dyDescent="0.25">
      <c r="A1452" s="99"/>
      <c r="B1452" s="100"/>
      <c r="C1452" s="101"/>
      <c r="D1452" s="104"/>
      <c r="E1452" s="102"/>
      <c r="F1452" s="101">
        <f t="shared" si="79"/>
        <v>0</v>
      </c>
      <c r="G1452" s="81"/>
      <c r="H1452" s="81"/>
      <c r="I1452" s="81"/>
      <c r="J1452" s="81"/>
      <c r="K1452" s="81"/>
      <c r="L1452" s="81"/>
      <c r="M1452" s="81"/>
      <c r="N1452" s="81"/>
    </row>
    <row r="1453" spans="1:14" ht="14.25" customHeight="1" x14ac:dyDescent="0.25">
      <c r="A1453" s="99"/>
      <c r="B1453" s="100"/>
      <c r="C1453" s="106"/>
      <c r="D1453" s="107"/>
      <c r="E1453" s="108"/>
      <c r="F1453" s="106"/>
      <c r="G1453" s="81"/>
      <c r="H1453" s="81"/>
      <c r="I1453" s="81"/>
      <c r="J1453" s="81"/>
      <c r="K1453" s="81"/>
      <c r="L1453" s="81"/>
      <c r="M1453" s="81"/>
      <c r="N1453" s="81"/>
    </row>
    <row r="1454" spans="1:14" ht="14.25" customHeight="1" x14ac:dyDescent="0.25">
      <c r="A1454" s="97" t="s">
        <v>548</v>
      </c>
      <c r="B1454" s="97"/>
      <c r="C1454" s="109"/>
      <c r="D1454" s="110"/>
      <c r="E1454" s="111"/>
      <c r="F1454" s="112">
        <f>SUM(F1447:F1453)</f>
        <v>463438.5</v>
      </c>
      <c r="G1454" s="81"/>
      <c r="H1454" s="81"/>
      <c r="I1454" s="81"/>
      <c r="J1454" s="81"/>
      <c r="K1454" s="81"/>
      <c r="L1454" s="81"/>
      <c r="M1454" s="81"/>
      <c r="N1454" s="81"/>
    </row>
    <row r="1455" spans="1:14" ht="14.25" customHeight="1" x14ac:dyDescent="0.25">
      <c r="A1455" s="88"/>
      <c r="B1455" s="88"/>
      <c r="C1455" s="113"/>
      <c r="D1455" s="113"/>
      <c r="E1455" s="114"/>
      <c r="F1455" s="113"/>
      <c r="G1455" s="81"/>
      <c r="H1455" s="81"/>
      <c r="I1455" s="81"/>
      <c r="J1455" s="81"/>
      <c r="K1455" s="81"/>
      <c r="L1455" s="81"/>
      <c r="M1455" s="81"/>
      <c r="N1455" s="81"/>
    </row>
    <row r="1456" spans="1:14" ht="14.25" customHeight="1" x14ac:dyDescent="0.25">
      <c r="A1456" s="96" t="s">
        <v>573</v>
      </c>
      <c r="B1456" s="96"/>
      <c r="C1456" s="92"/>
      <c r="D1456" s="92"/>
      <c r="E1456" s="92"/>
      <c r="F1456" s="92"/>
      <c r="G1456" s="81"/>
      <c r="H1456" s="81"/>
      <c r="I1456" s="81"/>
      <c r="J1456" s="81"/>
      <c r="K1456" s="81"/>
      <c r="L1456" s="81"/>
      <c r="M1456" s="81"/>
      <c r="N1456" s="81"/>
    </row>
    <row r="1457" spans="1:14" ht="14.25" customHeight="1" x14ac:dyDescent="0.25">
      <c r="A1457" s="611" t="s">
        <v>563</v>
      </c>
      <c r="B1457" s="608"/>
      <c r="C1457" s="609"/>
      <c r="D1457" s="98" t="s">
        <v>574</v>
      </c>
      <c r="E1457" s="98" t="s">
        <v>575</v>
      </c>
      <c r="F1457" s="98" t="s">
        <v>568</v>
      </c>
      <c r="G1457" s="81"/>
      <c r="H1457" s="81"/>
      <c r="I1457" s="81"/>
      <c r="J1457" s="81"/>
      <c r="K1457" s="81"/>
      <c r="L1457" s="81"/>
      <c r="M1457" s="81"/>
      <c r="N1457" s="81"/>
    </row>
    <row r="1458" spans="1:14" ht="14.25" customHeight="1" x14ac:dyDescent="0.25">
      <c r="A1458" s="607" t="s">
        <v>577</v>
      </c>
      <c r="B1458" s="608"/>
      <c r="C1458" s="609"/>
      <c r="D1458" s="116"/>
      <c r="E1458" s="107"/>
      <c r="F1458" s="106">
        <v>577</v>
      </c>
      <c r="G1458" s="81"/>
      <c r="H1458" s="81"/>
      <c r="I1458" s="81"/>
      <c r="J1458" s="81"/>
      <c r="K1458" s="81"/>
      <c r="L1458" s="81"/>
      <c r="M1458" s="81"/>
      <c r="N1458" s="81"/>
    </row>
    <row r="1459" spans="1:14" ht="14.25" customHeight="1" x14ac:dyDescent="0.25">
      <c r="A1459" s="607" t="s">
        <v>642</v>
      </c>
      <c r="B1459" s="608"/>
      <c r="C1459" s="609"/>
      <c r="D1459" s="142">
        <v>8750</v>
      </c>
      <c r="E1459" s="107">
        <v>0.8</v>
      </c>
      <c r="F1459" s="106">
        <f t="shared" ref="F1459:F1460" si="80">D1459/E1459</f>
        <v>10937.5</v>
      </c>
      <c r="G1459" s="81"/>
      <c r="H1459" s="81"/>
      <c r="I1459" s="81"/>
      <c r="J1459" s="81"/>
      <c r="K1459" s="81"/>
      <c r="L1459" s="81"/>
      <c r="M1459" s="81"/>
      <c r="N1459" s="81"/>
    </row>
    <row r="1460" spans="1:14" ht="14.25" customHeight="1" x14ac:dyDescent="0.25">
      <c r="A1460" s="607" t="s">
        <v>643</v>
      </c>
      <c r="B1460" s="608"/>
      <c r="C1460" s="609"/>
      <c r="D1460" s="142">
        <v>12350</v>
      </c>
      <c r="E1460" s="105">
        <v>7.4999999999999997E-2</v>
      </c>
      <c r="F1460" s="106">
        <f t="shared" si="80"/>
        <v>164666.66666666669</v>
      </c>
      <c r="G1460" s="81"/>
      <c r="H1460" s="81"/>
      <c r="I1460" s="81"/>
      <c r="J1460" s="81"/>
      <c r="K1460" s="81"/>
      <c r="L1460" s="81"/>
      <c r="M1460" s="81"/>
      <c r="N1460" s="81"/>
    </row>
    <row r="1461" spans="1:14" ht="14.25" customHeight="1" x14ac:dyDescent="0.25">
      <c r="A1461" s="607"/>
      <c r="B1461" s="608"/>
      <c r="C1461" s="609"/>
      <c r="D1461" s="142"/>
      <c r="E1461" s="107"/>
      <c r="F1461" s="106"/>
      <c r="G1461" s="81"/>
      <c r="H1461" s="81"/>
      <c r="I1461" s="81"/>
      <c r="J1461" s="81"/>
      <c r="K1461" s="81"/>
      <c r="L1461" s="81"/>
      <c r="M1461" s="81"/>
      <c r="N1461" s="81"/>
    </row>
    <row r="1462" spans="1:14" ht="14.25" customHeight="1" x14ac:dyDescent="0.25">
      <c r="A1462" s="610"/>
      <c r="B1462" s="608"/>
      <c r="C1462" s="609"/>
      <c r="D1462" s="115"/>
      <c r="E1462" s="107"/>
      <c r="F1462" s="106"/>
      <c r="G1462" s="81"/>
      <c r="H1462" s="81"/>
      <c r="I1462" s="81"/>
      <c r="J1462" s="81"/>
      <c r="K1462" s="81"/>
      <c r="L1462" s="81"/>
      <c r="M1462" s="81"/>
      <c r="N1462" s="81"/>
    </row>
    <row r="1463" spans="1:14" ht="14.25" customHeight="1" x14ac:dyDescent="0.25">
      <c r="A1463" s="611" t="s">
        <v>548</v>
      </c>
      <c r="B1463" s="608"/>
      <c r="C1463" s="609"/>
      <c r="D1463" s="110"/>
      <c r="E1463" s="110"/>
      <c r="F1463" s="112">
        <f>SUM(F1458:F1461)</f>
        <v>176181.16666666669</v>
      </c>
      <c r="G1463" s="81"/>
      <c r="H1463" s="81"/>
      <c r="I1463" s="81"/>
      <c r="J1463" s="81"/>
      <c r="K1463" s="81"/>
      <c r="L1463" s="81"/>
      <c r="M1463" s="81"/>
      <c r="N1463" s="81"/>
    </row>
    <row r="1464" spans="1:14" ht="14.25" customHeight="1" x14ac:dyDescent="0.25">
      <c r="A1464" s="88"/>
      <c r="B1464" s="88"/>
      <c r="C1464" s="89"/>
      <c r="D1464" s="113"/>
      <c r="E1464" s="113"/>
      <c r="F1464" s="113"/>
      <c r="G1464" s="81"/>
      <c r="H1464" s="81"/>
      <c r="I1464" s="81"/>
      <c r="J1464" s="81"/>
      <c r="K1464" s="81"/>
      <c r="L1464" s="81"/>
      <c r="M1464" s="81"/>
      <c r="N1464" s="81"/>
    </row>
    <row r="1465" spans="1:14" ht="14.25" customHeight="1" x14ac:dyDescent="0.25">
      <c r="A1465" s="96" t="s">
        <v>578</v>
      </c>
      <c r="B1465" s="96"/>
      <c r="C1465" s="92"/>
      <c r="D1465" s="118"/>
      <c r="E1465" s="118"/>
      <c r="F1465" s="118"/>
      <c r="G1465" s="81"/>
      <c r="H1465" s="81"/>
      <c r="I1465" s="81"/>
      <c r="J1465" s="81"/>
      <c r="K1465" s="81"/>
      <c r="L1465" s="81"/>
      <c r="M1465" s="81"/>
      <c r="N1465" s="81"/>
    </row>
    <row r="1466" spans="1:14" ht="14.25" customHeight="1" x14ac:dyDescent="0.25">
      <c r="A1466" s="119" t="s">
        <v>563</v>
      </c>
      <c r="B1466" s="120" t="s">
        <v>579</v>
      </c>
      <c r="C1466" s="120" t="s">
        <v>580</v>
      </c>
      <c r="D1466" s="121" t="s">
        <v>581</v>
      </c>
      <c r="E1466" s="121" t="s">
        <v>575</v>
      </c>
      <c r="F1466" s="121" t="s">
        <v>568</v>
      </c>
      <c r="G1466" s="81"/>
      <c r="H1466" s="81"/>
      <c r="I1466" s="81"/>
      <c r="J1466" s="81"/>
      <c r="K1466" s="81"/>
      <c r="L1466" s="81"/>
      <c r="M1466" s="81"/>
      <c r="N1466" s="81"/>
    </row>
    <row r="1467" spans="1:14" ht="14.25" customHeight="1" x14ac:dyDescent="0.25">
      <c r="A1467" s="122" t="s">
        <v>593</v>
      </c>
      <c r="B1467" s="127">
        <v>5</v>
      </c>
      <c r="C1467" s="101">
        <v>32688</v>
      </c>
      <c r="D1467" s="101">
        <f t="shared" ref="D1467:D1468" si="81">+C1467*1.7</f>
        <v>55569.599999999999</v>
      </c>
      <c r="E1467" s="107">
        <v>5</v>
      </c>
      <c r="F1467" s="106">
        <f t="shared" ref="F1467:F1468" si="82">+B1467*(D1467)/E1467</f>
        <v>55569.599999999999</v>
      </c>
      <c r="G1467" s="81"/>
      <c r="H1467" s="81"/>
      <c r="I1467" s="81"/>
      <c r="J1467" s="81"/>
      <c r="K1467" s="81"/>
      <c r="L1467" s="81"/>
      <c r="M1467" s="81"/>
      <c r="N1467" s="81"/>
    </row>
    <row r="1468" spans="1:14" ht="14.25" customHeight="1" x14ac:dyDescent="0.25">
      <c r="A1468" s="122" t="s">
        <v>594</v>
      </c>
      <c r="B1468" s="127">
        <v>3</v>
      </c>
      <c r="C1468" s="101">
        <v>52538</v>
      </c>
      <c r="D1468" s="101">
        <f t="shared" si="81"/>
        <v>89314.599999999991</v>
      </c>
      <c r="E1468" s="107">
        <f>E1467</f>
        <v>5</v>
      </c>
      <c r="F1468" s="106">
        <f t="shared" si="82"/>
        <v>53588.759999999995</v>
      </c>
      <c r="G1468" s="81"/>
      <c r="H1468" s="81"/>
      <c r="I1468" s="81"/>
      <c r="J1468" s="81"/>
      <c r="K1468" s="81"/>
      <c r="L1468" s="81"/>
      <c r="M1468" s="81"/>
      <c r="N1468" s="81"/>
    </row>
    <row r="1469" spans="1:14" ht="14.25" customHeight="1" x14ac:dyDescent="0.25">
      <c r="A1469" s="122"/>
      <c r="B1469" s="127"/>
      <c r="C1469" s="101"/>
      <c r="D1469" s="101"/>
      <c r="E1469" s="105"/>
      <c r="F1469" s="106"/>
      <c r="G1469" s="81"/>
      <c r="H1469" s="81"/>
      <c r="I1469" s="81"/>
      <c r="J1469" s="81"/>
      <c r="K1469" s="81"/>
      <c r="L1469" s="81"/>
      <c r="M1469" s="81"/>
      <c r="N1469" s="81"/>
    </row>
    <row r="1470" spans="1:14" ht="14.25" customHeight="1" x14ac:dyDescent="0.25">
      <c r="A1470" s="122"/>
      <c r="B1470" s="127"/>
      <c r="C1470" s="101"/>
      <c r="D1470" s="101"/>
      <c r="E1470" s="125"/>
      <c r="F1470" s="106"/>
      <c r="G1470" s="81"/>
      <c r="H1470" s="81"/>
      <c r="I1470" s="81"/>
      <c r="J1470" s="81"/>
      <c r="K1470" s="81"/>
      <c r="L1470" s="81"/>
      <c r="M1470" s="81"/>
      <c r="N1470" s="81"/>
    </row>
    <row r="1471" spans="1:14" ht="14.25" customHeight="1" x14ac:dyDescent="0.25">
      <c r="A1471" s="97" t="s">
        <v>548</v>
      </c>
      <c r="B1471" s="128"/>
      <c r="C1471" s="110"/>
      <c r="D1471" s="110"/>
      <c r="E1471" s="110"/>
      <c r="F1471" s="112">
        <f>SUM(F1467:F1470)</f>
        <v>109158.35999999999</v>
      </c>
      <c r="G1471" s="81"/>
      <c r="H1471" s="81"/>
      <c r="I1471" s="81"/>
      <c r="J1471" s="81"/>
      <c r="K1471" s="81"/>
      <c r="L1471" s="81"/>
      <c r="M1471" s="81"/>
      <c r="N1471" s="81"/>
    </row>
    <row r="1472" spans="1:14" ht="14.25" customHeight="1" x14ac:dyDescent="0.25">
      <c r="A1472" s="96"/>
      <c r="B1472" s="129"/>
      <c r="C1472" s="118"/>
      <c r="D1472" s="118"/>
      <c r="E1472" s="118"/>
      <c r="F1472" s="118"/>
      <c r="G1472" s="81"/>
      <c r="H1472" s="81"/>
      <c r="I1472" s="81"/>
      <c r="J1472" s="81"/>
      <c r="K1472" s="81"/>
      <c r="L1472" s="81"/>
      <c r="M1472" s="81"/>
      <c r="N1472" s="81"/>
    </row>
    <row r="1473" spans="1:14" ht="14.25" customHeight="1" x14ac:dyDescent="0.25">
      <c r="A1473" s="95" t="s">
        <v>583</v>
      </c>
      <c r="B1473" s="96"/>
      <c r="C1473" s="92"/>
      <c r="D1473" s="92"/>
      <c r="E1473" s="92" t="s">
        <v>584</v>
      </c>
      <c r="F1473" s="92"/>
      <c r="G1473" s="81"/>
      <c r="H1473" s="81"/>
      <c r="I1473" s="81"/>
      <c r="J1473" s="81"/>
      <c r="K1473" s="81"/>
      <c r="L1473" s="81"/>
      <c r="M1473" s="81"/>
      <c r="N1473" s="81"/>
    </row>
    <row r="1474" spans="1:14" ht="14.25" customHeight="1" x14ac:dyDescent="0.25">
      <c r="A1474" s="97" t="s">
        <v>563</v>
      </c>
      <c r="B1474" s="98" t="s">
        <v>564</v>
      </c>
      <c r="C1474" s="98" t="s">
        <v>585</v>
      </c>
      <c r="D1474" s="98" t="s">
        <v>586</v>
      </c>
      <c r="E1474" s="120" t="s">
        <v>587</v>
      </c>
      <c r="F1474" s="98" t="s">
        <v>568</v>
      </c>
      <c r="G1474" s="81"/>
      <c r="H1474" s="81"/>
      <c r="I1474" s="81"/>
      <c r="J1474" s="81"/>
      <c r="K1474" s="81"/>
      <c r="L1474" s="81"/>
      <c r="M1474" s="81"/>
      <c r="N1474" s="81"/>
    </row>
    <row r="1475" spans="1:14" ht="14.25" customHeight="1" x14ac:dyDescent="0.25">
      <c r="A1475" s="103"/>
      <c r="B1475" s="100"/>
      <c r="C1475" s="101"/>
      <c r="D1475" s="140"/>
      <c r="E1475" s="107"/>
      <c r="F1475" s="109"/>
      <c r="G1475" s="81"/>
      <c r="H1475" s="81"/>
      <c r="I1475" s="81"/>
      <c r="J1475" s="81"/>
      <c r="K1475" s="81"/>
      <c r="L1475" s="81"/>
      <c r="M1475" s="81"/>
      <c r="N1475" s="81"/>
    </row>
    <row r="1476" spans="1:14" ht="14.25" customHeight="1" x14ac:dyDescent="0.25">
      <c r="A1476" s="103"/>
      <c r="B1476" s="100"/>
      <c r="C1476" s="107"/>
      <c r="D1476" s="107"/>
      <c r="E1476" s="108"/>
      <c r="F1476" s="109"/>
      <c r="G1476" s="81"/>
      <c r="H1476" s="81"/>
      <c r="I1476" s="81"/>
      <c r="J1476" s="81"/>
      <c r="K1476" s="81"/>
      <c r="L1476" s="81"/>
      <c r="M1476" s="81"/>
      <c r="N1476" s="81"/>
    </row>
    <row r="1477" spans="1:14" ht="14.25" customHeight="1" x14ac:dyDescent="0.25">
      <c r="A1477" s="97" t="s">
        <v>548</v>
      </c>
      <c r="B1477" s="98"/>
      <c r="C1477" s="110"/>
      <c r="D1477" s="110"/>
      <c r="E1477" s="111"/>
      <c r="F1477" s="112">
        <f>SUM(F1475:F1476)</f>
        <v>0</v>
      </c>
      <c r="G1477" s="81"/>
      <c r="H1477" s="81"/>
      <c r="I1477" s="81"/>
      <c r="J1477" s="81"/>
      <c r="K1477" s="81"/>
      <c r="L1477" s="81"/>
      <c r="M1477" s="81"/>
      <c r="N1477" s="81"/>
    </row>
    <row r="1478" spans="1:14" ht="14.25" customHeight="1" x14ac:dyDescent="0.25">
      <c r="A1478" s="88"/>
      <c r="B1478" s="89"/>
      <c r="C1478" s="113"/>
      <c r="D1478" s="113"/>
      <c r="E1478" s="114"/>
      <c r="F1478" s="113"/>
      <c r="G1478" s="81"/>
      <c r="H1478" s="81"/>
      <c r="I1478" s="81"/>
      <c r="J1478" s="81"/>
      <c r="K1478" s="81"/>
      <c r="L1478" s="81"/>
      <c r="M1478" s="81"/>
      <c r="N1478" s="81"/>
    </row>
    <row r="1479" spans="1:14" ht="14.25" customHeight="1" x14ac:dyDescent="0.25">
      <c r="A1479" s="88"/>
      <c r="B1479" s="89"/>
      <c r="C1479" s="113"/>
      <c r="D1479" s="113"/>
      <c r="E1479" s="114"/>
      <c r="F1479" s="113"/>
      <c r="G1479" s="81"/>
      <c r="H1479" s="81"/>
      <c r="I1479" s="81"/>
      <c r="J1479" s="81"/>
      <c r="K1479" s="81"/>
      <c r="L1479" s="81"/>
      <c r="M1479" s="81"/>
      <c r="N1479" s="81"/>
    </row>
    <row r="1480" spans="1:14" ht="14.25" customHeight="1" x14ac:dyDescent="0.25">
      <c r="A1480" s="612" t="s">
        <v>588</v>
      </c>
      <c r="B1480" s="608"/>
      <c r="C1480" s="608"/>
      <c r="D1480" s="608"/>
      <c r="E1480" s="609"/>
      <c r="F1480" s="131">
        <f>ROUND(F1454+F1463+F1471+F1477,0)</f>
        <v>748778</v>
      </c>
      <c r="G1480" s="81"/>
      <c r="H1480" s="117">
        <f>748778-F1480</f>
        <v>0</v>
      </c>
      <c r="I1480" s="81"/>
      <c r="J1480" s="81"/>
      <c r="K1480" s="81"/>
      <c r="L1480" s="81"/>
      <c r="M1480" s="81"/>
      <c r="N1480" s="81"/>
    </row>
    <row r="1481" spans="1:14" ht="14.25" customHeight="1" x14ac:dyDescent="0.25">
      <c r="A1481" s="612" t="s">
        <v>589</v>
      </c>
      <c r="B1481" s="608"/>
      <c r="C1481" s="608"/>
      <c r="D1481" s="608"/>
      <c r="E1481" s="609"/>
      <c r="F1481" s="132"/>
      <c r="G1481" s="81"/>
      <c r="H1481" s="81"/>
      <c r="I1481" s="81"/>
      <c r="J1481" s="81"/>
      <c r="K1481" s="81"/>
      <c r="L1481" s="81"/>
      <c r="M1481" s="81"/>
      <c r="N1481" s="81"/>
    </row>
    <row r="1482" spans="1:14" ht="14.25" customHeight="1" x14ac:dyDescent="0.25">
      <c r="A1482" s="146" t="s">
        <v>556</v>
      </c>
      <c r="B1482" s="147"/>
      <c r="C1482" s="147"/>
      <c r="D1482" s="147"/>
      <c r="E1482" s="148"/>
      <c r="F1482" s="133"/>
      <c r="G1482" s="81"/>
      <c r="H1482" s="81"/>
      <c r="I1482" s="81"/>
      <c r="J1482" s="81"/>
      <c r="K1482" s="81"/>
      <c r="L1482" s="81"/>
      <c r="M1482" s="81"/>
      <c r="N1482" s="81"/>
    </row>
    <row r="1483" spans="1:14" ht="14.25" customHeight="1" x14ac:dyDescent="0.25">
      <c r="A1483" s="134"/>
      <c r="B1483" s="135"/>
      <c r="C1483" s="135"/>
      <c r="D1483" s="135"/>
      <c r="E1483" s="135"/>
      <c r="F1483" s="136"/>
      <c r="G1483" s="81"/>
      <c r="H1483" s="81"/>
      <c r="I1483" s="81"/>
      <c r="J1483" s="81"/>
      <c r="K1483" s="81"/>
      <c r="L1483" s="81"/>
      <c r="M1483" s="81"/>
      <c r="N1483" s="81"/>
    </row>
    <row r="1484" spans="1:14" ht="14.25" customHeight="1" x14ac:dyDescent="0.25">
      <c r="A1484" s="81"/>
      <c r="B1484" s="81"/>
      <c r="C1484" s="137"/>
      <c r="D1484" s="81"/>
      <c r="E1484" s="81"/>
      <c r="F1484" s="81"/>
      <c r="G1484" s="81"/>
      <c r="H1484" s="81"/>
      <c r="I1484" s="81"/>
      <c r="J1484" s="81"/>
      <c r="K1484" s="81"/>
      <c r="L1484" s="81"/>
      <c r="M1484" s="81"/>
      <c r="N1484" s="81"/>
    </row>
    <row r="1485" spans="1:14" ht="14.25" customHeight="1" x14ac:dyDescent="0.25">
      <c r="A1485" s="81"/>
      <c r="B1485" s="81"/>
      <c r="C1485" s="137"/>
      <c r="D1485" s="81"/>
      <c r="E1485" s="81"/>
      <c r="F1485" s="81"/>
      <c r="G1485" s="81"/>
      <c r="H1485" s="81"/>
      <c r="I1485" s="81"/>
      <c r="J1485" s="81"/>
      <c r="K1485" s="81"/>
      <c r="L1485" s="81"/>
      <c r="M1485" s="81"/>
      <c r="N1485" s="81"/>
    </row>
    <row r="1486" spans="1:14" ht="14.25" customHeight="1" x14ac:dyDescent="0.25">
      <c r="A1486" s="81"/>
      <c r="B1486" s="81"/>
      <c r="C1486" s="137"/>
      <c r="D1486" s="81"/>
      <c r="E1486" s="81"/>
      <c r="F1486" s="81"/>
      <c r="G1486" s="81"/>
      <c r="H1486" s="81"/>
      <c r="I1486" s="81"/>
      <c r="J1486" s="81"/>
      <c r="K1486" s="81"/>
      <c r="L1486" s="81"/>
      <c r="M1486" s="81"/>
      <c r="N1486" s="81"/>
    </row>
    <row r="1487" spans="1:14" ht="14.25" customHeight="1" x14ac:dyDescent="0.25">
      <c r="A1487" s="81"/>
      <c r="B1487" s="81"/>
      <c r="C1487" s="137"/>
      <c r="D1487" s="81"/>
      <c r="E1487" s="81"/>
      <c r="F1487" s="81"/>
      <c r="G1487" s="81"/>
      <c r="H1487" s="81"/>
      <c r="I1487" s="81"/>
      <c r="J1487" s="81"/>
      <c r="K1487" s="81"/>
      <c r="L1487" s="81"/>
      <c r="M1487" s="81"/>
      <c r="N1487" s="81"/>
    </row>
    <row r="1488" spans="1:14" ht="14.25" customHeight="1" x14ac:dyDescent="0.25">
      <c r="A1488" s="81"/>
      <c r="B1488" s="81"/>
      <c r="C1488" s="137"/>
      <c r="D1488" s="81"/>
      <c r="E1488" s="81"/>
      <c r="F1488" s="81"/>
      <c r="G1488" s="81"/>
      <c r="H1488" s="81"/>
      <c r="I1488" s="81"/>
      <c r="J1488" s="81"/>
      <c r="K1488" s="81"/>
      <c r="L1488" s="81"/>
      <c r="M1488" s="81"/>
      <c r="N1488" s="81"/>
    </row>
    <row r="1489" spans="1:14" ht="14.25" customHeight="1" x14ac:dyDescent="0.25">
      <c r="A1489" s="81"/>
      <c r="B1489" s="81"/>
      <c r="C1489" s="137"/>
      <c r="D1489" s="81"/>
      <c r="E1489" s="81"/>
      <c r="F1489" s="81"/>
      <c r="G1489" s="81"/>
      <c r="H1489" s="81"/>
      <c r="I1489" s="81"/>
      <c r="J1489" s="81"/>
      <c r="K1489" s="81"/>
      <c r="L1489" s="81"/>
      <c r="M1489" s="81"/>
      <c r="N1489" s="81"/>
    </row>
    <row r="1490" spans="1:14" ht="14.25" customHeight="1" x14ac:dyDescent="0.25">
      <c r="A1490" s="134"/>
      <c r="B1490" s="135"/>
      <c r="C1490" s="135"/>
      <c r="D1490" s="135"/>
      <c r="E1490" s="135"/>
      <c r="F1490" s="136"/>
      <c r="G1490" s="81"/>
      <c r="H1490" s="81"/>
      <c r="I1490" s="81"/>
      <c r="J1490" s="81"/>
      <c r="K1490" s="81"/>
      <c r="L1490" s="81"/>
      <c r="M1490" s="81"/>
      <c r="N1490" s="81"/>
    </row>
    <row r="1491" spans="1:14" ht="14.25" customHeight="1" x14ac:dyDescent="0.25">
      <c r="A1491" s="134"/>
      <c r="B1491" s="135"/>
      <c r="C1491" s="135"/>
      <c r="D1491" s="135"/>
      <c r="E1491" s="135"/>
      <c r="F1491" s="136"/>
      <c r="G1491" s="81"/>
      <c r="H1491" s="81"/>
      <c r="I1491" s="81"/>
      <c r="J1491" s="81"/>
      <c r="K1491" s="81"/>
      <c r="L1491" s="81"/>
      <c r="M1491" s="81"/>
      <c r="N1491" s="81"/>
    </row>
    <row r="1492" spans="1:14" ht="14.25" customHeight="1" x14ac:dyDescent="0.25">
      <c r="A1492" s="134"/>
      <c r="B1492" s="135"/>
      <c r="C1492" s="135"/>
      <c r="D1492" s="135"/>
      <c r="E1492" s="135"/>
      <c r="F1492" s="136"/>
      <c r="G1492" s="81"/>
      <c r="H1492" s="81"/>
      <c r="I1492" s="81"/>
      <c r="J1492" s="81"/>
      <c r="K1492" s="81"/>
      <c r="L1492" s="81"/>
      <c r="M1492" s="81"/>
      <c r="N1492" s="81"/>
    </row>
    <row r="1493" spans="1:14" ht="14.25" customHeight="1" thickBot="1" x14ac:dyDescent="0.3">
      <c r="A1493" s="81"/>
      <c r="B1493" s="81"/>
      <c r="C1493" s="81"/>
      <c r="D1493" s="81"/>
      <c r="E1493" s="81"/>
      <c r="F1493" s="81"/>
      <c r="G1493" s="81"/>
      <c r="H1493" s="81"/>
      <c r="I1493" s="81"/>
      <c r="J1493" s="81"/>
      <c r="K1493" s="81"/>
      <c r="L1493" s="81"/>
      <c r="M1493" s="81"/>
      <c r="N1493" s="81"/>
    </row>
    <row r="1494" spans="1:14" ht="14.25" customHeight="1" x14ac:dyDescent="0.25">
      <c r="A1494" s="83"/>
      <c r="B1494" s="84"/>
      <c r="C1494" s="85"/>
      <c r="D1494" s="86"/>
      <c r="E1494" s="86"/>
      <c r="F1494" s="87"/>
      <c r="G1494" s="81"/>
      <c r="H1494" s="81"/>
      <c r="I1494" s="81"/>
      <c r="J1494" s="81"/>
      <c r="K1494" s="81"/>
      <c r="L1494" s="81"/>
      <c r="M1494" s="81"/>
      <c r="N1494" s="81"/>
    </row>
    <row r="1495" spans="1:14" ht="14.25" customHeight="1" x14ac:dyDescent="0.25">
      <c r="A1495" s="599"/>
      <c r="B1495" s="600"/>
      <c r="C1495" s="600"/>
      <c r="D1495" s="600"/>
      <c r="E1495" s="600"/>
      <c r="F1495" s="601"/>
      <c r="G1495" s="81"/>
      <c r="H1495" s="81"/>
      <c r="I1495" s="81"/>
      <c r="J1495" s="81"/>
      <c r="K1495" s="81"/>
      <c r="L1495" s="81"/>
      <c r="M1495" s="81"/>
      <c r="N1495" s="81"/>
    </row>
    <row r="1496" spans="1:14" ht="14.25" customHeight="1" x14ac:dyDescent="0.25">
      <c r="A1496" s="602" t="s">
        <v>561</v>
      </c>
      <c r="B1496" s="600"/>
      <c r="C1496" s="600"/>
      <c r="D1496" s="600"/>
      <c r="E1496" s="600"/>
      <c r="F1496" s="601"/>
      <c r="G1496" s="81"/>
      <c r="H1496" s="81"/>
      <c r="I1496" s="81"/>
      <c r="J1496" s="81"/>
      <c r="K1496" s="81"/>
      <c r="L1496" s="81"/>
      <c r="M1496" s="81"/>
      <c r="N1496" s="81"/>
    </row>
    <row r="1497" spans="1:14" ht="14.25" customHeight="1" thickBot="1" x14ac:dyDescent="0.3">
      <c r="A1497" s="603"/>
      <c r="B1497" s="604"/>
      <c r="C1497" s="604"/>
      <c r="D1497" s="604"/>
      <c r="E1497" s="604"/>
      <c r="F1497" s="605"/>
      <c r="G1497" s="81"/>
      <c r="H1497" s="81"/>
      <c r="I1497" s="81"/>
      <c r="J1497" s="81"/>
      <c r="K1497" s="81"/>
      <c r="L1497" s="81"/>
      <c r="M1497" s="81"/>
      <c r="N1497" s="81"/>
    </row>
    <row r="1498" spans="1:14" ht="14.25" customHeight="1" x14ac:dyDescent="0.25">
      <c r="A1498" s="88"/>
      <c r="B1498" s="88"/>
      <c r="C1498" s="89"/>
      <c r="D1498" s="89"/>
      <c r="E1498" s="89"/>
      <c r="F1498" s="89"/>
      <c r="G1498" s="81"/>
      <c r="H1498" s="81"/>
      <c r="I1498" s="81"/>
      <c r="J1498" s="81"/>
      <c r="K1498" s="81"/>
      <c r="L1498" s="81"/>
      <c r="M1498" s="81"/>
      <c r="N1498" s="81"/>
    </row>
    <row r="1499" spans="1:14" ht="14.25" customHeight="1" x14ac:dyDescent="0.25">
      <c r="A1499" s="90" t="s">
        <v>47</v>
      </c>
      <c r="B1499" s="613" t="s">
        <v>1320</v>
      </c>
      <c r="C1499" s="600"/>
      <c r="D1499" s="600"/>
      <c r="E1499" s="600"/>
      <c r="F1499" s="600"/>
      <c r="G1499" s="81"/>
      <c r="H1499" s="81"/>
      <c r="I1499" s="81"/>
      <c r="J1499" s="81"/>
      <c r="K1499" s="81"/>
      <c r="L1499" s="81"/>
      <c r="M1499" s="81"/>
      <c r="N1499" s="81"/>
    </row>
    <row r="1500" spans="1:14" ht="14.25" customHeight="1" x14ac:dyDescent="0.25">
      <c r="A1500" s="91"/>
      <c r="B1500" s="91"/>
      <c r="C1500" s="91"/>
      <c r="D1500" s="91"/>
      <c r="E1500" s="91"/>
      <c r="F1500" s="91"/>
      <c r="G1500" s="81"/>
      <c r="H1500" s="81"/>
      <c r="I1500" s="81"/>
      <c r="J1500" s="81"/>
      <c r="K1500" s="81"/>
      <c r="L1500" s="81"/>
      <c r="M1500" s="81"/>
      <c r="N1500" s="81"/>
    </row>
    <row r="1501" spans="1:14" ht="14.25" customHeight="1" x14ac:dyDescent="0.25">
      <c r="A1501" s="88" t="s">
        <v>49</v>
      </c>
      <c r="B1501" s="92" t="s">
        <v>64</v>
      </c>
      <c r="C1501" s="89"/>
      <c r="D1501" s="89"/>
      <c r="E1501" s="89"/>
      <c r="F1501" s="93"/>
      <c r="G1501" s="81"/>
      <c r="H1501" s="81"/>
      <c r="I1501" s="81"/>
      <c r="J1501" s="81"/>
      <c r="K1501" s="81"/>
      <c r="L1501" s="81"/>
      <c r="M1501" s="81"/>
      <c r="N1501" s="81"/>
    </row>
    <row r="1502" spans="1:14" ht="14.25" customHeight="1" x14ac:dyDescent="0.25">
      <c r="A1502" s="88"/>
      <c r="B1502" s="94"/>
      <c r="C1502" s="89"/>
      <c r="D1502" s="89"/>
      <c r="E1502" s="89"/>
      <c r="F1502" s="93"/>
      <c r="G1502" s="81"/>
      <c r="H1502" s="81"/>
      <c r="I1502" s="81"/>
      <c r="J1502" s="81"/>
      <c r="K1502" s="81"/>
      <c r="L1502" s="81"/>
      <c r="M1502" s="81"/>
      <c r="N1502" s="81"/>
    </row>
    <row r="1503" spans="1:14" ht="14.25" customHeight="1" x14ac:dyDescent="0.25">
      <c r="A1503" s="95" t="s">
        <v>562</v>
      </c>
      <c r="B1503" s="96"/>
      <c r="C1503" s="92"/>
      <c r="D1503" s="92"/>
      <c r="E1503" s="92"/>
      <c r="F1503" s="92"/>
      <c r="G1503" s="81"/>
      <c r="H1503" s="81"/>
      <c r="I1503" s="81"/>
      <c r="J1503" s="81"/>
      <c r="K1503" s="81"/>
      <c r="L1503" s="81"/>
      <c r="M1503" s="81"/>
      <c r="N1503" s="81"/>
    </row>
    <row r="1504" spans="1:14" ht="14.25" customHeight="1" x14ac:dyDescent="0.25">
      <c r="A1504" s="97" t="s">
        <v>563</v>
      </c>
      <c r="B1504" s="98" t="s">
        <v>564</v>
      </c>
      <c r="C1504" s="98" t="s">
        <v>565</v>
      </c>
      <c r="D1504" s="98" t="s">
        <v>566</v>
      </c>
      <c r="E1504" s="98" t="s">
        <v>567</v>
      </c>
      <c r="F1504" s="98" t="s">
        <v>568</v>
      </c>
      <c r="G1504" s="81"/>
      <c r="H1504" s="81"/>
      <c r="I1504" s="81"/>
      <c r="J1504" s="81"/>
      <c r="K1504" s="81"/>
      <c r="L1504" s="81"/>
      <c r="M1504" s="81"/>
      <c r="N1504" s="81"/>
    </row>
    <row r="1505" spans="1:14" ht="14.25" customHeight="1" x14ac:dyDescent="0.25">
      <c r="A1505" s="99" t="s">
        <v>641</v>
      </c>
      <c r="B1505" s="100" t="s">
        <v>64</v>
      </c>
      <c r="C1505" s="101">
        <v>441370</v>
      </c>
      <c r="D1505" s="104">
        <v>1</v>
      </c>
      <c r="E1505" s="102">
        <v>0.05</v>
      </c>
      <c r="F1505" s="101">
        <f t="shared" ref="F1505:F1510" si="83">C1505*(D1505+(D1505*E1505))</f>
        <v>463438.5</v>
      </c>
      <c r="G1505" s="81"/>
      <c r="H1505" s="81"/>
      <c r="I1505" s="81"/>
      <c r="J1505" s="81"/>
      <c r="K1505" s="81"/>
      <c r="L1505" s="81"/>
      <c r="M1505" s="81"/>
      <c r="N1505" s="81"/>
    </row>
    <row r="1506" spans="1:14" ht="14.25" customHeight="1" x14ac:dyDescent="0.25">
      <c r="A1506" s="99"/>
      <c r="B1506" s="100"/>
      <c r="C1506" s="101"/>
      <c r="D1506" s="104"/>
      <c r="E1506" s="102"/>
      <c r="F1506" s="101">
        <f t="shared" si="83"/>
        <v>0</v>
      </c>
      <c r="G1506" s="81"/>
      <c r="H1506" s="81"/>
      <c r="I1506" s="81"/>
      <c r="J1506" s="81"/>
      <c r="K1506" s="81"/>
      <c r="L1506" s="81"/>
      <c r="M1506" s="81"/>
      <c r="N1506" s="81"/>
    </row>
    <row r="1507" spans="1:14" ht="14.25" customHeight="1" x14ac:dyDescent="0.25">
      <c r="A1507" s="99"/>
      <c r="B1507" s="100"/>
      <c r="C1507" s="101"/>
      <c r="D1507" s="104"/>
      <c r="E1507" s="102"/>
      <c r="F1507" s="101">
        <f t="shared" si="83"/>
        <v>0</v>
      </c>
      <c r="G1507" s="81"/>
      <c r="H1507" s="81"/>
      <c r="I1507" s="81"/>
      <c r="J1507" s="81"/>
      <c r="K1507" s="81"/>
      <c r="L1507" s="81"/>
      <c r="M1507" s="81"/>
      <c r="N1507" s="81"/>
    </row>
    <row r="1508" spans="1:14" ht="14.25" customHeight="1" x14ac:dyDescent="0.25">
      <c r="A1508" s="99"/>
      <c r="B1508" s="100"/>
      <c r="C1508" s="101"/>
      <c r="D1508" s="104"/>
      <c r="E1508" s="102"/>
      <c r="F1508" s="101">
        <f t="shared" si="83"/>
        <v>0</v>
      </c>
      <c r="G1508" s="81"/>
      <c r="H1508" s="81"/>
      <c r="I1508" s="81"/>
      <c r="J1508" s="81"/>
      <c r="K1508" s="81"/>
      <c r="L1508" s="81"/>
      <c r="M1508" s="81"/>
      <c r="N1508" s="81"/>
    </row>
    <row r="1509" spans="1:14" ht="14.25" customHeight="1" x14ac:dyDescent="0.25">
      <c r="A1509" s="99"/>
      <c r="B1509" s="100"/>
      <c r="C1509" s="101"/>
      <c r="D1509" s="104"/>
      <c r="E1509" s="102"/>
      <c r="F1509" s="101">
        <f t="shared" si="83"/>
        <v>0</v>
      </c>
      <c r="G1509" s="81"/>
      <c r="H1509" s="81"/>
      <c r="I1509" s="81"/>
      <c r="J1509" s="81"/>
      <c r="K1509" s="81"/>
      <c r="L1509" s="81"/>
      <c r="M1509" s="81"/>
      <c r="N1509" s="81"/>
    </row>
    <row r="1510" spans="1:14" ht="14.25" customHeight="1" x14ac:dyDescent="0.25">
      <c r="A1510" s="99"/>
      <c r="B1510" s="100"/>
      <c r="C1510" s="101"/>
      <c r="D1510" s="104"/>
      <c r="E1510" s="102"/>
      <c r="F1510" s="101">
        <f t="shared" si="83"/>
        <v>0</v>
      </c>
      <c r="G1510" s="81"/>
      <c r="H1510" s="81"/>
      <c r="I1510" s="81"/>
      <c r="J1510" s="81"/>
      <c r="K1510" s="81"/>
      <c r="L1510" s="81"/>
      <c r="M1510" s="81"/>
      <c r="N1510" s="81"/>
    </row>
    <row r="1511" spans="1:14" ht="14.25" customHeight="1" x14ac:dyDescent="0.25">
      <c r="A1511" s="99"/>
      <c r="B1511" s="100"/>
      <c r="C1511" s="106"/>
      <c r="D1511" s="107"/>
      <c r="E1511" s="108"/>
      <c r="F1511" s="106"/>
      <c r="G1511" s="81"/>
      <c r="H1511" s="81"/>
      <c r="I1511" s="81"/>
      <c r="J1511" s="81"/>
      <c r="K1511" s="81"/>
      <c r="L1511" s="81"/>
      <c r="M1511" s="81"/>
      <c r="N1511" s="81"/>
    </row>
    <row r="1512" spans="1:14" ht="14.25" customHeight="1" x14ac:dyDescent="0.25">
      <c r="A1512" s="97" t="s">
        <v>548</v>
      </c>
      <c r="B1512" s="97"/>
      <c r="C1512" s="109"/>
      <c r="D1512" s="110"/>
      <c r="E1512" s="111"/>
      <c r="F1512" s="112">
        <f>SUM(F1505:F1511)</f>
        <v>463438.5</v>
      </c>
      <c r="G1512" s="81"/>
      <c r="H1512" s="81"/>
      <c r="I1512" s="81"/>
      <c r="J1512" s="81"/>
      <c r="K1512" s="81"/>
      <c r="L1512" s="81"/>
      <c r="M1512" s="81"/>
      <c r="N1512" s="81"/>
    </row>
    <row r="1513" spans="1:14" ht="14.25" customHeight="1" x14ac:dyDescent="0.25">
      <c r="A1513" s="88"/>
      <c r="B1513" s="88"/>
      <c r="C1513" s="113"/>
      <c r="D1513" s="113"/>
      <c r="E1513" s="114"/>
      <c r="F1513" s="113"/>
      <c r="G1513" s="81"/>
      <c r="H1513" s="81"/>
      <c r="I1513" s="81"/>
      <c r="J1513" s="81"/>
      <c r="K1513" s="81"/>
      <c r="L1513" s="81"/>
      <c r="M1513" s="81"/>
      <c r="N1513" s="81"/>
    </row>
    <row r="1514" spans="1:14" ht="14.25" customHeight="1" x14ac:dyDescent="0.25">
      <c r="A1514" s="96" t="s">
        <v>573</v>
      </c>
      <c r="B1514" s="96"/>
      <c r="C1514" s="92"/>
      <c r="D1514" s="92"/>
      <c r="E1514" s="92"/>
      <c r="F1514" s="92"/>
      <c r="G1514" s="81"/>
      <c r="H1514" s="81"/>
      <c r="I1514" s="81"/>
      <c r="J1514" s="81"/>
      <c r="K1514" s="81"/>
      <c r="L1514" s="81"/>
      <c r="M1514" s="81"/>
      <c r="N1514" s="81"/>
    </row>
    <row r="1515" spans="1:14" ht="14.25" customHeight="1" x14ac:dyDescent="0.25">
      <c r="A1515" s="611" t="s">
        <v>563</v>
      </c>
      <c r="B1515" s="608"/>
      <c r="C1515" s="609"/>
      <c r="D1515" s="98" t="s">
        <v>574</v>
      </c>
      <c r="E1515" s="98" t="s">
        <v>575</v>
      </c>
      <c r="F1515" s="98" t="s">
        <v>568</v>
      </c>
      <c r="G1515" s="81"/>
      <c r="H1515" s="81"/>
      <c r="I1515" s="81"/>
      <c r="J1515" s="81"/>
      <c r="K1515" s="81"/>
      <c r="L1515" s="81"/>
      <c r="M1515" s="81"/>
      <c r="N1515" s="81"/>
    </row>
    <row r="1516" spans="1:14" ht="14.25" customHeight="1" x14ac:dyDescent="0.25">
      <c r="A1516" s="607" t="s">
        <v>577</v>
      </c>
      <c r="B1516" s="608"/>
      <c r="C1516" s="609"/>
      <c r="D1516" s="116"/>
      <c r="E1516" s="107"/>
      <c r="F1516" s="106">
        <v>489</v>
      </c>
      <c r="G1516" s="81"/>
      <c r="H1516" s="81"/>
      <c r="I1516" s="81"/>
      <c r="J1516" s="81"/>
      <c r="K1516" s="81"/>
      <c r="L1516" s="81"/>
      <c r="M1516" s="81"/>
      <c r="N1516" s="81"/>
    </row>
    <row r="1517" spans="1:14" ht="14.25" customHeight="1" x14ac:dyDescent="0.25">
      <c r="A1517" s="607" t="s">
        <v>642</v>
      </c>
      <c r="B1517" s="608"/>
      <c r="C1517" s="609"/>
      <c r="D1517" s="142">
        <v>8750</v>
      </c>
      <c r="E1517" s="107">
        <v>0.9</v>
      </c>
      <c r="F1517" s="106">
        <f t="shared" ref="F1517:F1518" si="84">D1517/E1517</f>
        <v>9722.2222222222226</v>
      </c>
      <c r="G1517" s="81"/>
      <c r="H1517" s="81"/>
      <c r="I1517" s="81"/>
      <c r="J1517" s="81"/>
      <c r="K1517" s="81"/>
      <c r="L1517" s="81"/>
      <c r="M1517" s="81"/>
      <c r="N1517" s="81"/>
    </row>
    <row r="1518" spans="1:14" ht="14.25" customHeight="1" x14ac:dyDescent="0.25">
      <c r="A1518" s="607" t="s">
        <v>643</v>
      </c>
      <c r="B1518" s="608"/>
      <c r="C1518" s="609"/>
      <c r="D1518" s="142">
        <v>12350</v>
      </c>
      <c r="E1518" s="105">
        <v>0.08</v>
      </c>
      <c r="F1518" s="106">
        <f t="shared" si="84"/>
        <v>154375</v>
      </c>
      <c r="G1518" s="81"/>
      <c r="H1518" s="81"/>
      <c r="I1518" s="81"/>
      <c r="J1518" s="81"/>
      <c r="K1518" s="81"/>
      <c r="L1518" s="81"/>
      <c r="M1518" s="81"/>
      <c r="N1518" s="81"/>
    </row>
    <row r="1519" spans="1:14" ht="14.25" customHeight="1" x14ac:dyDescent="0.25">
      <c r="A1519" s="607"/>
      <c r="B1519" s="608"/>
      <c r="C1519" s="609"/>
      <c r="D1519" s="142"/>
      <c r="E1519" s="107"/>
      <c r="F1519" s="106"/>
      <c r="G1519" s="81"/>
      <c r="H1519" s="81"/>
      <c r="I1519" s="81"/>
      <c r="J1519" s="81"/>
      <c r="K1519" s="81"/>
      <c r="L1519" s="81"/>
      <c r="M1519" s="81"/>
      <c r="N1519" s="81"/>
    </row>
    <row r="1520" spans="1:14" ht="14.25" customHeight="1" x14ac:dyDescent="0.25">
      <c r="A1520" s="610"/>
      <c r="B1520" s="608"/>
      <c r="C1520" s="609"/>
      <c r="D1520" s="115"/>
      <c r="E1520" s="107"/>
      <c r="F1520" s="106"/>
      <c r="G1520" s="81"/>
      <c r="H1520" s="81"/>
      <c r="I1520" s="81"/>
      <c r="J1520" s="81"/>
      <c r="K1520" s="81"/>
      <c r="L1520" s="81"/>
      <c r="M1520" s="81"/>
      <c r="N1520" s="81"/>
    </row>
    <row r="1521" spans="1:14" ht="14.25" customHeight="1" x14ac:dyDescent="0.25">
      <c r="A1521" s="611" t="s">
        <v>548</v>
      </c>
      <c r="B1521" s="608"/>
      <c r="C1521" s="609"/>
      <c r="D1521" s="110"/>
      <c r="E1521" s="110"/>
      <c r="F1521" s="112">
        <f>SUM(F1516:F1519)</f>
        <v>164586.22222222222</v>
      </c>
      <c r="G1521" s="81"/>
      <c r="H1521" s="81"/>
      <c r="I1521" s="81"/>
      <c r="J1521" s="81"/>
      <c r="K1521" s="81"/>
      <c r="L1521" s="81"/>
      <c r="M1521" s="81"/>
      <c r="N1521" s="81"/>
    </row>
    <row r="1522" spans="1:14" ht="14.25" customHeight="1" x14ac:dyDescent="0.25">
      <c r="A1522" s="88"/>
      <c r="B1522" s="88"/>
      <c r="C1522" s="89"/>
      <c r="D1522" s="113"/>
      <c r="E1522" s="113"/>
      <c r="F1522" s="113"/>
      <c r="G1522" s="81"/>
      <c r="H1522" s="81"/>
      <c r="I1522" s="81"/>
      <c r="J1522" s="81"/>
      <c r="K1522" s="81"/>
      <c r="L1522" s="81"/>
      <c r="M1522" s="81"/>
      <c r="N1522" s="81"/>
    </row>
    <row r="1523" spans="1:14" ht="14.25" customHeight="1" x14ac:dyDescent="0.25">
      <c r="A1523" s="96" t="s">
        <v>578</v>
      </c>
      <c r="B1523" s="96"/>
      <c r="C1523" s="92"/>
      <c r="D1523" s="118"/>
      <c r="E1523" s="118"/>
      <c r="F1523" s="118"/>
      <c r="G1523" s="81"/>
      <c r="H1523" s="81"/>
      <c r="I1523" s="81"/>
      <c r="J1523" s="81"/>
      <c r="K1523" s="81"/>
      <c r="L1523" s="81"/>
      <c r="M1523" s="81"/>
      <c r="N1523" s="81"/>
    </row>
    <row r="1524" spans="1:14" ht="14.25" customHeight="1" x14ac:dyDescent="0.25">
      <c r="A1524" s="119" t="s">
        <v>563</v>
      </c>
      <c r="B1524" s="120" t="s">
        <v>579</v>
      </c>
      <c r="C1524" s="120" t="s">
        <v>580</v>
      </c>
      <c r="D1524" s="121" t="s">
        <v>581</v>
      </c>
      <c r="E1524" s="121" t="s">
        <v>575</v>
      </c>
      <c r="F1524" s="121" t="s">
        <v>568</v>
      </c>
      <c r="G1524" s="81"/>
      <c r="H1524" s="81"/>
      <c r="I1524" s="81"/>
      <c r="J1524" s="81"/>
      <c r="K1524" s="81"/>
      <c r="L1524" s="81"/>
      <c r="M1524" s="81"/>
      <c r="N1524" s="81"/>
    </row>
    <row r="1525" spans="1:14" ht="14.25" customHeight="1" x14ac:dyDescent="0.25">
      <c r="A1525" s="122" t="s">
        <v>593</v>
      </c>
      <c r="B1525" s="127">
        <v>5</v>
      </c>
      <c r="C1525" s="101">
        <v>32688</v>
      </c>
      <c r="D1525" s="101">
        <f t="shared" ref="D1525:D1526" si="85">+C1525*1.7</f>
        <v>55569.599999999999</v>
      </c>
      <c r="E1525" s="107">
        <v>5.7</v>
      </c>
      <c r="F1525" s="106">
        <f t="shared" ref="F1525:F1526" si="86">+B1525*(D1525)/E1525</f>
        <v>48745.263157894733</v>
      </c>
      <c r="G1525" s="81"/>
      <c r="H1525" s="81"/>
      <c r="I1525" s="81"/>
      <c r="J1525" s="81"/>
      <c r="K1525" s="81"/>
      <c r="L1525" s="81"/>
      <c r="M1525" s="81"/>
      <c r="N1525" s="81"/>
    </row>
    <row r="1526" spans="1:14" ht="14.25" customHeight="1" x14ac:dyDescent="0.25">
      <c r="A1526" s="122" t="s">
        <v>594</v>
      </c>
      <c r="B1526" s="127">
        <v>3</v>
      </c>
      <c r="C1526" s="101">
        <v>52538</v>
      </c>
      <c r="D1526" s="101">
        <f t="shared" si="85"/>
        <v>89314.599999999991</v>
      </c>
      <c r="E1526" s="107">
        <f>E1525</f>
        <v>5.7</v>
      </c>
      <c r="F1526" s="106">
        <f t="shared" si="86"/>
        <v>47007.684210526313</v>
      </c>
      <c r="G1526" s="81"/>
      <c r="H1526" s="81"/>
      <c r="I1526" s="81"/>
      <c r="J1526" s="81"/>
      <c r="K1526" s="81"/>
      <c r="L1526" s="81"/>
      <c r="M1526" s="81"/>
      <c r="N1526" s="81"/>
    </row>
    <row r="1527" spans="1:14" ht="14.25" customHeight="1" x14ac:dyDescent="0.25">
      <c r="A1527" s="122"/>
      <c r="B1527" s="127"/>
      <c r="C1527" s="101"/>
      <c r="D1527" s="101"/>
      <c r="E1527" s="105"/>
      <c r="F1527" s="106"/>
      <c r="G1527" s="81"/>
      <c r="H1527" s="81"/>
      <c r="I1527" s="81"/>
      <c r="J1527" s="81"/>
      <c r="K1527" s="81"/>
      <c r="L1527" s="81"/>
      <c r="M1527" s="81"/>
      <c r="N1527" s="81"/>
    </row>
    <row r="1528" spans="1:14" ht="14.25" customHeight="1" x14ac:dyDescent="0.25">
      <c r="A1528" s="122"/>
      <c r="B1528" s="127"/>
      <c r="C1528" s="101"/>
      <c r="D1528" s="101"/>
      <c r="E1528" s="125"/>
      <c r="F1528" s="106"/>
      <c r="G1528" s="81"/>
      <c r="H1528" s="81"/>
      <c r="I1528" s="81"/>
      <c r="J1528" s="81"/>
      <c r="K1528" s="81"/>
      <c r="L1528" s="81"/>
      <c r="M1528" s="81"/>
      <c r="N1528" s="81"/>
    </row>
    <row r="1529" spans="1:14" ht="14.25" customHeight="1" x14ac:dyDescent="0.25">
      <c r="A1529" s="97" t="s">
        <v>548</v>
      </c>
      <c r="B1529" s="128"/>
      <c r="C1529" s="110"/>
      <c r="D1529" s="110"/>
      <c r="E1529" s="110"/>
      <c r="F1529" s="112">
        <f>SUM(F1525:F1528)</f>
        <v>95752.947368421039</v>
      </c>
      <c r="G1529" s="81"/>
      <c r="H1529" s="81"/>
      <c r="I1529" s="81"/>
      <c r="J1529" s="81"/>
      <c r="K1529" s="81"/>
      <c r="L1529" s="81"/>
      <c r="M1529" s="81"/>
      <c r="N1529" s="81"/>
    </row>
    <row r="1530" spans="1:14" ht="14.25" customHeight="1" x14ac:dyDescent="0.25">
      <c r="A1530" s="96"/>
      <c r="B1530" s="129"/>
      <c r="C1530" s="118"/>
      <c r="D1530" s="118"/>
      <c r="E1530" s="118"/>
      <c r="F1530" s="118"/>
      <c r="G1530" s="81"/>
      <c r="H1530" s="81"/>
      <c r="I1530" s="81"/>
      <c r="J1530" s="81"/>
      <c r="K1530" s="81"/>
      <c r="L1530" s="81"/>
      <c r="M1530" s="81"/>
      <c r="N1530" s="81"/>
    </row>
    <row r="1531" spans="1:14" ht="14.25" customHeight="1" x14ac:dyDescent="0.25">
      <c r="A1531" s="95" t="s">
        <v>583</v>
      </c>
      <c r="B1531" s="96"/>
      <c r="C1531" s="92"/>
      <c r="D1531" s="92"/>
      <c r="E1531" s="92" t="s">
        <v>584</v>
      </c>
      <c r="F1531" s="92"/>
      <c r="G1531" s="81"/>
      <c r="H1531" s="81"/>
      <c r="I1531" s="81"/>
      <c r="J1531" s="81"/>
      <c r="K1531" s="81"/>
      <c r="L1531" s="81"/>
      <c r="M1531" s="81"/>
      <c r="N1531" s="81"/>
    </row>
    <row r="1532" spans="1:14" ht="14.25" customHeight="1" x14ac:dyDescent="0.25">
      <c r="A1532" s="97" t="s">
        <v>563</v>
      </c>
      <c r="B1532" s="98" t="s">
        <v>564</v>
      </c>
      <c r="C1532" s="98" t="s">
        <v>585</v>
      </c>
      <c r="D1532" s="98" t="s">
        <v>586</v>
      </c>
      <c r="E1532" s="120" t="s">
        <v>587</v>
      </c>
      <c r="F1532" s="98" t="s">
        <v>568</v>
      </c>
      <c r="G1532" s="81"/>
      <c r="H1532" s="81"/>
      <c r="I1532" s="81"/>
      <c r="J1532" s="81"/>
      <c r="K1532" s="81"/>
      <c r="L1532" s="81"/>
      <c r="M1532" s="81"/>
      <c r="N1532" s="81"/>
    </row>
    <row r="1533" spans="1:14" ht="14.25" customHeight="1" x14ac:dyDescent="0.25">
      <c r="A1533" s="103"/>
      <c r="B1533" s="100"/>
      <c r="C1533" s="101"/>
      <c r="D1533" s="140"/>
      <c r="E1533" s="107"/>
      <c r="F1533" s="109"/>
      <c r="G1533" s="81"/>
      <c r="H1533" s="81"/>
      <c r="I1533" s="81"/>
      <c r="J1533" s="81"/>
      <c r="K1533" s="81"/>
      <c r="L1533" s="81"/>
      <c r="M1533" s="81"/>
      <c r="N1533" s="81"/>
    </row>
    <row r="1534" spans="1:14" ht="14.25" customHeight="1" x14ac:dyDescent="0.25">
      <c r="A1534" s="103"/>
      <c r="B1534" s="100"/>
      <c r="C1534" s="107"/>
      <c r="D1534" s="107"/>
      <c r="E1534" s="108"/>
      <c r="F1534" s="109"/>
      <c r="G1534" s="81"/>
      <c r="H1534" s="81"/>
      <c r="I1534" s="81"/>
      <c r="J1534" s="81"/>
      <c r="K1534" s="81"/>
      <c r="L1534" s="81"/>
      <c r="M1534" s="81"/>
      <c r="N1534" s="81"/>
    </row>
    <row r="1535" spans="1:14" ht="14.25" customHeight="1" x14ac:dyDescent="0.25">
      <c r="A1535" s="97" t="s">
        <v>548</v>
      </c>
      <c r="B1535" s="98"/>
      <c r="C1535" s="110"/>
      <c r="D1535" s="110"/>
      <c r="E1535" s="111"/>
      <c r="F1535" s="112">
        <f>SUM(F1533:F1534)</f>
        <v>0</v>
      </c>
      <c r="G1535" s="81"/>
      <c r="H1535" s="81"/>
      <c r="I1535" s="81"/>
      <c r="J1535" s="81"/>
      <c r="K1535" s="81"/>
      <c r="L1535" s="81"/>
      <c r="M1535" s="81"/>
      <c r="N1535" s="81"/>
    </row>
    <row r="1536" spans="1:14" ht="14.25" customHeight="1" x14ac:dyDescent="0.25">
      <c r="A1536" s="88"/>
      <c r="B1536" s="89"/>
      <c r="C1536" s="113"/>
      <c r="D1536" s="113"/>
      <c r="E1536" s="114"/>
      <c r="F1536" s="113"/>
      <c r="G1536" s="81"/>
      <c r="H1536" s="81"/>
      <c r="I1536" s="81"/>
      <c r="J1536" s="81"/>
      <c r="K1536" s="81"/>
      <c r="L1536" s="81"/>
      <c r="M1536" s="81"/>
      <c r="N1536" s="81"/>
    </row>
    <row r="1537" spans="1:14" ht="14.25" customHeight="1" x14ac:dyDescent="0.25">
      <c r="A1537" s="88"/>
      <c r="B1537" s="89"/>
      <c r="C1537" s="113"/>
      <c r="D1537" s="113"/>
      <c r="E1537" s="114"/>
      <c r="F1537" s="113"/>
      <c r="G1537" s="81"/>
      <c r="H1537" s="81"/>
      <c r="I1537" s="81"/>
      <c r="J1537" s="81"/>
      <c r="K1537" s="81"/>
      <c r="L1537" s="81"/>
      <c r="M1537" s="81"/>
      <c r="N1537" s="81"/>
    </row>
    <row r="1538" spans="1:14" ht="14.25" customHeight="1" x14ac:dyDescent="0.25">
      <c r="A1538" s="612" t="s">
        <v>588</v>
      </c>
      <c r="B1538" s="608"/>
      <c r="C1538" s="608"/>
      <c r="D1538" s="608"/>
      <c r="E1538" s="609"/>
      <c r="F1538" s="131">
        <f>ROUND(F1512+F1521+F1529+F1535,0)</f>
        <v>723778</v>
      </c>
      <c r="G1538" s="81"/>
      <c r="H1538" s="117">
        <f>723778-F1538</f>
        <v>0</v>
      </c>
      <c r="I1538" s="81"/>
      <c r="J1538" s="81"/>
      <c r="K1538" s="81"/>
      <c r="L1538" s="81"/>
      <c r="M1538" s="81"/>
      <c r="N1538" s="81"/>
    </row>
    <row r="1539" spans="1:14" ht="14.25" customHeight="1" x14ac:dyDescent="0.25">
      <c r="A1539" s="612" t="s">
        <v>589</v>
      </c>
      <c r="B1539" s="608"/>
      <c r="C1539" s="608"/>
      <c r="D1539" s="608"/>
      <c r="E1539" s="609"/>
      <c r="F1539" s="132"/>
      <c r="G1539" s="81"/>
      <c r="H1539" s="81"/>
      <c r="I1539" s="81"/>
      <c r="J1539" s="81"/>
      <c r="K1539" s="81"/>
      <c r="L1539" s="81"/>
      <c r="M1539" s="81"/>
      <c r="N1539" s="81"/>
    </row>
    <row r="1540" spans="1:14" ht="14.25" customHeight="1" x14ac:dyDescent="0.25">
      <c r="A1540" s="146" t="s">
        <v>556</v>
      </c>
      <c r="B1540" s="147"/>
      <c r="C1540" s="147"/>
      <c r="D1540" s="147"/>
      <c r="E1540" s="148"/>
      <c r="F1540" s="133"/>
      <c r="G1540" s="81"/>
      <c r="H1540" s="81"/>
      <c r="I1540" s="81"/>
      <c r="J1540" s="81"/>
      <c r="K1540" s="81"/>
      <c r="L1540" s="81"/>
      <c r="M1540" s="81"/>
      <c r="N1540" s="81"/>
    </row>
    <row r="1541" spans="1:14" ht="14.25" customHeight="1" x14ac:dyDescent="0.25">
      <c r="A1541" s="134"/>
      <c r="B1541" s="135"/>
      <c r="C1541" s="135"/>
      <c r="D1541" s="135"/>
      <c r="E1541" s="135"/>
      <c r="F1541" s="136"/>
      <c r="G1541" s="81"/>
      <c r="H1541" s="81"/>
      <c r="I1541" s="81"/>
      <c r="J1541" s="81"/>
      <c r="K1541" s="81"/>
      <c r="L1541" s="81"/>
      <c r="M1541" s="81"/>
      <c r="N1541" s="81"/>
    </row>
    <row r="1542" spans="1:14" ht="14.25" customHeight="1" x14ac:dyDescent="0.25">
      <c r="A1542" s="81"/>
      <c r="B1542" s="81"/>
      <c r="C1542" s="137"/>
      <c r="D1542" s="81"/>
      <c r="E1542" s="81"/>
      <c r="F1542" s="81"/>
      <c r="G1542" s="81"/>
      <c r="H1542" s="81"/>
      <c r="I1542" s="81"/>
      <c r="J1542" s="81"/>
      <c r="K1542" s="81"/>
      <c r="L1542" s="81"/>
      <c r="M1542" s="81"/>
      <c r="N1542" s="81"/>
    </row>
    <row r="1543" spans="1:14" ht="14.25" customHeight="1" x14ac:dyDescent="0.25">
      <c r="A1543" s="81"/>
      <c r="B1543" s="81"/>
      <c r="C1543" s="137"/>
      <c r="D1543" s="81"/>
      <c r="E1543" s="81"/>
      <c r="F1543" s="81"/>
      <c r="G1543" s="81"/>
      <c r="H1543" s="81"/>
      <c r="I1543" s="81"/>
      <c r="J1543" s="81"/>
      <c r="K1543" s="81"/>
      <c r="L1543" s="81"/>
      <c r="M1543" s="81"/>
      <c r="N1543" s="81"/>
    </row>
    <row r="1544" spans="1:14" ht="14.25" customHeight="1" x14ac:dyDescent="0.25">
      <c r="A1544" s="81"/>
      <c r="B1544" s="81"/>
      <c r="C1544" s="137"/>
      <c r="D1544" s="81"/>
      <c r="E1544" s="81"/>
      <c r="F1544" s="81"/>
      <c r="G1544" s="81"/>
      <c r="H1544" s="81"/>
      <c r="I1544" s="81"/>
      <c r="J1544" s="81"/>
      <c r="K1544" s="81"/>
      <c r="L1544" s="81"/>
      <c r="M1544" s="81"/>
      <c r="N1544" s="81"/>
    </row>
    <row r="1545" spans="1:14" ht="14.25" customHeight="1" x14ac:dyDescent="0.25">
      <c r="A1545" s="81"/>
      <c r="B1545" s="81"/>
      <c r="C1545" s="137"/>
      <c r="D1545" s="81"/>
      <c r="E1545" s="81"/>
      <c r="F1545" s="81"/>
      <c r="G1545" s="81"/>
      <c r="H1545" s="81"/>
      <c r="I1545" s="81"/>
      <c r="J1545" s="81"/>
      <c r="K1545" s="81"/>
      <c r="L1545" s="81"/>
      <c r="M1545" s="81"/>
      <c r="N1545" s="81"/>
    </row>
    <row r="1546" spans="1:14" ht="14.25" customHeight="1" x14ac:dyDescent="0.25">
      <c r="A1546" s="81"/>
      <c r="B1546" s="81"/>
      <c r="C1546" s="137"/>
      <c r="D1546" s="81"/>
      <c r="E1546" s="81"/>
      <c r="F1546" s="81"/>
      <c r="G1546" s="81"/>
      <c r="H1546" s="81"/>
      <c r="I1546" s="81"/>
      <c r="J1546" s="81"/>
      <c r="K1546" s="81"/>
      <c r="L1546" s="81"/>
      <c r="M1546" s="81"/>
      <c r="N1546" s="81"/>
    </row>
    <row r="1547" spans="1:14" ht="14.25" customHeight="1" x14ac:dyDescent="0.25">
      <c r="A1547" s="81"/>
      <c r="B1547" s="81"/>
      <c r="C1547" s="137"/>
      <c r="D1547" s="81"/>
      <c r="E1547" s="81"/>
      <c r="F1547" s="81"/>
      <c r="G1547" s="81"/>
      <c r="H1547" s="81"/>
      <c r="I1547" s="81"/>
      <c r="J1547" s="81"/>
      <c r="K1547" s="81"/>
      <c r="L1547" s="81"/>
      <c r="M1547" s="81"/>
      <c r="N1547" s="81"/>
    </row>
    <row r="1548" spans="1:14" ht="14.25" customHeight="1" x14ac:dyDescent="0.25">
      <c r="A1548" s="134"/>
      <c r="B1548" s="135"/>
      <c r="C1548" s="135"/>
      <c r="D1548" s="135"/>
      <c r="E1548" s="135"/>
      <c r="F1548" s="136"/>
      <c r="G1548" s="81"/>
      <c r="H1548" s="81"/>
      <c r="I1548" s="81"/>
      <c r="J1548" s="81"/>
      <c r="K1548" s="81"/>
      <c r="L1548" s="81"/>
      <c r="M1548" s="81"/>
      <c r="N1548" s="81"/>
    </row>
    <row r="1549" spans="1:14" ht="14.25" customHeight="1" x14ac:dyDescent="0.25">
      <c r="A1549" s="134"/>
      <c r="B1549" s="135"/>
      <c r="C1549" s="135"/>
      <c r="D1549" s="135"/>
      <c r="E1549" s="135"/>
      <c r="F1549" s="136"/>
      <c r="G1549" s="81"/>
      <c r="H1549" s="81"/>
      <c r="I1549" s="81"/>
      <c r="J1549" s="81"/>
      <c r="K1549" s="81"/>
      <c r="L1549" s="81"/>
      <c r="M1549" s="81"/>
      <c r="N1549" s="81"/>
    </row>
    <row r="1550" spans="1:14" ht="14.25" customHeight="1" x14ac:dyDescent="0.25">
      <c r="A1550" s="134"/>
      <c r="B1550" s="135"/>
      <c r="C1550" s="135"/>
      <c r="D1550" s="135"/>
      <c r="E1550" s="135"/>
      <c r="F1550" s="136"/>
      <c r="G1550" s="81"/>
      <c r="H1550" s="81"/>
      <c r="I1550" s="81"/>
      <c r="J1550" s="81"/>
      <c r="K1550" s="81"/>
      <c r="L1550" s="81"/>
      <c r="M1550" s="81"/>
      <c r="N1550" s="81"/>
    </row>
    <row r="1551" spans="1:14" ht="14.25" customHeight="1" thickBot="1" x14ac:dyDescent="0.3">
      <c r="A1551" s="81"/>
      <c r="B1551" s="81"/>
      <c r="C1551" s="81"/>
      <c r="D1551" s="81"/>
      <c r="E1551" s="81"/>
      <c r="F1551" s="81"/>
      <c r="G1551" s="81"/>
      <c r="H1551" s="81"/>
      <c r="I1551" s="81"/>
      <c r="J1551" s="81"/>
      <c r="K1551" s="81"/>
      <c r="L1551" s="81"/>
      <c r="M1551" s="81"/>
      <c r="N1551" s="81"/>
    </row>
    <row r="1552" spans="1:14" ht="14.25" customHeight="1" x14ac:dyDescent="0.25">
      <c r="A1552" s="83"/>
      <c r="B1552" s="84"/>
      <c r="C1552" s="85"/>
      <c r="D1552" s="86"/>
      <c r="E1552" s="86"/>
      <c r="F1552" s="87"/>
      <c r="G1552" s="81"/>
      <c r="H1552" s="81"/>
      <c r="I1552" s="81"/>
      <c r="J1552" s="81"/>
      <c r="K1552" s="81"/>
      <c r="L1552" s="81"/>
      <c r="M1552" s="81"/>
      <c r="N1552" s="81"/>
    </row>
    <row r="1553" spans="1:14" ht="14.25" customHeight="1" x14ac:dyDescent="0.25">
      <c r="A1553" s="599"/>
      <c r="B1553" s="600"/>
      <c r="C1553" s="600"/>
      <c r="D1553" s="600"/>
      <c r="E1553" s="600"/>
      <c r="F1553" s="601"/>
      <c r="G1553" s="81"/>
      <c r="H1553" s="81"/>
      <c r="I1553" s="81"/>
      <c r="J1553" s="81"/>
      <c r="K1553" s="81"/>
      <c r="L1553" s="81"/>
      <c r="M1553" s="81"/>
      <c r="N1553" s="81"/>
    </row>
    <row r="1554" spans="1:14" ht="14.25" customHeight="1" x14ac:dyDescent="0.25">
      <c r="A1554" s="602" t="s">
        <v>561</v>
      </c>
      <c r="B1554" s="600"/>
      <c r="C1554" s="600"/>
      <c r="D1554" s="600"/>
      <c r="E1554" s="600"/>
      <c r="F1554" s="601"/>
      <c r="G1554" s="81"/>
      <c r="H1554" s="81"/>
      <c r="I1554" s="81"/>
      <c r="J1554" s="81"/>
      <c r="K1554" s="81"/>
      <c r="L1554" s="81"/>
      <c r="M1554" s="81"/>
      <c r="N1554" s="81"/>
    </row>
    <row r="1555" spans="1:14" ht="14.25" customHeight="1" thickBot="1" x14ac:dyDescent="0.3">
      <c r="A1555" s="603"/>
      <c r="B1555" s="604"/>
      <c r="C1555" s="604"/>
      <c r="D1555" s="604"/>
      <c r="E1555" s="604"/>
      <c r="F1555" s="605"/>
      <c r="G1555" s="81"/>
      <c r="H1555" s="81"/>
      <c r="I1555" s="81"/>
      <c r="J1555" s="81"/>
      <c r="K1555" s="81"/>
      <c r="L1555" s="81"/>
      <c r="M1555" s="81"/>
      <c r="N1555" s="81"/>
    </row>
    <row r="1556" spans="1:14" ht="14.25" customHeight="1" x14ac:dyDescent="0.25">
      <c r="A1556" s="88"/>
      <c r="B1556" s="88"/>
      <c r="C1556" s="89"/>
      <c r="D1556" s="89"/>
      <c r="E1556" s="89"/>
      <c r="F1556" s="89"/>
      <c r="G1556" s="81"/>
      <c r="H1556" s="81"/>
      <c r="I1556" s="81"/>
      <c r="J1556" s="81"/>
      <c r="K1556" s="81"/>
      <c r="L1556" s="81"/>
      <c r="M1556" s="81"/>
      <c r="N1556" s="81"/>
    </row>
    <row r="1557" spans="1:14" ht="27" customHeight="1" x14ac:dyDescent="0.25">
      <c r="A1557" s="90" t="s">
        <v>47</v>
      </c>
      <c r="B1557" s="613" t="s">
        <v>1050</v>
      </c>
      <c r="C1557" s="600"/>
      <c r="D1557" s="600"/>
      <c r="E1557" s="600"/>
      <c r="F1557" s="600"/>
      <c r="G1557" s="81"/>
      <c r="H1557" s="81"/>
      <c r="I1557" s="81"/>
      <c r="J1557" s="81"/>
      <c r="K1557" s="81"/>
      <c r="L1557" s="81"/>
      <c r="M1557" s="81"/>
      <c r="N1557" s="81"/>
    </row>
    <row r="1558" spans="1:14" ht="14.25" customHeight="1" x14ac:dyDescent="0.25">
      <c r="A1558" s="91"/>
      <c r="B1558" s="91"/>
      <c r="C1558" s="91"/>
      <c r="D1558" s="91"/>
      <c r="E1558" s="91"/>
      <c r="F1558" s="91"/>
      <c r="G1558" s="81"/>
      <c r="H1558" s="81"/>
      <c r="I1558" s="81"/>
      <c r="J1558" s="81"/>
      <c r="K1558" s="81"/>
      <c r="L1558" s="81"/>
      <c r="M1558" s="81"/>
      <c r="N1558" s="81"/>
    </row>
    <row r="1559" spans="1:14" ht="14.25" customHeight="1" x14ac:dyDescent="0.25">
      <c r="A1559" s="88" t="s">
        <v>49</v>
      </c>
      <c r="B1559" s="92" t="s">
        <v>64</v>
      </c>
      <c r="C1559" s="89"/>
      <c r="D1559" s="89"/>
      <c r="E1559" s="89"/>
      <c r="F1559" s="93"/>
      <c r="G1559" s="81"/>
      <c r="H1559" s="81"/>
      <c r="I1559" s="81"/>
      <c r="J1559" s="81"/>
      <c r="K1559" s="81"/>
      <c r="L1559" s="81"/>
      <c r="M1559" s="81"/>
      <c r="N1559" s="81"/>
    </row>
    <row r="1560" spans="1:14" ht="14.25" customHeight="1" x14ac:dyDescent="0.25">
      <c r="A1560" s="88"/>
      <c r="B1560" s="94"/>
      <c r="C1560" s="89"/>
      <c r="D1560" s="89"/>
      <c r="E1560" s="89"/>
      <c r="F1560" s="93"/>
      <c r="G1560" s="81"/>
      <c r="H1560" s="81"/>
      <c r="I1560" s="81"/>
      <c r="J1560" s="81"/>
      <c r="K1560" s="81"/>
      <c r="L1560" s="81"/>
      <c r="M1560" s="81"/>
      <c r="N1560" s="81"/>
    </row>
    <row r="1561" spans="1:14" ht="14.25" customHeight="1" x14ac:dyDescent="0.25">
      <c r="A1561" s="95" t="s">
        <v>562</v>
      </c>
      <c r="B1561" s="96"/>
      <c r="C1561" s="92"/>
      <c r="D1561" s="92"/>
      <c r="E1561" s="92"/>
      <c r="F1561" s="92"/>
      <c r="G1561" s="81"/>
      <c r="H1561" s="81"/>
      <c r="I1561" s="81"/>
      <c r="J1561" s="81"/>
      <c r="K1561" s="81"/>
      <c r="L1561" s="81"/>
      <c r="M1561" s="81"/>
      <c r="N1561" s="81"/>
    </row>
    <row r="1562" spans="1:14" ht="14.25" customHeight="1" x14ac:dyDescent="0.25">
      <c r="A1562" s="97" t="s">
        <v>563</v>
      </c>
      <c r="B1562" s="98" t="s">
        <v>564</v>
      </c>
      <c r="C1562" s="98" t="s">
        <v>565</v>
      </c>
      <c r="D1562" s="98" t="s">
        <v>566</v>
      </c>
      <c r="E1562" s="98" t="s">
        <v>567</v>
      </c>
      <c r="F1562" s="98" t="s">
        <v>568</v>
      </c>
      <c r="G1562" s="81"/>
      <c r="H1562" s="81"/>
      <c r="I1562" s="81"/>
      <c r="J1562" s="81"/>
      <c r="K1562" s="81"/>
      <c r="L1562" s="81"/>
      <c r="M1562" s="81"/>
      <c r="N1562" s="81"/>
    </row>
    <row r="1563" spans="1:14" ht="25.5" x14ac:dyDescent="0.25">
      <c r="A1563" s="99" t="s">
        <v>641</v>
      </c>
      <c r="B1563" s="100" t="s">
        <v>64</v>
      </c>
      <c r="C1563" s="101">
        <v>441370</v>
      </c>
      <c r="D1563" s="104">
        <v>1</v>
      </c>
      <c r="E1563" s="102">
        <v>0.05</v>
      </c>
      <c r="F1563" s="101">
        <f t="shared" ref="F1563:F1568" si="87">C1563*(D1563+(D1563*E1563))</f>
        <v>463438.5</v>
      </c>
      <c r="G1563" s="81"/>
      <c r="H1563" s="81"/>
      <c r="I1563" s="81"/>
      <c r="J1563" s="81"/>
      <c r="K1563" s="81"/>
      <c r="L1563" s="81"/>
      <c r="M1563" s="81"/>
      <c r="N1563" s="81"/>
    </row>
    <row r="1564" spans="1:14" ht="14.25" customHeight="1" x14ac:dyDescent="0.25">
      <c r="A1564" s="99"/>
      <c r="B1564" s="100"/>
      <c r="C1564" s="101"/>
      <c r="D1564" s="104"/>
      <c r="E1564" s="102"/>
      <c r="F1564" s="101">
        <f t="shared" si="87"/>
        <v>0</v>
      </c>
      <c r="G1564" s="81"/>
      <c r="H1564" s="81"/>
      <c r="I1564" s="81"/>
      <c r="J1564" s="81"/>
      <c r="K1564" s="81"/>
      <c r="L1564" s="81"/>
      <c r="M1564" s="81"/>
      <c r="N1564" s="81"/>
    </row>
    <row r="1565" spans="1:14" ht="14.25" customHeight="1" x14ac:dyDescent="0.25">
      <c r="A1565" s="99"/>
      <c r="B1565" s="100"/>
      <c r="C1565" s="101"/>
      <c r="D1565" s="104"/>
      <c r="E1565" s="102"/>
      <c r="F1565" s="101">
        <f t="shared" si="87"/>
        <v>0</v>
      </c>
      <c r="G1565" s="81"/>
      <c r="H1565" s="81"/>
      <c r="I1565" s="81"/>
      <c r="J1565" s="81"/>
      <c r="K1565" s="81"/>
      <c r="L1565" s="81"/>
      <c r="M1565" s="81"/>
      <c r="N1565" s="81"/>
    </row>
    <row r="1566" spans="1:14" ht="14.25" customHeight="1" x14ac:dyDescent="0.25">
      <c r="A1566" s="99"/>
      <c r="B1566" s="100"/>
      <c r="C1566" s="101"/>
      <c r="D1566" s="104"/>
      <c r="E1566" s="102"/>
      <c r="F1566" s="101">
        <f t="shared" si="87"/>
        <v>0</v>
      </c>
      <c r="G1566" s="81"/>
      <c r="H1566" s="81"/>
      <c r="I1566" s="81"/>
      <c r="J1566" s="81"/>
      <c r="K1566" s="81"/>
      <c r="L1566" s="81"/>
      <c r="M1566" s="81"/>
      <c r="N1566" s="81"/>
    </row>
    <row r="1567" spans="1:14" ht="14.25" customHeight="1" x14ac:dyDescent="0.25">
      <c r="A1567" s="99"/>
      <c r="B1567" s="100"/>
      <c r="C1567" s="101"/>
      <c r="D1567" s="104"/>
      <c r="E1567" s="102"/>
      <c r="F1567" s="101">
        <f t="shared" si="87"/>
        <v>0</v>
      </c>
      <c r="G1567" s="81"/>
      <c r="H1567" s="81"/>
      <c r="I1567" s="81"/>
      <c r="J1567" s="81"/>
      <c r="K1567" s="81"/>
      <c r="L1567" s="81"/>
      <c r="M1567" s="81"/>
      <c r="N1567" s="81"/>
    </row>
    <row r="1568" spans="1:14" ht="14.25" customHeight="1" x14ac:dyDescent="0.25">
      <c r="A1568" s="99"/>
      <c r="B1568" s="100"/>
      <c r="C1568" s="101"/>
      <c r="D1568" s="104"/>
      <c r="E1568" s="102"/>
      <c r="F1568" s="101">
        <f t="shared" si="87"/>
        <v>0</v>
      </c>
      <c r="G1568" s="81"/>
      <c r="H1568" s="81"/>
      <c r="I1568" s="81"/>
      <c r="J1568" s="81"/>
      <c r="K1568" s="81"/>
      <c r="L1568" s="81"/>
      <c r="M1568" s="81"/>
      <c r="N1568" s="81"/>
    </row>
    <row r="1569" spans="1:14" ht="14.25" customHeight="1" x14ac:dyDescent="0.25">
      <c r="A1569" s="99"/>
      <c r="B1569" s="100"/>
      <c r="C1569" s="106"/>
      <c r="D1569" s="107"/>
      <c r="E1569" s="108"/>
      <c r="F1569" s="106"/>
      <c r="G1569" s="81"/>
      <c r="H1569" s="81"/>
      <c r="I1569" s="81"/>
      <c r="J1569" s="81"/>
      <c r="K1569" s="81"/>
      <c r="L1569" s="81"/>
      <c r="M1569" s="81"/>
      <c r="N1569" s="81"/>
    </row>
    <row r="1570" spans="1:14" ht="14.25" customHeight="1" x14ac:dyDescent="0.25">
      <c r="A1570" s="97" t="s">
        <v>548</v>
      </c>
      <c r="B1570" s="97"/>
      <c r="C1570" s="109"/>
      <c r="D1570" s="110"/>
      <c r="E1570" s="111"/>
      <c r="F1570" s="112">
        <f>SUM(F1563:F1569)</f>
        <v>463438.5</v>
      </c>
      <c r="G1570" s="81"/>
      <c r="H1570" s="81"/>
      <c r="I1570" s="81"/>
      <c r="J1570" s="81"/>
      <c r="K1570" s="81"/>
      <c r="L1570" s="81"/>
      <c r="M1570" s="81"/>
      <c r="N1570" s="81"/>
    </row>
    <row r="1571" spans="1:14" ht="14.25" customHeight="1" x14ac:dyDescent="0.25">
      <c r="A1571" s="88"/>
      <c r="B1571" s="88"/>
      <c r="C1571" s="113"/>
      <c r="D1571" s="113"/>
      <c r="E1571" s="114"/>
      <c r="F1571" s="113"/>
      <c r="G1571" s="81"/>
      <c r="H1571" s="81"/>
      <c r="I1571" s="81"/>
      <c r="J1571" s="81"/>
      <c r="K1571" s="81"/>
      <c r="L1571" s="81"/>
      <c r="M1571" s="81"/>
      <c r="N1571" s="81"/>
    </row>
    <row r="1572" spans="1:14" ht="14.25" customHeight="1" x14ac:dyDescent="0.25">
      <c r="A1572" s="96" t="s">
        <v>573</v>
      </c>
      <c r="B1572" s="96"/>
      <c r="C1572" s="92"/>
      <c r="D1572" s="92"/>
      <c r="E1572" s="92"/>
      <c r="F1572" s="92"/>
      <c r="G1572" s="81"/>
      <c r="H1572" s="81"/>
      <c r="I1572" s="81"/>
      <c r="J1572" s="81"/>
      <c r="K1572" s="81"/>
      <c r="L1572" s="81"/>
      <c r="M1572" s="81"/>
      <c r="N1572" s="81"/>
    </row>
    <row r="1573" spans="1:14" ht="14.25" customHeight="1" x14ac:dyDescent="0.25">
      <c r="A1573" s="611" t="s">
        <v>563</v>
      </c>
      <c r="B1573" s="608"/>
      <c r="C1573" s="609"/>
      <c r="D1573" s="98" t="s">
        <v>574</v>
      </c>
      <c r="E1573" s="98" t="s">
        <v>575</v>
      </c>
      <c r="F1573" s="98" t="s">
        <v>568</v>
      </c>
      <c r="G1573" s="81"/>
      <c r="H1573" s="81"/>
      <c r="I1573" s="81"/>
      <c r="J1573" s="81"/>
      <c r="K1573" s="81"/>
      <c r="L1573" s="81"/>
      <c r="M1573" s="81"/>
      <c r="N1573" s="81"/>
    </row>
    <row r="1574" spans="1:14" ht="14.25" customHeight="1" x14ac:dyDescent="0.25">
      <c r="A1574" s="607" t="s">
        <v>577</v>
      </c>
      <c r="B1574" s="608"/>
      <c r="C1574" s="609"/>
      <c r="D1574" s="116"/>
      <c r="E1574" s="107"/>
      <c r="F1574" s="106">
        <v>3571</v>
      </c>
      <c r="G1574" s="81"/>
      <c r="H1574" s="81"/>
      <c r="I1574" s="81"/>
      <c r="J1574" s="81"/>
      <c r="K1574" s="81"/>
      <c r="L1574" s="81"/>
      <c r="M1574" s="81"/>
      <c r="N1574" s="81"/>
    </row>
    <row r="1575" spans="1:14" ht="14.25" customHeight="1" x14ac:dyDescent="0.25">
      <c r="A1575" s="607" t="s">
        <v>642</v>
      </c>
      <c r="B1575" s="608"/>
      <c r="C1575" s="609"/>
      <c r="D1575" s="142">
        <v>8750</v>
      </c>
      <c r="E1575" s="105">
        <v>0.8</v>
      </c>
      <c r="F1575" s="106">
        <f t="shared" ref="F1575:F1576" si="88">D1575/E1575</f>
        <v>10937.5</v>
      </c>
      <c r="G1575" s="81"/>
      <c r="H1575" s="81"/>
      <c r="I1575" s="81"/>
      <c r="J1575" s="81"/>
      <c r="K1575" s="81"/>
      <c r="L1575" s="81"/>
      <c r="M1575" s="81"/>
      <c r="N1575" s="81"/>
    </row>
    <row r="1576" spans="1:14" ht="14.25" customHeight="1" x14ac:dyDescent="0.25">
      <c r="A1576" s="607" t="s">
        <v>643</v>
      </c>
      <c r="B1576" s="608"/>
      <c r="C1576" s="609"/>
      <c r="D1576" s="142">
        <v>12350</v>
      </c>
      <c r="E1576" s="105">
        <v>5.8000000000000003E-2</v>
      </c>
      <c r="F1576" s="106">
        <f t="shared" si="88"/>
        <v>212931.03448275861</v>
      </c>
      <c r="G1576" s="81"/>
      <c r="H1576" s="81"/>
      <c r="I1576" s="81"/>
      <c r="J1576" s="81"/>
      <c r="K1576" s="81"/>
      <c r="L1576" s="81"/>
      <c r="M1576" s="81"/>
      <c r="N1576" s="81"/>
    </row>
    <row r="1577" spans="1:14" ht="14.25" customHeight="1" x14ac:dyDescent="0.25">
      <c r="A1577" s="607"/>
      <c r="B1577" s="608"/>
      <c r="C1577" s="609"/>
      <c r="D1577" s="142"/>
      <c r="E1577" s="107"/>
      <c r="F1577" s="106"/>
      <c r="G1577" s="81"/>
      <c r="H1577" s="81"/>
      <c r="I1577" s="81"/>
      <c r="J1577" s="81"/>
      <c r="K1577" s="81"/>
      <c r="L1577" s="81"/>
      <c r="M1577" s="81"/>
      <c r="N1577" s="81"/>
    </row>
    <row r="1578" spans="1:14" ht="14.25" customHeight="1" x14ac:dyDescent="0.25">
      <c r="A1578" s="610"/>
      <c r="B1578" s="608"/>
      <c r="C1578" s="609"/>
      <c r="D1578" s="115"/>
      <c r="E1578" s="107"/>
      <c r="F1578" s="106"/>
      <c r="G1578" s="81"/>
      <c r="H1578" s="81"/>
      <c r="I1578" s="81"/>
      <c r="J1578" s="81"/>
      <c r="K1578" s="81"/>
      <c r="L1578" s="81"/>
      <c r="M1578" s="81"/>
      <c r="N1578" s="81"/>
    </row>
    <row r="1579" spans="1:14" ht="14.25" customHeight="1" x14ac:dyDescent="0.25">
      <c r="A1579" s="611" t="s">
        <v>548</v>
      </c>
      <c r="B1579" s="608"/>
      <c r="C1579" s="609"/>
      <c r="D1579" s="110"/>
      <c r="E1579" s="110"/>
      <c r="F1579" s="112">
        <f>SUM(F1574:F1577)</f>
        <v>227439.53448275861</v>
      </c>
      <c r="G1579" s="81"/>
      <c r="H1579" s="81"/>
      <c r="I1579" s="81"/>
      <c r="J1579" s="81"/>
      <c r="K1579" s="81"/>
      <c r="L1579" s="81"/>
      <c r="M1579" s="81"/>
      <c r="N1579" s="81"/>
    </row>
    <row r="1580" spans="1:14" ht="14.25" customHeight="1" x14ac:dyDescent="0.25">
      <c r="A1580" s="88"/>
      <c r="B1580" s="88"/>
      <c r="C1580" s="89"/>
      <c r="D1580" s="113"/>
      <c r="E1580" s="113"/>
      <c r="F1580" s="113"/>
      <c r="G1580" s="81"/>
      <c r="H1580" s="81"/>
      <c r="I1580" s="81"/>
      <c r="J1580" s="81"/>
      <c r="K1580" s="81"/>
      <c r="L1580" s="81"/>
      <c r="M1580" s="81"/>
      <c r="N1580" s="81"/>
    </row>
    <row r="1581" spans="1:14" ht="14.25" customHeight="1" x14ac:dyDescent="0.25">
      <c r="A1581" s="96" t="s">
        <v>578</v>
      </c>
      <c r="B1581" s="96"/>
      <c r="C1581" s="92"/>
      <c r="D1581" s="118"/>
      <c r="E1581" s="118"/>
      <c r="F1581" s="118"/>
      <c r="G1581" s="81"/>
      <c r="H1581" s="81"/>
      <c r="I1581" s="81"/>
      <c r="J1581" s="81"/>
      <c r="K1581" s="81"/>
      <c r="L1581" s="81"/>
      <c r="M1581" s="81"/>
      <c r="N1581" s="81"/>
    </row>
    <row r="1582" spans="1:14" ht="14.25" customHeight="1" x14ac:dyDescent="0.25">
      <c r="A1582" s="119" t="s">
        <v>563</v>
      </c>
      <c r="B1582" s="120" t="s">
        <v>579</v>
      </c>
      <c r="C1582" s="120" t="s">
        <v>580</v>
      </c>
      <c r="D1582" s="121" t="s">
        <v>581</v>
      </c>
      <c r="E1582" s="121" t="s">
        <v>575</v>
      </c>
      <c r="F1582" s="121" t="s">
        <v>568</v>
      </c>
      <c r="G1582" s="81"/>
      <c r="H1582" s="81"/>
      <c r="I1582" s="81"/>
      <c r="J1582" s="81"/>
      <c r="K1582" s="81"/>
      <c r="L1582" s="81"/>
      <c r="M1582" s="81"/>
      <c r="N1582" s="81"/>
    </row>
    <row r="1583" spans="1:14" ht="14.25" customHeight="1" x14ac:dyDescent="0.25">
      <c r="A1583" s="122" t="s">
        <v>593</v>
      </c>
      <c r="B1583" s="127">
        <v>5</v>
      </c>
      <c r="C1583" s="101">
        <v>32688</v>
      </c>
      <c r="D1583" s="101">
        <f t="shared" ref="D1583:D1584" si="89">+C1583*1.7</f>
        <v>55569.599999999999</v>
      </c>
      <c r="E1583" s="107">
        <v>4</v>
      </c>
      <c r="F1583" s="106">
        <f t="shared" ref="F1583:F1584" si="90">+B1583*(D1583)/E1583</f>
        <v>69462</v>
      </c>
      <c r="G1583" s="81"/>
      <c r="H1583" s="81"/>
      <c r="I1583" s="81"/>
      <c r="J1583" s="81"/>
      <c r="K1583" s="81"/>
      <c r="L1583" s="81"/>
      <c r="M1583" s="81"/>
      <c r="N1583" s="81"/>
    </row>
    <row r="1584" spans="1:14" ht="14.25" customHeight="1" x14ac:dyDescent="0.25">
      <c r="A1584" s="122" t="s">
        <v>594</v>
      </c>
      <c r="B1584" s="127">
        <v>3</v>
      </c>
      <c r="C1584" s="101">
        <v>52538</v>
      </c>
      <c r="D1584" s="101">
        <f t="shared" si="89"/>
        <v>89314.599999999991</v>
      </c>
      <c r="E1584" s="107">
        <f>E1583</f>
        <v>4</v>
      </c>
      <c r="F1584" s="106">
        <f t="shared" si="90"/>
        <v>66985.95</v>
      </c>
      <c r="G1584" s="81"/>
      <c r="H1584" s="81"/>
      <c r="I1584" s="81"/>
      <c r="J1584" s="81"/>
      <c r="K1584" s="81"/>
      <c r="L1584" s="81"/>
      <c r="M1584" s="81"/>
      <c r="N1584" s="81"/>
    </row>
    <row r="1585" spans="1:14" ht="14.25" customHeight="1" x14ac:dyDescent="0.25">
      <c r="A1585" s="122"/>
      <c r="B1585" s="127"/>
      <c r="C1585" s="101"/>
      <c r="D1585" s="101"/>
      <c r="E1585" s="105"/>
      <c r="F1585" s="106"/>
      <c r="G1585" s="81"/>
      <c r="H1585" s="81"/>
      <c r="I1585" s="81"/>
      <c r="J1585" s="81"/>
      <c r="K1585" s="81"/>
      <c r="L1585" s="81"/>
      <c r="M1585" s="81"/>
      <c r="N1585" s="81"/>
    </row>
    <row r="1586" spans="1:14" ht="14.25" customHeight="1" x14ac:dyDescent="0.25">
      <c r="A1586" s="122"/>
      <c r="B1586" s="127"/>
      <c r="C1586" s="101"/>
      <c r="D1586" s="101"/>
      <c r="E1586" s="125"/>
      <c r="F1586" s="106"/>
      <c r="G1586" s="81"/>
      <c r="H1586" s="81"/>
      <c r="I1586" s="81"/>
      <c r="J1586" s="81"/>
      <c r="K1586" s="81"/>
      <c r="L1586" s="81"/>
      <c r="M1586" s="81"/>
      <c r="N1586" s="81"/>
    </row>
    <row r="1587" spans="1:14" ht="14.25" customHeight="1" x14ac:dyDescent="0.25">
      <c r="A1587" s="97" t="s">
        <v>548</v>
      </c>
      <c r="B1587" s="128"/>
      <c r="C1587" s="110"/>
      <c r="D1587" s="110"/>
      <c r="E1587" s="110"/>
      <c r="F1587" s="112">
        <f>SUM(F1583:F1586)</f>
        <v>136447.95000000001</v>
      </c>
      <c r="G1587" s="81"/>
      <c r="H1587" s="81"/>
      <c r="I1587" s="81"/>
      <c r="J1587" s="81"/>
      <c r="K1587" s="81"/>
      <c r="L1587" s="81"/>
      <c r="M1587" s="81"/>
      <c r="N1587" s="81"/>
    </row>
    <row r="1588" spans="1:14" ht="14.25" customHeight="1" x14ac:dyDescent="0.25">
      <c r="A1588" s="96"/>
      <c r="B1588" s="129"/>
      <c r="C1588" s="118"/>
      <c r="D1588" s="118"/>
      <c r="E1588" s="118"/>
      <c r="F1588" s="118"/>
      <c r="G1588" s="81"/>
      <c r="H1588" s="81"/>
      <c r="I1588" s="81"/>
      <c r="J1588" s="81"/>
      <c r="K1588" s="81"/>
      <c r="L1588" s="81"/>
      <c r="M1588" s="81"/>
      <c r="N1588" s="81"/>
    </row>
    <row r="1589" spans="1:14" ht="14.25" customHeight="1" x14ac:dyDescent="0.25">
      <c r="A1589" s="95" t="s">
        <v>583</v>
      </c>
      <c r="B1589" s="96"/>
      <c r="C1589" s="92"/>
      <c r="D1589" s="92"/>
      <c r="E1589" s="92" t="s">
        <v>584</v>
      </c>
      <c r="F1589" s="92"/>
      <c r="G1589" s="81"/>
      <c r="H1589" s="81"/>
      <c r="I1589" s="81"/>
      <c r="J1589" s="81"/>
      <c r="K1589" s="81"/>
      <c r="L1589" s="81"/>
      <c r="M1589" s="81"/>
      <c r="N1589" s="81"/>
    </row>
    <row r="1590" spans="1:14" ht="14.25" customHeight="1" x14ac:dyDescent="0.25">
      <c r="A1590" s="97" t="s">
        <v>563</v>
      </c>
      <c r="B1590" s="98" t="s">
        <v>564</v>
      </c>
      <c r="C1590" s="98" t="s">
        <v>585</v>
      </c>
      <c r="D1590" s="98" t="s">
        <v>586</v>
      </c>
      <c r="E1590" s="120" t="s">
        <v>587</v>
      </c>
      <c r="F1590" s="98" t="s">
        <v>568</v>
      </c>
      <c r="G1590" s="81"/>
      <c r="H1590" s="81"/>
      <c r="I1590" s="81"/>
      <c r="J1590" s="81"/>
      <c r="K1590" s="81"/>
      <c r="L1590" s="81"/>
      <c r="M1590" s="81"/>
      <c r="N1590" s="81"/>
    </row>
    <row r="1591" spans="1:14" ht="14.25" customHeight="1" x14ac:dyDescent="0.25">
      <c r="A1591" s="103"/>
      <c r="B1591" s="100"/>
      <c r="C1591" s="101"/>
      <c r="D1591" s="140"/>
      <c r="E1591" s="107"/>
      <c r="F1591" s="109"/>
      <c r="G1591" s="81"/>
      <c r="H1591" s="81"/>
      <c r="I1591" s="81"/>
      <c r="J1591" s="81"/>
      <c r="K1591" s="81"/>
      <c r="L1591" s="81"/>
      <c r="M1591" s="81"/>
      <c r="N1591" s="81"/>
    </row>
    <row r="1592" spans="1:14" ht="14.25" customHeight="1" x14ac:dyDescent="0.25">
      <c r="A1592" s="103"/>
      <c r="B1592" s="100"/>
      <c r="C1592" s="107"/>
      <c r="D1592" s="107"/>
      <c r="E1592" s="108"/>
      <c r="F1592" s="109"/>
      <c r="G1592" s="81"/>
      <c r="H1592" s="81"/>
      <c r="I1592" s="81"/>
      <c r="J1592" s="81"/>
      <c r="K1592" s="81"/>
      <c r="L1592" s="81"/>
      <c r="M1592" s="81"/>
      <c r="N1592" s="81"/>
    </row>
    <row r="1593" spans="1:14" ht="14.25" customHeight="1" x14ac:dyDescent="0.25">
      <c r="A1593" s="97" t="s">
        <v>548</v>
      </c>
      <c r="B1593" s="98"/>
      <c r="C1593" s="110"/>
      <c r="D1593" s="110"/>
      <c r="E1593" s="111"/>
      <c r="F1593" s="112">
        <f>SUM(F1591:F1592)</f>
        <v>0</v>
      </c>
      <c r="G1593" s="81"/>
      <c r="H1593" s="81"/>
      <c r="I1593" s="81"/>
      <c r="J1593" s="81"/>
      <c r="K1593" s="81"/>
      <c r="L1593" s="81"/>
      <c r="M1593" s="81"/>
      <c r="N1593" s="81"/>
    </row>
    <row r="1594" spans="1:14" ht="14.25" customHeight="1" x14ac:dyDescent="0.25">
      <c r="A1594" s="88"/>
      <c r="B1594" s="89"/>
      <c r="C1594" s="113"/>
      <c r="D1594" s="113"/>
      <c r="E1594" s="114"/>
      <c r="F1594" s="113"/>
      <c r="G1594" s="81"/>
      <c r="H1594" s="81"/>
      <c r="I1594" s="81"/>
      <c r="J1594" s="81"/>
      <c r="K1594" s="81"/>
      <c r="L1594" s="81"/>
      <c r="M1594" s="81"/>
      <c r="N1594" s="81"/>
    </row>
    <row r="1595" spans="1:14" ht="14.25" customHeight="1" x14ac:dyDescent="0.25">
      <c r="A1595" s="88"/>
      <c r="B1595" s="89"/>
      <c r="C1595" s="113"/>
      <c r="D1595" s="113"/>
      <c r="E1595" s="114"/>
      <c r="F1595" s="113"/>
      <c r="G1595" s="81"/>
      <c r="H1595" s="81"/>
      <c r="I1595" s="81"/>
      <c r="J1595" s="81"/>
      <c r="K1595" s="81"/>
      <c r="L1595" s="81"/>
      <c r="M1595" s="81"/>
      <c r="N1595" s="81"/>
    </row>
    <row r="1596" spans="1:14" ht="14.25" customHeight="1" x14ac:dyDescent="0.25">
      <c r="A1596" s="612" t="s">
        <v>588</v>
      </c>
      <c r="B1596" s="608"/>
      <c r="C1596" s="608"/>
      <c r="D1596" s="608"/>
      <c r="E1596" s="609"/>
      <c r="F1596" s="131">
        <f>ROUND(F1570+F1579+F1587+F1593,0)</f>
        <v>827326</v>
      </c>
      <c r="G1596" s="81"/>
      <c r="H1596" s="117">
        <f>827326-F1596</f>
        <v>0</v>
      </c>
      <c r="I1596" s="81"/>
      <c r="J1596" s="81"/>
      <c r="K1596" s="81"/>
      <c r="L1596" s="81"/>
      <c r="M1596" s="81"/>
      <c r="N1596" s="81"/>
    </row>
    <row r="1597" spans="1:14" ht="14.25" customHeight="1" x14ac:dyDescent="0.25">
      <c r="A1597" s="612" t="s">
        <v>589</v>
      </c>
      <c r="B1597" s="608"/>
      <c r="C1597" s="608"/>
      <c r="D1597" s="608"/>
      <c r="E1597" s="609"/>
      <c r="F1597" s="132"/>
      <c r="G1597" s="81"/>
      <c r="H1597" s="81"/>
      <c r="I1597" s="81"/>
      <c r="J1597" s="81"/>
      <c r="K1597" s="81"/>
      <c r="L1597" s="81"/>
      <c r="M1597" s="81"/>
      <c r="N1597" s="81"/>
    </row>
    <row r="1598" spans="1:14" ht="14.25" customHeight="1" x14ac:dyDescent="0.25">
      <c r="A1598" s="146" t="s">
        <v>556</v>
      </c>
      <c r="B1598" s="147"/>
      <c r="C1598" s="147"/>
      <c r="D1598" s="147"/>
      <c r="E1598" s="148"/>
      <c r="F1598" s="133"/>
      <c r="G1598" s="81"/>
      <c r="H1598" s="81"/>
      <c r="I1598" s="81"/>
      <c r="J1598" s="81"/>
      <c r="K1598" s="81"/>
      <c r="L1598" s="81"/>
      <c r="M1598" s="81"/>
      <c r="N1598" s="81"/>
    </row>
    <row r="1599" spans="1:14" ht="14.25" customHeight="1" x14ac:dyDescent="0.25">
      <c r="A1599" s="134"/>
      <c r="B1599" s="135"/>
      <c r="C1599" s="135"/>
      <c r="D1599" s="135"/>
      <c r="E1599" s="135"/>
      <c r="F1599" s="136"/>
      <c r="G1599" s="81"/>
      <c r="H1599" s="81"/>
      <c r="I1599" s="81"/>
      <c r="J1599" s="81"/>
      <c r="K1599" s="81"/>
      <c r="L1599" s="81"/>
      <c r="M1599" s="81"/>
      <c r="N1599" s="81"/>
    </row>
    <row r="1600" spans="1:14" ht="14.25" customHeight="1" x14ac:dyDescent="0.25">
      <c r="A1600" s="81"/>
      <c r="B1600" s="81"/>
      <c r="C1600" s="137"/>
      <c r="D1600" s="81"/>
      <c r="E1600" s="81"/>
      <c r="F1600" s="81"/>
      <c r="G1600" s="81"/>
      <c r="H1600" s="81"/>
      <c r="I1600" s="81"/>
      <c r="J1600" s="81"/>
      <c r="K1600" s="81"/>
      <c r="L1600" s="81"/>
      <c r="M1600" s="81"/>
      <c r="N1600" s="81"/>
    </row>
    <row r="1601" spans="1:14" ht="14.25" customHeight="1" x14ac:dyDescent="0.25">
      <c r="A1601" s="81"/>
      <c r="B1601" s="81"/>
      <c r="C1601" s="137"/>
      <c r="D1601" s="81"/>
      <c r="E1601" s="81"/>
      <c r="F1601" s="81"/>
      <c r="G1601" s="81"/>
      <c r="H1601" s="81"/>
      <c r="I1601" s="81"/>
      <c r="J1601" s="81"/>
      <c r="K1601" s="81"/>
      <c r="L1601" s="81"/>
      <c r="M1601" s="81"/>
      <c r="N1601" s="81"/>
    </row>
    <row r="1602" spans="1:14" ht="14.25" customHeight="1" x14ac:dyDescent="0.25">
      <c r="A1602" s="81"/>
      <c r="B1602" s="81"/>
      <c r="C1602" s="137"/>
      <c r="D1602" s="81"/>
      <c r="E1602" s="81"/>
      <c r="F1602" s="81"/>
      <c r="G1602" s="81"/>
      <c r="H1602" s="81"/>
      <c r="I1602" s="81"/>
      <c r="J1602" s="81"/>
      <c r="K1602" s="81"/>
      <c r="L1602" s="81"/>
      <c r="M1602" s="81"/>
      <c r="N1602" s="81"/>
    </row>
    <row r="1603" spans="1:14" ht="14.25" customHeight="1" x14ac:dyDescent="0.25">
      <c r="A1603" s="81"/>
      <c r="B1603" s="81"/>
      <c r="C1603" s="137"/>
      <c r="D1603" s="81"/>
      <c r="E1603" s="81"/>
      <c r="F1603" s="81"/>
      <c r="G1603" s="81"/>
      <c r="H1603" s="81"/>
      <c r="I1603" s="81"/>
      <c r="J1603" s="81"/>
      <c r="K1603" s="81"/>
      <c r="L1603" s="81"/>
      <c r="M1603" s="81"/>
      <c r="N1603" s="81"/>
    </row>
    <row r="1604" spans="1:14" ht="14.25" customHeight="1" x14ac:dyDescent="0.25">
      <c r="A1604" s="81"/>
      <c r="B1604" s="81"/>
      <c r="C1604" s="137"/>
      <c r="D1604" s="81"/>
      <c r="E1604" s="81"/>
      <c r="F1604" s="81"/>
      <c r="G1604" s="81"/>
      <c r="H1604" s="81"/>
      <c r="I1604" s="81"/>
      <c r="J1604" s="81"/>
      <c r="K1604" s="81"/>
      <c r="L1604" s="81"/>
      <c r="M1604" s="81"/>
      <c r="N1604" s="81"/>
    </row>
    <row r="1605" spans="1:14" ht="14.25" customHeight="1" x14ac:dyDescent="0.25">
      <c r="A1605" s="134"/>
      <c r="B1605" s="135"/>
      <c r="C1605" s="135"/>
      <c r="D1605" s="135"/>
      <c r="E1605" s="135"/>
      <c r="F1605" s="136"/>
      <c r="G1605" s="81"/>
      <c r="H1605" s="81"/>
      <c r="I1605" s="81"/>
      <c r="J1605" s="81"/>
      <c r="K1605" s="81"/>
      <c r="L1605" s="81"/>
      <c r="M1605" s="81"/>
      <c r="N1605" s="81"/>
    </row>
    <row r="1606" spans="1:14" ht="14.25" customHeight="1" x14ac:dyDescent="0.25">
      <c r="A1606" s="134"/>
      <c r="B1606" s="135"/>
      <c r="C1606" s="135"/>
      <c r="D1606" s="135"/>
      <c r="E1606" s="135"/>
      <c r="F1606" s="136"/>
      <c r="G1606" s="81"/>
      <c r="H1606" s="81"/>
      <c r="I1606" s="81"/>
      <c r="J1606" s="81"/>
      <c r="K1606" s="81"/>
      <c r="L1606" s="81"/>
      <c r="M1606" s="81"/>
      <c r="N1606" s="81"/>
    </row>
    <row r="1607" spans="1:14" ht="14.25" customHeight="1" x14ac:dyDescent="0.25">
      <c r="A1607" s="134"/>
      <c r="B1607" s="135"/>
      <c r="C1607" s="135"/>
      <c r="D1607" s="135"/>
      <c r="E1607" s="135"/>
      <c r="F1607" s="136"/>
      <c r="G1607" s="81"/>
      <c r="H1607" s="81"/>
      <c r="I1607" s="81"/>
      <c r="J1607" s="81"/>
      <c r="K1607" s="81"/>
      <c r="L1607" s="81"/>
      <c r="M1607" s="81"/>
      <c r="N1607" s="81"/>
    </row>
    <row r="1608" spans="1:14" ht="14.25" customHeight="1" thickBot="1" x14ac:dyDescent="0.3">
      <c r="A1608" s="81"/>
      <c r="B1608" s="81"/>
      <c r="C1608" s="81"/>
      <c r="D1608" s="81"/>
      <c r="E1608" s="81"/>
      <c r="F1608" s="81"/>
      <c r="G1608" s="81"/>
      <c r="H1608" s="81"/>
      <c r="I1608" s="81"/>
      <c r="J1608" s="81"/>
      <c r="K1608" s="81"/>
      <c r="L1608" s="81"/>
      <c r="M1608" s="81"/>
      <c r="N1608" s="81"/>
    </row>
    <row r="1609" spans="1:14" ht="14.25" customHeight="1" x14ac:dyDescent="0.25">
      <c r="A1609" s="83"/>
      <c r="B1609" s="84"/>
      <c r="C1609" s="85"/>
      <c r="D1609" s="86"/>
      <c r="E1609" s="86"/>
      <c r="F1609" s="87"/>
      <c r="G1609" s="81"/>
      <c r="H1609" s="81"/>
      <c r="I1609" s="81"/>
      <c r="J1609" s="81"/>
      <c r="K1609" s="81"/>
      <c r="L1609" s="81"/>
      <c r="M1609" s="81"/>
      <c r="N1609" s="81"/>
    </row>
    <row r="1610" spans="1:14" ht="14.25" customHeight="1" x14ac:dyDescent="0.25">
      <c r="A1610" s="599"/>
      <c r="B1610" s="600"/>
      <c r="C1610" s="600"/>
      <c r="D1610" s="600"/>
      <c r="E1610" s="600"/>
      <c r="F1610" s="601"/>
      <c r="G1610" s="81"/>
      <c r="H1610" s="81"/>
      <c r="I1610" s="81"/>
      <c r="J1610" s="81"/>
      <c r="K1610" s="81"/>
      <c r="L1610" s="81"/>
      <c r="M1610" s="81"/>
      <c r="N1610" s="81"/>
    </row>
    <row r="1611" spans="1:14" ht="14.25" customHeight="1" x14ac:dyDescent="0.25">
      <c r="A1611" s="602" t="s">
        <v>561</v>
      </c>
      <c r="B1611" s="600"/>
      <c r="C1611" s="600"/>
      <c r="D1611" s="600"/>
      <c r="E1611" s="600"/>
      <c r="F1611" s="601"/>
      <c r="G1611" s="81"/>
      <c r="H1611" s="81"/>
      <c r="I1611" s="81"/>
      <c r="J1611" s="81"/>
      <c r="K1611" s="81"/>
      <c r="L1611" s="81"/>
      <c r="M1611" s="81"/>
      <c r="N1611" s="81"/>
    </row>
    <row r="1612" spans="1:14" ht="14.25" customHeight="1" thickBot="1" x14ac:dyDescent="0.3">
      <c r="A1612" s="603"/>
      <c r="B1612" s="604"/>
      <c r="C1612" s="604"/>
      <c r="D1612" s="604"/>
      <c r="E1612" s="604"/>
      <c r="F1612" s="605"/>
      <c r="G1612" s="81"/>
      <c r="H1612" s="81"/>
      <c r="I1612" s="81"/>
      <c r="J1612" s="81"/>
      <c r="K1612" s="81"/>
      <c r="L1612" s="81"/>
      <c r="M1612" s="81"/>
      <c r="N1612" s="81"/>
    </row>
    <row r="1613" spans="1:14" ht="14.25" customHeight="1" x14ac:dyDescent="0.25">
      <c r="A1613" s="88"/>
      <c r="B1613" s="88"/>
      <c r="C1613" s="89"/>
      <c r="D1613" s="89"/>
      <c r="E1613" s="89"/>
      <c r="F1613" s="89"/>
      <c r="G1613" s="81"/>
      <c r="H1613" s="81"/>
      <c r="I1613" s="81"/>
      <c r="J1613" s="81"/>
      <c r="K1613" s="81"/>
      <c r="L1613" s="81"/>
      <c r="M1613" s="81"/>
      <c r="N1613" s="81"/>
    </row>
    <row r="1614" spans="1:14" ht="26.25" customHeight="1" x14ac:dyDescent="0.25">
      <c r="A1614" s="90" t="s">
        <v>47</v>
      </c>
      <c r="B1614" s="613" t="s">
        <v>1319</v>
      </c>
      <c r="C1614" s="600"/>
      <c r="D1614" s="600"/>
      <c r="E1614" s="600"/>
      <c r="F1614" s="600"/>
      <c r="G1614" s="81"/>
      <c r="H1614" s="81"/>
      <c r="I1614" s="81"/>
      <c r="J1614" s="81"/>
      <c r="K1614" s="81"/>
      <c r="L1614" s="81"/>
      <c r="M1614" s="81"/>
      <c r="N1614" s="81"/>
    </row>
    <row r="1615" spans="1:14" ht="14.25" customHeight="1" x14ac:dyDescent="0.25">
      <c r="A1615" s="91"/>
      <c r="B1615" s="91"/>
      <c r="C1615" s="91"/>
      <c r="D1615" s="91"/>
      <c r="E1615" s="91"/>
      <c r="F1615" s="91"/>
      <c r="G1615" s="81"/>
      <c r="H1615" s="81"/>
      <c r="I1615" s="81"/>
      <c r="J1615" s="81"/>
      <c r="K1615" s="81"/>
      <c r="L1615" s="81"/>
      <c r="M1615" s="81"/>
      <c r="N1615" s="81"/>
    </row>
    <row r="1616" spans="1:14" ht="14.25" customHeight="1" x14ac:dyDescent="0.25">
      <c r="A1616" s="88" t="s">
        <v>49</v>
      </c>
      <c r="B1616" s="92" t="s">
        <v>64</v>
      </c>
      <c r="C1616" s="89"/>
      <c r="D1616" s="89"/>
      <c r="E1616" s="89"/>
      <c r="F1616" s="93"/>
      <c r="G1616" s="81"/>
      <c r="H1616" s="81"/>
      <c r="I1616" s="81"/>
      <c r="J1616" s="81"/>
      <c r="K1616" s="81"/>
      <c r="L1616" s="81"/>
      <c r="M1616" s="81"/>
      <c r="N1616" s="81"/>
    </row>
    <row r="1617" spans="1:14" ht="14.25" customHeight="1" x14ac:dyDescent="0.25">
      <c r="A1617" s="88"/>
      <c r="B1617" s="94"/>
      <c r="C1617" s="89"/>
      <c r="D1617" s="89"/>
      <c r="E1617" s="89"/>
      <c r="F1617" s="93"/>
      <c r="G1617" s="81"/>
      <c r="H1617" s="81"/>
      <c r="I1617" s="81"/>
      <c r="J1617" s="81"/>
      <c r="K1617" s="81"/>
      <c r="L1617" s="81"/>
      <c r="M1617" s="81"/>
      <c r="N1617" s="81"/>
    </row>
    <row r="1618" spans="1:14" ht="14.25" customHeight="1" x14ac:dyDescent="0.25">
      <c r="A1618" s="95" t="s">
        <v>562</v>
      </c>
      <c r="B1618" s="96"/>
      <c r="C1618" s="92"/>
      <c r="D1618" s="92"/>
      <c r="E1618" s="92"/>
      <c r="F1618" s="92"/>
      <c r="G1618" s="81"/>
      <c r="H1618" s="81"/>
      <c r="I1618" s="81"/>
      <c r="J1618" s="81"/>
      <c r="K1618" s="81"/>
      <c r="L1618" s="81"/>
      <c r="M1618" s="81"/>
      <c r="N1618" s="81"/>
    </row>
    <row r="1619" spans="1:14" ht="14.25" customHeight="1" x14ac:dyDescent="0.25">
      <c r="A1619" s="97" t="s">
        <v>563</v>
      </c>
      <c r="B1619" s="98" t="s">
        <v>564</v>
      </c>
      <c r="C1619" s="98" t="s">
        <v>565</v>
      </c>
      <c r="D1619" s="98" t="s">
        <v>566</v>
      </c>
      <c r="E1619" s="98" t="s">
        <v>567</v>
      </c>
      <c r="F1619" s="98" t="s">
        <v>568</v>
      </c>
      <c r="G1619" s="81"/>
      <c r="H1619" s="81"/>
      <c r="I1619" s="81"/>
      <c r="J1619" s="81"/>
      <c r="K1619" s="81"/>
      <c r="L1619" s="81"/>
      <c r="M1619" s="81"/>
      <c r="N1619" s="81"/>
    </row>
    <row r="1620" spans="1:14" ht="14.25" customHeight="1" x14ac:dyDescent="0.25">
      <c r="A1620" s="99" t="s">
        <v>641</v>
      </c>
      <c r="B1620" s="100" t="s">
        <v>64</v>
      </c>
      <c r="C1620" s="101">
        <v>441370</v>
      </c>
      <c r="D1620" s="104">
        <v>1</v>
      </c>
      <c r="E1620" s="102">
        <v>0.05</v>
      </c>
      <c r="F1620" s="101">
        <f t="shared" ref="F1620:F1625" si="91">C1620*(D1620+(D1620*E1620))</f>
        <v>463438.5</v>
      </c>
      <c r="G1620" s="81"/>
      <c r="H1620" s="81"/>
      <c r="I1620" s="81"/>
      <c r="J1620" s="81"/>
      <c r="K1620" s="81"/>
      <c r="L1620" s="81"/>
      <c r="M1620" s="81"/>
      <c r="N1620" s="81"/>
    </row>
    <row r="1621" spans="1:14" ht="14.25" customHeight="1" x14ac:dyDescent="0.25">
      <c r="A1621" s="99"/>
      <c r="B1621" s="100"/>
      <c r="C1621" s="101"/>
      <c r="D1621" s="104"/>
      <c r="E1621" s="102"/>
      <c r="F1621" s="101">
        <f t="shared" si="91"/>
        <v>0</v>
      </c>
      <c r="G1621" s="81"/>
      <c r="H1621" s="81"/>
      <c r="I1621" s="81"/>
      <c r="J1621" s="81"/>
      <c r="K1621" s="81"/>
      <c r="L1621" s="81"/>
      <c r="M1621" s="81"/>
      <c r="N1621" s="81"/>
    </row>
    <row r="1622" spans="1:14" ht="14.25" customHeight="1" x14ac:dyDescent="0.25">
      <c r="A1622" s="99"/>
      <c r="B1622" s="100"/>
      <c r="C1622" s="101"/>
      <c r="D1622" s="104"/>
      <c r="E1622" s="102"/>
      <c r="F1622" s="101">
        <f t="shared" si="91"/>
        <v>0</v>
      </c>
      <c r="G1622" s="81"/>
      <c r="H1622" s="81"/>
      <c r="I1622" s="81"/>
      <c r="J1622" s="81"/>
      <c r="K1622" s="81"/>
      <c r="L1622" s="81"/>
      <c r="M1622" s="81"/>
      <c r="N1622" s="81"/>
    </row>
    <row r="1623" spans="1:14" ht="14.25" customHeight="1" x14ac:dyDescent="0.25">
      <c r="A1623" s="99"/>
      <c r="B1623" s="100"/>
      <c r="C1623" s="101"/>
      <c r="D1623" s="104"/>
      <c r="E1623" s="102"/>
      <c r="F1623" s="101">
        <f t="shared" si="91"/>
        <v>0</v>
      </c>
      <c r="G1623" s="81"/>
      <c r="H1623" s="81"/>
      <c r="I1623" s="81"/>
      <c r="J1623" s="81"/>
      <c r="K1623" s="81"/>
      <c r="L1623" s="81"/>
      <c r="M1623" s="81"/>
      <c r="N1623" s="81"/>
    </row>
    <row r="1624" spans="1:14" ht="14.25" customHeight="1" x14ac:dyDescent="0.25">
      <c r="A1624" s="99"/>
      <c r="B1624" s="100"/>
      <c r="C1624" s="101"/>
      <c r="D1624" s="104"/>
      <c r="E1624" s="102"/>
      <c r="F1624" s="101">
        <f t="shared" si="91"/>
        <v>0</v>
      </c>
      <c r="G1624" s="81"/>
      <c r="H1624" s="81"/>
      <c r="I1624" s="81"/>
      <c r="J1624" s="81"/>
      <c r="K1624" s="81"/>
      <c r="L1624" s="81"/>
      <c r="M1624" s="81"/>
      <c r="N1624" s="81"/>
    </row>
    <row r="1625" spans="1:14" ht="14.25" customHeight="1" x14ac:dyDescent="0.25">
      <c r="A1625" s="99"/>
      <c r="B1625" s="100"/>
      <c r="C1625" s="101"/>
      <c r="D1625" s="104"/>
      <c r="E1625" s="102"/>
      <c r="F1625" s="101">
        <f t="shared" si="91"/>
        <v>0</v>
      </c>
      <c r="G1625" s="81"/>
      <c r="H1625" s="81"/>
      <c r="I1625" s="81"/>
      <c r="J1625" s="81"/>
      <c r="K1625" s="81"/>
      <c r="L1625" s="81"/>
      <c r="M1625" s="81"/>
      <c r="N1625" s="81"/>
    </row>
    <row r="1626" spans="1:14" ht="14.25" customHeight="1" x14ac:dyDescent="0.25">
      <c r="A1626" s="99"/>
      <c r="B1626" s="100"/>
      <c r="C1626" s="106"/>
      <c r="D1626" s="107"/>
      <c r="E1626" s="108"/>
      <c r="F1626" s="106"/>
      <c r="G1626" s="81"/>
      <c r="H1626" s="81"/>
      <c r="I1626" s="81"/>
      <c r="J1626" s="81"/>
      <c r="K1626" s="81"/>
      <c r="L1626" s="81"/>
      <c r="M1626" s="81"/>
      <c r="N1626" s="81"/>
    </row>
    <row r="1627" spans="1:14" ht="14.25" customHeight="1" x14ac:dyDescent="0.25">
      <c r="A1627" s="97" t="s">
        <v>548</v>
      </c>
      <c r="B1627" s="97"/>
      <c r="C1627" s="109"/>
      <c r="D1627" s="110"/>
      <c r="E1627" s="111"/>
      <c r="F1627" s="112">
        <f>SUM(F1620:F1626)</f>
        <v>463438.5</v>
      </c>
      <c r="G1627" s="81"/>
      <c r="H1627" s="81"/>
      <c r="I1627" s="81"/>
      <c r="J1627" s="81"/>
      <c r="K1627" s="81"/>
      <c r="L1627" s="81"/>
      <c r="M1627" s="81"/>
      <c r="N1627" s="81"/>
    </row>
    <row r="1628" spans="1:14" ht="14.25" customHeight="1" x14ac:dyDescent="0.25">
      <c r="A1628" s="88"/>
      <c r="B1628" s="88"/>
      <c r="C1628" s="113"/>
      <c r="D1628" s="113"/>
      <c r="E1628" s="114"/>
      <c r="F1628" s="113"/>
      <c r="G1628" s="81"/>
      <c r="H1628" s="81"/>
      <c r="I1628" s="81"/>
      <c r="J1628" s="81"/>
      <c r="K1628" s="81"/>
      <c r="L1628" s="81"/>
      <c r="M1628" s="81"/>
      <c r="N1628" s="81"/>
    </row>
    <row r="1629" spans="1:14" ht="14.25" customHeight="1" x14ac:dyDescent="0.25">
      <c r="A1629" s="96" t="s">
        <v>573</v>
      </c>
      <c r="B1629" s="96"/>
      <c r="C1629" s="92"/>
      <c r="D1629" s="92"/>
      <c r="E1629" s="92"/>
      <c r="F1629" s="92"/>
      <c r="G1629" s="81"/>
      <c r="H1629" s="81"/>
      <c r="I1629" s="81"/>
      <c r="J1629" s="81"/>
      <c r="K1629" s="81"/>
      <c r="L1629" s="81"/>
      <c r="M1629" s="81"/>
      <c r="N1629" s="81"/>
    </row>
    <row r="1630" spans="1:14" ht="14.25" customHeight="1" x14ac:dyDescent="0.25">
      <c r="A1630" s="611" t="s">
        <v>563</v>
      </c>
      <c r="B1630" s="608"/>
      <c r="C1630" s="609"/>
      <c r="D1630" s="98" t="s">
        <v>574</v>
      </c>
      <c r="E1630" s="98" t="s">
        <v>575</v>
      </c>
      <c r="F1630" s="98" t="s">
        <v>568</v>
      </c>
      <c r="G1630" s="81"/>
      <c r="H1630" s="81"/>
      <c r="I1630" s="81"/>
      <c r="J1630" s="81"/>
      <c r="K1630" s="81"/>
      <c r="L1630" s="81"/>
      <c r="M1630" s="81"/>
      <c r="N1630" s="81"/>
    </row>
    <row r="1631" spans="1:14" ht="14.25" customHeight="1" x14ac:dyDescent="0.25">
      <c r="A1631" s="607" t="s">
        <v>577</v>
      </c>
      <c r="B1631" s="608"/>
      <c r="C1631" s="609"/>
      <c r="D1631" s="116"/>
      <c r="E1631" s="107"/>
      <c r="F1631" s="106">
        <v>2133</v>
      </c>
      <c r="G1631" s="81"/>
      <c r="H1631" s="81"/>
      <c r="I1631" s="81"/>
      <c r="J1631" s="81"/>
      <c r="K1631" s="81"/>
      <c r="L1631" s="81"/>
      <c r="M1631" s="81"/>
      <c r="N1631" s="81"/>
    </row>
    <row r="1632" spans="1:14" ht="14.25" customHeight="1" x14ac:dyDescent="0.25">
      <c r="A1632" s="607" t="s">
        <v>642</v>
      </c>
      <c r="B1632" s="608"/>
      <c r="C1632" s="609"/>
      <c r="D1632" s="142">
        <v>8750</v>
      </c>
      <c r="E1632" s="105">
        <v>0.7</v>
      </c>
      <c r="F1632" s="106">
        <f t="shared" ref="F1632:F1633" si="92">D1632/E1632</f>
        <v>12500</v>
      </c>
      <c r="G1632" s="81"/>
      <c r="H1632" s="81"/>
      <c r="I1632" s="81"/>
      <c r="J1632" s="81"/>
      <c r="K1632" s="81"/>
      <c r="L1632" s="81"/>
      <c r="M1632" s="81"/>
      <c r="N1632" s="81"/>
    </row>
    <row r="1633" spans="1:14" ht="14.25" customHeight="1" x14ac:dyDescent="0.25">
      <c r="A1633" s="607" t="s">
        <v>643</v>
      </c>
      <c r="B1633" s="608"/>
      <c r="C1633" s="609"/>
      <c r="D1633" s="142">
        <v>12350</v>
      </c>
      <c r="E1633" s="105">
        <v>5.8000000000000003E-2</v>
      </c>
      <c r="F1633" s="106">
        <f t="shared" si="92"/>
        <v>212931.03448275861</v>
      </c>
      <c r="G1633" s="81"/>
      <c r="H1633" s="81"/>
      <c r="I1633" s="81"/>
      <c r="J1633" s="81"/>
      <c r="K1633" s="81"/>
      <c r="L1633" s="81"/>
      <c r="M1633" s="81"/>
      <c r="N1633" s="81"/>
    </row>
    <row r="1634" spans="1:14" ht="14.25" customHeight="1" x14ac:dyDescent="0.25">
      <c r="A1634" s="607"/>
      <c r="B1634" s="608"/>
      <c r="C1634" s="609"/>
      <c r="D1634" s="142"/>
      <c r="E1634" s="107"/>
      <c r="F1634" s="106"/>
      <c r="G1634" s="81"/>
      <c r="H1634" s="81"/>
      <c r="I1634" s="81"/>
      <c r="J1634" s="81"/>
      <c r="K1634" s="81"/>
      <c r="L1634" s="81"/>
      <c r="M1634" s="81"/>
      <c r="N1634" s="81"/>
    </row>
    <row r="1635" spans="1:14" ht="14.25" customHeight="1" x14ac:dyDescent="0.25">
      <c r="A1635" s="610"/>
      <c r="B1635" s="608"/>
      <c r="C1635" s="609"/>
      <c r="D1635" s="115"/>
      <c r="E1635" s="107"/>
      <c r="F1635" s="106"/>
      <c r="G1635" s="81"/>
      <c r="H1635" s="81"/>
      <c r="I1635" s="81"/>
      <c r="J1635" s="81"/>
      <c r="K1635" s="81"/>
      <c r="L1635" s="81"/>
      <c r="M1635" s="81"/>
      <c r="N1635" s="81"/>
    </row>
    <row r="1636" spans="1:14" ht="14.25" customHeight="1" x14ac:dyDescent="0.25">
      <c r="A1636" s="611" t="s">
        <v>548</v>
      </c>
      <c r="B1636" s="608"/>
      <c r="C1636" s="609"/>
      <c r="D1636" s="110"/>
      <c r="E1636" s="110"/>
      <c r="F1636" s="112">
        <f>SUM(F1631:F1634)</f>
        <v>227564.03448275861</v>
      </c>
      <c r="G1636" s="81"/>
      <c r="H1636" s="81"/>
      <c r="I1636" s="81"/>
      <c r="J1636" s="81"/>
      <c r="K1636" s="81"/>
      <c r="L1636" s="81"/>
      <c r="M1636" s="81"/>
      <c r="N1636" s="81"/>
    </row>
    <row r="1637" spans="1:14" ht="14.25" customHeight="1" x14ac:dyDescent="0.25">
      <c r="A1637" s="88"/>
      <c r="B1637" s="88"/>
      <c r="C1637" s="89"/>
      <c r="D1637" s="113"/>
      <c r="E1637" s="113"/>
      <c r="F1637" s="113"/>
      <c r="G1637" s="81"/>
      <c r="H1637" s="81"/>
      <c r="I1637" s="81"/>
      <c r="J1637" s="81"/>
      <c r="K1637" s="81"/>
      <c r="L1637" s="81"/>
      <c r="M1637" s="81"/>
      <c r="N1637" s="81"/>
    </row>
    <row r="1638" spans="1:14" ht="14.25" customHeight="1" x14ac:dyDescent="0.25">
      <c r="A1638" s="96" t="s">
        <v>578</v>
      </c>
      <c r="B1638" s="96"/>
      <c r="C1638" s="92"/>
      <c r="D1638" s="118"/>
      <c r="E1638" s="118"/>
      <c r="F1638" s="118"/>
      <c r="G1638" s="81"/>
      <c r="H1638" s="81"/>
      <c r="I1638" s="81"/>
      <c r="J1638" s="81"/>
      <c r="K1638" s="81"/>
      <c r="L1638" s="81"/>
      <c r="M1638" s="81"/>
      <c r="N1638" s="81"/>
    </row>
    <row r="1639" spans="1:14" ht="14.25" customHeight="1" x14ac:dyDescent="0.25">
      <c r="A1639" s="119" t="s">
        <v>563</v>
      </c>
      <c r="B1639" s="120" t="s">
        <v>579</v>
      </c>
      <c r="C1639" s="120" t="s">
        <v>580</v>
      </c>
      <c r="D1639" s="121" t="s">
        <v>581</v>
      </c>
      <c r="E1639" s="121" t="s">
        <v>575</v>
      </c>
      <c r="F1639" s="121" t="s">
        <v>568</v>
      </c>
      <c r="G1639" s="81"/>
      <c r="H1639" s="81"/>
      <c r="I1639" s="81"/>
      <c r="J1639" s="81"/>
      <c r="K1639" s="81"/>
      <c r="L1639" s="81"/>
      <c r="M1639" s="81"/>
      <c r="N1639" s="81"/>
    </row>
    <row r="1640" spans="1:14" ht="14.25" customHeight="1" x14ac:dyDescent="0.25">
      <c r="A1640" s="122" t="s">
        <v>593</v>
      </c>
      <c r="B1640" s="127">
        <v>5</v>
      </c>
      <c r="C1640" s="101">
        <v>32688</v>
      </c>
      <c r="D1640" s="101">
        <f t="shared" ref="D1640:D1641" si="93">+C1640*1.7</f>
        <v>55569.599999999999</v>
      </c>
      <c r="E1640" s="107">
        <v>5</v>
      </c>
      <c r="F1640" s="106">
        <f t="shared" ref="F1640:F1641" si="94">+B1640*(D1640)/E1640</f>
        <v>55569.599999999999</v>
      </c>
      <c r="G1640" s="81"/>
      <c r="H1640" s="81"/>
      <c r="I1640" s="81"/>
      <c r="J1640" s="81"/>
      <c r="K1640" s="81"/>
      <c r="L1640" s="81"/>
      <c r="M1640" s="81"/>
      <c r="N1640" s="81"/>
    </row>
    <row r="1641" spans="1:14" ht="14.25" customHeight="1" x14ac:dyDescent="0.25">
      <c r="A1641" s="122" t="s">
        <v>594</v>
      </c>
      <c r="B1641" s="127">
        <v>3</v>
      </c>
      <c r="C1641" s="101">
        <v>52538</v>
      </c>
      <c r="D1641" s="101">
        <f t="shared" si="93"/>
        <v>89314.599999999991</v>
      </c>
      <c r="E1641" s="107">
        <f>E1640</f>
        <v>5</v>
      </c>
      <c r="F1641" s="106">
        <f t="shared" si="94"/>
        <v>53588.759999999995</v>
      </c>
      <c r="G1641" s="81"/>
      <c r="H1641" s="81"/>
      <c r="I1641" s="81"/>
      <c r="J1641" s="81"/>
      <c r="K1641" s="81"/>
      <c r="L1641" s="81"/>
      <c r="M1641" s="81"/>
      <c r="N1641" s="81"/>
    </row>
    <row r="1642" spans="1:14" ht="14.25" customHeight="1" x14ac:dyDescent="0.25">
      <c r="A1642" s="122"/>
      <c r="B1642" s="127"/>
      <c r="C1642" s="101"/>
      <c r="D1642" s="101"/>
      <c r="E1642" s="105"/>
      <c r="F1642" s="106"/>
      <c r="G1642" s="81"/>
      <c r="H1642" s="81"/>
      <c r="I1642" s="81"/>
      <c r="J1642" s="81"/>
      <c r="K1642" s="81"/>
      <c r="L1642" s="81"/>
      <c r="M1642" s="81"/>
      <c r="N1642" s="81"/>
    </row>
    <row r="1643" spans="1:14" ht="14.25" customHeight="1" x14ac:dyDescent="0.25">
      <c r="A1643" s="122"/>
      <c r="B1643" s="127"/>
      <c r="C1643" s="101"/>
      <c r="D1643" s="101"/>
      <c r="E1643" s="125"/>
      <c r="F1643" s="106"/>
      <c r="G1643" s="81"/>
      <c r="H1643" s="81"/>
      <c r="I1643" s="81"/>
      <c r="J1643" s="81"/>
      <c r="K1643" s="81"/>
      <c r="L1643" s="81"/>
      <c r="M1643" s="81"/>
      <c r="N1643" s="81"/>
    </row>
    <row r="1644" spans="1:14" ht="14.25" customHeight="1" x14ac:dyDescent="0.25">
      <c r="A1644" s="97" t="s">
        <v>548</v>
      </c>
      <c r="B1644" s="128"/>
      <c r="C1644" s="110"/>
      <c r="D1644" s="110"/>
      <c r="E1644" s="110"/>
      <c r="F1644" s="112">
        <f>SUM(F1640:F1643)</f>
        <v>109158.35999999999</v>
      </c>
      <c r="G1644" s="81"/>
      <c r="H1644" s="81"/>
      <c r="I1644" s="81"/>
      <c r="J1644" s="81"/>
      <c r="K1644" s="81"/>
      <c r="L1644" s="81"/>
      <c r="M1644" s="81"/>
      <c r="N1644" s="81"/>
    </row>
    <row r="1645" spans="1:14" ht="14.25" customHeight="1" x14ac:dyDescent="0.25">
      <c r="A1645" s="96"/>
      <c r="B1645" s="129"/>
      <c r="C1645" s="118"/>
      <c r="D1645" s="118"/>
      <c r="E1645" s="118"/>
      <c r="F1645" s="118"/>
      <c r="G1645" s="81"/>
      <c r="H1645" s="81"/>
      <c r="I1645" s="81"/>
      <c r="J1645" s="81"/>
      <c r="K1645" s="81"/>
      <c r="L1645" s="81"/>
      <c r="M1645" s="81"/>
      <c r="N1645" s="81"/>
    </row>
    <row r="1646" spans="1:14" ht="14.25" customHeight="1" x14ac:dyDescent="0.25">
      <c r="A1646" s="95" t="s">
        <v>583</v>
      </c>
      <c r="B1646" s="96"/>
      <c r="C1646" s="92"/>
      <c r="D1646" s="92"/>
      <c r="E1646" s="92" t="s">
        <v>584</v>
      </c>
      <c r="F1646" s="92"/>
      <c r="G1646" s="81"/>
      <c r="H1646" s="81"/>
      <c r="I1646" s="81"/>
      <c r="J1646" s="81"/>
      <c r="K1646" s="81"/>
      <c r="L1646" s="81"/>
      <c r="M1646" s="81"/>
      <c r="N1646" s="81"/>
    </row>
    <row r="1647" spans="1:14" ht="14.25" customHeight="1" x14ac:dyDescent="0.25">
      <c r="A1647" s="97" t="s">
        <v>563</v>
      </c>
      <c r="B1647" s="98" t="s">
        <v>564</v>
      </c>
      <c r="C1647" s="98" t="s">
        <v>585</v>
      </c>
      <c r="D1647" s="98" t="s">
        <v>586</v>
      </c>
      <c r="E1647" s="120" t="s">
        <v>587</v>
      </c>
      <c r="F1647" s="98" t="s">
        <v>568</v>
      </c>
      <c r="G1647" s="81"/>
      <c r="H1647" s="81"/>
      <c r="I1647" s="81"/>
      <c r="J1647" s="81"/>
      <c r="K1647" s="81"/>
      <c r="L1647" s="81"/>
      <c r="M1647" s="81"/>
      <c r="N1647" s="81"/>
    </row>
    <row r="1648" spans="1:14" ht="14.25" customHeight="1" x14ac:dyDescent="0.25">
      <c r="A1648" s="103"/>
      <c r="B1648" s="100"/>
      <c r="C1648" s="101"/>
      <c r="D1648" s="140"/>
      <c r="E1648" s="107"/>
      <c r="F1648" s="109"/>
      <c r="G1648" s="81"/>
      <c r="H1648" s="81"/>
      <c r="I1648" s="81"/>
      <c r="J1648" s="81"/>
      <c r="K1648" s="81"/>
      <c r="L1648" s="81"/>
      <c r="M1648" s="81"/>
      <c r="N1648" s="81"/>
    </row>
    <row r="1649" spans="1:14" ht="14.25" customHeight="1" x14ac:dyDescent="0.25">
      <c r="A1649" s="103"/>
      <c r="B1649" s="100"/>
      <c r="C1649" s="107"/>
      <c r="D1649" s="107"/>
      <c r="E1649" s="108"/>
      <c r="F1649" s="109"/>
      <c r="G1649" s="81"/>
      <c r="H1649" s="81"/>
      <c r="I1649" s="81"/>
      <c r="J1649" s="81"/>
      <c r="K1649" s="81"/>
      <c r="L1649" s="81"/>
      <c r="M1649" s="81"/>
      <c r="N1649" s="81"/>
    </row>
    <row r="1650" spans="1:14" ht="14.25" customHeight="1" x14ac:dyDescent="0.25">
      <c r="A1650" s="97" t="s">
        <v>548</v>
      </c>
      <c r="B1650" s="98"/>
      <c r="C1650" s="110"/>
      <c r="D1650" s="110"/>
      <c r="E1650" s="111"/>
      <c r="F1650" s="112">
        <f>SUM(F1648:F1649)</f>
        <v>0</v>
      </c>
      <c r="G1650" s="81"/>
      <c r="H1650" s="81"/>
      <c r="I1650" s="81"/>
      <c r="J1650" s="81"/>
      <c r="K1650" s="81"/>
      <c r="L1650" s="81"/>
      <c r="M1650" s="81"/>
      <c r="N1650" s="81"/>
    </row>
    <row r="1651" spans="1:14" ht="14.25" customHeight="1" x14ac:dyDescent="0.25">
      <c r="A1651" s="88"/>
      <c r="B1651" s="89"/>
      <c r="C1651" s="113"/>
      <c r="D1651" s="113"/>
      <c r="E1651" s="114"/>
      <c r="F1651" s="113"/>
      <c r="G1651" s="81"/>
      <c r="H1651" s="81"/>
      <c r="I1651" s="81"/>
      <c r="J1651" s="81"/>
      <c r="K1651" s="81"/>
      <c r="L1651" s="81"/>
      <c r="M1651" s="81"/>
      <c r="N1651" s="81"/>
    </row>
    <row r="1652" spans="1:14" ht="14.25" customHeight="1" x14ac:dyDescent="0.25">
      <c r="A1652" s="88"/>
      <c r="B1652" s="89"/>
      <c r="C1652" s="113"/>
      <c r="D1652" s="113"/>
      <c r="E1652" s="114"/>
      <c r="F1652" s="113"/>
      <c r="G1652" s="81"/>
      <c r="H1652" s="81"/>
      <c r="I1652" s="81"/>
      <c r="J1652" s="81"/>
      <c r="K1652" s="81"/>
      <c r="L1652" s="81"/>
      <c r="M1652" s="81"/>
      <c r="N1652" s="81"/>
    </row>
    <row r="1653" spans="1:14" ht="14.25" customHeight="1" x14ac:dyDescent="0.25">
      <c r="A1653" s="612" t="s">
        <v>588</v>
      </c>
      <c r="B1653" s="608"/>
      <c r="C1653" s="608"/>
      <c r="D1653" s="608"/>
      <c r="E1653" s="609"/>
      <c r="F1653" s="131">
        <f>ROUND(F1627+F1636+F1644+F1650,0)</f>
        <v>800161</v>
      </c>
      <c r="G1653" s="81"/>
      <c r="H1653" s="167">
        <f>800161-F1653</f>
        <v>0</v>
      </c>
      <c r="I1653" s="81"/>
      <c r="J1653" s="81"/>
      <c r="K1653" s="81"/>
      <c r="L1653" s="81"/>
      <c r="M1653" s="81"/>
      <c r="N1653" s="81"/>
    </row>
    <row r="1654" spans="1:14" ht="14.25" customHeight="1" x14ac:dyDescent="0.25">
      <c r="A1654" s="612" t="s">
        <v>589</v>
      </c>
      <c r="B1654" s="608"/>
      <c r="C1654" s="608"/>
      <c r="D1654" s="608"/>
      <c r="E1654" s="609"/>
      <c r="F1654" s="132"/>
      <c r="G1654" s="81"/>
      <c r="H1654" s="81"/>
      <c r="I1654" s="81"/>
      <c r="J1654" s="81"/>
      <c r="K1654" s="81"/>
      <c r="L1654" s="81"/>
      <c r="M1654" s="81"/>
      <c r="N1654" s="81"/>
    </row>
    <row r="1655" spans="1:14" ht="14.25" customHeight="1" x14ac:dyDescent="0.25">
      <c r="A1655" s="146" t="s">
        <v>556</v>
      </c>
      <c r="B1655" s="147"/>
      <c r="C1655" s="147"/>
      <c r="D1655" s="147"/>
      <c r="E1655" s="148"/>
      <c r="F1655" s="133"/>
      <c r="G1655" s="81"/>
      <c r="H1655" s="81"/>
      <c r="I1655" s="81"/>
      <c r="J1655" s="81"/>
      <c r="K1655" s="81"/>
      <c r="L1655" s="81"/>
      <c r="M1655" s="81"/>
      <c r="N1655" s="81"/>
    </row>
    <row r="1656" spans="1:14" ht="14.25" customHeight="1" x14ac:dyDescent="0.25">
      <c r="A1656" s="134"/>
      <c r="B1656" s="135"/>
      <c r="C1656" s="135"/>
      <c r="D1656" s="135"/>
      <c r="E1656" s="135"/>
      <c r="F1656" s="136"/>
      <c r="G1656" s="81"/>
      <c r="H1656" s="81"/>
      <c r="I1656" s="81"/>
      <c r="J1656" s="81"/>
      <c r="K1656" s="81"/>
      <c r="L1656" s="81"/>
      <c r="M1656" s="81"/>
      <c r="N1656" s="81"/>
    </row>
    <row r="1657" spans="1:14" ht="14.25" customHeight="1" x14ac:dyDescent="0.25">
      <c r="A1657" s="81"/>
      <c r="B1657" s="81"/>
      <c r="C1657" s="137"/>
      <c r="D1657" s="81"/>
      <c r="E1657" s="81"/>
      <c r="F1657" s="81"/>
      <c r="G1657" s="81"/>
      <c r="H1657" s="81"/>
      <c r="I1657" s="81"/>
      <c r="J1657" s="81"/>
      <c r="K1657" s="81"/>
      <c r="L1657" s="81"/>
      <c r="M1657" s="81"/>
      <c r="N1657" s="81"/>
    </row>
    <row r="1658" spans="1:14" ht="14.25" customHeight="1" x14ac:dyDescent="0.25">
      <c r="A1658" s="81"/>
      <c r="B1658" s="81"/>
      <c r="C1658" s="137"/>
      <c r="D1658" s="81"/>
      <c r="E1658" s="81"/>
      <c r="F1658" s="81"/>
      <c r="G1658" s="81"/>
      <c r="H1658" s="81"/>
      <c r="I1658" s="81"/>
      <c r="J1658" s="81"/>
      <c r="K1658" s="81"/>
      <c r="L1658" s="81"/>
      <c r="M1658" s="81"/>
      <c r="N1658" s="81"/>
    </row>
    <row r="1659" spans="1:14" ht="14.25" customHeight="1" x14ac:dyDescent="0.25">
      <c r="A1659" s="81"/>
      <c r="B1659" s="81"/>
      <c r="C1659" s="137"/>
      <c r="D1659" s="81"/>
      <c r="E1659" s="81"/>
      <c r="F1659" s="81"/>
      <c r="G1659" s="81"/>
      <c r="H1659" s="81"/>
      <c r="I1659" s="81"/>
      <c r="J1659" s="81"/>
      <c r="K1659" s="81"/>
      <c r="L1659" s="81"/>
      <c r="M1659" s="81"/>
      <c r="N1659" s="81"/>
    </row>
    <row r="1660" spans="1:14" ht="14.25" customHeight="1" x14ac:dyDescent="0.25">
      <c r="A1660" s="81"/>
      <c r="B1660" s="81"/>
      <c r="C1660" s="137"/>
      <c r="D1660" s="81"/>
      <c r="E1660" s="81"/>
      <c r="F1660" s="81"/>
      <c r="G1660" s="81"/>
      <c r="H1660" s="81"/>
      <c r="I1660" s="81"/>
      <c r="J1660" s="81"/>
      <c r="K1660" s="81"/>
      <c r="L1660" s="81"/>
      <c r="M1660" s="81"/>
      <c r="N1660" s="81"/>
    </row>
    <row r="1661" spans="1:14" ht="14.25" customHeight="1" x14ac:dyDescent="0.25">
      <c r="A1661" s="81"/>
      <c r="B1661" s="81"/>
      <c r="C1661" s="137"/>
      <c r="D1661" s="81"/>
      <c r="E1661" s="81"/>
      <c r="F1661" s="81"/>
      <c r="G1661" s="81"/>
      <c r="H1661" s="81"/>
      <c r="I1661" s="81"/>
      <c r="J1661" s="81"/>
      <c r="K1661" s="81"/>
      <c r="L1661" s="81"/>
      <c r="M1661" s="81"/>
      <c r="N1661" s="81"/>
    </row>
    <row r="1662" spans="1:14" ht="14.25" customHeight="1" x14ac:dyDescent="0.25">
      <c r="A1662" s="81"/>
      <c r="B1662" s="81"/>
      <c r="C1662" s="137"/>
      <c r="D1662" s="81"/>
      <c r="E1662" s="81"/>
      <c r="F1662" s="81"/>
      <c r="G1662" s="81"/>
      <c r="H1662" s="81"/>
      <c r="I1662" s="81"/>
      <c r="J1662" s="81"/>
      <c r="K1662" s="81"/>
      <c r="L1662" s="81"/>
      <c r="M1662" s="81"/>
      <c r="N1662" s="81"/>
    </row>
    <row r="1663" spans="1:14" ht="14.25" customHeight="1" x14ac:dyDescent="0.25">
      <c r="A1663" s="134"/>
      <c r="B1663" s="135"/>
      <c r="C1663" s="135"/>
      <c r="D1663" s="135"/>
      <c r="E1663" s="135"/>
      <c r="F1663" s="136"/>
      <c r="G1663" s="81"/>
      <c r="H1663" s="81"/>
      <c r="I1663" s="81"/>
      <c r="J1663" s="81"/>
      <c r="K1663" s="81"/>
      <c r="L1663" s="81"/>
      <c r="M1663" s="81"/>
      <c r="N1663" s="81"/>
    </row>
    <row r="1664" spans="1:14" ht="14.25" customHeight="1" x14ac:dyDescent="0.25">
      <c r="A1664" s="134"/>
      <c r="B1664" s="135"/>
      <c r="C1664" s="135"/>
      <c r="D1664" s="135"/>
      <c r="E1664" s="135"/>
      <c r="F1664" s="136"/>
      <c r="G1664" s="81"/>
      <c r="H1664" s="81"/>
      <c r="I1664" s="81"/>
      <c r="J1664" s="81"/>
      <c r="K1664" s="81"/>
      <c r="L1664" s="81"/>
      <c r="M1664" s="81"/>
      <c r="N1664" s="81"/>
    </row>
    <row r="1665" spans="1:14" ht="14.25" customHeight="1" x14ac:dyDescent="0.25">
      <c r="A1665" s="134"/>
      <c r="B1665" s="135"/>
      <c r="C1665" s="135"/>
      <c r="D1665" s="135"/>
      <c r="E1665" s="135"/>
      <c r="F1665" s="136"/>
      <c r="G1665" s="81"/>
      <c r="H1665" s="81"/>
      <c r="I1665" s="81"/>
      <c r="J1665" s="81"/>
      <c r="K1665" s="81"/>
      <c r="L1665" s="81"/>
      <c r="M1665" s="81"/>
      <c r="N1665" s="81"/>
    </row>
    <row r="1666" spans="1:14" ht="14.25" customHeight="1" thickBot="1" x14ac:dyDescent="0.3">
      <c r="A1666" s="81"/>
      <c r="B1666" s="81"/>
      <c r="C1666" s="81"/>
      <c r="D1666" s="81"/>
      <c r="E1666" s="81"/>
      <c r="F1666" s="81"/>
      <c r="G1666" s="81"/>
      <c r="H1666" s="81"/>
      <c r="I1666" s="81"/>
      <c r="J1666" s="81"/>
      <c r="K1666" s="81"/>
      <c r="L1666" s="81"/>
      <c r="M1666" s="81"/>
      <c r="N1666" s="81"/>
    </row>
    <row r="1667" spans="1:14" ht="14.25" customHeight="1" x14ac:dyDescent="0.25">
      <c r="A1667" s="83"/>
      <c r="B1667" s="84"/>
      <c r="C1667" s="85"/>
      <c r="D1667" s="86"/>
      <c r="E1667" s="86"/>
      <c r="F1667" s="87"/>
      <c r="G1667" s="81"/>
      <c r="H1667" s="81"/>
      <c r="I1667" s="81"/>
      <c r="J1667" s="81"/>
      <c r="K1667" s="81"/>
      <c r="L1667" s="81"/>
      <c r="M1667" s="81"/>
      <c r="N1667" s="81"/>
    </row>
    <row r="1668" spans="1:14" ht="14.25" customHeight="1" x14ac:dyDescent="0.25">
      <c r="A1668" s="599"/>
      <c r="B1668" s="600"/>
      <c r="C1668" s="600"/>
      <c r="D1668" s="600"/>
      <c r="E1668" s="600"/>
      <c r="F1668" s="601"/>
      <c r="G1668" s="81"/>
      <c r="H1668" s="81"/>
      <c r="I1668" s="81"/>
      <c r="J1668" s="81"/>
      <c r="K1668" s="81"/>
      <c r="L1668" s="81"/>
      <c r="M1668" s="81"/>
      <c r="N1668" s="81"/>
    </row>
    <row r="1669" spans="1:14" ht="14.25" customHeight="1" x14ac:dyDescent="0.25">
      <c r="A1669" s="602" t="s">
        <v>561</v>
      </c>
      <c r="B1669" s="600"/>
      <c r="C1669" s="600"/>
      <c r="D1669" s="600"/>
      <c r="E1669" s="600"/>
      <c r="F1669" s="601"/>
      <c r="G1669" s="81"/>
      <c r="H1669" s="81"/>
      <c r="I1669" s="81"/>
      <c r="J1669" s="81"/>
      <c r="K1669" s="81"/>
      <c r="L1669" s="81"/>
      <c r="M1669" s="81"/>
      <c r="N1669" s="81"/>
    </row>
    <row r="1670" spans="1:14" ht="14.25" customHeight="1" thickBot="1" x14ac:dyDescent="0.3">
      <c r="A1670" s="603"/>
      <c r="B1670" s="604"/>
      <c r="C1670" s="604"/>
      <c r="D1670" s="604"/>
      <c r="E1670" s="604"/>
      <c r="F1670" s="605"/>
      <c r="G1670" s="81"/>
      <c r="H1670" s="81"/>
      <c r="I1670" s="81"/>
      <c r="J1670" s="81"/>
      <c r="K1670" s="81"/>
      <c r="L1670" s="81"/>
      <c r="M1670" s="81"/>
      <c r="N1670" s="81"/>
    </row>
    <row r="1671" spans="1:14" ht="14.25" customHeight="1" x14ac:dyDescent="0.25">
      <c r="A1671" s="88"/>
      <c r="B1671" s="88"/>
      <c r="C1671" s="89"/>
      <c r="D1671" s="89"/>
      <c r="E1671" s="89"/>
      <c r="F1671" s="89"/>
      <c r="G1671" s="81"/>
      <c r="H1671" s="81"/>
      <c r="I1671" s="81"/>
      <c r="J1671" s="81"/>
      <c r="K1671" s="81"/>
      <c r="L1671" s="81"/>
      <c r="M1671" s="81"/>
      <c r="N1671" s="81"/>
    </row>
    <row r="1672" spans="1:14" ht="28.5" customHeight="1" x14ac:dyDescent="0.25">
      <c r="A1672" s="90" t="s">
        <v>47</v>
      </c>
      <c r="B1672" s="613" t="s">
        <v>1046</v>
      </c>
      <c r="C1672" s="600"/>
      <c r="D1672" s="600"/>
      <c r="E1672" s="600"/>
      <c r="F1672" s="600"/>
      <c r="G1672" s="81"/>
      <c r="H1672" s="81"/>
      <c r="I1672" s="81"/>
      <c r="J1672" s="81"/>
      <c r="K1672" s="81"/>
      <c r="L1672" s="81"/>
      <c r="M1672" s="81"/>
      <c r="N1672" s="81"/>
    </row>
    <row r="1673" spans="1:14" ht="14.25" customHeight="1" x14ac:dyDescent="0.25">
      <c r="A1673" s="91"/>
      <c r="B1673" s="91"/>
      <c r="C1673" s="91"/>
      <c r="D1673" s="91"/>
      <c r="E1673" s="91"/>
      <c r="F1673" s="91"/>
      <c r="G1673" s="81"/>
      <c r="H1673" s="81"/>
      <c r="I1673" s="81"/>
      <c r="J1673" s="81"/>
      <c r="K1673" s="81"/>
      <c r="L1673" s="81"/>
      <c r="M1673" s="81"/>
      <c r="N1673" s="81"/>
    </row>
    <row r="1674" spans="1:14" ht="14.25" customHeight="1" x14ac:dyDescent="0.25">
      <c r="A1674" s="88" t="s">
        <v>49</v>
      </c>
      <c r="B1674" s="92" t="s">
        <v>59</v>
      </c>
      <c r="C1674" s="89"/>
      <c r="D1674" s="89"/>
      <c r="E1674" s="89"/>
      <c r="F1674" s="93"/>
      <c r="G1674" s="81"/>
      <c r="H1674" s="81"/>
      <c r="I1674" s="81"/>
      <c r="J1674" s="81"/>
      <c r="K1674" s="81"/>
      <c r="L1674" s="81"/>
      <c r="M1674" s="81"/>
      <c r="N1674" s="81"/>
    </row>
    <row r="1675" spans="1:14" ht="14.25" customHeight="1" x14ac:dyDescent="0.25">
      <c r="A1675" s="88"/>
      <c r="B1675" s="94"/>
      <c r="C1675" s="89"/>
      <c r="D1675" s="89"/>
      <c r="E1675" s="89"/>
      <c r="F1675" s="93"/>
      <c r="G1675" s="81"/>
      <c r="H1675" s="81"/>
      <c r="I1675" s="81"/>
      <c r="J1675" s="81"/>
      <c r="K1675" s="81"/>
      <c r="L1675" s="81"/>
      <c r="M1675" s="81"/>
      <c r="N1675" s="81"/>
    </row>
    <row r="1676" spans="1:14" ht="14.25" customHeight="1" x14ac:dyDescent="0.25">
      <c r="A1676" s="95" t="s">
        <v>562</v>
      </c>
      <c r="B1676" s="96"/>
      <c r="C1676" s="92"/>
      <c r="D1676" s="92"/>
      <c r="E1676" s="92"/>
      <c r="F1676" s="92"/>
      <c r="G1676" s="81"/>
      <c r="H1676" s="81"/>
      <c r="I1676" s="81"/>
      <c r="J1676" s="81"/>
      <c r="K1676" s="81"/>
      <c r="L1676" s="81"/>
      <c r="M1676" s="81"/>
      <c r="N1676" s="81"/>
    </row>
    <row r="1677" spans="1:14" ht="14.25" customHeight="1" x14ac:dyDescent="0.25">
      <c r="A1677" s="97" t="s">
        <v>563</v>
      </c>
      <c r="B1677" s="98" t="s">
        <v>564</v>
      </c>
      <c r="C1677" s="98" t="s">
        <v>565</v>
      </c>
      <c r="D1677" s="98" t="s">
        <v>566</v>
      </c>
      <c r="E1677" s="98" t="s">
        <v>567</v>
      </c>
      <c r="F1677" s="98" t="s">
        <v>568</v>
      </c>
      <c r="G1677" s="81"/>
      <c r="H1677" s="81"/>
      <c r="I1677" s="81"/>
      <c r="J1677" s="81"/>
      <c r="K1677" s="81"/>
      <c r="L1677" s="81"/>
      <c r="M1677" s="81"/>
      <c r="N1677" s="81"/>
    </row>
    <row r="1678" spans="1:14" ht="25.5" x14ac:dyDescent="0.25">
      <c r="A1678" s="99" t="s">
        <v>644</v>
      </c>
      <c r="B1678" s="100" t="s">
        <v>64</v>
      </c>
      <c r="C1678" s="101">
        <v>408050</v>
      </c>
      <c r="D1678" s="104">
        <f>0.15*0.2</f>
        <v>0.03</v>
      </c>
      <c r="E1678" s="102">
        <v>0.05</v>
      </c>
      <c r="F1678" s="101">
        <f t="shared" ref="F1678:F1683" si="95">C1678*(D1678+(D1678*E1678))</f>
        <v>12853.575000000001</v>
      </c>
      <c r="G1678" s="81"/>
      <c r="H1678" s="81"/>
      <c r="I1678" s="81"/>
      <c r="J1678" s="81"/>
      <c r="K1678" s="81"/>
      <c r="L1678" s="81"/>
      <c r="M1678" s="81"/>
      <c r="N1678" s="81"/>
    </row>
    <row r="1679" spans="1:14" ht="14.25" customHeight="1" x14ac:dyDescent="0.25">
      <c r="A1679" s="99"/>
      <c r="B1679" s="100"/>
      <c r="C1679" s="101"/>
      <c r="D1679" s="104"/>
      <c r="E1679" s="102"/>
      <c r="F1679" s="101"/>
      <c r="G1679" s="81"/>
      <c r="H1679" s="81"/>
      <c r="I1679" s="81"/>
      <c r="J1679" s="81"/>
      <c r="K1679" s="81"/>
      <c r="L1679" s="81"/>
      <c r="M1679" s="81"/>
      <c r="N1679" s="81"/>
    </row>
    <row r="1680" spans="1:14" ht="14.25" customHeight="1" x14ac:dyDescent="0.25">
      <c r="A1680" s="99"/>
      <c r="B1680" s="100"/>
      <c r="C1680" s="101"/>
      <c r="D1680" s="104"/>
      <c r="E1680" s="102"/>
      <c r="F1680" s="101"/>
      <c r="G1680" s="81"/>
      <c r="H1680" s="81"/>
      <c r="I1680" s="81"/>
      <c r="J1680" s="81"/>
      <c r="K1680" s="81"/>
      <c r="L1680" s="81"/>
      <c r="M1680" s="81"/>
      <c r="N1680" s="81"/>
    </row>
    <row r="1681" spans="1:14" ht="14.25" customHeight="1" x14ac:dyDescent="0.25">
      <c r="A1681" s="99"/>
      <c r="B1681" s="100"/>
      <c r="C1681" s="101"/>
      <c r="D1681" s="104"/>
      <c r="E1681" s="102"/>
      <c r="F1681" s="101">
        <f t="shared" si="95"/>
        <v>0</v>
      </c>
      <c r="G1681" s="81"/>
      <c r="H1681" s="81"/>
      <c r="I1681" s="81"/>
      <c r="J1681" s="81"/>
      <c r="K1681" s="81"/>
      <c r="L1681" s="81"/>
      <c r="M1681" s="81"/>
      <c r="N1681" s="81"/>
    </row>
    <row r="1682" spans="1:14" ht="14.25" customHeight="1" x14ac:dyDescent="0.25">
      <c r="A1682" s="99"/>
      <c r="B1682" s="100"/>
      <c r="C1682" s="101"/>
      <c r="D1682" s="104"/>
      <c r="E1682" s="102"/>
      <c r="F1682" s="101">
        <f t="shared" si="95"/>
        <v>0</v>
      </c>
      <c r="G1682" s="81"/>
      <c r="H1682" s="81"/>
      <c r="I1682" s="81"/>
      <c r="J1682" s="81"/>
      <c r="K1682" s="81"/>
      <c r="L1682" s="81"/>
      <c r="M1682" s="81"/>
      <c r="N1682" s="81"/>
    </row>
    <row r="1683" spans="1:14" ht="14.25" customHeight="1" x14ac:dyDescent="0.25">
      <c r="A1683" s="99"/>
      <c r="B1683" s="100"/>
      <c r="C1683" s="101"/>
      <c r="D1683" s="104"/>
      <c r="E1683" s="102"/>
      <c r="F1683" s="101">
        <f t="shared" si="95"/>
        <v>0</v>
      </c>
      <c r="G1683" s="81"/>
      <c r="H1683" s="81"/>
      <c r="I1683" s="81"/>
      <c r="J1683" s="81"/>
      <c r="K1683" s="81"/>
      <c r="L1683" s="81"/>
      <c r="M1683" s="81"/>
      <c r="N1683" s="81"/>
    </row>
    <row r="1684" spans="1:14" ht="14.25" customHeight="1" x14ac:dyDescent="0.25">
      <c r="A1684" s="99"/>
      <c r="B1684" s="100"/>
      <c r="C1684" s="106"/>
      <c r="D1684" s="107"/>
      <c r="E1684" s="108"/>
      <c r="F1684" s="106"/>
      <c r="G1684" s="81"/>
      <c r="H1684" s="81"/>
      <c r="I1684" s="81"/>
      <c r="J1684" s="81"/>
      <c r="K1684" s="81"/>
      <c r="L1684" s="81"/>
      <c r="M1684" s="81"/>
      <c r="N1684" s="81"/>
    </row>
    <row r="1685" spans="1:14" ht="14.25" customHeight="1" x14ac:dyDescent="0.25">
      <c r="A1685" s="97" t="s">
        <v>548</v>
      </c>
      <c r="B1685" s="97"/>
      <c r="C1685" s="109"/>
      <c r="D1685" s="110"/>
      <c r="E1685" s="111"/>
      <c r="F1685" s="112">
        <f>SUM(F1678:F1684)</f>
        <v>12853.575000000001</v>
      </c>
      <c r="G1685" s="81"/>
      <c r="H1685" s="81"/>
      <c r="I1685" s="81"/>
      <c r="J1685" s="81"/>
      <c r="K1685" s="81"/>
      <c r="L1685" s="81"/>
      <c r="M1685" s="81"/>
      <c r="N1685" s="81"/>
    </row>
    <row r="1686" spans="1:14" ht="14.25" customHeight="1" x14ac:dyDescent="0.25">
      <c r="A1686" s="88"/>
      <c r="B1686" s="88"/>
      <c r="C1686" s="113"/>
      <c r="D1686" s="113"/>
      <c r="E1686" s="114"/>
      <c r="F1686" s="113"/>
      <c r="G1686" s="81"/>
      <c r="H1686" s="81"/>
      <c r="I1686" s="81"/>
      <c r="J1686" s="81"/>
      <c r="K1686" s="81"/>
      <c r="L1686" s="81"/>
      <c r="M1686" s="81"/>
      <c r="N1686" s="81"/>
    </row>
    <row r="1687" spans="1:14" ht="14.25" customHeight="1" x14ac:dyDescent="0.25">
      <c r="A1687" s="96" t="s">
        <v>573</v>
      </c>
      <c r="B1687" s="96"/>
      <c r="C1687" s="92"/>
      <c r="D1687" s="92"/>
      <c r="E1687" s="92"/>
      <c r="F1687" s="92"/>
      <c r="G1687" s="81"/>
      <c r="H1687" s="81"/>
      <c r="I1687" s="81"/>
      <c r="J1687" s="81"/>
      <c r="K1687" s="81"/>
      <c r="L1687" s="81"/>
      <c r="M1687" s="81"/>
      <c r="N1687" s="81"/>
    </row>
    <row r="1688" spans="1:14" ht="14.25" customHeight="1" x14ac:dyDescent="0.25">
      <c r="A1688" s="611" t="s">
        <v>563</v>
      </c>
      <c r="B1688" s="608"/>
      <c r="C1688" s="609"/>
      <c r="D1688" s="98" t="s">
        <v>574</v>
      </c>
      <c r="E1688" s="98" t="s">
        <v>575</v>
      </c>
      <c r="F1688" s="98" t="s">
        <v>568</v>
      </c>
      <c r="G1688" s="81"/>
      <c r="H1688" s="81"/>
      <c r="I1688" s="81"/>
      <c r="J1688" s="81"/>
      <c r="K1688" s="81"/>
      <c r="L1688" s="81"/>
      <c r="M1688" s="81"/>
      <c r="N1688" s="81"/>
    </row>
    <row r="1689" spans="1:14" ht="14.25" customHeight="1" x14ac:dyDescent="0.25">
      <c r="A1689" s="607" t="s">
        <v>577</v>
      </c>
      <c r="B1689" s="608"/>
      <c r="C1689" s="609"/>
      <c r="D1689" s="116"/>
      <c r="E1689" s="107"/>
      <c r="F1689" s="106">
        <v>1080</v>
      </c>
      <c r="G1689" s="81"/>
      <c r="H1689" s="81"/>
      <c r="I1689" s="81"/>
      <c r="J1689" s="81"/>
      <c r="K1689" s="81"/>
      <c r="L1689" s="81"/>
      <c r="M1689" s="81"/>
      <c r="N1689" s="81"/>
    </row>
    <row r="1690" spans="1:14" ht="14.25" customHeight="1" x14ac:dyDescent="0.25">
      <c r="A1690" s="607" t="s">
        <v>642</v>
      </c>
      <c r="B1690" s="608"/>
      <c r="C1690" s="609"/>
      <c r="D1690" s="142">
        <v>8750</v>
      </c>
      <c r="E1690" s="105">
        <v>20</v>
      </c>
      <c r="F1690" s="106">
        <f t="shared" ref="F1690:F1691" si="96">D1690/E1690</f>
        <v>437.5</v>
      </c>
      <c r="G1690" s="81"/>
      <c r="H1690" s="287"/>
      <c r="I1690" s="286"/>
      <c r="J1690" s="81"/>
      <c r="K1690" s="81"/>
      <c r="L1690" s="81"/>
      <c r="M1690" s="81"/>
      <c r="N1690" s="81"/>
    </row>
    <row r="1691" spans="1:14" ht="14.25" customHeight="1" x14ac:dyDescent="0.25">
      <c r="A1691" s="607" t="s">
        <v>643</v>
      </c>
      <c r="B1691" s="608"/>
      <c r="C1691" s="609"/>
      <c r="D1691" s="142">
        <v>12350</v>
      </c>
      <c r="E1691" s="105">
        <v>1.8</v>
      </c>
      <c r="F1691" s="106">
        <f t="shared" si="96"/>
        <v>6861.1111111111113</v>
      </c>
      <c r="G1691" s="81"/>
      <c r="H1691" s="286"/>
      <c r="I1691" s="81"/>
      <c r="J1691" s="81"/>
      <c r="K1691" s="81"/>
      <c r="L1691" s="81"/>
      <c r="M1691" s="81"/>
      <c r="N1691" s="81"/>
    </row>
    <row r="1692" spans="1:14" ht="14.25" customHeight="1" x14ac:dyDescent="0.25">
      <c r="A1692" s="607"/>
      <c r="B1692" s="608"/>
      <c r="C1692" s="609"/>
      <c r="D1692" s="142"/>
      <c r="E1692" s="107"/>
      <c r="F1692" s="106"/>
      <c r="G1692" s="81"/>
      <c r="H1692" s="81"/>
      <c r="I1692" s="81"/>
      <c r="J1692" s="81"/>
      <c r="K1692" s="81"/>
      <c r="L1692" s="81"/>
      <c r="M1692" s="81"/>
      <c r="N1692" s="81"/>
    </row>
    <row r="1693" spans="1:14" ht="14.25" customHeight="1" x14ac:dyDescent="0.25">
      <c r="A1693" s="610"/>
      <c r="B1693" s="608"/>
      <c r="C1693" s="609"/>
      <c r="D1693" s="115"/>
      <c r="E1693" s="107"/>
      <c r="F1693" s="106"/>
      <c r="G1693" s="81"/>
      <c r="H1693" s="81"/>
      <c r="I1693" s="81"/>
      <c r="J1693" s="81"/>
      <c r="K1693" s="81"/>
      <c r="L1693" s="81"/>
      <c r="M1693" s="81"/>
      <c r="N1693" s="81"/>
    </row>
    <row r="1694" spans="1:14" ht="14.25" customHeight="1" x14ac:dyDescent="0.25">
      <c r="A1694" s="611" t="s">
        <v>548</v>
      </c>
      <c r="B1694" s="608"/>
      <c r="C1694" s="609"/>
      <c r="D1694" s="110"/>
      <c r="E1694" s="110"/>
      <c r="F1694" s="112">
        <f>SUM(F1689:F1692)</f>
        <v>8378.6111111111113</v>
      </c>
      <c r="G1694" s="81"/>
      <c r="H1694" s="81"/>
      <c r="I1694" s="81"/>
      <c r="J1694" s="81"/>
      <c r="K1694" s="81"/>
      <c r="L1694" s="81"/>
      <c r="M1694" s="81"/>
      <c r="N1694" s="81"/>
    </row>
    <row r="1695" spans="1:14" ht="14.25" customHeight="1" x14ac:dyDescent="0.25">
      <c r="A1695" s="88"/>
      <c r="B1695" s="88"/>
      <c r="C1695" s="89"/>
      <c r="D1695" s="113"/>
      <c r="E1695" s="113"/>
      <c r="F1695" s="113"/>
      <c r="G1695" s="81"/>
      <c r="H1695" s="81"/>
      <c r="I1695" s="81"/>
      <c r="J1695" s="81"/>
      <c r="K1695" s="81"/>
      <c r="L1695" s="81"/>
      <c r="M1695" s="81"/>
      <c r="N1695" s="81"/>
    </row>
    <row r="1696" spans="1:14" ht="14.25" customHeight="1" x14ac:dyDescent="0.25">
      <c r="A1696" s="96" t="s">
        <v>578</v>
      </c>
      <c r="B1696" s="96"/>
      <c r="C1696" s="92"/>
      <c r="D1696" s="118"/>
      <c r="E1696" s="118"/>
      <c r="F1696" s="118"/>
      <c r="G1696" s="81"/>
      <c r="H1696" s="81"/>
      <c r="I1696" s="81"/>
      <c r="J1696" s="81"/>
      <c r="K1696" s="81"/>
      <c r="L1696" s="81"/>
      <c r="M1696" s="81"/>
      <c r="N1696" s="81"/>
    </row>
    <row r="1697" spans="1:14" ht="14.25" customHeight="1" x14ac:dyDescent="0.25">
      <c r="A1697" s="119" t="s">
        <v>563</v>
      </c>
      <c r="B1697" s="120" t="s">
        <v>579</v>
      </c>
      <c r="C1697" s="120" t="s">
        <v>580</v>
      </c>
      <c r="D1697" s="121" t="s">
        <v>581</v>
      </c>
      <c r="E1697" s="121" t="s">
        <v>575</v>
      </c>
      <c r="F1697" s="121" t="s">
        <v>568</v>
      </c>
      <c r="G1697" s="81"/>
      <c r="H1697" s="81"/>
      <c r="I1697" s="81"/>
      <c r="J1697" s="81"/>
      <c r="K1697" s="81"/>
      <c r="L1697" s="81"/>
      <c r="M1697" s="81"/>
      <c r="N1697" s="81"/>
    </row>
    <row r="1698" spans="1:14" ht="14.25" customHeight="1" x14ac:dyDescent="0.25">
      <c r="A1698" s="122" t="s">
        <v>593</v>
      </c>
      <c r="B1698" s="127">
        <v>5</v>
      </c>
      <c r="C1698" s="101">
        <v>32688</v>
      </c>
      <c r="D1698" s="101">
        <f t="shared" ref="D1698:D1699" si="97">+C1698*1.7</f>
        <v>55569.599999999999</v>
      </c>
      <c r="E1698" s="107">
        <v>80</v>
      </c>
      <c r="F1698" s="106">
        <f t="shared" ref="F1698:F1699" si="98">+B1698*(D1698)/E1698</f>
        <v>3473.1</v>
      </c>
      <c r="G1698" s="81"/>
      <c r="H1698" s="81"/>
      <c r="I1698" s="81"/>
      <c r="J1698" s="81"/>
      <c r="K1698" s="81"/>
      <c r="L1698" s="81"/>
      <c r="M1698" s="81"/>
      <c r="N1698" s="81"/>
    </row>
    <row r="1699" spans="1:14" ht="14.25" customHeight="1" x14ac:dyDescent="0.25">
      <c r="A1699" s="122" t="s">
        <v>594</v>
      </c>
      <c r="B1699" s="127">
        <v>3</v>
      </c>
      <c r="C1699" s="101">
        <v>52538</v>
      </c>
      <c r="D1699" s="101">
        <f t="shared" si="97"/>
        <v>89314.599999999991</v>
      </c>
      <c r="E1699" s="107">
        <f>E1698</f>
        <v>80</v>
      </c>
      <c r="F1699" s="106">
        <f t="shared" si="98"/>
        <v>3349.2974999999997</v>
      </c>
      <c r="G1699" s="81"/>
      <c r="H1699" s="81"/>
      <c r="I1699" s="81"/>
      <c r="J1699" s="81"/>
      <c r="K1699" s="81"/>
      <c r="L1699" s="81"/>
      <c r="M1699" s="81"/>
      <c r="N1699" s="81"/>
    </row>
    <row r="1700" spans="1:14" ht="14.25" customHeight="1" x14ac:dyDescent="0.25">
      <c r="A1700" s="122"/>
      <c r="B1700" s="127"/>
      <c r="C1700" s="101"/>
      <c r="D1700" s="101"/>
      <c r="E1700" s="105"/>
      <c r="F1700" s="106"/>
      <c r="G1700" s="81"/>
      <c r="H1700" s="81"/>
      <c r="I1700" s="81"/>
      <c r="J1700" s="81"/>
      <c r="K1700" s="81"/>
      <c r="L1700" s="81"/>
      <c r="M1700" s="81"/>
      <c r="N1700" s="81"/>
    </row>
    <row r="1701" spans="1:14" ht="14.25" customHeight="1" x14ac:dyDescent="0.25">
      <c r="A1701" s="122"/>
      <c r="B1701" s="127"/>
      <c r="C1701" s="101"/>
      <c r="D1701" s="101"/>
      <c r="E1701" s="125"/>
      <c r="F1701" s="106"/>
      <c r="G1701" s="81"/>
      <c r="H1701" s="81"/>
      <c r="I1701" s="81"/>
      <c r="J1701" s="81"/>
      <c r="K1701" s="81"/>
      <c r="L1701" s="81"/>
      <c r="M1701" s="81"/>
      <c r="N1701" s="81"/>
    </row>
    <row r="1702" spans="1:14" ht="14.25" customHeight="1" x14ac:dyDescent="0.25">
      <c r="A1702" s="97" t="s">
        <v>548</v>
      </c>
      <c r="B1702" s="128"/>
      <c r="C1702" s="110"/>
      <c r="D1702" s="110"/>
      <c r="E1702" s="110"/>
      <c r="F1702" s="112">
        <f>SUM(F1698:F1701)</f>
        <v>6822.3974999999991</v>
      </c>
      <c r="G1702" s="81"/>
      <c r="H1702" s="285"/>
      <c r="I1702" s="117"/>
      <c r="J1702" s="138"/>
      <c r="K1702" s="117"/>
      <c r="L1702" s="81"/>
      <c r="M1702" s="81"/>
      <c r="N1702" s="81"/>
    </row>
    <row r="1703" spans="1:14" ht="14.25" customHeight="1" x14ac:dyDescent="0.25">
      <c r="A1703" s="96"/>
      <c r="B1703" s="129"/>
      <c r="C1703" s="118"/>
      <c r="D1703" s="118"/>
      <c r="E1703" s="118"/>
      <c r="F1703" s="118"/>
      <c r="G1703" s="81"/>
      <c r="H1703" s="81"/>
      <c r="I1703" s="117"/>
      <c r="J1703" s="138"/>
      <c r="K1703" s="117"/>
      <c r="L1703" s="81"/>
      <c r="M1703" s="81"/>
      <c r="N1703" s="81"/>
    </row>
    <row r="1704" spans="1:14" ht="14.25" customHeight="1" x14ac:dyDescent="0.25">
      <c r="A1704" s="95" t="s">
        <v>583</v>
      </c>
      <c r="B1704" s="96"/>
      <c r="C1704" s="92"/>
      <c r="D1704" s="92"/>
      <c r="E1704" s="92" t="s">
        <v>584</v>
      </c>
      <c r="F1704" s="92"/>
      <c r="G1704" s="81"/>
      <c r="H1704" s="81"/>
      <c r="I1704" s="117"/>
      <c r="J1704" s="138"/>
      <c r="K1704" s="117"/>
      <c r="L1704" s="81"/>
      <c r="M1704" s="81"/>
      <c r="N1704" s="81"/>
    </row>
    <row r="1705" spans="1:14" ht="14.25" customHeight="1" x14ac:dyDescent="0.25">
      <c r="A1705" s="97" t="s">
        <v>563</v>
      </c>
      <c r="B1705" s="98" t="s">
        <v>564</v>
      </c>
      <c r="C1705" s="98" t="s">
        <v>585</v>
      </c>
      <c r="D1705" s="98" t="s">
        <v>586</v>
      </c>
      <c r="E1705" s="120" t="s">
        <v>587</v>
      </c>
      <c r="F1705" s="98" t="s">
        <v>568</v>
      </c>
      <c r="G1705" s="81"/>
      <c r="H1705" s="81"/>
      <c r="I1705" s="117"/>
      <c r="J1705" s="138"/>
      <c r="K1705" s="117"/>
      <c r="L1705" s="81"/>
      <c r="M1705" s="81"/>
      <c r="N1705" s="81"/>
    </row>
    <row r="1706" spans="1:14" ht="14.25" customHeight="1" x14ac:dyDescent="0.25">
      <c r="A1706" s="103"/>
      <c r="B1706" s="100"/>
      <c r="C1706" s="101"/>
      <c r="D1706" s="140"/>
      <c r="E1706" s="107"/>
      <c r="F1706" s="109"/>
      <c r="G1706" s="81"/>
      <c r="H1706" s="81"/>
      <c r="I1706" s="117"/>
      <c r="J1706" s="81"/>
      <c r="K1706" s="117"/>
      <c r="L1706" s="81"/>
      <c r="M1706" s="81"/>
      <c r="N1706" s="81"/>
    </row>
    <row r="1707" spans="1:14" ht="14.25" customHeight="1" x14ac:dyDescent="0.25">
      <c r="A1707" s="103"/>
      <c r="B1707" s="100"/>
      <c r="C1707" s="107"/>
      <c r="D1707" s="107"/>
      <c r="E1707" s="108"/>
      <c r="F1707" s="109"/>
      <c r="G1707" s="81"/>
      <c r="H1707" s="81"/>
      <c r="I1707" s="117"/>
      <c r="J1707" s="138"/>
      <c r="K1707" s="117"/>
      <c r="L1707" s="81"/>
      <c r="M1707" s="81"/>
      <c r="N1707" s="81"/>
    </row>
    <row r="1708" spans="1:14" ht="14.25" customHeight="1" x14ac:dyDescent="0.25">
      <c r="A1708" s="97" t="s">
        <v>548</v>
      </c>
      <c r="B1708" s="98"/>
      <c r="C1708" s="110"/>
      <c r="D1708" s="110"/>
      <c r="E1708" s="111"/>
      <c r="F1708" s="112">
        <f>SUM(F1706:F1707)</f>
        <v>0</v>
      </c>
      <c r="G1708" s="81"/>
      <c r="H1708" s="81"/>
      <c r="I1708" s="81"/>
      <c r="J1708" s="139"/>
      <c r="K1708" s="117"/>
      <c r="L1708" s="81"/>
      <c r="M1708" s="81"/>
      <c r="N1708" s="81"/>
    </row>
    <row r="1709" spans="1:14" ht="14.25" customHeight="1" x14ac:dyDescent="0.25">
      <c r="A1709" s="88"/>
      <c r="B1709" s="89"/>
      <c r="C1709" s="113"/>
      <c r="D1709" s="113"/>
      <c r="E1709" s="114"/>
      <c r="F1709" s="113"/>
      <c r="G1709" s="81"/>
      <c r="H1709" s="81"/>
      <c r="I1709" s="81"/>
      <c r="J1709" s="81"/>
      <c r="K1709" s="117"/>
      <c r="L1709" s="81"/>
      <c r="M1709" s="81"/>
      <c r="N1709" s="81"/>
    </row>
    <row r="1710" spans="1:14" ht="14.25" customHeight="1" x14ac:dyDescent="0.25">
      <c r="A1710" s="88"/>
      <c r="B1710" s="89"/>
      <c r="C1710" s="113"/>
      <c r="D1710" s="113"/>
      <c r="E1710" s="114"/>
      <c r="F1710" s="113"/>
      <c r="G1710" s="81"/>
      <c r="H1710" s="81"/>
      <c r="I1710" s="81"/>
      <c r="J1710" s="81"/>
      <c r="K1710" s="81"/>
      <c r="L1710" s="81"/>
      <c r="M1710" s="81"/>
      <c r="N1710" s="81"/>
    </row>
    <row r="1711" spans="1:14" ht="14.25" customHeight="1" x14ac:dyDescent="0.25">
      <c r="A1711" s="612" t="s">
        <v>588</v>
      </c>
      <c r="B1711" s="608"/>
      <c r="C1711" s="608"/>
      <c r="D1711" s="608"/>
      <c r="E1711" s="609"/>
      <c r="F1711" s="131">
        <f>ROUND(F1685+F1694+F1702+F1708,0)</f>
        <v>28055</v>
      </c>
      <c r="G1711" s="81"/>
      <c r="H1711" s="117">
        <f>28055-F1711</f>
        <v>0</v>
      </c>
      <c r="I1711" s="81"/>
      <c r="J1711" s="81"/>
      <c r="K1711" s="81"/>
      <c r="L1711" s="81"/>
      <c r="M1711" s="81"/>
      <c r="N1711" s="81"/>
    </row>
    <row r="1712" spans="1:14" ht="14.25" customHeight="1" x14ac:dyDescent="0.25">
      <c r="A1712" s="612" t="s">
        <v>589</v>
      </c>
      <c r="B1712" s="608"/>
      <c r="C1712" s="608"/>
      <c r="D1712" s="608"/>
      <c r="E1712" s="609"/>
      <c r="F1712" s="132"/>
      <c r="G1712" s="81"/>
      <c r="H1712" s="81"/>
      <c r="I1712" s="81"/>
      <c r="J1712" s="81"/>
      <c r="K1712" s="81"/>
      <c r="L1712" s="81"/>
      <c r="M1712" s="81"/>
      <c r="N1712" s="81"/>
    </row>
    <row r="1713" spans="1:14" ht="14.25" customHeight="1" x14ac:dyDescent="0.25">
      <c r="A1713" s="146" t="s">
        <v>556</v>
      </c>
      <c r="B1713" s="147"/>
      <c r="C1713" s="147"/>
      <c r="D1713" s="147"/>
      <c r="E1713" s="148"/>
      <c r="F1713" s="133"/>
      <c r="G1713" s="81"/>
      <c r="H1713" s="81"/>
      <c r="I1713" s="81"/>
      <c r="J1713" s="81"/>
      <c r="K1713" s="81"/>
      <c r="L1713" s="81"/>
      <c r="M1713" s="81"/>
      <c r="N1713" s="81"/>
    </row>
    <row r="1714" spans="1:14" ht="14.25" customHeight="1" x14ac:dyDescent="0.25">
      <c r="A1714" s="134"/>
      <c r="B1714" s="135"/>
      <c r="C1714" s="135"/>
      <c r="D1714" s="135"/>
      <c r="E1714" s="135"/>
      <c r="F1714" s="136"/>
      <c r="G1714" s="81"/>
      <c r="H1714" s="81"/>
      <c r="I1714" s="81"/>
      <c r="J1714" s="81"/>
      <c r="K1714" s="81"/>
      <c r="L1714" s="81"/>
      <c r="M1714" s="81"/>
      <c r="N1714" s="81"/>
    </row>
    <row r="1715" spans="1:14" ht="14.25" customHeight="1" x14ac:dyDescent="0.25">
      <c r="A1715" s="81"/>
      <c r="B1715" s="81"/>
      <c r="C1715" s="137"/>
      <c r="D1715" s="81"/>
      <c r="E1715" s="81"/>
      <c r="F1715" s="81"/>
      <c r="G1715" s="81"/>
      <c r="H1715" s="81"/>
      <c r="I1715" s="81"/>
      <c r="J1715" s="81"/>
      <c r="K1715" s="81"/>
      <c r="L1715" s="81"/>
      <c r="M1715" s="81"/>
      <c r="N1715" s="81"/>
    </row>
    <row r="1716" spans="1:14" ht="14.25" customHeight="1" x14ac:dyDescent="0.25">
      <c r="A1716" s="81"/>
      <c r="B1716" s="81"/>
      <c r="C1716" s="137"/>
      <c r="D1716" s="81"/>
      <c r="E1716" s="81"/>
      <c r="F1716" s="81"/>
      <c r="G1716" s="81"/>
      <c r="H1716" s="81"/>
      <c r="I1716" s="81"/>
      <c r="J1716" s="81"/>
      <c r="K1716" s="81"/>
      <c r="L1716" s="81"/>
      <c r="M1716" s="81"/>
      <c r="N1716" s="81"/>
    </row>
    <row r="1717" spans="1:14" ht="14.25" customHeight="1" x14ac:dyDescent="0.25">
      <c r="A1717" s="81"/>
      <c r="B1717" s="81"/>
      <c r="C1717" s="137"/>
      <c r="D1717" s="81"/>
      <c r="E1717" s="81"/>
      <c r="F1717" s="81"/>
      <c r="G1717" s="81"/>
      <c r="H1717" s="81"/>
      <c r="I1717" s="81"/>
      <c r="J1717" s="81"/>
      <c r="K1717" s="81"/>
      <c r="L1717" s="81"/>
      <c r="M1717" s="81"/>
      <c r="N1717" s="81"/>
    </row>
    <row r="1718" spans="1:14" ht="14.25" customHeight="1" x14ac:dyDescent="0.25">
      <c r="A1718" s="81"/>
      <c r="B1718" s="81"/>
      <c r="C1718" s="137"/>
      <c r="D1718" s="81"/>
      <c r="E1718" s="81"/>
      <c r="F1718" s="81"/>
      <c r="G1718" s="81"/>
      <c r="H1718" s="81"/>
      <c r="I1718" s="81"/>
      <c r="J1718" s="81"/>
      <c r="K1718" s="81"/>
      <c r="L1718" s="81"/>
      <c r="M1718" s="81"/>
      <c r="N1718" s="81"/>
    </row>
    <row r="1719" spans="1:14" ht="14.25" customHeight="1" x14ac:dyDescent="0.25">
      <c r="A1719" s="81"/>
      <c r="B1719" s="81"/>
      <c r="C1719" s="137"/>
      <c r="D1719" s="81"/>
      <c r="E1719" s="81"/>
      <c r="F1719" s="81"/>
      <c r="G1719" s="81"/>
      <c r="H1719" s="81"/>
      <c r="I1719" s="81"/>
      <c r="J1719" s="81"/>
      <c r="K1719" s="81"/>
      <c r="L1719" s="81"/>
      <c r="M1719" s="81"/>
      <c r="N1719" s="81"/>
    </row>
    <row r="1720" spans="1:14" ht="14.25" customHeight="1" x14ac:dyDescent="0.25">
      <c r="A1720" s="81"/>
      <c r="B1720" s="81"/>
      <c r="C1720" s="137"/>
      <c r="D1720" s="81"/>
      <c r="E1720" s="81"/>
      <c r="F1720" s="81"/>
      <c r="G1720" s="81"/>
      <c r="H1720" s="81"/>
      <c r="I1720" s="81"/>
      <c r="J1720" s="81"/>
      <c r="K1720" s="81"/>
      <c r="L1720" s="81"/>
      <c r="M1720" s="81"/>
      <c r="N1720" s="81"/>
    </row>
    <row r="1721" spans="1:14" ht="14.25" customHeight="1" x14ac:dyDescent="0.25">
      <c r="A1721" s="134"/>
      <c r="B1721" s="135"/>
      <c r="C1721" s="135"/>
      <c r="D1721" s="135"/>
      <c r="E1721" s="135"/>
      <c r="F1721" s="136"/>
      <c r="G1721" s="81"/>
      <c r="H1721" s="81"/>
      <c r="I1721" s="81"/>
      <c r="J1721" s="81"/>
      <c r="K1721" s="81"/>
      <c r="L1721" s="81"/>
      <c r="M1721" s="81"/>
      <c r="N1721" s="81"/>
    </row>
    <row r="1722" spans="1:14" ht="14.25" customHeight="1" x14ac:dyDescent="0.25">
      <c r="A1722" s="134"/>
      <c r="B1722" s="135"/>
      <c r="C1722" s="135"/>
      <c r="D1722" s="135"/>
      <c r="E1722" s="135"/>
      <c r="F1722" s="136"/>
      <c r="G1722" s="81"/>
      <c r="H1722" s="81"/>
      <c r="I1722" s="81"/>
      <c r="J1722" s="81"/>
      <c r="K1722" s="81"/>
      <c r="L1722" s="81"/>
      <c r="M1722" s="81"/>
      <c r="N1722" s="81"/>
    </row>
    <row r="1723" spans="1:14" ht="14.25" customHeight="1" x14ac:dyDescent="0.25">
      <c r="A1723" s="134"/>
      <c r="B1723" s="135"/>
      <c r="C1723" s="135"/>
      <c r="D1723" s="135"/>
      <c r="E1723" s="135"/>
      <c r="F1723" s="136"/>
      <c r="G1723" s="81"/>
      <c r="H1723" s="81"/>
      <c r="I1723" s="81"/>
      <c r="J1723" s="81"/>
      <c r="K1723" s="81"/>
      <c r="L1723" s="81"/>
      <c r="M1723" s="81"/>
      <c r="N1723" s="81"/>
    </row>
    <row r="1724" spans="1:14" ht="14.25" customHeight="1" thickBot="1" x14ac:dyDescent="0.3">
      <c r="A1724" s="81"/>
      <c r="B1724" s="81"/>
      <c r="C1724" s="81"/>
      <c r="D1724" s="81"/>
      <c r="E1724" s="81"/>
      <c r="F1724" s="81"/>
      <c r="G1724" s="81"/>
      <c r="H1724" s="81"/>
      <c r="I1724" s="81"/>
      <c r="J1724" s="81"/>
      <c r="K1724" s="81"/>
      <c r="L1724" s="81"/>
      <c r="M1724" s="81"/>
      <c r="N1724" s="81"/>
    </row>
    <row r="1725" spans="1:14" ht="14.25" customHeight="1" x14ac:dyDescent="0.25">
      <c r="A1725" s="83"/>
      <c r="B1725" s="84"/>
      <c r="C1725" s="85"/>
      <c r="D1725" s="86"/>
      <c r="E1725" s="86"/>
      <c r="F1725" s="87"/>
      <c r="G1725" s="81"/>
      <c r="H1725" s="81"/>
      <c r="I1725" s="81"/>
      <c r="J1725" s="81"/>
      <c r="K1725" s="81"/>
      <c r="L1725" s="81"/>
      <c r="M1725" s="81"/>
      <c r="N1725" s="81"/>
    </row>
    <row r="1726" spans="1:14" ht="14.25" customHeight="1" x14ac:dyDescent="0.25">
      <c r="A1726" s="599"/>
      <c r="B1726" s="600"/>
      <c r="C1726" s="600"/>
      <c r="D1726" s="600"/>
      <c r="E1726" s="600"/>
      <c r="F1726" s="601"/>
      <c r="G1726" s="81"/>
      <c r="H1726" s="81"/>
      <c r="I1726" s="81"/>
      <c r="J1726" s="81"/>
      <c r="K1726" s="81"/>
      <c r="L1726" s="81"/>
      <c r="M1726" s="81"/>
      <c r="N1726" s="81"/>
    </row>
    <row r="1727" spans="1:14" ht="14.25" customHeight="1" x14ac:dyDescent="0.25">
      <c r="A1727" s="602" t="s">
        <v>561</v>
      </c>
      <c r="B1727" s="600"/>
      <c r="C1727" s="600"/>
      <c r="D1727" s="600"/>
      <c r="E1727" s="600"/>
      <c r="F1727" s="601"/>
      <c r="G1727" s="81"/>
      <c r="H1727" s="81"/>
      <c r="I1727" s="81"/>
      <c r="J1727" s="81"/>
      <c r="K1727" s="81"/>
      <c r="L1727" s="81"/>
      <c r="M1727" s="81"/>
      <c r="N1727" s="81"/>
    </row>
    <row r="1728" spans="1:14" ht="14.25" customHeight="1" thickBot="1" x14ac:dyDescent="0.3">
      <c r="A1728" s="603"/>
      <c r="B1728" s="604"/>
      <c r="C1728" s="604"/>
      <c r="D1728" s="604"/>
      <c r="E1728" s="604"/>
      <c r="F1728" s="605"/>
      <c r="G1728" s="81"/>
      <c r="H1728" s="81"/>
      <c r="I1728" s="81"/>
      <c r="J1728" s="81"/>
      <c r="K1728" s="81"/>
      <c r="L1728" s="81"/>
      <c r="M1728" s="81"/>
      <c r="N1728" s="81"/>
    </row>
    <row r="1729" spans="1:14" ht="14.25" customHeight="1" x14ac:dyDescent="0.25">
      <c r="A1729" s="88"/>
      <c r="B1729" s="88"/>
      <c r="C1729" s="89"/>
      <c r="D1729" s="89"/>
      <c r="E1729" s="89"/>
      <c r="F1729" s="89"/>
      <c r="G1729" s="81"/>
      <c r="H1729" s="81"/>
      <c r="I1729" s="81"/>
      <c r="J1729" s="81"/>
      <c r="K1729" s="81"/>
      <c r="L1729" s="81"/>
      <c r="M1729" s="81"/>
      <c r="N1729" s="81"/>
    </row>
    <row r="1730" spans="1:14" ht="27.75" customHeight="1" x14ac:dyDescent="0.25">
      <c r="A1730" s="90" t="s">
        <v>47</v>
      </c>
      <c r="B1730" s="613" t="s">
        <v>1323</v>
      </c>
      <c r="C1730" s="600"/>
      <c r="D1730" s="600"/>
      <c r="E1730" s="600"/>
      <c r="F1730" s="600"/>
      <c r="G1730" s="81"/>
      <c r="H1730" s="81"/>
      <c r="I1730" s="81"/>
      <c r="J1730" s="81"/>
      <c r="K1730" s="81"/>
      <c r="L1730" s="81"/>
      <c r="M1730" s="81"/>
      <c r="N1730" s="81"/>
    </row>
    <row r="1731" spans="1:14" ht="14.25" customHeight="1" x14ac:dyDescent="0.25">
      <c r="A1731" s="91"/>
      <c r="B1731" s="91"/>
      <c r="C1731" s="91"/>
      <c r="D1731" s="91"/>
      <c r="E1731" s="91"/>
      <c r="F1731" s="91"/>
      <c r="G1731" s="81"/>
      <c r="H1731" s="81"/>
      <c r="I1731" s="81"/>
      <c r="J1731" s="81"/>
      <c r="K1731" s="81"/>
      <c r="L1731" s="81"/>
      <c r="M1731" s="81"/>
      <c r="N1731" s="81"/>
    </row>
    <row r="1732" spans="1:14" ht="14.25" customHeight="1" x14ac:dyDescent="0.25">
      <c r="A1732" s="88" t="s">
        <v>49</v>
      </c>
      <c r="B1732" s="92" t="s">
        <v>59</v>
      </c>
      <c r="C1732" s="89"/>
      <c r="D1732" s="89"/>
      <c r="E1732" s="89"/>
      <c r="F1732" s="93"/>
      <c r="G1732" s="81"/>
      <c r="H1732" s="81"/>
      <c r="I1732" s="81"/>
      <c r="J1732" s="81"/>
      <c r="K1732" s="81"/>
      <c r="L1732" s="81"/>
      <c r="M1732" s="81"/>
      <c r="N1732" s="81"/>
    </row>
    <row r="1733" spans="1:14" ht="14.25" customHeight="1" x14ac:dyDescent="0.25">
      <c r="A1733" s="88"/>
      <c r="B1733" s="94"/>
      <c r="C1733" s="89"/>
      <c r="D1733" s="89"/>
      <c r="E1733" s="89"/>
      <c r="F1733" s="93"/>
      <c r="G1733" s="81"/>
      <c r="H1733" s="81"/>
      <c r="I1733" s="81"/>
      <c r="J1733" s="81"/>
      <c r="K1733" s="81"/>
      <c r="L1733" s="81"/>
      <c r="M1733" s="81"/>
      <c r="N1733" s="81"/>
    </row>
    <row r="1734" spans="1:14" ht="14.25" customHeight="1" x14ac:dyDescent="0.25">
      <c r="A1734" s="95" t="s">
        <v>562</v>
      </c>
      <c r="B1734" s="96"/>
      <c r="C1734" s="92"/>
      <c r="D1734" s="92"/>
      <c r="E1734" s="92"/>
      <c r="F1734" s="92"/>
      <c r="G1734" s="81"/>
      <c r="H1734" s="81"/>
      <c r="I1734" s="81"/>
      <c r="J1734" s="81"/>
      <c r="K1734" s="81"/>
      <c r="L1734" s="81"/>
      <c r="M1734" s="81"/>
      <c r="N1734" s="81"/>
    </row>
    <row r="1735" spans="1:14" ht="14.25" customHeight="1" x14ac:dyDescent="0.25">
      <c r="A1735" s="97" t="s">
        <v>563</v>
      </c>
      <c r="B1735" s="98" t="s">
        <v>564</v>
      </c>
      <c r="C1735" s="98" t="s">
        <v>565</v>
      </c>
      <c r="D1735" s="98" t="s">
        <v>566</v>
      </c>
      <c r="E1735" s="98" t="s">
        <v>567</v>
      </c>
      <c r="F1735" s="98" t="s">
        <v>568</v>
      </c>
      <c r="G1735" s="81"/>
      <c r="H1735" s="81"/>
      <c r="I1735" s="81"/>
      <c r="J1735" s="81"/>
      <c r="K1735" s="81"/>
      <c r="L1735" s="81"/>
      <c r="M1735" s="81"/>
      <c r="N1735" s="81"/>
    </row>
    <row r="1736" spans="1:14" ht="25.5" x14ac:dyDescent="0.25">
      <c r="A1736" s="99" t="s">
        <v>644</v>
      </c>
      <c r="B1736" s="100" t="s">
        <v>64</v>
      </c>
      <c r="C1736" s="101">
        <v>408050</v>
      </c>
      <c r="D1736" s="149">
        <f>0.15*0.15</f>
        <v>2.2499999999999999E-2</v>
      </c>
      <c r="E1736" s="102">
        <v>0.05</v>
      </c>
      <c r="F1736" s="101">
        <f t="shared" ref="F1736" si="99">C1736*(D1736+(D1736*E1736))</f>
        <v>9640.1812499999996</v>
      </c>
      <c r="G1736" s="81"/>
      <c r="H1736" s="81"/>
      <c r="I1736" s="81"/>
      <c r="J1736" s="81"/>
      <c r="K1736" s="81"/>
      <c r="L1736" s="81"/>
      <c r="M1736" s="81"/>
      <c r="N1736" s="81"/>
    </row>
    <row r="1737" spans="1:14" ht="14.25" customHeight="1" x14ac:dyDescent="0.25">
      <c r="A1737" s="99"/>
      <c r="B1737" s="100"/>
      <c r="C1737" s="101"/>
      <c r="D1737" s="149"/>
      <c r="E1737" s="102"/>
      <c r="F1737" s="101"/>
      <c r="G1737" s="81"/>
      <c r="H1737" s="81"/>
      <c r="I1737" s="81"/>
      <c r="J1737" s="81"/>
      <c r="K1737" s="81"/>
      <c r="L1737" s="81"/>
      <c r="M1737" s="81"/>
      <c r="N1737" s="81"/>
    </row>
    <row r="1738" spans="1:14" ht="14.25" customHeight="1" x14ac:dyDescent="0.25">
      <c r="A1738" s="99"/>
      <c r="B1738" s="100"/>
      <c r="C1738" s="101"/>
      <c r="D1738" s="149"/>
      <c r="E1738" s="102"/>
      <c r="F1738" s="101"/>
      <c r="G1738" s="81"/>
      <c r="H1738" s="81"/>
      <c r="I1738" s="81"/>
      <c r="J1738" s="81"/>
      <c r="K1738" s="81"/>
      <c r="L1738" s="81"/>
      <c r="M1738" s="81"/>
      <c r="N1738" s="81"/>
    </row>
    <row r="1739" spans="1:14" ht="14.25" customHeight="1" x14ac:dyDescent="0.25">
      <c r="A1739" s="99"/>
      <c r="B1739" s="100"/>
      <c r="C1739" s="101"/>
      <c r="D1739" s="104"/>
      <c r="E1739" s="102"/>
      <c r="F1739" s="101"/>
      <c r="G1739" s="81"/>
      <c r="H1739" s="81"/>
      <c r="I1739" s="81"/>
      <c r="J1739" s="81"/>
      <c r="K1739" s="81"/>
      <c r="L1739" s="81"/>
      <c r="M1739" s="81"/>
      <c r="N1739" s="81"/>
    </row>
    <row r="1740" spans="1:14" ht="14.25" customHeight="1" x14ac:dyDescent="0.25">
      <c r="A1740" s="99"/>
      <c r="B1740" s="100"/>
      <c r="C1740" s="101"/>
      <c r="D1740" s="104"/>
      <c r="E1740" s="102"/>
      <c r="F1740" s="101"/>
      <c r="G1740" s="81"/>
      <c r="H1740" s="81"/>
      <c r="I1740" s="81"/>
      <c r="J1740" s="81"/>
      <c r="K1740" s="81"/>
      <c r="L1740" s="81"/>
      <c r="M1740" s="81"/>
      <c r="N1740" s="81"/>
    </row>
    <row r="1741" spans="1:14" ht="14.25" customHeight="1" x14ac:dyDescent="0.25">
      <c r="A1741" s="99"/>
      <c r="B1741" s="100"/>
      <c r="C1741" s="101"/>
      <c r="D1741" s="104"/>
      <c r="E1741" s="102"/>
      <c r="F1741" s="101"/>
      <c r="G1741" s="81"/>
      <c r="H1741" s="81"/>
      <c r="I1741" s="81"/>
      <c r="J1741" s="81"/>
      <c r="K1741" s="81"/>
      <c r="L1741" s="81"/>
      <c r="M1741" s="81"/>
      <c r="N1741" s="81"/>
    </row>
    <row r="1742" spans="1:14" ht="14.25" customHeight="1" x14ac:dyDescent="0.25">
      <c r="A1742" s="99"/>
      <c r="B1742" s="100"/>
      <c r="C1742" s="106"/>
      <c r="D1742" s="107"/>
      <c r="E1742" s="108"/>
      <c r="F1742" s="106"/>
      <c r="G1742" s="81"/>
      <c r="H1742" s="81"/>
      <c r="I1742" s="81"/>
      <c r="J1742" s="81"/>
      <c r="K1742" s="81"/>
      <c r="L1742" s="81"/>
      <c r="M1742" s="81"/>
      <c r="N1742" s="81"/>
    </row>
    <row r="1743" spans="1:14" ht="14.25" customHeight="1" x14ac:dyDescent="0.25">
      <c r="A1743" s="97" t="s">
        <v>548</v>
      </c>
      <c r="B1743" s="97"/>
      <c r="C1743" s="109"/>
      <c r="D1743" s="110"/>
      <c r="E1743" s="111"/>
      <c r="F1743" s="112">
        <f>SUM(F1736:F1742)</f>
        <v>9640.1812499999996</v>
      </c>
      <c r="G1743" s="81"/>
      <c r="H1743" s="81"/>
      <c r="I1743" s="81"/>
      <c r="J1743" s="81"/>
      <c r="K1743" s="81"/>
      <c r="L1743" s="81"/>
      <c r="M1743" s="81"/>
      <c r="N1743" s="81"/>
    </row>
    <row r="1744" spans="1:14" ht="14.25" customHeight="1" x14ac:dyDescent="0.25">
      <c r="A1744" s="88"/>
      <c r="B1744" s="88"/>
      <c r="C1744" s="113"/>
      <c r="D1744" s="113"/>
      <c r="E1744" s="114"/>
      <c r="F1744" s="113"/>
      <c r="G1744" s="81"/>
      <c r="H1744" s="81"/>
      <c r="I1744" s="81"/>
      <c r="J1744" s="81"/>
      <c r="K1744" s="81"/>
      <c r="L1744" s="81"/>
      <c r="M1744" s="81"/>
      <c r="N1744" s="81"/>
    </row>
    <row r="1745" spans="1:14" ht="14.25" customHeight="1" x14ac:dyDescent="0.25">
      <c r="A1745" s="96" t="s">
        <v>573</v>
      </c>
      <c r="B1745" s="96"/>
      <c r="C1745" s="92"/>
      <c r="D1745" s="92"/>
      <c r="E1745" s="92"/>
      <c r="F1745" s="92"/>
      <c r="G1745" s="81"/>
      <c r="H1745" s="81"/>
      <c r="I1745" s="81"/>
      <c r="J1745" s="81"/>
      <c r="K1745" s="81"/>
      <c r="L1745" s="81"/>
      <c r="M1745" s="81"/>
      <c r="N1745" s="81"/>
    </row>
    <row r="1746" spans="1:14" ht="14.25" customHeight="1" x14ac:dyDescent="0.25">
      <c r="A1746" s="611" t="s">
        <v>563</v>
      </c>
      <c r="B1746" s="608"/>
      <c r="C1746" s="609"/>
      <c r="D1746" s="98" t="s">
        <v>574</v>
      </c>
      <c r="E1746" s="98" t="s">
        <v>575</v>
      </c>
      <c r="F1746" s="98" t="s">
        <v>568</v>
      </c>
      <c r="G1746" s="81"/>
      <c r="H1746" s="81"/>
      <c r="I1746" s="81"/>
      <c r="J1746" s="81"/>
      <c r="K1746" s="81"/>
      <c r="L1746" s="81"/>
      <c r="M1746" s="81"/>
      <c r="N1746" s="81"/>
    </row>
    <row r="1747" spans="1:14" ht="14.25" customHeight="1" x14ac:dyDescent="0.25">
      <c r="A1747" s="607" t="s">
        <v>577</v>
      </c>
      <c r="B1747" s="608"/>
      <c r="C1747" s="609"/>
      <c r="D1747" s="116"/>
      <c r="E1747" s="107"/>
      <c r="F1747" s="106">
        <v>978</v>
      </c>
      <c r="G1747" s="81"/>
      <c r="H1747" s="285">
        <f>+F1747/0.15/0.15</f>
        <v>43466.666666666672</v>
      </c>
      <c r="I1747" s="81"/>
      <c r="J1747" s="81"/>
      <c r="K1747" s="81"/>
      <c r="L1747" s="81"/>
      <c r="M1747" s="81"/>
      <c r="N1747" s="81"/>
    </row>
    <row r="1748" spans="1:14" ht="14.25" customHeight="1" x14ac:dyDescent="0.25">
      <c r="A1748" s="607" t="s">
        <v>642</v>
      </c>
      <c r="B1748" s="608"/>
      <c r="C1748" s="609"/>
      <c r="D1748" s="142">
        <v>8750</v>
      </c>
      <c r="E1748" s="105">
        <v>31</v>
      </c>
      <c r="F1748" s="106">
        <f t="shared" ref="F1748:F1749" si="100">D1748/E1748</f>
        <v>282.25806451612902</v>
      </c>
      <c r="G1748" s="81"/>
      <c r="H1748" s="285">
        <f>+F1748/0.15/0.15</f>
        <v>12544.802867383512</v>
      </c>
      <c r="I1748" s="81"/>
      <c r="J1748" s="81"/>
      <c r="K1748" s="81"/>
      <c r="L1748" s="81"/>
      <c r="M1748" s="81"/>
      <c r="N1748" s="81"/>
    </row>
    <row r="1749" spans="1:14" ht="14.25" customHeight="1" x14ac:dyDescent="0.25">
      <c r="A1749" s="607" t="s">
        <v>643</v>
      </c>
      <c r="B1749" s="608"/>
      <c r="C1749" s="609"/>
      <c r="D1749" s="142">
        <v>12350</v>
      </c>
      <c r="E1749" s="105">
        <v>2.5</v>
      </c>
      <c r="F1749" s="106">
        <f t="shared" si="100"/>
        <v>4940</v>
      </c>
      <c r="G1749" s="81"/>
      <c r="H1749" s="285">
        <f>+F1749/0.15/0.15</f>
        <v>219555.55555555559</v>
      </c>
      <c r="I1749" s="81"/>
      <c r="J1749" s="81"/>
      <c r="K1749" s="81"/>
      <c r="L1749" s="81"/>
      <c r="M1749" s="81"/>
      <c r="N1749" s="81"/>
    </row>
    <row r="1750" spans="1:14" ht="14.25" customHeight="1" x14ac:dyDescent="0.25">
      <c r="A1750" s="607"/>
      <c r="B1750" s="608"/>
      <c r="C1750" s="609"/>
      <c r="D1750" s="142"/>
      <c r="E1750" s="107"/>
      <c r="F1750" s="106"/>
      <c r="G1750" s="81"/>
      <c r="H1750" s="81"/>
      <c r="I1750" s="81"/>
      <c r="J1750" s="81"/>
      <c r="K1750" s="81"/>
      <c r="L1750" s="81"/>
      <c r="M1750" s="81"/>
      <c r="N1750" s="81"/>
    </row>
    <row r="1751" spans="1:14" ht="14.25" customHeight="1" x14ac:dyDescent="0.25">
      <c r="A1751" s="610"/>
      <c r="B1751" s="608"/>
      <c r="C1751" s="609"/>
      <c r="D1751" s="115"/>
      <c r="E1751" s="107"/>
      <c r="F1751" s="106"/>
      <c r="G1751" s="81"/>
      <c r="H1751" s="81"/>
      <c r="I1751" s="81"/>
      <c r="J1751" s="81"/>
      <c r="K1751" s="81"/>
      <c r="L1751" s="81"/>
      <c r="M1751" s="81"/>
      <c r="N1751" s="81"/>
    </row>
    <row r="1752" spans="1:14" ht="14.25" customHeight="1" x14ac:dyDescent="0.25">
      <c r="A1752" s="611" t="s">
        <v>548</v>
      </c>
      <c r="B1752" s="608"/>
      <c r="C1752" s="609"/>
      <c r="D1752" s="110"/>
      <c r="E1752" s="110"/>
      <c r="F1752" s="112">
        <f>SUM(F1747:F1750)</f>
        <v>6200.2580645161288</v>
      </c>
      <c r="G1752" s="81"/>
      <c r="H1752" s="81"/>
      <c r="I1752" s="81"/>
      <c r="J1752" s="81"/>
      <c r="K1752" s="81"/>
      <c r="L1752" s="81"/>
      <c r="M1752" s="81"/>
      <c r="N1752" s="81"/>
    </row>
    <row r="1753" spans="1:14" ht="14.25" customHeight="1" x14ac:dyDescent="0.25">
      <c r="A1753" s="88"/>
      <c r="B1753" s="88"/>
      <c r="C1753" s="89"/>
      <c r="D1753" s="113"/>
      <c r="E1753" s="113"/>
      <c r="F1753" s="113"/>
      <c r="G1753" s="81"/>
      <c r="H1753" s="81"/>
      <c r="I1753" s="81"/>
      <c r="J1753" s="81"/>
      <c r="K1753" s="81"/>
      <c r="L1753" s="81"/>
      <c r="M1753" s="81"/>
      <c r="N1753" s="81"/>
    </row>
    <row r="1754" spans="1:14" ht="14.25" customHeight="1" x14ac:dyDescent="0.25">
      <c r="A1754" s="96" t="s">
        <v>578</v>
      </c>
      <c r="B1754" s="96"/>
      <c r="C1754" s="92"/>
      <c r="D1754" s="118"/>
      <c r="E1754" s="118"/>
      <c r="F1754" s="118"/>
      <c r="G1754" s="81"/>
      <c r="H1754" s="81"/>
      <c r="I1754" s="81"/>
      <c r="J1754" s="81"/>
      <c r="K1754" s="81"/>
      <c r="L1754" s="81"/>
      <c r="M1754" s="81"/>
      <c r="N1754" s="81"/>
    </row>
    <row r="1755" spans="1:14" ht="14.25" customHeight="1" x14ac:dyDescent="0.25">
      <c r="A1755" s="119" t="s">
        <v>563</v>
      </c>
      <c r="B1755" s="120" t="s">
        <v>579</v>
      </c>
      <c r="C1755" s="120" t="s">
        <v>580</v>
      </c>
      <c r="D1755" s="121" t="s">
        <v>581</v>
      </c>
      <c r="E1755" s="121" t="s">
        <v>575</v>
      </c>
      <c r="F1755" s="121" t="s">
        <v>568</v>
      </c>
      <c r="G1755" s="81"/>
      <c r="H1755" s="81"/>
      <c r="I1755" s="81"/>
      <c r="J1755" s="81"/>
      <c r="K1755" s="81"/>
      <c r="L1755" s="81"/>
      <c r="M1755" s="81"/>
      <c r="N1755" s="81"/>
    </row>
    <row r="1756" spans="1:14" ht="14.25" customHeight="1" x14ac:dyDescent="0.25">
      <c r="A1756" s="122" t="s">
        <v>593</v>
      </c>
      <c r="B1756" s="127">
        <v>1</v>
      </c>
      <c r="C1756" s="101">
        <v>32688</v>
      </c>
      <c r="D1756" s="101">
        <f t="shared" ref="D1756:D1757" si="101">+C1756*1.7</f>
        <v>55569.599999999999</v>
      </c>
      <c r="E1756" s="107">
        <v>24</v>
      </c>
      <c r="F1756" s="106">
        <f t="shared" ref="F1756:F1757" si="102">+B1756*(D1756)/E1756</f>
        <v>2315.4</v>
      </c>
      <c r="G1756" s="81"/>
      <c r="H1756" s="81"/>
      <c r="I1756" s="81"/>
      <c r="J1756" s="81"/>
      <c r="K1756" s="81"/>
      <c r="L1756" s="81"/>
      <c r="M1756" s="81"/>
      <c r="N1756" s="81"/>
    </row>
    <row r="1757" spans="1:14" ht="14.25" customHeight="1" x14ac:dyDescent="0.25">
      <c r="A1757" s="122" t="s">
        <v>594</v>
      </c>
      <c r="B1757" s="127">
        <v>1</v>
      </c>
      <c r="C1757" s="101">
        <v>52538</v>
      </c>
      <c r="D1757" s="101">
        <f t="shared" si="101"/>
        <v>89314.599999999991</v>
      </c>
      <c r="E1757" s="107">
        <f>E1756</f>
        <v>24</v>
      </c>
      <c r="F1757" s="106">
        <f t="shared" si="102"/>
        <v>3721.4416666666662</v>
      </c>
      <c r="G1757" s="81"/>
      <c r="H1757" s="81"/>
      <c r="I1757" s="81"/>
      <c r="J1757" s="81"/>
      <c r="K1757" s="81"/>
      <c r="L1757" s="81"/>
      <c r="M1757" s="81"/>
      <c r="N1757" s="81"/>
    </row>
    <row r="1758" spans="1:14" ht="14.25" customHeight="1" x14ac:dyDescent="0.25">
      <c r="A1758" s="122"/>
      <c r="B1758" s="127"/>
      <c r="C1758" s="101"/>
      <c r="D1758" s="101"/>
      <c r="E1758" s="105"/>
      <c r="F1758" s="106"/>
      <c r="G1758" s="81"/>
      <c r="H1758" s="81"/>
      <c r="I1758" s="81"/>
      <c r="J1758" s="81"/>
      <c r="K1758" s="81"/>
      <c r="L1758" s="81"/>
      <c r="M1758" s="81"/>
      <c r="N1758" s="81"/>
    </row>
    <row r="1759" spans="1:14" ht="14.25" customHeight="1" x14ac:dyDescent="0.25">
      <c r="A1759" s="122"/>
      <c r="B1759" s="127"/>
      <c r="C1759" s="101"/>
      <c r="D1759" s="101"/>
      <c r="E1759" s="125"/>
      <c r="F1759" s="106"/>
      <c r="G1759" s="81"/>
      <c r="H1759" s="81"/>
      <c r="I1759" s="81"/>
      <c r="J1759" s="81"/>
      <c r="K1759" s="81"/>
      <c r="L1759" s="81"/>
      <c r="M1759" s="81"/>
      <c r="N1759" s="81"/>
    </row>
    <row r="1760" spans="1:14" ht="14.25" customHeight="1" x14ac:dyDescent="0.25">
      <c r="A1760" s="97" t="s">
        <v>548</v>
      </c>
      <c r="B1760" s="128"/>
      <c r="C1760" s="110"/>
      <c r="D1760" s="110"/>
      <c r="E1760" s="110"/>
      <c r="F1760" s="112">
        <f>SUM(F1756:F1759)</f>
        <v>6036.8416666666662</v>
      </c>
      <c r="G1760" s="81"/>
      <c r="H1760" s="285">
        <f>+F1760/0.15/0.15</f>
        <v>268304.0740740741</v>
      </c>
      <c r="I1760" s="81"/>
      <c r="J1760" s="81"/>
      <c r="K1760" s="81"/>
      <c r="L1760" s="81"/>
      <c r="M1760" s="81"/>
      <c r="N1760" s="81"/>
    </row>
    <row r="1761" spans="1:14" ht="14.25" customHeight="1" x14ac:dyDescent="0.25">
      <c r="A1761" s="96"/>
      <c r="B1761" s="129"/>
      <c r="C1761" s="118"/>
      <c r="D1761" s="118"/>
      <c r="E1761" s="118"/>
      <c r="F1761" s="118"/>
      <c r="G1761" s="81"/>
      <c r="H1761" s="81"/>
      <c r="I1761" s="81"/>
      <c r="J1761" s="81"/>
      <c r="K1761" s="81"/>
      <c r="L1761" s="81"/>
      <c r="M1761" s="81"/>
      <c r="N1761" s="81"/>
    </row>
    <row r="1762" spans="1:14" ht="14.25" customHeight="1" x14ac:dyDescent="0.25">
      <c r="A1762" s="95" t="s">
        <v>583</v>
      </c>
      <c r="B1762" s="96"/>
      <c r="C1762" s="92"/>
      <c r="D1762" s="92"/>
      <c r="E1762" s="92" t="s">
        <v>584</v>
      </c>
      <c r="F1762" s="92"/>
      <c r="G1762" s="81"/>
      <c r="H1762" s="81"/>
      <c r="I1762" s="81"/>
      <c r="J1762" s="81"/>
      <c r="K1762" s="81"/>
      <c r="L1762" s="81"/>
      <c r="M1762" s="81"/>
      <c r="N1762" s="81"/>
    </row>
    <row r="1763" spans="1:14" ht="14.25" customHeight="1" x14ac:dyDescent="0.25">
      <c r="A1763" s="97" t="s">
        <v>563</v>
      </c>
      <c r="B1763" s="98" t="s">
        <v>564</v>
      </c>
      <c r="C1763" s="98" t="s">
        <v>585</v>
      </c>
      <c r="D1763" s="98" t="s">
        <v>586</v>
      </c>
      <c r="E1763" s="120" t="s">
        <v>587</v>
      </c>
      <c r="F1763" s="98" t="s">
        <v>568</v>
      </c>
      <c r="G1763" s="81"/>
      <c r="H1763" s="81"/>
      <c r="I1763" s="81"/>
      <c r="J1763" s="81"/>
      <c r="K1763" s="81"/>
      <c r="L1763" s="81"/>
      <c r="M1763" s="81"/>
      <c r="N1763" s="81"/>
    </row>
    <row r="1764" spans="1:14" ht="14.25" customHeight="1" x14ac:dyDescent="0.25">
      <c r="A1764" s="103"/>
      <c r="B1764" s="100"/>
      <c r="C1764" s="101"/>
      <c r="D1764" s="140"/>
      <c r="E1764" s="107"/>
      <c r="F1764" s="109"/>
      <c r="G1764" s="81"/>
      <c r="H1764" s="81"/>
      <c r="I1764" s="81"/>
      <c r="J1764" s="81"/>
      <c r="K1764" s="81"/>
      <c r="L1764" s="81"/>
      <c r="M1764" s="81"/>
      <c r="N1764" s="81"/>
    </row>
    <row r="1765" spans="1:14" ht="14.25" customHeight="1" x14ac:dyDescent="0.25">
      <c r="A1765" s="103"/>
      <c r="B1765" s="100"/>
      <c r="C1765" s="107"/>
      <c r="D1765" s="107"/>
      <c r="E1765" s="108"/>
      <c r="F1765" s="109"/>
      <c r="G1765" s="81"/>
      <c r="H1765" s="81"/>
      <c r="I1765" s="81"/>
      <c r="J1765" s="81"/>
      <c r="K1765" s="81"/>
      <c r="L1765" s="81"/>
      <c r="M1765" s="81"/>
      <c r="N1765" s="81"/>
    </row>
    <row r="1766" spans="1:14" ht="14.25" customHeight="1" x14ac:dyDescent="0.25">
      <c r="A1766" s="97" t="s">
        <v>548</v>
      </c>
      <c r="B1766" s="98"/>
      <c r="C1766" s="110"/>
      <c r="D1766" s="110"/>
      <c r="E1766" s="111"/>
      <c r="F1766" s="112">
        <f>SUM(F1764:F1765)</f>
        <v>0</v>
      </c>
      <c r="G1766" s="81"/>
      <c r="H1766" s="81"/>
      <c r="I1766" s="81"/>
      <c r="J1766" s="81"/>
      <c r="K1766" s="81"/>
      <c r="L1766" s="81"/>
      <c r="M1766" s="81"/>
      <c r="N1766" s="81"/>
    </row>
    <row r="1767" spans="1:14" ht="14.25" customHeight="1" x14ac:dyDescent="0.25">
      <c r="A1767" s="88"/>
      <c r="B1767" s="89"/>
      <c r="C1767" s="113"/>
      <c r="D1767" s="113"/>
      <c r="E1767" s="114"/>
      <c r="F1767" s="113"/>
      <c r="G1767" s="81"/>
      <c r="H1767" s="81"/>
      <c r="I1767" s="81"/>
      <c r="J1767" s="81"/>
      <c r="K1767" s="81"/>
      <c r="L1767" s="81"/>
      <c r="M1767" s="81"/>
      <c r="N1767" s="81"/>
    </row>
    <row r="1768" spans="1:14" ht="14.25" customHeight="1" x14ac:dyDescent="0.25">
      <c r="A1768" s="88"/>
      <c r="B1768" s="89"/>
      <c r="C1768" s="113"/>
      <c r="D1768" s="113"/>
      <c r="E1768" s="114"/>
      <c r="F1768" s="113"/>
      <c r="G1768" s="81"/>
      <c r="H1768" s="81"/>
      <c r="I1768" s="81"/>
      <c r="J1768" s="81"/>
      <c r="K1768" s="81"/>
      <c r="L1768" s="81"/>
      <c r="M1768" s="81"/>
      <c r="N1768" s="81"/>
    </row>
    <row r="1769" spans="1:14" ht="14.25" customHeight="1" x14ac:dyDescent="0.25">
      <c r="A1769" s="612" t="s">
        <v>588</v>
      </c>
      <c r="B1769" s="608"/>
      <c r="C1769" s="608"/>
      <c r="D1769" s="608"/>
      <c r="E1769" s="609"/>
      <c r="F1769" s="131">
        <f>ROUND(F1743+F1752+F1760+F1766,0)</f>
        <v>21877</v>
      </c>
      <c r="G1769" s="81"/>
      <c r="H1769" s="117">
        <f>21877-F1769</f>
        <v>0</v>
      </c>
      <c r="I1769" s="81"/>
      <c r="J1769" s="81"/>
      <c r="K1769" s="81"/>
      <c r="L1769" s="81"/>
      <c r="M1769" s="81"/>
      <c r="N1769" s="81"/>
    </row>
    <row r="1770" spans="1:14" ht="14.25" customHeight="1" x14ac:dyDescent="0.25">
      <c r="A1770" s="612" t="s">
        <v>589</v>
      </c>
      <c r="B1770" s="608"/>
      <c r="C1770" s="608"/>
      <c r="D1770" s="608"/>
      <c r="E1770" s="609"/>
      <c r="F1770" s="132"/>
      <c r="G1770" s="81"/>
      <c r="H1770" s="81"/>
      <c r="I1770" s="81"/>
      <c r="J1770" s="81"/>
      <c r="K1770" s="81"/>
      <c r="L1770" s="81"/>
      <c r="M1770" s="81"/>
      <c r="N1770" s="81"/>
    </row>
    <row r="1771" spans="1:14" ht="14.25" customHeight="1" x14ac:dyDescent="0.25">
      <c r="A1771" s="146" t="s">
        <v>556</v>
      </c>
      <c r="B1771" s="147"/>
      <c r="C1771" s="147"/>
      <c r="D1771" s="147"/>
      <c r="E1771" s="148"/>
      <c r="F1771" s="133"/>
      <c r="G1771" s="81"/>
      <c r="H1771" s="81"/>
      <c r="I1771" s="81"/>
      <c r="J1771" s="81"/>
      <c r="K1771" s="81"/>
      <c r="L1771" s="81"/>
      <c r="M1771" s="81"/>
      <c r="N1771" s="81"/>
    </row>
    <row r="1772" spans="1:14" ht="14.25" customHeight="1" x14ac:dyDescent="0.25">
      <c r="A1772" s="134"/>
      <c r="B1772" s="135"/>
      <c r="C1772" s="135"/>
      <c r="D1772" s="135"/>
      <c r="E1772" s="135"/>
      <c r="F1772" s="136"/>
      <c r="G1772" s="81"/>
      <c r="H1772" s="81"/>
      <c r="I1772" s="81"/>
      <c r="J1772" s="81"/>
      <c r="K1772" s="81"/>
      <c r="L1772" s="81"/>
      <c r="M1772" s="81"/>
      <c r="N1772" s="81"/>
    </row>
    <row r="1773" spans="1:14" ht="14.25" customHeight="1" x14ac:dyDescent="0.25">
      <c r="A1773" s="81"/>
      <c r="B1773" s="81"/>
      <c r="C1773" s="137"/>
      <c r="D1773" s="81"/>
      <c r="E1773" s="81"/>
      <c r="F1773" s="81"/>
      <c r="G1773" s="81"/>
      <c r="H1773" s="81"/>
      <c r="I1773" s="81"/>
      <c r="J1773" s="81"/>
      <c r="K1773" s="81"/>
      <c r="L1773" s="81"/>
      <c r="M1773" s="81"/>
      <c r="N1773" s="81"/>
    </row>
    <row r="1774" spans="1:14" ht="14.25" customHeight="1" x14ac:dyDescent="0.25">
      <c r="A1774" s="81"/>
      <c r="B1774" s="81"/>
      <c r="C1774" s="137"/>
      <c r="D1774" s="81"/>
      <c r="E1774" s="81"/>
      <c r="F1774" s="81"/>
      <c r="G1774" s="81"/>
      <c r="H1774" s="81"/>
      <c r="I1774" s="81"/>
      <c r="J1774" s="81"/>
      <c r="K1774" s="81"/>
      <c r="L1774" s="81"/>
      <c r="M1774" s="81"/>
      <c r="N1774" s="81"/>
    </row>
    <row r="1775" spans="1:14" ht="14.25" customHeight="1" x14ac:dyDescent="0.25">
      <c r="A1775" s="81"/>
      <c r="B1775" s="81"/>
      <c r="C1775" s="137"/>
      <c r="D1775" s="81"/>
      <c r="E1775" s="81"/>
      <c r="F1775" s="81"/>
      <c r="G1775" s="81"/>
      <c r="H1775" s="81"/>
      <c r="I1775" s="81"/>
      <c r="J1775" s="81"/>
      <c r="K1775" s="81"/>
      <c r="L1775" s="81"/>
      <c r="M1775" s="81"/>
      <c r="N1775" s="81"/>
    </row>
    <row r="1776" spans="1:14" ht="14.25" customHeight="1" x14ac:dyDescent="0.25">
      <c r="A1776" s="81"/>
      <c r="B1776" s="81"/>
      <c r="C1776" s="137"/>
      <c r="D1776" s="81"/>
      <c r="E1776" s="81"/>
      <c r="F1776" s="81"/>
      <c r="G1776" s="81"/>
      <c r="H1776" s="81"/>
      <c r="I1776" s="81"/>
      <c r="J1776" s="81"/>
      <c r="K1776" s="81"/>
      <c r="L1776" s="81"/>
      <c r="M1776" s="81"/>
      <c r="N1776" s="81"/>
    </row>
    <row r="1777" spans="1:14" ht="14.25" customHeight="1" x14ac:dyDescent="0.25">
      <c r="A1777" s="81"/>
      <c r="B1777" s="81"/>
      <c r="C1777" s="137"/>
      <c r="D1777" s="81"/>
      <c r="E1777" s="81"/>
      <c r="F1777" s="81"/>
      <c r="G1777" s="81"/>
      <c r="H1777" s="81"/>
      <c r="I1777" s="81"/>
      <c r="J1777" s="81"/>
      <c r="K1777" s="81"/>
      <c r="L1777" s="81"/>
      <c r="M1777" s="81"/>
      <c r="N1777" s="81"/>
    </row>
    <row r="1778" spans="1:14" ht="14.25" customHeight="1" x14ac:dyDescent="0.25">
      <c r="A1778" s="81"/>
      <c r="B1778" s="81"/>
      <c r="C1778" s="137"/>
      <c r="D1778" s="81"/>
      <c r="E1778" s="81"/>
      <c r="F1778" s="81"/>
      <c r="G1778" s="81"/>
      <c r="H1778" s="81"/>
      <c r="I1778" s="81"/>
      <c r="J1778" s="81"/>
      <c r="K1778" s="81"/>
      <c r="L1778" s="81"/>
      <c r="M1778" s="81"/>
      <c r="N1778" s="81"/>
    </row>
    <row r="1779" spans="1:14" ht="14.25" customHeight="1" x14ac:dyDescent="0.25">
      <c r="A1779" s="81"/>
      <c r="B1779" s="81"/>
      <c r="C1779" s="137"/>
      <c r="D1779" s="81"/>
      <c r="E1779" s="81"/>
      <c r="F1779" s="81"/>
      <c r="G1779" s="81"/>
      <c r="H1779" s="81"/>
      <c r="I1779" s="81"/>
      <c r="J1779" s="81"/>
      <c r="K1779" s="81"/>
      <c r="L1779" s="81"/>
      <c r="M1779" s="81"/>
      <c r="N1779" s="81"/>
    </row>
    <row r="1780" spans="1:14" ht="14.25" customHeight="1" x14ac:dyDescent="0.25">
      <c r="A1780" s="134"/>
      <c r="B1780" s="135"/>
      <c r="C1780" s="135"/>
      <c r="D1780" s="135"/>
      <c r="E1780" s="135"/>
      <c r="F1780" s="136"/>
      <c r="G1780" s="81"/>
      <c r="H1780" s="81"/>
      <c r="I1780" s="81"/>
      <c r="J1780" s="81"/>
      <c r="K1780" s="81"/>
      <c r="L1780" s="81"/>
      <c r="M1780" s="81"/>
      <c r="N1780" s="81"/>
    </row>
    <row r="1781" spans="1:14" ht="14.25" customHeight="1" x14ac:dyDescent="0.25">
      <c r="A1781" s="134"/>
      <c r="B1781" s="135"/>
      <c r="C1781" s="135"/>
      <c r="D1781" s="135"/>
      <c r="E1781" s="135"/>
      <c r="F1781" s="136"/>
      <c r="G1781" s="81"/>
      <c r="H1781" s="81"/>
      <c r="I1781" s="81"/>
      <c r="J1781" s="81"/>
      <c r="K1781" s="81"/>
      <c r="L1781" s="81"/>
      <c r="M1781" s="81"/>
      <c r="N1781" s="81"/>
    </row>
    <row r="1782" spans="1:14" ht="14.25" customHeight="1" x14ac:dyDescent="0.25">
      <c r="A1782" s="134"/>
      <c r="B1782" s="135"/>
      <c r="C1782" s="135"/>
      <c r="D1782" s="135"/>
      <c r="E1782" s="135"/>
      <c r="F1782" s="136"/>
      <c r="G1782" s="81"/>
      <c r="H1782" s="81"/>
      <c r="I1782" s="81"/>
      <c r="J1782" s="81"/>
      <c r="K1782" s="81"/>
      <c r="L1782" s="81"/>
      <c r="M1782" s="81"/>
      <c r="N1782" s="81"/>
    </row>
    <row r="1783" spans="1:14" ht="14.25" customHeight="1" thickBot="1" x14ac:dyDescent="0.3">
      <c r="A1783" s="81"/>
      <c r="B1783" s="81"/>
      <c r="C1783" s="81"/>
      <c r="D1783" s="81"/>
      <c r="E1783" s="81"/>
      <c r="F1783" s="81"/>
      <c r="G1783" s="81"/>
      <c r="H1783" s="81"/>
      <c r="I1783" s="81"/>
      <c r="J1783" s="81"/>
      <c r="K1783" s="81"/>
      <c r="L1783" s="81"/>
      <c r="M1783" s="81"/>
      <c r="N1783" s="81"/>
    </row>
    <row r="1784" spans="1:14" ht="14.25" customHeight="1" x14ac:dyDescent="0.25">
      <c r="A1784" s="83"/>
      <c r="B1784" s="84"/>
      <c r="C1784" s="85"/>
      <c r="D1784" s="86"/>
      <c r="E1784" s="86"/>
      <c r="F1784" s="87"/>
      <c r="G1784" s="81"/>
      <c r="H1784" s="81"/>
      <c r="I1784" s="81"/>
      <c r="J1784" s="81"/>
      <c r="K1784" s="81"/>
      <c r="L1784" s="81"/>
      <c r="M1784" s="81"/>
      <c r="N1784" s="81"/>
    </row>
    <row r="1785" spans="1:14" ht="14.25" customHeight="1" x14ac:dyDescent="0.25">
      <c r="A1785" s="599"/>
      <c r="B1785" s="600"/>
      <c r="C1785" s="600"/>
      <c r="D1785" s="600"/>
      <c r="E1785" s="600"/>
      <c r="F1785" s="601"/>
      <c r="G1785" s="81"/>
      <c r="H1785" s="81"/>
      <c r="I1785" s="81"/>
      <c r="J1785" s="81"/>
      <c r="K1785" s="81"/>
      <c r="L1785" s="81"/>
      <c r="M1785" s="81"/>
      <c r="N1785" s="81"/>
    </row>
    <row r="1786" spans="1:14" ht="14.25" customHeight="1" x14ac:dyDescent="0.25">
      <c r="A1786" s="602" t="s">
        <v>561</v>
      </c>
      <c r="B1786" s="600"/>
      <c r="C1786" s="600"/>
      <c r="D1786" s="600"/>
      <c r="E1786" s="600"/>
      <c r="F1786" s="601"/>
      <c r="G1786" s="81"/>
      <c r="H1786" s="81"/>
      <c r="I1786" s="81"/>
      <c r="J1786" s="81"/>
      <c r="K1786" s="81"/>
      <c r="L1786" s="81"/>
      <c r="M1786" s="81"/>
      <c r="N1786" s="81"/>
    </row>
    <row r="1787" spans="1:14" ht="14.25" customHeight="1" thickBot="1" x14ac:dyDescent="0.3">
      <c r="A1787" s="603"/>
      <c r="B1787" s="604"/>
      <c r="C1787" s="604"/>
      <c r="D1787" s="604"/>
      <c r="E1787" s="604"/>
      <c r="F1787" s="605"/>
      <c r="G1787" s="81"/>
      <c r="H1787" s="81"/>
      <c r="I1787" s="81"/>
      <c r="J1787" s="81"/>
      <c r="K1787" s="81"/>
      <c r="L1787" s="81"/>
      <c r="M1787" s="81"/>
      <c r="N1787" s="81"/>
    </row>
    <row r="1788" spans="1:14" ht="14.25" customHeight="1" x14ac:dyDescent="0.25">
      <c r="A1788" s="88"/>
      <c r="B1788" s="88"/>
      <c r="C1788" s="89"/>
      <c r="D1788" s="89"/>
      <c r="E1788" s="89"/>
      <c r="F1788" s="89"/>
      <c r="G1788" s="81"/>
      <c r="H1788" s="81"/>
      <c r="I1788" s="81"/>
      <c r="J1788" s="81"/>
      <c r="K1788" s="81"/>
      <c r="L1788" s="81"/>
      <c r="M1788" s="81"/>
      <c r="N1788" s="81"/>
    </row>
    <row r="1789" spans="1:14" ht="27.75" customHeight="1" x14ac:dyDescent="0.25">
      <c r="A1789" s="90" t="s">
        <v>47</v>
      </c>
      <c r="B1789" s="613" t="s">
        <v>114</v>
      </c>
      <c r="C1789" s="600"/>
      <c r="D1789" s="600"/>
      <c r="E1789" s="600"/>
      <c r="F1789" s="600"/>
      <c r="G1789" s="81"/>
      <c r="H1789" s="81"/>
      <c r="I1789" s="81"/>
      <c r="J1789" s="81"/>
      <c r="K1789" s="81"/>
      <c r="L1789" s="81"/>
      <c r="M1789" s="81"/>
      <c r="N1789" s="81"/>
    </row>
    <row r="1790" spans="1:14" ht="14.25" customHeight="1" x14ac:dyDescent="0.25">
      <c r="A1790" s="91"/>
      <c r="B1790" s="91"/>
      <c r="C1790" s="91"/>
      <c r="D1790" s="91"/>
      <c r="E1790" s="91"/>
      <c r="F1790" s="91"/>
      <c r="G1790" s="81"/>
      <c r="H1790" s="81"/>
      <c r="I1790" s="81"/>
      <c r="J1790" s="81"/>
      <c r="K1790" s="81"/>
      <c r="L1790" s="81"/>
      <c r="M1790" s="81"/>
      <c r="N1790" s="81"/>
    </row>
    <row r="1791" spans="1:14" ht="14.25" customHeight="1" x14ac:dyDescent="0.25">
      <c r="A1791" s="88" t="s">
        <v>49</v>
      </c>
      <c r="B1791" s="92" t="s">
        <v>56</v>
      </c>
      <c r="C1791" s="89"/>
      <c r="D1791" s="89"/>
      <c r="E1791" s="89"/>
      <c r="F1791" s="93"/>
      <c r="G1791" s="81"/>
      <c r="H1791" s="81"/>
      <c r="I1791" s="81"/>
      <c r="J1791" s="81"/>
      <c r="K1791" s="81"/>
      <c r="L1791" s="81"/>
      <c r="M1791" s="81"/>
      <c r="N1791" s="81"/>
    </row>
    <row r="1792" spans="1:14" ht="14.25" customHeight="1" x14ac:dyDescent="0.25">
      <c r="A1792" s="88"/>
      <c r="B1792" s="94"/>
      <c r="C1792" s="89"/>
      <c r="D1792" s="89"/>
      <c r="E1792" s="89"/>
      <c r="F1792" s="93"/>
      <c r="G1792" s="81"/>
      <c r="H1792" s="81"/>
      <c r="I1792" s="81"/>
      <c r="J1792" s="81"/>
      <c r="K1792" s="81"/>
      <c r="L1792" s="81"/>
      <c r="M1792" s="81"/>
      <c r="N1792" s="81"/>
    </row>
    <row r="1793" spans="1:14" ht="14.25" customHeight="1" x14ac:dyDescent="0.25">
      <c r="A1793" s="95" t="s">
        <v>562</v>
      </c>
      <c r="B1793" s="96"/>
      <c r="C1793" s="92"/>
      <c r="D1793" s="92"/>
      <c r="E1793" s="92"/>
      <c r="F1793" s="92"/>
      <c r="G1793" s="81"/>
      <c r="H1793" s="81"/>
      <c r="I1793" s="81"/>
      <c r="J1793" s="81"/>
      <c r="K1793" s="81"/>
      <c r="L1793" s="81"/>
      <c r="M1793" s="81"/>
      <c r="N1793" s="81"/>
    </row>
    <row r="1794" spans="1:14" ht="14.25" customHeight="1" x14ac:dyDescent="0.25">
      <c r="A1794" s="97" t="s">
        <v>563</v>
      </c>
      <c r="B1794" s="98" t="s">
        <v>564</v>
      </c>
      <c r="C1794" s="98" t="s">
        <v>565</v>
      </c>
      <c r="D1794" s="98" t="s">
        <v>566</v>
      </c>
      <c r="E1794" s="98" t="s">
        <v>567</v>
      </c>
      <c r="F1794" s="98" t="s">
        <v>568</v>
      </c>
      <c r="G1794" s="81"/>
      <c r="H1794" s="81"/>
      <c r="I1794" s="81"/>
      <c r="J1794" s="81"/>
      <c r="K1794" s="81"/>
      <c r="L1794" s="81"/>
      <c r="M1794" s="81"/>
      <c r="N1794" s="81"/>
    </row>
    <row r="1795" spans="1:14" ht="14.25" customHeight="1" x14ac:dyDescent="0.25">
      <c r="A1795" s="99" t="s">
        <v>641</v>
      </c>
      <c r="B1795" s="100" t="s">
        <v>64</v>
      </c>
      <c r="C1795" s="101">
        <v>441370</v>
      </c>
      <c r="D1795" s="104">
        <v>0.15</v>
      </c>
      <c r="E1795" s="102">
        <v>0.05</v>
      </c>
      <c r="F1795" s="101">
        <f t="shared" ref="F1795:F1800" si="103">C1795*(D1795+(D1795*E1795))</f>
        <v>69515.774999999994</v>
      </c>
      <c r="G1795" s="81"/>
      <c r="H1795" s="81"/>
      <c r="I1795" s="81"/>
      <c r="J1795" s="81"/>
      <c r="K1795" s="81"/>
      <c r="L1795" s="81"/>
      <c r="M1795" s="81"/>
      <c r="N1795" s="81"/>
    </row>
    <row r="1796" spans="1:14" ht="14.25" customHeight="1" x14ac:dyDescent="0.25">
      <c r="A1796" s="99" t="s">
        <v>646</v>
      </c>
      <c r="B1796" s="100" t="s">
        <v>64</v>
      </c>
      <c r="C1796" s="101">
        <v>45000</v>
      </c>
      <c r="D1796" s="149">
        <v>0.15</v>
      </c>
      <c r="E1796" s="102"/>
      <c r="F1796" s="101">
        <f t="shared" si="103"/>
        <v>6750</v>
      </c>
      <c r="G1796" s="81"/>
      <c r="H1796" s="81">
        <f>+F1796/0.15</f>
        <v>45000</v>
      </c>
      <c r="I1796" s="81"/>
      <c r="J1796" s="81"/>
      <c r="K1796" s="81"/>
      <c r="L1796" s="81"/>
      <c r="M1796" s="81"/>
      <c r="N1796" s="81"/>
    </row>
    <row r="1797" spans="1:14" ht="14.25" customHeight="1" x14ac:dyDescent="0.25">
      <c r="A1797" s="99"/>
      <c r="B1797" s="100"/>
      <c r="C1797" s="101"/>
      <c r="D1797" s="149"/>
      <c r="E1797" s="102"/>
      <c r="F1797" s="101">
        <f t="shared" si="103"/>
        <v>0</v>
      </c>
      <c r="G1797" s="81"/>
      <c r="H1797" s="81"/>
      <c r="I1797" s="81"/>
      <c r="J1797" s="81"/>
      <c r="K1797" s="81"/>
      <c r="L1797" s="81"/>
      <c r="M1797" s="81"/>
      <c r="N1797" s="81"/>
    </row>
    <row r="1798" spans="1:14" ht="14.25" customHeight="1" x14ac:dyDescent="0.25">
      <c r="A1798" s="99"/>
      <c r="B1798" s="100"/>
      <c r="C1798" s="101"/>
      <c r="D1798" s="104"/>
      <c r="E1798" s="102"/>
      <c r="F1798" s="101">
        <f t="shared" si="103"/>
        <v>0</v>
      </c>
      <c r="G1798" s="81"/>
      <c r="H1798" s="81"/>
      <c r="I1798" s="81"/>
      <c r="J1798" s="81"/>
      <c r="K1798" s="81"/>
      <c r="L1798" s="81"/>
      <c r="M1798" s="81"/>
      <c r="N1798" s="81"/>
    </row>
    <row r="1799" spans="1:14" ht="14.25" customHeight="1" x14ac:dyDescent="0.25">
      <c r="A1799" s="99"/>
      <c r="B1799" s="100"/>
      <c r="C1799" s="101"/>
      <c r="D1799" s="104"/>
      <c r="E1799" s="102"/>
      <c r="F1799" s="101">
        <f t="shared" si="103"/>
        <v>0</v>
      </c>
      <c r="G1799" s="81"/>
      <c r="H1799" s="81"/>
      <c r="I1799" s="81"/>
      <c r="J1799" s="81"/>
      <c r="K1799" s="81"/>
      <c r="L1799" s="81"/>
      <c r="M1799" s="81"/>
      <c r="N1799" s="81"/>
    </row>
    <row r="1800" spans="1:14" ht="14.25" customHeight="1" x14ac:dyDescent="0.25">
      <c r="A1800" s="99"/>
      <c r="B1800" s="100"/>
      <c r="C1800" s="101"/>
      <c r="D1800" s="104"/>
      <c r="E1800" s="102"/>
      <c r="F1800" s="101">
        <f t="shared" si="103"/>
        <v>0</v>
      </c>
      <c r="G1800" s="81"/>
      <c r="H1800" s="81"/>
      <c r="I1800" s="81"/>
      <c r="J1800" s="81"/>
      <c r="K1800" s="81"/>
      <c r="L1800" s="81"/>
      <c r="M1800" s="81"/>
      <c r="N1800" s="81"/>
    </row>
    <row r="1801" spans="1:14" ht="14.25" customHeight="1" x14ac:dyDescent="0.25">
      <c r="A1801" s="99"/>
      <c r="B1801" s="100"/>
      <c r="C1801" s="106"/>
      <c r="D1801" s="107"/>
      <c r="E1801" s="108"/>
      <c r="F1801" s="106"/>
      <c r="G1801" s="81"/>
      <c r="H1801" s="81"/>
      <c r="I1801" s="81"/>
      <c r="J1801" s="81"/>
      <c r="K1801" s="81"/>
      <c r="L1801" s="81"/>
      <c r="M1801" s="81"/>
      <c r="N1801" s="81"/>
    </row>
    <row r="1802" spans="1:14" ht="14.25" customHeight="1" x14ac:dyDescent="0.25">
      <c r="A1802" s="97" t="s">
        <v>548</v>
      </c>
      <c r="B1802" s="97"/>
      <c r="C1802" s="109"/>
      <c r="D1802" s="110"/>
      <c r="E1802" s="111"/>
      <c r="F1802" s="112">
        <f>SUM(F1795:F1801)</f>
        <v>76265.774999999994</v>
      </c>
      <c r="G1802" s="81"/>
      <c r="H1802" s="81"/>
      <c r="I1802" s="81"/>
      <c r="J1802" s="81"/>
      <c r="K1802" s="81"/>
      <c r="L1802" s="81"/>
      <c r="M1802" s="81"/>
      <c r="N1802" s="81"/>
    </row>
    <row r="1803" spans="1:14" ht="14.25" customHeight="1" x14ac:dyDescent="0.25">
      <c r="A1803" s="88"/>
      <c r="B1803" s="88"/>
      <c r="C1803" s="113"/>
      <c r="D1803" s="113"/>
      <c r="E1803" s="114"/>
      <c r="F1803" s="113"/>
      <c r="G1803" s="81"/>
      <c r="H1803" s="81"/>
      <c r="I1803" s="81"/>
      <c r="J1803" s="81"/>
      <c r="K1803" s="81"/>
      <c r="L1803" s="81"/>
      <c r="M1803" s="81"/>
      <c r="N1803" s="81"/>
    </row>
    <row r="1804" spans="1:14" ht="14.25" customHeight="1" x14ac:dyDescent="0.25">
      <c r="A1804" s="96" t="s">
        <v>573</v>
      </c>
      <c r="B1804" s="96"/>
      <c r="C1804" s="92"/>
      <c r="D1804" s="92"/>
      <c r="E1804" s="92"/>
      <c r="F1804" s="92"/>
      <c r="G1804" s="81"/>
      <c r="H1804" s="81"/>
      <c r="I1804" s="81"/>
      <c r="J1804" s="81"/>
      <c r="K1804" s="81"/>
      <c r="L1804" s="81"/>
      <c r="M1804" s="81"/>
      <c r="N1804" s="81"/>
    </row>
    <row r="1805" spans="1:14" ht="14.25" customHeight="1" x14ac:dyDescent="0.25">
      <c r="A1805" s="611" t="s">
        <v>563</v>
      </c>
      <c r="B1805" s="608"/>
      <c r="C1805" s="609"/>
      <c r="D1805" s="98" t="s">
        <v>574</v>
      </c>
      <c r="E1805" s="98" t="s">
        <v>575</v>
      </c>
      <c r="F1805" s="98" t="s">
        <v>568</v>
      </c>
      <c r="G1805" s="81"/>
      <c r="H1805" s="81"/>
      <c r="I1805" s="81"/>
      <c r="J1805" s="81"/>
      <c r="K1805" s="81"/>
      <c r="L1805" s="81"/>
      <c r="M1805" s="81"/>
      <c r="N1805" s="81"/>
    </row>
    <row r="1806" spans="1:14" ht="14.25" customHeight="1" x14ac:dyDescent="0.25">
      <c r="A1806" s="607" t="s">
        <v>577</v>
      </c>
      <c r="B1806" s="608"/>
      <c r="C1806" s="609"/>
      <c r="D1806" s="116"/>
      <c r="E1806" s="107"/>
      <c r="F1806" s="106">
        <v>406</v>
      </c>
      <c r="G1806" s="81"/>
      <c r="H1806" s="285"/>
      <c r="I1806" s="81"/>
      <c r="J1806" s="81"/>
      <c r="K1806" s="81"/>
      <c r="L1806" s="81"/>
      <c r="M1806" s="81"/>
      <c r="N1806" s="81"/>
    </row>
    <row r="1807" spans="1:14" ht="14.25" customHeight="1" x14ac:dyDescent="0.25">
      <c r="A1807" s="607" t="s">
        <v>642</v>
      </c>
      <c r="B1807" s="608"/>
      <c r="C1807" s="609"/>
      <c r="D1807" s="142">
        <v>8750</v>
      </c>
      <c r="E1807" s="105">
        <v>4.8</v>
      </c>
      <c r="F1807" s="106">
        <f t="shared" ref="F1807:F1808" si="104">D1807/E1807</f>
        <v>1822.9166666666667</v>
      </c>
      <c r="G1807" s="81"/>
      <c r="H1807" s="285"/>
      <c r="I1807" s="81"/>
      <c r="J1807" s="81"/>
      <c r="K1807" s="81"/>
      <c r="L1807" s="81"/>
      <c r="M1807" s="81"/>
      <c r="N1807" s="81"/>
    </row>
    <row r="1808" spans="1:14" ht="14.25" customHeight="1" x14ac:dyDescent="0.25">
      <c r="A1808" s="607" t="s">
        <v>643</v>
      </c>
      <c r="B1808" s="608"/>
      <c r="C1808" s="609"/>
      <c r="D1808" s="142">
        <v>12350</v>
      </c>
      <c r="E1808" s="105">
        <v>0.41</v>
      </c>
      <c r="F1808" s="106">
        <f t="shared" si="104"/>
        <v>30121.951219512197</v>
      </c>
      <c r="G1808" s="81"/>
      <c r="H1808" s="285"/>
      <c r="I1808" s="81"/>
      <c r="J1808" s="81"/>
      <c r="K1808" s="81"/>
      <c r="L1808" s="81"/>
      <c r="M1808" s="81"/>
      <c r="N1808" s="81"/>
    </row>
    <row r="1809" spans="1:14" ht="14.25" customHeight="1" x14ac:dyDescent="0.25">
      <c r="A1809" s="607"/>
      <c r="B1809" s="608"/>
      <c r="C1809" s="609"/>
      <c r="D1809" s="142"/>
      <c r="E1809" s="107"/>
      <c r="F1809" s="106"/>
      <c r="G1809" s="81"/>
      <c r="H1809" s="81"/>
      <c r="I1809" s="81"/>
      <c r="J1809" s="81"/>
      <c r="K1809" s="81"/>
      <c r="L1809" s="81"/>
      <c r="M1809" s="81"/>
      <c r="N1809" s="81"/>
    </row>
    <row r="1810" spans="1:14" ht="14.25" customHeight="1" x14ac:dyDescent="0.25">
      <c r="A1810" s="610"/>
      <c r="B1810" s="608"/>
      <c r="C1810" s="609"/>
      <c r="D1810" s="115"/>
      <c r="E1810" s="107"/>
      <c r="F1810" s="106"/>
      <c r="G1810" s="81"/>
      <c r="H1810" s="81"/>
      <c r="I1810" s="81"/>
      <c r="J1810" s="81"/>
      <c r="K1810" s="81"/>
      <c r="L1810" s="81"/>
      <c r="M1810" s="81"/>
      <c r="N1810" s="81"/>
    </row>
    <row r="1811" spans="1:14" ht="14.25" customHeight="1" x14ac:dyDescent="0.25">
      <c r="A1811" s="611" t="s">
        <v>548</v>
      </c>
      <c r="B1811" s="608"/>
      <c r="C1811" s="609"/>
      <c r="D1811" s="110"/>
      <c r="E1811" s="110"/>
      <c r="F1811" s="112">
        <f>SUM(F1806:F1809)</f>
        <v>32350.867886178865</v>
      </c>
      <c r="G1811" s="81"/>
      <c r="H1811" s="81"/>
      <c r="I1811" s="81"/>
      <c r="J1811" s="81"/>
      <c r="K1811" s="81"/>
      <c r="L1811" s="81"/>
      <c r="M1811" s="81"/>
      <c r="N1811" s="81"/>
    </row>
    <row r="1812" spans="1:14" ht="14.25" customHeight="1" x14ac:dyDescent="0.25">
      <c r="A1812" s="88"/>
      <c r="B1812" s="88"/>
      <c r="C1812" s="89"/>
      <c r="D1812" s="113"/>
      <c r="E1812" s="113"/>
      <c r="F1812" s="113"/>
      <c r="G1812" s="81"/>
      <c r="H1812" s="81"/>
      <c r="I1812" s="81"/>
      <c r="J1812" s="81"/>
      <c r="K1812" s="81"/>
      <c r="L1812" s="81"/>
      <c r="M1812" s="81"/>
      <c r="N1812" s="81"/>
    </row>
    <row r="1813" spans="1:14" ht="14.25" customHeight="1" x14ac:dyDescent="0.25">
      <c r="A1813" s="96" t="s">
        <v>578</v>
      </c>
      <c r="B1813" s="96"/>
      <c r="C1813" s="92"/>
      <c r="D1813" s="118"/>
      <c r="E1813" s="118"/>
      <c r="F1813" s="118"/>
      <c r="G1813" s="81"/>
      <c r="H1813" s="81"/>
      <c r="I1813" s="81"/>
      <c r="J1813" s="81"/>
      <c r="K1813" s="81"/>
      <c r="L1813" s="81"/>
      <c r="M1813" s="81"/>
      <c r="N1813" s="81"/>
    </row>
    <row r="1814" spans="1:14" ht="14.25" customHeight="1" x14ac:dyDescent="0.25">
      <c r="A1814" s="119" t="s">
        <v>563</v>
      </c>
      <c r="B1814" s="120" t="s">
        <v>579</v>
      </c>
      <c r="C1814" s="120" t="s">
        <v>580</v>
      </c>
      <c r="D1814" s="121" t="s">
        <v>581</v>
      </c>
      <c r="E1814" s="121" t="s">
        <v>575</v>
      </c>
      <c r="F1814" s="121" t="s">
        <v>568</v>
      </c>
      <c r="G1814" s="81"/>
      <c r="H1814" s="81"/>
      <c r="I1814" s="81"/>
      <c r="J1814" s="81"/>
      <c r="K1814" s="81"/>
      <c r="L1814" s="81"/>
      <c r="M1814" s="81"/>
      <c r="N1814" s="81"/>
    </row>
    <row r="1815" spans="1:14" ht="14.25" customHeight="1" x14ac:dyDescent="0.25">
      <c r="A1815" s="122" t="s">
        <v>593</v>
      </c>
      <c r="B1815" s="127">
        <v>5</v>
      </c>
      <c r="C1815" s="101">
        <v>32688</v>
      </c>
      <c r="D1815" s="101">
        <f t="shared" ref="D1815:D1816" si="105">+C1815*1.7</f>
        <v>55569.599999999999</v>
      </c>
      <c r="E1815" s="107">
        <v>12</v>
      </c>
      <c r="F1815" s="106">
        <f t="shared" ref="F1815:F1816" si="106">+B1815*(D1815)/E1815</f>
        <v>23154</v>
      </c>
      <c r="G1815" s="81"/>
      <c r="H1815" s="81"/>
      <c r="I1815" s="81"/>
      <c r="J1815" s="81"/>
      <c r="K1815" s="81"/>
      <c r="L1815" s="81"/>
      <c r="M1815" s="81"/>
      <c r="N1815" s="81"/>
    </row>
    <row r="1816" spans="1:14" ht="14.25" customHeight="1" x14ac:dyDescent="0.25">
      <c r="A1816" s="122" t="s">
        <v>594</v>
      </c>
      <c r="B1816" s="127">
        <v>3</v>
      </c>
      <c r="C1816" s="101">
        <v>52538</v>
      </c>
      <c r="D1816" s="101">
        <f t="shared" si="105"/>
        <v>89314.599999999991</v>
      </c>
      <c r="E1816" s="107">
        <f>E1815</f>
        <v>12</v>
      </c>
      <c r="F1816" s="106">
        <f t="shared" si="106"/>
        <v>22328.649999999998</v>
      </c>
      <c r="G1816" s="81"/>
      <c r="H1816" s="81"/>
      <c r="I1816" s="81"/>
      <c r="J1816" s="81"/>
      <c r="K1816" s="81"/>
      <c r="L1816" s="81"/>
      <c r="M1816" s="81"/>
      <c r="N1816" s="81"/>
    </row>
    <row r="1817" spans="1:14" ht="14.25" customHeight="1" x14ac:dyDescent="0.25">
      <c r="A1817" s="122"/>
      <c r="B1817" s="127"/>
      <c r="C1817" s="101"/>
      <c r="D1817" s="101"/>
      <c r="E1817" s="105"/>
      <c r="F1817" s="106"/>
      <c r="G1817" s="81"/>
      <c r="H1817" s="81"/>
      <c r="I1817" s="81"/>
      <c r="J1817" s="81"/>
      <c r="K1817" s="81"/>
      <c r="L1817" s="81"/>
      <c r="M1817" s="81"/>
      <c r="N1817" s="81"/>
    </row>
    <row r="1818" spans="1:14" ht="14.25" customHeight="1" x14ac:dyDescent="0.25">
      <c r="A1818" s="122"/>
      <c r="B1818" s="127"/>
      <c r="C1818" s="101"/>
      <c r="D1818" s="101"/>
      <c r="E1818" s="125"/>
      <c r="F1818" s="106"/>
      <c r="G1818" s="81"/>
      <c r="H1818" s="81"/>
      <c r="I1818" s="81"/>
      <c r="J1818" s="81"/>
      <c r="K1818" s="81"/>
      <c r="L1818" s="81"/>
      <c r="M1818" s="81"/>
      <c r="N1818" s="81"/>
    </row>
    <row r="1819" spans="1:14" ht="14.25" customHeight="1" x14ac:dyDescent="0.25">
      <c r="A1819" s="97" t="s">
        <v>548</v>
      </c>
      <c r="B1819" s="128"/>
      <c r="C1819" s="110"/>
      <c r="D1819" s="110"/>
      <c r="E1819" s="110"/>
      <c r="F1819" s="112">
        <f>SUM(F1815:F1818)</f>
        <v>45482.649999999994</v>
      </c>
      <c r="G1819" s="81"/>
      <c r="H1819" s="81"/>
      <c r="I1819" s="81"/>
      <c r="J1819" s="81"/>
      <c r="K1819" s="81"/>
      <c r="L1819" s="81"/>
      <c r="M1819" s="81"/>
      <c r="N1819" s="81"/>
    </row>
    <row r="1820" spans="1:14" ht="14.25" customHeight="1" x14ac:dyDescent="0.25">
      <c r="A1820" s="96"/>
      <c r="B1820" s="129"/>
      <c r="C1820" s="118"/>
      <c r="D1820" s="118"/>
      <c r="E1820" s="118"/>
      <c r="F1820" s="118"/>
      <c r="G1820" s="81"/>
      <c r="H1820" s="81"/>
      <c r="I1820" s="81"/>
      <c r="J1820" s="81"/>
      <c r="K1820" s="81"/>
      <c r="L1820" s="81"/>
      <c r="M1820" s="81"/>
      <c r="N1820" s="81"/>
    </row>
    <row r="1821" spans="1:14" ht="14.25" customHeight="1" x14ac:dyDescent="0.25">
      <c r="A1821" s="95" t="s">
        <v>583</v>
      </c>
      <c r="B1821" s="96"/>
      <c r="C1821" s="92"/>
      <c r="D1821" s="92"/>
      <c r="E1821" s="92" t="s">
        <v>584</v>
      </c>
      <c r="F1821" s="92"/>
      <c r="G1821" s="81"/>
      <c r="H1821" s="81"/>
      <c r="I1821" s="81"/>
      <c r="J1821" s="81"/>
      <c r="K1821" s="81"/>
      <c r="L1821" s="81"/>
      <c r="M1821" s="81"/>
      <c r="N1821" s="81"/>
    </row>
    <row r="1822" spans="1:14" ht="14.25" customHeight="1" x14ac:dyDescent="0.25">
      <c r="A1822" s="97" t="s">
        <v>563</v>
      </c>
      <c r="B1822" s="98" t="s">
        <v>564</v>
      </c>
      <c r="C1822" s="98" t="s">
        <v>585</v>
      </c>
      <c r="D1822" s="98" t="s">
        <v>586</v>
      </c>
      <c r="E1822" s="120" t="s">
        <v>587</v>
      </c>
      <c r="F1822" s="98" t="s">
        <v>568</v>
      </c>
      <c r="G1822" s="81"/>
      <c r="H1822" s="81"/>
      <c r="I1822" s="81"/>
      <c r="J1822" s="81"/>
      <c r="K1822" s="81"/>
      <c r="L1822" s="81"/>
      <c r="M1822" s="81"/>
      <c r="N1822" s="81"/>
    </row>
    <row r="1823" spans="1:14" ht="14.25" customHeight="1" x14ac:dyDescent="0.25">
      <c r="A1823" s="103"/>
      <c r="B1823" s="100"/>
      <c r="C1823" s="101"/>
      <c r="D1823" s="140"/>
      <c r="E1823" s="107"/>
      <c r="F1823" s="109"/>
      <c r="G1823" s="81"/>
      <c r="H1823" s="81"/>
      <c r="I1823" s="81"/>
      <c r="J1823" s="81"/>
      <c r="K1823" s="81"/>
      <c r="L1823" s="81"/>
      <c r="M1823" s="81"/>
      <c r="N1823" s="81"/>
    </row>
    <row r="1824" spans="1:14" ht="14.25" customHeight="1" x14ac:dyDescent="0.25">
      <c r="A1824" s="103"/>
      <c r="B1824" s="100"/>
      <c r="C1824" s="107"/>
      <c r="D1824" s="107"/>
      <c r="E1824" s="108"/>
      <c r="F1824" s="109"/>
      <c r="G1824" s="81"/>
      <c r="H1824" s="81"/>
      <c r="I1824" s="81"/>
      <c r="J1824" s="81"/>
      <c r="K1824" s="81"/>
      <c r="L1824" s="81"/>
      <c r="M1824" s="81"/>
      <c r="N1824" s="81"/>
    </row>
    <row r="1825" spans="1:14" ht="14.25" customHeight="1" x14ac:dyDescent="0.25">
      <c r="A1825" s="97" t="s">
        <v>548</v>
      </c>
      <c r="B1825" s="98"/>
      <c r="C1825" s="110"/>
      <c r="D1825" s="110"/>
      <c r="E1825" s="111"/>
      <c r="F1825" s="112">
        <f>SUM(F1823:F1824)</f>
        <v>0</v>
      </c>
      <c r="G1825" s="81"/>
      <c r="H1825" s="81"/>
      <c r="I1825" s="81"/>
      <c r="J1825" s="81"/>
      <c r="K1825" s="81"/>
      <c r="L1825" s="81"/>
      <c r="M1825" s="81"/>
      <c r="N1825" s="81"/>
    </row>
    <row r="1826" spans="1:14" ht="14.25" customHeight="1" x14ac:dyDescent="0.25">
      <c r="A1826" s="88"/>
      <c r="B1826" s="89"/>
      <c r="C1826" s="113"/>
      <c r="D1826" s="113"/>
      <c r="E1826" s="114"/>
      <c r="F1826" s="113"/>
      <c r="G1826" s="81"/>
      <c r="H1826" s="81"/>
      <c r="I1826" s="81"/>
      <c r="J1826" s="81"/>
      <c r="K1826" s="81"/>
      <c r="L1826" s="81"/>
      <c r="M1826" s="81"/>
      <c r="N1826" s="81"/>
    </row>
    <row r="1827" spans="1:14" ht="14.25" customHeight="1" x14ac:dyDescent="0.25">
      <c r="A1827" s="88"/>
      <c r="B1827" s="89"/>
      <c r="C1827" s="113"/>
      <c r="D1827" s="113"/>
      <c r="E1827" s="114"/>
      <c r="F1827" s="113"/>
      <c r="G1827" s="81"/>
      <c r="H1827" s="81"/>
      <c r="I1827" s="81"/>
      <c r="J1827" s="81"/>
      <c r="K1827" s="81"/>
      <c r="L1827" s="81"/>
      <c r="M1827" s="81"/>
      <c r="N1827" s="81"/>
    </row>
    <row r="1828" spans="1:14" ht="14.25" customHeight="1" x14ac:dyDescent="0.25">
      <c r="A1828" s="612" t="s">
        <v>588</v>
      </c>
      <c r="B1828" s="608"/>
      <c r="C1828" s="608"/>
      <c r="D1828" s="608"/>
      <c r="E1828" s="609"/>
      <c r="F1828" s="131">
        <f>ROUND(F1802+F1811+F1819+F1825,0)</f>
        <v>154099</v>
      </c>
      <c r="G1828" s="81"/>
      <c r="H1828" s="117">
        <f>154099-F1828</f>
        <v>0</v>
      </c>
      <c r="I1828" s="81"/>
      <c r="J1828" s="81"/>
      <c r="K1828" s="81"/>
      <c r="L1828" s="81"/>
      <c r="M1828" s="81"/>
      <c r="N1828" s="81"/>
    </row>
    <row r="1829" spans="1:14" ht="14.25" customHeight="1" x14ac:dyDescent="0.25">
      <c r="A1829" s="612" t="s">
        <v>589</v>
      </c>
      <c r="B1829" s="608"/>
      <c r="C1829" s="608"/>
      <c r="D1829" s="608"/>
      <c r="E1829" s="609"/>
      <c r="F1829" s="132"/>
      <c r="G1829" s="81"/>
      <c r="H1829" s="81"/>
      <c r="I1829" s="81"/>
      <c r="J1829" s="81"/>
      <c r="K1829" s="81"/>
      <c r="L1829" s="81"/>
      <c r="M1829" s="81"/>
      <c r="N1829" s="81"/>
    </row>
    <row r="1830" spans="1:14" ht="14.25" customHeight="1" x14ac:dyDescent="0.25">
      <c r="A1830" s="146" t="s">
        <v>556</v>
      </c>
      <c r="B1830" s="147"/>
      <c r="C1830" s="147"/>
      <c r="D1830" s="147"/>
      <c r="E1830" s="148"/>
      <c r="F1830" s="133"/>
      <c r="G1830" s="81"/>
      <c r="H1830" s="81"/>
      <c r="I1830" s="81"/>
      <c r="J1830" s="81"/>
      <c r="K1830" s="81"/>
      <c r="L1830" s="81"/>
      <c r="M1830" s="81"/>
      <c r="N1830" s="81"/>
    </row>
    <row r="1831" spans="1:14" ht="14.25" customHeight="1" x14ac:dyDescent="0.25">
      <c r="A1831" s="134"/>
      <c r="B1831" s="135"/>
      <c r="C1831" s="135"/>
      <c r="D1831" s="135"/>
      <c r="E1831" s="135"/>
      <c r="F1831" s="136"/>
      <c r="G1831" s="81"/>
      <c r="H1831" s="81"/>
      <c r="I1831" s="81"/>
      <c r="J1831" s="81"/>
      <c r="K1831" s="81"/>
      <c r="L1831" s="81"/>
      <c r="M1831" s="81"/>
      <c r="N1831" s="81"/>
    </row>
    <row r="1832" spans="1:14" ht="14.25" customHeight="1" x14ac:dyDescent="0.25">
      <c r="A1832" s="81"/>
      <c r="B1832" s="81"/>
      <c r="C1832" s="137"/>
      <c r="D1832" s="81"/>
      <c r="E1832" s="81"/>
      <c r="F1832" s="81"/>
      <c r="G1832" s="81"/>
      <c r="H1832" s="81"/>
      <c r="I1832" s="81"/>
      <c r="J1832" s="81"/>
      <c r="K1832" s="81"/>
      <c r="L1832" s="81"/>
      <c r="M1832" s="81"/>
      <c r="N1832" s="81"/>
    </row>
    <row r="1833" spans="1:14" ht="14.25" customHeight="1" x14ac:dyDescent="0.25">
      <c r="A1833" s="81"/>
      <c r="B1833" s="81"/>
      <c r="C1833" s="137"/>
      <c r="D1833" s="81"/>
      <c r="E1833" s="81"/>
      <c r="F1833" s="81"/>
      <c r="G1833" s="81"/>
      <c r="H1833" s="81"/>
      <c r="I1833" s="81"/>
      <c r="J1833" s="81"/>
      <c r="K1833" s="81"/>
      <c r="L1833" s="81"/>
      <c r="M1833" s="81"/>
      <c r="N1833" s="81"/>
    </row>
    <row r="1834" spans="1:14" ht="14.25" customHeight="1" x14ac:dyDescent="0.25">
      <c r="A1834" s="81"/>
      <c r="B1834" s="81"/>
      <c r="C1834" s="137"/>
      <c r="D1834" s="81"/>
      <c r="E1834" s="81"/>
      <c r="F1834" s="81"/>
      <c r="G1834" s="81"/>
      <c r="H1834" s="81"/>
      <c r="I1834" s="81"/>
      <c r="J1834" s="81"/>
      <c r="K1834" s="81"/>
      <c r="L1834" s="81"/>
      <c r="M1834" s="81"/>
      <c r="N1834" s="81"/>
    </row>
    <row r="1835" spans="1:14" ht="14.25" customHeight="1" x14ac:dyDescent="0.25">
      <c r="A1835" s="81"/>
      <c r="B1835" s="81"/>
      <c r="C1835" s="137"/>
      <c r="D1835" s="81"/>
      <c r="E1835" s="81"/>
      <c r="F1835" s="81"/>
      <c r="G1835" s="81"/>
      <c r="H1835" s="81"/>
      <c r="I1835" s="81"/>
      <c r="J1835" s="81"/>
      <c r="K1835" s="81"/>
      <c r="L1835" s="81"/>
      <c r="M1835" s="81"/>
      <c r="N1835" s="81"/>
    </row>
    <row r="1836" spans="1:14" ht="14.25" customHeight="1" x14ac:dyDescent="0.25">
      <c r="A1836" s="81"/>
      <c r="B1836" s="81"/>
      <c r="C1836" s="137"/>
      <c r="D1836" s="81"/>
      <c r="E1836" s="81"/>
      <c r="F1836" s="81"/>
      <c r="G1836" s="81"/>
      <c r="H1836" s="81"/>
      <c r="I1836" s="81"/>
      <c r="J1836" s="81"/>
      <c r="K1836" s="81"/>
      <c r="L1836" s="81"/>
      <c r="M1836" s="81"/>
      <c r="N1836" s="81"/>
    </row>
    <row r="1837" spans="1:14" ht="14.25" customHeight="1" x14ac:dyDescent="0.25">
      <c r="A1837" s="81"/>
      <c r="B1837" s="81"/>
      <c r="C1837" s="137"/>
      <c r="D1837" s="81"/>
      <c r="E1837" s="81"/>
      <c r="F1837" s="81"/>
      <c r="G1837" s="81"/>
      <c r="H1837" s="81"/>
      <c r="I1837" s="81"/>
      <c r="J1837" s="81"/>
      <c r="K1837" s="81"/>
      <c r="L1837" s="81"/>
      <c r="M1837" s="81"/>
      <c r="N1837" s="81"/>
    </row>
    <row r="1838" spans="1:14" ht="14.25" customHeight="1" x14ac:dyDescent="0.25">
      <c r="A1838" s="134"/>
      <c r="B1838" s="135"/>
      <c r="C1838" s="135"/>
      <c r="D1838" s="135"/>
      <c r="E1838" s="135"/>
      <c r="F1838" s="136"/>
      <c r="G1838" s="81"/>
      <c r="H1838" s="81"/>
      <c r="I1838" s="81"/>
      <c r="J1838" s="81"/>
      <c r="K1838" s="81"/>
      <c r="L1838" s="81"/>
      <c r="M1838" s="81"/>
      <c r="N1838" s="81"/>
    </row>
    <row r="1839" spans="1:14" ht="14.25" customHeight="1" x14ac:dyDescent="0.25">
      <c r="A1839" s="134"/>
      <c r="B1839" s="135"/>
      <c r="C1839" s="135"/>
      <c r="D1839" s="135"/>
      <c r="E1839" s="135"/>
      <c r="F1839" s="136"/>
      <c r="G1839" s="81"/>
      <c r="H1839" s="81"/>
      <c r="I1839" s="81"/>
      <c r="J1839" s="81"/>
      <c r="K1839" s="81"/>
      <c r="L1839" s="81"/>
      <c r="M1839" s="81"/>
      <c r="N1839" s="81"/>
    </row>
    <row r="1840" spans="1:14" ht="14.25" customHeight="1" x14ac:dyDescent="0.25">
      <c r="A1840" s="134"/>
      <c r="B1840" s="135"/>
      <c r="C1840" s="135"/>
      <c r="D1840" s="135"/>
      <c r="E1840" s="135"/>
      <c r="F1840" s="136"/>
      <c r="G1840" s="81"/>
      <c r="H1840" s="81"/>
      <c r="I1840" s="81"/>
      <c r="J1840" s="81"/>
      <c r="K1840" s="81"/>
      <c r="L1840" s="81"/>
      <c r="M1840" s="81"/>
      <c r="N1840" s="81"/>
    </row>
    <row r="1841" spans="1:14" ht="14.25" customHeight="1" thickBot="1" x14ac:dyDescent="0.3">
      <c r="A1841" s="81"/>
      <c r="B1841" s="81"/>
      <c r="C1841" s="81"/>
      <c r="D1841" s="81"/>
      <c r="E1841" s="81"/>
      <c r="F1841" s="81"/>
      <c r="G1841" s="81"/>
      <c r="H1841" s="81"/>
      <c r="I1841" s="81"/>
      <c r="J1841" s="81"/>
      <c r="K1841" s="81"/>
      <c r="L1841" s="81"/>
      <c r="M1841" s="81"/>
      <c r="N1841" s="81"/>
    </row>
    <row r="1842" spans="1:14" ht="14.25" customHeight="1" x14ac:dyDescent="0.25">
      <c r="A1842" s="83"/>
      <c r="B1842" s="84"/>
      <c r="C1842" s="85"/>
      <c r="D1842" s="86"/>
      <c r="E1842" s="86"/>
      <c r="F1842" s="87"/>
      <c r="G1842" s="81"/>
      <c r="H1842" s="81"/>
      <c r="I1842" s="81"/>
      <c r="J1842" s="81"/>
      <c r="K1842" s="81"/>
      <c r="L1842" s="81"/>
      <c r="M1842" s="81"/>
      <c r="N1842" s="81"/>
    </row>
    <row r="1843" spans="1:14" ht="14.25" customHeight="1" x14ac:dyDescent="0.25">
      <c r="A1843" s="599"/>
      <c r="B1843" s="600"/>
      <c r="C1843" s="600"/>
      <c r="D1843" s="600"/>
      <c r="E1843" s="600"/>
      <c r="F1843" s="601"/>
      <c r="G1843" s="81"/>
      <c r="H1843" s="81"/>
      <c r="I1843" s="81"/>
      <c r="J1843" s="81"/>
      <c r="K1843" s="81"/>
      <c r="L1843" s="81"/>
      <c r="M1843" s="81"/>
      <c r="N1843" s="81"/>
    </row>
    <row r="1844" spans="1:14" ht="14.25" customHeight="1" x14ac:dyDescent="0.25">
      <c r="A1844" s="602" t="s">
        <v>561</v>
      </c>
      <c r="B1844" s="600"/>
      <c r="C1844" s="600"/>
      <c r="D1844" s="600"/>
      <c r="E1844" s="600"/>
      <c r="F1844" s="601"/>
      <c r="G1844" s="81"/>
      <c r="H1844" s="81"/>
      <c r="I1844" s="81"/>
      <c r="J1844" s="81"/>
      <c r="K1844" s="81"/>
      <c r="L1844" s="81"/>
      <c r="M1844" s="81"/>
      <c r="N1844" s="81"/>
    </row>
    <row r="1845" spans="1:14" ht="14.25" customHeight="1" thickBot="1" x14ac:dyDescent="0.3">
      <c r="A1845" s="603"/>
      <c r="B1845" s="604"/>
      <c r="C1845" s="604"/>
      <c r="D1845" s="604"/>
      <c r="E1845" s="604"/>
      <c r="F1845" s="605"/>
      <c r="G1845" s="81"/>
      <c r="H1845" s="81"/>
      <c r="I1845" s="81"/>
      <c r="J1845" s="81"/>
      <c r="K1845" s="81"/>
      <c r="L1845" s="81"/>
      <c r="M1845" s="81"/>
      <c r="N1845" s="81"/>
    </row>
    <row r="1846" spans="1:14" ht="14.25" customHeight="1" x14ac:dyDescent="0.25">
      <c r="A1846" s="88"/>
      <c r="B1846" s="88"/>
      <c r="C1846" s="89"/>
      <c r="D1846" s="89"/>
      <c r="E1846" s="89"/>
      <c r="F1846" s="89"/>
      <c r="G1846" s="81"/>
      <c r="H1846" s="81"/>
      <c r="I1846" s="81"/>
      <c r="J1846" s="81"/>
      <c r="K1846" s="81"/>
      <c r="L1846" s="81"/>
      <c r="M1846" s="81"/>
      <c r="N1846" s="81"/>
    </row>
    <row r="1847" spans="1:14" ht="14.25" customHeight="1" x14ac:dyDescent="0.25">
      <c r="A1847" s="90" t="s">
        <v>47</v>
      </c>
      <c r="B1847" s="613" t="s">
        <v>116</v>
      </c>
      <c r="C1847" s="600"/>
      <c r="D1847" s="600"/>
      <c r="E1847" s="600"/>
      <c r="F1847" s="600"/>
      <c r="G1847" s="81"/>
      <c r="H1847" s="81"/>
      <c r="I1847" s="81"/>
      <c r="J1847" s="81"/>
      <c r="K1847" s="81"/>
      <c r="L1847" s="81"/>
      <c r="M1847" s="81"/>
      <c r="N1847" s="81"/>
    </row>
    <row r="1848" spans="1:14" ht="14.25" customHeight="1" x14ac:dyDescent="0.25">
      <c r="A1848" s="91"/>
      <c r="B1848" s="91"/>
      <c r="C1848" s="91"/>
      <c r="D1848" s="91"/>
      <c r="E1848" s="91"/>
      <c r="F1848" s="91"/>
      <c r="G1848" s="81"/>
      <c r="H1848" s="81"/>
      <c r="I1848" s="81"/>
      <c r="J1848" s="81"/>
      <c r="K1848" s="81"/>
      <c r="L1848" s="81"/>
      <c r="M1848" s="81"/>
      <c r="N1848" s="81"/>
    </row>
    <row r="1849" spans="1:14" ht="14.25" customHeight="1" x14ac:dyDescent="0.25">
      <c r="A1849" s="88" t="s">
        <v>49</v>
      </c>
      <c r="B1849" s="92" t="s">
        <v>117</v>
      </c>
      <c r="C1849" s="89"/>
      <c r="D1849" s="89"/>
      <c r="E1849" s="89"/>
      <c r="F1849" s="93"/>
      <c r="G1849" s="81"/>
      <c r="H1849" s="81"/>
      <c r="I1849" s="81"/>
      <c r="J1849" s="81"/>
      <c r="K1849" s="81"/>
      <c r="L1849" s="81"/>
      <c r="M1849" s="81"/>
      <c r="N1849" s="81"/>
    </row>
    <row r="1850" spans="1:14" ht="14.25" customHeight="1" x14ac:dyDescent="0.25">
      <c r="A1850" s="88"/>
      <c r="B1850" s="94"/>
      <c r="C1850" s="89"/>
      <c r="D1850" s="89"/>
      <c r="E1850" s="89"/>
      <c r="F1850" s="93"/>
      <c r="G1850" s="81"/>
      <c r="H1850" s="81"/>
      <c r="I1850" s="81"/>
      <c r="J1850" s="81"/>
      <c r="K1850" s="81"/>
      <c r="L1850" s="81"/>
      <c r="M1850" s="81"/>
      <c r="N1850" s="81"/>
    </row>
    <row r="1851" spans="1:14" ht="14.25" customHeight="1" x14ac:dyDescent="0.25">
      <c r="A1851" s="95" t="s">
        <v>562</v>
      </c>
      <c r="B1851" s="96"/>
      <c r="C1851" s="92"/>
      <c r="D1851" s="92"/>
      <c r="E1851" s="92"/>
      <c r="F1851" s="92"/>
      <c r="G1851" s="81"/>
      <c r="H1851" s="81"/>
      <c r="I1851" s="81"/>
      <c r="J1851" s="81"/>
      <c r="K1851" s="81"/>
      <c r="L1851" s="81"/>
      <c r="M1851" s="81"/>
      <c r="N1851" s="81"/>
    </row>
    <row r="1852" spans="1:14" ht="14.25" customHeight="1" x14ac:dyDescent="0.25">
      <c r="A1852" s="97" t="s">
        <v>563</v>
      </c>
      <c r="B1852" s="98" t="s">
        <v>564</v>
      </c>
      <c r="C1852" s="98" t="s">
        <v>565</v>
      </c>
      <c r="D1852" s="98" t="s">
        <v>566</v>
      </c>
      <c r="E1852" s="98" t="s">
        <v>567</v>
      </c>
      <c r="F1852" s="98" t="s">
        <v>568</v>
      </c>
      <c r="G1852" s="81"/>
      <c r="H1852" s="81"/>
      <c r="I1852" s="81"/>
      <c r="J1852" s="81"/>
      <c r="K1852" s="81"/>
      <c r="L1852" s="81"/>
      <c r="M1852" s="81"/>
      <c r="N1852" s="81"/>
    </row>
    <row r="1853" spans="1:14" ht="14.25" customHeight="1" x14ac:dyDescent="0.25">
      <c r="A1853" s="99" t="s">
        <v>647</v>
      </c>
      <c r="B1853" s="100" t="s">
        <v>117</v>
      </c>
      <c r="C1853" s="101">
        <v>6250</v>
      </c>
      <c r="D1853" s="104">
        <v>1.05</v>
      </c>
      <c r="E1853" s="102">
        <v>0.05</v>
      </c>
      <c r="F1853" s="101">
        <f t="shared" ref="F1853:F1858" si="107">C1853*(D1853+(D1853*E1853))</f>
        <v>6890.625</v>
      </c>
      <c r="G1853" s="81"/>
      <c r="H1853" s="81"/>
      <c r="I1853" s="81"/>
      <c r="J1853" s="81"/>
      <c r="K1853" s="81"/>
      <c r="L1853" s="81"/>
      <c r="M1853" s="81"/>
      <c r="N1853" s="81"/>
    </row>
    <row r="1854" spans="1:14" ht="25.5" x14ac:dyDescent="0.25">
      <c r="A1854" s="99" t="s">
        <v>648</v>
      </c>
      <c r="B1854" s="100" t="s">
        <v>117</v>
      </c>
      <c r="C1854" s="101">
        <v>9950</v>
      </c>
      <c r="D1854" s="149">
        <v>1.4999999999999999E-2</v>
      </c>
      <c r="E1854" s="102">
        <v>0.05</v>
      </c>
      <c r="F1854" s="101">
        <f t="shared" si="107"/>
        <v>156.71250000000001</v>
      </c>
      <c r="G1854" s="81"/>
      <c r="H1854" s="81"/>
      <c r="I1854" s="81"/>
      <c r="J1854" s="81"/>
      <c r="K1854" s="81"/>
      <c r="L1854" s="81"/>
      <c r="M1854" s="81"/>
      <c r="N1854" s="81"/>
    </row>
    <row r="1855" spans="1:14" ht="14.25" customHeight="1" x14ac:dyDescent="0.25">
      <c r="A1855" s="99" t="s">
        <v>649</v>
      </c>
      <c r="B1855" s="100" t="s">
        <v>117</v>
      </c>
      <c r="C1855" s="101">
        <v>8420</v>
      </c>
      <c r="D1855" s="149">
        <v>1.4999999999999999E-2</v>
      </c>
      <c r="E1855" s="102">
        <v>0.05</v>
      </c>
      <c r="F1855" s="101">
        <f t="shared" si="107"/>
        <v>132.61500000000001</v>
      </c>
      <c r="G1855" s="81"/>
      <c r="H1855" s="81"/>
      <c r="I1855" s="81"/>
      <c r="J1855" s="81"/>
      <c r="K1855" s="81"/>
      <c r="L1855" s="81"/>
      <c r="M1855" s="81"/>
      <c r="N1855" s="81"/>
    </row>
    <row r="1856" spans="1:14" ht="14.25" customHeight="1" x14ac:dyDescent="0.25">
      <c r="A1856" s="99" t="s">
        <v>650</v>
      </c>
      <c r="B1856" s="100" t="s">
        <v>651</v>
      </c>
      <c r="C1856" s="101">
        <v>75350</v>
      </c>
      <c r="D1856" s="149">
        <v>8.9999999999999993E-3</v>
      </c>
      <c r="E1856" s="102">
        <v>0.05</v>
      </c>
      <c r="F1856" s="101">
        <f t="shared" si="107"/>
        <v>712.0575</v>
      </c>
      <c r="G1856" s="81"/>
      <c r="H1856" s="81"/>
      <c r="I1856" s="81"/>
      <c r="J1856" s="81"/>
      <c r="K1856" s="81"/>
      <c r="L1856" s="81"/>
      <c r="M1856" s="81"/>
      <c r="N1856" s="81"/>
    </row>
    <row r="1857" spans="1:14" ht="14.25" customHeight="1" x14ac:dyDescent="0.25">
      <c r="A1857" s="99" t="s">
        <v>652</v>
      </c>
      <c r="B1857" s="100" t="s">
        <v>651</v>
      </c>
      <c r="C1857" s="101">
        <v>52450</v>
      </c>
      <c r="D1857" s="149">
        <v>8.9999999999999993E-3</v>
      </c>
      <c r="E1857" s="102">
        <v>0.05</v>
      </c>
      <c r="F1857" s="101">
        <f t="shared" si="107"/>
        <v>495.65250000000003</v>
      </c>
      <c r="G1857" s="81"/>
      <c r="H1857" s="81"/>
      <c r="I1857" s="81"/>
      <c r="J1857" s="81"/>
      <c r="K1857" s="81"/>
      <c r="L1857" s="81"/>
      <c r="M1857" s="81"/>
      <c r="N1857" s="81"/>
    </row>
    <row r="1858" spans="1:14" ht="14.25" customHeight="1" x14ac:dyDescent="0.25">
      <c r="A1858" s="99" t="s">
        <v>653</v>
      </c>
      <c r="B1858" s="100" t="s">
        <v>99</v>
      </c>
      <c r="C1858" s="101">
        <v>1200</v>
      </c>
      <c r="D1858" s="104">
        <v>7.0000000000000007E-2</v>
      </c>
      <c r="E1858" s="102">
        <v>0.05</v>
      </c>
      <c r="F1858" s="101">
        <f t="shared" si="107"/>
        <v>88.200000000000017</v>
      </c>
      <c r="G1858" s="81"/>
      <c r="H1858" s="81"/>
      <c r="I1858" s="81"/>
      <c r="J1858" s="81"/>
      <c r="K1858" s="81"/>
      <c r="L1858" s="81"/>
      <c r="M1858" s="81"/>
      <c r="N1858" s="81"/>
    </row>
    <row r="1859" spans="1:14" ht="14.25" customHeight="1" x14ac:dyDescent="0.25">
      <c r="A1859" s="99"/>
      <c r="B1859" s="100"/>
      <c r="C1859" s="106"/>
      <c r="D1859" s="107"/>
      <c r="E1859" s="108"/>
      <c r="F1859" s="106"/>
      <c r="G1859" s="81"/>
      <c r="H1859" s="81"/>
      <c r="I1859" s="81"/>
      <c r="J1859" s="81"/>
      <c r="K1859" s="81"/>
      <c r="L1859" s="81"/>
      <c r="M1859" s="81"/>
      <c r="N1859" s="81"/>
    </row>
    <row r="1860" spans="1:14" ht="14.25" customHeight="1" x14ac:dyDescent="0.25">
      <c r="A1860" s="97" t="s">
        <v>548</v>
      </c>
      <c r="B1860" s="97"/>
      <c r="C1860" s="109"/>
      <c r="D1860" s="110"/>
      <c r="E1860" s="111"/>
      <c r="F1860" s="112">
        <f>SUM(F1853:F1859)</f>
        <v>8475.8624999999993</v>
      </c>
      <c r="G1860" s="81"/>
      <c r="H1860" s="81"/>
      <c r="I1860" s="81"/>
      <c r="J1860" s="81"/>
      <c r="K1860" s="81"/>
      <c r="L1860" s="81"/>
      <c r="M1860" s="81"/>
      <c r="N1860" s="81"/>
    </row>
    <row r="1861" spans="1:14" ht="14.25" customHeight="1" x14ac:dyDescent="0.25">
      <c r="A1861" s="88"/>
      <c r="B1861" s="88"/>
      <c r="C1861" s="113"/>
      <c r="D1861" s="113"/>
      <c r="E1861" s="114"/>
      <c r="F1861" s="113"/>
      <c r="G1861" s="81"/>
      <c r="H1861" s="81"/>
      <c r="I1861" s="81"/>
      <c r="J1861" s="81"/>
      <c r="K1861" s="81"/>
      <c r="L1861" s="81"/>
      <c r="M1861" s="81"/>
      <c r="N1861" s="81"/>
    </row>
    <row r="1862" spans="1:14" ht="14.25" customHeight="1" x14ac:dyDescent="0.25">
      <c r="A1862" s="96" t="s">
        <v>573</v>
      </c>
      <c r="B1862" s="96"/>
      <c r="C1862" s="92"/>
      <c r="D1862" s="92"/>
      <c r="E1862" s="92"/>
      <c r="F1862" s="92"/>
      <c r="G1862" s="81"/>
      <c r="H1862" s="81"/>
      <c r="I1862" s="81"/>
      <c r="J1862" s="81"/>
      <c r="K1862" s="81"/>
      <c r="L1862" s="81"/>
      <c r="M1862" s="81"/>
      <c r="N1862" s="81"/>
    </row>
    <row r="1863" spans="1:14" ht="14.25" customHeight="1" x14ac:dyDescent="0.25">
      <c r="A1863" s="611" t="s">
        <v>563</v>
      </c>
      <c r="B1863" s="608"/>
      <c r="C1863" s="609"/>
      <c r="D1863" s="98" t="s">
        <v>574</v>
      </c>
      <c r="E1863" s="98" t="s">
        <v>575</v>
      </c>
      <c r="F1863" s="98" t="s">
        <v>568</v>
      </c>
      <c r="G1863" s="81"/>
      <c r="H1863" s="81"/>
      <c r="I1863" s="81"/>
      <c r="J1863" s="81"/>
      <c r="K1863" s="81"/>
      <c r="L1863" s="81"/>
      <c r="M1863" s="81"/>
      <c r="N1863" s="81"/>
    </row>
    <row r="1864" spans="1:14" ht="14.25" customHeight="1" x14ac:dyDescent="0.25">
      <c r="A1864" s="607" t="s">
        <v>577</v>
      </c>
      <c r="B1864" s="608"/>
      <c r="C1864" s="609"/>
      <c r="D1864" s="116"/>
      <c r="E1864" s="107"/>
      <c r="F1864" s="106">
        <v>167</v>
      </c>
      <c r="G1864" s="81"/>
      <c r="H1864" s="81"/>
      <c r="I1864" s="81"/>
      <c r="J1864" s="81"/>
      <c r="K1864" s="81"/>
      <c r="L1864" s="81"/>
      <c r="M1864" s="81"/>
      <c r="N1864" s="81"/>
    </row>
    <row r="1865" spans="1:14" ht="14.25" customHeight="1" x14ac:dyDescent="0.25">
      <c r="A1865" s="607" t="s">
        <v>637</v>
      </c>
      <c r="B1865" s="608"/>
      <c r="C1865" s="609"/>
      <c r="D1865" s="142">
        <v>9150</v>
      </c>
      <c r="E1865" s="107">
        <v>30</v>
      </c>
      <c r="F1865" s="106">
        <f t="shared" ref="F1865:F1871" si="108">D1865/E1865</f>
        <v>305</v>
      </c>
      <c r="G1865" s="81"/>
      <c r="H1865" s="81"/>
      <c r="I1865" s="81"/>
      <c r="J1865" s="81"/>
      <c r="K1865" s="81"/>
      <c r="L1865" s="81"/>
      <c r="M1865" s="81"/>
      <c r="N1865" s="81"/>
    </row>
    <row r="1866" spans="1:14" ht="14.25" customHeight="1" x14ac:dyDescent="0.25">
      <c r="A1866" s="607" t="s">
        <v>638</v>
      </c>
      <c r="B1866" s="608"/>
      <c r="C1866" s="609"/>
      <c r="D1866" s="142">
        <v>7850</v>
      </c>
      <c r="E1866" s="107">
        <v>105</v>
      </c>
      <c r="F1866" s="106">
        <f t="shared" si="108"/>
        <v>74.761904761904759</v>
      </c>
      <c r="G1866" s="81"/>
      <c r="H1866" s="81"/>
      <c r="I1866" s="81"/>
      <c r="J1866" s="81"/>
      <c r="K1866" s="81"/>
      <c r="L1866" s="81"/>
      <c r="M1866" s="81"/>
      <c r="N1866" s="81"/>
    </row>
    <row r="1867" spans="1:14" ht="14.25" customHeight="1" x14ac:dyDescent="0.25">
      <c r="A1867" s="607" t="s">
        <v>639</v>
      </c>
      <c r="B1867" s="608"/>
      <c r="C1867" s="609"/>
      <c r="D1867" s="142">
        <v>5150</v>
      </c>
      <c r="E1867" s="107">
        <v>60</v>
      </c>
      <c r="F1867" s="106">
        <f t="shared" si="108"/>
        <v>85.833333333333329</v>
      </c>
      <c r="G1867" s="81"/>
      <c r="H1867" s="81"/>
      <c r="I1867" s="81"/>
      <c r="J1867" s="81"/>
      <c r="K1867" s="81"/>
      <c r="L1867" s="81"/>
      <c r="M1867" s="81"/>
      <c r="N1867" s="81"/>
    </row>
    <row r="1868" spans="1:14" ht="14.25" customHeight="1" x14ac:dyDescent="0.25">
      <c r="A1868" s="607" t="s">
        <v>654</v>
      </c>
      <c r="B1868" s="608"/>
      <c r="C1868" s="609"/>
      <c r="D1868" s="142">
        <v>4200</v>
      </c>
      <c r="E1868" s="105">
        <v>35</v>
      </c>
      <c r="F1868" s="106">
        <f t="shared" si="108"/>
        <v>120</v>
      </c>
      <c r="G1868" s="81"/>
      <c r="H1868" s="81"/>
      <c r="I1868" s="81"/>
      <c r="J1868" s="81"/>
      <c r="K1868" s="81"/>
      <c r="L1868" s="81"/>
      <c r="M1868" s="81"/>
      <c r="N1868" s="81"/>
    </row>
    <row r="1869" spans="1:14" ht="14.25" customHeight="1" x14ac:dyDescent="0.25">
      <c r="A1869" s="607" t="s">
        <v>655</v>
      </c>
      <c r="B1869" s="608"/>
      <c r="C1869" s="609"/>
      <c r="D1869" s="142">
        <v>625</v>
      </c>
      <c r="E1869" s="105">
        <v>35</v>
      </c>
      <c r="F1869" s="106">
        <f t="shared" si="108"/>
        <v>17.857142857142858</v>
      </c>
      <c r="G1869" s="81"/>
      <c r="H1869" s="81"/>
      <c r="I1869" s="81"/>
      <c r="J1869" s="81"/>
      <c r="K1869" s="81"/>
      <c r="L1869" s="81"/>
      <c r="M1869" s="81"/>
      <c r="N1869" s="81"/>
    </row>
    <row r="1870" spans="1:14" ht="14.25" customHeight="1" x14ac:dyDescent="0.25">
      <c r="A1870" s="607" t="s">
        <v>656</v>
      </c>
      <c r="B1870" s="608"/>
      <c r="C1870" s="609"/>
      <c r="D1870" s="142">
        <v>17250</v>
      </c>
      <c r="E1870" s="107">
        <v>60</v>
      </c>
      <c r="F1870" s="106">
        <f t="shared" si="108"/>
        <v>287.5</v>
      </c>
      <c r="G1870" s="81"/>
      <c r="H1870" s="81"/>
      <c r="I1870" s="81"/>
      <c r="J1870" s="81"/>
      <c r="K1870" s="81"/>
      <c r="L1870" s="81"/>
      <c r="M1870" s="81"/>
      <c r="N1870" s="81"/>
    </row>
    <row r="1871" spans="1:14" ht="14.25" customHeight="1" x14ac:dyDescent="0.25">
      <c r="A1871" s="607" t="s">
        <v>657</v>
      </c>
      <c r="B1871" s="608"/>
      <c r="C1871" s="609"/>
      <c r="D1871" s="142">
        <v>1850</v>
      </c>
      <c r="E1871" s="107">
        <v>12</v>
      </c>
      <c r="F1871" s="106">
        <f t="shared" si="108"/>
        <v>154.16666666666666</v>
      </c>
      <c r="G1871" s="81"/>
      <c r="H1871" s="81"/>
      <c r="I1871" s="81"/>
      <c r="J1871" s="81"/>
      <c r="K1871" s="81"/>
      <c r="L1871" s="81"/>
      <c r="M1871" s="81"/>
      <c r="N1871" s="81"/>
    </row>
    <row r="1872" spans="1:14" ht="14.25" customHeight="1" x14ac:dyDescent="0.25">
      <c r="A1872" s="610"/>
      <c r="B1872" s="608"/>
      <c r="C1872" s="609"/>
      <c r="D1872" s="115"/>
      <c r="E1872" s="107"/>
      <c r="F1872" s="106"/>
      <c r="G1872" s="81"/>
      <c r="H1872" s="81"/>
      <c r="I1872" s="81"/>
      <c r="J1872" s="81"/>
      <c r="K1872" s="81"/>
      <c r="L1872" s="81"/>
      <c r="M1872" s="81"/>
      <c r="N1872" s="81"/>
    </row>
    <row r="1873" spans="1:14" ht="14.25" customHeight="1" x14ac:dyDescent="0.25">
      <c r="A1873" s="611" t="s">
        <v>548</v>
      </c>
      <c r="B1873" s="608"/>
      <c r="C1873" s="609"/>
      <c r="D1873" s="110"/>
      <c r="E1873" s="110"/>
      <c r="F1873" s="112">
        <f>SUM(F1864:F1870)</f>
        <v>1057.9523809523812</v>
      </c>
      <c r="G1873" s="81"/>
      <c r="H1873" s="81"/>
      <c r="I1873" s="81"/>
      <c r="J1873" s="81"/>
      <c r="K1873" s="81"/>
      <c r="L1873" s="81"/>
      <c r="M1873" s="81"/>
      <c r="N1873" s="81"/>
    </row>
    <row r="1874" spans="1:14" ht="14.25" customHeight="1" x14ac:dyDescent="0.25">
      <c r="A1874" s="88"/>
      <c r="B1874" s="88"/>
      <c r="C1874" s="89"/>
      <c r="D1874" s="113"/>
      <c r="E1874" s="113"/>
      <c r="F1874" s="113"/>
      <c r="G1874" s="81"/>
      <c r="H1874" s="81"/>
      <c r="I1874" s="81"/>
      <c r="J1874" s="81"/>
      <c r="K1874" s="81"/>
      <c r="L1874" s="81"/>
      <c r="M1874" s="81"/>
      <c r="N1874" s="81"/>
    </row>
    <row r="1875" spans="1:14" ht="14.25" customHeight="1" x14ac:dyDescent="0.25">
      <c r="A1875" s="96" t="s">
        <v>578</v>
      </c>
      <c r="B1875" s="96"/>
      <c r="C1875" s="92"/>
      <c r="D1875" s="118"/>
      <c r="E1875" s="118"/>
      <c r="F1875" s="118"/>
      <c r="G1875" s="81"/>
      <c r="H1875" s="81"/>
      <c r="I1875" s="81"/>
      <c r="J1875" s="81"/>
      <c r="K1875" s="81"/>
      <c r="L1875" s="81"/>
      <c r="M1875" s="81"/>
      <c r="N1875" s="81"/>
    </row>
    <row r="1876" spans="1:14" ht="14.25" customHeight="1" x14ac:dyDescent="0.25">
      <c r="A1876" s="119" t="s">
        <v>563</v>
      </c>
      <c r="B1876" s="120" t="s">
        <v>579</v>
      </c>
      <c r="C1876" s="120" t="s">
        <v>580</v>
      </c>
      <c r="D1876" s="121" t="s">
        <v>581</v>
      </c>
      <c r="E1876" s="121" t="s">
        <v>575</v>
      </c>
      <c r="F1876" s="121" t="s">
        <v>568</v>
      </c>
      <c r="G1876" s="81"/>
      <c r="H1876" s="81"/>
      <c r="I1876" s="81"/>
      <c r="J1876" s="81"/>
      <c r="K1876" s="81"/>
      <c r="L1876" s="81"/>
      <c r="M1876" s="81"/>
      <c r="N1876" s="81"/>
    </row>
    <row r="1877" spans="1:14" ht="14.25" customHeight="1" x14ac:dyDescent="0.25">
      <c r="A1877" s="122" t="s">
        <v>593</v>
      </c>
      <c r="B1877" s="127">
        <v>2</v>
      </c>
      <c r="C1877" s="101">
        <v>32688</v>
      </c>
      <c r="D1877" s="101">
        <f t="shared" ref="D1877:D1879" si="109">+C1877*1.7</f>
        <v>55569.599999999999</v>
      </c>
      <c r="E1877" s="107">
        <v>236</v>
      </c>
      <c r="F1877" s="106">
        <f t="shared" ref="F1877:F1879" si="110">+B1877*(D1877)/E1877</f>
        <v>470.92881355932201</v>
      </c>
      <c r="G1877" s="81"/>
      <c r="H1877" s="81"/>
      <c r="I1877" s="81"/>
      <c r="J1877" s="81"/>
      <c r="K1877" s="81"/>
      <c r="L1877" s="81"/>
      <c r="M1877" s="81"/>
      <c r="N1877" s="81"/>
    </row>
    <row r="1878" spans="1:14" ht="14.25" customHeight="1" x14ac:dyDescent="0.25">
      <c r="A1878" s="122" t="s">
        <v>594</v>
      </c>
      <c r="B1878" s="127">
        <v>1</v>
      </c>
      <c r="C1878" s="101">
        <v>52538</v>
      </c>
      <c r="D1878" s="101">
        <f t="shared" si="109"/>
        <v>89314.599999999991</v>
      </c>
      <c r="E1878" s="107">
        <f t="shared" ref="E1878:E1879" si="111">E1877</f>
        <v>236</v>
      </c>
      <c r="F1878" s="106">
        <f t="shared" si="110"/>
        <v>378.45169491525422</v>
      </c>
      <c r="G1878" s="81"/>
      <c r="H1878" s="81"/>
      <c r="I1878" s="81"/>
      <c r="J1878" s="81"/>
      <c r="K1878" s="81"/>
      <c r="L1878" s="81"/>
      <c r="M1878" s="81"/>
      <c r="N1878" s="81"/>
    </row>
    <row r="1879" spans="1:14" ht="14.25" customHeight="1" x14ac:dyDescent="0.25">
      <c r="A1879" s="122" t="s">
        <v>658</v>
      </c>
      <c r="B1879" s="127">
        <v>1</v>
      </c>
      <c r="C1879" s="101">
        <v>100000</v>
      </c>
      <c r="D1879" s="101">
        <f t="shared" si="109"/>
        <v>170000</v>
      </c>
      <c r="E1879" s="107">
        <f t="shared" si="111"/>
        <v>236</v>
      </c>
      <c r="F1879" s="106">
        <f t="shared" si="110"/>
        <v>720.33898305084745</v>
      </c>
      <c r="G1879" s="81"/>
      <c r="H1879" s="81"/>
      <c r="I1879" s="81"/>
      <c r="J1879" s="81"/>
      <c r="K1879" s="81"/>
      <c r="L1879" s="81"/>
      <c r="M1879" s="81"/>
      <c r="N1879" s="81"/>
    </row>
    <row r="1880" spans="1:14" ht="14.25" customHeight="1" x14ac:dyDescent="0.25">
      <c r="A1880" s="122"/>
      <c r="B1880" s="127"/>
      <c r="C1880" s="101"/>
      <c r="D1880" s="101"/>
      <c r="E1880" s="125"/>
      <c r="F1880" s="106"/>
      <c r="G1880" s="81"/>
      <c r="H1880" s="81"/>
      <c r="I1880" s="81"/>
      <c r="J1880" s="81"/>
      <c r="K1880" s="81"/>
      <c r="L1880" s="81"/>
      <c r="M1880" s="81"/>
      <c r="N1880" s="81"/>
    </row>
    <row r="1881" spans="1:14" ht="14.25" customHeight="1" x14ac:dyDescent="0.25">
      <c r="A1881" s="97" t="s">
        <v>548</v>
      </c>
      <c r="B1881" s="128"/>
      <c r="C1881" s="110"/>
      <c r="D1881" s="110"/>
      <c r="E1881" s="110"/>
      <c r="F1881" s="112">
        <f>SUM(F1877:F1880)</f>
        <v>1569.7194915254236</v>
      </c>
      <c r="G1881" s="81"/>
      <c r="H1881" s="81"/>
      <c r="I1881" s="81"/>
      <c r="J1881" s="81"/>
      <c r="K1881" s="81"/>
      <c r="L1881" s="81"/>
      <c r="M1881" s="81"/>
      <c r="N1881" s="81"/>
    </row>
    <row r="1882" spans="1:14" ht="14.25" customHeight="1" x14ac:dyDescent="0.25">
      <c r="A1882" s="96"/>
      <c r="B1882" s="129"/>
      <c r="C1882" s="118"/>
      <c r="D1882" s="118"/>
      <c r="E1882" s="118"/>
      <c r="F1882" s="118"/>
      <c r="G1882" s="81"/>
      <c r="H1882" s="81"/>
      <c r="I1882" s="81"/>
      <c r="J1882" s="81"/>
      <c r="K1882" s="81"/>
      <c r="L1882" s="81"/>
      <c r="M1882" s="81"/>
      <c r="N1882" s="81"/>
    </row>
    <row r="1883" spans="1:14" ht="14.25" customHeight="1" x14ac:dyDescent="0.25">
      <c r="A1883" s="95" t="s">
        <v>583</v>
      </c>
      <c r="B1883" s="96"/>
      <c r="C1883" s="92"/>
      <c r="D1883" s="92"/>
      <c r="E1883" s="92" t="s">
        <v>584</v>
      </c>
      <c r="F1883" s="92"/>
      <c r="G1883" s="81"/>
      <c r="H1883" s="81"/>
      <c r="I1883" s="81"/>
      <c r="J1883" s="81"/>
      <c r="K1883" s="81"/>
      <c r="L1883" s="81"/>
      <c r="M1883" s="81"/>
      <c r="N1883" s="81"/>
    </row>
    <row r="1884" spans="1:14" ht="14.25" customHeight="1" x14ac:dyDescent="0.25">
      <c r="A1884" s="97" t="s">
        <v>563</v>
      </c>
      <c r="B1884" s="98" t="s">
        <v>564</v>
      </c>
      <c r="C1884" s="98" t="s">
        <v>585</v>
      </c>
      <c r="D1884" s="98" t="s">
        <v>586</v>
      </c>
      <c r="E1884" s="120" t="s">
        <v>587</v>
      </c>
      <c r="F1884" s="98" t="s">
        <v>568</v>
      </c>
      <c r="G1884" s="81"/>
      <c r="H1884" s="81"/>
      <c r="I1884" s="81"/>
      <c r="J1884" s="81"/>
      <c r="K1884" s="81"/>
      <c r="L1884" s="81"/>
      <c r="M1884" s="81"/>
      <c r="N1884" s="81"/>
    </row>
    <row r="1885" spans="1:14" ht="14.25" customHeight="1" x14ac:dyDescent="0.25">
      <c r="A1885" s="103"/>
      <c r="B1885" s="100"/>
      <c r="C1885" s="101"/>
      <c r="D1885" s="140"/>
      <c r="E1885" s="107"/>
      <c r="F1885" s="109"/>
      <c r="G1885" s="81"/>
      <c r="H1885" s="81"/>
      <c r="I1885" s="81"/>
      <c r="J1885" s="81"/>
      <c r="K1885" s="81"/>
      <c r="L1885" s="81"/>
      <c r="M1885" s="81"/>
      <c r="N1885" s="81"/>
    </row>
    <row r="1886" spans="1:14" ht="14.25" customHeight="1" x14ac:dyDescent="0.25">
      <c r="A1886" s="103"/>
      <c r="B1886" s="100"/>
      <c r="C1886" s="107"/>
      <c r="D1886" s="107"/>
      <c r="E1886" s="108"/>
      <c r="F1886" s="109"/>
      <c r="G1886" s="81"/>
      <c r="H1886" s="81"/>
      <c r="I1886" s="81"/>
      <c r="J1886" s="81"/>
      <c r="K1886" s="81"/>
      <c r="L1886" s="81"/>
      <c r="M1886" s="81"/>
      <c r="N1886" s="81"/>
    </row>
    <row r="1887" spans="1:14" ht="14.25" customHeight="1" x14ac:dyDescent="0.25">
      <c r="A1887" s="97" t="s">
        <v>548</v>
      </c>
      <c r="B1887" s="98"/>
      <c r="C1887" s="110"/>
      <c r="D1887" s="110"/>
      <c r="E1887" s="111"/>
      <c r="F1887" s="112">
        <f>SUM(F1885:F1886)</f>
        <v>0</v>
      </c>
      <c r="G1887" s="81"/>
      <c r="H1887" s="81"/>
      <c r="I1887" s="81"/>
      <c r="J1887" s="81"/>
      <c r="K1887" s="81"/>
      <c r="L1887" s="81"/>
      <c r="M1887" s="81"/>
      <c r="N1887" s="81"/>
    </row>
    <row r="1888" spans="1:14" ht="14.25" customHeight="1" x14ac:dyDescent="0.25">
      <c r="A1888" s="88"/>
      <c r="B1888" s="89"/>
      <c r="C1888" s="113"/>
      <c r="D1888" s="113"/>
      <c r="E1888" s="114"/>
      <c r="F1888" s="113"/>
      <c r="G1888" s="81"/>
      <c r="H1888" s="81"/>
      <c r="I1888" s="81"/>
      <c r="J1888" s="81"/>
      <c r="K1888" s="81"/>
      <c r="L1888" s="81"/>
      <c r="M1888" s="81"/>
      <c r="N1888" s="81"/>
    </row>
    <row r="1889" spans="1:14" ht="14.25" customHeight="1" x14ac:dyDescent="0.25">
      <c r="A1889" s="88"/>
      <c r="B1889" s="89"/>
      <c r="C1889" s="113"/>
      <c r="D1889" s="113"/>
      <c r="E1889" s="114"/>
      <c r="F1889" s="113"/>
      <c r="G1889" s="81"/>
      <c r="H1889" s="81"/>
      <c r="I1889" s="81"/>
      <c r="J1889" s="81"/>
      <c r="K1889" s="81"/>
      <c r="L1889" s="81"/>
      <c r="M1889" s="81"/>
      <c r="N1889" s="81"/>
    </row>
    <row r="1890" spans="1:14" ht="14.25" customHeight="1" x14ac:dyDescent="0.25">
      <c r="A1890" s="612" t="s">
        <v>588</v>
      </c>
      <c r="B1890" s="608"/>
      <c r="C1890" s="608"/>
      <c r="D1890" s="608"/>
      <c r="E1890" s="609"/>
      <c r="F1890" s="131">
        <f>ROUND(F1860+F1873+F1881+F1887,0)</f>
        <v>11104</v>
      </c>
      <c r="G1890" s="81"/>
      <c r="H1890" s="117">
        <f>11104-F1890</f>
        <v>0</v>
      </c>
      <c r="I1890" s="81"/>
      <c r="J1890" s="81"/>
      <c r="K1890" s="81"/>
      <c r="L1890" s="81"/>
      <c r="M1890" s="81"/>
      <c r="N1890" s="81"/>
    </row>
    <row r="1891" spans="1:14" ht="14.25" customHeight="1" x14ac:dyDescent="0.25">
      <c r="A1891" s="612" t="s">
        <v>589</v>
      </c>
      <c r="B1891" s="608"/>
      <c r="C1891" s="608"/>
      <c r="D1891" s="608"/>
      <c r="E1891" s="609"/>
      <c r="F1891" s="132"/>
      <c r="G1891" s="81"/>
      <c r="H1891" s="81"/>
      <c r="I1891" s="81"/>
      <c r="J1891" s="81"/>
      <c r="K1891" s="81"/>
      <c r="L1891" s="81"/>
      <c r="M1891" s="81"/>
      <c r="N1891" s="81"/>
    </row>
    <row r="1892" spans="1:14" ht="14.25" customHeight="1" x14ac:dyDescent="0.25">
      <c r="A1892" s="146" t="s">
        <v>556</v>
      </c>
      <c r="B1892" s="147"/>
      <c r="C1892" s="147"/>
      <c r="D1892" s="147"/>
      <c r="E1892" s="148"/>
      <c r="F1892" s="133"/>
      <c r="G1892" s="81"/>
      <c r="H1892" s="81"/>
      <c r="I1892" s="81"/>
      <c r="J1892" s="81"/>
      <c r="K1892" s="81"/>
      <c r="L1892" s="81"/>
      <c r="M1892" s="81"/>
      <c r="N1892" s="81"/>
    </row>
    <row r="1893" spans="1:14" ht="14.25" customHeight="1" x14ac:dyDescent="0.25">
      <c r="A1893" s="134"/>
      <c r="B1893" s="135"/>
      <c r="C1893" s="135"/>
      <c r="D1893" s="135"/>
      <c r="E1893" s="135"/>
      <c r="F1893" s="136"/>
      <c r="G1893" s="81"/>
      <c r="H1893" s="81"/>
      <c r="I1893" s="81"/>
      <c r="J1893" s="81"/>
      <c r="K1893" s="81"/>
      <c r="L1893" s="81"/>
      <c r="M1893" s="81"/>
      <c r="N1893" s="81"/>
    </row>
    <row r="1894" spans="1:14" ht="14.25" customHeight="1" x14ac:dyDescent="0.25">
      <c r="A1894" s="81"/>
      <c r="B1894" s="81"/>
      <c r="C1894" s="137"/>
      <c r="D1894" s="81"/>
      <c r="E1894" s="81"/>
      <c r="F1894" s="81"/>
      <c r="G1894" s="81"/>
      <c r="H1894" s="81"/>
      <c r="I1894" s="81"/>
      <c r="J1894" s="81"/>
      <c r="K1894" s="81"/>
      <c r="L1894" s="81"/>
      <c r="M1894" s="81"/>
      <c r="N1894" s="81"/>
    </row>
    <row r="1895" spans="1:14" ht="14.25" customHeight="1" x14ac:dyDescent="0.25">
      <c r="A1895" s="81"/>
      <c r="B1895" s="81"/>
      <c r="C1895" s="137"/>
      <c r="D1895" s="81"/>
      <c r="E1895" s="81"/>
      <c r="F1895" s="81"/>
      <c r="G1895" s="81"/>
      <c r="H1895" s="81"/>
      <c r="I1895" s="81"/>
      <c r="J1895" s="81"/>
      <c r="K1895" s="81"/>
      <c r="L1895" s="81"/>
      <c r="M1895" s="81"/>
      <c r="N1895" s="81"/>
    </row>
    <row r="1896" spans="1:14" ht="14.25" customHeight="1" x14ac:dyDescent="0.25">
      <c r="A1896" s="81"/>
      <c r="B1896" s="81"/>
      <c r="C1896" s="137"/>
      <c r="D1896" s="81"/>
      <c r="E1896" s="81"/>
      <c r="F1896" s="81"/>
      <c r="G1896" s="81"/>
      <c r="H1896" s="81"/>
      <c r="I1896" s="81"/>
      <c r="J1896" s="81"/>
      <c r="K1896" s="81"/>
      <c r="L1896" s="81"/>
      <c r="M1896" s="81"/>
      <c r="N1896" s="81"/>
    </row>
    <row r="1897" spans="1:14" ht="14.25" customHeight="1" x14ac:dyDescent="0.25">
      <c r="A1897" s="81"/>
      <c r="B1897" s="81"/>
      <c r="C1897" s="137"/>
      <c r="D1897" s="81"/>
      <c r="E1897" s="81"/>
      <c r="F1897" s="81"/>
      <c r="G1897" s="81"/>
      <c r="H1897" s="81"/>
      <c r="I1897" s="81"/>
      <c r="J1897" s="81"/>
      <c r="K1897" s="81"/>
      <c r="L1897" s="81"/>
      <c r="M1897" s="81"/>
      <c r="N1897" s="81"/>
    </row>
    <row r="1898" spans="1:14" ht="14.25" customHeight="1" x14ac:dyDescent="0.25">
      <c r="A1898" s="81"/>
      <c r="B1898" s="81"/>
      <c r="C1898" s="137"/>
      <c r="D1898" s="81"/>
      <c r="E1898" s="81"/>
      <c r="F1898" s="81"/>
      <c r="G1898" s="81"/>
      <c r="H1898" s="81"/>
      <c r="I1898" s="81"/>
      <c r="J1898" s="81"/>
      <c r="K1898" s="81"/>
      <c r="L1898" s="81"/>
      <c r="M1898" s="81"/>
      <c r="N1898" s="81"/>
    </row>
    <row r="1899" spans="1:14" ht="14.25" customHeight="1" x14ac:dyDescent="0.25">
      <c r="A1899" s="81"/>
      <c r="B1899" s="81"/>
      <c r="C1899" s="137"/>
      <c r="D1899" s="81"/>
      <c r="E1899" s="81"/>
      <c r="F1899" s="81"/>
      <c r="G1899" s="81"/>
      <c r="H1899" s="81"/>
      <c r="I1899" s="81"/>
      <c r="J1899" s="81"/>
      <c r="K1899" s="81"/>
      <c r="L1899" s="81"/>
      <c r="M1899" s="81"/>
      <c r="N1899" s="81"/>
    </row>
    <row r="1900" spans="1:14" ht="14.25" customHeight="1" x14ac:dyDescent="0.25">
      <c r="A1900" s="134"/>
      <c r="B1900" s="135"/>
      <c r="C1900" s="135"/>
      <c r="D1900" s="135"/>
      <c r="E1900" s="135"/>
      <c r="F1900" s="136"/>
      <c r="G1900" s="81"/>
      <c r="H1900" s="81"/>
      <c r="I1900" s="81"/>
      <c r="J1900" s="81"/>
      <c r="K1900" s="81"/>
      <c r="L1900" s="81"/>
      <c r="M1900" s="81"/>
      <c r="N1900" s="81"/>
    </row>
    <row r="1901" spans="1:14" ht="14.25" customHeight="1" x14ac:dyDescent="0.25">
      <c r="A1901" s="134"/>
      <c r="B1901" s="135"/>
      <c r="C1901" s="135"/>
      <c r="D1901" s="135"/>
      <c r="E1901" s="135"/>
      <c r="F1901" s="136"/>
      <c r="G1901" s="81"/>
      <c r="H1901" s="81"/>
      <c r="I1901" s="81"/>
      <c r="J1901" s="81"/>
      <c r="K1901" s="81"/>
      <c r="L1901" s="81"/>
      <c r="M1901" s="81"/>
      <c r="N1901" s="81"/>
    </row>
    <row r="1902" spans="1:14" ht="14.25" customHeight="1" x14ac:dyDescent="0.25">
      <c r="A1902" s="134"/>
      <c r="B1902" s="135"/>
      <c r="C1902" s="135"/>
      <c r="D1902" s="135"/>
      <c r="E1902" s="135"/>
      <c r="F1902" s="136"/>
      <c r="G1902" s="81"/>
      <c r="H1902" s="81"/>
      <c r="I1902" s="81"/>
      <c r="J1902" s="81"/>
      <c r="K1902" s="81"/>
      <c r="L1902" s="81"/>
      <c r="M1902" s="81"/>
      <c r="N1902" s="81"/>
    </row>
    <row r="1903" spans="1:14" ht="14.25" customHeight="1" thickBot="1" x14ac:dyDescent="0.3">
      <c r="A1903" s="81"/>
      <c r="B1903" s="81"/>
      <c r="C1903" s="81"/>
      <c r="D1903" s="81"/>
      <c r="E1903" s="81"/>
      <c r="F1903" s="81"/>
      <c r="G1903" s="81"/>
      <c r="H1903" s="81"/>
      <c r="I1903" s="81"/>
      <c r="J1903" s="81"/>
      <c r="K1903" s="81"/>
      <c r="L1903" s="81"/>
      <c r="M1903" s="81"/>
      <c r="N1903" s="81"/>
    </row>
    <row r="1904" spans="1:14" ht="14.25" customHeight="1" x14ac:dyDescent="0.25">
      <c r="A1904" s="83"/>
      <c r="B1904" s="84"/>
      <c r="C1904" s="85"/>
      <c r="D1904" s="86"/>
      <c r="E1904" s="86"/>
      <c r="F1904" s="87"/>
      <c r="G1904" s="81"/>
      <c r="H1904" s="81"/>
      <c r="I1904" s="81"/>
      <c r="J1904" s="81"/>
      <c r="K1904" s="81"/>
      <c r="L1904" s="81"/>
      <c r="M1904" s="81"/>
      <c r="N1904" s="81"/>
    </row>
    <row r="1905" spans="1:14" ht="14.25" customHeight="1" x14ac:dyDescent="0.25">
      <c r="A1905" s="599"/>
      <c r="B1905" s="600"/>
      <c r="C1905" s="600"/>
      <c r="D1905" s="600"/>
      <c r="E1905" s="600"/>
      <c r="F1905" s="601"/>
      <c r="G1905" s="81"/>
      <c r="H1905" s="81"/>
      <c r="I1905" s="81"/>
      <c r="J1905" s="81"/>
      <c r="K1905" s="81"/>
      <c r="L1905" s="81"/>
      <c r="M1905" s="81"/>
      <c r="N1905" s="81"/>
    </row>
    <row r="1906" spans="1:14" ht="14.25" customHeight="1" x14ac:dyDescent="0.25">
      <c r="A1906" s="602" t="s">
        <v>561</v>
      </c>
      <c r="B1906" s="600"/>
      <c r="C1906" s="600"/>
      <c r="D1906" s="600"/>
      <c r="E1906" s="600"/>
      <c r="F1906" s="601"/>
      <c r="G1906" s="81"/>
      <c r="H1906" s="81"/>
      <c r="I1906" s="81"/>
      <c r="J1906" s="81"/>
      <c r="K1906" s="81"/>
      <c r="L1906" s="81"/>
      <c r="M1906" s="81"/>
      <c r="N1906" s="81"/>
    </row>
    <row r="1907" spans="1:14" ht="14.25" customHeight="1" thickBot="1" x14ac:dyDescent="0.3">
      <c r="A1907" s="603"/>
      <c r="B1907" s="604"/>
      <c r="C1907" s="604"/>
      <c r="D1907" s="604"/>
      <c r="E1907" s="604"/>
      <c r="F1907" s="605"/>
      <c r="G1907" s="81"/>
      <c r="H1907" s="81"/>
      <c r="I1907" s="81"/>
      <c r="J1907" s="81"/>
      <c r="K1907" s="81"/>
      <c r="L1907" s="81"/>
      <c r="M1907" s="81"/>
      <c r="N1907" s="81"/>
    </row>
    <row r="1908" spans="1:14" ht="14.25" customHeight="1" x14ac:dyDescent="0.25">
      <c r="A1908" s="88"/>
      <c r="B1908" s="88"/>
      <c r="C1908" s="89"/>
      <c r="D1908" s="89"/>
      <c r="E1908" s="89"/>
      <c r="F1908" s="89"/>
      <c r="G1908" s="81"/>
      <c r="H1908" s="81"/>
      <c r="I1908" s="81"/>
      <c r="J1908" s="81"/>
      <c r="K1908" s="81"/>
      <c r="L1908" s="81"/>
      <c r="M1908" s="81"/>
      <c r="N1908" s="81"/>
    </row>
    <row r="1909" spans="1:14" ht="14.25" customHeight="1" x14ac:dyDescent="0.25">
      <c r="A1909" s="90" t="s">
        <v>47</v>
      </c>
      <c r="B1909" s="613" t="s">
        <v>119</v>
      </c>
      <c r="C1909" s="600"/>
      <c r="D1909" s="600"/>
      <c r="E1909" s="600"/>
      <c r="F1909" s="600"/>
      <c r="G1909" s="81"/>
      <c r="H1909" s="81"/>
      <c r="I1909" s="81"/>
      <c r="J1909" s="81"/>
      <c r="K1909" s="81"/>
      <c r="L1909" s="81"/>
      <c r="M1909" s="81"/>
      <c r="N1909" s="81"/>
    </row>
    <row r="1910" spans="1:14" ht="14.25" customHeight="1" x14ac:dyDescent="0.25">
      <c r="A1910" s="91"/>
      <c r="B1910" s="91"/>
      <c r="C1910" s="91"/>
      <c r="D1910" s="91"/>
      <c r="E1910" s="91"/>
      <c r="F1910" s="91"/>
      <c r="G1910" s="81"/>
      <c r="H1910" s="81"/>
      <c r="I1910" s="81"/>
      <c r="J1910" s="81"/>
      <c r="K1910" s="81"/>
      <c r="L1910" s="81"/>
      <c r="M1910" s="81"/>
      <c r="N1910" s="81"/>
    </row>
    <row r="1911" spans="1:14" ht="14.25" customHeight="1" x14ac:dyDescent="0.25">
      <c r="A1911" s="88" t="s">
        <v>49</v>
      </c>
      <c r="B1911" s="92" t="s">
        <v>117</v>
      </c>
      <c r="C1911" s="89"/>
      <c r="D1911" s="89"/>
      <c r="E1911" s="89"/>
      <c r="F1911" s="93"/>
      <c r="G1911" s="81"/>
      <c r="H1911" s="81"/>
      <c r="I1911" s="81"/>
      <c r="J1911" s="81"/>
      <c r="K1911" s="81"/>
      <c r="L1911" s="81"/>
      <c r="M1911" s="81"/>
      <c r="N1911" s="81"/>
    </row>
    <row r="1912" spans="1:14" ht="14.25" customHeight="1" x14ac:dyDescent="0.25">
      <c r="A1912" s="88"/>
      <c r="B1912" s="94"/>
      <c r="C1912" s="89"/>
      <c r="D1912" s="89"/>
      <c r="E1912" s="89"/>
      <c r="F1912" s="93"/>
      <c r="G1912" s="81"/>
      <c r="H1912" s="81"/>
      <c r="I1912" s="81"/>
      <c r="J1912" s="81"/>
      <c r="K1912" s="81"/>
      <c r="L1912" s="81"/>
      <c r="M1912" s="81"/>
      <c r="N1912" s="81"/>
    </row>
    <row r="1913" spans="1:14" ht="14.25" customHeight="1" x14ac:dyDescent="0.25">
      <c r="A1913" s="95" t="s">
        <v>562</v>
      </c>
      <c r="B1913" s="96"/>
      <c r="C1913" s="92"/>
      <c r="D1913" s="92"/>
      <c r="E1913" s="92"/>
      <c r="F1913" s="92"/>
      <c r="G1913" s="81"/>
      <c r="H1913" s="81"/>
      <c r="I1913" s="81"/>
      <c r="J1913" s="81"/>
      <c r="K1913" s="81"/>
      <c r="L1913" s="81"/>
      <c r="M1913" s="81"/>
      <c r="N1913" s="81"/>
    </row>
    <row r="1914" spans="1:14" ht="14.25" customHeight="1" x14ac:dyDescent="0.25">
      <c r="A1914" s="97" t="s">
        <v>563</v>
      </c>
      <c r="B1914" s="98" t="s">
        <v>564</v>
      </c>
      <c r="C1914" s="98" t="s">
        <v>565</v>
      </c>
      <c r="D1914" s="98" t="s">
        <v>566</v>
      </c>
      <c r="E1914" s="98" t="s">
        <v>567</v>
      </c>
      <c r="F1914" s="98" t="s">
        <v>568</v>
      </c>
      <c r="G1914" s="81"/>
      <c r="H1914" s="81"/>
      <c r="I1914" s="81"/>
      <c r="J1914" s="81"/>
      <c r="K1914" s="81"/>
      <c r="L1914" s="81"/>
      <c r="M1914" s="81"/>
      <c r="N1914" s="81"/>
    </row>
    <row r="1915" spans="1:14" ht="14.25" customHeight="1" x14ac:dyDescent="0.25">
      <c r="A1915" s="99" t="s">
        <v>659</v>
      </c>
      <c r="B1915" s="100" t="s">
        <v>117</v>
      </c>
      <c r="C1915" s="101">
        <v>3000</v>
      </c>
      <c r="D1915" s="149">
        <v>1.05</v>
      </c>
      <c r="E1915" s="102">
        <v>0.05</v>
      </c>
      <c r="F1915" s="101">
        <f t="shared" ref="F1915:F1920" si="112">C1915*(D1915+(D1915*E1915))</f>
        <v>3307.5</v>
      </c>
      <c r="G1915" s="81"/>
      <c r="H1915" s="81"/>
      <c r="I1915" s="81"/>
      <c r="J1915" s="81"/>
      <c r="K1915" s="81"/>
      <c r="L1915" s="81"/>
      <c r="M1915" s="81"/>
      <c r="N1915" s="81"/>
    </row>
    <row r="1916" spans="1:14" ht="14.25" customHeight="1" x14ac:dyDescent="0.25">
      <c r="A1916" s="99" t="s">
        <v>645</v>
      </c>
      <c r="B1916" s="100" t="s">
        <v>117</v>
      </c>
      <c r="C1916" s="101">
        <v>4700</v>
      </c>
      <c r="D1916" s="149">
        <v>0.03</v>
      </c>
      <c r="E1916" s="102">
        <v>0.05</v>
      </c>
      <c r="F1916" s="101">
        <f t="shared" si="112"/>
        <v>148.05000000000001</v>
      </c>
      <c r="G1916" s="81"/>
      <c r="H1916" s="81"/>
      <c r="I1916" s="81"/>
      <c r="J1916" s="81"/>
      <c r="K1916" s="81"/>
      <c r="L1916" s="81"/>
      <c r="M1916" s="81"/>
      <c r="N1916" s="81"/>
    </row>
    <row r="1917" spans="1:14" ht="14.25" customHeight="1" x14ac:dyDescent="0.25">
      <c r="A1917" s="99" t="s">
        <v>660</v>
      </c>
      <c r="B1917" s="100" t="s">
        <v>99</v>
      </c>
      <c r="C1917" s="101">
        <v>5720</v>
      </c>
      <c r="D1917" s="149">
        <v>0.01</v>
      </c>
      <c r="E1917" s="102">
        <v>0.05</v>
      </c>
      <c r="F1917" s="101">
        <f t="shared" si="112"/>
        <v>60.06</v>
      </c>
      <c r="G1917" s="81"/>
      <c r="H1917" s="81"/>
      <c r="I1917" s="81"/>
      <c r="J1917" s="81"/>
      <c r="K1917" s="81"/>
      <c r="L1917" s="81"/>
      <c r="M1917" s="81"/>
      <c r="N1917" s="81"/>
    </row>
    <row r="1918" spans="1:14" ht="14.25" customHeight="1" x14ac:dyDescent="0.25">
      <c r="A1918" s="99"/>
      <c r="B1918" s="100"/>
      <c r="C1918" s="101"/>
      <c r="D1918" s="149"/>
      <c r="E1918" s="102"/>
      <c r="F1918" s="101">
        <f t="shared" si="112"/>
        <v>0</v>
      </c>
      <c r="G1918" s="81"/>
      <c r="H1918" s="81"/>
      <c r="I1918" s="81"/>
      <c r="J1918" s="81"/>
      <c r="K1918" s="81"/>
      <c r="L1918" s="81"/>
      <c r="M1918" s="81"/>
      <c r="N1918" s="81"/>
    </row>
    <row r="1919" spans="1:14" ht="14.25" customHeight="1" x14ac:dyDescent="0.25">
      <c r="A1919" s="99"/>
      <c r="B1919" s="100"/>
      <c r="C1919" s="101"/>
      <c r="D1919" s="149"/>
      <c r="E1919" s="102"/>
      <c r="F1919" s="101">
        <f t="shared" si="112"/>
        <v>0</v>
      </c>
      <c r="G1919" s="81"/>
      <c r="H1919" s="81"/>
      <c r="I1919" s="81"/>
      <c r="J1919" s="81"/>
      <c r="K1919" s="81"/>
      <c r="L1919" s="81"/>
      <c r="M1919" s="81"/>
      <c r="N1919" s="81"/>
    </row>
    <row r="1920" spans="1:14" ht="14.25" customHeight="1" x14ac:dyDescent="0.25">
      <c r="A1920" s="99"/>
      <c r="B1920" s="100"/>
      <c r="C1920" s="101"/>
      <c r="D1920" s="104"/>
      <c r="E1920" s="102"/>
      <c r="F1920" s="101">
        <f t="shared" si="112"/>
        <v>0</v>
      </c>
      <c r="G1920" s="81"/>
      <c r="H1920" s="81"/>
      <c r="I1920" s="81"/>
      <c r="J1920" s="81"/>
      <c r="K1920" s="81"/>
      <c r="L1920" s="81"/>
      <c r="M1920" s="81"/>
      <c r="N1920" s="81"/>
    </row>
    <row r="1921" spans="1:14" ht="14.25" customHeight="1" x14ac:dyDescent="0.25">
      <c r="A1921" s="99"/>
      <c r="B1921" s="100"/>
      <c r="C1921" s="106"/>
      <c r="D1921" s="107"/>
      <c r="E1921" s="108"/>
      <c r="F1921" s="106"/>
      <c r="G1921" s="81"/>
      <c r="H1921" s="81"/>
      <c r="I1921" s="81"/>
      <c r="J1921" s="81"/>
      <c r="K1921" s="81"/>
      <c r="L1921" s="81"/>
      <c r="M1921" s="81"/>
      <c r="N1921" s="81"/>
    </row>
    <row r="1922" spans="1:14" ht="14.25" customHeight="1" x14ac:dyDescent="0.25">
      <c r="A1922" s="97" t="s">
        <v>548</v>
      </c>
      <c r="B1922" s="97"/>
      <c r="C1922" s="109"/>
      <c r="D1922" s="110"/>
      <c r="E1922" s="111"/>
      <c r="F1922" s="112">
        <f>SUM(F1915:F1921)</f>
        <v>3515.61</v>
      </c>
      <c r="G1922" s="81"/>
      <c r="H1922" s="81"/>
      <c r="I1922" s="81"/>
      <c r="J1922" s="81"/>
      <c r="K1922" s="81"/>
      <c r="L1922" s="81"/>
      <c r="M1922" s="81"/>
      <c r="N1922" s="81"/>
    </row>
    <row r="1923" spans="1:14" ht="14.25" customHeight="1" x14ac:dyDescent="0.25">
      <c r="A1923" s="88"/>
      <c r="B1923" s="88"/>
      <c r="C1923" s="113"/>
      <c r="D1923" s="113"/>
      <c r="E1923" s="114"/>
      <c r="F1923" s="113"/>
      <c r="G1923" s="81"/>
      <c r="H1923" s="81"/>
      <c r="I1923" s="81"/>
      <c r="J1923" s="81"/>
      <c r="K1923" s="81"/>
      <c r="L1923" s="81"/>
      <c r="M1923" s="81"/>
      <c r="N1923" s="81"/>
    </row>
    <row r="1924" spans="1:14" ht="14.25" customHeight="1" x14ac:dyDescent="0.25">
      <c r="A1924" s="96" t="s">
        <v>573</v>
      </c>
      <c r="B1924" s="96"/>
      <c r="C1924" s="92"/>
      <c r="D1924" s="92"/>
      <c r="E1924" s="92"/>
      <c r="F1924" s="92"/>
      <c r="G1924" s="81"/>
      <c r="H1924" s="81"/>
      <c r="I1924" s="81"/>
      <c r="J1924" s="81"/>
      <c r="K1924" s="81"/>
      <c r="L1924" s="81"/>
      <c r="M1924" s="81"/>
      <c r="N1924" s="81"/>
    </row>
    <row r="1925" spans="1:14" ht="14.25" customHeight="1" x14ac:dyDescent="0.25">
      <c r="A1925" s="611" t="s">
        <v>563</v>
      </c>
      <c r="B1925" s="608"/>
      <c r="C1925" s="609"/>
      <c r="D1925" s="98" t="s">
        <v>574</v>
      </c>
      <c r="E1925" s="98" t="s">
        <v>575</v>
      </c>
      <c r="F1925" s="98" t="s">
        <v>568</v>
      </c>
      <c r="G1925" s="81"/>
      <c r="H1925" s="81"/>
      <c r="I1925" s="81"/>
      <c r="J1925" s="81"/>
      <c r="K1925" s="81"/>
      <c r="L1925" s="81"/>
      <c r="M1925" s="81"/>
      <c r="N1925" s="81"/>
    </row>
    <row r="1926" spans="1:14" ht="14.25" customHeight="1" x14ac:dyDescent="0.25">
      <c r="A1926" s="607" t="s">
        <v>577</v>
      </c>
      <c r="B1926" s="608"/>
      <c r="C1926" s="609"/>
      <c r="D1926" s="116"/>
      <c r="E1926" s="107"/>
      <c r="F1926" s="106">
        <v>29</v>
      </c>
      <c r="G1926" s="81"/>
      <c r="H1926" s="81"/>
      <c r="I1926" s="81"/>
      <c r="J1926" s="81"/>
      <c r="K1926" s="81"/>
      <c r="L1926" s="81"/>
      <c r="M1926" s="81"/>
      <c r="N1926" s="81"/>
    </row>
    <row r="1927" spans="1:14" ht="14.25" customHeight="1" x14ac:dyDescent="0.25">
      <c r="A1927" s="607"/>
      <c r="B1927" s="608"/>
      <c r="C1927" s="609"/>
      <c r="D1927" s="142"/>
      <c r="E1927" s="107"/>
      <c r="F1927" s="106"/>
      <c r="G1927" s="81"/>
      <c r="H1927" s="81"/>
      <c r="I1927" s="81"/>
      <c r="J1927" s="81"/>
      <c r="K1927" s="81"/>
      <c r="L1927" s="81"/>
      <c r="M1927" s="81"/>
      <c r="N1927" s="81"/>
    </row>
    <row r="1928" spans="1:14" ht="14.25" customHeight="1" x14ac:dyDescent="0.25">
      <c r="A1928" s="607"/>
      <c r="B1928" s="608"/>
      <c r="C1928" s="609"/>
      <c r="D1928" s="142"/>
      <c r="E1928" s="107"/>
      <c r="F1928" s="106"/>
      <c r="G1928" s="81"/>
      <c r="H1928" s="81"/>
      <c r="I1928" s="81"/>
      <c r="J1928" s="81"/>
      <c r="K1928" s="81"/>
      <c r="L1928" s="81"/>
      <c r="M1928" s="81"/>
      <c r="N1928" s="81"/>
    </row>
    <row r="1929" spans="1:14" ht="14.25" customHeight="1" x14ac:dyDescent="0.25">
      <c r="A1929" s="607"/>
      <c r="B1929" s="608"/>
      <c r="C1929" s="609"/>
      <c r="D1929" s="142"/>
      <c r="E1929" s="107"/>
      <c r="F1929" s="106"/>
      <c r="G1929" s="81"/>
      <c r="H1929" s="81"/>
      <c r="I1929" s="81"/>
      <c r="J1929" s="81"/>
      <c r="K1929" s="81"/>
      <c r="L1929" s="81"/>
      <c r="M1929" s="81"/>
      <c r="N1929" s="81"/>
    </row>
    <row r="1930" spans="1:14" ht="14.25" customHeight="1" x14ac:dyDescent="0.25">
      <c r="A1930" s="607"/>
      <c r="B1930" s="608"/>
      <c r="C1930" s="609"/>
      <c r="D1930" s="142"/>
      <c r="E1930" s="105"/>
      <c r="F1930" s="106"/>
      <c r="G1930" s="81"/>
      <c r="H1930" s="81"/>
      <c r="I1930" s="81"/>
      <c r="J1930" s="81"/>
      <c r="K1930" s="81"/>
      <c r="L1930" s="81"/>
      <c r="M1930" s="81"/>
      <c r="N1930" s="81"/>
    </row>
    <row r="1931" spans="1:14" ht="14.25" customHeight="1" x14ac:dyDescent="0.25">
      <c r="A1931" s="607"/>
      <c r="B1931" s="608"/>
      <c r="C1931" s="609"/>
      <c r="D1931" s="142"/>
      <c r="E1931" s="105"/>
      <c r="F1931" s="106"/>
      <c r="G1931" s="81"/>
      <c r="H1931" s="81"/>
      <c r="I1931" s="81"/>
      <c r="J1931" s="81"/>
      <c r="K1931" s="81"/>
      <c r="L1931" s="81"/>
      <c r="M1931" s="81"/>
      <c r="N1931" s="81"/>
    </row>
    <row r="1932" spans="1:14" ht="14.25" customHeight="1" x14ac:dyDescent="0.25">
      <c r="A1932" s="607"/>
      <c r="B1932" s="608"/>
      <c r="C1932" s="609"/>
      <c r="D1932" s="142"/>
      <c r="E1932" s="107"/>
      <c r="F1932" s="106"/>
      <c r="G1932" s="81"/>
      <c r="H1932" s="81"/>
      <c r="I1932" s="81"/>
      <c r="J1932" s="81"/>
      <c r="K1932" s="81"/>
      <c r="L1932" s="81"/>
      <c r="M1932" s="81"/>
      <c r="N1932" s="81"/>
    </row>
    <row r="1933" spans="1:14" ht="14.25" customHeight="1" x14ac:dyDescent="0.25">
      <c r="A1933" s="607"/>
      <c r="B1933" s="608"/>
      <c r="C1933" s="609"/>
      <c r="D1933" s="142"/>
      <c r="E1933" s="107"/>
      <c r="F1933" s="106"/>
      <c r="G1933" s="81"/>
      <c r="H1933" s="81"/>
      <c r="I1933" s="81"/>
      <c r="J1933" s="81"/>
      <c r="K1933" s="81"/>
      <c r="L1933" s="81"/>
      <c r="M1933" s="81"/>
      <c r="N1933" s="81"/>
    </row>
    <row r="1934" spans="1:14" ht="14.25" customHeight="1" x14ac:dyDescent="0.25">
      <c r="A1934" s="610"/>
      <c r="B1934" s="608"/>
      <c r="C1934" s="609"/>
      <c r="D1934" s="115"/>
      <c r="E1934" s="107"/>
      <c r="F1934" s="106"/>
      <c r="G1934" s="81"/>
      <c r="H1934" s="81"/>
      <c r="I1934" s="81"/>
      <c r="J1934" s="81"/>
      <c r="K1934" s="81"/>
      <c r="L1934" s="81"/>
      <c r="M1934" s="81"/>
      <c r="N1934" s="81"/>
    </row>
    <row r="1935" spans="1:14" ht="14.25" customHeight="1" x14ac:dyDescent="0.25">
      <c r="A1935" s="611" t="s">
        <v>548</v>
      </c>
      <c r="B1935" s="608"/>
      <c r="C1935" s="609"/>
      <c r="D1935" s="110"/>
      <c r="E1935" s="110"/>
      <c r="F1935" s="112">
        <f>SUM(F1926:F1932)</f>
        <v>29</v>
      </c>
      <c r="G1935" s="81"/>
      <c r="H1935" s="81"/>
      <c r="I1935" s="81"/>
      <c r="J1935" s="81"/>
      <c r="K1935" s="81"/>
      <c r="L1935" s="81"/>
      <c r="M1935" s="81"/>
      <c r="N1935" s="81"/>
    </row>
    <row r="1936" spans="1:14" ht="14.25" customHeight="1" x14ac:dyDescent="0.25">
      <c r="A1936" s="88"/>
      <c r="B1936" s="88"/>
      <c r="C1936" s="89"/>
      <c r="D1936" s="113"/>
      <c r="E1936" s="113"/>
      <c r="F1936" s="113"/>
      <c r="G1936" s="81"/>
      <c r="H1936" s="81"/>
      <c r="I1936" s="81"/>
      <c r="J1936" s="81"/>
      <c r="K1936" s="81"/>
      <c r="L1936" s="81"/>
      <c r="M1936" s="81"/>
      <c r="N1936" s="81"/>
    </row>
    <row r="1937" spans="1:14" ht="14.25" customHeight="1" x14ac:dyDescent="0.25">
      <c r="A1937" s="96" t="s">
        <v>578</v>
      </c>
      <c r="B1937" s="96"/>
      <c r="C1937" s="92"/>
      <c r="D1937" s="118"/>
      <c r="E1937" s="118"/>
      <c r="F1937" s="118"/>
      <c r="G1937" s="81"/>
      <c r="H1937" s="81"/>
      <c r="I1937" s="81"/>
      <c r="J1937" s="81"/>
      <c r="K1937" s="81"/>
      <c r="L1937" s="81"/>
      <c r="M1937" s="81"/>
      <c r="N1937" s="81"/>
    </row>
    <row r="1938" spans="1:14" ht="14.25" customHeight="1" x14ac:dyDescent="0.25">
      <c r="A1938" s="119" t="s">
        <v>563</v>
      </c>
      <c r="B1938" s="120" t="s">
        <v>579</v>
      </c>
      <c r="C1938" s="120" t="s">
        <v>580</v>
      </c>
      <c r="D1938" s="121" t="s">
        <v>581</v>
      </c>
      <c r="E1938" s="121" t="s">
        <v>575</v>
      </c>
      <c r="F1938" s="121" t="s">
        <v>568</v>
      </c>
      <c r="G1938" s="81"/>
      <c r="H1938" s="81"/>
      <c r="I1938" s="81"/>
      <c r="J1938" s="81"/>
      <c r="K1938" s="81"/>
      <c r="L1938" s="81"/>
      <c r="M1938" s="81"/>
      <c r="N1938" s="81"/>
    </row>
    <row r="1939" spans="1:14" ht="14.25" customHeight="1" x14ac:dyDescent="0.25">
      <c r="A1939" s="122" t="s">
        <v>593</v>
      </c>
      <c r="B1939" s="127">
        <v>1</v>
      </c>
      <c r="C1939" s="101">
        <v>32688</v>
      </c>
      <c r="D1939" s="101">
        <f t="shared" ref="D1939:D1940" si="113">+C1939*1.7</f>
        <v>55569.599999999999</v>
      </c>
      <c r="E1939" s="107">
        <v>193.9</v>
      </c>
      <c r="F1939" s="106">
        <f t="shared" ref="F1939:F1940" si="114">+B1939*(D1939)/E1939</f>
        <v>286.58896338318721</v>
      </c>
      <c r="G1939" s="81"/>
      <c r="H1939" s="81"/>
      <c r="I1939" s="81"/>
      <c r="J1939" s="81"/>
      <c r="K1939" s="81"/>
      <c r="L1939" s="81"/>
      <c r="M1939" s="81"/>
      <c r="N1939" s="81"/>
    </row>
    <row r="1940" spans="1:14" ht="14.25" customHeight="1" x14ac:dyDescent="0.25">
      <c r="A1940" s="122" t="s">
        <v>594</v>
      </c>
      <c r="B1940" s="127">
        <v>1</v>
      </c>
      <c r="C1940" s="101">
        <v>52538</v>
      </c>
      <c r="D1940" s="101">
        <f t="shared" si="113"/>
        <v>89314.599999999991</v>
      </c>
      <c r="E1940" s="107">
        <f>E1939</f>
        <v>193.9</v>
      </c>
      <c r="F1940" s="106">
        <f t="shared" si="114"/>
        <v>460.62197008767401</v>
      </c>
      <c r="G1940" s="81"/>
      <c r="H1940" s="81"/>
      <c r="I1940" s="81"/>
      <c r="J1940" s="81"/>
      <c r="K1940" s="81"/>
      <c r="L1940" s="81"/>
      <c r="M1940" s="81"/>
      <c r="N1940" s="81"/>
    </row>
    <row r="1941" spans="1:14" ht="14.25" customHeight="1" x14ac:dyDescent="0.25">
      <c r="A1941" s="122"/>
      <c r="B1941" s="127"/>
      <c r="C1941" s="101"/>
      <c r="D1941" s="101"/>
      <c r="E1941" s="107"/>
      <c r="F1941" s="106"/>
      <c r="G1941" s="81"/>
      <c r="H1941" s="81"/>
      <c r="I1941" s="81"/>
      <c r="J1941" s="81"/>
      <c r="K1941" s="81"/>
      <c r="L1941" s="81"/>
      <c r="M1941" s="81"/>
      <c r="N1941" s="81"/>
    </row>
    <row r="1942" spans="1:14" ht="14.25" customHeight="1" x14ac:dyDescent="0.25">
      <c r="A1942" s="122"/>
      <c r="B1942" s="127"/>
      <c r="C1942" s="101"/>
      <c r="D1942" s="101"/>
      <c r="E1942" s="125"/>
      <c r="F1942" s="106"/>
      <c r="G1942" s="81"/>
      <c r="H1942" s="81"/>
      <c r="I1942" s="81"/>
      <c r="J1942" s="81"/>
      <c r="K1942" s="81"/>
      <c r="L1942" s="81"/>
      <c r="M1942" s="81"/>
      <c r="N1942" s="81"/>
    </row>
    <row r="1943" spans="1:14" ht="14.25" customHeight="1" x14ac:dyDescent="0.25">
      <c r="A1943" s="97" t="s">
        <v>548</v>
      </c>
      <c r="B1943" s="128"/>
      <c r="C1943" s="110"/>
      <c r="D1943" s="110"/>
      <c r="E1943" s="110"/>
      <c r="F1943" s="112">
        <f>SUM(F1939:F1942)</f>
        <v>747.21093347086116</v>
      </c>
      <c r="G1943" s="81"/>
      <c r="H1943" s="81"/>
      <c r="I1943" s="81"/>
      <c r="J1943" s="81"/>
      <c r="K1943" s="81"/>
      <c r="L1943" s="81"/>
      <c r="M1943" s="81"/>
      <c r="N1943" s="81"/>
    </row>
    <row r="1944" spans="1:14" ht="14.25" customHeight="1" x14ac:dyDescent="0.25">
      <c r="A1944" s="96"/>
      <c r="B1944" s="129"/>
      <c r="C1944" s="118"/>
      <c r="D1944" s="118"/>
      <c r="E1944" s="118"/>
      <c r="F1944" s="118"/>
      <c r="G1944" s="81"/>
      <c r="H1944" s="143"/>
      <c r="I1944" s="81"/>
      <c r="J1944" s="81"/>
      <c r="K1944" s="81"/>
      <c r="L1944" s="81"/>
      <c r="M1944" s="81"/>
      <c r="N1944" s="81"/>
    </row>
    <row r="1945" spans="1:14" ht="14.25" customHeight="1" x14ac:dyDescent="0.25">
      <c r="A1945" s="95" t="s">
        <v>583</v>
      </c>
      <c r="B1945" s="96"/>
      <c r="C1945" s="92"/>
      <c r="D1945" s="92"/>
      <c r="E1945" s="92" t="s">
        <v>584</v>
      </c>
      <c r="F1945" s="92"/>
      <c r="G1945" s="81"/>
      <c r="H1945" s="150"/>
      <c r="I1945" s="81"/>
      <c r="J1945" s="81"/>
      <c r="K1945" s="81"/>
      <c r="L1945" s="81"/>
      <c r="M1945" s="81"/>
      <c r="N1945" s="81"/>
    </row>
    <row r="1946" spans="1:14" ht="14.25" customHeight="1" x14ac:dyDescent="0.25">
      <c r="A1946" s="97" t="s">
        <v>563</v>
      </c>
      <c r="B1946" s="98" t="s">
        <v>564</v>
      </c>
      <c r="C1946" s="98" t="s">
        <v>585</v>
      </c>
      <c r="D1946" s="98" t="s">
        <v>586</v>
      </c>
      <c r="E1946" s="120" t="s">
        <v>587</v>
      </c>
      <c r="F1946" s="98" t="s">
        <v>568</v>
      </c>
      <c r="G1946" s="81"/>
      <c r="H1946" s="81"/>
      <c r="I1946" s="81"/>
      <c r="J1946" s="81"/>
      <c r="K1946" s="81"/>
      <c r="L1946" s="81"/>
      <c r="M1946" s="81"/>
      <c r="N1946" s="81"/>
    </row>
    <row r="1947" spans="1:14" ht="14.25" customHeight="1" x14ac:dyDescent="0.25">
      <c r="A1947" s="103"/>
      <c r="B1947" s="100"/>
      <c r="C1947" s="101"/>
      <c r="D1947" s="140"/>
      <c r="E1947" s="107"/>
      <c r="F1947" s="109"/>
      <c r="G1947" s="81"/>
      <c r="H1947" s="81"/>
      <c r="I1947" s="81"/>
      <c r="J1947" s="81"/>
      <c r="K1947" s="81"/>
      <c r="L1947" s="81"/>
      <c r="M1947" s="81"/>
      <c r="N1947" s="81"/>
    </row>
    <row r="1948" spans="1:14" ht="14.25" customHeight="1" x14ac:dyDescent="0.25">
      <c r="A1948" s="103"/>
      <c r="B1948" s="100"/>
      <c r="C1948" s="107"/>
      <c r="D1948" s="107"/>
      <c r="E1948" s="108"/>
      <c r="F1948" s="109"/>
      <c r="G1948" s="81"/>
      <c r="H1948" s="81"/>
      <c r="I1948" s="81"/>
      <c r="J1948" s="81"/>
      <c r="K1948" s="81"/>
      <c r="L1948" s="81"/>
      <c r="M1948" s="81"/>
      <c r="N1948" s="81"/>
    </row>
    <row r="1949" spans="1:14" ht="14.25" customHeight="1" x14ac:dyDescent="0.25">
      <c r="A1949" s="97" t="s">
        <v>548</v>
      </c>
      <c r="B1949" s="98"/>
      <c r="C1949" s="110"/>
      <c r="D1949" s="110"/>
      <c r="E1949" s="111"/>
      <c r="F1949" s="112">
        <f>SUM(F1947:F1948)</f>
        <v>0</v>
      </c>
      <c r="G1949" s="81"/>
      <c r="H1949" s="81"/>
      <c r="I1949" s="81"/>
      <c r="J1949" s="81"/>
      <c r="K1949" s="81"/>
      <c r="L1949" s="81"/>
      <c r="M1949" s="81"/>
      <c r="N1949" s="81"/>
    </row>
    <row r="1950" spans="1:14" ht="14.25" customHeight="1" x14ac:dyDescent="0.25">
      <c r="A1950" s="88"/>
      <c r="B1950" s="89"/>
      <c r="C1950" s="113"/>
      <c r="D1950" s="113"/>
      <c r="E1950" s="114"/>
      <c r="F1950" s="113"/>
      <c r="G1950" s="81"/>
      <c r="H1950" s="81"/>
      <c r="I1950" s="81"/>
      <c r="J1950" s="81"/>
      <c r="K1950" s="81"/>
      <c r="L1950" s="81"/>
      <c r="M1950" s="81"/>
      <c r="N1950" s="81"/>
    </row>
    <row r="1951" spans="1:14" ht="14.25" customHeight="1" x14ac:dyDescent="0.25">
      <c r="A1951" s="88"/>
      <c r="B1951" s="89"/>
      <c r="C1951" s="113"/>
      <c r="D1951" s="113"/>
      <c r="E1951" s="114"/>
      <c r="F1951" s="113"/>
      <c r="G1951" s="81"/>
      <c r="H1951" s="81"/>
      <c r="I1951" s="81"/>
      <c r="J1951" s="81"/>
      <c r="K1951" s="81"/>
      <c r="L1951" s="81"/>
      <c r="M1951" s="81"/>
      <c r="N1951" s="81"/>
    </row>
    <row r="1952" spans="1:14" ht="14.25" customHeight="1" x14ac:dyDescent="0.25">
      <c r="A1952" s="612" t="s">
        <v>588</v>
      </c>
      <c r="B1952" s="608"/>
      <c r="C1952" s="608"/>
      <c r="D1952" s="608"/>
      <c r="E1952" s="609"/>
      <c r="F1952" s="131">
        <f>ROUND(F1922+F1935+F1943+F1949,0)</f>
        <v>4292</v>
      </c>
      <c r="G1952" s="81"/>
      <c r="H1952" s="117">
        <f>4292-F1952</f>
        <v>0</v>
      </c>
      <c r="I1952" s="81"/>
      <c r="J1952" s="81"/>
      <c r="K1952" s="81"/>
      <c r="L1952" s="81"/>
      <c r="M1952" s="81"/>
      <c r="N1952" s="81"/>
    </row>
    <row r="1953" spans="1:14" ht="14.25" customHeight="1" x14ac:dyDescent="0.25">
      <c r="A1953" s="612" t="s">
        <v>589</v>
      </c>
      <c r="B1953" s="608"/>
      <c r="C1953" s="608"/>
      <c r="D1953" s="608"/>
      <c r="E1953" s="609"/>
      <c r="F1953" s="132"/>
      <c r="G1953" s="81"/>
      <c r="H1953" s="81"/>
      <c r="I1953" s="81"/>
      <c r="J1953" s="81"/>
      <c r="K1953" s="81"/>
      <c r="L1953" s="81"/>
      <c r="M1953" s="81"/>
      <c r="N1953" s="81"/>
    </row>
    <row r="1954" spans="1:14" ht="14.25" customHeight="1" x14ac:dyDescent="0.25">
      <c r="A1954" s="146" t="s">
        <v>556</v>
      </c>
      <c r="B1954" s="147"/>
      <c r="C1954" s="147"/>
      <c r="D1954" s="147"/>
      <c r="E1954" s="148"/>
      <c r="F1954" s="133"/>
      <c r="G1954" s="81"/>
      <c r="H1954" s="81"/>
      <c r="I1954" s="81"/>
      <c r="J1954" s="81"/>
      <c r="K1954" s="81"/>
      <c r="L1954" s="81"/>
      <c r="M1954" s="81"/>
      <c r="N1954" s="81"/>
    </row>
    <row r="1955" spans="1:14" ht="14.25" customHeight="1" x14ac:dyDescent="0.25">
      <c r="A1955" s="134"/>
      <c r="B1955" s="135"/>
      <c r="C1955" s="135"/>
      <c r="D1955" s="135"/>
      <c r="E1955" s="135"/>
      <c r="F1955" s="136"/>
      <c r="G1955" s="81"/>
      <c r="H1955" s="81"/>
      <c r="I1955" s="81"/>
      <c r="J1955" s="81"/>
      <c r="K1955" s="81"/>
      <c r="L1955" s="81"/>
      <c r="M1955" s="81"/>
      <c r="N1955" s="81"/>
    </row>
    <row r="1956" spans="1:14" ht="14.25" customHeight="1" x14ac:dyDescent="0.25">
      <c r="A1956" s="81"/>
      <c r="B1956" s="81"/>
      <c r="C1956" s="137"/>
      <c r="D1956" s="81"/>
      <c r="E1956" s="81"/>
      <c r="F1956" s="81"/>
      <c r="G1956" s="81"/>
      <c r="H1956" s="81"/>
      <c r="I1956" s="81"/>
      <c r="J1956" s="81"/>
      <c r="K1956" s="81"/>
      <c r="L1956" s="81"/>
      <c r="M1956" s="81"/>
      <c r="N1956" s="81"/>
    </row>
    <row r="1957" spans="1:14" ht="14.25" customHeight="1" x14ac:dyDescent="0.25">
      <c r="A1957" s="81"/>
      <c r="B1957" s="81"/>
      <c r="C1957" s="137"/>
      <c r="D1957" s="81"/>
      <c r="E1957" s="81"/>
      <c r="F1957" s="81"/>
      <c r="G1957" s="81"/>
      <c r="H1957" s="81"/>
      <c r="I1957" s="81"/>
      <c r="J1957" s="81"/>
      <c r="K1957" s="81"/>
      <c r="L1957" s="81"/>
      <c r="M1957" s="81"/>
      <c r="N1957" s="81"/>
    </row>
    <row r="1958" spans="1:14" ht="14.25" customHeight="1" x14ac:dyDescent="0.25">
      <c r="A1958" s="81"/>
      <c r="B1958" s="81"/>
      <c r="C1958" s="137"/>
      <c r="D1958" s="81"/>
      <c r="E1958" s="81"/>
      <c r="F1958" s="81"/>
      <c r="G1958" s="81"/>
      <c r="H1958" s="81"/>
      <c r="I1958" s="81"/>
      <c r="J1958" s="81"/>
      <c r="K1958" s="81"/>
      <c r="L1958" s="81"/>
      <c r="M1958" s="81"/>
      <c r="N1958" s="81"/>
    </row>
    <row r="1959" spans="1:14" ht="14.25" customHeight="1" x14ac:dyDescent="0.25">
      <c r="A1959" s="81"/>
      <c r="B1959" s="81"/>
      <c r="C1959" s="137"/>
      <c r="D1959" s="81"/>
      <c r="E1959" s="81"/>
      <c r="F1959" s="81"/>
      <c r="G1959" s="81"/>
      <c r="H1959" s="81"/>
      <c r="I1959" s="81"/>
      <c r="J1959" s="81"/>
      <c r="K1959" s="81"/>
      <c r="L1959" s="81"/>
      <c r="M1959" s="81"/>
      <c r="N1959" s="81"/>
    </row>
    <row r="1960" spans="1:14" ht="14.25" customHeight="1" x14ac:dyDescent="0.25">
      <c r="A1960" s="81"/>
      <c r="B1960" s="81"/>
      <c r="C1960" s="137"/>
      <c r="D1960" s="81"/>
      <c r="E1960" s="81"/>
      <c r="F1960" s="81"/>
      <c r="G1960" s="81"/>
      <c r="H1960" s="81"/>
      <c r="I1960" s="81"/>
      <c r="J1960" s="81"/>
      <c r="K1960" s="81"/>
      <c r="L1960" s="81"/>
      <c r="M1960" s="81"/>
      <c r="N1960" s="81"/>
    </row>
    <row r="1961" spans="1:14" ht="14.25" customHeight="1" x14ac:dyDescent="0.25">
      <c r="A1961" s="81"/>
      <c r="B1961" s="81"/>
      <c r="C1961" s="137"/>
      <c r="D1961" s="81"/>
      <c r="E1961" s="81"/>
      <c r="F1961" s="81"/>
      <c r="G1961" s="81"/>
      <c r="H1961" s="81"/>
      <c r="I1961" s="81"/>
      <c r="J1961" s="81"/>
      <c r="K1961" s="81"/>
      <c r="L1961" s="81"/>
      <c r="M1961" s="81"/>
      <c r="N1961" s="81"/>
    </row>
    <row r="1962" spans="1:14" ht="14.25" customHeight="1" x14ac:dyDescent="0.25">
      <c r="A1962" s="134"/>
      <c r="B1962" s="135"/>
      <c r="C1962" s="135"/>
      <c r="D1962" s="135"/>
      <c r="E1962" s="135"/>
      <c r="F1962" s="136"/>
      <c r="G1962" s="81"/>
      <c r="H1962" s="81"/>
      <c r="I1962" s="81"/>
      <c r="J1962" s="81"/>
      <c r="K1962" s="81"/>
      <c r="L1962" s="81"/>
      <c r="M1962" s="81"/>
      <c r="N1962" s="81"/>
    </row>
    <row r="1963" spans="1:14" ht="14.25" customHeight="1" x14ac:dyDescent="0.25">
      <c r="A1963" s="134"/>
      <c r="B1963" s="135"/>
      <c r="C1963" s="135"/>
      <c r="D1963" s="135"/>
      <c r="E1963" s="135"/>
      <c r="F1963" s="136"/>
      <c r="G1963" s="81"/>
      <c r="H1963" s="81"/>
      <c r="I1963" s="81"/>
      <c r="J1963" s="81"/>
      <c r="K1963" s="81"/>
      <c r="L1963" s="81"/>
      <c r="M1963" s="81"/>
      <c r="N1963" s="81"/>
    </row>
    <row r="1964" spans="1:14" ht="14.25" customHeight="1" x14ac:dyDescent="0.25">
      <c r="A1964" s="134"/>
      <c r="B1964" s="135"/>
      <c r="C1964" s="135"/>
      <c r="D1964" s="135"/>
      <c r="E1964" s="135"/>
      <c r="F1964" s="136"/>
      <c r="G1964" s="81"/>
      <c r="H1964" s="81"/>
      <c r="I1964" s="81"/>
      <c r="J1964" s="81"/>
      <c r="K1964" s="81"/>
      <c r="L1964" s="81"/>
      <c r="M1964" s="81"/>
      <c r="N1964" s="81"/>
    </row>
    <row r="1965" spans="1:14" ht="14.25" customHeight="1" thickBot="1" x14ac:dyDescent="0.3">
      <c r="A1965" s="81"/>
      <c r="B1965" s="81"/>
      <c r="C1965" s="81"/>
      <c r="D1965" s="81"/>
      <c r="E1965" s="81"/>
      <c r="F1965" s="81"/>
      <c r="G1965" s="81"/>
      <c r="H1965" s="81"/>
      <c r="I1965" s="81"/>
      <c r="J1965" s="81"/>
      <c r="K1965" s="81"/>
      <c r="L1965" s="81"/>
      <c r="M1965" s="81"/>
      <c r="N1965" s="81"/>
    </row>
    <row r="1966" spans="1:14" ht="14.25" customHeight="1" x14ac:dyDescent="0.25">
      <c r="A1966" s="83"/>
      <c r="B1966" s="84"/>
      <c r="C1966" s="85"/>
      <c r="D1966" s="86"/>
      <c r="E1966" s="86"/>
      <c r="F1966" s="87"/>
      <c r="G1966" s="81"/>
      <c r="H1966" s="81"/>
      <c r="I1966" s="81"/>
      <c r="J1966" s="81"/>
      <c r="K1966" s="81"/>
      <c r="L1966" s="81"/>
      <c r="M1966" s="81"/>
      <c r="N1966" s="81"/>
    </row>
    <row r="1967" spans="1:14" ht="14.25" customHeight="1" x14ac:dyDescent="0.25">
      <c r="A1967" s="599"/>
      <c r="B1967" s="600"/>
      <c r="C1967" s="600"/>
      <c r="D1967" s="600"/>
      <c r="E1967" s="600"/>
      <c r="F1967" s="601"/>
      <c r="G1967" s="81"/>
      <c r="H1967" s="81"/>
      <c r="I1967" s="81"/>
      <c r="J1967" s="81"/>
      <c r="K1967" s="81"/>
      <c r="L1967" s="81"/>
      <c r="M1967" s="81"/>
      <c r="N1967" s="81"/>
    </row>
    <row r="1968" spans="1:14" ht="14.25" customHeight="1" x14ac:dyDescent="0.25">
      <c r="A1968" s="602" t="s">
        <v>561</v>
      </c>
      <c r="B1968" s="600"/>
      <c r="C1968" s="600"/>
      <c r="D1968" s="600"/>
      <c r="E1968" s="600"/>
      <c r="F1968" s="601"/>
      <c r="G1968" s="81"/>
      <c r="H1968" s="81"/>
      <c r="I1968" s="81"/>
      <c r="J1968" s="81"/>
      <c r="K1968" s="81"/>
      <c r="L1968" s="81"/>
      <c r="M1968" s="81"/>
      <c r="N1968" s="81"/>
    </row>
    <row r="1969" spans="1:14" ht="14.25" customHeight="1" thickBot="1" x14ac:dyDescent="0.3">
      <c r="A1969" s="603"/>
      <c r="B1969" s="604"/>
      <c r="C1969" s="604"/>
      <c r="D1969" s="604"/>
      <c r="E1969" s="604"/>
      <c r="F1969" s="605"/>
      <c r="G1969" s="81"/>
      <c r="H1969" s="81"/>
      <c r="I1969" s="81"/>
      <c r="J1969" s="81"/>
      <c r="K1969" s="81"/>
      <c r="L1969" s="81"/>
      <c r="M1969" s="81"/>
      <c r="N1969" s="81"/>
    </row>
    <row r="1970" spans="1:14" ht="14.25" customHeight="1" x14ac:dyDescent="0.25">
      <c r="A1970" s="88"/>
      <c r="B1970" s="88"/>
      <c r="C1970" s="89"/>
      <c r="D1970" s="89"/>
      <c r="E1970" s="89"/>
      <c r="F1970" s="89"/>
      <c r="G1970" s="81"/>
      <c r="H1970" s="81"/>
      <c r="I1970" s="81"/>
      <c r="J1970" s="81"/>
      <c r="K1970" s="81"/>
      <c r="L1970" s="81"/>
      <c r="M1970" s="81"/>
      <c r="N1970" s="81"/>
    </row>
    <row r="1971" spans="1:14" ht="33" customHeight="1" x14ac:dyDescent="0.25">
      <c r="A1971" s="90" t="s">
        <v>47</v>
      </c>
      <c r="B1971" s="613" t="s">
        <v>1325</v>
      </c>
      <c r="C1971" s="600"/>
      <c r="D1971" s="600"/>
      <c r="E1971" s="600"/>
      <c r="F1971" s="600"/>
      <c r="G1971" s="81"/>
      <c r="H1971" s="81"/>
      <c r="I1971" s="81"/>
      <c r="J1971" s="81"/>
      <c r="K1971" s="81"/>
      <c r="L1971" s="81"/>
      <c r="M1971" s="81"/>
      <c r="N1971" s="81"/>
    </row>
    <row r="1972" spans="1:14" ht="14.25" customHeight="1" x14ac:dyDescent="0.25">
      <c r="A1972" s="91"/>
      <c r="B1972" s="91"/>
      <c r="C1972" s="91"/>
      <c r="D1972" s="91"/>
      <c r="E1972" s="91"/>
      <c r="F1972" s="91"/>
      <c r="G1972" s="81"/>
      <c r="H1972" s="81"/>
      <c r="I1972" s="81"/>
      <c r="J1972" s="81"/>
      <c r="K1972" s="81"/>
      <c r="L1972" s="81"/>
      <c r="M1972" s="81"/>
      <c r="N1972" s="81"/>
    </row>
    <row r="1973" spans="1:14" ht="14.25" customHeight="1" x14ac:dyDescent="0.25">
      <c r="A1973" s="88" t="s">
        <v>49</v>
      </c>
      <c r="B1973" s="92" t="s">
        <v>59</v>
      </c>
      <c r="C1973" s="89"/>
      <c r="D1973" s="89"/>
      <c r="E1973" s="89"/>
      <c r="F1973" s="93"/>
      <c r="G1973" s="81"/>
      <c r="H1973" s="81"/>
      <c r="I1973" s="81"/>
      <c r="J1973" s="81"/>
      <c r="K1973" s="81"/>
      <c r="L1973" s="81"/>
      <c r="M1973" s="81"/>
      <c r="N1973" s="81"/>
    </row>
    <row r="1974" spans="1:14" ht="14.25" customHeight="1" x14ac:dyDescent="0.25">
      <c r="A1974" s="88"/>
      <c r="B1974" s="94"/>
      <c r="C1974" s="89"/>
      <c r="D1974" s="89"/>
      <c r="E1974" s="89"/>
      <c r="F1974" s="93"/>
      <c r="G1974" s="81"/>
      <c r="H1974" s="81"/>
      <c r="I1974" s="81"/>
      <c r="J1974" s="81"/>
      <c r="K1974" s="81"/>
      <c r="L1974" s="81"/>
      <c r="M1974" s="81"/>
      <c r="N1974" s="81"/>
    </row>
    <row r="1975" spans="1:14" ht="14.25" customHeight="1" x14ac:dyDescent="0.25">
      <c r="A1975" s="95" t="s">
        <v>562</v>
      </c>
      <c r="B1975" s="96"/>
      <c r="C1975" s="92"/>
      <c r="D1975" s="92"/>
      <c r="E1975" s="92"/>
      <c r="F1975" s="92"/>
      <c r="G1975" s="81"/>
      <c r="H1975" s="81"/>
      <c r="I1975" s="81"/>
      <c r="J1975" s="81"/>
      <c r="K1975" s="81"/>
      <c r="L1975" s="81"/>
      <c r="M1975" s="81"/>
      <c r="N1975" s="81"/>
    </row>
    <row r="1976" spans="1:14" ht="14.25" customHeight="1" x14ac:dyDescent="0.25">
      <c r="A1976" s="97" t="s">
        <v>563</v>
      </c>
      <c r="B1976" s="98" t="s">
        <v>564</v>
      </c>
      <c r="C1976" s="98" t="s">
        <v>565</v>
      </c>
      <c r="D1976" s="98" t="s">
        <v>566</v>
      </c>
      <c r="E1976" s="98" t="s">
        <v>567</v>
      </c>
      <c r="F1976" s="98" t="s">
        <v>568</v>
      </c>
      <c r="G1976" s="81"/>
      <c r="H1976" s="81"/>
      <c r="I1976" s="81"/>
      <c r="J1976" s="81"/>
      <c r="K1976" s="81"/>
      <c r="L1976" s="81"/>
      <c r="M1976" s="81"/>
      <c r="N1976" s="81"/>
    </row>
    <row r="1977" spans="1:14" ht="25.5" x14ac:dyDescent="0.25">
      <c r="A1977" s="99" t="s">
        <v>644</v>
      </c>
      <c r="B1977" s="100" t="s">
        <v>64</v>
      </c>
      <c r="C1977" s="101">
        <v>408050</v>
      </c>
      <c r="D1977" s="149">
        <f>0.15*0.18</f>
        <v>2.7E-2</v>
      </c>
      <c r="E1977" s="102">
        <v>0.05</v>
      </c>
      <c r="F1977" s="101">
        <f t="shared" ref="F1977:F1982" si="115">C1977*(D1977+(D1977*E1977))</f>
        <v>11568.217500000001</v>
      </c>
      <c r="G1977" s="81"/>
      <c r="H1977" s="81"/>
      <c r="I1977" s="81"/>
      <c r="J1977" s="81"/>
      <c r="K1977" s="81"/>
      <c r="L1977" s="81"/>
      <c r="M1977" s="81"/>
      <c r="N1977" s="81"/>
    </row>
    <row r="1978" spans="1:14" ht="14.25" customHeight="1" x14ac:dyDescent="0.25">
      <c r="A1978" s="99"/>
      <c r="B1978" s="100"/>
      <c r="C1978" s="101"/>
      <c r="D1978" s="149"/>
      <c r="E1978" s="102"/>
      <c r="F1978" s="101">
        <f t="shared" si="115"/>
        <v>0</v>
      </c>
      <c r="G1978" s="81"/>
      <c r="H1978" s="81"/>
      <c r="I1978" s="81"/>
      <c r="J1978" s="81"/>
      <c r="K1978" s="81"/>
      <c r="L1978" s="81"/>
      <c r="M1978" s="81"/>
      <c r="N1978" s="81"/>
    </row>
    <row r="1979" spans="1:14" ht="14.25" customHeight="1" x14ac:dyDescent="0.25">
      <c r="A1979" s="99"/>
      <c r="B1979" s="100"/>
      <c r="C1979" s="101"/>
      <c r="D1979" s="149"/>
      <c r="E1979" s="102"/>
      <c r="F1979" s="101">
        <f t="shared" si="115"/>
        <v>0</v>
      </c>
      <c r="G1979" s="81"/>
      <c r="H1979" s="81"/>
      <c r="I1979" s="81"/>
      <c r="J1979" s="81"/>
      <c r="K1979" s="81"/>
      <c r="L1979" s="81"/>
      <c r="M1979" s="81"/>
      <c r="N1979" s="81"/>
    </row>
    <row r="1980" spans="1:14" ht="14.25" customHeight="1" x14ac:dyDescent="0.25">
      <c r="A1980" s="99"/>
      <c r="B1980" s="100"/>
      <c r="C1980" s="101"/>
      <c r="D1980" s="104"/>
      <c r="E1980" s="102"/>
      <c r="F1980" s="101">
        <f t="shared" si="115"/>
        <v>0</v>
      </c>
      <c r="G1980" s="81"/>
      <c r="H1980" s="81"/>
      <c r="I1980" s="81"/>
      <c r="J1980" s="81"/>
      <c r="K1980" s="81"/>
      <c r="L1980" s="81"/>
      <c r="M1980" s="81"/>
      <c r="N1980" s="81"/>
    </row>
    <row r="1981" spans="1:14" ht="14.25" customHeight="1" x14ac:dyDescent="0.25">
      <c r="A1981" s="99"/>
      <c r="B1981" s="100"/>
      <c r="C1981" s="101"/>
      <c r="D1981" s="104"/>
      <c r="E1981" s="102"/>
      <c r="F1981" s="101">
        <f t="shared" si="115"/>
        <v>0</v>
      </c>
      <c r="G1981" s="81"/>
      <c r="H1981" s="81"/>
      <c r="I1981" s="81"/>
      <c r="J1981" s="81"/>
      <c r="K1981" s="81"/>
      <c r="L1981" s="81"/>
      <c r="M1981" s="81"/>
      <c r="N1981" s="81"/>
    </row>
    <row r="1982" spans="1:14" ht="14.25" customHeight="1" x14ac:dyDescent="0.25">
      <c r="A1982" s="99"/>
      <c r="B1982" s="100"/>
      <c r="C1982" s="101"/>
      <c r="D1982" s="104"/>
      <c r="E1982" s="102"/>
      <c r="F1982" s="101">
        <f t="shared" si="115"/>
        <v>0</v>
      </c>
      <c r="G1982" s="81"/>
      <c r="H1982" s="81"/>
      <c r="I1982" s="81"/>
      <c r="J1982" s="81"/>
      <c r="K1982" s="81"/>
      <c r="L1982" s="81"/>
      <c r="M1982" s="81"/>
      <c r="N1982" s="81"/>
    </row>
    <row r="1983" spans="1:14" ht="14.25" customHeight="1" x14ac:dyDescent="0.25">
      <c r="A1983" s="99"/>
      <c r="B1983" s="100"/>
      <c r="C1983" s="106"/>
      <c r="D1983" s="107"/>
      <c r="E1983" s="108"/>
      <c r="F1983" s="106"/>
      <c r="G1983" s="81"/>
      <c r="H1983" s="81"/>
      <c r="I1983" s="81"/>
      <c r="J1983" s="81"/>
      <c r="K1983" s="81"/>
      <c r="L1983" s="81"/>
      <c r="M1983" s="81"/>
      <c r="N1983" s="81"/>
    </row>
    <row r="1984" spans="1:14" ht="14.25" customHeight="1" x14ac:dyDescent="0.25">
      <c r="A1984" s="97" t="s">
        <v>548</v>
      </c>
      <c r="B1984" s="97"/>
      <c r="C1984" s="109"/>
      <c r="D1984" s="110"/>
      <c r="E1984" s="111"/>
      <c r="F1984" s="112">
        <f>SUM(F1977:F1983)</f>
        <v>11568.217500000001</v>
      </c>
      <c r="G1984" s="81"/>
      <c r="H1984" s="81"/>
      <c r="I1984" s="81"/>
      <c r="J1984" s="81"/>
      <c r="K1984" s="81"/>
      <c r="L1984" s="81"/>
      <c r="M1984" s="81"/>
      <c r="N1984" s="81"/>
    </row>
    <row r="1985" spans="1:14" ht="14.25" customHeight="1" x14ac:dyDescent="0.25">
      <c r="A1985" s="88"/>
      <c r="B1985" s="88"/>
      <c r="C1985" s="113"/>
      <c r="D1985" s="113"/>
      <c r="E1985" s="114"/>
      <c r="F1985" s="113"/>
      <c r="G1985" s="81"/>
      <c r="H1985" s="81"/>
      <c r="I1985" s="81"/>
      <c r="J1985" s="81"/>
      <c r="K1985" s="81"/>
      <c r="L1985" s="81"/>
      <c r="M1985" s="81"/>
      <c r="N1985" s="81"/>
    </row>
    <row r="1986" spans="1:14" ht="14.25" customHeight="1" x14ac:dyDescent="0.25">
      <c r="A1986" s="96" t="s">
        <v>573</v>
      </c>
      <c r="B1986" s="96"/>
      <c r="C1986" s="92"/>
      <c r="D1986" s="92"/>
      <c r="E1986" s="92"/>
      <c r="F1986" s="92"/>
      <c r="G1986" s="81"/>
      <c r="H1986" s="81"/>
      <c r="I1986" s="81"/>
      <c r="J1986" s="81"/>
      <c r="K1986" s="81"/>
      <c r="L1986" s="81"/>
      <c r="M1986" s="81"/>
      <c r="N1986" s="81"/>
    </row>
    <row r="1987" spans="1:14" ht="14.25" customHeight="1" x14ac:dyDescent="0.25">
      <c r="A1987" s="611" t="s">
        <v>563</v>
      </c>
      <c r="B1987" s="608"/>
      <c r="C1987" s="609"/>
      <c r="D1987" s="98" t="s">
        <v>574</v>
      </c>
      <c r="E1987" s="98" t="s">
        <v>575</v>
      </c>
      <c r="F1987" s="98" t="s">
        <v>568</v>
      </c>
      <c r="G1987" s="81"/>
      <c r="H1987" s="81"/>
      <c r="I1987" s="81"/>
      <c r="J1987" s="81"/>
      <c r="K1987" s="81"/>
      <c r="L1987" s="81"/>
      <c r="M1987" s="81"/>
      <c r="N1987" s="81"/>
    </row>
    <row r="1988" spans="1:14" ht="14.25" customHeight="1" x14ac:dyDescent="0.25">
      <c r="A1988" s="607" t="s">
        <v>577</v>
      </c>
      <c r="B1988" s="608"/>
      <c r="C1988" s="609"/>
      <c r="D1988" s="116"/>
      <c r="E1988" s="107"/>
      <c r="F1988" s="106">
        <v>465</v>
      </c>
      <c r="G1988" s="81"/>
      <c r="H1988" s="285"/>
      <c r="I1988" s="81"/>
      <c r="J1988" s="81"/>
      <c r="K1988" s="81"/>
      <c r="L1988" s="81"/>
      <c r="M1988" s="81"/>
      <c r="N1988" s="81"/>
    </row>
    <row r="1989" spans="1:14" ht="14.25" customHeight="1" x14ac:dyDescent="0.25">
      <c r="A1989" s="607" t="s">
        <v>642</v>
      </c>
      <c r="B1989" s="608"/>
      <c r="C1989" s="609"/>
      <c r="D1989" s="142">
        <v>8750</v>
      </c>
      <c r="E1989" s="105">
        <v>12</v>
      </c>
      <c r="F1989" s="106">
        <f t="shared" ref="F1989:F1990" si="116">D1989/E1989</f>
        <v>729.16666666666663</v>
      </c>
      <c r="G1989" s="81"/>
      <c r="H1989" s="285"/>
      <c r="I1989" s="81"/>
      <c r="J1989" s="81"/>
      <c r="K1989" s="81"/>
      <c r="L1989" s="81"/>
      <c r="M1989" s="81"/>
      <c r="N1989" s="81"/>
    </row>
    <row r="1990" spans="1:14" ht="14.25" customHeight="1" x14ac:dyDescent="0.25">
      <c r="A1990" s="607" t="s">
        <v>643</v>
      </c>
      <c r="B1990" s="608"/>
      <c r="C1990" s="609"/>
      <c r="D1990" s="142">
        <v>12350</v>
      </c>
      <c r="E1990" s="105">
        <v>1.2</v>
      </c>
      <c r="F1990" s="106">
        <f t="shared" si="116"/>
        <v>10291.666666666668</v>
      </c>
      <c r="G1990" s="81"/>
      <c r="H1990" s="285"/>
      <c r="I1990" s="81"/>
      <c r="J1990" s="81"/>
      <c r="K1990" s="81"/>
      <c r="L1990" s="81"/>
      <c r="M1990" s="81"/>
      <c r="N1990" s="81"/>
    </row>
    <row r="1991" spans="1:14" ht="14.25" customHeight="1" x14ac:dyDescent="0.25">
      <c r="A1991" s="607"/>
      <c r="B1991" s="608"/>
      <c r="C1991" s="609"/>
      <c r="D1991" s="142"/>
      <c r="E1991" s="107"/>
      <c r="F1991" s="106"/>
      <c r="G1991" s="81"/>
      <c r="H1991" s="81"/>
      <c r="I1991" s="81"/>
      <c r="J1991" s="81"/>
      <c r="K1991" s="81"/>
      <c r="L1991" s="81"/>
      <c r="M1991" s="81"/>
      <c r="N1991" s="81"/>
    </row>
    <row r="1992" spans="1:14" ht="14.25" customHeight="1" x14ac:dyDescent="0.25">
      <c r="A1992" s="610"/>
      <c r="B1992" s="608"/>
      <c r="C1992" s="609"/>
      <c r="D1992" s="115"/>
      <c r="E1992" s="107"/>
      <c r="F1992" s="106"/>
      <c r="G1992" s="81"/>
      <c r="H1992" s="81"/>
      <c r="I1992" s="81"/>
      <c r="J1992" s="81"/>
      <c r="K1992" s="81"/>
      <c r="L1992" s="81"/>
      <c r="M1992" s="81"/>
      <c r="N1992" s="81"/>
    </row>
    <row r="1993" spans="1:14" ht="14.25" customHeight="1" x14ac:dyDescent="0.25">
      <c r="A1993" s="611" t="s">
        <v>548</v>
      </c>
      <c r="B1993" s="608"/>
      <c r="C1993" s="609"/>
      <c r="D1993" s="110"/>
      <c r="E1993" s="110"/>
      <c r="F1993" s="112">
        <f>SUM(F1988:F1991)</f>
        <v>11485.833333333334</v>
      </c>
      <c r="G1993" s="81"/>
      <c r="H1993" s="81"/>
      <c r="I1993" s="81"/>
      <c r="J1993" s="81"/>
      <c r="K1993" s="81"/>
      <c r="L1993" s="81"/>
      <c r="M1993" s="81"/>
      <c r="N1993" s="81"/>
    </row>
    <row r="1994" spans="1:14" ht="14.25" customHeight="1" x14ac:dyDescent="0.25">
      <c r="A1994" s="88"/>
      <c r="B1994" s="88"/>
      <c r="C1994" s="89"/>
      <c r="D1994" s="113"/>
      <c r="E1994" s="113"/>
      <c r="F1994" s="113"/>
      <c r="G1994" s="81"/>
      <c r="H1994" s="81"/>
      <c r="I1994" s="81"/>
      <c r="J1994" s="81"/>
      <c r="K1994" s="81"/>
      <c r="L1994" s="81"/>
      <c r="M1994" s="81"/>
      <c r="N1994" s="81"/>
    </row>
    <row r="1995" spans="1:14" ht="14.25" customHeight="1" x14ac:dyDescent="0.25">
      <c r="A1995" s="96" t="s">
        <v>578</v>
      </c>
      <c r="B1995" s="96"/>
      <c r="C1995" s="92"/>
      <c r="D1995" s="118"/>
      <c r="E1995" s="118"/>
      <c r="F1995" s="118"/>
      <c r="G1995" s="81"/>
      <c r="H1995" s="81"/>
      <c r="I1995" s="81"/>
      <c r="J1995" s="81"/>
      <c r="K1995" s="81"/>
      <c r="L1995" s="81"/>
      <c r="M1995" s="81"/>
      <c r="N1995" s="81"/>
    </row>
    <row r="1996" spans="1:14" ht="38.25" x14ac:dyDescent="0.25">
      <c r="A1996" s="119" t="s">
        <v>563</v>
      </c>
      <c r="B1996" s="120" t="s">
        <v>579</v>
      </c>
      <c r="C1996" s="120" t="s">
        <v>580</v>
      </c>
      <c r="D1996" s="121" t="s">
        <v>581</v>
      </c>
      <c r="E1996" s="121" t="s">
        <v>575</v>
      </c>
      <c r="F1996" s="121" t="s">
        <v>568</v>
      </c>
      <c r="G1996" s="81"/>
      <c r="H1996" s="81"/>
      <c r="I1996" s="81"/>
      <c r="J1996" s="81"/>
      <c r="K1996" s="81"/>
      <c r="L1996" s="81"/>
      <c r="M1996" s="81"/>
      <c r="N1996" s="81"/>
    </row>
    <row r="1997" spans="1:14" ht="14.25" customHeight="1" x14ac:dyDescent="0.25">
      <c r="A1997" s="122" t="s">
        <v>593</v>
      </c>
      <c r="B1997" s="127">
        <v>1</v>
      </c>
      <c r="C1997" s="101">
        <v>32688</v>
      </c>
      <c r="D1997" s="101">
        <f t="shared" ref="D1997:D1998" si="117">+C1997*1.7</f>
        <v>55569.599999999999</v>
      </c>
      <c r="E1997" s="107">
        <v>9</v>
      </c>
      <c r="F1997" s="106">
        <f t="shared" ref="F1997:F1998" si="118">+B1997*(D1997)/E1997</f>
        <v>6174.4</v>
      </c>
      <c r="G1997" s="81"/>
      <c r="H1997" s="81"/>
      <c r="I1997" s="81"/>
      <c r="J1997" s="81"/>
      <c r="K1997" s="81"/>
      <c r="L1997" s="81"/>
      <c r="M1997" s="81"/>
      <c r="N1997" s="81"/>
    </row>
    <row r="1998" spans="1:14" ht="14.25" customHeight="1" x14ac:dyDescent="0.25">
      <c r="A1998" s="122" t="s">
        <v>594</v>
      </c>
      <c r="B1998" s="127">
        <v>1</v>
      </c>
      <c r="C1998" s="101">
        <v>52538</v>
      </c>
      <c r="D1998" s="101">
        <f t="shared" si="117"/>
        <v>89314.599999999991</v>
      </c>
      <c r="E1998" s="107">
        <f>E1997</f>
        <v>9</v>
      </c>
      <c r="F1998" s="106">
        <f t="shared" si="118"/>
        <v>9923.8444444444431</v>
      </c>
      <c r="G1998" s="81"/>
      <c r="H1998" s="81"/>
      <c r="I1998" s="81"/>
      <c r="J1998" s="81"/>
      <c r="K1998" s="81"/>
      <c r="L1998" s="81"/>
      <c r="M1998" s="81"/>
      <c r="N1998" s="81"/>
    </row>
    <row r="1999" spans="1:14" ht="14.25" customHeight="1" x14ac:dyDescent="0.25">
      <c r="A1999" s="122"/>
      <c r="B1999" s="127"/>
      <c r="C1999" s="101"/>
      <c r="D1999" s="101"/>
      <c r="E1999" s="105"/>
      <c r="F1999" s="106"/>
      <c r="G1999" s="81"/>
      <c r="H1999" s="81"/>
      <c r="I1999" s="81"/>
      <c r="J1999" s="81"/>
      <c r="K1999" s="81"/>
      <c r="L1999" s="81"/>
      <c r="M1999" s="81"/>
      <c r="N1999" s="81"/>
    </row>
    <row r="2000" spans="1:14" ht="14.25" customHeight="1" x14ac:dyDescent="0.25">
      <c r="A2000" s="122"/>
      <c r="B2000" s="127"/>
      <c r="C2000" s="101"/>
      <c r="D2000" s="101"/>
      <c r="E2000" s="125"/>
      <c r="F2000" s="106"/>
      <c r="G2000" s="81"/>
      <c r="H2000" s="81"/>
      <c r="I2000" s="81"/>
      <c r="J2000" s="81"/>
      <c r="K2000" s="81"/>
      <c r="L2000" s="81"/>
      <c r="M2000" s="81"/>
      <c r="N2000" s="81"/>
    </row>
    <row r="2001" spans="1:14" ht="14.25" customHeight="1" x14ac:dyDescent="0.25">
      <c r="A2001" s="97" t="s">
        <v>548</v>
      </c>
      <c r="B2001" s="128"/>
      <c r="C2001" s="110"/>
      <c r="D2001" s="110"/>
      <c r="E2001" s="110"/>
      <c r="F2001" s="112">
        <f>SUM(F1997:F2000)</f>
        <v>16098.244444444443</v>
      </c>
      <c r="G2001" s="81"/>
      <c r="H2001" s="285"/>
      <c r="I2001" s="81"/>
      <c r="J2001" s="81"/>
      <c r="K2001" s="81"/>
      <c r="L2001" s="81"/>
      <c r="M2001" s="81"/>
      <c r="N2001" s="81"/>
    </row>
    <row r="2002" spans="1:14" ht="14.25" customHeight="1" x14ac:dyDescent="0.25">
      <c r="A2002" s="96"/>
      <c r="B2002" s="129"/>
      <c r="C2002" s="118"/>
      <c r="D2002" s="118"/>
      <c r="E2002" s="118"/>
      <c r="F2002" s="118"/>
      <c r="G2002" s="81"/>
      <c r="H2002" s="81"/>
      <c r="I2002" s="81"/>
      <c r="J2002" s="81"/>
      <c r="K2002" s="81"/>
      <c r="L2002" s="81"/>
      <c r="M2002" s="81"/>
      <c r="N2002" s="81"/>
    </row>
    <row r="2003" spans="1:14" ht="14.25" customHeight="1" x14ac:dyDescent="0.25">
      <c r="A2003" s="95" t="s">
        <v>583</v>
      </c>
      <c r="B2003" s="96"/>
      <c r="C2003" s="92"/>
      <c r="D2003" s="92"/>
      <c r="E2003" s="92" t="s">
        <v>584</v>
      </c>
      <c r="F2003" s="92"/>
      <c r="G2003" s="81"/>
      <c r="H2003" s="81"/>
      <c r="I2003" s="81"/>
      <c r="J2003" s="81"/>
      <c r="K2003" s="81"/>
      <c r="L2003" s="81"/>
      <c r="M2003" s="81"/>
      <c r="N2003" s="81"/>
    </row>
    <row r="2004" spans="1:14" ht="14.25" customHeight="1" x14ac:dyDescent="0.25">
      <c r="A2004" s="97" t="s">
        <v>563</v>
      </c>
      <c r="B2004" s="98" t="s">
        <v>564</v>
      </c>
      <c r="C2004" s="98" t="s">
        <v>585</v>
      </c>
      <c r="D2004" s="98" t="s">
        <v>586</v>
      </c>
      <c r="E2004" s="120" t="s">
        <v>587</v>
      </c>
      <c r="F2004" s="98" t="s">
        <v>568</v>
      </c>
      <c r="G2004" s="81"/>
      <c r="H2004" s="81"/>
      <c r="I2004" s="81"/>
      <c r="J2004" s="81"/>
      <c r="K2004" s="81"/>
      <c r="L2004" s="81"/>
      <c r="M2004" s="81"/>
      <c r="N2004" s="81"/>
    </row>
    <row r="2005" spans="1:14" ht="14.25" customHeight="1" x14ac:dyDescent="0.25">
      <c r="A2005" s="103"/>
      <c r="B2005" s="100"/>
      <c r="C2005" s="101"/>
      <c r="D2005" s="140"/>
      <c r="E2005" s="107"/>
      <c r="F2005" s="109"/>
      <c r="G2005" s="81"/>
      <c r="H2005" s="81"/>
      <c r="I2005" s="81"/>
      <c r="J2005" s="81"/>
      <c r="K2005" s="81"/>
      <c r="L2005" s="81"/>
      <c r="M2005" s="81"/>
      <c r="N2005" s="81"/>
    </row>
    <row r="2006" spans="1:14" ht="14.25" customHeight="1" x14ac:dyDescent="0.25">
      <c r="A2006" s="103"/>
      <c r="B2006" s="100"/>
      <c r="C2006" s="107"/>
      <c r="D2006" s="107"/>
      <c r="E2006" s="108"/>
      <c r="F2006" s="109"/>
      <c r="G2006" s="81"/>
      <c r="H2006" s="81"/>
      <c r="I2006" s="81"/>
      <c r="J2006" s="81"/>
      <c r="K2006" s="81"/>
      <c r="L2006" s="81"/>
      <c r="M2006" s="81"/>
      <c r="N2006" s="81"/>
    </row>
    <row r="2007" spans="1:14" ht="14.25" customHeight="1" x14ac:dyDescent="0.25">
      <c r="A2007" s="97" t="s">
        <v>548</v>
      </c>
      <c r="B2007" s="98"/>
      <c r="C2007" s="110"/>
      <c r="D2007" s="110"/>
      <c r="E2007" s="111"/>
      <c r="F2007" s="112">
        <f>SUM(F2005:F2006)</f>
        <v>0</v>
      </c>
      <c r="G2007" s="81"/>
      <c r="H2007" s="81"/>
      <c r="I2007" s="81"/>
      <c r="J2007" s="81"/>
      <c r="K2007" s="81"/>
      <c r="L2007" s="81"/>
      <c r="M2007" s="81"/>
      <c r="N2007" s="81"/>
    </row>
    <row r="2008" spans="1:14" ht="14.25" customHeight="1" x14ac:dyDescent="0.25">
      <c r="A2008" s="88"/>
      <c r="B2008" s="89"/>
      <c r="C2008" s="113"/>
      <c r="D2008" s="113"/>
      <c r="E2008" s="114"/>
      <c r="F2008" s="113"/>
      <c r="G2008" s="81"/>
      <c r="H2008" s="81"/>
      <c r="I2008" s="81"/>
      <c r="J2008" s="81"/>
      <c r="K2008" s="81"/>
      <c r="L2008" s="81"/>
      <c r="M2008" s="81"/>
      <c r="N2008" s="81"/>
    </row>
    <row r="2009" spans="1:14" ht="14.25" customHeight="1" x14ac:dyDescent="0.25">
      <c r="A2009" s="88"/>
      <c r="B2009" s="89"/>
      <c r="C2009" s="113"/>
      <c r="D2009" s="113"/>
      <c r="E2009" s="114"/>
      <c r="F2009" s="113"/>
      <c r="G2009" s="81"/>
      <c r="H2009" s="81"/>
      <c r="I2009" s="81"/>
      <c r="J2009" s="81"/>
      <c r="K2009" s="81"/>
      <c r="L2009" s="81"/>
      <c r="M2009" s="81"/>
      <c r="N2009" s="81"/>
    </row>
    <row r="2010" spans="1:14" ht="14.25" customHeight="1" x14ac:dyDescent="0.25">
      <c r="A2010" s="612" t="s">
        <v>588</v>
      </c>
      <c r="B2010" s="608"/>
      <c r="C2010" s="608"/>
      <c r="D2010" s="608"/>
      <c r="E2010" s="609"/>
      <c r="F2010" s="131">
        <f>ROUND(F1984+F1993+F2001+F2007,0)</f>
        <v>39152</v>
      </c>
      <c r="G2010" s="81"/>
      <c r="H2010" s="281">
        <f>39152-F2010</f>
        <v>0</v>
      </c>
      <c r="I2010" s="81"/>
      <c r="J2010" s="81"/>
      <c r="K2010" s="81"/>
      <c r="L2010" s="81"/>
      <c r="M2010" s="81"/>
      <c r="N2010" s="81"/>
    </row>
    <row r="2011" spans="1:14" ht="14.25" customHeight="1" x14ac:dyDescent="0.25">
      <c r="A2011" s="612" t="s">
        <v>589</v>
      </c>
      <c r="B2011" s="608"/>
      <c r="C2011" s="608"/>
      <c r="D2011" s="608"/>
      <c r="E2011" s="609"/>
      <c r="F2011" s="132"/>
      <c r="G2011" s="81"/>
      <c r="H2011" s="81"/>
      <c r="I2011" s="81"/>
      <c r="J2011" s="81"/>
      <c r="K2011" s="81"/>
      <c r="L2011" s="81"/>
      <c r="M2011" s="81"/>
      <c r="N2011" s="81"/>
    </row>
    <row r="2012" spans="1:14" ht="14.25" customHeight="1" x14ac:dyDescent="0.25">
      <c r="A2012" s="146" t="s">
        <v>556</v>
      </c>
      <c r="B2012" s="147"/>
      <c r="C2012" s="147"/>
      <c r="D2012" s="147"/>
      <c r="E2012" s="148"/>
      <c r="F2012" s="133"/>
      <c r="G2012" s="81"/>
      <c r="H2012" s="81"/>
      <c r="I2012" s="81"/>
      <c r="J2012" s="81"/>
      <c r="K2012" s="81"/>
      <c r="L2012" s="81"/>
      <c r="M2012" s="81"/>
      <c r="N2012" s="81"/>
    </row>
    <row r="2013" spans="1:14" ht="14.25" customHeight="1" x14ac:dyDescent="0.25">
      <c r="A2013" s="134"/>
      <c r="B2013" s="135"/>
      <c r="C2013" s="135"/>
      <c r="D2013" s="135"/>
      <c r="E2013" s="135"/>
      <c r="F2013" s="136"/>
      <c r="G2013" s="81"/>
      <c r="H2013" s="81"/>
      <c r="I2013" s="81"/>
      <c r="J2013" s="81"/>
      <c r="K2013" s="81"/>
      <c r="L2013" s="81"/>
      <c r="M2013" s="81"/>
      <c r="N2013" s="81"/>
    </row>
    <row r="2014" spans="1:14" ht="14.25" customHeight="1" x14ac:dyDescent="0.25">
      <c r="A2014" s="81"/>
      <c r="B2014" s="81"/>
      <c r="C2014" s="137"/>
      <c r="D2014" s="81"/>
      <c r="E2014" s="81"/>
      <c r="F2014" s="81"/>
      <c r="G2014" s="81"/>
      <c r="H2014" s="81"/>
      <c r="I2014" s="81"/>
      <c r="J2014" s="81"/>
      <c r="K2014" s="81"/>
      <c r="L2014" s="81"/>
      <c r="M2014" s="81"/>
      <c r="N2014" s="81"/>
    </row>
    <row r="2015" spans="1:14" ht="14.25" customHeight="1" x14ac:dyDescent="0.25">
      <c r="A2015" s="81"/>
      <c r="B2015" s="81"/>
      <c r="C2015" s="137"/>
      <c r="D2015" s="81"/>
      <c r="E2015" s="81"/>
      <c r="F2015" s="81"/>
      <c r="G2015" s="81"/>
      <c r="H2015" s="81"/>
      <c r="I2015" s="81"/>
      <c r="J2015" s="81"/>
      <c r="K2015" s="81"/>
      <c r="L2015" s="81"/>
      <c r="M2015" s="81"/>
      <c r="N2015" s="81"/>
    </row>
    <row r="2016" spans="1:14" ht="14.25" customHeight="1" x14ac:dyDescent="0.25">
      <c r="A2016" s="81"/>
      <c r="B2016" s="81"/>
      <c r="C2016" s="137"/>
      <c r="D2016" s="81"/>
      <c r="E2016" s="81"/>
      <c r="F2016" s="81"/>
      <c r="G2016" s="81"/>
      <c r="H2016" s="81"/>
      <c r="I2016" s="81"/>
      <c r="J2016" s="81"/>
      <c r="K2016" s="81"/>
      <c r="L2016" s="81"/>
      <c r="M2016" s="81"/>
      <c r="N2016" s="81"/>
    </row>
    <row r="2017" spans="1:14" ht="14.25" customHeight="1" x14ac:dyDescent="0.25">
      <c r="A2017" s="81"/>
      <c r="B2017" s="81"/>
      <c r="C2017" s="137"/>
      <c r="D2017" s="81"/>
      <c r="E2017" s="81"/>
      <c r="F2017" s="81"/>
      <c r="G2017" s="81"/>
      <c r="H2017" s="81"/>
      <c r="I2017" s="81"/>
      <c r="J2017" s="81"/>
      <c r="K2017" s="81"/>
      <c r="L2017" s="81"/>
      <c r="M2017" s="81"/>
      <c r="N2017" s="81"/>
    </row>
    <row r="2018" spans="1:14" ht="14.25" customHeight="1" x14ac:dyDescent="0.25">
      <c r="A2018" s="81"/>
      <c r="B2018" s="81"/>
      <c r="C2018" s="137"/>
      <c r="D2018" s="81"/>
      <c r="E2018" s="81"/>
      <c r="F2018" s="81"/>
      <c r="G2018" s="81"/>
      <c r="H2018" s="81"/>
      <c r="I2018" s="81"/>
      <c r="J2018" s="81"/>
      <c r="K2018" s="81"/>
      <c r="L2018" s="81"/>
      <c r="M2018" s="81"/>
      <c r="N2018" s="81"/>
    </row>
    <row r="2019" spans="1:14" ht="14.25" customHeight="1" x14ac:dyDescent="0.25">
      <c r="A2019" s="81"/>
      <c r="B2019" s="81"/>
      <c r="C2019" s="137"/>
      <c r="D2019" s="81"/>
      <c r="E2019" s="81"/>
      <c r="F2019" s="81"/>
      <c r="G2019" s="81"/>
      <c r="H2019" s="81"/>
      <c r="I2019" s="81"/>
      <c r="J2019" s="81"/>
      <c r="K2019" s="81"/>
      <c r="L2019" s="81"/>
      <c r="M2019" s="81"/>
      <c r="N2019" s="81"/>
    </row>
    <row r="2020" spans="1:14" ht="14.25" customHeight="1" x14ac:dyDescent="0.25">
      <c r="A2020" s="81"/>
      <c r="B2020" s="81"/>
      <c r="C2020" s="137"/>
      <c r="D2020" s="81"/>
      <c r="E2020" s="81"/>
      <c r="F2020" s="81"/>
      <c r="G2020" s="81"/>
      <c r="H2020" s="81"/>
      <c r="I2020" s="81"/>
      <c r="J2020" s="81"/>
      <c r="K2020" s="81"/>
      <c r="L2020" s="81"/>
      <c r="M2020" s="81"/>
      <c r="N2020" s="81"/>
    </row>
    <row r="2021" spans="1:14" ht="14.25" customHeight="1" x14ac:dyDescent="0.25">
      <c r="A2021" s="134"/>
      <c r="B2021" s="135"/>
      <c r="C2021" s="135"/>
      <c r="D2021" s="135"/>
      <c r="E2021" s="135"/>
      <c r="F2021" s="136"/>
      <c r="G2021" s="81"/>
      <c r="H2021" s="81"/>
      <c r="I2021" s="81"/>
      <c r="J2021" s="81"/>
      <c r="K2021" s="81"/>
      <c r="L2021" s="81"/>
      <c r="M2021" s="81"/>
      <c r="N2021" s="81"/>
    </row>
    <row r="2022" spans="1:14" ht="14.25" customHeight="1" x14ac:dyDescent="0.25">
      <c r="A2022" s="134"/>
      <c r="B2022" s="135"/>
      <c r="C2022" s="135"/>
      <c r="D2022" s="135"/>
      <c r="E2022" s="135"/>
      <c r="F2022" s="136"/>
      <c r="G2022" s="81"/>
      <c r="H2022" s="81"/>
      <c r="I2022" s="81"/>
      <c r="J2022" s="81"/>
      <c r="K2022" s="81"/>
      <c r="L2022" s="81"/>
      <c r="M2022" s="81"/>
      <c r="N2022" s="81"/>
    </row>
    <row r="2023" spans="1:14" ht="14.25" customHeight="1" x14ac:dyDescent="0.25">
      <c r="A2023" s="134"/>
      <c r="B2023" s="135"/>
      <c r="C2023" s="135"/>
      <c r="D2023" s="135"/>
      <c r="E2023" s="135"/>
      <c r="F2023" s="136"/>
      <c r="G2023" s="81"/>
      <c r="H2023" s="81"/>
      <c r="I2023" s="81"/>
      <c r="J2023" s="81"/>
      <c r="K2023" s="81"/>
      <c r="L2023" s="81"/>
      <c r="M2023" s="81"/>
      <c r="N2023" s="81"/>
    </row>
    <row r="2024" spans="1:14" ht="14.25" customHeight="1" thickBot="1" x14ac:dyDescent="0.3">
      <c r="A2024" s="81"/>
      <c r="B2024" s="81"/>
      <c r="C2024" s="81"/>
      <c r="D2024" s="81"/>
      <c r="E2024" s="81"/>
      <c r="F2024" s="81"/>
      <c r="G2024" s="81"/>
      <c r="H2024" s="81"/>
      <c r="I2024" s="81"/>
      <c r="J2024" s="81"/>
      <c r="K2024" s="81"/>
      <c r="L2024" s="81"/>
      <c r="M2024" s="81"/>
      <c r="N2024" s="81"/>
    </row>
    <row r="2025" spans="1:14" ht="14.25" customHeight="1" x14ac:dyDescent="0.25">
      <c r="A2025" s="83"/>
      <c r="B2025" s="84"/>
      <c r="C2025" s="85"/>
      <c r="D2025" s="86"/>
      <c r="E2025" s="86"/>
      <c r="F2025" s="87"/>
      <c r="G2025" s="81"/>
      <c r="H2025" s="81"/>
      <c r="I2025" s="81"/>
      <c r="J2025" s="81"/>
      <c r="K2025" s="81"/>
      <c r="L2025" s="81"/>
      <c r="M2025" s="81"/>
      <c r="N2025" s="81"/>
    </row>
    <row r="2026" spans="1:14" ht="14.25" customHeight="1" x14ac:dyDescent="0.25">
      <c r="A2026" s="599"/>
      <c r="B2026" s="600"/>
      <c r="C2026" s="600"/>
      <c r="D2026" s="600"/>
      <c r="E2026" s="600"/>
      <c r="F2026" s="601"/>
      <c r="G2026" s="81"/>
      <c r="H2026" s="81"/>
      <c r="I2026" s="81"/>
      <c r="J2026" s="81"/>
      <c r="K2026" s="81"/>
      <c r="L2026" s="81"/>
      <c r="M2026" s="81"/>
      <c r="N2026" s="81"/>
    </row>
    <row r="2027" spans="1:14" ht="14.25" customHeight="1" x14ac:dyDescent="0.25">
      <c r="A2027" s="602" t="s">
        <v>561</v>
      </c>
      <c r="B2027" s="600"/>
      <c r="C2027" s="600"/>
      <c r="D2027" s="600"/>
      <c r="E2027" s="600"/>
      <c r="F2027" s="601"/>
      <c r="G2027" s="81"/>
      <c r="H2027" s="81"/>
      <c r="I2027" s="81"/>
      <c r="J2027" s="81"/>
      <c r="K2027" s="81"/>
      <c r="L2027" s="81"/>
      <c r="M2027" s="81"/>
      <c r="N2027" s="81"/>
    </row>
    <row r="2028" spans="1:14" ht="14.25" customHeight="1" thickBot="1" x14ac:dyDescent="0.3">
      <c r="A2028" s="603"/>
      <c r="B2028" s="604"/>
      <c r="C2028" s="604"/>
      <c r="D2028" s="604"/>
      <c r="E2028" s="604"/>
      <c r="F2028" s="605"/>
      <c r="G2028" s="81"/>
      <c r="H2028" s="81"/>
      <c r="I2028" s="81"/>
      <c r="J2028" s="81"/>
      <c r="K2028" s="81"/>
      <c r="L2028" s="81"/>
      <c r="M2028" s="81"/>
      <c r="N2028" s="81"/>
    </row>
    <row r="2029" spans="1:14" ht="14.25" customHeight="1" x14ac:dyDescent="0.25">
      <c r="A2029" s="88"/>
      <c r="B2029" s="88"/>
      <c r="C2029" s="89"/>
      <c r="D2029" s="89"/>
      <c r="E2029" s="89"/>
      <c r="F2029" s="89"/>
      <c r="G2029" s="81"/>
      <c r="H2029" s="81"/>
      <c r="I2029" s="81"/>
      <c r="J2029" s="81"/>
      <c r="K2029" s="81"/>
      <c r="L2029" s="81"/>
      <c r="M2029" s="81"/>
      <c r="N2029" s="81"/>
    </row>
    <row r="2030" spans="1:14" ht="14.25" customHeight="1" x14ac:dyDescent="0.25">
      <c r="A2030" s="90" t="s">
        <v>47</v>
      </c>
      <c r="B2030" s="613" t="s">
        <v>122</v>
      </c>
      <c r="C2030" s="600"/>
      <c r="D2030" s="600"/>
      <c r="E2030" s="600"/>
      <c r="F2030" s="600"/>
      <c r="G2030" s="81"/>
      <c r="H2030" s="81"/>
      <c r="I2030" s="81"/>
      <c r="J2030" s="81"/>
      <c r="K2030" s="81"/>
      <c r="L2030" s="81"/>
      <c r="M2030" s="81"/>
      <c r="N2030" s="81"/>
    </row>
    <row r="2031" spans="1:14" ht="14.25" customHeight="1" x14ac:dyDescent="0.25">
      <c r="A2031" s="91"/>
      <c r="B2031" s="91"/>
      <c r="C2031" s="91"/>
      <c r="D2031" s="91"/>
      <c r="E2031" s="91"/>
      <c r="F2031" s="91"/>
      <c r="G2031" s="81"/>
      <c r="H2031" s="81"/>
      <c r="I2031" s="81"/>
      <c r="J2031" s="81"/>
      <c r="K2031" s="81"/>
      <c r="L2031" s="81"/>
      <c r="M2031" s="81"/>
      <c r="N2031" s="81"/>
    </row>
    <row r="2032" spans="1:14" ht="14.25" customHeight="1" x14ac:dyDescent="0.25">
      <c r="A2032" s="88" t="s">
        <v>49</v>
      </c>
      <c r="B2032" s="92" t="s">
        <v>99</v>
      </c>
      <c r="C2032" s="89"/>
      <c r="D2032" s="89"/>
      <c r="E2032" s="89"/>
      <c r="F2032" s="93"/>
      <c r="G2032" s="81"/>
      <c r="H2032" s="81"/>
      <c r="I2032" s="81"/>
      <c r="J2032" s="81"/>
      <c r="K2032" s="81"/>
      <c r="L2032" s="81"/>
      <c r="M2032" s="81"/>
      <c r="N2032" s="81"/>
    </row>
    <row r="2033" spans="1:14" ht="14.25" customHeight="1" x14ac:dyDescent="0.25">
      <c r="A2033" s="88"/>
      <c r="B2033" s="94"/>
      <c r="C2033" s="89"/>
      <c r="D2033" s="89"/>
      <c r="E2033" s="89"/>
      <c r="F2033" s="93"/>
      <c r="G2033" s="81"/>
      <c r="H2033" s="81"/>
      <c r="I2033" s="81"/>
      <c r="J2033" s="81"/>
      <c r="K2033" s="81"/>
      <c r="L2033" s="81"/>
      <c r="M2033" s="81"/>
      <c r="N2033" s="81"/>
    </row>
    <row r="2034" spans="1:14" ht="14.25" customHeight="1" x14ac:dyDescent="0.25">
      <c r="A2034" s="95" t="s">
        <v>562</v>
      </c>
      <c r="B2034" s="96"/>
      <c r="C2034" s="92"/>
      <c r="D2034" s="92"/>
      <c r="E2034" s="92"/>
      <c r="F2034" s="92"/>
      <c r="G2034" s="81"/>
      <c r="H2034" s="81"/>
      <c r="I2034" s="81"/>
      <c r="J2034" s="81"/>
      <c r="K2034" s="81"/>
      <c r="L2034" s="81"/>
      <c r="M2034" s="81"/>
      <c r="N2034" s="81"/>
    </row>
    <row r="2035" spans="1:14" ht="14.25" customHeight="1" x14ac:dyDescent="0.25">
      <c r="A2035" s="97" t="s">
        <v>563</v>
      </c>
      <c r="B2035" s="98" t="s">
        <v>564</v>
      </c>
      <c r="C2035" s="98" t="s">
        <v>565</v>
      </c>
      <c r="D2035" s="98" t="s">
        <v>566</v>
      </c>
      <c r="E2035" s="98" t="s">
        <v>567</v>
      </c>
      <c r="F2035" s="98" t="s">
        <v>568</v>
      </c>
      <c r="G2035" s="81"/>
      <c r="H2035" s="81"/>
      <c r="I2035" s="81"/>
      <c r="J2035" s="81"/>
      <c r="K2035" s="81"/>
      <c r="L2035" s="81"/>
      <c r="M2035" s="81"/>
      <c r="N2035" s="81"/>
    </row>
    <row r="2036" spans="1:14" ht="18" customHeight="1" x14ac:dyDescent="0.25">
      <c r="A2036" s="99" t="s">
        <v>661</v>
      </c>
      <c r="B2036" s="100" t="s">
        <v>99</v>
      </c>
      <c r="C2036" s="101">
        <v>73745</v>
      </c>
      <c r="D2036" s="149">
        <v>1</v>
      </c>
      <c r="E2036" s="102"/>
      <c r="F2036" s="101">
        <f t="shared" ref="F2036:F2041" si="119">C2036*(D2036+(D2036*E2036))</f>
        <v>73745</v>
      </c>
      <c r="G2036" s="81"/>
      <c r="H2036" s="81"/>
      <c r="I2036" s="81"/>
      <c r="J2036" s="81"/>
      <c r="K2036" s="81"/>
      <c r="L2036" s="81"/>
      <c r="M2036" s="81"/>
      <c r="N2036" s="81"/>
    </row>
    <row r="2037" spans="1:14" ht="14.25" customHeight="1" x14ac:dyDescent="0.25">
      <c r="A2037" s="99" t="s">
        <v>662</v>
      </c>
      <c r="B2037" s="100" t="s">
        <v>64</v>
      </c>
      <c r="C2037" s="101">
        <v>373380</v>
      </c>
      <c r="D2037" s="149">
        <v>2.5000000000000001E-2</v>
      </c>
      <c r="E2037" s="102">
        <v>0.05</v>
      </c>
      <c r="F2037" s="101">
        <f t="shared" si="119"/>
        <v>9801.2250000000004</v>
      </c>
      <c r="G2037" s="81"/>
      <c r="H2037" s="81"/>
      <c r="I2037" s="81"/>
      <c r="J2037" s="81"/>
      <c r="K2037" s="81"/>
      <c r="L2037" s="81"/>
      <c r="M2037" s="81"/>
      <c r="N2037" s="81"/>
    </row>
    <row r="2038" spans="1:14" ht="14.25" customHeight="1" x14ac:dyDescent="0.25">
      <c r="A2038" s="99"/>
      <c r="B2038" s="100"/>
      <c r="C2038" s="101"/>
      <c r="D2038" s="149"/>
      <c r="E2038" s="102"/>
      <c r="F2038" s="101">
        <f t="shared" si="119"/>
        <v>0</v>
      </c>
      <c r="G2038" s="81"/>
      <c r="H2038" s="81"/>
      <c r="I2038" s="81"/>
      <c r="J2038" s="81"/>
      <c r="K2038" s="81"/>
      <c r="L2038" s="81"/>
      <c r="M2038" s="81"/>
      <c r="N2038" s="81"/>
    </row>
    <row r="2039" spans="1:14" ht="14.25" customHeight="1" x14ac:dyDescent="0.25">
      <c r="A2039" s="99"/>
      <c r="B2039" s="100"/>
      <c r="C2039" s="101"/>
      <c r="D2039" s="104"/>
      <c r="E2039" s="102"/>
      <c r="F2039" s="101">
        <f t="shared" si="119"/>
        <v>0</v>
      </c>
      <c r="G2039" s="81"/>
      <c r="H2039" s="81"/>
      <c r="I2039" s="81"/>
      <c r="J2039" s="81"/>
      <c r="K2039" s="81"/>
      <c r="L2039" s="81"/>
      <c r="M2039" s="81"/>
      <c r="N2039" s="81"/>
    </row>
    <row r="2040" spans="1:14" ht="14.25" customHeight="1" x14ac:dyDescent="0.25">
      <c r="A2040" s="99"/>
      <c r="B2040" s="100"/>
      <c r="C2040" s="101"/>
      <c r="D2040" s="104"/>
      <c r="E2040" s="102"/>
      <c r="F2040" s="101">
        <f t="shared" si="119"/>
        <v>0</v>
      </c>
      <c r="G2040" s="81"/>
      <c r="H2040" s="81"/>
      <c r="I2040" s="81"/>
      <c r="J2040" s="81"/>
      <c r="K2040" s="81"/>
      <c r="L2040" s="81"/>
      <c r="M2040" s="81"/>
      <c r="N2040" s="81"/>
    </row>
    <row r="2041" spans="1:14" ht="14.25" customHeight="1" x14ac:dyDescent="0.25">
      <c r="A2041" s="99"/>
      <c r="B2041" s="100"/>
      <c r="C2041" s="101"/>
      <c r="D2041" s="104"/>
      <c r="E2041" s="102"/>
      <c r="F2041" s="101">
        <f t="shared" si="119"/>
        <v>0</v>
      </c>
      <c r="G2041" s="81"/>
      <c r="H2041" s="81"/>
      <c r="I2041" s="81"/>
      <c r="J2041" s="81"/>
      <c r="K2041" s="81"/>
      <c r="L2041" s="81"/>
      <c r="M2041" s="81"/>
      <c r="N2041" s="81"/>
    </row>
    <row r="2042" spans="1:14" ht="14.25" customHeight="1" x14ac:dyDescent="0.25">
      <c r="A2042" s="99"/>
      <c r="B2042" s="100"/>
      <c r="C2042" s="106"/>
      <c r="D2042" s="107"/>
      <c r="E2042" s="108"/>
      <c r="F2042" s="106"/>
      <c r="G2042" s="81"/>
      <c r="H2042" s="81"/>
      <c r="I2042" s="81"/>
      <c r="J2042" s="81"/>
      <c r="K2042" s="81"/>
      <c r="L2042" s="81"/>
      <c r="M2042" s="81"/>
      <c r="N2042" s="81"/>
    </row>
    <row r="2043" spans="1:14" ht="14.25" customHeight="1" x14ac:dyDescent="0.25">
      <c r="A2043" s="97" t="s">
        <v>548</v>
      </c>
      <c r="B2043" s="97"/>
      <c r="C2043" s="109"/>
      <c r="D2043" s="110"/>
      <c r="E2043" s="111"/>
      <c r="F2043" s="112">
        <f>SUM(F2036:F2042)</f>
        <v>83546.225000000006</v>
      </c>
      <c r="G2043" s="81"/>
      <c r="H2043" s="81"/>
      <c r="I2043" s="81"/>
      <c r="J2043" s="81"/>
      <c r="K2043" s="81"/>
      <c r="L2043" s="81"/>
      <c r="M2043" s="81"/>
      <c r="N2043" s="81"/>
    </row>
    <row r="2044" spans="1:14" ht="14.25" customHeight="1" x14ac:dyDescent="0.25">
      <c r="A2044" s="88"/>
      <c r="B2044" s="88"/>
      <c r="C2044" s="113"/>
      <c r="D2044" s="113"/>
      <c r="E2044" s="114"/>
      <c r="F2044" s="113"/>
      <c r="G2044" s="81"/>
      <c r="H2044" s="81"/>
      <c r="I2044" s="81"/>
      <c r="J2044" s="81"/>
      <c r="K2044" s="81"/>
      <c r="L2044" s="81"/>
      <c r="M2044" s="81"/>
      <c r="N2044" s="81"/>
    </row>
    <row r="2045" spans="1:14" ht="14.25" customHeight="1" x14ac:dyDescent="0.25">
      <c r="A2045" s="96" t="s">
        <v>573</v>
      </c>
      <c r="B2045" s="96"/>
      <c r="C2045" s="92"/>
      <c r="D2045" s="92"/>
      <c r="E2045" s="92"/>
      <c r="F2045" s="92"/>
      <c r="G2045" s="81"/>
      <c r="H2045" s="81"/>
      <c r="I2045" s="81"/>
      <c r="J2045" s="81"/>
      <c r="K2045" s="81"/>
      <c r="L2045" s="81"/>
      <c r="M2045" s="81"/>
      <c r="N2045" s="81"/>
    </row>
    <row r="2046" spans="1:14" ht="14.25" customHeight="1" x14ac:dyDescent="0.25">
      <c r="A2046" s="611" t="s">
        <v>563</v>
      </c>
      <c r="B2046" s="608"/>
      <c r="C2046" s="609"/>
      <c r="D2046" s="98" t="s">
        <v>574</v>
      </c>
      <c r="E2046" s="98" t="s">
        <v>575</v>
      </c>
      <c r="F2046" s="98" t="s">
        <v>568</v>
      </c>
      <c r="G2046" s="81"/>
      <c r="H2046" s="81"/>
      <c r="I2046" s="81"/>
      <c r="J2046" s="81"/>
      <c r="K2046" s="81"/>
      <c r="L2046" s="81"/>
      <c r="M2046" s="81"/>
      <c r="N2046" s="81"/>
    </row>
    <row r="2047" spans="1:14" ht="14.25" customHeight="1" x14ac:dyDescent="0.25">
      <c r="A2047" s="607" t="s">
        <v>577</v>
      </c>
      <c r="B2047" s="608"/>
      <c r="C2047" s="609"/>
      <c r="D2047" s="116"/>
      <c r="E2047" s="107"/>
      <c r="F2047" s="106">
        <f>+F2060*5%</f>
        <v>1509.2104166666668</v>
      </c>
      <c r="G2047" s="81"/>
      <c r="H2047" s="81"/>
      <c r="I2047" s="81"/>
      <c r="J2047" s="81"/>
      <c r="K2047" s="81"/>
      <c r="L2047" s="81"/>
      <c r="M2047" s="81"/>
      <c r="N2047" s="81"/>
    </row>
    <row r="2048" spans="1:14" ht="14.25" customHeight="1" x14ac:dyDescent="0.25">
      <c r="A2048" s="607"/>
      <c r="B2048" s="608"/>
      <c r="C2048" s="609"/>
      <c r="D2048" s="142"/>
      <c r="E2048" s="105"/>
      <c r="F2048" s="106"/>
      <c r="G2048" s="81"/>
      <c r="H2048" s="81"/>
      <c r="I2048" s="81"/>
      <c r="J2048" s="81"/>
      <c r="K2048" s="81"/>
      <c r="L2048" s="81"/>
      <c r="M2048" s="81"/>
      <c r="N2048" s="81"/>
    </row>
    <row r="2049" spans="1:14" ht="14.25" customHeight="1" x14ac:dyDescent="0.25">
      <c r="A2049" s="607"/>
      <c r="B2049" s="608"/>
      <c r="C2049" s="609"/>
      <c r="D2049" s="142"/>
      <c r="E2049" s="105"/>
      <c r="F2049" s="106"/>
      <c r="G2049" s="81"/>
      <c r="H2049" s="81"/>
      <c r="I2049" s="81"/>
      <c r="J2049" s="81"/>
      <c r="K2049" s="81"/>
      <c r="L2049" s="81"/>
      <c r="M2049" s="81"/>
      <c r="N2049" s="81"/>
    </row>
    <row r="2050" spans="1:14" ht="14.25" customHeight="1" x14ac:dyDescent="0.25">
      <c r="A2050" s="607"/>
      <c r="B2050" s="608"/>
      <c r="C2050" s="609"/>
      <c r="D2050" s="142"/>
      <c r="E2050" s="107"/>
      <c r="F2050" s="106"/>
      <c r="G2050" s="81"/>
      <c r="H2050" s="81"/>
      <c r="I2050" s="81"/>
      <c r="J2050" s="81"/>
      <c r="K2050" s="81"/>
      <c r="L2050" s="81"/>
      <c r="M2050" s="81"/>
      <c r="N2050" s="81"/>
    </row>
    <row r="2051" spans="1:14" ht="14.25" customHeight="1" x14ac:dyDescent="0.25">
      <c r="A2051" s="610"/>
      <c r="B2051" s="608"/>
      <c r="C2051" s="609"/>
      <c r="D2051" s="115"/>
      <c r="E2051" s="107"/>
      <c r="F2051" s="106"/>
      <c r="G2051" s="81"/>
      <c r="H2051" s="81"/>
      <c r="I2051" s="81"/>
      <c r="J2051" s="81"/>
      <c r="K2051" s="81"/>
      <c r="L2051" s="81"/>
      <c r="M2051" s="81"/>
      <c r="N2051" s="81"/>
    </row>
    <row r="2052" spans="1:14" ht="14.25" customHeight="1" x14ac:dyDescent="0.25">
      <c r="A2052" s="611" t="s">
        <v>548</v>
      </c>
      <c r="B2052" s="608"/>
      <c r="C2052" s="609"/>
      <c r="D2052" s="110"/>
      <c r="E2052" s="110"/>
      <c r="F2052" s="112">
        <f>SUM(F2047:F2050)</f>
        <v>1509.2104166666668</v>
      </c>
      <c r="G2052" s="81"/>
      <c r="H2052" s="81"/>
      <c r="I2052" s="81"/>
      <c r="J2052" s="81"/>
      <c r="K2052" s="81"/>
      <c r="L2052" s="81"/>
      <c r="M2052" s="81"/>
      <c r="N2052" s="81"/>
    </row>
    <row r="2053" spans="1:14" ht="14.25" customHeight="1" x14ac:dyDescent="0.25">
      <c r="A2053" s="88"/>
      <c r="B2053" s="88"/>
      <c r="C2053" s="89"/>
      <c r="D2053" s="113"/>
      <c r="E2053" s="113"/>
      <c r="F2053" s="113"/>
      <c r="G2053" s="81"/>
      <c r="H2053" s="81"/>
      <c r="I2053" s="81"/>
      <c r="J2053" s="81"/>
      <c r="K2053" s="81"/>
      <c r="L2053" s="81"/>
      <c r="M2053" s="81"/>
      <c r="N2053" s="81"/>
    </row>
    <row r="2054" spans="1:14" ht="14.25" customHeight="1" x14ac:dyDescent="0.25">
      <c r="A2054" s="96" t="s">
        <v>578</v>
      </c>
      <c r="B2054" s="96"/>
      <c r="C2054" s="92"/>
      <c r="D2054" s="118"/>
      <c r="E2054" s="118"/>
      <c r="F2054" s="118"/>
      <c r="G2054" s="81"/>
      <c r="H2054" s="81"/>
      <c r="I2054" s="81"/>
      <c r="J2054" s="81"/>
      <c r="K2054" s="81"/>
      <c r="L2054" s="81"/>
      <c r="M2054" s="81"/>
      <c r="N2054" s="81"/>
    </row>
    <row r="2055" spans="1:14" ht="14.25" customHeight="1" x14ac:dyDescent="0.25">
      <c r="A2055" s="119" t="s">
        <v>563</v>
      </c>
      <c r="B2055" s="120" t="s">
        <v>579</v>
      </c>
      <c r="C2055" s="120" t="s">
        <v>580</v>
      </c>
      <c r="D2055" s="121" t="s">
        <v>581</v>
      </c>
      <c r="E2055" s="121" t="s">
        <v>575</v>
      </c>
      <c r="F2055" s="121" t="s">
        <v>568</v>
      </c>
      <c r="G2055" s="81"/>
      <c r="H2055" s="81"/>
      <c r="I2055" s="117"/>
      <c r="J2055" s="138"/>
      <c r="K2055" s="117"/>
      <c r="L2055" s="81"/>
      <c r="M2055" s="81"/>
      <c r="N2055" s="81"/>
    </row>
    <row r="2056" spans="1:14" ht="14.25" customHeight="1" x14ac:dyDescent="0.25">
      <c r="A2056" s="122" t="s">
        <v>593</v>
      </c>
      <c r="B2056" s="127">
        <v>1</v>
      </c>
      <c r="C2056" s="101">
        <v>32688</v>
      </c>
      <c r="D2056" s="101">
        <f t="shared" ref="D2056:D2057" si="120">+C2056*1.7</f>
        <v>55569.599999999999</v>
      </c>
      <c r="E2056" s="107">
        <v>4.8</v>
      </c>
      <c r="F2056" s="106">
        <f t="shared" ref="F2056:F2057" si="121">+B2056*(D2056)/E2056</f>
        <v>11577</v>
      </c>
      <c r="G2056" s="81"/>
      <c r="H2056" s="81"/>
      <c r="I2056" s="117"/>
      <c r="J2056" s="138"/>
      <c r="K2056" s="117"/>
      <c r="L2056" s="81"/>
      <c r="M2056" s="81"/>
      <c r="N2056" s="81"/>
    </row>
    <row r="2057" spans="1:14" ht="14.25" customHeight="1" x14ac:dyDescent="0.25">
      <c r="A2057" s="122" t="s">
        <v>594</v>
      </c>
      <c r="B2057" s="127">
        <v>1</v>
      </c>
      <c r="C2057" s="101">
        <v>52538</v>
      </c>
      <c r="D2057" s="101">
        <f t="shared" si="120"/>
        <v>89314.599999999991</v>
      </c>
      <c r="E2057" s="107">
        <f>E2056</f>
        <v>4.8</v>
      </c>
      <c r="F2057" s="106">
        <f t="shared" si="121"/>
        <v>18607.208333333332</v>
      </c>
      <c r="G2057" s="81"/>
      <c r="H2057" s="81"/>
      <c r="I2057" s="117"/>
      <c r="J2057" s="138"/>
      <c r="K2057" s="117"/>
      <c r="L2057" s="81"/>
      <c r="M2057" s="81"/>
      <c r="N2057" s="81"/>
    </row>
    <row r="2058" spans="1:14" ht="14.25" customHeight="1" x14ac:dyDescent="0.25">
      <c r="A2058" s="122"/>
      <c r="B2058" s="127"/>
      <c r="C2058" s="101"/>
      <c r="D2058" s="101"/>
      <c r="E2058" s="105"/>
      <c r="F2058" s="106"/>
      <c r="G2058" s="81"/>
      <c r="H2058" s="81"/>
      <c r="I2058" s="117"/>
      <c r="J2058" s="138"/>
      <c r="K2058" s="117"/>
      <c r="L2058" s="81"/>
      <c r="M2058" s="81"/>
      <c r="N2058" s="81"/>
    </row>
    <row r="2059" spans="1:14" ht="14.25" customHeight="1" x14ac:dyDescent="0.25">
      <c r="A2059" s="122"/>
      <c r="B2059" s="127"/>
      <c r="C2059" s="101"/>
      <c r="D2059" s="101"/>
      <c r="E2059" s="125"/>
      <c r="F2059" s="106"/>
      <c r="G2059" s="81"/>
      <c r="H2059" s="81"/>
      <c r="I2059" s="117"/>
      <c r="J2059" s="81"/>
      <c r="K2059" s="117"/>
      <c r="L2059" s="81"/>
      <c r="M2059" s="81"/>
      <c r="N2059" s="81"/>
    </row>
    <row r="2060" spans="1:14" ht="14.25" customHeight="1" x14ac:dyDescent="0.25">
      <c r="A2060" s="97" t="s">
        <v>548</v>
      </c>
      <c r="B2060" s="128"/>
      <c r="C2060" s="110"/>
      <c r="D2060" s="110"/>
      <c r="E2060" s="110"/>
      <c r="F2060" s="112">
        <f>SUM(F2056:F2059)</f>
        <v>30184.208333333332</v>
      </c>
      <c r="G2060" s="81"/>
      <c r="H2060" s="81"/>
      <c r="I2060" s="117"/>
      <c r="J2060" s="138"/>
      <c r="K2060" s="117"/>
      <c r="L2060" s="81"/>
      <c r="M2060" s="81"/>
      <c r="N2060" s="81"/>
    </row>
    <row r="2061" spans="1:14" ht="14.25" customHeight="1" x14ac:dyDescent="0.25">
      <c r="A2061" s="96"/>
      <c r="B2061" s="129"/>
      <c r="C2061" s="118"/>
      <c r="D2061" s="118"/>
      <c r="E2061" s="118"/>
      <c r="F2061" s="118"/>
      <c r="G2061" s="81"/>
      <c r="H2061" s="81"/>
      <c r="I2061" s="81"/>
      <c r="J2061" s="139"/>
      <c r="K2061" s="117"/>
      <c r="L2061" s="81"/>
      <c r="M2061" s="81"/>
      <c r="N2061" s="81"/>
    </row>
    <row r="2062" spans="1:14" ht="14.25" customHeight="1" x14ac:dyDescent="0.25">
      <c r="A2062" s="95" t="s">
        <v>583</v>
      </c>
      <c r="B2062" s="96"/>
      <c r="C2062" s="92"/>
      <c r="D2062" s="92"/>
      <c r="E2062" s="92" t="s">
        <v>584</v>
      </c>
      <c r="F2062" s="92"/>
      <c r="G2062" s="81"/>
      <c r="H2062" s="81"/>
      <c r="I2062" s="81"/>
      <c r="J2062" s="81"/>
      <c r="K2062" s="117"/>
      <c r="L2062" s="81"/>
      <c r="M2062" s="81"/>
      <c r="N2062" s="81"/>
    </row>
    <row r="2063" spans="1:14" ht="14.25" customHeight="1" x14ac:dyDescent="0.25">
      <c r="A2063" s="97" t="s">
        <v>563</v>
      </c>
      <c r="B2063" s="98" t="s">
        <v>564</v>
      </c>
      <c r="C2063" s="98" t="s">
        <v>585</v>
      </c>
      <c r="D2063" s="98" t="s">
        <v>586</v>
      </c>
      <c r="E2063" s="120" t="s">
        <v>587</v>
      </c>
      <c r="F2063" s="98" t="s">
        <v>568</v>
      </c>
      <c r="G2063" s="81"/>
      <c r="H2063" s="81"/>
      <c r="I2063" s="81"/>
      <c r="J2063" s="81"/>
      <c r="K2063" s="81"/>
      <c r="L2063" s="81"/>
      <c r="M2063" s="81"/>
      <c r="N2063" s="81"/>
    </row>
    <row r="2064" spans="1:14" ht="14.25" customHeight="1" x14ac:dyDescent="0.25">
      <c r="A2064" s="103"/>
      <c r="B2064" s="100"/>
      <c r="C2064" s="101"/>
      <c r="D2064" s="140"/>
      <c r="E2064" s="107"/>
      <c r="F2064" s="109"/>
      <c r="G2064" s="81"/>
      <c r="H2064" s="81"/>
      <c r="I2064" s="81"/>
      <c r="J2064" s="81"/>
      <c r="K2064" s="81"/>
      <c r="L2064" s="81"/>
      <c r="M2064" s="81"/>
      <c r="N2064" s="81"/>
    </row>
    <row r="2065" spans="1:14" ht="14.25" customHeight="1" x14ac:dyDescent="0.25">
      <c r="A2065" s="103"/>
      <c r="B2065" s="100"/>
      <c r="C2065" s="107"/>
      <c r="D2065" s="107"/>
      <c r="E2065" s="108"/>
      <c r="F2065" s="109"/>
      <c r="G2065" s="81"/>
      <c r="H2065" s="81"/>
      <c r="I2065" s="81"/>
      <c r="J2065" s="81"/>
      <c r="K2065" s="81"/>
      <c r="L2065" s="81"/>
      <c r="M2065" s="81"/>
      <c r="N2065" s="81"/>
    </row>
    <row r="2066" spans="1:14" ht="14.25" customHeight="1" x14ac:dyDescent="0.25">
      <c r="A2066" s="97" t="s">
        <v>548</v>
      </c>
      <c r="B2066" s="98"/>
      <c r="C2066" s="110"/>
      <c r="D2066" s="110"/>
      <c r="E2066" s="111"/>
      <c r="F2066" s="112">
        <f>SUM(F2064:F2065)</f>
        <v>0</v>
      </c>
      <c r="G2066" s="81"/>
      <c r="H2066" s="81"/>
      <c r="I2066" s="81"/>
      <c r="J2066" s="81"/>
      <c r="K2066" s="81"/>
      <c r="L2066" s="81"/>
      <c r="M2066" s="81"/>
      <c r="N2066" s="81"/>
    </row>
    <row r="2067" spans="1:14" ht="14.25" customHeight="1" x14ac:dyDescent="0.25">
      <c r="A2067" s="88"/>
      <c r="B2067" s="89"/>
      <c r="C2067" s="113"/>
      <c r="D2067" s="113"/>
      <c r="E2067" s="114"/>
      <c r="F2067" s="113"/>
      <c r="G2067" s="81"/>
      <c r="H2067" s="81"/>
      <c r="I2067" s="81"/>
      <c r="J2067" s="81"/>
      <c r="K2067" s="81"/>
      <c r="L2067" s="81"/>
      <c r="M2067" s="81"/>
      <c r="N2067" s="81"/>
    </row>
    <row r="2068" spans="1:14" ht="14.25" customHeight="1" x14ac:dyDescent="0.25">
      <c r="A2068" s="88"/>
      <c r="B2068" s="89"/>
      <c r="C2068" s="113"/>
      <c r="D2068" s="113"/>
      <c r="E2068" s="114"/>
      <c r="F2068" s="113"/>
      <c r="G2068" s="81"/>
      <c r="H2068" s="81"/>
      <c r="I2068" s="81"/>
      <c r="J2068" s="81"/>
      <c r="K2068" s="81"/>
      <c r="L2068" s="81"/>
      <c r="M2068" s="81"/>
      <c r="N2068" s="81"/>
    </row>
    <row r="2069" spans="1:14" ht="14.25" customHeight="1" x14ac:dyDescent="0.25">
      <c r="A2069" s="612" t="s">
        <v>588</v>
      </c>
      <c r="B2069" s="608"/>
      <c r="C2069" s="608"/>
      <c r="D2069" s="608"/>
      <c r="E2069" s="609"/>
      <c r="F2069" s="131">
        <f>ROUND(F2043+F2052+F2060+F2066,0)</f>
        <v>115240</v>
      </c>
      <c r="G2069" s="81"/>
      <c r="H2069" s="117"/>
      <c r="I2069" s="81"/>
      <c r="J2069" s="81"/>
      <c r="K2069" s="81"/>
      <c r="L2069" s="81"/>
      <c r="M2069" s="81"/>
      <c r="N2069" s="81"/>
    </row>
    <row r="2070" spans="1:14" ht="14.25" customHeight="1" x14ac:dyDescent="0.25">
      <c r="A2070" s="612" t="s">
        <v>589</v>
      </c>
      <c r="B2070" s="608"/>
      <c r="C2070" s="608"/>
      <c r="D2070" s="608"/>
      <c r="E2070" s="609"/>
      <c r="F2070" s="132"/>
      <c r="G2070" s="81"/>
      <c r="H2070" s="81"/>
      <c r="I2070" s="81"/>
      <c r="J2070" s="81"/>
      <c r="K2070" s="81"/>
      <c r="L2070" s="81"/>
      <c r="M2070" s="81"/>
      <c r="N2070" s="81"/>
    </row>
    <row r="2071" spans="1:14" ht="14.25" customHeight="1" x14ac:dyDescent="0.25">
      <c r="A2071" s="146" t="s">
        <v>556</v>
      </c>
      <c r="B2071" s="147"/>
      <c r="C2071" s="147"/>
      <c r="D2071" s="147"/>
      <c r="E2071" s="148"/>
      <c r="F2071" s="133"/>
      <c r="G2071" s="81"/>
      <c r="H2071" s="143"/>
      <c r="I2071" s="81"/>
      <c r="J2071" s="81"/>
      <c r="K2071" s="81"/>
      <c r="L2071" s="81"/>
      <c r="M2071" s="81"/>
      <c r="N2071" s="81"/>
    </row>
    <row r="2072" spans="1:14" ht="14.25" customHeight="1" x14ac:dyDescent="0.25">
      <c r="A2072" s="134"/>
      <c r="B2072" s="135"/>
      <c r="C2072" s="135"/>
      <c r="D2072" s="135"/>
      <c r="E2072" s="135"/>
      <c r="F2072" s="136"/>
      <c r="G2072" s="81"/>
      <c r="H2072" s="81"/>
      <c r="I2072" s="81"/>
      <c r="J2072" s="81"/>
      <c r="K2072" s="81"/>
      <c r="L2072" s="81"/>
      <c r="M2072" s="81"/>
      <c r="N2072" s="81"/>
    </row>
    <row r="2073" spans="1:14" ht="14.25" customHeight="1" x14ac:dyDescent="0.25">
      <c r="A2073" s="81"/>
      <c r="B2073" s="81"/>
      <c r="C2073" s="137"/>
      <c r="D2073" s="81"/>
      <c r="E2073" s="81"/>
      <c r="F2073" s="81"/>
      <c r="G2073" s="81"/>
      <c r="H2073" s="81"/>
      <c r="I2073" s="81"/>
      <c r="J2073" s="81"/>
      <c r="K2073" s="81"/>
      <c r="L2073" s="81"/>
      <c r="M2073" s="81"/>
      <c r="N2073" s="81"/>
    </row>
    <row r="2074" spans="1:14" ht="14.25" customHeight="1" x14ac:dyDescent="0.25">
      <c r="A2074" s="81"/>
      <c r="B2074" s="81"/>
      <c r="C2074" s="137"/>
      <c r="D2074" s="81"/>
      <c r="E2074" s="81"/>
      <c r="F2074" s="81"/>
      <c r="G2074" s="81"/>
      <c r="H2074" s="81"/>
      <c r="I2074" s="81"/>
      <c r="J2074" s="81"/>
      <c r="K2074" s="81"/>
      <c r="L2074" s="81"/>
      <c r="M2074" s="81"/>
      <c r="N2074" s="81"/>
    </row>
    <row r="2075" spans="1:14" ht="14.25" customHeight="1" x14ac:dyDescent="0.25">
      <c r="A2075" s="81"/>
      <c r="B2075" s="81"/>
      <c r="C2075" s="137"/>
      <c r="D2075" s="81"/>
      <c r="E2075" s="81"/>
      <c r="F2075" s="81"/>
      <c r="G2075" s="81"/>
      <c r="H2075" s="81"/>
      <c r="I2075" s="81"/>
      <c r="J2075" s="81"/>
      <c r="K2075" s="81"/>
      <c r="L2075" s="81"/>
      <c r="M2075" s="81"/>
      <c r="N2075" s="81"/>
    </row>
    <row r="2076" spans="1:14" ht="14.25" customHeight="1" x14ac:dyDescent="0.25">
      <c r="A2076" s="81"/>
      <c r="B2076" s="81"/>
      <c r="C2076" s="137"/>
      <c r="D2076" s="81"/>
      <c r="E2076" s="81"/>
      <c r="F2076" s="81"/>
      <c r="G2076" s="81"/>
      <c r="H2076" s="81"/>
      <c r="I2076" s="81"/>
      <c r="J2076" s="81"/>
      <c r="K2076" s="81"/>
      <c r="L2076" s="81"/>
      <c r="M2076" s="81"/>
      <c r="N2076" s="81"/>
    </row>
    <row r="2077" spans="1:14" ht="14.25" customHeight="1" x14ac:dyDescent="0.25">
      <c r="A2077" s="81"/>
      <c r="B2077" s="81"/>
      <c r="C2077" s="137"/>
      <c r="D2077" s="81"/>
      <c r="E2077" s="81"/>
      <c r="F2077" s="81"/>
      <c r="G2077" s="81"/>
      <c r="H2077" s="81"/>
      <c r="I2077" s="81"/>
      <c r="J2077" s="81"/>
      <c r="K2077" s="81"/>
      <c r="L2077" s="81"/>
      <c r="M2077" s="81"/>
      <c r="N2077" s="81"/>
    </row>
    <row r="2078" spans="1:14" ht="14.25" customHeight="1" x14ac:dyDescent="0.25">
      <c r="A2078" s="81"/>
      <c r="B2078" s="81"/>
      <c r="C2078" s="137"/>
      <c r="D2078" s="81"/>
      <c r="E2078" s="81"/>
      <c r="F2078" s="81"/>
      <c r="G2078" s="81"/>
      <c r="H2078" s="81"/>
      <c r="I2078" s="81"/>
      <c r="J2078" s="81"/>
      <c r="K2078" s="81"/>
      <c r="L2078" s="81"/>
      <c r="M2078" s="81"/>
      <c r="N2078" s="81"/>
    </row>
    <row r="2079" spans="1:14" ht="14.25" customHeight="1" x14ac:dyDescent="0.25">
      <c r="A2079" s="81"/>
      <c r="B2079" s="81"/>
      <c r="C2079" s="137"/>
      <c r="D2079" s="81"/>
      <c r="E2079" s="81"/>
      <c r="F2079" s="81"/>
      <c r="G2079" s="81"/>
      <c r="H2079" s="81"/>
      <c r="I2079" s="81"/>
      <c r="J2079" s="81"/>
      <c r="K2079" s="81"/>
      <c r="L2079" s="81"/>
      <c r="M2079" s="81"/>
      <c r="N2079" s="81"/>
    </row>
    <row r="2080" spans="1:14" ht="14.25" customHeight="1" x14ac:dyDescent="0.25">
      <c r="A2080" s="134"/>
      <c r="B2080" s="135"/>
      <c r="C2080" s="135"/>
      <c r="D2080" s="135"/>
      <c r="E2080" s="135"/>
      <c r="F2080" s="136"/>
      <c r="G2080" s="81"/>
      <c r="H2080" s="81"/>
      <c r="I2080" s="81"/>
      <c r="J2080" s="81"/>
      <c r="K2080" s="81"/>
      <c r="L2080" s="81"/>
      <c r="M2080" s="81"/>
      <c r="N2080" s="81"/>
    </row>
    <row r="2081" spans="1:14" ht="14.25" customHeight="1" x14ac:dyDescent="0.25">
      <c r="A2081" s="134"/>
      <c r="B2081" s="135"/>
      <c r="C2081" s="135"/>
      <c r="D2081" s="135"/>
      <c r="E2081" s="135"/>
      <c r="F2081" s="136"/>
      <c r="G2081" s="81"/>
      <c r="H2081" s="81"/>
      <c r="I2081" s="81"/>
      <c r="J2081" s="81"/>
      <c r="K2081" s="81"/>
      <c r="L2081" s="81"/>
      <c r="M2081" s="81"/>
      <c r="N2081" s="81"/>
    </row>
    <row r="2082" spans="1:14" ht="14.25" customHeight="1" x14ac:dyDescent="0.25">
      <c r="A2082" s="134"/>
      <c r="B2082" s="135"/>
      <c r="C2082" s="135"/>
      <c r="D2082" s="135"/>
      <c r="E2082" s="135"/>
      <c r="F2082" s="136"/>
      <c r="G2082" s="81"/>
      <c r="H2082" s="81"/>
      <c r="I2082" s="81"/>
      <c r="J2082" s="81"/>
      <c r="K2082" s="81"/>
      <c r="L2082" s="81"/>
      <c r="M2082" s="81"/>
      <c r="N2082" s="81"/>
    </row>
    <row r="2083" spans="1:14" ht="14.25" customHeight="1" thickBot="1" x14ac:dyDescent="0.3">
      <c r="A2083" s="81"/>
      <c r="B2083" s="81"/>
      <c r="C2083" s="81"/>
      <c r="D2083" s="81"/>
      <c r="E2083" s="81"/>
      <c r="F2083" s="81"/>
      <c r="G2083" s="81"/>
      <c r="H2083" s="81"/>
      <c r="I2083" s="81"/>
      <c r="J2083" s="81"/>
      <c r="K2083" s="81"/>
      <c r="L2083" s="81"/>
      <c r="M2083" s="81"/>
      <c r="N2083" s="81"/>
    </row>
    <row r="2084" spans="1:14" ht="14.25" customHeight="1" x14ac:dyDescent="0.25">
      <c r="A2084" s="83"/>
      <c r="B2084" s="84"/>
      <c r="C2084" s="85"/>
      <c r="D2084" s="86"/>
      <c r="E2084" s="86"/>
      <c r="F2084" s="87"/>
      <c r="G2084" s="81"/>
      <c r="H2084" s="81"/>
      <c r="I2084" s="81"/>
      <c r="J2084" s="81"/>
      <c r="K2084" s="81"/>
      <c r="L2084" s="81"/>
      <c r="M2084" s="81"/>
      <c r="N2084" s="81"/>
    </row>
    <row r="2085" spans="1:14" ht="14.25" customHeight="1" x14ac:dyDescent="0.25">
      <c r="A2085" s="599"/>
      <c r="B2085" s="600"/>
      <c r="C2085" s="600"/>
      <c r="D2085" s="600"/>
      <c r="E2085" s="600"/>
      <c r="F2085" s="601"/>
      <c r="G2085" s="81"/>
      <c r="H2085" s="81"/>
      <c r="I2085" s="81"/>
      <c r="J2085" s="81"/>
      <c r="K2085" s="81"/>
      <c r="L2085" s="81"/>
      <c r="M2085" s="81"/>
      <c r="N2085" s="81"/>
    </row>
    <row r="2086" spans="1:14" ht="14.25" customHeight="1" x14ac:dyDescent="0.25">
      <c r="A2086" s="602" t="s">
        <v>561</v>
      </c>
      <c r="B2086" s="600"/>
      <c r="C2086" s="600"/>
      <c r="D2086" s="600"/>
      <c r="E2086" s="600"/>
      <c r="F2086" s="601"/>
      <c r="G2086" s="81"/>
      <c r="H2086" s="81"/>
      <c r="I2086" s="81"/>
      <c r="J2086" s="81"/>
      <c r="K2086" s="81"/>
      <c r="L2086" s="81"/>
      <c r="M2086" s="81"/>
      <c r="N2086" s="81"/>
    </row>
    <row r="2087" spans="1:14" ht="14.25" customHeight="1" thickBot="1" x14ac:dyDescent="0.3">
      <c r="A2087" s="603"/>
      <c r="B2087" s="604"/>
      <c r="C2087" s="604"/>
      <c r="D2087" s="604"/>
      <c r="E2087" s="604"/>
      <c r="F2087" s="605"/>
      <c r="G2087" s="81"/>
      <c r="H2087" s="81"/>
      <c r="I2087" s="81"/>
      <c r="J2087" s="81"/>
      <c r="K2087" s="81"/>
      <c r="L2087" s="81"/>
      <c r="M2087" s="81"/>
      <c r="N2087" s="81"/>
    </row>
    <row r="2088" spans="1:14" ht="14.25" customHeight="1" x14ac:dyDescent="0.25">
      <c r="A2088" s="88"/>
      <c r="B2088" s="88"/>
      <c r="C2088" s="89"/>
      <c r="D2088" s="89"/>
      <c r="E2088" s="89"/>
      <c r="F2088" s="89"/>
      <c r="G2088" s="81"/>
      <c r="H2088" s="81"/>
      <c r="I2088" s="81"/>
      <c r="J2088" s="81"/>
      <c r="K2088" s="81"/>
      <c r="L2088" s="81"/>
      <c r="M2088" s="81"/>
      <c r="N2088" s="81"/>
    </row>
    <row r="2089" spans="1:14" ht="27.75" customHeight="1" x14ac:dyDescent="0.25">
      <c r="A2089" s="90" t="s">
        <v>47</v>
      </c>
      <c r="B2089" s="613" t="s">
        <v>124</v>
      </c>
      <c r="C2089" s="600"/>
      <c r="D2089" s="600"/>
      <c r="E2089" s="600"/>
      <c r="F2089" s="600"/>
      <c r="G2089" s="81"/>
      <c r="H2089" s="81"/>
      <c r="I2089" s="81"/>
      <c r="J2089" s="81"/>
      <c r="K2089" s="81"/>
      <c r="L2089" s="81"/>
      <c r="M2089" s="81"/>
      <c r="N2089" s="81"/>
    </row>
    <row r="2090" spans="1:14" ht="14.25" customHeight="1" x14ac:dyDescent="0.25">
      <c r="A2090" s="91"/>
      <c r="B2090" s="91"/>
      <c r="C2090" s="91"/>
      <c r="D2090" s="91"/>
      <c r="E2090" s="91"/>
      <c r="F2090" s="91"/>
      <c r="G2090" s="81"/>
      <c r="H2090" s="81"/>
      <c r="I2090" s="81"/>
      <c r="J2090" s="81"/>
      <c r="K2090" s="81"/>
      <c r="L2090" s="81"/>
      <c r="M2090" s="81"/>
      <c r="N2090" s="81"/>
    </row>
    <row r="2091" spans="1:14" ht="14.25" customHeight="1" x14ac:dyDescent="0.25">
      <c r="A2091" s="88" t="s">
        <v>49</v>
      </c>
      <c r="B2091" s="92" t="s">
        <v>56</v>
      </c>
      <c r="C2091" s="89"/>
      <c r="D2091" s="89"/>
      <c r="E2091" s="89"/>
      <c r="F2091" s="93"/>
      <c r="G2091" s="81"/>
      <c r="H2091" s="81"/>
      <c r="I2091" s="81"/>
      <c r="J2091" s="81"/>
      <c r="K2091" s="81"/>
      <c r="L2091" s="81"/>
      <c r="M2091" s="81"/>
      <c r="N2091" s="81"/>
    </row>
    <row r="2092" spans="1:14" ht="14.25" customHeight="1" x14ac:dyDescent="0.25">
      <c r="A2092" s="88"/>
      <c r="B2092" s="94"/>
      <c r="C2092" s="89"/>
      <c r="D2092" s="89"/>
      <c r="E2092" s="89"/>
      <c r="F2092" s="93"/>
      <c r="G2092" s="81"/>
      <c r="H2092" s="81"/>
      <c r="I2092" s="81"/>
      <c r="J2092" s="81"/>
      <c r="K2092" s="81"/>
      <c r="L2092" s="81"/>
      <c r="M2092" s="81"/>
      <c r="N2092" s="81"/>
    </row>
    <row r="2093" spans="1:14" ht="14.25" customHeight="1" x14ac:dyDescent="0.25">
      <c r="A2093" s="95" t="s">
        <v>562</v>
      </c>
      <c r="B2093" s="96"/>
      <c r="C2093" s="92"/>
      <c r="D2093" s="92"/>
      <c r="E2093" s="92"/>
      <c r="F2093" s="92"/>
      <c r="G2093" s="81"/>
      <c r="H2093" s="81"/>
      <c r="I2093" s="81"/>
      <c r="J2093" s="81"/>
      <c r="K2093" s="81"/>
      <c r="L2093" s="81"/>
      <c r="M2093" s="81"/>
      <c r="N2093" s="81"/>
    </row>
    <row r="2094" spans="1:14" ht="14.25" customHeight="1" x14ac:dyDescent="0.25">
      <c r="A2094" s="97" t="s">
        <v>563</v>
      </c>
      <c r="B2094" s="98" t="s">
        <v>564</v>
      </c>
      <c r="C2094" s="98" t="s">
        <v>565</v>
      </c>
      <c r="D2094" s="98" t="s">
        <v>566</v>
      </c>
      <c r="E2094" s="98" t="s">
        <v>567</v>
      </c>
      <c r="F2094" s="98" t="s">
        <v>568</v>
      </c>
      <c r="G2094" s="81"/>
      <c r="H2094" s="81"/>
      <c r="I2094" s="81"/>
      <c r="J2094" s="81"/>
      <c r="K2094" s="81"/>
      <c r="L2094" s="81"/>
      <c r="M2094" s="81"/>
      <c r="N2094" s="81"/>
    </row>
    <row r="2095" spans="1:14" ht="14.25" customHeight="1" x14ac:dyDescent="0.25">
      <c r="A2095" s="99" t="s">
        <v>663</v>
      </c>
      <c r="B2095" s="100" t="s">
        <v>99</v>
      </c>
      <c r="C2095" s="101">
        <v>25000</v>
      </c>
      <c r="D2095" s="149">
        <v>0.48</v>
      </c>
      <c r="E2095" s="102">
        <v>0.05</v>
      </c>
      <c r="F2095" s="101">
        <f t="shared" ref="F2095:F2100" si="122">C2095*(D2095+(D2095*E2095))</f>
        <v>12600</v>
      </c>
      <c r="G2095" s="81"/>
      <c r="H2095" s="81"/>
      <c r="I2095" s="81"/>
      <c r="J2095" s="81"/>
      <c r="K2095" s="81"/>
      <c r="L2095" s="81"/>
      <c r="M2095" s="81"/>
      <c r="N2095" s="81"/>
    </row>
    <row r="2096" spans="1:14" ht="14.25" customHeight="1" x14ac:dyDescent="0.25">
      <c r="A2096" s="99" t="s">
        <v>664</v>
      </c>
      <c r="B2096" s="100" t="s">
        <v>64</v>
      </c>
      <c r="C2096" s="101">
        <v>60000</v>
      </c>
      <c r="D2096" s="149">
        <v>6.5000000000000002E-2</v>
      </c>
      <c r="E2096" s="102">
        <v>0.05</v>
      </c>
      <c r="F2096" s="101">
        <f t="shared" si="122"/>
        <v>4095.0000000000005</v>
      </c>
      <c r="G2096" s="81"/>
      <c r="H2096" s="81"/>
      <c r="I2096" s="81"/>
      <c r="J2096" s="81"/>
      <c r="K2096" s="81"/>
      <c r="L2096" s="81"/>
      <c r="M2096" s="81"/>
      <c r="N2096" s="81"/>
    </row>
    <row r="2097" spans="1:14" ht="14.25" customHeight="1" x14ac:dyDescent="0.25">
      <c r="A2097" s="99" t="s">
        <v>665</v>
      </c>
      <c r="B2097" s="100" t="s">
        <v>99</v>
      </c>
      <c r="C2097" s="101">
        <v>93250</v>
      </c>
      <c r="D2097" s="149">
        <v>0.18</v>
      </c>
      <c r="E2097" s="102">
        <v>0.05</v>
      </c>
      <c r="F2097" s="101">
        <f t="shared" si="122"/>
        <v>17624.25</v>
      </c>
      <c r="G2097" s="81"/>
      <c r="H2097" s="81"/>
      <c r="I2097" s="81"/>
      <c r="J2097" s="81"/>
      <c r="K2097" s="81"/>
      <c r="L2097" s="81"/>
      <c r="M2097" s="81"/>
      <c r="N2097" s="81"/>
    </row>
    <row r="2098" spans="1:14" ht="14.25" customHeight="1" x14ac:dyDescent="0.25">
      <c r="A2098" s="99"/>
      <c r="B2098" s="100"/>
      <c r="C2098" s="101"/>
      <c r="D2098" s="104"/>
      <c r="E2098" s="102"/>
      <c r="F2098" s="101">
        <f t="shared" si="122"/>
        <v>0</v>
      </c>
      <c r="G2098" s="81"/>
      <c r="H2098" s="81"/>
      <c r="I2098" s="81"/>
      <c r="J2098" s="81"/>
      <c r="K2098" s="81"/>
      <c r="L2098" s="81"/>
      <c r="M2098" s="81"/>
      <c r="N2098" s="81"/>
    </row>
    <row r="2099" spans="1:14" ht="14.25" customHeight="1" x14ac:dyDescent="0.25">
      <c r="A2099" s="99"/>
      <c r="B2099" s="100"/>
      <c r="C2099" s="101"/>
      <c r="D2099" s="104"/>
      <c r="E2099" s="102"/>
      <c r="F2099" s="101">
        <f t="shared" si="122"/>
        <v>0</v>
      </c>
      <c r="G2099" s="81"/>
      <c r="H2099" s="81"/>
      <c r="I2099" s="81"/>
      <c r="J2099" s="81"/>
      <c r="K2099" s="81"/>
      <c r="L2099" s="81"/>
      <c r="M2099" s="81"/>
      <c r="N2099" s="81"/>
    </row>
    <row r="2100" spans="1:14" ht="14.25" customHeight="1" x14ac:dyDescent="0.25">
      <c r="A2100" s="99"/>
      <c r="B2100" s="100"/>
      <c r="C2100" s="101"/>
      <c r="D2100" s="104"/>
      <c r="E2100" s="102"/>
      <c r="F2100" s="101">
        <f t="shared" si="122"/>
        <v>0</v>
      </c>
      <c r="G2100" s="81"/>
      <c r="H2100" s="81"/>
      <c r="I2100" s="81"/>
      <c r="J2100" s="81"/>
      <c r="K2100" s="81"/>
      <c r="L2100" s="81"/>
      <c r="M2100" s="81"/>
      <c r="N2100" s="81"/>
    </row>
    <row r="2101" spans="1:14" ht="14.25" customHeight="1" x14ac:dyDescent="0.25">
      <c r="A2101" s="99"/>
      <c r="B2101" s="100"/>
      <c r="C2101" s="106"/>
      <c r="D2101" s="107"/>
      <c r="E2101" s="108"/>
      <c r="F2101" s="106"/>
      <c r="G2101" s="81"/>
      <c r="H2101" s="81"/>
      <c r="I2101" s="81"/>
      <c r="J2101" s="81"/>
      <c r="K2101" s="81"/>
      <c r="L2101" s="81"/>
      <c r="M2101" s="81"/>
      <c r="N2101" s="81"/>
    </row>
    <row r="2102" spans="1:14" ht="14.25" customHeight="1" x14ac:dyDescent="0.25">
      <c r="A2102" s="97" t="s">
        <v>548</v>
      </c>
      <c r="B2102" s="97"/>
      <c r="C2102" s="109"/>
      <c r="D2102" s="110"/>
      <c r="E2102" s="111"/>
      <c r="F2102" s="112">
        <f>SUM(F2095:F2101)</f>
        <v>34319.25</v>
      </c>
      <c r="G2102" s="81"/>
      <c r="H2102" s="81"/>
      <c r="I2102" s="81"/>
      <c r="J2102" s="81"/>
      <c r="K2102" s="81"/>
      <c r="L2102" s="81"/>
      <c r="M2102" s="81"/>
      <c r="N2102" s="81"/>
    </row>
    <row r="2103" spans="1:14" ht="14.25" customHeight="1" x14ac:dyDescent="0.25">
      <c r="A2103" s="88"/>
      <c r="B2103" s="88"/>
      <c r="C2103" s="113"/>
      <c r="D2103" s="113"/>
      <c r="E2103" s="114"/>
      <c r="F2103" s="113"/>
      <c r="G2103" s="81"/>
      <c r="H2103" s="81"/>
      <c r="I2103" s="81"/>
      <c r="J2103" s="81"/>
      <c r="K2103" s="81"/>
      <c r="L2103" s="81"/>
      <c r="M2103" s="81"/>
      <c r="N2103" s="81"/>
    </row>
    <row r="2104" spans="1:14" ht="14.25" customHeight="1" x14ac:dyDescent="0.25">
      <c r="A2104" s="96" t="s">
        <v>573</v>
      </c>
      <c r="B2104" s="96"/>
      <c r="C2104" s="92"/>
      <c r="D2104" s="92"/>
      <c r="E2104" s="92"/>
      <c r="F2104" s="92"/>
      <c r="G2104" s="81"/>
      <c r="H2104" s="81"/>
      <c r="I2104" s="81"/>
      <c r="J2104" s="81"/>
      <c r="K2104" s="81"/>
      <c r="L2104" s="81"/>
      <c r="M2104" s="81"/>
      <c r="N2104" s="81"/>
    </row>
    <row r="2105" spans="1:14" ht="14.25" customHeight="1" x14ac:dyDescent="0.25">
      <c r="A2105" s="611" t="s">
        <v>563</v>
      </c>
      <c r="B2105" s="608"/>
      <c r="C2105" s="609"/>
      <c r="D2105" s="98" t="s">
        <v>574</v>
      </c>
      <c r="E2105" s="98" t="s">
        <v>575</v>
      </c>
      <c r="F2105" s="98" t="s">
        <v>568</v>
      </c>
      <c r="G2105" s="81"/>
      <c r="H2105" s="81"/>
      <c r="I2105" s="81"/>
      <c r="J2105" s="81"/>
      <c r="K2105" s="81"/>
      <c r="L2105" s="81"/>
      <c r="M2105" s="81"/>
      <c r="N2105" s="81"/>
    </row>
    <row r="2106" spans="1:14" ht="14.25" customHeight="1" x14ac:dyDescent="0.25">
      <c r="A2106" s="607" t="s">
        <v>577</v>
      </c>
      <c r="B2106" s="608"/>
      <c r="C2106" s="609"/>
      <c r="D2106" s="116"/>
      <c r="E2106" s="107"/>
      <c r="F2106" s="106">
        <v>125</v>
      </c>
      <c r="G2106" s="81"/>
      <c r="H2106" s="81"/>
      <c r="I2106" s="81"/>
      <c r="J2106" s="81"/>
      <c r="K2106" s="81"/>
      <c r="L2106" s="81"/>
      <c r="M2106" s="81"/>
      <c r="N2106" s="81"/>
    </row>
    <row r="2107" spans="1:14" ht="14.25" customHeight="1" x14ac:dyDescent="0.25">
      <c r="A2107" s="607"/>
      <c r="B2107" s="608"/>
      <c r="C2107" s="609"/>
      <c r="D2107" s="142"/>
      <c r="E2107" s="105"/>
      <c r="F2107" s="106"/>
      <c r="G2107" s="81"/>
      <c r="H2107" s="81"/>
      <c r="I2107" s="81"/>
      <c r="J2107" s="81"/>
      <c r="K2107" s="81"/>
      <c r="L2107" s="81"/>
      <c r="M2107" s="81"/>
      <c r="N2107" s="81"/>
    </row>
    <row r="2108" spans="1:14" ht="14.25" customHeight="1" x14ac:dyDescent="0.25">
      <c r="A2108" s="607"/>
      <c r="B2108" s="608"/>
      <c r="C2108" s="609"/>
      <c r="D2108" s="142"/>
      <c r="E2108" s="105"/>
      <c r="F2108" s="106"/>
      <c r="G2108" s="81"/>
      <c r="H2108" s="81"/>
      <c r="I2108" s="81"/>
      <c r="J2108" s="81"/>
      <c r="K2108" s="81"/>
      <c r="L2108" s="81"/>
      <c r="M2108" s="81"/>
      <c r="N2108" s="81"/>
    </row>
    <row r="2109" spans="1:14" ht="14.25" customHeight="1" x14ac:dyDescent="0.25">
      <c r="A2109" s="607"/>
      <c r="B2109" s="608"/>
      <c r="C2109" s="609"/>
      <c r="D2109" s="142"/>
      <c r="E2109" s="107"/>
      <c r="F2109" s="106"/>
      <c r="G2109" s="81"/>
      <c r="H2109" s="81"/>
      <c r="I2109" s="81"/>
      <c r="J2109" s="81"/>
      <c r="K2109" s="81"/>
      <c r="L2109" s="81"/>
      <c r="M2109" s="81"/>
      <c r="N2109" s="81"/>
    </row>
    <row r="2110" spans="1:14" ht="14.25" customHeight="1" x14ac:dyDescent="0.25">
      <c r="A2110" s="610"/>
      <c r="B2110" s="608"/>
      <c r="C2110" s="609"/>
      <c r="D2110" s="115"/>
      <c r="E2110" s="107"/>
      <c r="F2110" s="106"/>
      <c r="G2110" s="81"/>
      <c r="H2110" s="81"/>
      <c r="I2110" s="81"/>
      <c r="J2110" s="81"/>
      <c r="K2110" s="81"/>
      <c r="L2110" s="81"/>
      <c r="M2110" s="81"/>
      <c r="N2110" s="81"/>
    </row>
    <row r="2111" spans="1:14" ht="14.25" customHeight="1" x14ac:dyDescent="0.25">
      <c r="A2111" s="611" t="s">
        <v>548</v>
      </c>
      <c r="B2111" s="608"/>
      <c r="C2111" s="609"/>
      <c r="D2111" s="110"/>
      <c r="E2111" s="110"/>
      <c r="F2111" s="112">
        <f>SUM(F2106:F2109)</f>
        <v>125</v>
      </c>
      <c r="G2111" s="81"/>
      <c r="H2111" s="81"/>
      <c r="I2111" s="81"/>
      <c r="J2111" s="81"/>
      <c r="K2111" s="81"/>
      <c r="L2111" s="81"/>
      <c r="M2111" s="81"/>
      <c r="N2111" s="81"/>
    </row>
    <row r="2112" spans="1:14" ht="14.25" customHeight="1" x14ac:dyDescent="0.25">
      <c r="A2112" s="88"/>
      <c r="B2112" s="88"/>
      <c r="C2112" s="89"/>
      <c r="D2112" s="113"/>
      <c r="E2112" s="113"/>
      <c r="F2112" s="113"/>
      <c r="G2112" s="81"/>
      <c r="H2112" s="81"/>
      <c r="I2112" s="81"/>
      <c r="J2112" s="81"/>
      <c r="K2112" s="81"/>
      <c r="L2112" s="81"/>
      <c r="M2112" s="81"/>
      <c r="N2112" s="81"/>
    </row>
    <row r="2113" spans="1:14" ht="14.25" customHeight="1" x14ac:dyDescent="0.25">
      <c r="A2113" s="96" t="s">
        <v>578</v>
      </c>
      <c r="B2113" s="96"/>
      <c r="C2113" s="92"/>
      <c r="D2113" s="118"/>
      <c r="E2113" s="118"/>
      <c r="F2113" s="118"/>
      <c r="G2113" s="81"/>
      <c r="H2113" s="81"/>
      <c r="I2113" s="81"/>
      <c r="J2113" s="81"/>
      <c r="K2113" s="81"/>
      <c r="L2113" s="81"/>
      <c r="M2113" s="81"/>
      <c r="N2113" s="81"/>
    </row>
    <row r="2114" spans="1:14" ht="14.25" customHeight="1" x14ac:dyDescent="0.25">
      <c r="A2114" s="119" t="s">
        <v>563</v>
      </c>
      <c r="B2114" s="120" t="s">
        <v>579</v>
      </c>
      <c r="C2114" s="120" t="s">
        <v>580</v>
      </c>
      <c r="D2114" s="121" t="s">
        <v>581</v>
      </c>
      <c r="E2114" s="121" t="s">
        <v>575</v>
      </c>
      <c r="F2114" s="121" t="s">
        <v>568</v>
      </c>
      <c r="G2114" s="81"/>
      <c r="H2114" s="81"/>
      <c r="I2114" s="81"/>
      <c r="J2114" s="81"/>
      <c r="K2114" s="81"/>
      <c r="L2114" s="81"/>
      <c r="M2114" s="81"/>
      <c r="N2114" s="81"/>
    </row>
    <row r="2115" spans="1:14" ht="14.25" customHeight="1" x14ac:dyDescent="0.25">
      <c r="A2115" s="122" t="s">
        <v>593</v>
      </c>
      <c r="B2115" s="127">
        <v>1</v>
      </c>
      <c r="C2115" s="101">
        <v>32688</v>
      </c>
      <c r="D2115" s="101">
        <f t="shared" ref="D2115:D2116" si="123">+C2115*1.7</f>
        <v>55569.599999999999</v>
      </c>
      <c r="E2115" s="107">
        <v>20</v>
      </c>
      <c r="F2115" s="106">
        <f t="shared" ref="F2115:F2116" si="124">+B2115*(D2115)/E2115</f>
        <v>2778.48</v>
      </c>
      <c r="G2115" s="81"/>
      <c r="H2115" s="81"/>
      <c r="I2115" s="81"/>
      <c r="J2115" s="81"/>
      <c r="K2115" s="81"/>
      <c r="L2115" s="81"/>
      <c r="M2115" s="81"/>
      <c r="N2115" s="81"/>
    </row>
    <row r="2116" spans="1:14" ht="14.25" customHeight="1" x14ac:dyDescent="0.25">
      <c r="A2116" s="122" t="s">
        <v>594</v>
      </c>
      <c r="B2116" s="127">
        <v>1</v>
      </c>
      <c r="C2116" s="101">
        <v>52538</v>
      </c>
      <c r="D2116" s="101">
        <f t="shared" si="123"/>
        <v>89314.599999999991</v>
      </c>
      <c r="E2116" s="107">
        <f>E2115</f>
        <v>20</v>
      </c>
      <c r="F2116" s="106">
        <f t="shared" si="124"/>
        <v>4465.7299999999996</v>
      </c>
      <c r="G2116" s="81"/>
      <c r="H2116" s="81"/>
      <c r="I2116" s="81"/>
      <c r="J2116" s="81"/>
      <c r="K2116" s="81"/>
      <c r="L2116" s="81"/>
      <c r="M2116" s="81"/>
      <c r="N2116" s="81"/>
    </row>
    <row r="2117" spans="1:14" ht="14.25" customHeight="1" x14ac:dyDescent="0.25">
      <c r="A2117" s="122"/>
      <c r="B2117" s="127"/>
      <c r="C2117" s="101"/>
      <c r="D2117" s="101"/>
      <c r="E2117" s="105"/>
      <c r="F2117" s="106"/>
      <c r="G2117" s="81"/>
      <c r="H2117" s="81"/>
      <c r="I2117" s="81"/>
      <c r="J2117" s="81"/>
      <c r="K2117" s="81"/>
      <c r="L2117" s="81"/>
      <c r="M2117" s="81"/>
      <c r="N2117" s="81"/>
    </row>
    <row r="2118" spans="1:14" ht="14.25" customHeight="1" x14ac:dyDescent="0.25">
      <c r="A2118" s="122"/>
      <c r="B2118" s="127"/>
      <c r="C2118" s="101"/>
      <c r="D2118" s="101"/>
      <c r="E2118" s="125"/>
      <c r="F2118" s="106"/>
      <c r="G2118" s="81"/>
      <c r="H2118" s="81"/>
      <c r="I2118" s="81"/>
      <c r="J2118" s="81"/>
      <c r="K2118" s="81"/>
      <c r="L2118" s="81"/>
      <c r="M2118" s="81"/>
      <c r="N2118" s="81"/>
    </row>
    <row r="2119" spans="1:14" ht="14.25" customHeight="1" x14ac:dyDescent="0.25">
      <c r="A2119" s="97" t="s">
        <v>548</v>
      </c>
      <c r="B2119" s="128"/>
      <c r="C2119" s="110"/>
      <c r="D2119" s="110"/>
      <c r="E2119" s="110"/>
      <c r="F2119" s="112">
        <f>SUM(F2115:F2118)</f>
        <v>7244.2099999999991</v>
      </c>
      <c r="G2119" s="81"/>
      <c r="H2119" s="81"/>
      <c r="I2119" s="81"/>
      <c r="J2119" s="81"/>
      <c r="K2119" s="81"/>
      <c r="L2119" s="81"/>
      <c r="M2119" s="81"/>
      <c r="N2119" s="81"/>
    </row>
    <row r="2120" spans="1:14" ht="14.25" customHeight="1" x14ac:dyDescent="0.25">
      <c r="A2120" s="96"/>
      <c r="B2120" s="129"/>
      <c r="C2120" s="118"/>
      <c r="D2120" s="118"/>
      <c r="E2120" s="118"/>
      <c r="F2120" s="118"/>
      <c r="G2120" s="81"/>
      <c r="H2120" s="81"/>
      <c r="I2120" s="81"/>
      <c r="J2120" s="81"/>
      <c r="K2120" s="81"/>
      <c r="L2120" s="81"/>
      <c r="M2120" s="81"/>
      <c r="N2120" s="81"/>
    </row>
    <row r="2121" spans="1:14" ht="14.25" customHeight="1" x14ac:dyDescent="0.25">
      <c r="A2121" s="95" t="s">
        <v>583</v>
      </c>
      <c r="B2121" s="96"/>
      <c r="C2121" s="92"/>
      <c r="D2121" s="92"/>
      <c r="E2121" s="92" t="s">
        <v>584</v>
      </c>
      <c r="F2121" s="92"/>
      <c r="G2121" s="81"/>
      <c r="H2121" s="81"/>
      <c r="I2121" s="81"/>
      <c r="J2121" s="81"/>
      <c r="K2121" s="81"/>
      <c r="L2121" s="81"/>
      <c r="M2121" s="81"/>
      <c r="N2121" s="81"/>
    </row>
    <row r="2122" spans="1:14" ht="14.25" customHeight="1" x14ac:dyDescent="0.25">
      <c r="A2122" s="97" t="s">
        <v>563</v>
      </c>
      <c r="B2122" s="98" t="s">
        <v>564</v>
      </c>
      <c r="C2122" s="98" t="s">
        <v>585</v>
      </c>
      <c r="D2122" s="98" t="s">
        <v>586</v>
      </c>
      <c r="E2122" s="120" t="s">
        <v>587</v>
      </c>
      <c r="F2122" s="98" t="s">
        <v>568</v>
      </c>
      <c r="G2122" s="81"/>
      <c r="H2122" s="81"/>
      <c r="I2122" s="81"/>
      <c r="J2122" s="81"/>
      <c r="K2122" s="81"/>
      <c r="L2122" s="81"/>
      <c r="M2122" s="81"/>
      <c r="N2122" s="81"/>
    </row>
    <row r="2123" spans="1:14" ht="14.25" customHeight="1" x14ac:dyDescent="0.25">
      <c r="A2123" s="103"/>
      <c r="B2123" s="100"/>
      <c r="C2123" s="101"/>
      <c r="D2123" s="140"/>
      <c r="E2123" s="107"/>
      <c r="F2123" s="109"/>
      <c r="G2123" s="81"/>
      <c r="H2123" s="81"/>
      <c r="I2123" s="81"/>
      <c r="J2123" s="81"/>
      <c r="K2123" s="81"/>
      <c r="L2123" s="81"/>
      <c r="M2123" s="81"/>
      <c r="N2123" s="81"/>
    </row>
    <row r="2124" spans="1:14" ht="14.25" customHeight="1" x14ac:dyDescent="0.25">
      <c r="A2124" s="103"/>
      <c r="B2124" s="100"/>
      <c r="C2124" s="107"/>
      <c r="D2124" s="107"/>
      <c r="E2124" s="108"/>
      <c r="F2124" s="109"/>
      <c r="G2124" s="81"/>
      <c r="H2124" s="81"/>
      <c r="I2124" s="81"/>
      <c r="J2124" s="81"/>
      <c r="K2124" s="81"/>
      <c r="L2124" s="81"/>
      <c r="M2124" s="81"/>
      <c r="N2124" s="81"/>
    </row>
    <row r="2125" spans="1:14" ht="14.25" customHeight="1" x14ac:dyDescent="0.25">
      <c r="A2125" s="97" t="s">
        <v>548</v>
      </c>
      <c r="B2125" s="98"/>
      <c r="C2125" s="110"/>
      <c r="D2125" s="110"/>
      <c r="E2125" s="111"/>
      <c r="F2125" s="112">
        <f>SUM(F2123:F2124)</f>
        <v>0</v>
      </c>
      <c r="G2125" s="81"/>
      <c r="H2125" s="81"/>
      <c r="I2125" s="81"/>
      <c r="J2125" s="81"/>
      <c r="K2125" s="81"/>
      <c r="L2125" s="81"/>
      <c r="M2125" s="81"/>
      <c r="N2125" s="81"/>
    </row>
    <row r="2126" spans="1:14" ht="14.25" customHeight="1" x14ac:dyDescent="0.25">
      <c r="A2126" s="88"/>
      <c r="B2126" s="89"/>
      <c r="C2126" s="113"/>
      <c r="D2126" s="113"/>
      <c r="E2126" s="114"/>
      <c r="F2126" s="113"/>
      <c r="G2126" s="81"/>
      <c r="H2126" s="81"/>
      <c r="I2126" s="81"/>
      <c r="J2126" s="81"/>
      <c r="K2126" s="81"/>
      <c r="L2126" s="81"/>
      <c r="M2126" s="81"/>
      <c r="N2126" s="81"/>
    </row>
    <row r="2127" spans="1:14" ht="14.25" customHeight="1" x14ac:dyDescent="0.25">
      <c r="A2127" s="88"/>
      <c r="B2127" s="89"/>
      <c r="C2127" s="113"/>
      <c r="D2127" s="113"/>
      <c r="E2127" s="114"/>
      <c r="F2127" s="113"/>
      <c r="G2127" s="81"/>
      <c r="H2127" s="81"/>
      <c r="I2127" s="81"/>
      <c r="J2127" s="81"/>
      <c r="K2127" s="81"/>
      <c r="L2127" s="81"/>
      <c r="M2127" s="81"/>
      <c r="N2127" s="81"/>
    </row>
    <row r="2128" spans="1:14" ht="14.25" customHeight="1" x14ac:dyDescent="0.25">
      <c r="A2128" s="612" t="s">
        <v>588</v>
      </c>
      <c r="B2128" s="608"/>
      <c r="C2128" s="608"/>
      <c r="D2128" s="608"/>
      <c r="E2128" s="609"/>
      <c r="F2128" s="131">
        <f>ROUND(F2102+F2111+F2119+F2125,0)</f>
        <v>41688</v>
      </c>
      <c r="G2128" s="81"/>
      <c r="H2128" s="117">
        <f>41688-F2128</f>
        <v>0</v>
      </c>
      <c r="I2128" s="81"/>
      <c r="J2128" s="81"/>
      <c r="K2128" s="81"/>
      <c r="L2128" s="81"/>
      <c r="M2128" s="81"/>
      <c r="N2128" s="81"/>
    </row>
    <row r="2129" spans="1:14" ht="14.25" customHeight="1" x14ac:dyDescent="0.25">
      <c r="A2129" s="612" t="s">
        <v>589</v>
      </c>
      <c r="B2129" s="608"/>
      <c r="C2129" s="608"/>
      <c r="D2129" s="608"/>
      <c r="E2129" s="609"/>
      <c r="F2129" s="132"/>
      <c r="G2129" s="81"/>
      <c r="H2129" s="81"/>
      <c r="I2129" s="81"/>
      <c r="J2129" s="81"/>
      <c r="K2129" s="81"/>
      <c r="L2129" s="81"/>
      <c r="M2129" s="81"/>
      <c r="N2129" s="81"/>
    </row>
    <row r="2130" spans="1:14" ht="14.25" customHeight="1" x14ac:dyDescent="0.25">
      <c r="A2130" s="146" t="s">
        <v>556</v>
      </c>
      <c r="B2130" s="147"/>
      <c r="C2130" s="147"/>
      <c r="D2130" s="147"/>
      <c r="E2130" s="148"/>
      <c r="F2130" s="133"/>
      <c r="G2130" s="81"/>
      <c r="H2130" s="81"/>
      <c r="I2130" s="81"/>
      <c r="J2130" s="81"/>
      <c r="K2130" s="81"/>
      <c r="L2130" s="81"/>
      <c r="M2130" s="81"/>
      <c r="N2130" s="81"/>
    </row>
    <row r="2131" spans="1:14" ht="14.25" customHeight="1" x14ac:dyDescent="0.25">
      <c r="A2131" s="134"/>
      <c r="B2131" s="135"/>
      <c r="C2131" s="135"/>
      <c r="D2131" s="135"/>
      <c r="E2131" s="135"/>
      <c r="F2131" s="136"/>
      <c r="G2131" s="81"/>
      <c r="H2131" s="81"/>
      <c r="I2131" s="81"/>
      <c r="J2131" s="81"/>
      <c r="K2131" s="81"/>
      <c r="L2131" s="81"/>
      <c r="M2131" s="81"/>
      <c r="N2131" s="81"/>
    </row>
    <row r="2132" spans="1:14" ht="14.25" customHeight="1" x14ac:dyDescent="0.25">
      <c r="A2132" s="81"/>
      <c r="B2132" s="81"/>
      <c r="C2132" s="137"/>
      <c r="D2132" s="81"/>
      <c r="E2132" s="81"/>
      <c r="F2132" s="81"/>
      <c r="G2132" s="81"/>
      <c r="H2132" s="81"/>
      <c r="I2132" s="81"/>
      <c r="J2132" s="81"/>
      <c r="K2132" s="81"/>
      <c r="L2132" s="81"/>
      <c r="M2132" s="81"/>
      <c r="N2132" s="81"/>
    </row>
    <row r="2133" spans="1:14" ht="14.25" customHeight="1" x14ac:dyDescent="0.25">
      <c r="A2133" s="81"/>
      <c r="B2133" s="81"/>
      <c r="C2133" s="137"/>
      <c r="D2133" s="81"/>
      <c r="E2133" s="81"/>
      <c r="F2133" s="81"/>
      <c r="G2133" s="81"/>
      <c r="H2133" s="81"/>
      <c r="I2133" s="81"/>
      <c r="J2133" s="81"/>
      <c r="K2133" s="81"/>
      <c r="L2133" s="81"/>
      <c r="M2133" s="81"/>
      <c r="N2133" s="81"/>
    </row>
    <row r="2134" spans="1:14" ht="14.25" customHeight="1" x14ac:dyDescent="0.25">
      <c r="A2134" s="81"/>
      <c r="B2134" s="81"/>
      <c r="C2134" s="137"/>
      <c r="D2134" s="81"/>
      <c r="E2134" s="81"/>
      <c r="F2134" s="81"/>
      <c r="G2134" s="81"/>
      <c r="H2134" s="81"/>
      <c r="I2134" s="81"/>
      <c r="J2134" s="81"/>
      <c r="K2134" s="81"/>
      <c r="L2134" s="81"/>
      <c r="M2134" s="81"/>
      <c r="N2134" s="81"/>
    </row>
    <row r="2135" spans="1:14" ht="14.25" customHeight="1" x14ac:dyDescent="0.25">
      <c r="A2135" s="81"/>
      <c r="B2135" s="81"/>
      <c r="C2135" s="137"/>
      <c r="D2135" s="81"/>
      <c r="E2135" s="81"/>
      <c r="F2135" s="81"/>
      <c r="G2135" s="81"/>
      <c r="H2135" s="81"/>
      <c r="I2135" s="81"/>
      <c r="J2135" s="81"/>
      <c r="K2135" s="81"/>
      <c r="L2135" s="81"/>
      <c r="M2135" s="81"/>
      <c r="N2135" s="81"/>
    </row>
    <row r="2136" spans="1:14" ht="14.25" customHeight="1" x14ac:dyDescent="0.25">
      <c r="A2136" s="81"/>
      <c r="B2136" s="81"/>
      <c r="C2136" s="137"/>
      <c r="D2136" s="81"/>
      <c r="E2136" s="81"/>
      <c r="F2136" s="81"/>
      <c r="G2136" s="81"/>
      <c r="H2136" s="81"/>
      <c r="I2136" s="81"/>
      <c r="J2136" s="81"/>
      <c r="K2136" s="81"/>
      <c r="L2136" s="81"/>
      <c r="M2136" s="81"/>
      <c r="N2136" s="81"/>
    </row>
    <row r="2137" spans="1:14" ht="14.25" customHeight="1" x14ac:dyDescent="0.25">
      <c r="A2137" s="81"/>
      <c r="B2137" s="81"/>
      <c r="C2137" s="137"/>
      <c r="D2137" s="81"/>
      <c r="E2137" s="81"/>
      <c r="F2137" s="81"/>
      <c r="G2137" s="81"/>
      <c r="H2137" s="81"/>
      <c r="I2137" s="81"/>
      <c r="J2137" s="81"/>
      <c r="K2137" s="81"/>
      <c r="L2137" s="81"/>
      <c r="M2137" s="81"/>
      <c r="N2137" s="81"/>
    </row>
    <row r="2138" spans="1:14" ht="14.25" customHeight="1" x14ac:dyDescent="0.25">
      <c r="A2138" s="134"/>
      <c r="B2138" s="135"/>
      <c r="C2138" s="135"/>
      <c r="D2138" s="135"/>
      <c r="E2138" s="135"/>
      <c r="F2138" s="136"/>
      <c r="G2138" s="81"/>
      <c r="H2138" s="81"/>
      <c r="I2138" s="81"/>
      <c r="J2138" s="81"/>
      <c r="K2138" s="81"/>
      <c r="L2138" s="81"/>
      <c r="M2138" s="81"/>
      <c r="N2138" s="81"/>
    </row>
    <row r="2139" spans="1:14" ht="14.25" customHeight="1" x14ac:dyDescent="0.25">
      <c r="A2139" s="134"/>
      <c r="B2139" s="135"/>
      <c r="C2139" s="135"/>
      <c r="D2139" s="135"/>
      <c r="E2139" s="135"/>
      <c r="F2139" s="136"/>
      <c r="G2139" s="81"/>
      <c r="H2139" s="81"/>
      <c r="I2139" s="81"/>
      <c r="J2139" s="81"/>
      <c r="K2139" s="81"/>
      <c r="L2139" s="81"/>
      <c r="M2139" s="81"/>
      <c r="N2139" s="81"/>
    </row>
    <row r="2140" spans="1:14" ht="14.25" customHeight="1" x14ac:dyDescent="0.25">
      <c r="A2140" s="134"/>
      <c r="B2140" s="135"/>
      <c r="C2140" s="135"/>
      <c r="D2140" s="135"/>
      <c r="E2140" s="135"/>
      <c r="F2140" s="136"/>
      <c r="G2140" s="81"/>
      <c r="H2140" s="81"/>
      <c r="I2140" s="81"/>
      <c r="J2140" s="81"/>
      <c r="K2140" s="81"/>
      <c r="L2140" s="81"/>
      <c r="M2140" s="81"/>
      <c r="N2140" s="81"/>
    </row>
    <row r="2141" spans="1:14" ht="14.25" customHeight="1" thickBot="1" x14ac:dyDescent="0.3">
      <c r="A2141" s="81"/>
      <c r="B2141" s="81"/>
      <c r="C2141" s="81"/>
      <c r="D2141" s="81"/>
      <c r="E2141" s="81"/>
      <c r="F2141" s="81"/>
      <c r="G2141" s="81"/>
      <c r="H2141" s="81"/>
      <c r="I2141" s="81"/>
      <c r="J2141" s="81"/>
      <c r="K2141" s="81"/>
      <c r="L2141" s="81"/>
      <c r="M2141" s="81"/>
      <c r="N2141" s="81"/>
    </row>
    <row r="2142" spans="1:14" ht="14.25" customHeight="1" x14ac:dyDescent="0.25">
      <c r="A2142" s="83"/>
      <c r="B2142" s="84"/>
      <c r="C2142" s="85"/>
      <c r="D2142" s="86"/>
      <c r="E2142" s="86"/>
      <c r="F2142" s="87"/>
      <c r="G2142" s="81"/>
      <c r="H2142" s="81"/>
      <c r="I2142" s="81"/>
      <c r="J2142" s="81"/>
      <c r="K2142" s="81"/>
      <c r="L2142" s="81"/>
      <c r="M2142" s="81"/>
      <c r="N2142" s="81"/>
    </row>
    <row r="2143" spans="1:14" ht="14.25" customHeight="1" x14ac:dyDescent="0.25">
      <c r="A2143" s="599"/>
      <c r="B2143" s="600"/>
      <c r="C2143" s="600"/>
      <c r="D2143" s="600"/>
      <c r="E2143" s="600"/>
      <c r="F2143" s="601"/>
      <c r="G2143" s="81"/>
      <c r="H2143" s="81"/>
      <c r="I2143" s="81"/>
      <c r="J2143" s="81"/>
      <c r="K2143" s="81"/>
      <c r="L2143" s="81"/>
      <c r="M2143" s="81"/>
      <c r="N2143" s="81"/>
    </row>
    <row r="2144" spans="1:14" ht="14.25" customHeight="1" x14ac:dyDescent="0.25">
      <c r="A2144" s="602" t="s">
        <v>561</v>
      </c>
      <c r="B2144" s="600"/>
      <c r="C2144" s="600"/>
      <c r="D2144" s="600"/>
      <c r="E2144" s="600"/>
      <c r="F2144" s="601"/>
      <c r="G2144" s="81"/>
      <c r="H2144" s="81"/>
      <c r="I2144" s="81"/>
      <c r="J2144" s="81"/>
      <c r="K2144" s="81"/>
      <c r="L2144" s="81"/>
      <c r="M2144" s="81"/>
      <c r="N2144" s="81"/>
    </row>
    <row r="2145" spans="1:14" ht="14.25" customHeight="1" thickBot="1" x14ac:dyDescent="0.3">
      <c r="A2145" s="603"/>
      <c r="B2145" s="604"/>
      <c r="C2145" s="604"/>
      <c r="D2145" s="604"/>
      <c r="E2145" s="604"/>
      <c r="F2145" s="605"/>
      <c r="G2145" s="81"/>
      <c r="H2145" s="81"/>
      <c r="I2145" s="81"/>
      <c r="J2145" s="81"/>
      <c r="K2145" s="81"/>
      <c r="L2145" s="81"/>
      <c r="M2145" s="81"/>
      <c r="N2145" s="81"/>
    </row>
    <row r="2146" spans="1:14" ht="14.25" customHeight="1" x14ac:dyDescent="0.25">
      <c r="A2146" s="88"/>
      <c r="B2146" s="88"/>
      <c r="C2146" s="89"/>
      <c r="D2146" s="89"/>
      <c r="E2146" s="89"/>
      <c r="F2146" s="89"/>
      <c r="G2146" s="81"/>
      <c r="H2146" s="81"/>
      <c r="I2146" s="81"/>
      <c r="J2146" s="81"/>
      <c r="K2146" s="81"/>
      <c r="L2146" s="81"/>
      <c r="M2146" s="81"/>
      <c r="N2146" s="81"/>
    </row>
    <row r="2147" spans="1:14" ht="39.75" customHeight="1" x14ac:dyDescent="0.25">
      <c r="A2147" s="90" t="s">
        <v>47</v>
      </c>
      <c r="B2147" s="613" t="s">
        <v>1326</v>
      </c>
      <c r="C2147" s="600"/>
      <c r="D2147" s="600"/>
      <c r="E2147" s="600"/>
      <c r="F2147" s="600"/>
      <c r="G2147" s="81"/>
      <c r="H2147" s="81"/>
      <c r="I2147" s="81"/>
      <c r="J2147" s="81"/>
      <c r="K2147" s="81"/>
      <c r="L2147" s="81"/>
      <c r="M2147" s="81"/>
      <c r="N2147" s="81"/>
    </row>
    <row r="2148" spans="1:14" ht="14.25" customHeight="1" x14ac:dyDescent="0.25">
      <c r="A2148" s="91"/>
      <c r="B2148" s="91"/>
      <c r="C2148" s="91"/>
      <c r="D2148" s="91"/>
      <c r="E2148" s="91"/>
      <c r="F2148" s="91"/>
      <c r="G2148" s="81"/>
      <c r="H2148" s="81"/>
      <c r="I2148" s="81"/>
      <c r="J2148" s="81"/>
      <c r="K2148" s="81"/>
      <c r="L2148" s="81"/>
      <c r="M2148" s="81"/>
      <c r="N2148" s="81"/>
    </row>
    <row r="2149" spans="1:14" ht="14.25" customHeight="1" x14ac:dyDescent="0.25">
      <c r="A2149" s="88" t="s">
        <v>49</v>
      </c>
      <c r="B2149" s="92" t="s">
        <v>56</v>
      </c>
      <c r="C2149" s="89"/>
      <c r="D2149" s="89"/>
      <c r="E2149" s="89"/>
      <c r="F2149" s="93"/>
      <c r="G2149" s="81"/>
      <c r="H2149" s="81"/>
      <c r="I2149" s="81"/>
      <c r="J2149" s="81"/>
      <c r="K2149" s="81"/>
      <c r="L2149" s="81"/>
      <c r="M2149" s="81"/>
      <c r="N2149" s="81"/>
    </row>
    <row r="2150" spans="1:14" ht="14.25" customHeight="1" x14ac:dyDescent="0.25">
      <c r="A2150" s="88"/>
      <c r="B2150" s="94"/>
      <c r="C2150" s="89"/>
      <c r="D2150" s="89"/>
      <c r="E2150" s="89"/>
      <c r="F2150" s="93"/>
      <c r="G2150" s="81"/>
      <c r="H2150" s="81"/>
      <c r="I2150" s="81"/>
      <c r="J2150" s="81"/>
      <c r="K2150" s="81"/>
      <c r="L2150" s="81"/>
      <c r="M2150" s="81"/>
      <c r="N2150" s="81"/>
    </row>
    <row r="2151" spans="1:14" ht="14.25" customHeight="1" x14ac:dyDescent="0.25">
      <c r="A2151" s="95" t="s">
        <v>562</v>
      </c>
      <c r="B2151" s="96"/>
      <c r="C2151" s="92"/>
      <c r="D2151" s="92"/>
      <c r="E2151" s="92"/>
      <c r="F2151" s="92"/>
      <c r="G2151" s="81"/>
      <c r="H2151" s="81"/>
      <c r="I2151" s="81"/>
      <c r="J2151" s="81"/>
      <c r="K2151" s="81"/>
      <c r="L2151" s="81"/>
      <c r="M2151" s="81"/>
      <c r="N2151" s="81"/>
    </row>
    <row r="2152" spans="1:14" ht="14.25" customHeight="1" x14ac:dyDescent="0.25">
      <c r="A2152" s="97" t="s">
        <v>563</v>
      </c>
      <c r="B2152" s="98" t="s">
        <v>564</v>
      </c>
      <c r="C2152" s="98" t="s">
        <v>565</v>
      </c>
      <c r="D2152" s="98" t="s">
        <v>566</v>
      </c>
      <c r="E2152" s="98" t="s">
        <v>567</v>
      </c>
      <c r="F2152" s="98" t="s">
        <v>568</v>
      </c>
      <c r="G2152" s="81"/>
      <c r="H2152" s="81"/>
      <c r="I2152" s="81"/>
      <c r="J2152" s="81"/>
      <c r="K2152" s="81"/>
      <c r="L2152" s="81"/>
      <c r="M2152" s="81"/>
      <c r="N2152" s="81"/>
    </row>
    <row r="2153" spans="1:14" ht="25.5" x14ac:dyDescent="0.25">
      <c r="A2153" s="99" t="s">
        <v>666</v>
      </c>
      <c r="B2153" s="100" t="s">
        <v>99</v>
      </c>
      <c r="C2153" s="101">
        <v>3450</v>
      </c>
      <c r="D2153" s="149">
        <v>12.5</v>
      </c>
      <c r="E2153" s="102">
        <v>0.05</v>
      </c>
      <c r="F2153" s="101">
        <f t="shared" ref="F2153:F2158" si="125">C2153*(D2153+(D2153*E2153))</f>
        <v>45281.25</v>
      </c>
      <c r="G2153" s="81"/>
      <c r="H2153" s="81"/>
      <c r="I2153" s="81"/>
      <c r="J2153" s="81"/>
      <c r="K2153" s="81"/>
      <c r="L2153" s="81"/>
      <c r="M2153" s="81"/>
      <c r="N2153" s="81"/>
    </row>
    <row r="2154" spans="1:14" ht="19.5" customHeight="1" x14ac:dyDescent="0.25">
      <c r="A2154" s="99" t="s">
        <v>662</v>
      </c>
      <c r="B2154" s="100" t="s">
        <v>64</v>
      </c>
      <c r="C2154" s="101">
        <v>373380</v>
      </c>
      <c r="D2154" s="149">
        <v>0.03</v>
      </c>
      <c r="E2154" s="102">
        <v>0.05</v>
      </c>
      <c r="F2154" s="101">
        <f t="shared" si="125"/>
        <v>11761.47</v>
      </c>
      <c r="G2154" s="81"/>
      <c r="H2154" s="81"/>
      <c r="I2154" s="81"/>
      <c r="J2154" s="81"/>
      <c r="K2154" s="81"/>
      <c r="L2154" s="81"/>
      <c r="M2154" s="81"/>
      <c r="N2154" s="81"/>
    </row>
    <row r="2155" spans="1:14" ht="25.5" x14ac:dyDescent="0.25">
      <c r="A2155" s="99" t="s">
        <v>601</v>
      </c>
      <c r="B2155" s="100" t="s">
        <v>64</v>
      </c>
      <c r="C2155" s="101">
        <v>377055</v>
      </c>
      <c r="D2155" s="149">
        <v>0.03</v>
      </c>
      <c r="E2155" s="102">
        <v>0.05</v>
      </c>
      <c r="F2155" s="101">
        <f t="shared" si="125"/>
        <v>11877.2325</v>
      </c>
      <c r="G2155" s="81"/>
      <c r="H2155" s="81"/>
      <c r="I2155" s="81"/>
      <c r="J2155" s="81"/>
      <c r="K2155" s="81"/>
      <c r="L2155" s="81"/>
      <c r="M2155" s="81"/>
      <c r="N2155" s="81"/>
    </row>
    <row r="2156" spans="1:14" ht="15.75" x14ac:dyDescent="0.25">
      <c r="A2156" s="99"/>
      <c r="B2156" s="100"/>
      <c r="C2156" s="101"/>
      <c r="D2156" s="149"/>
      <c r="E2156" s="102"/>
      <c r="F2156" s="101">
        <f t="shared" si="125"/>
        <v>0</v>
      </c>
      <c r="G2156" s="81"/>
      <c r="H2156" s="81"/>
      <c r="I2156" s="81"/>
      <c r="J2156" s="81"/>
      <c r="K2156" s="81"/>
      <c r="L2156" s="81"/>
      <c r="M2156" s="81"/>
      <c r="N2156" s="81"/>
    </row>
    <row r="2157" spans="1:14" ht="14.25" customHeight="1" x14ac:dyDescent="0.25">
      <c r="A2157" s="99"/>
      <c r="B2157" s="100"/>
      <c r="C2157" s="101"/>
      <c r="D2157" s="104"/>
      <c r="E2157" s="102"/>
      <c r="F2157" s="101">
        <f t="shared" si="125"/>
        <v>0</v>
      </c>
      <c r="G2157" s="81"/>
      <c r="H2157" s="81"/>
      <c r="I2157" s="81"/>
      <c r="J2157" s="81"/>
      <c r="K2157" s="81"/>
      <c r="L2157" s="81"/>
      <c r="M2157" s="81"/>
      <c r="N2157" s="81"/>
    </row>
    <row r="2158" spans="1:14" ht="14.25" customHeight="1" x14ac:dyDescent="0.25">
      <c r="A2158" s="99"/>
      <c r="B2158" s="100"/>
      <c r="C2158" s="101"/>
      <c r="D2158" s="104"/>
      <c r="E2158" s="102"/>
      <c r="F2158" s="101">
        <f t="shared" si="125"/>
        <v>0</v>
      </c>
      <c r="G2158" s="81"/>
      <c r="H2158" s="81"/>
      <c r="I2158" s="81"/>
      <c r="J2158" s="81"/>
      <c r="K2158" s="81"/>
      <c r="L2158" s="81"/>
      <c r="M2158" s="81"/>
      <c r="N2158" s="81"/>
    </row>
    <row r="2159" spans="1:14" ht="14.25" customHeight="1" x14ac:dyDescent="0.25">
      <c r="A2159" s="99"/>
      <c r="B2159" s="100"/>
      <c r="C2159" s="106"/>
      <c r="D2159" s="107"/>
      <c r="E2159" s="108"/>
      <c r="F2159" s="106"/>
      <c r="G2159" s="81"/>
      <c r="H2159" s="81"/>
      <c r="I2159" s="81"/>
      <c r="J2159" s="81"/>
      <c r="K2159" s="81"/>
      <c r="L2159" s="81"/>
      <c r="M2159" s="81"/>
      <c r="N2159" s="81"/>
    </row>
    <row r="2160" spans="1:14" ht="14.25" customHeight="1" x14ac:dyDescent="0.25">
      <c r="A2160" s="97" t="s">
        <v>548</v>
      </c>
      <c r="B2160" s="97"/>
      <c r="C2160" s="109"/>
      <c r="D2160" s="110"/>
      <c r="E2160" s="111"/>
      <c r="F2160" s="112">
        <f>SUM(F2153:F2159)</f>
        <v>68919.952499999999</v>
      </c>
      <c r="G2160" s="81"/>
      <c r="H2160" s="81"/>
      <c r="I2160" s="81"/>
      <c r="J2160" s="81"/>
      <c r="K2160" s="81"/>
      <c r="L2160" s="81"/>
      <c r="M2160" s="81"/>
      <c r="N2160" s="81"/>
    </row>
    <row r="2161" spans="1:14" ht="14.25" customHeight="1" x14ac:dyDescent="0.25">
      <c r="A2161" s="88"/>
      <c r="B2161" s="88"/>
      <c r="C2161" s="113"/>
      <c r="D2161" s="113"/>
      <c r="E2161" s="114"/>
      <c r="F2161" s="113"/>
      <c r="G2161" s="81"/>
      <c r="H2161" s="81"/>
      <c r="I2161" s="81"/>
      <c r="J2161" s="81"/>
      <c r="K2161" s="81"/>
      <c r="L2161" s="81"/>
      <c r="M2161" s="81"/>
      <c r="N2161" s="81"/>
    </row>
    <row r="2162" spans="1:14" ht="14.25" customHeight="1" x14ac:dyDescent="0.25">
      <c r="A2162" s="96" t="s">
        <v>573</v>
      </c>
      <c r="B2162" s="96"/>
      <c r="C2162" s="92"/>
      <c r="D2162" s="92"/>
      <c r="E2162" s="92"/>
      <c r="F2162" s="92"/>
      <c r="G2162" s="81"/>
      <c r="H2162" s="81"/>
      <c r="I2162" s="81"/>
      <c r="J2162" s="81"/>
      <c r="K2162" s="81"/>
      <c r="L2162" s="81"/>
      <c r="M2162" s="81"/>
      <c r="N2162" s="81"/>
    </row>
    <row r="2163" spans="1:14" ht="14.25" customHeight="1" x14ac:dyDescent="0.25">
      <c r="A2163" s="611" t="s">
        <v>563</v>
      </c>
      <c r="B2163" s="608"/>
      <c r="C2163" s="609"/>
      <c r="D2163" s="98" t="s">
        <v>574</v>
      </c>
      <c r="E2163" s="98" t="s">
        <v>575</v>
      </c>
      <c r="F2163" s="98" t="s">
        <v>568</v>
      </c>
      <c r="G2163" s="81"/>
      <c r="H2163" s="81"/>
      <c r="I2163" s="81"/>
      <c r="J2163" s="81"/>
      <c r="K2163" s="81"/>
      <c r="L2163" s="81"/>
      <c r="M2163" s="81"/>
      <c r="N2163" s="81"/>
    </row>
    <row r="2164" spans="1:14" ht="14.25" customHeight="1" x14ac:dyDescent="0.25">
      <c r="A2164" s="607" t="s">
        <v>577</v>
      </c>
      <c r="B2164" s="608"/>
      <c r="C2164" s="609"/>
      <c r="D2164" s="116"/>
      <c r="E2164" s="107"/>
      <c r="F2164" s="106">
        <v>701</v>
      </c>
      <c r="G2164" s="81"/>
      <c r="H2164" s="81"/>
      <c r="I2164" s="81"/>
      <c r="J2164" s="81"/>
      <c r="K2164" s="81"/>
      <c r="L2164" s="81"/>
      <c r="M2164" s="81"/>
      <c r="N2164" s="81"/>
    </row>
    <row r="2165" spans="1:14" ht="14.25" customHeight="1" x14ac:dyDescent="0.25">
      <c r="A2165" s="607"/>
      <c r="B2165" s="608"/>
      <c r="C2165" s="609"/>
      <c r="D2165" s="142"/>
      <c r="E2165" s="105"/>
      <c r="F2165" s="106"/>
      <c r="G2165" s="81"/>
      <c r="H2165" s="81"/>
      <c r="I2165" s="81"/>
      <c r="J2165" s="81"/>
      <c r="K2165" s="81"/>
      <c r="L2165" s="81"/>
      <c r="M2165" s="81"/>
      <c r="N2165" s="81"/>
    </row>
    <row r="2166" spans="1:14" ht="14.25" customHeight="1" x14ac:dyDescent="0.25">
      <c r="A2166" s="607"/>
      <c r="B2166" s="608"/>
      <c r="C2166" s="609"/>
      <c r="D2166" s="142"/>
      <c r="E2166" s="105"/>
      <c r="F2166" s="106"/>
      <c r="G2166" s="81"/>
      <c r="H2166" s="81"/>
      <c r="I2166" s="81"/>
      <c r="J2166" s="81"/>
      <c r="K2166" s="81"/>
      <c r="L2166" s="81"/>
      <c r="M2166" s="81"/>
      <c r="N2166" s="81"/>
    </row>
    <row r="2167" spans="1:14" ht="14.25" customHeight="1" x14ac:dyDescent="0.25">
      <c r="A2167" s="607"/>
      <c r="B2167" s="608"/>
      <c r="C2167" s="609"/>
      <c r="D2167" s="142"/>
      <c r="E2167" s="107"/>
      <c r="F2167" s="106"/>
      <c r="G2167" s="81"/>
      <c r="H2167" s="81"/>
      <c r="I2167" s="81"/>
      <c r="J2167" s="81"/>
      <c r="K2167" s="81"/>
      <c r="L2167" s="81"/>
      <c r="M2167" s="81"/>
      <c r="N2167" s="81"/>
    </row>
    <row r="2168" spans="1:14" ht="14.25" customHeight="1" x14ac:dyDescent="0.25">
      <c r="A2168" s="610"/>
      <c r="B2168" s="608"/>
      <c r="C2168" s="609"/>
      <c r="D2168" s="115"/>
      <c r="E2168" s="107"/>
      <c r="F2168" s="106"/>
      <c r="G2168" s="81"/>
      <c r="H2168" s="81"/>
      <c r="I2168" s="81"/>
      <c r="J2168" s="81"/>
      <c r="K2168" s="81"/>
      <c r="L2168" s="81"/>
      <c r="M2168" s="81"/>
      <c r="N2168" s="81"/>
    </row>
    <row r="2169" spans="1:14" ht="14.25" customHeight="1" x14ac:dyDescent="0.25">
      <c r="A2169" s="611" t="s">
        <v>548</v>
      </c>
      <c r="B2169" s="608"/>
      <c r="C2169" s="609"/>
      <c r="D2169" s="110"/>
      <c r="E2169" s="110"/>
      <c r="F2169" s="112">
        <f>SUM(F2164:F2167)</f>
        <v>701</v>
      </c>
      <c r="G2169" s="81"/>
      <c r="H2169" s="81"/>
      <c r="I2169" s="81"/>
      <c r="J2169" s="81"/>
      <c r="K2169" s="81"/>
      <c r="L2169" s="81"/>
      <c r="M2169" s="81"/>
      <c r="N2169" s="81"/>
    </row>
    <row r="2170" spans="1:14" ht="14.25" customHeight="1" x14ac:dyDescent="0.25">
      <c r="A2170" s="88"/>
      <c r="B2170" s="88"/>
      <c r="C2170" s="89"/>
      <c r="D2170" s="113"/>
      <c r="E2170" s="113"/>
      <c r="F2170" s="113"/>
      <c r="G2170" s="81"/>
      <c r="H2170" s="81"/>
      <c r="I2170" s="81"/>
      <c r="J2170" s="81"/>
      <c r="K2170" s="81"/>
      <c r="L2170" s="81"/>
      <c r="M2170" s="81"/>
      <c r="N2170" s="81"/>
    </row>
    <row r="2171" spans="1:14" ht="14.25" customHeight="1" x14ac:dyDescent="0.25">
      <c r="A2171" s="96" t="s">
        <v>578</v>
      </c>
      <c r="B2171" s="96"/>
      <c r="C2171" s="92"/>
      <c r="D2171" s="118"/>
      <c r="E2171" s="118"/>
      <c r="F2171" s="118"/>
      <c r="G2171" s="81"/>
      <c r="H2171" s="81"/>
      <c r="I2171" s="81"/>
      <c r="J2171" s="81"/>
      <c r="K2171" s="81"/>
      <c r="L2171" s="81"/>
      <c r="M2171" s="81"/>
      <c r="N2171" s="81"/>
    </row>
    <row r="2172" spans="1:14" ht="14.25" customHeight="1" x14ac:dyDescent="0.25">
      <c r="A2172" s="119" t="s">
        <v>563</v>
      </c>
      <c r="B2172" s="120" t="s">
        <v>579</v>
      </c>
      <c r="C2172" s="120" t="s">
        <v>580</v>
      </c>
      <c r="D2172" s="121" t="s">
        <v>581</v>
      </c>
      <c r="E2172" s="121" t="s">
        <v>575</v>
      </c>
      <c r="F2172" s="121" t="s">
        <v>568</v>
      </c>
      <c r="G2172" s="81"/>
      <c r="H2172" s="81"/>
      <c r="I2172" s="81"/>
      <c r="J2172" s="81"/>
      <c r="K2172" s="81"/>
      <c r="L2172" s="81"/>
      <c r="M2172" s="81"/>
      <c r="N2172" s="81"/>
    </row>
    <row r="2173" spans="1:14" ht="14.25" customHeight="1" x14ac:dyDescent="0.25">
      <c r="A2173" s="122" t="s">
        <v>593</v>
      </c>
      <c r="B2173" s="127">
        <v>1</v>
      </c>
      <c r="C2173" s="101">
        <v>32688</v>
      </c>
      <c r="D2173" s="101">
        <f t="shared" ref="D2173:D2174" si="126">+C2173*1.7</f>
        <v>55569.599999999999</v>
      </c>
      <c r="E2173" s="107">
        <v>10</v>
      </c>
      <c r="F2173" s="106">
        <f t="shared" ref="F2173:F2174" si="127">+B2173*(D2173)/E2173</f>
        <v>5556.96</v>
      </c>
      <c r="G2173" s="81"/>
      <c r="H2173" s="81"/>
      <c r="I2173" s="81"/>
      <c r="J2173" s="81"/>
      <c r="K2173" s="81"/>
      <c r="L2173" s="81"/>
      <c r="M2173" s="81"/>
      <c r="N2173" s="81"/>
    </row>
    <row r="2174" spans="1:14" ht="14.25" customHeight="1" x14ac:dyDescent="0.25">
      <c r="A2174" s="122" t="s">
        <v>594</v>
      </c>
      <c r="B2174" s="127">
        <v>1</v>
      </c>
      <c r="C2174" s="101">
        <v>52538</v>
      </c>
      <c r="D2174" s="101">
        <f t="shared" si="126"/>
        <v>89314.599999999991</v>
      </c>
      <c r="E2174" s="107">
        <f>E2173</f>
        <v>10</v>
      </c>
      <c r="F2174" s="106">
        <f t="shared" si="127"/>
        <v>8931.4599999999991</v>
      </c>
      <c r="G2174" s="81"/>
      <c r="H2174" s="81"/>
      <c r="I2174" s="81"/>
      <c r="J2174" s="81"/>
      <c r="K2174" s="81"/>
      <c r="L2174" s="81"/>
      <c r="M2174" s="81"/>
      <c r="N2174" s="81"/>
    </row>
    <row r="2175" spans="1:14" ht="14.25" customHeight="1" x14ac:dyDescent="0.25">
      <c r="A2175" s="122"/>
      <c r="B2175" s="127"/>
      <c r="C2175" s="101"/>
      <c r="D2175" s="101"/>
      <c r="E2175" s="105"/>
      <c r="F2175" s="106"/>
      <c r="G2175" s="81"/>
      <c r="H2175" s="81"/>
      <c r="I2175" s="81"/>
      <c r="J2175" s="81"/>
      <c r="K2175" s="81"/>
      <c r="L2175" s="81"/>
      <c r="M2175" s="81"/>
      <c r="N2175" s="81"/>
    </row>
    <row r="2176" spans="1:14" ht="14.25" customHeight="1" x14ac:dyDescent="0.25">
      <c r="A2176" s="122"/>
      <c r="B2176" s="127"/>
      <c r="C2176" s="101"/>
      <c r="D2176" s="101"/>
      <c r="E2176" s="125"/>
      <c r="F2176" s="106"/>
      <c r="G2176" s="81"/>
      <c r="H2176" s="81"/>
      <c r="I2176" s="81"/>
      <c r="J2176" s="81"/>
      <c r="K2176" s="81"/>
      <c r="L2176" s="81"/>
      <c r="M2176" s="81"/>
      <c r="N2176" s="81"/>
    </row>
    <row r="2177" spans="1:14" ht="14.25" customHeight="1" x14ac:dyDescent="0.25">
      <c r="A2177" s="97" t="s">
        <v>548</v>
      </c>
      <c r="B2177" s="128"/>
      <c r="C2177" s="110"/>
      <c r="D2177" s="110"/>
      <c r="E2177" s="110"/>
      <c r="F2177" s="112">
        <f>SUM(F2173:F2176)</f>
        <v>14488.419999999998</v>
      </c>
      <c r="G2177" s="81"/>
      <c r="H2177" s="81"/>
      <c r="I2177" s="81"/>
      <c r="J2177" s="81"/>
      <c r="K2177" s="81"/>
      <c r="L2177" s="81"/>
      <c r="M2177" s="81"/>
      <c r="N2177" s="81"/>
    </row>
    <row r="2178" spans="1:14" ht="14.25" customHeight="1" x14ac:dyDescent="0.25">
      <c r="A2178" s="96"/>
      <c r="B2178" s="129"/>
      <c r="C2178" s="118"/>
      <c r="D2178" s="118"/>
      <c r="E2178" s="118"/>
      <c r="F2178" s="118"/>
      <c r="G2178" s="81"/>
      <c r="H2178" s="81"/>
      <c r="I2178" s="81"/>
      <c r="J2178" s="81"/>
      <c r="K2178" s="81"/>
      <c r="L2178" s="81"/>
      <c r="M2178" s="81"/>
      <c r="N2178" s="81"/>
    </row>
    <row r="2179" spans="1:14" ht="14.25" customHeight="1" x14ac:dyDescent="0.25">
      <c r="A2179" s="95" t="s">
        <v>583</v>
      </c>
      <c r="B2179" s="96"/>
      <c r="C2179" s="92"/>
      <c r="D2179" s="92"/>
      <c r="E2179" s="92" t="s">
        <v>584</v>
      </c>
      <c r="F2179" s="92"/>
      <c r="G2179" s="81"/>
      <c r="H2179" s="81"/>
      <c r="I2179" s="81"/>
      <c r="J2179" s="81"/>
      <c r="K2179" s="81"/>
      <c r="L2179" s="81"/>
      <c r="M2179" s="81"/>
      <c r="N2179" s="81"/>
    </row>
    <row r="2180" spans="1:14" ht="14.25" customHeight="1" x14ac:dyDescent="0.25">
      <c r="A2180" s="97" t="s">
        <v>563</v>
      </c>
      <c r="B2180" s="98" t="s">
        <v>564</v>
      </c>
      <c r="C2180" s="98" t="s">
        <v>585</v>
      </c>
      <c r="D2180" s="98" t="s">
        <v>586</v>
      </c>
      <c r="E2180" s="120" t="s">
        <v>587</v>
      </c>
      <c r="F2180" s="98" t="s">
        <v>568</v>
      </c>
      <c r="G2180" s="81"/>
      <c r="H2180" s="81"/>
      <c r="I2180" s="81"/>
      <c r="J2180" s="81"/>
      <c r="K2180" s="81"/>
      <c r="L2180" s="81"/>
      <c r="M2180" s="81"/>
      <c r="N2180" s="81"/>
    </row>
    <row r="2181" spans="1:14" ht="14.25" customHeight="1" x14ac:dyDescent="0.25">
      <c r="A2181" s="103"/>
      <c r="B2181" s="100"/>
      <c r="C2181" s="101"/>
      <c r="D2181" s="140"/>
      <c r="E2181" s="107"/>
      <c r="F2181" s="109"/>
      <c r="G2181" s="81"/>
      <c r="H2181" s="81"/>
      <c r="I2181" s="81"/>
      <c r="J2181" s="81"/>
      <c r="K2181" s="81"/>
      <c r="L2181" s="81"/>
      <c r="M2181" s="81"/>
      <c r="N2181" s="81"/>
    </row>
    <row r="2182" spans="1:14" ht="14.25" customHeight="1" x14ac:dyDescent="0.25">
      <c r="A2182" s="103"/>
      <c r="B2182" s="100"/>
      <c r="C2182" s="107"/>
      <c r="D2182" s="107"/>
      <c r="E2182" s="108"/>
      <c r="F2182" s="109"/>
      <c r="G2182" s="81"/>
      <c r="H2182" s="81"/>
      <c r="I2182" s="81"/>
      <c r="J2182" s="81"/>
      <c r="K2182" s="81"/>
      <c r="L2182" s="81"/>
      <c r="M2182" s="81"/>
      <c r="N2182" s="81"/>
    </row>
    <row r="2183" spans="1:14" ht="14.25" customHeight="1" x14ac:dyDescent="0.25">
      <c r="A2183" s="97" t="s">
        <v>548</v>
      </c>
      <c r="B2183" s="98"/>
      <c r="C2183" s="110"/>
      <c r="D2183" s="110"/>
      <c r="E2183" s="111"/>
      <c r="F2183" s="112">
        <f>SUM(F2181:F2182)</f>
        <v>0</v>
      </c>
      <c r="G2183" s="81"/>
      <c r="H2183" s="81"/>
      <c r="I2183" s="81"/>
      <c r="J2183" s="81"/>
      <c r="K2183" s="81"/>
      <c r="L2183" s="81"/>
      <c r="M2183" s="81"/>
      <c r="N2183" s="81"/>
    </row>
    <row r="2184" spans="1:14" ht="14.25" customHeight="1" x14ac:dyDescent="0.25">
      <c r="A2184" s="88"/>
      <c r="B2184" s="89"/>
      <c r="C2184" s="113"/>
      <c r="D2184" s="113"/>
      <c r="E2184" s="114"/>
      <c r="F2184" s="113"/>
      <c r="G2184" s="81"/>
      <c r="H2184" s="81"/>
      <c r="I2184" s="81"/>
      <c r="J2184" s="81"/>
      <c r="K2184" s="81"/>
      <c r="L2184" s="81"/>
      <c r="M2184" s="81"/>
      <c r="N2184" s="81"/>
    </row>
    <row r="2185" spans="1:14" ht="14.25" customHeight="1" x14ac:dyDescent="0.25">
      <c r="A2185" s="88"/>
      <c r="B2185" s="89"/>
      <c r="C2185" s="113"/>
      <c r="D2185" s="113"/>
      <c r="E2185" s="114"/>
      <c r="F2185" s="113"/>
      <c r="G2185" s="81"/>
      <c r="H2185" s="81"/>
      <c r="I2185" s="81"/>
      <c r="J2185" s="81"/>
      <c r="K2185" s="81"/>
      <c r="L2185" s="81"/>
      <c r="M2185" s="81"/>
      <c r="N2185" s="81"/>
    </row>
    <row r="2186" spans="1:14" ht="14.25" customHeight="1" x14ac:dyDescent="0.25">
      <c r="A2186" s="612" t="s">
        <v>588</v>
      </c>
      <c r="B2186" s="608"/>
      <c r="C2186" s="608"/>
      <c r="D2186" s="608"/>
      <c r="E2186" s="609"/>
      <c r="F2186" s="131">
        <f>ROUND(F2160+F2169+F2177+F2183,0)</f>
        <v>84109</v>
      </c>
      <c r="G2186" s="81"/>
      <c r="H2186" s="117">
        <f>84109-F2186</f>
        <v>0</v>
      </c>
      <c r="I2186" s="81"/>
      <c r="J2186" s="81"/>
      <c r="K2186" s="81"/>
      <c r="L2186" s="81"/>
      <c r="M2186" s="81"/>
      <c r="N2186" s="81"/>
    </row>
    <row r="2187" spans="1:14" ht="14.25" customHeight="1" x14ac:dyDescent="0.25">
      <c r="A2187" s="612" t="s">
        <v>589</v>
      </c>
      <c r="B2187" s="608"/>
      <c r="C2187" s="608"/>
      <c r="D2187" s="608"/>
      <c r="E2187" s="609"/>
      <c r="F2187" s="132"/>
      <c r="G2187" s="81"/>
      <c r="H2187" s="81"/>
      <c r="I2187" s="81"/>
      <c r="J2187" s="81"/>
      <c r="K2187" s="81"/>
      <c r="L2187" s="81"/>
      <c r="M2187" s="81"/>
      <c r="N2187" s="81"/>
    </row>
    <row r="2188" spans="1:14" ht="14.25" customHeight="1" x14ac:dyDescent="0.25">
      <c r="A2188" s="146" t="s">
        <v>556</v>
      </c>
      <c r="B2188" s="147"/>
      <c r="C2188" s="147"/>
      <c r="D2188" s="147"/>
      <c r="E2188" s="148"/>
      <c r="F2188" s="133"/>
      <c r="G2188" s="81"/>
      <c r="H2188" s="81"/>
      <c r="I2188" s="81"/>
      <c r="J2188" s="81"/>
      <c r="K2188" s="81"/>
      <c r="L2188" s="81"/>
      <c r="M2188" s="81"/>
      <c r="N2188" s="81"/>
    </row>
    <row r="2189" spans="1:14" ht="14.25" customHeight="1" x14ac:dyDescent="0.25">
      <c r="A2189" s="134"/>
      <c r="B2189" s="135"/>
      <c r="C2189" s="135"/>
      <c r="D2189" s="135"/>
      <c r="E2189" s="135"/>
      <c r="F2189" s="136"/>
      <c r="G2189" s="81"/>
      <c r="H2189" s="81"/>
      <c r="I2189" s="81"/>
      <c r="J2189" s="81"/>
      <c r="K2189" s="81"/>
      <c r="L2189" s="81"/>
      <c r="M2189" s="81"/>
      <c r="N2189" s="81"/>
    </row>
    <row r="2190" spans="1:14" ht="14.25" customHeight="1" x14ac:dyDescent="0.25">
      <c r="A2190" s="81"/>
      <c r="B2190" s="81"/>
      <c r="C2190" s="137"/>
      <c r="D2190" s="81"/>
      <c r="E2190" s="81"/>
      <c r="F2190" s="81"/>
      <c r="G2190" s="81"/>
      <c r="H2190" s="81"/>
      <c r="I2190" s="81"/>
      <c r="J2190" s="81"/>
      <c r="K2190" s="81"/>
      <c r="L2190" s="81"/>
      <c r="M2190" s="81"/>
      <c r="N2190" s="81"/>
    </row>
    <row r="2191" spans="1:14" ht="14.25" customHeight="1" x14ac:dyDescent="0.25">
      <c r="A2191" s="81"/>
      <c r="B2191" s="81"/>
      <c r="C2191" s="137"/>
      <c r="D2191" s="81"/>
      <c r="E2191" s="81"/>
      <c r="F2191" s="81"/>
      <c r="G2191" s="81"/>
      <c r="H2191" s="81"/>
      <c r="I2191" s="81"/>
      <c r="J2191" s="81"/>
      <c r="K2191" s="81"/>
      <c r="L2191" s="81"/>
      <c r="M2191" s="81"/>
      <c r="N2191" s="81"/>
    </row>
    <row r="2192" spans="1:14" ht="14.25" customHeight="1" x14ac:dyDescent="0.25">
      <c r="A2192" s="81"/>
      <c r="B2192" s="81"/>
      <c r="C2192" s="137"/>
      <c r="D2192" s="81"/>
      <c r="E2192" s="81"/>
      <c r="F2192" s="81"/>
      <c r="G2192" s="81"/>
      <c r="H2192" s="81"/>
      <c r="I2192" s="81"/>
      <c r="J2192" s="81"/>
      <c r="K2192" s="81"/>
      <c r="L2192" s="81"/>
      <c r="M2192" s="81"/>
      <c r="N2192" s="81"/>
    </row>
    <row r="2193" spans="1:14" ht="14.25" customHeight="1" x14ac:dyDescent="0.25">
      <c r="A2193" s="81"/>
      <c r="B2193" s="81"/>
      <c r="C2193" s="137"/>
      <c r="D2193" s="81"/>
      <c r="E2193" s="81"/>
      <c r="F2193" s="81"/>
      <c r="G2193" s="81"/>
      <c r="H2193" s="81"/>
      <c r="I2193" s="81"/>
      <c r="J2193" s="81"/>
      <c r="K2193" s="81"/>
      <c r="L2193" s="81"/>
      <c r="M2193" s="81"/>
      <c r="N2193" s="81"/>
    </row>
    <row r="2194" spans="1:14" ht="14.25" customHeight="1" x14ac:dyDescent="0.25">
      <c r="A2194" s="81"/>
      <c r="B2194" s="81"/>
      <c r="C2194" s="137"/>
      <c r="D2194" s="81"/>
      <c r="E2194" s="81"/>
      <c r="F2194" s="81"/>
      <c r="G2194" s="81"/>
      <c r="H2194" s="81"/>
      <c r="I2194" s="81"/>
      <c r="J2194" s="81"/>
      <c r="K2194" s="81"/>
      <c r="L2194" s="81"/>
      <c r="M2194" s="81"/>
      <c r="N2194" s="81"/>
    </row>
    <row r="2195" spans="1:14" ht="14.25" customHeight="1" x14ac:dyDescent="0.25">
      <c r="A2195" s="81"/>
      <c r="B2195" s="81"/>
      <c r="C2195" s="137"/>
      <c r="D2195" s="81"/>
      <c r="E2195" s="81"/>
      <c r="F2195" s="81"/>
      <c r="G2195" s="81"/>
      <c r="H2195" s="81"/>
      <c r="I2195" s="81"/>
      <c r="J2195" s="81"/>
      <c r="K2195" s="81"/>
      <c r="L2195" s="81"/>
      <c r="M2195" s="81"/>
      <c r="N2195" s="81"/>
    </row>
    <row r="2196" spans="1:14" ht="14.25" customHeight="1" x14ac:dyDescent="0.25">
      <c r="A2196" s="134"/>
      <c r="B2196" s="135"/>
      <c r="C2196" s="135"/>
      <c r="D2196" s="135"/>
      <c r="E2196" s="135"/>
      <c r="F2196" s="136"/>
      <c r="G2196" s="81"/>
      <c r="H2196" s="81"/>
      <c r="I2196" s="81"/>
      <c r="J2196" s="81"/>
      <c r="K2196" s="81"/>
      <c r="L2196" s="81"/>
      <c r="M2196" s="81"/>
      <c r="N2196" s="81"/>
    </row>
    <row r="2197" spans="1:14" ht="14.25" customHeight="1" x14ac:dyDescent="0.25">
      <c r="A2197" s="134"/>
      <c r="B2197" s="135"/>
      <c r="C2197" s="135"/>
      <c r="D2197" s="135"/>
      <c r="E2197" s="135"/>
      <c r="F2197" s="136"/>
      <c r="G2197" s="81"/>
      <c r="H2197" s="81"/>
      <c r="I2197" s="81"/>
      <c r="J2197" s="81"/>
      <c r="K2197" s="81"/>
      <c r="L2197" s="81"/>
      <c r="M2197" s="81"/>
      <c r="N2197" s="81"/>
    </row>
    <row r="2198" spans="1:14" ht="14.25" customHeight="1" x14ac:dyDescent="0.25">
      <c r="A2198" s="134"/>
      <c r="B2198" s="135"/>
      <c r="C2198" s="135"/>
      <c r="D2198" s="135"/>
      <c r="E2198" s="135"/>
      <c r="F2198" s="136"/>
      <c r="G2198" s="81"/>
      <c r="H2198" s="81"/>
      <c r="I2198" s="81"/>
      <c r="J2198" s="81"/>
      <c r="K2198" s="81"/>
      <c r="L2198" s="81"/>
      <c r="M2198" s="81"/>
      <c r="N2198" s="81"/>
    </row>
    <row r="2199" spans="1:14" ht="14.25" customHeight="1" thickBot="1" x14ac:dyDescent="0.3">
      <c r="A2199" s="81"/>
      <c r="B2199" s="81"/>
      <c r="C2199" s="81"/>
      <c r="D2199" s="81"/>
      <c r="E2199" s="81"/>
      <c r="F2199" s="81"/>
      <c r="G2199" s="81"/>
      <c r="H2199" s="81"/>
      <c r="I2199" s="81"/>
      <c r="J2199" s="81"/>
      <c r="K2199" s="81"/>
      <c r="L2199" s="81"/>
      <c r="M2199" s="81"/>
      <c r="N2199" s="81"/>
    </row>
    <row r="2200" spans="1:14" ht="14.25" customHeight="1" x14ac:dyDescent="0.25">
      <c r="A2200" s="83"/>
      <c r="B2200" s="84"/>
      <c r="C2200" s="85"/>
      <c r="D2200" s="86"/>
      <c r="E2200" s="86"/>
      <c r="F2200" s="87"/>
      <c r="G2200" s="81"/>
      <c r="H2200" s="81"/>
      <c r="I2200" s="81"/>
      <c r="J2200" s="81"/>
      <c r="K2200" s="81"/>
      <c r="L2200" s="81"/>
      <c r="M2200" s="81"/>
      <c r="N2200" s="81"/>
    </row>
    <row r="2201" spans="1:14" ht="14.25" customHeight="1" x14ac:dyDescent="0.25">
      <c r="A2201" s="599"/>
      <c r="B2201" s="600"/>
      <c r="C2201" s="600"/>
      <c r="D2201" s="600"/>
      <c r="E2201" s="600"/>
      <c r="F2201" s="601"/>
      <c r="G2201" s="81"/>
      <c r="H2201" s="81"/>
      <c r="I2201" s="81"/>
      <c r="J2201" s="81"/>
      <c r="K2201" s="81"/>
      <c r="L2201" s="81"/>
      <c r="M2201" s="81"/>
      <c r="N2201" s="81"/>
    </row>
    <row r="2202" spans="1:14" ht="14.25" customHeight="1" x14ac:dyDescent="0.25">
      <c r="A2202" s="602" t="s">
        <v>561</v>
      </c>
      <c r="B2202" s="600"/>
      <c r="C2202" s="600"/>
      <c r="D2202" s="600"/>
      <c r="E2202" s="600"/>
      <c r="F2202" s="601"/>
      <c r="G2202" s="81"/>
      <c r="H2202" s="81"/>
      <c r="I2202" s="81"/>
      <c r="J2202" s="81"/>
      <c r="K2202" s="81"/>
      <c r="L2202" s="81"/>
      <c r="M2202" s="81"/>
      <c r="N2202" s="81"/>
    </row>
    <row r="2203" spans="1:14" ht="14.25" customHeight="1" thickBot="1" x14ac:dyDescent="0.3">
      <c r="A2203" s="603"/>
      <c r="B2203" s="604"/>
      <c r="C2203" s="604"/>
      <c r="D2203" s="604"/>
      <c r="E2203" s="604"/>
      <c r="F2203" s="605"/>
      <c r="G2203" s="81"/>
      <c r="H2203" s="81"/>
      <c r="I2203" s="81"/>
      <c r="J2203" s="81"/>
      <c r="K2203" s="81"/>
      <c r="L2203" s="81"/>
      <c r="M2203" s="81"/>
      <c r="N2203" s="81"/>
    </row>
    <row r="2204" spans="1:14" ht="14.25" customHeight="1" x14ac:dyDescent="0.25">
      <c r="A2204" s="88"/>
      <c r="B2204" s="88"/>
      <c r="C2204" s="89"/>
      <c r="D2204" s="89"/>
      <c r="E2204" s="89"/>
      <c r="F2204" s="89"/>
      <c r="G2204" s="81"/>
      <c r="H2204" s="81"/>
      <c r="I2204" s="81"/>
      <c r="J2204" s="81"/>
      <c r="K2204" s="81"/>
      <c r="L2204" s="81"/>
      <c r="M2204" s="81"/>
      <c r="N2204" s="81"/>
    </row>
    <row r="2205" spans="1:14" ht="22.5" customHeight="1" x14ac:dyDescent="0.25">
      <c r="A2205" s="90" t="s">
        <v>47</v>
      </c>
      <c r="B2205" s="613" t="s">
        <v>130</v>
      </c>
      <c r="C2205" s="600"/>
      <c r="D2205" s="600"/>
      <c r="E2205" s="600"/>
      <c r="F2205" s="600"/>
      <c r="G2205" s="81"/>
      <c r="H2205" s="81"/>
      <c r="I2205" s="81"/>
      <c r="J2205" s="81"/>
      <c r="K2205" s="81"/>
      <c r="L2205" s="81"/>
      <c r="M2205" s="81"/>
      <c r="N2205" s="81"/>
    </row>
    <row r="2206" spans="1:14" ht="14.25" customHeight="1" x14ac:dyDescent="0.25">
      <c r="A2206" s="91"/>
      <c r="B2206" s="91"/>
      <c r="C2206" s="91"/>
      <c r="D2206" s="91"/>
      <c r="E2206" s="91"/>
      <c r="F2206" s="91"/>
      <c r="G2206" s="81"/>
      <c r="H2206" s="81"/>
      <c r="I2206" s="81"/>
      <c r="J2206" s="81"/>
      <c r="K2206" s="81"/>
      <c r="L2206" s="81"/>
      <c r="M2206" s="81"/>
      <c r="N2206" s="81"/>
    </row>
    <row r="2207" spans="1:14" ht="14.25" customHeight="1" x14ac:dyDescent="0.25">
      <c r="A2207" s="88" t="s">
        <v>49</v>
      </c>
      <c r="B2207" s="92" t="s">
        <v>56</v>
      </c>
      <c r="C2207" s="89"/>
      <c r="D2207" s="89"/>
      <c r="E2207" s="89"/>
      <c r="F2207" s="93"/>
      <c r="G2207" s="81"/>
      <c r="H2207" s="81"/>
      <c r="I2207" s="81"/>
      <c r="J2207" s="81"/>
      <c r="K2207" s="81"/>
      <c r="L2207" s="81"/>
      <c r="M2207" s="81"/>
      <c r="N2207" s="81"/>
    </row>
    <row r="2208" spans="1:14" ht="14.25" customHeight="1" x14ac:dyDescent="0.25">
      <c r="A2208" s="88"/>
      <c r="B2208" s="94"/>
      <c r="C2208" s="89"/>
      <c r="D2208" s="89"/>
      <c r="E2208" s="89"/>
      <c r="F2208" s="93"/>
      <c r="G2208" s="81"/>
      <c r="H2208" s="81"/>
      <c r="I2208" s="81"/>
      <c r="J2208" s="81"/>
      <c r="K2208" s="81"/>
      <c r="L2208" s="81"/>
      <c r="M2208" s="81"/>
      <c r="N2208" s="81"/>
    </row>
    <row r="2209" spans="1:14" ht="14.25" customHeight="1" x14ac:dyDescent="0.25">
      <c r="A2209" s="95" t="s">
        <v>562</v>
      </c>
      <c r="B2209" s="96"/>
      <c r="C2209" s="92"/>
      <c r="D2209" s="92"/>
      <c r="E2209" s="92"/>
      <c r="F2209" s="92"/>
      <c r="G2209" s="81"/>
      <c r="H2209" s="81"/>
      <c r="I2209" s="81"/>
      <c r="J2209" s="81"/>
      <c r="K2209" s="81"/>
      <c r="L2209" s="81"/>
      <c r="M2209" s="81"/>
      <c r="N2209" s="81"/>
    </row>
    <row r="2210" spans="1:14" ht="14.25" customHeight="1" x14ac:dyDescent="0.25">
      <c r="A2210" s="97" t="s">
        <v>563</v>
      </c>
      <c r="B2210" s="98" t="s">
        <v>564</v>
      </c>
      <c r="C2210" s="98" t="s">
        <v>565</v>
      </c>
      <c r="D2210" s="98" t="s">
        <v>566</v>
      </c>
      <c r="E2210" s="98" t="s">
        <v>567</v>
      </c>
      <c r="F2210" s="98" t="s">
        <v>568</v>
      </c>
      <c r="G2210" s="81"/>
      <c r="H2210" s="81"/>
      <c r="I2210" s="81"/>
      <c r="J2210" s="81"/>
      <c r="K2210" s="81"/>
      <c r="L2210" s="81"/>
      <c r="M2210" s="81"/>
      <c r="N2210" s="81"/>
    </row>
    <row r="2211" spans="1:14" ht="21" customHeight="1" x14ac:dyDescent="0.25">
      <c r="A2211" s="99" t="s">
        <v>667</v>
      </c>
      <c r="B2211" s="100" t="s">
        <v>99</v>
      </c>
      <c r="C2211" s="101">
        <v>2980</v>
      </c>
      <c r="D2211" s="149">
        <v>12.5</v>
      </c>
      <c r="E2211" s="102">
        <v>0.05</v>
      </c>
      <c r="F2211" s="101">
        <f t="shared" ref="F2211:F2212" si="128">C2211*(D2211+(D2211*E2211))</f>
        <v>39112.5</v>
      </c>
      <c r="G2211" s="81"/>
      <c r="H2211" s="81"/>
      <c r="I2211" s="81"/>
      <c r="J2211" s="81"/>
      <c r="K2211" s="81"/>
      <c r="L2211" s="81"/>
      <c r="M2211" s="81"/>
      <c r="N2211" s="81"/>
    </row>
    <row r="2212" spans="1:14" ht="21" customHeight="1" x14ac:dyDescent="0.25">
      <c r="A2212" s="99" t="s">
        <v>662</v>
      </c>
      <c r="B2212" s="100" t="s">
        <v>64</v>
      </c>
      <c r="C2212" s="101">
        <v>373380</v>
      </c>
      <c r="D2212" s="149">
        <v>0.03</v>
      </c>
      <c r="E2212" s="102">
        <v>0.05</v>
      </c>
      <c r="F2212" s="101">
        <f t="shared" si="128"/>
        <v>11761.47</v>
      </c>
      <c r="G2212" s="81"/>
      <c r="H2212" s="81"/>
      <c r="I2212" s="81"/>
      <c r="J2212" s="81"/>
      <c r="K2212" s="81"/>
      <c r="L2212" s="81"/>
      <c r="M2212" s="81"/>
      <c r="N2212" s="81"/>
    </row>
    <row r="2213" spans="1:14" ht="14.25" customHeight="1" x14ac:dyDescent="0.25">
      <c r="A2213" s="99"/>
      <c r="B2213" s="100"/>
      <c r="C2213" s="101"/>
      <c r="D2213" s="149"/>
      <c r="E2213" s="102"/>
      <c r="F2213" s="101"/>
      <c r="G2213" s="81"/>
      <c r="H2213" s="81"/>
      <c r="I2213" s="81"/>
      <c r="J2213" s="81"/>
      <c r="K2213" s="81"/>
      <c r="L2213" s="81"/>
      <c r="M2213" s="81"/>
      <c r="N2213" s="81"/>
    </row>
    <row r="2214" spans="1:14" ht="14.25" customHeight="1" x14ac:dyDescent="0.25">
      <c r="A2214" s="99"/>
      <c r="B2214" s="100"/>
      <c r="C2214" s="101"/>
      <c r="D2214" s="149"/>
      <c r="E2214" s="102"/>
      <c r="F2214" s="101"/>
      <c r="G2214" s="81"/>
      <c r="H2214" s="81"/>
      <c r="I2214" s="81"/>
      <c r="J2214" s="81"/>
      <c r="K2214" s="81"/>
      <c r="L2214" s="81"/>
      <c r="M2214" s="81"/>
      <c r="N2214" s="81"/>
    </row>
    <row r="2215" spans="1:14" ht="14.25" customHeight="1" x14ac:dyDescent="0.25">
      <c r="A2215" s="99"/>
      <c r="B2215" s="100"/>
      <c r="C2215" s="101"/>
      <c r="D2215" s="104"/>
      <c r="E2215" s="102"/>
      <c r="F2215" s="101"/>
      <c r="G2215" s="81"/>
      <c r="H2215" s="81"/>
      <c r="I2215" s="81"/>
      <c r="J2215" s="81"/>
      <c r="K2215" s="81"/>
      <c r="L2215" s="81"/>
      <c r="M2215" s="81"/>
      <c r="N2215" s="81"/>
    </row>
    <row r="2216" spans="1:14" ht="14.25" customHeight="1" x14ac:dyDescent="0.25">
      <c r="A2216" s="99"/>
      <c r="B2216" s="100"/>
      <c r="C2216" s="101"/>
      <c r="D2216" s="104"/>
      <c r="E2216" s="102"/>
      <c r="F2216" s="101"/>
      <c r="G2216" s="81"/>
      <c r="H2216" s="81"/>
      <c r="I2216" s="81"/>
      <c r="J2216" s="81"/>
      <c r="K2216" s="81"/>
      <c r="L2216" s="81"/>
      <c r="M2216" s="81"/>
      <c r="N2216" s="81"/>
    </row>
    <row r="2217" spans="1:14" ht="14.25" customHeight="1" x14ac:dyDescent="0.25">
      <c r="A2217" s="99"/>
      <c r="B2217" s="100"/>
      <c r="C2217" s="106"/>
      <c r="D2217" s="107"/>
      <c r="E2217" s="108"/>
      <c r="F2217" s="106"/>
      <c r="G2217" s="81"/>
      <c r="H2217" s="81"/>
      <c r="I2217" s="81"/>
      <c r="J2217" s="81"/>
      <c r="K2217" s="81"/>
      <c r="L2217" s="81"/>
      <c r="M2217" s="81"/>
      <c r="N2217" s="81"/>
    </row>
    <row r="2218" spans="1:14" ht="14.25" customHeight="1" x14ac:dyDescent="0.25">
      <c r="A2218" s="97" t="s">
        <v>548</v>
      </c>
      <c r="B2218" s="97"/>
      <c r="C2218" s="109"/>
      <c r="D2218" s="110"/>
      <c r="E2218" s="111"/>
      <c r="F2218" s="112">
        <f>SUM(F2211:F2217)</f>
        <v>50873.97</v>
      </c>
      <c r="G2218" s="81"/>
      <c r="H2218" s="81"/>
      <c r="I2218" s="81"/>
      <c r="J2218" s="81"/>
      <c r="K2218" s="81"/>
      <c r="L2218" s="81"/>
      <c r="M2218" s="81"/>
      <c r="N2218" s="81"/>
    </row>
    <row r="2219" spans="1:14" ht="14.25" customHeight="1" x14ac:dyDescent="0.25">
      <c r="A2219" s="88"/>
      <c r="B2219" s="88"/>
      <c r="C2219" s="113"/>
      <c r="D2219" s="113"/>
      <c r="E2219" s="114"/>
      <c r="F2219" s="113"/>
      <c r="G2219" s="81"/>
      <c r="H2219" s="81"/>
      <c r="I2219" s="81"/>
      <c r="J2219" s="81"/>
      <c r="K2219" s="81"/>
      <c r="L2219" s="81"/>
      <c r="M2219" s="81"/>
      <c r="N2219" s="81"/>
    </row>
    <row r="2220" spans="1:14" ht="14.25" customHeight="1" x14ac:dyDescent="0.25">
      <c r="A2220" s="96" t="s">
        <v>573</v>
      </c>
      <c r="B2220" s="96"/>
      <c r="C2220" s="92"/>
      <c r="D2220" s="92"/>
      <c r="E2220" s="92"/>
      <c r="F2220" s="92"/>
      <c r="G2220" s="81"/>
      <c r="H2220" s="81"/>
      <c r="I2220" s="81"/>
      <c r="J2220" s="81"/>
      <c r="K2220" s="81"/>
      <c r="L2220" s="81"/>
      <c r="M2220" s="81"/>
      <c r="N2220" s="81"/>
    </row>
    <row r="2221" spans="1:14" ht="14.25" customHeight="1" x14ac:dyDescent="0.25">
      <c r="A2221" s="611" t="s">
        <v>563</v>
      </c>
      <c r="B2221" s="608"/>
      <c r="C2221" s="609"/>
      <c r="D2221" s="98" t="s">
        <v>574</v>
      </c>
      <c r="E2221" s="98" t="s">
        <v>575</v>
      </c>
      <c r="F2221" s="98" t="s">
        <v>568</v>
      </c>
      <c r="G2221" s="81"/>
      <c r="H2221" s="81"/>
      <c r="I2221" s="81"/>
      <c r="J2221" s="81"/>
      <c r="K2221" s="81"/>
      <c r="L2221" s="81"/>
      <c r="M2221" s="81"/>
      <c r="N2221" s="81"/>
    </row>
    <row r="2222" spans="1:14" ht="14.25" customHeight="1" x14ac:dyDescent="0.25">
      <c r="A2222" s="607" t="s">
        <v>577</v>
      </c>
      <c r="B2222" s="608"/>
      <c r="C2222" s="609"/>
      <c r="D2222" s="116"/>
      <c r="E2222" s="107"/>
      <c r="F2222" s="106">
        <v>225</v>
      </c>
      <c r="G2222" s="81"/>
      <c r="H2222" s="81"/>
      <c r="I2222" s="81"/>
      <c r="J2222" s="81"/>
      <c r="K2222" s="81"/>
      <c r="L2222" s="81"/>
      <c r="M2222" s="81"/>
      <c r="N2222" s="81"/>
    </row>
    <row r="2223" spans="1:14" ht="14.25" customHeight="1" x14ac:dyDescent="0.25">
      <c r="A2223" s="607" t="s">
        <v>657</v>
      </c>
      <c r="B2223" s="608"/>
      <c r="C2223" s="609"/>
      <c r="D2223" s="142">
        <v>1850</v>
      </c>
      <c r="E2223" s="107">
        <v>0.65</v>
      </c>
      <c r="F2223" s="106">
        <f>D2223/E2223</f>
        <v>2846.1538461538462</v>
      </c>
      <c r="G2223" s="81"/>
      <c r="H2223" s="81"/>
      <c r="I2223" s="81"/>
      <c r="J2223" s="81"/>
      <c r="K2223" s="81"/>
      <c r="L2223" s="81"/>
      <c r="M2223" s="81"/>
      <c r="N2223" s="81"/>
    </row>
    <row r="2224" spans="1:14" ht="14.25" customHeight="1" x14ac:dyDescent="0.25">
      <c r="A2224" s="607"/>
      <c r="B2224" s="608"/>
      <c r="C2224" s="609"/>
      <c r="D2224" s="142"/>
      <c r="E2224" s="105"/>
      <c r="F2224" s="106"/>
      <c r="G2224" s="81"/>
      <c r="H2224" s="81"/>
      <c r="I2224" s="81"/>
      <c r="J2224" s="81"/>
      <c r="K2224" s="81"/>
      <c r="L2224" s="81"/>
      <c r="M2224" s="81"/>
      <c r="N2224" s="81"/>
    </row>
    <row r="2225" spans="1:14" ht="14.25" customHeight="1" x14ac:dyDescent="0.25">
      <c r="A2225" s="607"/>
      <c r="B2225" s="608"/>
      <c r="C2225" s="609"/>
      <c r="D2225" s="142"/>
      <c r="E2225" s="107"/>
      <c r="F2225" s="106"/>
      <c r="G2225" s="81"/>
      <c r="H2225" s="81"/>
      <c r="I2225" s="81"/>
      <c r="J2225" s="81"/>
      <c r="K2225" s="81"/>
      <c r="L2225" s="81"/>
      <c r="M2225" s="81"/>
      <c r="N2225" s="81"/>
    </row>
    <row r="2226" spans="1:14" ht="14.25" customHeight="1" x14ac:dyDescent="0.25">
      <c r="A2226" s="610"/>
      <c r="B2226" s="608"/>
      <c r="C2226" s="609"/>
      <c r="D2226" s="115"/>
      <c r="E2226" s="107"/>
      <c r="F2226" s="106"/>
      <c r="G2226" s="81"/>
      <c r="H2226" s="81"/>
      <c r="I2226" s="81"/>
      <c r="J2226" s="81"/>
      <c r="K2226" s="81"/>
      <c r="L2226" s="81"/>
      <c r="M2226" s="81"/>
      <c r="N2226" s="81"/>
    </row>
    <row r="2227" spans="1:14" ht="14.25" customHeight="1" x14ac:dyDescent="0.25">
      <c r="A2227" s="611" t="s">
        <v>548</v>
      </c>
      <c r="B2227" s="608"/>
      <c r="C2227" s="609"/>
      <c r="D2227" s="110"/>
      <c r="E2227" s="110"/>
      <c r="F2227" s="112">
        <f>SUM(F2222:F2225)</f>
        <v>3071.1538461538462</v>
      </c>
      <c r="G2227" s="81"/>
      <c r="H2227" s="81"/>
      <c r="I2227" s="81"/>
      <c r="J2227" s="81"/>
      <c r="K2227" s="81"/>
      <c r="L2227" s="81"/>
      <c r="M2227" s="81"/>
      <c r="N2227" s="81"/>
    </row>
    <row r="2228" spans="1:14" ht="14.25" customHeight="1" x14ac:dyDescent="0.25">
      <c r="A2228" s="88"/>
      <c r="B2228" s="88"/>
      <c r="C2228" s="89"/>
      <c r="D2228" s="113"/>
      <c r="E2228" s="113"/>
      <c r="F2228" s="113"/>
      <c r="G2228" s="81"/>
      <c r="H2228" s="81"/>
      <c r="I2228" s="81"/>
      <c r="J2228" s="81"/>
      <c r="K2228" s="81"/>
      <c r="L2228" s="81"/>
      <c r="M2228" s="81"/>
      <c r="N2228" s="81"/>
    </row>
    <row r="2229" spans="1:14" ht="14.25" customHeight="1" x14ac:dyDescent="0.25">
      <c r="A2229" s="96" t="s">
        <v>578</v>
      </c>
      <c r="B2229" s="96"/>
      <c r="C2229" s="92"/>
      <c r="D2229" s="118"/>
      <c r="E2229" s="118"/>
      <c r="F2229" s="118"/>
      <c r="G2229" s="81"/>
      <c r="H2229" s="81"/>
      <c r="I2229" s="81"/>
      <c r="J2229" s="81"/>
      <c r="K2229" s="81"/>
      <c r="L2229" s="81"/>
      <c r="M2229" s="81"/>
      <c r="N2229" s="81"/>
    </row>
    <row r="2230" spans="1:14" ht="14.25" customHeight="1" x14ac:dyDescent="0.25">
      <c r="A2230" s="119" t="s">
        <v>563</v>
      </c>
      <c r="B2230" s="120" t="s">
        <v>579</v>
      </c>
      <c r="C2230" s="120" t="s">
        <v>580</v>
      </c>
      <c r="D2230" s="121" t="s">
        <v>581</v>
      </c>
      <c r="E2230" s="121" t="s">
        <v>575</v>
      </c>
      <c r="F2230" s="121" t="s">
        <v>568</v>
      </c>
      <c r="G2230" s="81"/>
      <c r="H2230" s="81"/>
      <c r="I2230" s="81"/>
      <c r="J2230" s="81"/>
      <c r="K2230" s="81"/>
      <c r="L2230" s="81"/>
      <c r="M2230" s="81"/>
      <c r="N2230" s="81"/>
    </row>
    <row r="2231" spans="1:14" ht="14.25" customHeight="1" x14ac:dyDescent="0.25">
      <c r="A2231" s="122" t="s">
        <v>593</v>
      </c>
      <c r="B2231" s="127">
        <v>1</v>
      </c>
      <c r="C2231" s="101">
        <v>32688</v>
      </c>
      <c r="D2231" s="101">
        <f t="shared" ref="D2231:D2232" si="129">+C2231*1.7</f>
        <v>55569.599999999999</v>
      </c>
      <c r="E2231" s="107">
        <v>10</v>
      </c>
      <c r="F2231" s="106">
        <f t="shared" ref="F2231:F2232" si="130">+B2231*(D2231)/E2231</f>
        <v>5556.96</v>
      </c>
      <c r="G2231" s="81"/>
      <c r="H2231" s="81"/>
      <c r="I2231" s="81"/>
      <c r="J2231" s="81"/>
      <c r="K2231" s="81"/>
      <c r="L2231" s="81"/>
      <c r="M2231" s="81"/>
      <c r="N2231" s="81"/>
    </row>
    <row r="2232" spans="1:14" ht="14.25" customHeight="1" x14ac:dyDescent="0.25">
      <c r="A2232" s="122" t="s">
        <v>594</v>
      </c>
      <c r="B2232" s="127">
        <v>1</v>
      </c>
      <c r="C2232" s="101">
        <v>52538</v>
      </c>
      <c r="D2232" s="101">
        <f t="shared" si="129"/>
        <v>89314.599999999991</v>
      </c>
      <c r="E2232" s="107">
        <f>E2231</f>
        <v>10</v>
      </c>
      <c r="F2232" s="106">
        <f t="shared" si="130"/>
        <v>8931.4599999999991</v>
      </c>
      <c r="G2232" s="81"/>
      <c r="H2232" s="81"/>
      <c r="I2232" s="81"/>
      <c r="J2232" s="81"/>
      <c r="K2232" s="81"/>
      <c r="L2232" s="81"/>
      <c r="M2232" s="81"/>
      <c r="N2232" s="81"/>
    </row>
    <row r="2233" spans="1:14" ht="14.25" customHeight="1" x14ac:dyDescent="0.25">
      <c r="A2233" s="122"/>
      <c r="B2233" s="127"/>
      <c r="C2233" s="101"/>
      <c r="D2233" s="101"/>
      <c r="E2233" s="105"/>
      <c r="F2233" s="106"/>
      <c r="G2233" s="81"/>
      <c r="H2233" s="81"/>
      <c r="I2233" s="81"/>
      <c r="J2233" s="81"/>
      <c r="K2233" s="81"/>
      <c r="L2233" s="81"/>
      <c r="M2233" s="81"/>
      <c r="N2233" s="81"/>
    </row>
    <row r="2234" spans="1:14" ht="14.25" customHeight="1" x14ac:dyDescent="0.25">
      <c r="A2234" s="122"/>
      <c r="B2234" s="127"/>
      <c r="C2234" s="101"/>
      <c r="D2234" s="101"/>
      <c r="E2234" s="125"/>
      <c r="F2234" s="106"/>
      <c r="G2234" s="81"/>
      <c r="H2234" s="81"/>
      <c r="I2234" s="81"/>
      <c r="J2234" s="81"/>
      <c r="K2234" s="81"/>
      <c r="L2234" s="81"/>
      <c r="M2234" s="81"/>
      <c r="N2234" s="81"/>
    </row>
    <row r="2235" spans="1:14" ht="14.25" customHeight="1" x14ac:dyDescent="0.25">
      <c r="A2235" s="97" t="s">
        <v>548</v>
      </c>
      <c r="B2235" s="128"/>
      <c r="C2235" s="110"/>
      <c r="D2235" s="110"/>
      <c r="E2235" s="110"/>
      <c r="F2235" s="112">
        <f>SUM(F2231:F2234)</f>
        <v>14488.419999999998</v>
      </c>
      <c r="G2235" s="81"/>
      <c r="H2235" s="81"/>
      <c r="I2235" s="81"/>
      <c r="J2235" s="81"/>
      <c r="K2235" s="81"/>
      <c r="L2235" s="81"/>
      <c r="M2235" s="81"/>
      <c r="N2235" s="81"/>
    </row>
    <row r="2236" spans="1:14" ht="14.25" customHeight="1" x14ac:dyDescent="0.25">
      <c r="A2236" s="96"/>
      <c r="B2236" s="129"/>
      <c r="C2236" s="118"/>
      <c r="D2236" s="118"/>
      <c r="E2236" s="118"/>
      <c r="F2236" s="118"/>
      <c r="G2236" s="81"/>
      <c r="H2236" s="81"/>
      <c r="I2236" s="81"/>
      <c r="J2236" s="81"/>
      <c r="K2236" s="81"/>
      <c r="L2236" s="81"/>
      <c r="M2236" s="81"/>
      <c r="N2236" s="81"/>
    </row>
    <row r="2237" spans="1:14" ht="14.25" customHeight="1" x14ac:dyDescent="0.25">
      <c r="A2237" s="95" t="s">
        <v>583</v>
      </c>
      <c r="B2237" s="96"/>
      <c r="C2237" s="92"/>
      <c r="D2237" s="92"/>
      <c r="E2237" s="92" t="s">
        <v>584</v>
      </c>
      <c r="F2237" s="92"/>
      <c r="G2237" s="81"/>
      <c r="H2237" s="81"/>
      <c r="I2237" s="81"/>
      <c r="J2237" s="81"/>
      <c r="K2237" s="81"/>
      <c r="L2237" s="81"/>
      <c r="M2237" s="81"/>
      <c r="N2237" s="81"/>
    </row>
    <row r="2238" spans="1:14" ht="14.25" customHeight="1" x14ac:dyDescent="0.25">
      <c r="A2238" s="97" t="s">
        <v>563</v>
      </c>
      <c r="B2238" s="98" t="s">
        <v>564</v>
      </c>
      <c r="C2238" s="98" t="s">
        <v>585</v>
      </c>
      <c r="D2238" s="98" t="s">
        <v>586</v>
      </c>
      <c r="E2238" s="120" t="s">
        <v>587</v>
      </c>
      <c r="F2238" s="98" t="s">
        <v>568</v>
      </c>
      <c r="G2238" s="81"/>
      <c r="H2238" s="81"/>
      <c r="I2238" s="81"/>
      <c r="J2238" s="81"/>
      <c r="K2238" s="81"/>
      <c r="L2238" s="81"/>
      <c r="M2238" s="81"/>
      <c r="N2238" s="81"/>
    </row>
    <row r="2239" spans="1:14" ht="14.25" customHeight="1" x14ac:dyDescent="0.25">
      <c r="A2239" s="103"/>
      <c r="B2239" s="100"/>
      <c r="C2239" s="101"/>
      <c r="D2239" s="140"/>
      <c r="E2239" s="107"/>
      <c r="F2239" s="109"/>
      <c r="G2239" s="81"/>
      <c r="H2239" s="81"/>
      <c r="I2239" s="81"/>
      <c r="J2239" s="81"/>
      <c r="K2239" s="81"/>
      <c r="L2239" s="81"/>
      <c r="M2239" s="81"/>
      <c r="N2239" s="81"/>
    </row>
    <row r="2240" spans="1:14" ht="14.25" customHeight="1" x14ac:dyDescent="0.25">
      <c r="A2240" s="103"/>
      <c r="B2240" s="100"/>
      <c r="C2240" s="107"/>
      <c r="D2240" s="107"/>
      <c r="E2240" s="108"/>
      <c r="F2240" s="109"/>
      <c r="G2240" s="81"/>
      <c r="H2240" s="81"/>
      <c r="I2240" s="81"/>
      <c r="J2240" s="81"/>
      <c r="K2240" s="81"/>
      <c r="L2240" s="81"/>
      <c r="M2240" s="81"/>
      <c r="N2240" s="81"/>
    </row>
    <row r="2241" spans="1:14" ht="14.25" customHeight="1" x14ac:dyDescent="0.25">
      <c r="A2241" s="97" t="s">
        <v>548</v>
      </c>
      <c r="B2241" s="98"/>
      <c r="C2241" s="110"/>
      <c r="D2241" s="110"/>
      <c r="E2241" s="111"/>
      <c r="F2241" s="112">
        <f>SUM(F2239:F2240)</f>
        <v>0</v>
      </c>
      <c r="G2241" s="81"/>
      <c r="H2241" s="81"/>
      <c r="I2241" s="81"/>
      <c r="J2241" s="81"/>
      <c r="K2241" s="81"/>
      <c r="L2241" s="81"/>
      <c r="M2241" s="81"/>
      <c r="N2241" s="81"/>
    </row>
    <row r="2242" spans="1:14" ht="14.25" customHeight="1" x14ac:dyDescent="0.25">
      <c r="A2242" s="88"/>
      <c r="B2242" s="89"/>
      <c r="C2242" s="113"/>
      <c r="D2242" s="113"/>
      <c r="E2242" s="114"/>
      <c r="F2242" s="113"/>
      <c r="G2242" s="81"/>
      <c r="H2242" s="81"/>
      <c r="I2242" s="81"/>
      <c r="J2242" s="81"/>
      <c r="K2242" s="81"/>
      <c r="L2242" s="81"/>
      <c r="M2242" s="81"/>
      <c r="N2242" s="81"/>
    </row>
    <row r="2243" spans="1:14" ht="14.25" customHeight="1" x14ac:dyDescent="0.25">
      <c r="A2243" s="88"/>
      <c r="B2243" s="89"/>
      <c r="C2243" s="113"/>
      <c r="D2243" s="113"/>
      <c r="E2243" s="114"/>
      <c r="F2243" s="113"/>
      <c r="G2243" s="81"/>
      <c r="H2243" s="81"/>
      <c r="I2243" s="81"/>
      <c r="J2243" s="81"/>
      <c r="K2243" s="81"/>
      <c r="L2243" s="81"/>
      <c r="M2243" s="81"/>
      <c r="N2243" s="81"/>
    </row>
    <row r="2244" spans="1:14" ht="14.25" customHeight="1" x14ac:dyDescent="0.25">
      <c r="A2244" s="612" t="s">
        <v>588</v>
      </c>
      <c r="B2244" s="608"/>
      <c r="C2244" s="608"/>
      <c r="D2244" s="608"/>
      <c r="E2244" s="609"/>
      <c r="F2244" s="131">
        <f>ROUND(F2218+F2227+F2235+F2241,0)</f>
        <v>68434</v>
      </c>
      <c r="G2244" s="81"/>
      <c r="H2244" s="117">
        <f>68434-F2244</f>
        <v>0</v>
      </c>
      <c r="I2244" s="81"/>
      <c r="J2244" s="81"/>
      <c r="K2244" s="81"/>
      <c r="L2244" s="81"/>
      <c r="M2244" s="81"/>
      <c r="N2244" s="81"/>
    </row>
    <row r="2245" spans="1:14" ht="14.25" customHeight="1" x14ac:dyDescent="0.25">
      <c r="A2245" s="612" t="s">
        <v>589</v>
      </c>
      <c r="B2245" s="608"/>
      <c r="C2245" s="608"/>
      <c r="D2245" s="608"/>
      <c r="E2245" s="609"/>
      <c r="F2245" s="132"/>
      <c r="G2245" s="81"/>
      <c r="H2245" s="81"/>
      <c r="I2245" s="81"/>
      <c r="J2245" s="81"/>
      <c r="K2245" s="81"/>
      <c r="L2245" s="81"/>
      <c r="M2245" s="81"/>
      <c r="N2245" s="81"/>
    </row>
    <row r="2246" spans="1:14" ht="14.25" customHeight="1" x14ac:dyDescent="0.25">
      <c r="A2246" s="146" t="s">
        <v>556</v>
      </c>
      <c r="B2246" s="147"/>
      <c r="C2246" s="147"/>
      <c r="D2246" s="147"/>
      <c r="E2246" s="148"/>
      <c r="F2246" s="133"/>
      <c r="G2246" s="81"/>
      <c r="H2246" s="81"/>
      <c r="I2246" s="81"/>
      <c r="J2246" s="81"/>
      <c r="K2246" s="81"/>
      <c r="L2246" s="81"/>
      <c r="M2246" s="81"/>
      <c r="N2246" s="81"/>
    </row>
    <row r="2247" spans="1:14" ht="14.25" customHeight="1" x14ac:dyDescent="0.25">
      <c r="A2247" s="134"/>
      <c r="B2247" s="135"/>
      <c r="C2247" s="135"/>
      <c r="D2247" s="135"/>
      <c r="E2247" s="135"/>
      <c r="F2247" s="136"/>
      <c r="G2247" s="81"/>
      <c r="H2247" s="81"/>
      <c r="I2247" s="81"/>
      <c r="J2247" s="81"/>
      <c r="K2247" s="81"/>
      <c r="L2247" s="81"/>
      <c r="M2247" s="81"/>
      <c r="N2247" s="81"/>
    </row>
    <row r="2248" spans="1:14" ht="14.25" customHeight="1" x14ac:dyDescent="0.25">
      <c r="A2248" s="81"/>
      <c r="B2248" s="81"/>
      <c r="C2248" s="137"/>
      <c r="D2248" s="81"/>
      <c r="E2248" s="81"/>
      <c r="F2248" s="81"/>
      <c r="G2248" s="81"/>
      <c r="H2248" s="81"/>
      <c r="I2248" s="81"/>
      <c r="J2248" s="81"/>
      <c r="K2248" s="81"/>
      <c r="L2248" s="81"/>
      <c r="M2248" s="81"/>
      <c r="N2248" s="81"/>
    </row>
    <row r="2249" spans="1:14" ht="14.25" customHeight="1" x14ac:dyDescent="0.25">
      <c r="A2249" s="81"/>
      <c r="B2249" s="81"/>
      <c r="C2249" s="137"/>
      <c r="D2249" s="81"/>
      <c r="E2249" s="81"/>
      <c r="F2249" s="81"/>
      <c r="G2249" s="81"/>
      <c r="H2249" s="81"/>
      <c r="I2249" s="81"/>
      <c r="J2249" s="81"/>
      <c r="K2249" s="81"/>
      <c r="L2249" s="81"/>
      <c r="M2249" s="81"/>
      <c r="N2249" s="81"/>
    </row>
    <row r="2250" spans="1:14" ht="14.25" customHeight="1" x14ac:dyDescent="0.25">
      <c r="A2250" s="81"/>
      <c r="B2250" s="81"/>
      <c r="C2250" s="137"/>
      <c r="D2250" s="81"/>
      <c r="E2250" s="81"/>
      <c r="F2250" s="81"/>
      <c r="G2250" s="81"/>
      <c r="H2250" s="81"/>
      <c r="I2250" s="81"/>
      <c r="J2250" s="81"/>
      <c r="K2250" s="81"/>
      <c r="L2250" s="81"/>
      <c r="M2250" s="81"/>
      <c r="N2250" s="81"/>
    </row>
    <row r="2251" spans="1:14" ht="14.25" customHeight="1" x14ac:dyDescent="0.25">
      <c r="A2251" s="81"/>
      <c r="B2251" s="81"/>
      <c r="C2251" s="137"/>
      <c r="D2251" s="81"/>
      <c r="E2251" s="81"/>
      <c r="F2251" s="81"/>
      <c r="G2251" s="81"/>
      <c r="H2251" s="81"/>
      <c r="I2251" s="81"/>
      <c r="J2251" s="81"/>
      <c r="K2251" s="81"/>
      <c r="L2251" s="81"/>
      <c r="M2251" s="81"/>
      <c r="N2251" s="81"/>
    </row>
    <row r="2252" spans="1:14" ht="14.25" customHeight="1" x14ac:dyDescent="0.25">
      <c r="A2252" s="81"/>
      <c r="B2252" s="81"/>
      <c r="C2252" s="137"/>
      <c r="D2252" s="81"/>
      <c r="E2252" s="81"/>
      <c r="F2252" s="81"/>
      <c r="G2252" s="81"/>
      <c r="H2252" s="81"/>
      <c r="I2252" s="81"/>
      <c r="J2252" s="81"/>
      <c r="K2252" s="81"/>
      <c r="L2252" s="81"/>
      <c r="M2252" s="81"/>
      <c r="N2252" s="81"/>
    </row>
    <row r="2253" spans="1:14" ht="14.25" customHeight="1" x14ac:dyDescent="0.25">
      <c r="A2253" s="81"/>
      <c r="B2253" s="81"/>
      <c r="C2253" s="137"/>
      <c r="D2253" s="81"/>
      <c r="E2253" s="81"/>
      <c r="F2253" s="81"/>
      <c r="G2253" s="81"/>
      <c r="H2253" s="81"/>
      <c r="I2253" s="81"/>
      <c r="J2253" s="81"/>
      <c r="K2253" s="81"/>
      <c r="L2253" s="81"/>
      <c r="M2253" s="81"/>
      <c r="N2253" s="81"/>
    </row>
    <row r="2254" spans="1:14" ht="14.25" customHeight="1" x14ac:dyDescent="0.25">
      <c r="A2254" s="134"/>
      <c r="B2254" s="135"/>
      <c r="C2254" s="135"/>
      <c r="D2254" s="135"/>
      <c r="E2254" s="135"/>
      <c r="F2254" s="136"/>
      <c r="G2254" s="81"/>
      <c r="H2254" s="81"/>
      <c r="I2254" s="81"/>
      <c r="J2254" s="81"/>
      <c r="K2254" s="81"/>
      <c r="L2254" s="81"/>
      <c r="M2254" s="81"/>
      <c r="N2254" s="81"/>
    </row>
    <row r="2255" spans="1:14" ht="14.25" customHeight="1" x14ac:dyDescent="0.25">
      <c r="A2255" s="134"/>
      <c r="B2255" s="135"/>
      <c r="C2255" s="135"/>
      <c r="D2255" s="135"/>
      <c r="E2255" s="135"/>
      <c r="F2255" s="136"/>
      <c r="G2255" s="81"/>
      <c r="H2255" s="81"/>
      <c r="I2255" s="81"/>
      <c r="J2255" s="81"/>
      <c r="K2255" s="81"/>
      <c r="L2255" s="81"/>
      <c r="M2255" s="81"/>
      <c r="N2255" s="81"/>
    </row>
    <row r="2256" spans="1:14" ht="14.25" customHeight="1" x14ac:dyDescent="0.25">
      <c r="A2256" s="134"/>
      <c r="B2256" s="135"/>
      <c r="C2256" s="135"/>
      <c r="D2256" s="135"/>
      <c r="E2256" s="135"/>
      <c r="F2256" s="136"/>
      <c r="G2256" s="81"/>
      <c r="H2256" s="81"/>
      <c r="I2256" s="81"/>
      <c r="J2256" s="81"/>
      <c r="K2256" s="81"/>
      <c r="L2256" s="81"/>
      <c r="M2256" s="81"/>
      <c r="N2256" s="81"/>
    </row>
    <row r="2257" spans="1:14" ht="14.25" customHeight="1" thickBot="1" x14ac:dyDescent="0.3">
      <c r="A2257" s="81"/>
      <c r="B2257" s="81"/>
      <c r="C2257" s="81"/>
      <c r="D2257" s="81"/>
      <c r="E2257" s="81"/>
      <c r="F2257" s="81"/>
      <c r="G2257" s="81"/>
      <c r="H2257" s="81"/>
      <c r="I2257" s="81"/>
      <c r="J2257" s="81"/>
      <c r="K2257" s="81"/>
      <c r="L2257" s="81"/>
      <c r="M2257" s="81"/>
      <c r="N2257" s="81"/>
    </row>
    <row r="2258" spans="1:14" ht="14.25" customHeight="1" x14ac:dyDescent="0.25">
      <c r="A2258" s="83"/>
      <c r="B2258" s="84"/>
      <c r="C2258" s="85"/>
      <c r="D2258" s="86"/>
      <c r="E2258" s="86"/>
      <c r="F2258" s="87"/>
      <c r="G2258" s="81"/>
      <c r="H2258" s="81"/>
      <c r="I2258" s="81"/>
      <c r="J2258" s="81"/>
      <c r="K2258" s="81"/>
      <c r="L2258" s="81"/>
      <c r="M2258" s="81"/>
      <c r="N2258" s="81"/>
    </row>
    <row r="2259" spans="1:14" ht="14.25" customHeight="1" x14ac:dyDescent="0.25">
      <c r="A2259" s="599"/>
      <c r="B2259" s="600"/>
      <c r="C2259" s="600"/>
      <c r="D2259" s="600"/>
      <c r="E2259" s="600"/>
      <c r="F2259" s="601"/>
      <c r="G2259" s="81"/>
      <c r="H2259" s="81"/>
      <c r="I2259" s="81"/>
      <c r="J2259" s="81"/>
      <c r="K2259" s="81"/>
      <c r="L2259" s="81"/>
      <c r="M2259" s="81"/>
      <c r="N2259" s="81"/>
    </row>
    <row r="2260" spans="1:14" ht="14.25" customHeight="1" x14ac:dyDescent="0.25">
      <c r="A2260" s="602" t="s">
        <v>561</v>
      </c>
      <c r="B2260" s="600"/>
      <c r="C2260" s="600"/>
      <c r="D2260" s="600"/>
      <c r="E2260" s="600"/>
      <c r="F2260" s="601"/>
      <c r="G2260" s="81"/>
      <c r="H2260" s="81"/>
      <c r="I2260" s="81"/>
      <c r="J2260" s="81"/>
      <c r="K2260" s="81"/>
      <c r="L2260" s="81"/>
      <c r="M2260" s="81"/>
      <c r="N2260" s="81"/>
    </row>
    <row r="2261" spans="1:14" ht="14.25" customHeight="1" thickBot="1" x14ac:dyDescent="0.3">
      <c r="A2261" s="603"/>
      <c r="B2261" s="604"/>
      <c r="C2261" s="604"/>
      <c r="D2261" s="604"/>
      <c r="E2261" s="604"/>
      <c r="F2261" s="605"/>
      <c r="G2261" s="81"/>
      <c r="H2261" s="81"/>
      <c r="I2261" s="81"/>
      <c r="J2261" s="81"/>
      <c r="K2261" s="81"/>
      <c r="L2261" s="81"/>
      <c r="M2261" s="81"/>
      <c r="N2261" s="81"/>
    </row>
    <row r="2262" spans="1:14" ht="14.25" customHeight="1" x14ac:dyDescent="0.25">
      <c r="A2262" s="88"/>
      <c r="B2262" s="88"/>
      <c r="C2262" s="89"/>
      <c r="D2262" s="89"/>
      <c r="E2262" s="89"/>
      <c r="F2262" s="89"/>
      <c r="G2262" s="81"/>
      <c r="H2262" s="81"/>
      <c r="I2262" s="81"/>
      <c r="J2262" s="81"/>
      <c r="K2262" s="81"/>
      <c r="L2262" s="81"/>
      <c r="M2262" s="81"/>
      <c r="N2262" s="81"/>
    </row>
    <row r="2263" spans="1:14" ht="14.25" customHeight="1" x14ac:dyDescent="0.25">
      <c r="A2263" s="90" t="s">
        <v>47</v>
      </c>
      <c r="B2263" s="613" t="s">
        <v>134</v>
      </c>
      <c r="C2263" s="600"/>
      <c r="D2263" s="600"/>
      <c r="E2263" s="600"/>
      <c r="F2263" s="600"/>
      <c r="G2263" s="81"/>
      <c r="H2263" s="81"/>
      <c r="I2263" s="81"/>
      <c r="J2263" s="81"/>
      <c r="K2263" s="81"/>
      <c r="L2263" s="81"/>
      <c r="M2263" s="81"/>
      <c r="N2263" s="81"/>
    </row>
    <row r="2264" spans="1:14" ht="14.25" customHeight="1" x14ac:dyDescent="0.25">
      <c r="A2264" s="91"/>
      <c r="B2264" s="91"/>
      <c r="C2264" s="91"/>
      <c r="D2264" s="91"/>
      <c r="E2264" s="91"/>
      <c r="F2264" s="91"/>
      <c r="G2264" s="81"/>
      <c r="H2264" s="81"/>
      <c r="I2264" s="81"/>
      <c r="J2264" s="81"/>
      <c r="K2264" s="81"/>
      <c r="L2264" s="81"/>
      <c r="M2264" s="81"/>
      <c r="N2264" s="81"/>
    </row>
    <row r="2265" spans="1:14" ht="14.25" customHeight="1" x14ac:dyDescent="0.25">
      <c r="A2265" s="88" t="s">
        <v>49</v>
      </c>
      <c r="B2265" s="92" t="s">
        <v>56</v>
      </c>
      <c r="C2265" s="89"/>
      <c r="D2265" s="89"/>
      <c r="E2265" s="89"/>
      <c r="F2265" s="93"/>
      <c r="G2265" s="81"/>
      <c r="H2265" s="81"/>
      <c r="I2265" s="81"/>
      <c r="J2265" s="81"/>
      <c r="K2265" s="81"/>
      <c r="L2265" s="81"/>
      <c r="M2265" s="81"/>
      <c r="N2265" s="81"/>
    </row>
    <row r="2266" spans="1:14" ht="14.25" customHeight="1" x14ac:dyDescent="0.25">
      <c r="A2266" s="88"/>
      <c r="B2266" s="94"/>
      <c r="C2266" s="89"/>
      <c r="D2266" s="89"/>
      <c r="E2266" s="89"/>
      <c r="F2266" s="93"/>
      <c r="G2266" s="81"/>
      <c r="H2266" s="81"/>
      <c r="I2266" s="81"/>
      <c r="J2266" s="81"/>
      <c r="K2266" s="81"/>
      <c r="L2266" s="81"/>
      <c r="M2266" s="81"/>
      <c r="N2266" s="81"/>
    </row>
    <row r="2267" spans="1:14" ht="14.25" customHeight="1" x14ac:dyDescent="0.25">
      <c r="A2267" s="95" t="s">
        <v>562</v>
      </c>
      <c r="B2267" s="96"/>
      <c r="C2267" s="92"/>
      <c r="D2267" s="92"/>
      <c r="E2267" s="92"/>
      <c r="F2267" s="92"/>
      <c r="G2267" s="81"/>
      <c r="H2267" s="81"/>
      <c r="I2267" s="81"/>
      <c r="J2267" s="81"/>
      <c r="K2267" s="81"/>
      <c r="L2267" s="81"/>
      <c r="M2267" s="81"/>
      <c r="N2267" s="81"/>
    </row>
    <row r="2268" spans="1:14" ht="14.25" customHeight="1" x14ac:dyDescent="0.25">
      <c r="A2268" s="97" t="s">
        <v>563</v>
      </c>
      <c r="B2268" s="98" t="s">
        <v>564</v>
      </c>
      <c r="C2268" s="98" t="s">
        <v>565</v>
      </c>
      <c r="D2268" s="98" t="s">
        <v>566</v>
      </c>
      <c r="E2268" s="98" t="s">
        <v>567</v>
      </c>
      <c r="F2268" s="98" t="s">
        <v>568</v>
      </c>
      <c r="G2268" s="81"/>
      <c r="H2268" s="81"/>
      <c r="I2268" s="81"/>
      <c r="J2268" s="81"/>
      <c r="K2268" s="81"/>
      <c r="L2268" s="81"/>
      <c r="M2268" s="81"/>
      <c r="N2268" s="81"/>
    </row>
    <row r="2269" spans="1:14" ht="14.25" customHeight="1" x14ac:dyDescent="0.25">
      <c r="A2269" s="99" t="s">
        <v>662</v>
      </c>
      <c r="B2269" s="100" t="s">
        <v>64</v>
      </c>
      <c r="C2269" s="101">
        <v>373380</v>
      </c>
      <c r="D2269" s="149">
        <v>1.4999999999999999E-2</v>
      </c>
      <c r="E2269" s="102">
        <v>0.05</v>
      </c>
      <c r="F2269" s="101">
        <f>C2269*(D2269+(D2269*E2269))</f>
        <v>5880.7349999999997</v>
      </c>
      <c r="G2269" s="81"/>
      <c r="H2269" s="81"/>
      <c r="I2269" s="81"/>
      <c r="J2269" s="81"/>
      <c r="K2269" s="81"/>
      <c r="L2269" s="81"/>
      <c r="M2269" s="81"/>
      <c r="N2269" s="81"/>
    </row>
    <row r="2270" spans="1:14" ht="14.25" customHeight="1" x14ac:dyDescent="0.25">
      <c r="A2270" s="99"/>
      <c r="B2270" s="100"/>
      <c r="C2270" s="101"/>
      <c r="D2270" s="149"/>
      <c r="E2270" s="102"/>
      <c r="F2270" s="101"/>
      <c r="G2270" s="81"/>
      <c r="H2270" s="81"/>
      <c r="I2270" s="81"/>
      <c r="J2270" s="81"/>
      <c r="K2270" s="81"/>
      <c r="L2270" s="81"/>
      <c r="M2270" s="81"/>
      <c r="N2270" s="81"/>
    </row>
    <row r="2271" spans="1:14" ht="14.25" customHeight="1" x14ac:dyDescent="0.25">
      <c r="A2271" s="99"/>
      <c r="B2271" s="100"/>
      <c r="C2271" s="101"/>
      <c r="D2271" s="149"/>
      <c r="E2271" s="102"/>
      <c r="F2271" s="101"/>
      <c r="G2271" s="81"/>
      <c r="H2271" s="81"/>
      <c r="I2271" s="81"/>
      <c r="J2271" s="81"/>
      <c r="K2271" s="81"/>
      <c r="L2271" s="81"/>
      <c r="M2271" s="81"/>
      <c r="N2271" s="81"/>
    </row>
    <row r="2272" spans="1:14" ht="14.25" customHeight="1" x14ac:dyDescent="0.25">
      <c r="A2272" s="99"/>
      <c r="B2272" s="100"/>
      <c r="C2272" s="101"/>
      <c r="D2272" s="104"/>
      <c r="E2272" s="102"/>
      <c r="F2272" s="101"/>
      <c r="G2272" s="81"/>
      <c r="H2272" s="81"/>
      <c r="I2272" s="81"/>
      <c r="J2272" s="81"/>
      <c r="K2272" s="81"/>
      <c r="L2272" s="81"/>
      <c r="M2272" s="81"/>
      <c r="N2272" s="81"/>
    </row>
    <row r="2273" spans="1:14" ht="14.25" customHeight="1" x14ac:dyDescent="0.25">
      <c r="A2273" s="99"/>
      <c r="B2273" s="100"/>
      <c r="C2273" s="101"/>
      <c r="D2273" s="104"/>
      <c r="E2273" s="102"/>
      <c r="F2273" s="101"/>
      <c r="G2273" s="81"/>
      <c r="H2273" s="81"/>
      <c r="I2273" s="81"/>
      <c r="J2273" s="81"/>
      <c r="K2273" s="81"/>
      <c r="L2273" s="81"/>
      <c r="M2273" s="81"/>
      <c r="N2273" s="81"/>
    </row>
    <row r="2274" spans="1:14" ht="14.25" customHeight="1" x14ac:dyDescent="0.25">
      <c r="A2274" s="99"/>
      <c r="B2274" s="100"/>
      <c r="C2274" s="106"/>
      <c r="D2274" s="107"/>
      <c r="E2274" s="108"/>
      <c r="F2274" s="106"/>
      <c r="G2274" s="81"/>
      <c r="H2274" s="81"/>
      <c r="I2274" s="81"/>
      <c r="J2274" s="81"/>
      <c r="K2274" s="81"/>
      <c r="L2274" s="81"/>
      <c r="M2274" s="81"/>
      <c r="N2274" s="81"/>
    </row>
    <row r="2275" spans="1:14" ht="14.25" customHeight="1" x14ac:dyDescent="0.25">
      <c r="A2275" s="97" t="s">
        <v>548</v>
      </c>
      <c r="B2275" s="97"/>
      <c r="C2275" s="109"/>
      <c r="D2275" s="110"/>
      <c r="E2275" s="111"/>
      <c r="F2275" s="112">
        <f>SUM(F2269:F2274)</f>
        <v>5880.7349999999997</v>
      </c>
      <c r="G2275" s="81"/>
      <c r="H2275" s="81"/>
      <c r="I2275" s="81"/>
      <c r="J2275" s="81"/>
      <c r="K2275" s="81"/>
      <c r="L2275" s="81"/>
      <c r="M2275" s="81"/>
      <c r="N2275" s="81"/>
    </row>
    <row r="2276" spans="1:14" ht="14.25" customHeight="1" x14ac:dyDescent="0.25">
      <c r="A2276" s="88"/>
      <c r="B2276" s="88"/>
      <c r="C2276" s="113"/>
      <c r="D2276" s="113"/>
      <c r="E2276" s="114"/>
      <c r="F2276" s="113"/>
      <c r="G2276" s="81"/>
      <c r="H2276" s="81"/>
      <c r="I2276" s="81"/>
      <c r="J2276" s="81"/>
      <c r="K2276" s="81"/>
      <c r="L2276" s="81"/>
      <c r="M2276" s="81"/>
      <c r="N2276" s="81"/>
    </row>
    <row r="2277" spans="1:14" ht="14.25" customHeight="1" x14ac:dyDescent="0.25">
      <c r="A2277" s="96" t="s">
        <v>573</v>
      </c>
      <c r="B2277" s="96"/>
      <c r="C2277" s="92"/>
      <c r="D2277" s="92"/>
      <c r="E2277" s="92"/>
      <c r="F2277" s="92"/>
      <c r="G2277" s="81"/>
      <c r="H2277" s="81"/>
      <c r="I2277" s="81"/>
      <c r="J2277" s="81"/>
      <c r="K2277" s="81"/>
      <c r="L2277" s="81"/>
      <c r="M2277" s="81"/>
      <c r="N2277" s="81"/>
    </row>
    <row r="2278" spans="1:14" ht="14.25" customHeight="1" x14ac:dyDescent="0.25">
      <c r="A2278" s="611" t="s">
        <v>563</v>
      </c>
      <c r="B2278" s="608"/>
      <c r="C2278" s="609"/>
      <c r="D2278" s="98" t="s">
        <v>574</v>
      </c>
      <c r="E2278" s="98" t="s">
        <v>575</v>
      </c>
      <c r="F2278" s="98" t="s">
        <v>568</v>
      </c>
      <c r="G2278" s="81"/>
      <c r="H2278" s="81"/>
      <c r="I2278" s="81"/>
      <c r="J2278" s="81"/>
      <c r="K2278" s="81"/>
      <c r="L2278" s="81"/>
      <c r="M2278" s="81"/>
      <c r="N2278" s="81"/>
    </row>
    <row r="2279" spans="1:14" ht="14.25" customHeight="1" x14ac:dyDescent="0.25">
      <c r="A2279" s="607" t="s">
        <v>577</v>
      </c>
      <c r="B2279" s="608"/>
      <c r="C2279" s="609"/>
      <c r="D2279" s="116"/>
      <c r="E2279" s="107"/>
      <c r="F2279" s="106">
        <v>565</v>
      </c>
      <c r="G2279" s="81"/>
      <c r="H2279" s="81"/>
      <c r="I2279" s="81"/>
      <c r="J2279" s="81"/>
      <c r="K2279" s="81"/>
      <c r="L2279" s="81"/>
      <c r="M2279" s="81"/>
      <c r="N2279" s="81"/>
    </row>
    <row r="2280" spans="1:14" ht="14.25" customHeight="1" x14ac:dyDescent="0.25">
      <c r="A2280" s="607" t="s">
        <v>657</v>
      </c>
      <c r="B2280" s="608"/>
      <c r="C2280" s="609"/>
      <c r="D2280" s="142">
        <v>1850</v>
      </c>
      <c r="E2280" s="107">
        <v>1</v>
      </c>
      <c r="F2280" s="106">
        <f>D2280/E2280</f>
        <v>1850</v>
      </c>
      <c r="G2280" s="81"/>
      <c r="H2280" s="81"/>
      <c r="I2280" s="81"/>
      <c r="J2280" s="81"/>
      <c r="K2280" s="81"/>
      <c r="L2280" s="81"/>
      <c r="M2280" s="81"/>
      <c r="N2280" s="81"/>
    </row>
    <row r="2281" spans="1:14" ht="14.25" customHeight="1" x14ac:dyDescent="0.25">
      <c r="A2281" s="607"/>
      <c r="B2281" s="608"/>
      <c r="C2281" s="609"/>
      <c r="D2281" s="142"/>
      <c r="E2281" s="105"/>
      <c r="F2281" s="106"/>
      <c r="G2281" s="81"/>
      <c r="H2281" s="81"/>
      <c r="I2281" s="81"/>
      <c r="J2281" s="81"/>
      <c r="K2281" s="81"/>
      <c r="L2281" s="81"/>
      <c r="M2281" s="81"/>
      <c r="N2281" s="81"/>
    </row>
    <row r="2282" spans="1:14" ht="14.25" customHeight="1" x14ac:dyDescent="0.25">
      <c r="A2282" s="607"/>
      <c r="B2282" s="608"/>
      <c r="C2282" s="609"/>
      <c r="D2282" s="142"/>
      <c r="E2282" s="107"/>
      <c r="F2282" s="106"/>
      <c r="G2282" s="81"/>
      <c r="H2282" s="81"/>
      <c r="I2282" s="81"/>
      <c r="J2282" s="81"/>
      <c r="K2282" s="81"/>
      <c r="L2282" s="81"/>
      <c r="M2282" s="81"/>
      <c r="N2282" s="81"/>
    </row>
    <row r="2283" spans="1:14" ht="14.25" customHeight="1" x14ac:dyDescent="0.25">
      <c r="A2283" s="610"/>
      <c r="B2283" s="608"/>
      <c r="C2283" s="609"/>
      <c r="D2283" s="115"/>
      <c r="E2283" s="107"/>
      <c r="F2283" s="106"/>
      <c r="G2283" s="81"/>
      <c r="H2283" s="81"/>
      <c r="I2283" s="81"/>
      <c r="J2283" s="81"/>
      <c r="K2283" s="81"/>
      <c r="L2283" s="81"/>
      <c r="M2283" s="81"/>
      <c r="N2283" s="81"/>
    </row>
    <row r="2284" spans="1:14" ht="14.25" customHeight="1" x14ac:dyDescent="0.25">
      <c r="A2284" s="611" t="s">
        <v>548</v>
      </c>
      <c r="B2284" s="608"/>
      <c r="C2284" s="609"/>
      <c r="D2284" s="110"/>
      <c r="E2284" s="110"/>
      <c r="F2284" s="112">
        <f>SUM(F2279:F2282)</f>
        <v>2415</v>
      </c>
      <c r="G2284" s="81"/>
      <c r="H2284" s="81"/>
      <c r="I2284" s="81"/>
      <c r="J2284" s="81"/>
      <c r="K2284" s="81"/>
      <c r="L2284" s="81"/>
      <c r="M2284" s="81"/>
      <c r="N2284" s="81"/>
    </row>
    <row r="2285" spans="1:14" ht="14.25" customHeight="1" x14ac:dyDescent="0.25">
      <c r="A2285" s="88"/>
      <c r="B2285" s="88"/>
      <c r="C2285" s="89"/>
      <c r="D2285" s="113"/>
      <c r="E2285" s="113"/>
      <c r="F2285" s="113"/>
      <c r="G2285" s="81"/>
      <c r="H2285" s="81"/>
      <c r="I2285" s="81"/>
      <c r="J2285" s="81"/>
      <c r="K2285" s="81"/>
      <c r="L2285" s="81"/>
      <c r="M2285" s="81"/>
      <c r="N2285" s="81"/>
    </row>
    <row r="2286" spans="1:14" ht="14.25" customHeight="1" x14ac:dyDescent="0.25">
      <c r="A2286" s="96" t="s">
        <v>578</v>
      </c>
      <c r="B2286" s="96"/>
      <c r="C2286" s="92"/>
      <c r="D2286" s="118"/>
      <c r="E2286" s="118"/>
      <c r="F2286" s="118"/>
      <c r="G2286" s="81"/>
      <c r="H2286" s="81"/>
      <c r="I2286" s="81"/>
      <c r="J2286" s="81"/>
      <c r="K2286" s="81"/>
      <c r="L2286" s="81"/>
      <c r="M2286" s="81"/>
      <c r="N2286" s="81"/>
    </row>
    <row r="2287" spans="1:14" ht="38.25" x14ac:dyDescent="0.25">
      <c r="A2287" s="119" t="s">
        <v>563</v>
      </c>
      <c r="B2287" s="120" t="s">
        <v>579</v>
      </c>
      <c r="C2287" s="120" t="s">
        <v>580</v>
      </c>
      <c r="D2287" s="121" t="s">
        <v>581</v>
      </c>
      <c r="E2287" s="121" t="s">
        <v>575</v>
      </c>
      <c r="F2287" s="121" t="s">
        <v>568</v>
      </c>
      <c r="G2287" s="81"/>
      <c r="H2287" s="81"/>
      <c r="I2287" s="81"/>
      <c r="J2287" s="81"/>
      <c r="K2287" s="81"/>
      <c r="L2287" s="81"/>
      <c r="M2287" s="81"/>
      <c r="N2287" s="81"/>
    </row>
    <row r="2288" spans="1:14" ht="14.25" customHeight="1" x14ac:dyDescent="0.25">
      <c r="A2288" s="122" t="s">
        <v>593</v>
      </c>
      <c r="B2288" s="127">
        <v>1</v>
      </c>
      <c r="C2288" s="101">
        <v>32688</v>
      </c>
      <c r="D2288" s="101">
        <f t="shared" ref="D2288:D2289" si="131">+C2288*1.7</f>
        <v>55569.599999999999</v>
      </c>
      <c r="E2288" s="107">
        <v>14</v>
      </c>
      <c r="F2288" s="106">
        <f t="shared" ref="F2288:F2289" si="132">+B2288*(D2288)/E2288</f>
        <v>3969.2571428571428</v>
      </c>
      <c r="G2288" s="81"/>
      <c r="H2288" s="81"/>
      <c r="I2288" s="81"/>
      <c r="J2288" s="81"/>
      <c r="K2288" s="81"/>
      <c r="L2288" s="81"/>
      <c r="M2288" s="81"/>
      <c r="N2288" s="81"/>
    </row>
    <row r="2289" spans="1:14" ht="14.25" customHeight="1" x14ac:dyDescent="0.25">
      <c r="A2289" s="122" t="s">
        <v>594</v>
      </c>
      <c r="B2289" s="127">
        <v>1</v>
      </c>
      <c r="C2289" s="101">
        <v>52538</v>
      </c>
      <c r="D2289" s="101">
        <f t="shared" si="131"/>
        <v>89314.599999999991</v>
      </c>
      <c r="E2289" s="107">
        <f>E2288</f>
        <v>14</v>
      </c>
      <c r="F2289" s="106">
        <f t="shared" si="132"/>
        <v>6379.614285714285</v>
      </c>
      <c r="G2289" s="81"/>
      <c r="H2289" s="81"/>
      <c r="I2289" s="81"/>
      <c r="J2289" s="81"/>
      <c r="K2289" s="81"/>
      <c r="L2289" s="81"/>
      <c r="M2289" s="81"/>
      <c r="N2289" s="81"/>
    </row>
    <row r="2290" spans="1:14" ht="14.25" customHeight="1" x14ac:dyDescent="0.25">
      <c r="A2290" s="122"/>
      <c r="B2290" s="127"/>
      <c r="C2290" s="101"/>
      <c r="D2290" s="101"/>
      <c r="E2290" s="105"/>
      <c r="F2290" s="106"/>
      <c r="G2290" s="81"/>
      <c r="H2290" s="81"/>
      <c r="I2290" s="81"/>
      <c r="J2290" s="81"/>
      <c r="K2290" s="81"/>
      <c r="L2290" s="81"/>
      <c r="M2290" s="81"/>
      <c r="N2290" s="81"/>
    </row>
    <row r="2291" spans="1:14" ht="14.25" customHeight="1" x14ac:dyDescent="0.25">
      <c r="A2291" s="122"/>
      <c r="B2291" s="127"/>
      <c r="C2291" s="101"/>
      <c r="D2291" s="101"/>
      <c r="E2291" s="125"/>
      <c r="F2291" s="106"/>
      <c r="G2291" s="81"/>
      <c r="H2291" s="81"/>
      <c r="I2291" s="81"/>
      <c r="J2291" s="81"/>
      <c r="K2291" s="81"/>
      <c r="L2291" s="81"/>
      <c r="M2291" s="81"/>
      <c r="N2291" s="81"/>
    </row>
    <row r="2292" spans="1:14" ht="14.25" customHeight="1" x14ac:dyDescent="0.25">
      <c r="A2292" s="97" t="s">
        <v>548</v>
      </c>
      <c r="B2292" s="128"/>
      <c r="C2292" s="110"/>
      <c r="D2292" s="110"/>
      <c r="E2292" s="110"/>
      <c r="F2292" s="112">
        <f>SUM(F2288:F2291)</f>
        <v>10348.871428571427</v>
      </c>
      <c r="G2292" s="81"/>
      <c r="H2292" s="81"/>
      <c r="I2292" s="81"/>
      <c r="J2292" s="81"/>
      <c r="K2292" s="81"/>
      <c r="L2292" s="81"/>
      <c r="M2292" s="81"/>
      <c r="N2292" s="81"/>
    </row>
    <row r="2293" spans="1:14" ht="14.25" customHeight="1" x14ac:dyDescent="0.25">
      <c r="A2293" s="96"/>
      <c r="B2293" s="129"/>
      <c r="C2293" s="118"/>
      <c r="D2293" s="118"/>
      <c r="E2293" s="118"/>
      <c r="F2293" s="118"/>
      <c r="G2293" s="81"/>
      <c r="H2293" s="81"/>
      <c r="I2293" s="81"/>
      <c r="J2293" s="81"/>
      <c r="K2293" s="81"/>
      <c r="L2293" s="81"/>
      <c r="M2293" s="81"/>
      <c r="N2293" s="81"/>
    </row>
    <row r="2294" spans="1:14" ht="14.25" customHeight="1" x14ac:dyDescent="0.25">
      <c r="A2294" s="95" t="s">
        <v>583</v>
      </c>
      <c r="B2294" s="96"/>
      <c r="C2294" s="92"/>
      <c r="D2294" s="92"/>
      <c r="E2294" s="92" t="s">
        <v>584</v>
      </c>
      <c r="F2294" s="92"/>
      <c r="G2294" s="81"/>
      <c r="H2294" s="81"/>
      <c r="I2294" s="81"/>
      <c r="J2294" s="81"/>
      <c r="K2294" s="81"/>
      <c r="L2294" s="81"/>
      <c r="M2294" s="81"/>
      <c r="N2294" s="81"/>
    </row>
    <row r="2295" spans="1:14" ht="14.25" customHeight="1" x14ac:dyDescent="0.25">
      <c r="A2295" s="97" t="s">
        <v>563</v>
      </c>
      <c r="B2295" s="98" t="s">
        <v>564</v>
      </c>
      <c r="C2295" s="98" t="s">
        <v>585</v>
      </c>
      <c r="D2295" s="98" t="s">
        <v>586</v>
      </c>
      <c r="E2295" s="120" t="s">
        <v>587</v>
      </c>
      <c r="F2295" s="98" t="s">
        <v>568</v>
      </c>
      <c r="G2295" s="81"/>
      <c r="H2295" s="81"/>
      <c r="I2295" s="81"/>
      <c r="J2295" s="81"/>
      <c r="K2295" s="81"/>
      <c r="L2295" s="81"/>
      <c r="M2295" s="81"/>
      <c r="N2295" s="81"/>
    </row>
    <row r="2296" spans="1:14" ht="14.25" customHeight="1" x14ac:dyDescent="0.25">
      <c r="A2296" s="103"/>
      <c r="B2296" s="100"/>
      <c r="C2296" s="101"/>
      <c r="D2296" s="140"/>
      <c r="E2296" s="107"/>
      <c r="F2296" s="109"/>
      <c r="G2296" s="81"/>
      <c r="H2296" s="81"/>
      <c r="I2296" s="81"/>
      <c r="J2296" s="81"/>
      <c r="K2296" s="81"/>
      <c r="L2296" s="81"/>
      <c r="M2296" s="81"/>
      <c r="N2296" s="81"/>
    </row>
    <row r="2297" spans="1:14" ht="14.25" customHeight="1" x14ac:dyDescent="0.25">
      <c r="A2297" s="103"/>
      <c r="B2297" s="100"/>
      <c r="C2297" s="107"/>
      <c r="D2297" s="107"/>
      <c r="E2297" s="108"/>
      <c r="F2297" s="109"/>
      <c r="G2297" s="81"/>
      <c r="H2297" s="81"/>
      <c r="I2297" s="81"/>
      <c r="J2297" s="81"/>
      <c r="K2297" s="81"/>
      <c r="L2297" s="81"/>
      <c r="M2297" s="81"/>
      <c r="N2297" s="81"/>
    </row>
    <row r="2298" spans="1:14" ht="14.25" customHeight="1" x14ac:dyDescent="0.25">
      <c r="A2298" s="97" t="s">
        <v>548</v>
      </c>
      <c r="B2298" s="98"/>
      <c r="C2298" s="110"/>
      <c r="D2298" s="110"/>
      <c r="E2298" s="111"/>
      <c r="F2298" s="112">
        <f>SUM(F2296:F2297)</f>
        <v>0</v>
      </c>
      <c r="G2298" s="81"/>
      <c r="H2298" s="81"/>
      <c r="I2298" s="81"/>
      <c r="J2298" s="81"/>
      <c r="K2298" s="81"/>
      <c r="L2298" s="81"/>
      <c r="M2298" s="81"/>
      <c r="N2298" s="81"/>
    </row>
    <row r="2299" spans="1:14" ht="14.25" customHeight="1" x14ac:dyDescent="0.25">
      <c r="A2299" s="88"/>
      <c r="B2299" s="89"/>
      <c r="C2299" s="113"/>
      <c r="D2299" s="113"/>
      <c r="E2299" s="114"/>
      <c r="F2299" s="113"/>
      <c r="G2299" s="81"/>
      <c r="H2299" s="81"/>
      <c r="I2299" s="81"/>
      <c r="J2299" s="81"/>
      <c r="K2299" s="81"/>
      <c r="L2299" s="81"/>
      <c r="M2299" s="81"/>
      <c r="N2299" s="81"/>
    </row>
    <row r="2300" spans="1:14" ht="14.25" customHeight="1" x14ac:dyDescent="0.25">
      <c r="A2300" s="88"/>
      <c r="B2300" s="89"/>
      <c r="C2300" s="113"/>
      <c r="D2300" s="113"/>
      <c r="E2300" s="114"/>
      <c r="F2300" s="113"/>
      <c r="G2300" s="81"/>
      <c r="H2300" s="81"/>
      <c r="I2300" s="81"/>
      <c r="J2300" s="81"/>
      <c r="K2300" s="81"/>
      <c r="L2300" s="81"/>
      <c r="M2300" s="81"/>
      <c r="N2300" s="81"/>
    </row>
    <row r="2301" spans="1:14" ht="14.25" customHeight="1" x14ac:dyDescent="0.25">
      <c r="A2301" s="612" t="s">
        <v>588</v>
      </c>
      <c r="B2301" s="608"/>
      <c r="C2301" s="608"/>
      <c r="D2301" s="608"/>
      <c r="E2301" s="609"/>
      <c r="F2301" s="131">
        <f>ROUND(F2275+F2284+F2292+F2298,0)</f>
        <v>18645</v>
      </c>
      <c r="G2301" s="81"/>
      <c r="H2301" s="117">
        <f>18645-F2301</f>
        <v>0</v>
      </c>
      <c r="I2301" s="81"/>
      <c r="J2301" s="81"/>
      <c r="K2301" s="81"/>
      <c r="L2301" s="81"/>
      <c r="M2301" s="81"/>
      <c r="N2301" s="81"/>
    </row>
    <row r="2302" spans="1:14" ht="14.25" customHeight="1" x14ac:dyDescent="0.25">
      <c r="A2302" s="612" t="s">
        <v>589</v>
      </c>
      <c r="B2302" s="608"/>
      <c r="C2302" s="608"/>
      <c r="D2302" s="608"/>
      <c r="E2302" s="609"/>
      <c r="F2302" s="132"/>
      <c r="G2302" s="81"/>
      <c r="H2302" s="81"/>
      <c r="I2302" s="81"/>
      <c r="J2302" s="81"/>
      <c r="K2302" s="81"/>
      <c r="L2302" s="81"/>
      <c r="M2302" s="81"/>
      <c r="N2302" s="81"/>
    </row>
    <row r="2303" spans="1:14" ht="14.25" customHeight="1" x14ac:dyDescent="0.25">
      <c r="A2303" s="146" t="s">
        <v>556</v>
      </c>
      <c r="B2303" s="147"/>
      <c r="C2303" s="147"/>
      <c r="D2303" s="147"/>
      <c r="E2303" s="148"/>
      <c r="F2303" s="133"/>
      <c r="G2303" s="81"/>
      <c r="H2303" s="81"/>
      <c r="I2303" s="81"/>
      <c r="J2303" s="81"/>
      <c r="K2303" s="81"/>
      <c r="L2303" s="81"/>
      <c r="M2303" s="81"/>
      <c r="N2303" s="81"/>
    </row>
    <row r="2304" spans="1:14" ht="14.25" customHeight="1" x14ac:dyDescent="0.25">
      <c r="A2304" s="134"/>
      <c r="B2304" s="135"/>
      <c r="C2304" s="135"/>
      <c r="D2304" s="135"/>
      <c r="E2304" s="135"/>
      <c r="F2304" s="136"/>
      <c r="G2304" s="81"/>
      <c r="H2304" s="81"/>
      <c r="I2304" s="81"/>
      <c r="J2304" s="81"/>
      <c r="K2304" s="81"/>
      <c r="L2304" s="81"/>
      <c r="M2304" s="81"/>
      <c r="N2304" s="81"/>
    </row>
    <row r="2305" spans="1:14" ht="14.25" customHeight="1" x14ac:dyDescent="0.25">
      <c r="A2305" s="81"/>
      <c r="B2305" s="81"/>
      <c r="C2305" s="137"/>
      <c r="D2305" s="81"/>
      <c r="E2305" s="81"/>
      <c r="F2305" s="81"/>
      <c r="G2305" s="81"/>
      <c r="H2305" s="81"/>
      <c r="I2305" s="81"/>
      <c r="J2305" s="81"/>
      <c r="K2305" s="81"/>
      <c r="L2305" s="81"/>
      <c r="M2305" s="81"/>
      <c r="N2305" s="81"/>
    </row>
    <row r="2306" spans="1:14" ht="14.25" customHeight="1" x14ac:dyDescent="0.25">
      <c r="A2306" s="81"/>
      <c r="B2306" s="81"/>
      <c r="C2306" s="137"/>
      <c r="D2306" s="81"/>
      <c r="E2306" s="81"/>
      <c r="F2306" s="81"/>
      <c r="G2306" s="81"/>
      <c r="H2306" s="81"/>
      <c r="I2306" s="81"/>
      <c r="J2306" s="81"/>
      <c r="K2306" s="81"/>
      <c r="L2306" s="81"/>
      <c r="M2306" s="81"/>
      <c r="N2306" s="81"/>
    </row>
    <row r="2307" spans="1:14" ht="14.25" customHeight="1" x14ac:dyDescent="0.25">
      <c r="A2307" s="81"/>
      <c r="B2307" s="81"/>
      <c r="C2307" s="137"/>
      <c r="D2307" s="81"/>
      <c r="E2307" s="81"/>
      <c r="F2307" s="81"/>
      <c r="G2307" s="81"/>
      <c r="H2307" s="81"/>
      <c r="I2307" s="81"/>
      <c r="J2307" s="81"/>
      <c r="K2307" s="81"/>
      <c r="L2307" s="81"/>
      <c r="M2307" s="81"/>
      <c r="N2307" s="81"/>
    </row>
    <row r="2308" spans="1:14" ht="14.25" customHeight="1" x14ac:dyDescent="0.25">
      <c r="A2308" s="81"/>
      <c r="B2308" s="81"/>
      <c r="C2308" s="137"/>
      <c r="D2308" s="81"/>
      <c r="E2308" s="81"/>
      <c r="F2308" s="81"/>
      <c r="G2308" s="81"/>
      <c r="H2308" s="81"/>
      <c r="I2308" s="81"/>
      <c r="J2308" s="81"/>
      <c r="K2308" s="81"/>
      <c r="L2308" s="81"/>
      <c r="M2308" s="81"/>
      <c r="N2308" s="81"/>
    </row>
    <row r="2309" spans="1:14" ht="14.25" customHeight="1" x14ac:dyDescent="0.25">
      <c r="A2309" s="81"/>
      <c r="B2309" s="81"/>
      <c r="C2309" s="137"/>
      <c r="D2309" s="81"/>
      <c r="E2309" s="81"/>
      <c r="F2309" s="81"/>
      <c r="G2309" s="81"/>
      <c r="H2309" s="81"/>
      <c r="I2309" s="81"/>
      <c r="J2309" s="81"/>
      <c r="K2309" s="81"/>
      <c r="L2309" s="81"/>
      <c r="M2309" s="81"/>
      <c r="N2309" s="81"/>
    </row>
    <row r="2310" spans="1:14" ht="14.25" customHeight="1" x14ac:dyDescent="0.25">
      <c r="A2310" s="81"/>
      <c r="B2310" s="81"/>
      <c r="C2310" s="137"/>
      <c r="D2310" s="81"/>
      <c r="E2310" s="81"/>
      <c r="F2310" s="81"/>
      <c r="G2310" s="81"/>
      <c r="H2310" s="81"/>
      <c r="I2310" s="81"/>
      <c r="J2310" s="81"/>
      <c r="K2310" s="81"/>
      <c r="L2310" s="81"/>
      <c r="M2310" s="81"/>
      <c r="N2310" s="81"/>
    </row>
    <row r="2311" spans="1:14" ht="14.25" customHeight="1" x14ac:dyDescent="0.25">
      <c r="A2311" s="81"/>
      <c r="B2311" s="81"/>
      <c r="C2311" s="137"/>
      <c r="D2311" s="81"/>
      <c r="E2311" s="81"/>
      <c r="F2311" s="81"/>
      <c r="G2311" s="81"/>
      <c r="H2311" s="81"/>
      <c r="I2311" s="81"/>
      <c r="J2311" s="81"/>
      <c r="K2311" s="81"/>
      <c r="L2311" s="81"/>
      <c r="M2311" s="81"/>
      <c r="N2311" s="81"/>
    </row>
    <row r="2312" spans="1:14" ht="14.25" customHeight="1" x14ac:dyDescent="0.25">
      <c r="A2312" s="134"/>
      <c r="B2312" s="135"/>
      <c r="C2312" s="135"/>
      <c r="D2312" s="135"/>
      <c r="E2312" s="135"/>
      <c r="F2312" s="136"/>
      <c r="G2312" s="81"/>
      <c r="H2312" s="81"/>
      <c r="I2312" s="81"/>
      <c r="J2312" s="81"/>
      <c r="K2312" s="81"/>
      <c r="L2312" s="81"/>
      <c r="M2312" s="81"/>
      <c r="N2312" s="81"/>
    </row>
    <row r="2313" spans="1:14" ht="14.25" customHeight="1" x14ac:dyDescent="0.25">
      <c r="A2313" s="134"/>
      <c r="B2313" s="135"/>
      <c r="C2313" s="135"/>
      <c r="D2313" s="135"/>
      <c r="E2313" s="135"/>
      <c r="F2313" s="136"/>
      <c r="G2313" s="81"/>
      <c r="H2313" s="81"/>
      <c r="I2313" s="81"/>
      <c r="J2313" s="81"/>
      <c r="K2313" s="81"/>
      <c r="L2313" s="81"/>
      <c r="M2313" s="81"/>
      <c r="N2313" s="81"/>
    </row>
    <row r="2314" spans="1:14" ht="14.25" customHeight="1" x14ac:dyDescent="0.25">
      <c r="A2314" s="134"/>
      <c r="B2314" s="135"/>
      <c r="C2314" s="135"/>
      <c r="D2314" s="135"/>
      <c r="E2314" s="135"/>
      <c r="F2314" s="136"/>
      <c r="G2314" s="81"/>
      <c r="H2314" s="81"/>
      <c r="I2314" s="81"/>
      <c r="J2314" s="81"/>
      <c r="K2314" s="81"/>
      <c r="L2314" s="81"/>
      <c r="M2314" s="81"/>
      <c r="N2314" s="81"/>
    </row>
    <row r="2315" spans="1:14" ht="14.25" customHeight="1" thickBot="1" x14ac:dyDescent="0.3">
      <c r="A2315" s="81"/>
      <c r="B2315" s="81"/>
      <c r="C2315" s="81"/>
      <c r="D2315" s="81"/>
      <c r="E2315" s="81"/>
      <c r="F2315" s="81"/>
      <c r="G2315" s="81"/>
      <c r="H2315" s="81"/>
      <c r="I2315" s="81"/>
      <c r="J2315" s="81"/>
      <c r="K2315" s="81"/>
      <c r="L2315" s="81"/>
      <c r="M2315" s="81"/>
      <c r="N2315" s="81"/>
    </row>
    <row r="2316" spans="1:14" ht="14.25" customHeight="1" x14ac:dyDescent="0.25">
      <c r="A2316" s="83"/>
      <c r="B2316" s="84"/>
      <c r="C2316" s="85"/>
      <c r="D2316" s="86"/>
      <c r="E2316" s="86"/>
      <c r="F2316" s="87"/>
      <c r="G2316" s="81"/>
      <c r="H2316" s="81"/>
      <c r="I2316" s="81"/>
      <c r="J2316" s="81"/>
      <c r="K2316" s="81"/>
      <c r="L2316" s="81"/>
      <c r="M2316" s="81"/>
      <c r="N2316" s="81"/>
    </row>
    <row r="2317" spans="1:14" ht="14.25" customHeight="1" x14ac:dyDescent="0.25">
      <c r="A2317" s="599"/>
      <c r="B2317" s="600"/>
      <c r="C2317" s="600"/>
      <c r="D2317" s="600"/>
      <c r="E2317" s="600"/>
      <c r="F2317" s="601"/>
      <c r="G2317" s="81"/>
      <c r="H2317" s="81"/>
      <c r="I2317" s="81"/>
      <c r="J2317" s="81"/>
      <c r="K2317" s="81"/>
      <c r="L2317" s="81"/>
      <c r="M2317" s="81"/>
      <c r="N2317" s="81"/>
    </row>
    <row r="2318" spans="1:14" ht="14.25" customHeight="1" x14ac:dyDescent="0.25">
      <c r="A2318" s="602" t="s">
        <v>561</v>
      </c>
      <c r="B2318" s="600"/>
      <c r="C2318" s="600"/>
      <c r="D2318" s="600"/>
      <c r="E2318" s="600"/>
      <c r="F2318" s="601"/>
      <c r="G2318" s="81"/>
      <c r="H2318" s="81"/>
      <c r="I2318" s="81"/>
      <c r="J2318" s="81"/>
      <c r="K2318" s="81"/>
      <c r="L2318" s="81"/>
      <c r="M2318" s="81"/>
      <c r="N2318" s="81"/>
    </row>
    <row r="2319" spans="1:14" ht="14.25" customHeight="1" thickBot="1" x14ac:dyDescent="0.3">
      <c r="A2319" s="603"/>
      <c r="B2319" s="604"/>
      <c r="C2319" s="604"/>
      <c r="D2319" s="604"/>
      <c r="E2319" s="604"/>
      <c r="F2319" s="605"/>
      <c r="G2319" s="81"/>
      <c r="H2319" s="81"/>
      <c r="I2319" s="81"/>
      <c r="J2319" s="81"/>
      <c r="K2319" s="81"/>
      <c r="L2319" s="81"/>
      <c r="M2319" s="81"/>
      <c r="N2319" s="81"/>
    </row>
    <row r="2320" spans="1:14" ht="14.25" customHeight="1" x14ac:dyDescent="0.25">
      <c r="A2320" s="88"/>
      <c r="B2320" s="88"/>
      <c r="C2320" s="89"/>
      <c r="D2320" s="89"/>
      <c r="E2320" s="89"/>
      <c r="F2320" s="89"/>
      <c r="G2320" s="81"/>
      <c r="H2320" s="81"/>
      <c r="I2320" s="81"/>
      <c r="J2320" s="81"/>
      <c r="K2320" s="81"/>
      <c r="L2320" s="81"/>
      <c r="M2320" s="81"/>
      <c r="N2320" s="81"/>
    </row>
    <row r="2321" spans="1:14" ht="14.25" customHeight="1" x14ac:dyDescent="0.25">
      <c r="A2321" s="90" t="s">
        <v>47</v>
      </c>
      <c r="B2321" s="613" t="s">
        <v>134</v>
      </c>
      <c r="C2321" s="600"/>
      <c r="D2321" s="600"/>
      <c r="E2321" s="600"/>
      <c r="F2321" s="600"/>
      <c r="G2321" s="81"/>
      <c r="H2321" s="81"/>
      <c r="I2321" s="81"/>
      <c r="J2321" s="81"/>
      <c r="K2321" s="81"/>
      <c r="L2321" s="81"/>
      <c r="M2321" s="81"/>
      <c r="N2321" s="81"/>
    </row>
    <row r="2322" spans="1:14" ht="14.25" customHeight="1" x14ac:dyDescent="0.25">
      <c r="A2322" s="91"/>
      <c r="B2322" s="91"/>
      <c r="C2322" s="91"/>
      <c r="D2322" s="91"/>
      <c r="E2322" s="91"/>
      <c r="F2322" s="91"/>
      <c r="G2322" s="81"/>
      <c r="H2322" s="81"/>
      <c r="I2322" s="81"/>
      <c r="J2322" s="81"/>
      <c r="K2322" s="81"/>
      <c r="L2322" s="81"/>
      <c r="M2322" s="81"/>
      <c r="N2322" s="81"/>
    </row>
    <row r="2323" spans="1:14" ht="14.25" customHeight="1" x14ac:dyDescent="0.25">
      <c r="A2323" s="88" t="s">
        <v>49</v>
      </c>
      <c r="B2323" s="92" t="s">
        <v>59</v>
      </c>
      <c r="C2323" s="89"/>
      <c r="D2323" s="89"/>
      <c r="E2323" s="89"/>
      <c r="F2323" s="93"/>
      <c r="G2323" s="81"/>
      <c r="H2323" s="81"/>
      <c r="I2323" s="81"/>
      <c r="J2323" s="81"/>
      <c r="K2323" s="81"/>
      <c r="L2323" s="81"/>
      <c r="M2323" s="81"/>
      <c r="N2323" s="81"/>
    </row>
    <row r="2324" spans="1:14" ht="14.25" customHeight="1" x14ac:dyDescent="0.25">
      <c r="A2324" s="88"/>
      <c r="B2324" s="94"/>
      <c r="C2324" s="89"/>
      <c r="D2324" s="89"/>
      <c r="E2324" s="89"/>
      <c r="F2324" s="93"/>
      <c r="G2324" s="81"/>
      <c r="H2324" s="81"/>
      <c r="I2324" s="81"/>
      <c r="J2324" s="81"/>
      <c r="K2324" s="81"/>
      <c r="L2324" s="81"/>
      <c r="M2324" s="81"/>
      <c r="N2324" s="81"/>
    </row>
    <row r="2325" spans="1:14" ht="14.25" customHeight="1" x14ac:dyDescent="0.25">
      <c r="A2325" s="95" t="s">
        <v>562</v>
      </c>
      <c r="B2325" s="96"/>
      <c r="C2325" s="92"/>
      <c r="D2325" s="92"/>
      <c r="E2325" s="92"/>
      <c r="F2325" s="92"/>
      <c r="G2325" s="81"/>
      <c r="H2325" s="81"/>
      <c r="I2325" s="81"/>
      <c r="J2325" s="81"/>
      <c r="K2325" s="81"/>
      <c r="L2325" s="81"/>
      <c r="M2325" s="81"/>
      <c r="N2325" s="81"/>
    </row>
    <row r="2326" spans="1:14" ht="14.25" customHeight="1" x14ac:dyDescent="0.25">
      <c r="A2326" s="97" t="s">
        <v>563</v>
      </c>
      <c r="B2326" s="98" t="s">
        <v>564</v>
      </c>
      <c r="C2326" s="98" t="s">
        <v>565</v>
      </c>
      <c r="D2326" s="98" t="s">
        <v>566</v>
      </c>
      <c r="E2326" s="98" t="s">
        <v>567</v>
      </c>
      <c r="F2326" s="98" t="s">
        <v>568</v>
      </c>
      <c r="G2326" s="81"/>
      <c r="H2326" s="81"/>
      <c r="I2326" s="81"/>
      <c r="J2326" s="81"/>
      <c r="K2326" s="81"/>
      <c r="L2326" s="81"/>
      <c r="M2326" s="81"/>
      <c r="N2326" s="81"/>
    </row>
    <row r="2327" spans="1:14" ht="14.25" customHeight="1" x14ac:dyDescent="0.25">
      <c r="A2327" s="99" t="s">
        <v>662</v>
      </c>
      <c r="B2327" s="100" t="s">
        <v>64</v>
      </c>
      <c r="C2327" s="101">
        <v>373380</v>
      </c>
      <c r="D2327" s="149">
        <v>7.0000000000000001E-3</v>
      </c>
      <c r="E2327" s="102">
        <v>0.05</v>
      </c>
      <c r="F2327" s="101">
        <f>C2327*(D2327+(D2327*E2327))</f>
        <v>2744.3430000000003</v>
      </c>
      <c r="G2327" s="81"/>
      <c r="H2327" s="81"/>
      <c r="I2327" s="81"/>
      <c r="J2327" s="81"/>
      <c r="K2327" s="81"/>
      <c r="L2327" s="81"/>
      <c r="M2327" s="81"/>
      <c r="N2327" s="81"/>
    </row>
    <row r="2328" spans="1:14" ht="14.25" customHeight="1" x14ac:dyDescent="0.25">
      <c r="A2328" s="99"/>
      <c r="B2328" s="100"/>
      <c r="C2328" s="101"/>
      <c r="D2328" s="149"/>
      <c r="E2328" s="102"/>
      <c r="F2328" s="101"/>
      <c r="G2328" s="81"/>
      <c r="H2328" s="81"/>
      <c r="I2328" s="81"/>
      <c r="J2328" s="81"/>
      <c r="K2328" s="81"/>
      <c r="L2328" s="81"/>
      <c r="M2328" s="81"/>
      <c r="N2328" s="81"/>
    </row>
    <row r="2329" spans="1:14" ht="14.25" customHeight="1" x14ac:dyDescent="0.25">
      <c r="A2329" s="99"/>
      <c r="B2329" s="100"/>
      <c r="C2329" s="101"/>
      <c r="D2329" s="149"/>
      <c r="E2329" s="102"/>
      <c r="F2329" s="101"/>
      <c r="G2329" s="81"/>
      <c r="H2329" s="81"/>
      <c r="I2329" s="81"/>
      <c r="J2329" s="81"/>
      <c r="K2329" s="81"/>
      <c r="L2329" s="81"/>
      <c r="M2329" s="81"/>
      <c r="N2329" s="81"/>
    </row>
    <row r="2330" spans="1:14" ht="14.25" customHeight="1" x14ac:dyDescent="0.25">
      <c r="A2330" s="99"/>
      <c r="B2330" s="100"/>
      <c r="C2330" s="101"/>
      <c r="D2330" s="104"/>
      <c r="E2330" s="102"/>
      <c r="F2330" s="101"/>
      <c r="G2330" s="81"/>
      <c r="H2330" s="81"/>
      <c r="I2330" s="81"/>
      <c r="J2330" s="81"/>
      <c r="K2330" s="81"/>
      <c r="L2330" s="81"/>
      <c r="M2330" s="81"/>
      <c r="N2330" s="81"/>
    </row>
    <row r="2331" spans="1:14" ht="14.25" customHeight="1" x14ac:dyDescent="0.25">
      <c r="A2331" s="99"/>
      <c r="B2331" s="100"/>
      <c r="C2331" s="101"/>
      <c r="D2331" s="104"/>
      <c r="E2331" s="102"/>
      <c r="F2331" s="101"/>
      <c r="G2331" s="81"/>
      <c r="H2331" s="81"/>
      <c r="I2331" s="81"/>
      <c r="J2331" s="81"/>
      <c r="K2331" s="81"/>
      <c r="L2331" s="81"/>
      <c r="M2331" s="81"/>
      <c r="N2331" s="81"/>
    </row>
    <row r="2332" spans="1:14" ht="14.25" customHeight="1" x14ac:dyDescent="0.25">
      <c r="A2332" s="99"/>
      <c r="B2332" s="100"/>
      <c r="C2332" s="106"/>
      <c r="D2332" s="107"/>
      <c r="E2332" s="108"/>
      <c r="F2332" s="106"/>
      <c r="G2332" s="81"/>
      <c r="H2332" s="81"/>
      <c r="I2332" s="81"/>
      <c r="J2332" s="81"/>
      <c r="K2332" s="81"/>
      <c r="L2332" s="81"/>
      <c r="M2332" s="81"/>
      <c r="N2332" s="81"/>
    </row>
    <row r="2333" spans="1:14" ht="14.25" customHeight="1" x14ac:dyDescent="0.25">
      <c r="A2333" s="97" t="s">
        <v>548</v>
      </c>
      <c r="B2333" s="97"/>
      <c r="C2333" s="109"/>
      <c r="D2333" s="110"/>
      <c r="E2333" s="111"/>
      <c r="F2333" s="112">
        <f>SUM(F2327:F2332)</f>
        <v>2744.3430000000003</v>
      </c>
      <c r="G2333" s="81"/>
      <c r="H2333" s="81"/>
      <c r="I2333" s="81"/>
      <c r="J2333" s="81"/>
      <c r="K2333" s="81"/>
      <c r="L2333" s="81"/>
      <c r="M2333" s="81"/>
      <c r="N2333" s="81"/>
    </row>
    <row r="2334" spans="1:14" ht="14.25" customHeight="1" x14ac:dyDescent="0.25">
      <c r="A2334" s="88"/>
      <c r="B2334" s="88"/>
      <c r="C2334" s="113"/>
      <c r="D2334" s="113"/>
      <c r="E2334" s="114"/>
      <c r="F2334" s="113"/>
      <c r="G2334" s="81"/>
      <c r="H2334" s="81"/>
      <c r="I2334" s="81"/>
      <c r="J2334" s="81"/>
      <c r="K2334" s="81"/>
      <c r="L2334" s="81"/>
      <c r="M2334" s="81"/>
      <c r="N2334" s="81"/>
    </row>
    <row r="2335" spans="1:14" ht="14.25" customHeight="1" x14ac:dyDescent="0.25">
      <c r="A2335" s="96" t="s">
        <v>573</v>
      </c>
      <c r="B2335" s="96"/>
      <c r="C2335" s="92"/>
      <c r="D2335" s="92"/>
      <c r="E2335" s="92"/>
      <c r="F2335" s="92"/>
      <c r="G2335" s="81"/>
      <c r="H2335" s="81"/>
      <c r="I2335" s="81"/>
      <c r="J2335" s="81"/>
      <c r="K2335" s="81"/>
      <c r="L2335" s="81"/>
      <c r="M2335" s="81"/>
      <c r="N2335" s="81"/>
    </row>
    <row r="2336" spans="1:14" ht="14.25" customHeight="1" x14ac:dyDescent="0.25">
      <c r="A2336" s="611" t="s">
        <v>563</v>
      </c>
      <c r="B2336" s="608"/>
      <c r="C2336" s="609"/>
      <c r="D2336" s="98" t="s">
        <v>574</v>
      </c>
      <c r="E2336" s="98" t="s">
        <v>575</v>
      </c>
      <c r="F2336" s="98" t="s">
        <v>568</v>
      </c>
      <c r="G2336" s="81"/>
      <c r="H2336" s="81"/>
      <c r="I2336" s="81"/>
      <c r="J2336" s="81"/>
      <c r="K2336" s="81"/>
      <c r="L2336" s="81"/>
      <c r="M2336" s="81"/>
      <c r="N2336" s="81"/>
    </row>
    <row r="2337" spans="1:14" ht="14.25" customHeight="1" x14ac:dyDescent="0.25">
      <c r="A2337" s="607" t="s">
        <v>577</v>
      </c>
      <c r="B2337" s="608"/>
      <c r="C2337" s="609"/>
      <c r="D2337" s="116"/>
      <c r="E2337" s="107"/>
      <c r="F2337" s="106">
        <v>33</v>
      </c>
      <c r="G2337" s="81"/>
      <c r="H2337" s="81"/>
      <c r="I2337" s="81"/>
      <c r="J2337" s="81"/>
      <c r="K2337" s="81"/>
      <c r="L2337" s="81"/>
      <c r="M2337" s="81"/>
      <c r="N2337" s="81"/>
    </row>
    <row r="2338" spans="1:14" ht="14.25" customHeight="1" x14ac:dyDescent="0.25">
      <c r="A2338" s="607" t="s">
        <v>657</v>
      </c>
      <c r="B2338" s="608"/>
      <c r="C2338" s="609"/>
      <c r="D2338" s="142">
        <v>1850</v>
      </c>
      <c r="E2338" s="107">
        <v>2</v>
      </c>
      <c r="F2338" s="106">
        <f>D2338/E2338</f>
        <v>925</v>
      </c>
      <c r="G2338" s="81"/>
      <c r="H2338" s="81"/>
      <c r="I2338" s="81"/>
      <c r="J2338" s="81"/>
      <c r="K2338" s="81"/>
      <c r="L2338" s="81"/>
      <c r="M2338" s="81"/>
      <c r="N2338" s="81"/>
    </row>
    <row r="2339" spans="1:14" ht="14.25" customHeight="1" x14ac:dyDescent="0.25">
      <c r="A2339" s="607"/>
      <c r="B2339" s="608"/>
      <c r="C2339" s="609"/>
      <c r="D2339" s="142"/>
      <c r="E2339" s="105"/>
      <c r="F2339" s="106"/>
      <c r="G2339" s="81"/>
      <c r="H2339" s="81"/>
      <c r="I2339" s="81"/>
      <c r="J2339" s="81"/>
      <c r="K2339" s="81"/>
      <c r="L2339" s="81"/>
      <c r="M2339" s="81"/>
      <c r="N2339" s="81"/>
    </row>
    <row r="2340" spans="1:14" ht="14.25" customHeight="1" x14ac:dyDescent="0.25">
      <c r="A2340" s="607"/>
      <c r="B2340" s="608"/>
      <c r="C2340" s="609"/>
      <c r="D2340" s="142"/>
      <c r="E2340" s="107"/>
      <c r="F2340" s="106"/>
      <c r="G2340" s="81"/>
      <c r="H2340" s="81"/>
      <c r="I2340" s="81"/>
      <c r="J2340" s="81"/>
      <c r="K2340" s="81"/>
      <c r="L2340" s="81"/>
      <c r="M2340" s="81"/>
      <c r="N2340" s="81"/>
    </row>
    <row r="2341" spans="1:14" ht="14.25" customHeight="1" x14ac:dyDescent="0.25">
      <c r="A2341" s="610"/>
      <c r="B2341" s="608"/>
      <c r="C2341" s="609"/>
      <c r="D2341" s="115"/>
      <c r="E2341" s="107"/>
      <c r="F2341" s="106"/>
      <c r="G2341" s="81"/>
      <c r="H2341" s="81"/>
      <c r="I2341" s="81"/>
      <c r="J2341" s="81"/>
      <c r="K2341" s="81"/>
      <c r="L2341" s="81"/>
      <c r="M2341" s="81"/>
      <c r="N2341" s="81"/>
    </row>
    <row r="2342" spans="1:14" ht="14.25" customHeight="1" x14ac:dyDescent="0.25">
      <c r="A2342" s="611" t="s">
        <v>548</v>
      </c>
      <c r="B2342" s="608"/>
      <c r="C2342" s="609"/>
      <c r="D2342" s="110"/>
      <c r="E2342" s="110"/>
      <c r="F2342" s="112">
        <f>SUM(F2337:F2340)</f>
        <v>958</v>
      </c>
      <c r="G2342" s="81"/>
      <c r="H2342" s="81"/>
      <c r="I2342" s="81"/>
      <c r="J2342" s="81"/>
      <c r="K2342" s="81"/>
      <c r="L2342" s="81"/>
      <c r="M2342" s="81"/>
      <c r="N2342" s="81"/>
    </row>
    <row r="2343" spans="1:14" ht="14.25" customHeight="1" x14ac:dyDescent="0.25">
      <c r="A2343" s="88"/>
      <c r="B2343" s="88"/>
      <c r="C2343" s="89"/>
      <c r="D2343" s="113"/>
      <c r="E2343" s="113"/>
      <c r="F2343" s="113"/>
      <c r="G2343" s="81"/>
      <c r="H2343" s="81"/>
      <c r="I2343" s="81"/>
      <c r="J2343" s="81"/>
      <c r="K2343" s="81"/>
      <c r="L2343" s="81"/>
      <c r="M2343" s="81"/>
      <c r="N2343" s="81"/>
    </row>
    <row r="2344" spans="1:14" ht="14.25" customHeight="1" x14ac:dyDescent="0.25">
      <c r="A2344" s="96" t="s">
        <v>578</v>
      </c>
      <c r="B2344" s="96"/>
      <c r="C2344" s="92"/>
      <c r="D2344" s="118"/>
      <c r="E2344" s="118"/>
      <c r="F2344" s="118"/>
      <c r="G2344" s="81"/>
      <c r="H2344" s="81"/>
      <c r="I2344" s="81"/>
      <c r="J2344" s="81"/>
      <c r="K2344" s="81"/>
      <c r="L2344" s="81"/>
      <c r="M2344" s="81"/>
      <c r="N2344" s="81"/>
    </row>
    <row r="2345" spans="1:14" ht="14.25" customHeight="1" x14ac:dyDescent="0.25">
      <c r="A2345" s="119" t="s">
        <v>563</v>
      </c>
      <c r="B2345" s="120" t="s">
        <v>579</v>
      </c>
      <c r="C2345" s="120" t="s">
        <v>580</v>
      </c>
      <c r="D2345" s="121" t="s">
        <v>581</v>
      </c>
      <c r="E2345" s="121" t="s">
        <v>575</v>
      </c>
      <c r="F2345" s="121" t="s">
        <v>568</v>
      </c>
      <c r="G2345" s="81"/>
      <c r="H2345" s="81"/>
      <c r="I2345" s="81"/>
      <c r="J2345" s="81"/>
      <c r="K2345" s="81"/>
      <c r="L2345" s="81"/>
      <c r="M2345" s="81"/>
      <c r="N2345" s="81"/>
    </row>
    <row r="2346" spans="1:14" ht="14.25" customHeight="1" x14ac:dyDescent="0.25">
      <c r="A2346" s="122" t="s">
        <v>593</v>
      </c>
      <c r="B2346" s="127">
        <v>1</v>
      </c>
      <c r="C2346" s="101">
        <v>32688</v>
      </c>
      <c r="D2346" s="101">
        <f t="shared" ref="D2346:D2347" si="133">+C2346*1.7</f>
        <v>55569.599999999999</v>
      </c>
      <c r="E2346" s="107">
        <v>18.283000000000001</v>
      </c>
      <c r="F2346" s="106">
        <f t="shared" ref="F2346:F2347" si="134">+B2346*(D2346)/E2346</f>
        <v>3039.4136629655964</v>
      </c>
      <c r="G2346" s="81"/>
      <c r="H2346" s="81"/>
      <c r="I2346" s="81"/>
      <c r="J2346" s="81"/>
      <c r="K2346" s="81"/>
      <c r="L2346" s="81"/>
      <c r="M2346" s="81"/>
      <c r="N2346" s="81"/>
    </row>
    <row r="2347" spans="1:14" ht="14.25" customHeight="1" x14ac:dyDescent="0.25">
      <c r="A2347" s="122" t="s">
        <v>594</v>
      </c>
      <c r="B2347" s="127">
        <v>1</v>
      </c>
      <c r="C2347" s="101">
        <v>52538</v>
      </c>
      <c r="D2347" s="101">
        <f t="shared" si="133"/>
        <v>89314.599999999991</v>
      </c>
      <c r="E2347" s="107">
        <f>E2346</f>
        <v>18.283000000000001</v>
      </c>
      <c r="F2347" s="106">
        <f t="shared" si="134"/>
        <v>4885.1173221024992</v>
      </c>
      <c r="G2347" s="81"/>
      <c r="H2347" s="81"/>
      <c r="I2347" s="81"/>
      <c r="J2347" s="81"/>
      <c r="K2347" s="81"/>
      <c r="L2347" s="81"/>
      <c r="M2347" s="81"/>
      <c r="N2347" s="81"/>
    </row>
    <row r="2348" spans="1:14" ht="14.25" customHeight="1" x14ac:dyDescent="0.25">
      <c r="A2348" s="122"/>
      <c r="B2348" s="127"/>
      <c r="C2348" s="101"/>
      <c r="D2348" s="101"/>
      <c r="E2348" s="105"/>
      <c r="F2348" s="106"/>
      <c r="G2348" s="81"/>
      <c r="H2348" s="81"/>
      <c r="I2348" s="81"/>
      <c r="J2348" s="81"/>
      <c r="K2348" s="81"/>
      <c r="L2348" s="81"/>
      <c r="M2348" s="81"/>
      <c r="N2348" s="81"/>
    </row>
    <row r="2349" spans="1:14" ht="14.25" customHeight="1" x14ac:dyDescent="0.25">
      <c r="A2349" s="122"/>
      <c r="B2349" s="127"/>
      <c r="C2349" s="101"/>
      <c r="D2349" s="101"/>
      <c r="E2349" s="125"/>
      <c r="F2349" s="106"/>
      <c r="G2349" s="81"/>
      <c r="H2349" s="81"/>
      <c r="I2349" s="81"/>
      <c r="J2349" s="81"/>
      <c r="K2349" s="81"/>
      <c r="L2349" s="81"/>
      <c r="M2349" s="81"/>
      <c r="N2349" s="81"/>
    </row>
    <row r="2350" spans="1:14" ht="14.25" customHeight="1" x14ac:dyDescent="0.25">
      <c r="A2350" s="97" t="s">
        <v>548</v>
      </c>
      <c r="B2350" s="128"/>
      <c r="C2350" s="110"/>
      <c r="D2350" s="110"/>
      <c r="E2350" s="110"/>
      <c r="F2350" s="112">
        <f>SUM(F2346:F2349)</f>
        <v>7924.5309850680951</v>
      </c>
      <c r="G2350" s="81"/>
      <c r="H2350" s="81"/>
      <c r="I2350" s="81"/>
      <c r="J2350" s="81"/>
      <c r="K2350" s="81"/>
      <c r="L2350" s="81"/>
      <c r="M2350" s="81"/>
      <c r="N2350" s="81"/>
    </row>
    <row r="2351" spans="1:14" ht="14.25" customHeight="1" x14ac:dyDescent="0.25">
      <c r="A2351" s="96"/>
      <c r="B2351" s="129"/>
      <c r="C2351" s="118"/>
      <c r="D2351" s="118"/>
      <c r="E2351" s="118"/>
      <c r="F2351" s="118"/>
      <c r="G2351" s="81"/>
      <c r="H2351" s="81"/>
      <c r="I2351" s="81"/>
      <c r="J2351" s="81"/>
      <c r="K2351" s="81"/>
      <c r="L2351" s="81"/>
      <c r="M2351" s="81"/>
      <c r="N2351" s="81"/>
    </row>
    <row r="2352" spans="1:14" ht="14.25" customHeight="1" x14ac:dyDescent="0.25">
      <c r="A2352" s="95" t="s">
        <v>583</v>
      </c>
      <c r="B2352" s="96"/>
      <c r="C2352" s="92"/>
      <c r="D2352" s="92"/>
      <c r="E2352" s="92" t="s">
        <v>584</v>
      </c>
      <c r="F2352" s="92"/>
      <c r="G2352" s="81"/>
      <c r="H2352" s="81"/>
      <c r="I2352" s="81"/>
      <c r="J2352" s="81"/>
      <c r="K2352" s="81"/>
      <c r="L2352" s="81"/>
      <c r="M2352" s="81"/>
      <c r="N2352" s="81"/>
    </row>
    <row r="2353" spans="1:14" ht="14.25" customHeight="1" x14ac:dyDescent="0.25">
      <c r="A2353" s="97" t="s">
        <v>563</v>
      </c>
      <c r="B2353" s="98" t="s">
        <v>564</v>
      </c>
      <c r="C2353" s="98" t="s">
        <v>585</v>
      </c>
      <c r="D2353" s="98" t="s">
        <v>586</v>
      </c>
      <c r="E2353" s="120" t="s">
        <v>587</v>
      </c>
      <c r="F2353" s="98" t="s">
        <v>568</v>
      </c>
      <c r="G2353" s="81"/>
      <c r="H2353" s="81"/>
      <c r="I2353" s="81"/>
      <c r="J2353" s="81"/>
      <c r="K2353" s="81"/>
      <c r="L2353" s="81"/>
      <c r="M2353" s="81"/>
      <c r="N2353" s="81"/>
    </row>
    <row r="2354" spans="1:14" ht="14.25" customHeight="1" x14ac:dyDescent="0.25">
      <c r="A2354" s="103"/>
      <c r="B2354" s="100"/>
      <c r="C2354" s="101"/>
      <c r="D2354" s="140"/>
      <c r="E2354" s="107"/>
      <c r="F2354" s="109"/>
      <c r="G2354" s="81"/>
      <c r="H2354" s="81"/>
      <c r="I2354" s="81"/>
      <c r="J2354" s="81"/>
      <c r="K2354" s="81"/>
      <c r="L2354" s="81"/>
      <c r="M2354" s="81"/>
      <c r="N2354" s="81"/>
    </row>
    <row r="2355" spans="1:14" ht="14.25" customHeight="1" x14ac:dyDescent="0.25">
      <c r="A2355" s="103"/>
      <c r="B2355" s="100"/>
      <c r="C2355" s="107"/>
      <c r="D2355" s="107"/>
      <c r="E2355" s="108"/>
      <c r="F2355" s="109"/>
      <c r="G2355" s="81"/>
      <c r="H2355" s="81"/>
      <c r="I2355" s="81"/>
      <c r="J2355" s="81"/>
      <c r="K2355" s="81"/>
      <c r="L2355" s="81"/>
      <c r="M2355" s="81"/>
      <c r="N2355" s="81"/>
    </row>
    <row r="2356" spans="1:14" ht="14.25" customHeight="1" x14ac:dyDescent="0.25">
      <c r="A2356" s="97" t="s">
        <v>548</v>
      </c>
      <c r="B2356" s="98"/>
      <c r="C2356" s="110"/>
      <c r="D2356" s="110"/>
      <c r="E2356" s="111"/>
      <c r="F2356" s="112">
        <f>SUM(F2354:F2355)</f>
        <v>0</v>
      </c>
      <c r="G2356" s="81"/>
      <c r="H2356" s="81"/>
      <c r="I2356" s="81"/>
      <c r="J2356" s="81"/>
      <c r="K2356" s="81"/>
      <c r="L2356" s="81"/>
      <c r="M2356" s="81"/>
      <c r="N2356" s="81"/>
    </row>
    <row r="2357" spans="1:14" ht="14.25" customHeight="1" x14ac:dyDescent="0.25">
      <c r="A2357" s="88"/>
      <c r="B2357" s="89"/>
      <c r="C2357" s="113"/>
      <c r="D2357" s="113"/>
      <c r="E2357" s="114"/>
      <c r="F2357" s="113"/>
      <c r="G2357" s="81"/>
      <c r="H2357" s="81"/>
      <c r="I2357" s="81"/>
      <c r="J2357" s="81"/>
      <c r="K2357" s="81"/>
      <c r="L2357" s="81"/>
      <c r="M2357" s="81"/>
      <c r="N2357" s="81"/>
    </row>
    <row r="2358" spans="1:14" ht="14.25" customHeight="1" x14ac:dyDescent="0.25">
      <c r="A2358" s="88"/>
      <c r="B2358" s="89"/>
      <c r="C2358" s="113"/>
      <c r="D2358" s="113"/>
      <c r="E2358" s="114"/>
      <c r="F2358" s="113"/>
      <c r="G2358" s="81"/>
      <c r="H2358" s="81"/>
      <c r="I2358" s="81"/>
      <c r="J2358" s="81"/>
      <c r="K2358" s="81"/>
      <c r="L2358" s="81"/>
      <c r="M2358" s="81"/>
      <c r="N2358" s="81"/>
    </row>
    <row r="2359" spans="1:14" ht="14.25" customHeight="1" x14ac:dyDescent="0.25">
      <c r="A2359" s="612" t="s">
        <v>588</v>
      </c>
      <c r="B2359" s="608"/>
      <c r="C2359" s="608"/>
      <c r="D2359" s="608"/>
      <c r="E2359" s="609"/>
      <c r="F2359" s="131">
        <f>ROUND(F2333+F2342+F2350+F2356,0)</f>
        <v>11627</v>
      </c>
      <c r="G2359" s="81"/>
      <c r="H2359" s="117">
        <f>11627-F2359</f>
        <v>0</v>
      </c>
      <c r="I2359" s="81"/>
      <c r="J2359" s="81"/>
      <c r="K2359" s="81"/>
      <c r="L2359" s="81"/>
      <c r="M2359" s="81"/>
      <c r="N2359" s="81"/>
    </row>
    <row r="2360" spans="1:14" ht="14.25" customHeight="1" x14ac:dyDescent="0.25">
      <c r="A2360" s="612" t="s">
        <v>589</v>
      </c>
      <c r="B2360" s="608"/>
      <c r="C2360" s="608"/>
      <c r="D2360" s="608"/>
      <c r="E2360" s="609"/>
      <c r="F2360" s="132"/>
      <c r="G2360" s="81"/>
      <c r="H2360" s="81"/>
      <c r="I2360" s="81"/>
      <c r="J2360" s="81"/>
      <c r="K2360" s="81"/>
      <c r="L2360" s="81"/>
      <c r="M2360" s="81"/>
      <c r="N2360" s="81"/>
    </row>
    <row r="2361" spans="1:14" ht="14.25" customHeight="1" x14ac:dyDescent="0.25">
      <c r="A2361" s="146" t="s">
        <v>556</v>
      </c>
      <c r="B2361" s="147"/>
      <c r="C2361" s="147"/>
      <c r="D2361" s="147"/>
      <c r="E2361" s="148"/>
      <c r="F2361" s="133"/>
      <c r="G2361" s="81"/>
      <c r="H2361" s="81"/>
      <c r="I2361" s="81"/>
      <c r="J2361" s="81"/>
      <c r="K2361" s="81"/>
      <c r="L2361" s="81"/>
      <c r="M2361" s="81"/>
      <c r="N2361" s="81"/>
    </row>
    <row r="2362" spans="1:14" ht="14.25" customHeight="1" x14ac:dyDescent="0.25">
      <c r="A2362" s="134"/>
      <c r="B2362" s="135"/>
      <c r="C2362" s="135"/>
      <c r="D2362" s="135"/>
      <c r="E2362" s="135"/>
      <c r="F2362" s="136"/>
      <c r="G2362" s="81"/>
      <c r="H2362" s="81"/>
      <c r="I2362" s="81"/>
      <c r="J2362" s="81"/>
      <c r="K2362" s="81"/>
      <c r="L2362" s="81"/>
      <c r="M2362" s="81"/>
      <c r="N2362" s="81"/>
    </row>
    <row r="2363" spans="1:14" ht="14.25" customHeight="1" x14ac:dyDescent="0.25">
      <c r="A2363" s="81"/>
      <c r="B2363" s="81"/>
      <c r="C2363" s="137"/>
      <c r="D2363" s="81"/>
      <c r="E2363" s="81"/>
      <c r="F2363" s="81"/>
      <c r="G2363" s="81"/>
      <c r="H2363" s="81"/>
      <c r="I2363" s="81"/>
      <c r="J2363" s="81"/>
      <c r="K2363" s="81"/>
      <c r="L2363" s="81"/>
      <c r="M2363" s="81"/>
      <c r="N2363" s="81"/>
    </row>
    <row r="2364" spans="1:14" ht="14.25" customHeight="1" x14ac:dyDescent="0.25">
      <c r="A2364" s="81"/>
      <c r="B2364" s="81"/>
      <c r="C2364" s="137"/>
      <c r="D2364" s="81"/>
      <c r="E2364" s="81"/>
      <c r="F2364" s="81"/>
      <c r="G2364" s="81"/>
      <c r="H2364" s="81"/>
      <c r="I2364" s="81"/>
      <c r="J2364" s="81"/>
      <c r="K2364" s="81"/>
      <c r="L2364" s="81"/>
      <c r="M2364" s="81"/>
      <c r="N2364" s="81"/>
    </row>
    <row r="2365" spans="1:14" ht="14.25" customHeight="1" x14ac:dyDescent="0.25">
      <c r="A2365" s="81"/>
      <c r="B2365" s="81"/>
      <c r="C2365" s="137"/>
      <c r="D2365" s="81"/>
      <c r="E2365" s="81"/>
      <c r="F2365" s="81"/>
      <c r="G2365" s="81"/>
      <c r="H2365" s="81"/>
      <c r="I2365" s="81"/>
      <c r="J2365" s="81"/>
      <c r="K2365" s="81"/>
      <c r="L2365" s="81"/>
      <c r="M2365" s="81"/>
      <c r="N2365" s="81"/>
    </row>
    <row r="2366" spans="1:14" ht="14.25" customHeight="1" x14ac:dyDescent="0.25">
      <c r="A2366" s="81"/>
      <c r="B2366" s="81"/>
      <c r="C2366" s="137"/>
      <c r="D2366" s="81"/>
      <c r="E2366" s="81"/>
      <c r="F2366" s="81"/>
      <c r="G2366" s="81"/>
      <c r="H2366" s="81"/>
      <c r="I2366" s="81"/>
      <c r="J2366" s="81"/>
      <c r="K2366" s="81"/>
      <c r="L2366" s="81"/>
      <c r="M2366" s="81"/>
      <c r="N2366" s="81"/>
    </row>
    <row r="2367" spans="1:14" ht="14.25" customHeight="1" x14ac:dyDescent="0.25">
      <c r="A2367" s="81"/>
      <c r="B2367" s="81"/>
      <c r="C2367" s="137"/>
      <c r="D2367" s="81"/>
      <c r="E2367" s="81"/>
      <c r="F2367" s="81"/>
      <c r="G2367" s="81"/>
      <c r="H2367" s="81"/>
      <c r="I2367" s="81"/>
      <c r="J2367" s="81"/>
      <c r="K2367" s="81"/>
      <c r="L2367" s="81"/>
      <c r="M2367" s="81"/>
      <c r="N2367" s="81"/>
    </row>
    <row r="2368" spans="1:14" ht="14.25" customHeight="1" x14ac:dyDescent="0.25">
      <c r="A2368" s="81"/>
      <c r="B2368" s="81"/>
      <c r="C2368" s="137"/>
      <c r="D2368" s="81"/>
      <c r="E2368" s="81"/>
      <c r="F2368" s="81"/>
      <c r="G2368" s="81"/>
      <c r="H2368" s="81"/>
      <c r="I2368" s="81"/>
      <c r="J2368" s="81"/>
      <c r="K2368" s="81"/>
      <c r="L2368" s="81"/>
      <c r="M2368" s="81"/>
      <c r="N2368" s="81"/>
    </row>
    <row r="2369" spans="1:14" ht="14.25" customHeight="1" x14ac:dyDescent="0.25">
      <c r="A2369" s="134"/>
      <c r="B2369" s="135"/>
      <c r="C2369" s="135"/>
      <c r="D2369" s="135"/>
      <c r="E2369" s="135"/>
      <c r="F2369" s="136"/>
      <c r="G2369" s="81"/>
      <c r="H2369" s="81"/>
      <c r="I2369" s="81"/>
      <c r="J2369" s="81"/>
      <c r="K2369" s="81"/>
      <c r="L2369" s="81"/>
      <c r="M2369" s="81"/>
      <c r="N2369" s="81"/>
    </row>
    <row r="2370" spans="1:14" ht="14.25" customHeight="1" x14ac:dyDescent="0.25">
      <c r="A2370" s="134"/>
      <c r="B2370" s="135"/>
      <c r="C2370" s="135"/>
      <c r="D2370" s="135"/>
      <c r="E2370" s="135"/>
      <c r="F2370" s="136"/>
      <c r="G2370" s="81"/>
      <c r="H2370" s="81"/>
      <c r="I2370" s="81"/>
      <c r="J2370" s="81"/>
      <c r="K2370" s="81"/>
      <c r="L2370" s="81"/>
      <c r="M2370" s="81"/>
      <c r="N2370" s="81"/>
    </row>
    <row r="2371" spans="1:14" ht="14.25" customHeight="1" x14ac:dyDescent="0.25">
      <c r="A2371" s="134"/>
      <c r="B2371" s="135"/>
      <c r="C2371" s="135"/>
      <c r="D2371" s="135"/>
      <c r="E2371" s="135"/>
      <c r="F2371" s="136"/>
      <c r="G2371" s="81"/>
      <c r="H2371" s="81"/>
      <c r="I2371" s="81"/>
      <c r="J2371" s="81"/>
      <c r="K2371" s="81"/>
      <c r="L2371" s="81"/>
      <c r="M2371" s="81"/>
      <c r="N2371" s="81"/>
    </row>
    <row r="2372" spans="1:14" ht="14.25" customHeight="1" thickBot="1" x14ac:dyDescent="0.3">
      <c r="A2372" s="81"/>
      <c r="B2372" s="81"/>
      <c r="C2372" s="81"/>
      <c r="D2372" s="81"/>
      <c r="E2372" s="81"/>
      <c r="F2372" s="81"/>
      <c r="G2372" s="81"/>
      <c r="H2372" s="81"/>
      <c r="I2372" s="81"/>
      <c r="J2372" s="81"/>
      <c r="K2372" s="81"/>
      <c r="L2372" s="81"/>
      <c r="M2372" s="81"/>
      <c r="N2372" s="81"/>
    </row>
    <row r="2373" spans="1:14" ht="14.25" customHeight="1" x14ac:dyDescent="0.25">
      <c r="A2373" s="83"/>
      <c r="B2373" s="84"/>
      <c r="C2373" s="85"/>
      <c r="D2373" s="86"/>
      <c r="E2373" s="86"/>
      <c r="F2373" s="87"/>
      <c r="G2373" s="81"/>
      <c r="H2373" s="81"/>
      <c r="I2373" s="81"/>
      <c r="J2373" s="81"/>
      <c r="K2373" s="81"/>
      <c r="L2373" s="81"/>
      <c r="M2373" s="81"/>
      <c r="N2373" s="81"/>
    </row>
    <row r="2374" spans="1:14" ht="14.25" customHeight="1" x14ac:dyDescent="0.25">
      <c r="A2374" s="599"/>
      <c r="B2374" s="600"/>
      <c r="C2374" s="600"/>
      <c r="D2374" s="600"/>
      <c r="E2374" s="600"/>
      <c r="F2374" s="601"/>
      <c r="G2374" s="81"/>
      <c r="H2374" s="81"/>
      <c r="I2374" s="81"/>
      <c r="J2374" s="81"/>
      <c r="K2374" s="81"/>
      <c r="L2374" s="81"/>
      <c r="M2374" s="81"/>
      <c r="N2374" s="81"/>
    </row>
    <row r="2375" spans="1:14" ht="14.25" customHeight="1" x14ac:dyDescent="0.25">
      <c r="A2375" s="602" t="s">
        <v>561</v>
      </c>
      <c r="B2375" s="600"/>
      <c r="C2375" s="600"/>
      <c r="D2375" s="600"/>
      <c r="E2375" s="600"/>
      <c r="F2375" s="601"/>
      <c r="G2375" s="81"/>
      <c r="H2375" s="81"/>
      <c r="I2375" s="81"/>
      <c r="J2375" s="81"/>
      <c r="K2375" s="81"/>
      <c r="L2375" s="81"/>
      <c r="M2375" s="81"/>
      <c r="N2375" s="81"/>
    </row>
    <row r="2376" spans="1:14" ht="14.25" customHeight="1" thickBot="1" x14ac:dyDescent="0.3">
      <c r="A2376" s="603"/>
      <c r="B2376" s="604"/>
      <c r="C2376" s="604"/>
      <c r="D2376" s="604"/>
      <c r="E2376" s="604"/>
      <c r="F2376" s="605"/>
      <c r="G2376" s="81"/>
      <c r="H2376" s="81"/>
      <c r="I2376" s="81"/>
      <c r="J2376" s="81"/>
      <c r="K2376" s="81"/>
      <c r="L2376" s="81"/>
      <c r="M2376" s="81"/>
      <c r="N2376" s="81"/>
    </row>
    <row r="2377" spans="1:14" ht="14.25" customHeight="1" x14ac:dyDescent="0.25">
      <c r="A2377" s="88"/>
      <c r="B2377" s="88"/>
      <c r="C2377" s="89"/>
      <c r="D2377" s="89"/>
      <c r="E2377" s="89"/>
      <c r="F2377" s="89"/>
      <c r="G2377" s="81"/>
      <c r="H2377" s="81"/>
      <c r="I2377" s="81"/>
      <c r="J2377" s="81"/>
      <c r="K2377" s="81"/>
      <c r="L2377" s="81"/>
      <c r="M2377" s="81"/>
      <c r="N2377" s="81"/>
    </row>
    <row r="2378" spans="1:14" ht="14.25" customHeight="1" x14ac:dyDescent="0.25">
      <c r="A2378" s="90" t="s">
        <v>47</v>
      </c>
      <c r="B2378" s="613" t="s">
        <v>137</v>
      </c>
      <c r="C2378" s="600"/>
      <c r="D2378" s="600"/>
      <c r="E2378" s="600"/>
      <c r="F2378" s="600"/>
      <c r="G2378" s="81"/>
      <c r="H2378" s="81"/>
      <c r="I2378" s="81"/>
      <c r="J2378" s="81"/>
      <c r="K2378" s="81"/>
      <c r="L2378" s="81"/>
      <c r="M2378" s="81"/>
      <c r="N2378" s="81"/>
    </row>
    <row r="2379" spans="1:14" ht="14.25" customHeight="1" x14ac:dyDescent="0.25">
      <c r="A2379" s="91"/>
      <c r="B2379" s="91"/>
      <c r="C2379" s="91"/>
      <c r="D2379" s="91"/>
      <c r="E2379" s="91"/>
      <c r="F2379" s="91"/>
      <c r="G2379" s="81"/>
      <c r="H2379" s="81"/>
      <c r="I2379" s="81"/>
      <c r="J2379" s="81"/>
      <c r="K2379" s="81"/>
      <c r="L2379" s="81"/>
      <c r="M2379" s="81"/>
      <c r="N2379" s="81"/>
    </row>
    <row r="2380" spans="1:14" ht="14.25" customHeight="1" x14ac:dyDescent="0.25">
      <c r="A2380" s="88" t="s">
        <v>49</v>
      </c>
      <c r="B2380" s="92" t="s">
        <v>56</v>
      </c>
      <c r="C2380" s="89"/>
      <c r="D2380" s="89"/>
      <c r="E2380" s="89"/>
      <c r="F2380" s="93"/>
      <c r="G2380" s="81"/>
      <c r="H2380" s="81"/>
      <c r="I2380" s="81"/>
      <c r="J2380" s="81"/>
      <c r="K2380" s="81"/>
      <c r="L2380" s="81"/>
      <c r="M2380" s="81"/>
      <c r="N2380" s="81"/>
    </row>
    <row r="2381" spans="1:14" ht="14.25" customHeight="1" x14ac:dyDescent="0.25">
      <c r="A2381" s="88"/>
      <c r="B2381" s="94"/>
      <c r="C2381" s="89"/>
      <c r="D2381" s="89"/>
      <c r="E2381" s="89"/>
      <c r="F2381" s="93"/>
      <c r="G2381" s="81"/>
      <c r="H2381" s="81"/>
      <c r="I2381" s="81"/>
      <c r="J2381" s="81"/>
      <c r="K2381" s="81"/>
      <c r="L2381" s="81"/>
      <c r="M2381" s="81"/>
      <c r="N2381" s="81"/>
    </row>
    <row r="2382" spans="1:14" ht="14.25" customHeight="1" x14ac:dyDescent="0.25">
      <c r="A2382" s="95" t="s">
        <v>562</v>
      </c>
      <c r="B2382" s="96"/>
      <c r="C2382" s="92"/>
      <c r="D2382" s="92"/>
      <c r="E2382" s="92"/>
      <c r="F2382" s="92"/>
      <c r="G2382" s="81"/>
      <c r="H2382" s="81"/>
      <c r="I2382" s="81"/>
      <c r="J2382" s="81"/>
      <c r="K2382" s="81"/>
      <c r="L2382" s="81"/>
      <c r="M2382" s="81"/>
      <c r="N2382" s="81"/>
    </row>
    <row r="2383" spans="1:14" ht="14.25" customHeight="1" x14ac:dyDescent="0.25">
      <c r="A2383" s="97" t="s">
        <v>563</v>
      </c>
      <c r="B2383" s="98" t="s">
        <v>564</v>
      </c>
      <c r="C2383" s="98" t="s">
        <v>565</v>
      </c>
      <c r="D2383" s="98" t="s">
        <v>566</v>
      </c>
      <c r="E2383" s="98" t="s">
        <v>567</v>
      </c>
      <c r="F2383" s="98" t="s">
        <v>568</v>
      </c>
      <c r="G2383" s="81"/>
      <c r="H2383" s="81"/>
      <c r="I2383" s="81"/>
      <c r="J2383" s="81"/>
      <c r="K2383" s="81"/>
      <c r="L2383" s="81"/>
      <c r="M2383" s="81"/>
      <c r="N2383" s="81"/>
    </row>
    <row r="2384" spans="1:14" ht="14.25" customHeight="1" x14ac:dyDescent="0.25">
      <c r="A2384" s="99" t="s">
        <v>662</v>
      </c>
      <c r="B2384" s="100" t="s">
        <v>64</v>
      </c>
      <c r="C2384" s="101">
        <v>373380</v>
      </c>
      <c r="D2384" s="149">
        <v>0.02</v>
      </c>
      <c r="E2384" s="102">
        <v>0.05</v>
      </c>
      <c r="F2384" s="101">
        <f t="shared" ref="F2384:F2386" si="135">C2384*(D2384+(D2384*E2384))</f>
        <v>7840.9800000000005</v>
      </c>
      <c r="G2384" s="81"/>
      <c r="H2384" s="81"/>
      <c r="I2384" s="81"/>
      <c r="J2384" s="81"/>
      <c r="K2384" s="81"/>
      <c r="L2384" s="81"/>
      <c r="M2384" s="81"/>
      <c r="N2384" s="81"/>
    </row>
    <row r="2385" spans="1:14" ht="14.25" customHeight="1" x14ac:dyDescent="0.25">
      <c r="A2385" s="99" t="s">
        <v>668</v>
      </c>
      <c r="B2385" s="100" t="s">
        <v>651</v>
      </c>
      <c r="C2385" s="101">
        <v>32000</v>
      </c>
      <c r="D2385" s="149">
        <v>0.11</v>
      </c>
      <c r="E2385" s="102">
        <v>0.05</v>
      </c>
      <c r="F2385" s="101">
        <f t="shared" si="135"/>
        <v>3696</v>
      </c>
      <c r="G2385" s="81"/>
      <c r="H2385" s="81"/>
      <c r="I2385" s="81"/>
      <c r="J2385" s="81"/>
      <c r="K2385" s="81"/>
      <c r="L2385" s="81"/>
      <c r="M2385" s="81"/>
      <c r="N2385" s="81"/>
    </row>
    <row r="2386" spans="1:14" ht="14.25" customHeight="1" x14ac:dyDescent="0.25">
      <c r="A2386" s="99" t="s">
        <v>669</v>
      </c>
      <c r="B2386" s="100" t="s">
        <v>651</v>
      </c>
      <c r="C2386" s="101">
        <v>115000</v>
      </c>
      <c r="D2386" s="149">
        <v>0.14000000000000001</v>
      </c>
      <c r="E2386" s="102">
        <v>0.05</v>
      </c>
      <c r="F2386" s="101">
        <f t="shared" si="135"/>
        <v>16905.000000000004</v>
      </c>
      <c r="G2386" s="81"/>
      <c r="H2386" s="81"/>
      <c r="I2386" s="81"/>
      <c r="J2386" s="81"/>
      <c r="K2386" s="81"/>
      <c r="L2386" s="81"/>
      <c r="M2386" s="81"/>
      <c r="N2386" s="81"/>
    </row>
    <row r="2387" spans="1:14" ht="14.25" customHeight="1" x14ac:dyDescent="0.25">
      <c r="A2387" s="99"/>
      <c r="B2387" s="100"/>
      <c r="C2387" s="101"/>
      <c r="D2387" s="104"/>
      <c r="E2387" s="102"/>
      <c r="F2387" s="101"/>
      <c r="G2387" s="81"/>
      <c r="H2387" s="81"/>
      <c r="I2387" s="81"/>
      <c r="J2387" s="81"/>
      <c r="K2387" s="81"/>
      <c r="L2387" s="81"/>
      <c r="M2387" s="81"/>
      <c r="N2387" s="81"/>
    </row>
    <row r="2388" spans="1:14" ht="14.25" customHeight="1" x14ac:dyDescent="0.25">
      <c r="A2388" s="99"/>
      <c r="B2388" s="100"/>
      <c r="C2388" s="101"/>
      <c r="D2388" s="104"/>
      <c r="E2388" s="102"/>
      <c r="F2388" s="101"/>
      <c r="G2388" s="81"/>
      <c r="H2388" s="81"/>
      <c r="I2388" s="81"/>
      <c r="J2388" s="81"/>
      <c r="K2388" s="81"/>
      <c r="L2388" s="81"/>
      <c r="M2388" s="81"/>
      <c r="N2388" s="81"/>
    </row>
    <row r="2389" spans="1:14" ht="14.25" customHeight="1" x14ac:dyDescent="0.25">
      <c r="A2389" s="99"/>
      <c r="B2389" s="100"/>
      <c r="C2389" s="106"/>
      <c r="D2389" s="107"/>
      <c r="E2389" s="108"/>
      <c r="F2389" s="106"/>
      <c r="G2389" s="81"/>
      <c r="H2389" s="81"/>
      <c r="I2389" s="81"/>
      <c r="J2389" s="81"/>
      <c r="K2389" s="81"/>
      <c r="L2389" s="81"/>
      <c r="M2389" s="81"/>
      <c r="N2389" s="81"/>
    </row>
    <row r="2390" spans="1:14" ht="14.25" customHeight="1" x14ac:dyDescent="0.25">
      <c r="A2390" s="97" t="s">
        <v>548</v>
      </c>
      <c r="B2390" s="97"/>
      <c r="C2390" s="109"/>
      <c r="D2390" s="110"/>
      <c r="E2390" s="111"/>
      <c r="F2390" s="112">
        <f>SUM(F2384:F2389)</f>
        <v>28441.980000000003</v>
      </c>
      <c r="G2390" s="81"/>
      <c r="H2390" s="81"/>
      <c r="I2390" s="81"/>
      <c r="J2390" s="81"/>
      <c r="K2390" s="81"/>
      <c r="L2390" s="81"/>
      <c r="M2390" s="81"/>
      <c r="N2390" s="81"/>
    </row>
    <row r="2391" spans="1:14" ht="14.25" customHeight="1" x14ac:dyDescent="0.25">
      <c r="A2391" s="88"/>
      <c r="B2391" s="88"/>
      <c r="C2391" s="113"/>
      <c r="D2391" s="113"/>
      <c r="E2391" s="114"/>
      <c r="F2391" s="113"/>
      <c r="G2391" s="81"/>
      <c r="H2391" s="81"/>
      <c r="I2391" s="81"/>
      <c r="J2391" s="81"/>
      <c r="K2391" s="81"/>
      <c r="L2391" s="81"/>
      <c r="M2391" s="81"/>
      <c r="N2391" s="81"/>
    </row>
    <row r="2392" spans="1:14" ht="14.25" customHeight="1" x14ac:dyDescent="0.25">
      <c r="A2392" s="96" t="s">
        <v>573</v>
      </c>
      <c r="B2392" s="96"/>
      <c r="C2392" s="92"/>
      <c r="D2392" s="92"/>
      <c r="E2392" s="92"/>
      <c r="F2392" s="92"/>
      <c r="G2392" s="81"/>
      <c r="H2392" s="81"/>
      <c r="I2392" s="81"/>
      <c r="J2392" s="81"/>
      <c r="K2392" s="81"/>
      <c r="L2392" s="81"/>
      <c r="M2392" s="81"/>
      <c r="N2392" s="81"/>
    </row>
    <row r="2393" spans="1:14" ht="14.25" customHeight="1" x14ac:dyDescent="0.25">
      <c r="A2393" s="611" t="s">
        <v>563</v>
      </c>
      <c r="B2393" s="608"/>
      <c r="C2393" s="609"/>
      <c r="D2393" s="98" t="s">
        <v>574</v>
      </c>
      <c r="E2393" s="98" t="s">
        <v>575</v>
      </c>
      <c r="F2393" s="98" t="s">
        <v>568</v>
      </c>
      <c r="G2393" s="81"/>
      <c r="H2393" s="81"/>
      <c r="I2393" s="81"/>
      <c r="J2393" s="81"/>
      <c r="K2393" s="81"/>
      <c r="L2393" s="81"/>
      <c r="M2393" s="81"/>
      <c r="N2393" s="81"/>
    </row>
    <row r="2394" spans="1:14" ht="14.25" customHeight="1" x14ac:dyDescent="0.25">
      <c r="A2394" s="607" t="s">
        <v>577</v>
      </c>
      <c r="B2394" s="608"/>
      <c r="C2394" s="609"/>
      <c r="D2394" s="116"/>
      <c r="E2394" s="107"/>
      <c r="F2394" s="106">
        <f>+F2407*5%</f>
        <v>623.64066804407707</v>
      </c>
      <c r="G2394" s="81"/>
      <c r="H2394" s="81"/>
      <c r="I2394" s="81"/>
      <c r="J2394" s="81"/>
      <c r="K2394" s="81"/>
      <c r="L2394" s="81"/>
      <c r="M2394" s="81"/>
      <c r="N2394" s="81"/>
    </row>
    <row r="2395" spans="1:14" ht="14.25" customHeight="1" x14ac:dyDescent="0.25">
      <c r="A2395" s="607"/>
      <c r="B2395" s="608"/>
      <c r="C2395" s="609"/>
      <c r="D2395" s="142"/>
      <c r="E2395" s="107"/>
      <c r="F2395" s="106"/>
      <c r="G2395" s="81"/>
      <c r="H2395" s="81"/>
      <c r="I2395" s="81"/>
      <c r="J2395" s="81"/>
      <c r="K2395" s="81"/>
      <c r="L2395" s="81"/>
      <c r="M2395" s="81"/>
      <c r="N2395" s="81"/>
    </row>
    <row r="2396" spans="1:14" ht="14.25" customHeight="1" x14ac:dyDescent="0.25">
      <c r="A2396" s="607"/>
      <c r="B2396" s="608"/>
      <c r="C2396" s="609"/>
      <c r="D2396" s="142"/>
      <c r="E2396" s="105"/>
      <c r="F2396" s="106"/>
      <c r="G2396" s="81"/>
      <c r="H2396" s="81"/>
      <c r="I2396" s="81"/>
      <c r="J2396" s="81"/>
      <c r="K2396" s="81"/>
      <c r="L2396" s="81"/>
      <c r="M2396" s="81"/>
      <c r="N2396" s="81"/>
    </row>
    <row r="2397" spans="1:14" ht="14.25" customHeight="1" x14ac:dyDescent="0.25">
      <c r="A2397" s="607"/>
      <c r="B2397" s="608"/>
      <c r="C2397" s="609"/>
      <c r="D2397" s="142"/>
      <c r="E2397" s="107"/>
      <c r="F2397" s="106"/>
      <c r="G2397" s="81"/>
      <c r="H2397" s="81"/>
      <c r="I2397" s="81"/>
      <c r="J2397" s="81"/>
      <c r="K2397" s="81"/>
      <c r="L2397" s="81"/>
      <c r="M2397" s="81"/>
      <c r="N2397" s="81"/>
    </row>
    <row r="2398" spans="1:14" ht="14.25" customHeight="1" x14ac:dyDescent="0.25">
      <c r="A2398" s="610"/>
      <c r="B2398" s="608"/>
      <c r="C2398" s="609"/>
      <c r="D2398" s="115"/>
      <c r="E2398" s="107"/>
      <c r="F2398" s="106"/>
      <c r="G2398" s="81"/>
      <c r="H2398" s="81"/>
      <c r="I2398" s="81"/>
      <c r="J2398" s="81"/>
      <c r="K2398" s="81"/>
      <c r="L2398" s="81"/>
      <c r="M2398" s="81"/>
      <c r="N2398" s="81"/>
    </row>
    <row r="2399" spans="1:14" ht="14.25" customHeight="1" x14ac:dyDescent="0.25">
      <c r="A2399" s="611" t="s">
        <v>548</v>
      </c>
      <c r="B2399" s="608"/>
      <c r="C2399" s="609"/>
      <c r="D2399" s="110"/>
      <c r="E2399" s="110"/>
      <c r="F2399" s="112">
        <f>SUM(F2394:F2397)</f>
        <v>623.64066804407707</v>
      </c>
      <c r="G2399" s="81"/>
      <c r="H2399" s="81"/>
      <c r="I2399" s="81"/>
      <c r="J2399" s="81"/>
      <c r="K2399" s="81"/>
      <c r="L2399" s="81"/>
      <c r="M2399" s="81"/>
      <c r="N2399" s="81"/>
    </row>
    <row r="2400" spans="1:14" ht="14.25" customHeight="1" x14ac:dyDescent="0.25">
      <c r="A2400" s="88"/>
      <c r="B2400" s="88"/>
      <c r="C2400" s="89"/>
      <c r="D2400" s="113"/>
      <c r="E2400" s="113"/>
      <c r="F2400" s="113"/>
      <c r="G2400" s="81"/>
      <c r="H2400" s="81"/>
      <c r="I2400" s="81"/>
      <c r="J2400" s="81"/>
      <c r="K2400" s="81"/>
      <c r="L2400" s="81"/>
      <c r="M2400" s="81"/>
      <c r="N2400" s="81"/>
    </row>
    <row r="2401" spans="1:14" ht="14.25" customHeight="1" x14ac:dyDescent="0.25">
      <c r="A2401" s="96" t="s">
        <v>578</v>
      </c>
      <c r="B2401" s="96"/>
      <c r="C2401" s="92"/>
      <c r="D2401" s="118"/>
      <c r="E2401" s="118"/>
      <c r="F2401" s="118"/>
      <c r="G2401" s="81"/>
      <c r="H2401" s="81"/>
      <c r="I2401" s="81"/>
      <c r="J2401" s="81"/>
      <c r="K2401" s="81"/>
      <c r="L2401" s="81"/>
      <c r="M2401" s="81"/>
      <c r="N2401" s="81"/>
    </row>
    <row r="2402" spans="1:14" ht="14.25" customHeight="1" x14ac:dyDescent="0.25">
      <c r="A2402" s="119" t="s">
        <v>563</v>
      </c>
      <c r="B2402" s="120" t="s">
        <v>579</v>
      </c>
      <c r="C2402" s="120" t="s">
        <v>580</v>
      </c>
      <c r="D2402" s="121" t="s">
        <v>581</v>
      </c>
      <c r="E2402" s="121" t="s">
        <v>575</v>
      </c>
      <c r="F2402" s="121" t="s">
        <v>568</v>
      </c>
      <c r="G2402" s="81"/>
      <c r="H2402" s="81"/>
      <c r="I2402" s="81"/>
      <c r="J2402" s="81"/>
      <c r="K2402" s="81"/>
      <c r="L2402" s="81"/>
      <c r="M2402" s="81"/>
      <c r="N2402" s="81"/>
    </row>
    <row r="2403" spans="1:14" ht="14.25" customHeight="1" x14ac:dyDescent="0.25">
      <c r="A2403" s="122" t="s">
        <v>593</v>
      </c>
      <c r="B2403" s="127">
        <v>1</v>
      </c>
      <c r="C2403" s="101">
        <v>32688</v>
      </c>
      <c r="D2403" s="101">
        <f t="shared" ref="D2403:D2404" si="136">+C2403*1.7</f>
        <v>55569.599999999999</v>
      </c>
      <c r="E2403" s="107">
        <v>11.616</v>
      </c>
      <c r="F2403" s="106">
        <f t="shared" ref="F2403:F2404" si="137">+B2403*(D2403)/E2403</f>
        <v>4783.8842975206608</v>
      </c>
      <c r="G2403" s="81"/>
      <c r="H2403" s="81"/>
      <c r="I2403" s="81"/>
      <c r="J2403" s="81"/>
      <c r="K2403" s="81"/>
      <c r="L2403" s="81"/>
      <c r="M2403" s="81"/>
      <c r="N2403" s="81"/>
    </row>
    <row r="2404" spans="1:14" ht="14.25" customHeight="1" x14ac:dyDescent="0.25">
      <c r="A2404" s="122" t="s">
        <v>594</v>
      </c>
      <c r="B2404" s="127">
        <v>1</v>
      </c>
      <c r="C2404" s="101">
        <v>52538</v>
      </c>
      <c r="D2404" s="101">
        <f t="shared" si="136"/>
        <v>89314.599999999991</v>
      </c>
      <c r="E2404" s="107">
        <f>E2403</f>
        <v>11.616</v>
      </c>
      <c r="F2404" s="106">
        <f t="shared" si="137"/>
        <v>7688.9290633608807</v>
      </c>
      <c r="G2404" s="81"/>
      <c r="H2404" s="81"/>
      <c r="I2404" s="81"/>
      <c r="J2404" s="81"/>
      <c r="K2404" s="81"/>
      <c r="L2404" s="81"/>
      <c r="M2404" s="81"/>
      <c r="N2404" s="81"/>
    </row>
    <row r="2405" spans="1:14" ht="14.25" customHeight="1" x14ac:dyDescent="0.25">
      <c r="A2405" s="122"/>
      <c r="B2405" s="127"/>
      <c r="C2405" s="101"/>
      <c r="D2405" s="101"/>
      <c r="E2405" s="105"/>
      <c r="F2405" s="106"/>
      <c r="G2405" s="81"/>
      <c r="H2405" s="81"/>
      <c r="I2405" s="81"/>
      <c r="J2405" s="81"/>
      <c r="K2405" s="81"/>
      <c r="L2405" s="81"/>
      <c r="M2405" s="81"/>
      <c r="N2405" s="81"/>
    </row>
    <row r="2406" spans="1:14" ht="14.25" customHeight="1" x14ac:dyDescent="0.25">
      <c r="A2406" s="122"/>
      <c r="B2406" s="127"/>
      <c r="C2406" s="101"/>
      <c r="D2406" s="101"/>
      <c r="E2406" s="125"/>
      <c r="F2406" s="106"/>
      <c r="G2406" s="81"/>
      <c r="H2406" s="81"/>
      <c r="I2406" s="81"/>
      <c r="J2406" s="81"/>
      <c r="K2406" s="81"/>
      <c r="L2406" s="81"/>
      <c r="M2406" s="81"/>
      <c r="N2406" s="81"/>
    </row>
    <row r="2407" spans="1:14" ht="14.25" customHeight="1" x14ac:dyDescent="0.25">
      <c r="A2407" s="97" t="s">
        <v>548</v>
      </c>
      <c r="B2407" s="128"/>
      <c r="C2407" s="110"/>
      <c r="D2407" s="110"/>
      <c r="E2407" s="110"/>
      <c r="F2407" s="112">
        <f>SUM(F2403:F2406)</f>
        <v>12472.813360881541</v>
      </c>
      <c r="G2407" s="81"/>
      <c r="H2407" s="81"/>
      <c r="I2407" s="81"/>
      <c r="J2407" s="81"/>
      <c r="K2407" s="81"/>
      <c r="L2407" s="81"/>
      <c r="M2407" s="81"/>
      <c r="N2407" s="81"/>
    </row>
    <row r="2408" spans="1:14" ht="14.25" customHeight="1" x14ac:dyDescent="0.25">
      <c r="A2408" s="96"/>
      <c r="B2408" s="129"/>
      <c r="C2408" s="118"/>
      <c r="D2408" s="118"/>
      <c r="E2408" s="118"/>
      <c r="F2408" s="118"/>
      <c r="G2408" s="81"/>
      <c r="H2408" s="81"/>
      <c r="I2408" s="81"/>
      <c r="J2408" s="81"/>
      <c r="K2408" s="81"/>
      <c r="L2408" s="81"/>
      <c r="M2408" s="81"/>
      <c r="N2408" s="81"/>
    </row>
    <row r="2409" spans="1:14" ht="14.25" customHeight="1" x14ac:dyDescent="0.25">
      <c r="A2409" s="95" t="s">
        <v>583</v>
      </c>
      <c r="B2409" s="96"/>
      <c r="C2409" s="92"/>
      <c r="D2409" s="92"/>
      <c r="E2409" s="92" t="s">
        <v>584</v>
      </c>
      <c r="F2409" s="92"/>
      <c r="G2409" s="81"/>
      <c r="H2409" s="81"/>
      <c r="I2409" s="81"/>
      <c r="J2409" s="81"/>
      <c r="K2409" s="81"/>
      <c r="L2409" s="81"/>
      <c r="M2409" s="81"/>
      <c r="N2409" s="81"/>
    </row>
    <row r="2410" spans="1:14" ht="14.25" customHeight="1" x14ac:dyDescent="0.25">
      <c r="A2410" s="97" t="s">
        <v>563</v>
      </c>
      <c r="B2410" s="98" t="s">
        <v>564</v>
      </c>
      <c r="C2410" s="98" t="s">
        <v>585</v>
      </c>
      <c r="D2410" s="98" t="s">
        <v>586</v>
      </c>
      <c r="E2410" s="120" t="s">
        <v>587</v>
      </c>
      <c r="F2410" s="98" t="s">
        <v>568</v>
      </c>
      <c r="G2410" s="81"/>
      <c r="H2410" s="81"/>
      <c r="I2410" s="81"/>
      <c r="J2410" s="81"/>
      <c r="K2410" s="81"/>
      <c r="L2410" s="81"/>
      <c r="M2410" s="81"/>
      <c r="N2410" s="81"/>
    </row>
    <row r="2411" spans="1:14" ht="14.25" customHeight="1" x14ac:dyDescent="0.25">
      <c r="A2411" s="103"/>
      <c r="B2411" s="100"/>
      <c r="C2411" s="101"/>
      <c r="D2411" s="140"/>
      <c r="E2411" s="107"/>
      <c r="F2411" s="109"/>
      <c r="G2411" s="81"/>
      <c r="H2411" s="81"/>
      <c r="I2411" s="81"/>
      <c r="J2411" s="81"/>
      <c r="K2411" s="81"/>
      <c r="L2411" s="81"/>
      <c r="M2411" s="81"/>
      <c r="N2411" s="81"/>
    </row>
    <row r="2412" spans="1:14" ht="14.25" customHeight="1" x14ac:dyDescent="0.25">
      <c r="A2412" s="103"/>
      <c r="B2412" s="100"/>
      <c r="C2412" s="107"/>
      <c r="D2412" s="107"/>
      <c r="E2412" s="108"/>
      <c r="F2412" s="109"/>
      <c r="G2412" s="81"/>
      <c r="H2412" s="81"/>
      <c r="I2412" s="81"/>
      <c r="J2412" s="81"/>
      <c r="K2412" s="81"/>
      <c r="L2412" s="81"/>
      <c r="M2412" s="81"/>
      <c r="N2412" s="81"/>
    </row>
    <row r="2413" spans="1:14" ht="14.25" customHeight="1" x14ac:dyDescent="0.25">
      <c r="A2413" s="97" t="s">
        <v>548</v>
      </c>
      <c r="B2413" s="98"/>
      <c r="C2413" s="110"/>
      <c r="D2413" s="110"/>
      <c r="E2413" s="111"/>
      <c r="F2413" s="112">
        <f>SUM(F2411:F2412)</f>
        <v>0</v>
      </c>
      <c r="G2413" s="81"/>
      <c r="H2413" s="81"/>
      <c r="I2413" s="81"/>
      <c r="J2413" s="81"/>
      <c r="K2413" s="81"/>
      <c r="L2413" s="81"/>
      <c r="M2413" s="81"/>
      <c r="N2413" s="81"/>
    </row>
    <row r="2414" spans="1:14" ht="14.25" customHeight="1" x14ac:dyDescent="0.25">
      <c r="A2414" s="88"/>
      <c r="B2414" s="89"/>
      <c r="C2414" s="113"/>
      <c r="D2414" s="113"/>
      <c r="E2414" s="114"/>
      <c r="F2414" s="113"/>
      <c r="G2414" s="81"/>
      <c r="H2414" s="81"/>
      <c r="I2414" s="81"/>
      <c r="J2414" s="81"/>
      <c r="K2414" s="81"/>
      <c r="L2414" s="81"/>
      <c r="M2414" s="81"/>
      <c r="N2414" s="81"/>
    </row>
    <row r="2415" spans="1:14" ht="14.25" customHeight="1" x14ac:dyDescent="0.25">
      <c r="A2415" s="88"/>
      <c r="B2415" s="89"/>
      <c r="C2415" s="113"/>
      <c r="D2415" s="113"/>
      <c r="E2415" s="114"/>
      <c r="F2415" s="113"/>
      <c r="G2415" s="81"/>
      <c r="H2415" s="81"/>
      <c r="I2415" s="81"/>
      <c r="J2415" s="81"/>
      <c r="K2415" s="81"/>
      <c r="L2415" s="81"/>
      <c r="M2415" s="81"/>
      <c r="N2415" s="81"/>
    </row>
    <row r="2416" spans="1:14" ht="14.25" customHeight="1" x14ac:dyDescent="0.25">
      <c r="A2416" s="612" t="s">
        <v>588</v>
      </c>
      <c r="B2416" s="608"/>
      <c r="C2416" s="608"/>
      <c r="D2416" s="608"/>
      <c r="E2416" s="609"/>
      <c r="F2416" s="131">
        <f>ROUND(F2390+F2399+F2407+F2413,0)</f>
        <v>41538</v>
      </c>
      <c r="G2416" s="81"/>
      <c r="H2416" s="117"/>
      <c r="I2416" s="81"/>
      <c r="J2416" s="81"/>
      <c r="K2416" s="81"/>
      <c r="L2416" s="81"/>
      <c r="M2416" s="81"/>
      <c r="N2416" s="81"/>
    </row>
    <row r="2417" spans="1:14" ht="14.25" customHeight="1" x14ac:dyDescent="0.25">
      <c r="A2417" s="612" t="s">
        <v>589</v>
      </c>
      <c r="B2417" s="608"/>
      <c r="C2417" s="608"/>
      <c r="D2417" s="608"/>
      <c r="E2417" s="609"/>
      <c r="F2417" s="132"/>
      <c r="G2417" s="81"/>
      <c r="H2417" s="81"/>
      <c r="I2417" s="81"/>
      <c r="J2417" s="81"/>
      <c r="K2417" s="81"/>
      <c r="L2417" s="81"/>
      <c r="M2417" s="81"/>
      <c r="N2417" s="81"/>
    </row>
    <row r="2418" spans="1:14" ht="14.25" customHeight="1" x14ac:dyDescent="0.25">
      <c r="A2418" s="146" t="s">
        <v>556</v>
      </c>
      <c r="B2418" s="147"/>
      <c r="C2418" s="147"/>
      <c r="D2418" s="147"/>
      <c r="E2418" s="148"/>
      <c r="F2418" s="133"/>
      <c r="G2418" s="81"/>
      <c r="H2418" s="81"/>
      <c r="I2418" s="81"/>
      <c r="J2418" s="81"/>
      <c r="K2418" s="81"/>
      <c r="L2418" s="81"/>
      <c r="M2418" s="81"/>
      <c r="N2418" s="81"/>
    </row>
    <row r="2419" spans="1:14" ht="14.25" customHeight="1" x14ac:dyDescent="0.25">
      <c r="A2419" s="134"/>
      <c r="B2419" s="135"/>
      <c r="C2419" s="135"/>
      <c r="D2419" s="135"/>
      <c r="E2419" s="135"/>
      <c r="F2419" s="136"/>
      <c r="G2419" s="81"/>
      <c r="H2419" s="81"/>
      <c r="I2419" s="81"/>
      <c r="J2419" s="81"/>
      <c r="K2419" s="81"/>
      <c r="L2419" s="81"/>
      <c r="M2419" s="81"/>
      <c r="N2419" s="81"/>
    </row>
    <row r="2420" spans="1:14" ht="14.25" customHeight="1" x14ac:dyDescent="0.25">
      <c r="A2420" s="81"/>
      <c r="B2420" s="81"/>
      <c r="C2420" s="137"/>
      <c r="D2420" s="81"/>
      <c r="E2420" s="81"/>
      <c r="F2420" s="81"/>
      <c r="G2420" s="81"/>
      <c r="H2420" s="81"/>
      <c r="I2420" s="81"/>
      <c r="J2420" s="81"/>
      <c r="K2420" s="81"/>
      <c r="L2420" s="81"/>
      <c r="M2420" s="81"/>
      <c r="N2420" s="81"/>
    </row>
    <row r="2421" spans="1:14" ht="14.25" customHeight="1" x14ac:dyDescent="0.25">
      <c r="A2421" s="81"/>
      <c r="B2421" s="81"/>
      <c r="C2421" s="137"/>
      <c r="D2421" s="81"/>
      <c r="E2421" s="81"/>
      <c r="F2421" s="81"/>
      <c r="G2421" s="81"/>
      <c r="H2421" s="81"/>
      <c r="I2421" s="81"/>
      <c r="J2421" s="81"/>
      <c r="K2421" s="81"/>
      <c r="L2421" s="81"/>
      <c r="M2421" s="81"/>
      <c r="N2421" s="81"/>
    </row>
    <row r="2422" spans="1:14" ht="14.25" customHeight="1" x14ac:dyDescent="0.25">
      <c r="A2422" s="81"/>
      <c r="B2422" s="81"/>
      <c r="C2422" s="137"/>
      <c r="D2422" s="81"/>
      <c r="E2422" s="81"/>
      <c r="F2422" s="81"/>
      <c r="G2422" s="81"/>
      <c r="H2422" s="81"/>
      <c r="I2422" s="81"/>
      <c r="J2422" s="81"/>
      <c r="K2422" s="81"/>
      <c r="L2422" s="81"/>
      <c r="M2422" s="81"/>
      <c r="N2422" s="81"/>
    </row>
    <row r="2423" spans="1:14" ht="14.25" customHeight="1" x14ac:dyDescent="0.25">
      <c r="A2423" s="81"/>
      <c r="B2423" s="81"/>
      <c r="C2423" s="137"/>
      <c r="D2423" s="81"/>
      <c r="E2423" s="81"/>
      <c r="F2423" s="81"/>
      <c r="G2423" s="81"/>
      <c r="H2423" s="81"/>
      <c r="I2423" s="81"/>
      <c r="J2423" s="81"/>
      <c r="K2423" s="81"/>
      <c r="L2423" s="81"/>
      <c r="M2423" s="81"/>
      <c r="N2423" s="81"/>
    </row>
    <row r="2424" spans="1:14" ht="14.25" customHeight="1" x14ac:dyDescent="0.25">
      <c r="A2424" s="81"/>
      <c r="B2424" s="81"/>
      <c r="C2424" s="137"/>
      <c r="D2424" s="81"/>
      <c r="E2424" s="81"/>
      <c r="F2424" s="81"/>
      <c r="G2424" s="81"/>
      <c r="H2424" s="81"/>
      <c r="I2424" s="81"/>
      <c r="J2424" s="81"/>
      <c r="K2424" s="81"/>
      <c r="L2424" s="81"/>
      <c r="M2424" s="81"/>
      <c r="N2424" s="81"/>
    </row>
    <row r="2425" spans="1:14" ht="14.25" customHeight="1" x14ac:dyDescent="0.25">
      <c r="A2425" s="81"/>
      <c r="B2425" s="81"/>
      <c r="C2425" s="137"/>
      <c r="D2425" s="81"/>
      <c r="E2425" s="81"/>
      <c r="F2425" s="81"/>
      <c r="G2425" s="81"/>
      <c r="H2425" s="81"/>
      <c r="I2425" s="81"/>
      <c r="J2425" s="81"/>
      <c r="K2425" s="81"/>
      <c r="L2425" s="81"/>
      <c r="M2425" s="81"/>
      <c r="N2425" s="81"/>
    </row>
    <row r="2426" spans="1:14" ht="14.25" customHeight="1" x14ac:dyDescent="0.25">
      <c r="A2426" s="134"/>
      <c r="B2426" s="135"/>
      <c r="C2426" s="135"/>
      <c r="D2426" s="135"/>
      <c r="E2426" s="135"/>
      <c r="F2426" s="136"/>
      <c r="G2426" s="81"/>
      <c r="H2426" s="81"/>
      <c r="I2426" s="81"/>
      <c r="J2426" s="81"/>
      <c r="K2426" s="81"/>
      <c r="L2426" s="81"/>
      <c r="M2426" s="81"/>
      <c r="N2426" s="81"/>
    </row>
    <row r="2427" spans="1:14" ht="14.25" customHeight="1" x14ac:dyDescent="0.25">
      <c r="A2427" s="134"/>
      <c r="B2427" s="135"/>
      <c r="C2427" s="135"/>
      <c r="D2427" s="135"/>
      <c r="E2427" s="135"/>
      <c r="F2427" s="136"/>
      <c r="G2427" s="81"/>
      <c r="H2427" s="81"/>
      <c r="I2427" s="81"/>
      <c r="J2427" s="81"/>
      <c r="K2427" s="81"/>
      <c r="L2427" s="81"/>
      <c r="M2427" s="81"/>
      <c r="N2427" s="81"/>
    </row>
    <row r="2428" spans="1:14" ht="14.25" customHeight="1" x14ac:dyDescent="0.25">
      <c r="A2428" s="134"/>
      <c r="B2428" s="135"/>
      <c r="C2428" s="135"/>
      <c r="D2428" s="135"/>
      <c r="E2428" s="135"/>
      <c r="F2428" s="136"/>
      <c r="G2428" s="81"/>
      <c r="H2428" s="81"/>
      <c r="I2428" s="81"/>
      <c r="J2428" s="81"/>
      <c r="K2428" s="81"/>
      <c r="L2428" s="81"/>
      <c r="M2428" s="81"/>
      <c r="N2428" s="81"/>
    </row>
    <row r="2429" spans="1:14" ht="14.25" customHeight="1" thickBot="1" x14ac:dyDescent="0.3">
      <c r="A2429" s="81"/>
      <c r="B2429" s="81"/>
      <c r="C2429" s="81"/>
      <c r="D2429" s="81"/>
      <c r="E2429" s="81"/>
      <c r="F2429" s="81"/>
      <c r="G2429" s="81"/>
      <c r="H2429" s="81"/>
      <c r="I2429" s="81"/>
      <c r="J2429" s="81"/>
      <c r="K2429" s="81"/>
      <c r="L2429" s="81"/>
      <c r="M2429" s="81"/>
      <c r="N2429" s="81"/>
    </row>
    <row r="2430" spans="1:14" ht="14.25" customHeight="1" x14ac:dyDescent="0.25">
      <c r="A2430" s="83"/>
      <c r="B2430" s="84"/>
      <c r="C2430" s="85"/>
      <c r="D2430" s="86"/>
      <c r="E2430" s="86"/>
      <c r="F2430" s="87"/>
      <c r="G2430" s="81"/>
      <c r="H2430" s="81"/>
      <c r="I2430" s="81"/>
      <c r="J2430" s="81"/>
      <c r="K2430" s="81"/>
      <c r="L2430" s="81"/>
      <c r="M2430" s="81"/>
      <c r="N2430" s="81"/>
    </row>
    <row r="2431" spans="1:14" ht="14.25" customHeight="1" x14ac:dyDescent="0.25">
      <c r="A2431" s="599"/>
      <c r="B2431" s="600"/>
      <c r="C2431" s="600"/>
      <c r="D2431" s="600"/>
      <c r="E2431" s="600"/>
      <c r="F2431" s="601"/>
      <c r="G2431" s="81"/>
      <c r="H2431" s="81"/>
      <c r="I2431" s="81"/>
      <c r="J2431" s="81"/>
      <c r="K2431" s="81"/>
      <c r="L2431" s="81"/>
      <c r="M2431" s="81"/>
      <c r="N2431" s="81"/>
    </row>
    <row r="2432" spans="1:14" ht="14.25" customHeight="1" x14ac:dyDescent="0.25">
      <c r="A2432" s="602" t="s">
        <v>561</v>
      </c>
      <c r="B2432" s="600"/>
      <c r="C2432" s="600"/>
      <c r="D2432" s="600"/>
      <c r="E2432" s="600"/>
      <c r="F2432" s="601"/>
      <c r="G2432" s="81"/>
      <c r="H2432" s="81"/>
      <c r="I2432" s="81"/>
      <c r="J2432" s="81"/>
      <c r="K2432" s="81"/>
      <c r="L2432" s="81"/>
      <c r="M2432" s="81"/>
      <c r="N2432" s="81"/>
    </row>
    <row r="2433" spans="1:14" ht="14.25" customHeight="1" thickBot="1" x14ac:dyDescent="0.3">
      <c r="A2433" s="603"/>
      <c r="B2433" s="604"/>
      <c r="C2433" s="604"/>
      <c r="D2433" s="604"/>
      <c r="E2433" s="604"/>
      <c r="F2433" s="605"/>
      <c r="G2433" s="81"/>
      <c r="H2433" s="81"/>
      <c r="I2433" s="81"/>
      <c r="J2433" s="81"/>
      <c r="K2433" s="81"/>
      <c r="L2433" s="81"/>
      <c r="M2433" s="81"/>
      <c r="N2433" s="81"/>
    </row>
    <row r="2434" spans="1:14" ht="14.25" customHeight="1" x14ac:dyDescent="0.25">
      <c r="A2434" s="88"/>
      <c r="B2434" s="88"/>
      <c r="C2434" s="89"/>
      <c r="D2434" s="89"/>
      <c r="E2434" s="89"/>
      <c r="F2434" s="89"/>
      <c r="G2434" s="81"/>
      <c r="H2434" s="81"/>
      <c r="I2434" s="81"/>
      <c r="J2434" s="81"/>
      <c r="K2434" s="81"/>
      <c r="L2434" s="81"/>
      <c r="M2434" s="81"/>
      <c r="N2434" s="81"/>
    </row>
    <row r="2435" spans="1:14" ht="14.25" customHeight="1" x14ac:dyDescent="0.25">
      <c r="A2435" s="90" t="s">
        <v>47</v>
      </c>
      <c r="B2435" s="613" t="s">
        <v>141</v>
      </c>
      <c r="C2435" s="600"/>
      <c r="D2435" s="600"/>
      <c r="E2435" s="600"/>
      <c r="F2435" s="600"/>
      <c r="G2435" s="81"/>
      <c r="H2435" s="81"/>
      <c r="I2435" s="81"/>
      <c r="J2435" s="81"/>
      <c r="K2435" s="81"/>
      <c r="L2435" s="81"/>
      <c r="M2435" s="81"/>
      <c r="N2435" s="81"/>
    </row>
    <row r="2436" spans="1:14" ht="14.25" customHeight="1" x14ac:dyDescent="0.25">
      <c r="A2436" s="91"/>
      <c r="B2436" s="91"/>
      <c r="C2436" s="91"/>
      <c r="D2436" s="91"/>
      <c r="E2436" s="91"/>
      <c r="F2436" s="91"/>
      <c r="G2436" s="81"/>
      <c r="H2436" s="81"/>
      <c r="I2436" s="81"/>
      <c r="J2436" s="81"/>
      <c r="K2436" s="81"/>
      <c r="L2436" s="81"/>
      <c r="M2436" s="81"/>
      <c r="N2436" s="81"/>
    </row>
    <row r="2437" spans="1:14" ht="14.25" customHeight="1" x14ac:dyDescent="0.25">
      <c r="A2437" s="88" t="s">
        <v>49</v>
      </c>
      <c r="B2437" s="92" t="s">
        <v>56</v>
      </c>
      <c r="C2437" s="89"/>
      <c r="D2437" s="89"/>
      <c r="E2437" s="89"/>
      <c r="F2437" s="93"/>
      <c r="G2437" s="81"/>
      <c r="H2437" s="81"/>
      <c r="I2437" s="81"/>
      <c r="J2437" s="81"/>
      <c r="K2437" s="81"/>
      <c r="L2437" s="81"/>
      <c r="M2437" s="81"/>
      <c r="N2437" s="81"/>
    </row>
    <row r="2438" spans="1:14" ht="14.25" customHeight="1" x14ac:dyDescent="0.25">
      <c r="A2438" s="88"/>
      <c r="B2438" s="94"/>
      <c r="C2438" s="89"/>
      <c r="D2438" s="89"/>
      <c r="E2438" s="89"/>
      <c r="F2438" s="93"/>
      <c r="G2438" s="81"/>
      <c r="H2438" s="81"/>
      <c r="I2438" s="81"/>
      <c r="J2438" s="81"/>
      <c r="K2438" s="81"/>
      <c r="L2438" s="81"/>
      <c r="M2438" s="81"/>
      <c r="N2438" s="81"/>
    </row>
    <row r="2439" spans="1:14" ht="14.25" customHeight="1" x14ac:dyDescent="0.25">
      <c r="A2439" s="95" t="s">
        <v>562</v>
      </c>
      <c r="B2439" s="96"/>
      <c r="C2439" s="92"/>
      <c r="D2439" s="92"/>
      <c r="E2439" s="92"/>
      <c r="F2439" s="92"/>
      <c r="G2439" s="81"/>
      <c r="H2439" s="81"/>
      <c r="I2439" s="81"/>
      <c r="J2439" s="81"/>
      <c r="K2439" s="81"/>
      <c r="L2439" s="81"/>
      <c r="M2439" s="81"/>
      <c r="N2439" s="81"/>
    </row>
    <row r="2440" spans="1:14" ht="14.25" customHeight="1" x14ac:dyDescent="0.25">
      <c r="A2440" s="97" t="s">
        <v>563</v>
      </c>
      <c r="B2440" s="98" t="s">
        <v>564</v>
      </c>
      <c r="C2440" s="98" t="s">
        <v>565</v>
      </c>
      <c r="D2440" s="98" t="s">
        <v>566</v>
      </c>
      <c r="E2440" s="98" t="s">
        <v>567</v>
      </c>
      <c r="F2440" s="98" t="s">
        <v>568</v>
      </c>
      <c r="G2440" s="81"/>
      <c r="H2440" s="81"/>
      <c r="I2440" s="81"/>
      <c r="J2440" s="81"/>
      <c r="K2440" s="81"/>
      <c r="L2440" s="81"/>
      <c r="M2440" s="81"/>
      <c r="N2440" s="81"/>
    </row>
    <row r="2441" spans="1:14" ht="14.25" customHeight="1" x14ac:dyDescent="0.25">
      <c r="A2441" s="99" t="s">
        <v>670</v>
      </c>
      <c r="B2441" s="100" t="s">
        <v>671</v>
      </c>
      <c r="C2441" s="101">
        <v>45850</v>
      </c>
      <c r="D2441" s="149">
        <v>0.06</v>
      </c>
      <c r="E2441" s="102">
        <v>0.05</v>
      </c>
      <c r="F2441" s="101">
        <f>C2441*(D2441+(D2441*E2441))</f>
        <v>2888.55</v>
      </c>
      <c r="G2441" s="81"/>
      <c r="H2441" s="81"/>
      <c r="I2441" s="81"/>
      <c r="J2441" s="81"/>
      <c r="K2441" s="81"/>
      <c r="L2441" s="81"/>
      <c r="M2441" s="81"/>
      <c r="N2441" s="81"/>
    </row>
    <row r="2442" spans="1:14" ht="14.25" customHeight="1" x14ac:dyDescent="0.25">
      <c r="A2442" s="99"/>
      <c r="B2442" s="100"/>
      <c r="C2442" s="101"/>
      <c r="D2442" s="149"/>
      <c r="E2442" s="102"/>
      <c r="F2442" s="101"/>
      <c r="G2442" s="81"/>
      <c r="H2442" s="81"/>
      <c r="I2442" s="81"/>
      <c r="J2442" s="81"/>
      <c r="K2442" s="81"/>
      <c r="L2442" s="81"/>
      <c r="M2442" s="81"/>
      <c r="N2442" s="81"/>
    </row>
    <row r="2443" spans="1:14" ht="14.25" customHeight="1" x14ac:dyDescent="0.25">
      <c r="A2443" s="99"/>
      <c r="B2443" s="100"/>
      <c r="C2443" s="101"/>
      <c r="D2443" s="149"/>
      <c r="E2443" s="102"/>
      <c r="F2443" s="101"/>
      <c r="G2443" s="81"/>
      <c r="H2443" s="81"/>
      <c r="I2443" s="81"/>
      <c r="J2443" s="81"/>
      <c r="K2443" s="81"/>
      <c r="L2443" s="81"/>
      <c r="M2443" s="81"/>
      <c r="N2443" s="81"/>
    </row>
    <row r="2444" spans="1:14" ht="14.25" customHeight="1" x14ac:dyDescent="0.25">
      <c r="A2444" s="99"/>
      <c r="B2444" s="100"/>
      <c r="C2444" s="101"/>
      <c r="D2444" s="104"/>
      <c r="E2444" s="102"/>
      <c r="F2444" s="101"/>
      <c r="G2444" s="81"/>
      <c r="H2444" s="81"/>
      <c r="I2444" s="81"/>
      <c r="J2444" s="81"/>
      <c r="K2444" s="81"/>
      <c r="L2444" s="81"/>
      <c r="M2444" s="81"/>
      <c r="N2444" s="81"/>
    </row>
    <row r="2445" spans="1:14" ht="14.25" customHeight="1" x14ac:dyDescent="0.25">
      <c r="A2445" s="99"/>
      <c r="B2445" s="100"/>
      <c r="C2445" s="101"/>
      <c r="D2445" s="104"/>
      <c r="E2445" s="102"/>
      <c r="F2445" s="101"/>
      <c r="G2445" s="81"/>
      <c r="H2445" s="81"/>
      <c r="I2445" s="81"/>
      <c r="J2445" s="81"/>
      <c r="K2445" s="81"/>
      <c r="L2445" s="81"/>
      <c r="M2445" s="81"/>
      <c r="N2445" s="81"/>
    </row>
    <row r="2446" spans="1:14" ht="14.25" customHeight="1" x14ac:dyDescent="0.25">
      <c r="A2446" s="99"/>
      <c r="B2446" s="100"/>
      <c r="C2446" s="106"/>
      <c r="D2446" s="107"/>
      <c r="E2446" s="108"/>
      <c r="F2446" s="106"/>
      <c r="G2446" s="81"/>
      <c r="H2446" s="81"/>
      <c r="I2446" s="81"/>
      <c r="J2446" s="81"/>
      <c r="K2446" s="81"/>
      <c r="L2446" s="81"/>
      <c r="M2446" s="81"/>
      <c r="N2446" s="81"/>
    </row>
    <row r="2447" spans="1:14" ht="14.25" customHeight="1" x14ac:dyDescent="0.25">
      <c r="A2447" s="97" t="s">
        <v>548</v>
      </c>
      <c r="B2447" s="97"/>
      <c r="C2447" s="109"/>
      <c r="D2447" s="110"/>
      <c r="E2447" s="111"/>
      <c r="F2447" s="112">
        <f>SUM(F2441:F2446)</f>
        <v>2888.55</v>
      </c>
      <c r="G2447" s="81"/>
      <c r="H2447" s="81"/>
      <c r="I2447" s="81"/>
      <c r="J2447" s="81"/>
      <c r="K2447" s="81"/>
      <c r="L2447" s="81"/>
      <c r="M2447" s="81"/>
      <c r="N2447" s="81"/>
    </row>
    <row r="2448" spans="1:14" ht="14.25" customHeight="1" x14ac:dyDescent="0.25">
      <c r="A2448" s="88"/>
      <c r="B2448" s="88"/>
      <c r="C2448" s="113"/>
      <c r="D2448" s="113"/>
      <c r="E2448" s="114"/>
      <c r="F2448" s="113"/>
      <c r="G2448" s="81"/>
      <c r="H2448" s="81"/>
      <c r="I2448" s="81"/>
      <c r="J2448" s="81"/>
      <c r="K2448" s="81"/>
      <c r="L2448" s="81"/>
      <c r="M2448" s="81"/>
      <c r="N2448" s="81"/>
    </row>
    <row r="2449" spans="1:14" ht="14.25" customHeight="1" x14ac:dyDescent="0.25">
      <c r="A2449" s="96" t="s">
        <v>573</v>
      </c>
      <c r="B2449" s="96"/>
      <c r="C2449" s="92"/>
      <c r="D2449" s="92"/>
      <c r="E2449" s="92"/>
      <c r="F2449" s="92"/>
      <c r="G2449" s="81"/>
      <c r="H2449" s="81"/>
      <c r="I2449" s="81"/>
      <c r="J2449" s="81"/>
      <c r="K2449" s="81"/>
      <c r="L2449" s="81"/>
      <c r="M2449" s="81"/>
      <c r="N2449" s="81"/>
    </row>
    <row r="2450" spans="1:14" ht="14.25" customHeight="1" x14ac:dyDescent="0.25">
      <c r="A2450" s="611" t="s">
        <v>563</v>
      </c>
      <c r="B2450" s="608"/>
      <c r="C2450" s="609"/>
      <c r="D2450" s="98" t="s">
        <v>574</v>
      </c>
      <c r="E2450" s="98" t="s">
        <v>575</v>
      </c>
      <c r="F2450" s="98" t="s">
        <v>568</v>
      </c>
      <c r="G2450" s="81"/>
      <c r="H2450" s="81"/>
      <c r="I2450" s="81"/>
      <c r="J2450" s="81"/>
      <c r="K2450" s="81"/>
      <c r="L2450" s="81"/>
      <c r="M2450" s="81"/>
      <c r="N2450" s="81"/>
    </row>
    <row r="2451" spans="1:14" ht="14.25" customHeight="1" x14ac:dyDescent="0.25">
      <c r="A2451" s="607" t="s">
        <v>577</v>
      </c>
      <c r="B2451" s="608"/>
      <c r="C2451" s="609"/>
      <c r="D2451" s="116"/>
      <c r="E2451" s="107"/>
      <c r="F2451" s="106">
        <f>+F2464*5%</f>
        <v>385.98731884057969</v>
      </c>
      <c r="G2451" s="81"/>
      <c r="H2451" s="81"/>
      <c r="I2451" s="81"/>
      <c r="J2451" s="81"/>
      <c r="K2451" s="81"/>
      <c r="L2451" s="81"/>
      <c r="M2451" s="81"/>
      <c r="N2451" s="81"/>
    </row>
    <row r="2452" spans="1:14" ht="14.25" customHeight="1" x14ac:dyDescent="0.25">
      <c r="A2452" s="607" t="s">
        <v>657</v>
      </c>
      <c r="B2452" s="608"/>
      <c r="C2452" s="609"/>
      <c r="D2452" s="142">
        <v>1850</v>
      </c>
      <c r="E2452" s="107">
        <v>1.7</v>
      </c>
      <c r="F2452" s="106">
        <f>D2452/E2452</f>
        <v>1088.2352941176471</v>
      </c>
      <c r="G2452" s="81"/>
      <c r="H2452" s="81"/>
      <c r="I2452" s="81"/>
      <c r="J2452" s="81"/>
      <c r="K2452" s="81"/>
      <c r="L2452" s="81"/>
      <c r="M2452" s="81"/>
      <c r="N2452" s="81"/>
    </row>
    <row r="2453" spans="1:14" ht="14.25" customHeight="1" x14ac:dyDescent="0.25">
      <c r="A2453" s="607"/>
      <c r="B2453" s="608"/>
      <c r="C2453" s="609"/>
      <c r="D2453" s="142"/>
      <c r="E2453" s="105"/>
      <c r="F2453" s="106"/>
      <c r="G2453" s="81"/>
      <c r="H2453" s="81"/>
      <c r="I2453" s="81"/>
      <c r="J2453" s="81"/>
      <c r="K2453" s="81"/>
      <c r="L2453" s="81"/>
      <c r="M2453" s="81"/>
      <c r="N2453" s="81"/>
    </row>
    <row r="2454" spans="1:14" ht="14.25" customHeight="1" x14ac:dyDescent="0.25">
      <c r="A2454" s="607"/>
      <c r="B2454" s="608"/>
      <c r="C2454" s="609"/>
      <c r="D2454" s="142"/>
      <c r="E2454" s="107"/>
      <c r="F2454" s="106"/>
      <c r="G2454" s="81"/>
      <c r="H2454" s="81"/>
      <c r="I2454" s="81"/>
      <c r="J2454" s="81"/>
      <c r="K2454" s="81"/>
      <c r="L2454" s="81"/>
      <c r="M2454" s="81"/>
      <c r="N2454" s="81"/>
    </row>
    <row r="2455" spans="1:14" ht="14.25" customHeight="1" x14ac:dyDescent="0.25">
      <c r="A2455" s="610"/>
      <c r="B2455" s="608"/>
      <c r="C2455" s="609"/>
      <c r="D2455" s="115"/>
      <c r="E2455" s="107"/>
      <c r="F2455" s="106"/>
      <c r="G2455" s="81"/>
      <c r="H2455" s="81"/>
      <c r="I2455" s="81"/>
      <c r="J2455" s="81"/>
      <c r="K2455" s="81"/>
      <c r="L2455" s="81"/>
      <c r="M2455" s="81"/>
      <c r="N2455" s="81"/>
    </row>
    <row r="2456" spans="1:14" ht="14.25" customHeight="1" x14ac:dyDescent="0.25">
      <c r="A2456" s="611" t="s">
        <v>548</v>
      </c>
      <c r="B2456" s="608"/>
      <c r="C2456" s="609"/>
      <c r="D2456" s="110"/>
      <c r="E2456" s="110"/>
      <c r="F2456" s="112">
        <f>SUM(F2451:F2454)</f>
        <v>1474.2226129582268</v>
      </c>
      <c r="G2456" s="81"/>
      <c r="H2456" s="81"/>
      <c r="I2456" s="81"/>
      <c r="J2456" s="81"/>
      <c r="K2456" s="81"/>
      <c r="L2456" s="81"/>
      <c r="M2456" s="81"/>
      <c r="N2456" s="81"/>
    </row>
    <row r="2457" spans="1:14" ht="14.25" customHeight="1" x14ac:dyDescent="0.25">
      <c r="A2457" s="88"/>
      <c r="B2457" s="88"/>
      <c r="C2457" s="89"/>
      <c r="D2457" s="113"/>
      <c r="E2457" s="113"/>
      <c r="F2457" s="113"/>
      <c r="G2457" s="81"/>
      <c r="H2457" s="81"/>
      <c r="I2457" s="81"/>
      <c r="J2457" s="81"/>
      <c r="K2457" s="81"/>
      <c r="L2457" s="81"/>
      <c r="M2457" s="81"/>
      <c r="N2457" s="81"/>
    </row>
    <row r="2458" spans="1:14" ht="14.25" customHeight="1" x14ac:dyDescent="0.25">
      <c r="A2458" s="96" t="s">
        <v>578</v>
      </c>
      <c r="B2458" s="96"/>
      <c r="C2458" s="92"/>
      <c r="D2458" s="118"/>
      <c r="E2458" s="118"/>
      <c r="F2458" s="118"/>
      <c r="G2458" s="81"/>
      <c r="H2458" s="81"/>
      <c r="I2458" s="81"/>
      <c r="J2458" s="81"/>
      <c r="K2458" s="81"/>
      <c r="L2458" s="81"/>
      <c r="M2458" s="81"/>
      <c r="N2458" s="81"/>
    </row>
    <row r="2459" spans="1:14" ht="14.25" customHeight="1" x14ac:dyDescent="0.25">
      <c r="A2459" s="119" t="s">
        <v>563</v>
      </c>
      <c r="B2459" s="120" t="s">
        <v>579</v>
      </c>
      <c r="C2459" s="120" t="s">
        <v>580</v>
      </c>
      <c r="D2459" s="121" t="s">
        <v>581</v>
      </c>
      <c r="E2459" s="121" t="s">
        <v>575</v>
      </c>
      <c r="F2459" s="121" t="s">
        <v>568</v>
      </c>
      <c r="G2459" s="81"/>
      <c r="H2459" s="81"/>
      <c r="I2459" s="81"/>
      <c r="J2459" s="81"/>
      <c r="K2459" s="81"/>
      <c r="L2459" s="81"/>
      <c r="M2459" s="81"/>
      <c r="N2459" s="81"/>
    </row>
    <row r="2460" spans="1:14" ht="14.25" customHeight="1" x14ac:dyDescent="0.25">
      <c r="A2460" s="122" t="s">
        <v>593</v>
      </c>
      <c r="B2460" s="127">
        <v>1</v>
      </c>
      <c r="C2460" s="101">
        <v>32688</v>
      </c>
      <c r="D2460" s="101">
        <f t="shared" ref="D2460:D2461" si="138">+C2460*1.7</f>
        <v>55569.599999999999</v>
      </c>
      <c r="E2460" s="107">
        <v>18.768000000000001</v>
      </c>
      <c r="F2460" s="106">
        <f t="shared" ref="F2460:F2461" si="139">+B2460*(D2460)/E2460</f>
        <v>2960.869565217391</v>
      </c>
      <c r="G2460" s="81"/>
      <c r="H2460" s="81"/>
      <c r="I2460" s="81"/>
      <c r="J2460" s="81"/>
      <c r="K2460" s="81"/>
      <c r="L2460" s="81"/>
      <c r="M2460" s="81"/>
      <c r="N2460" s="81"/>
    </row>
    <row r="2461" spans="1:14" ht="14.25" customHeight="1" x14ac:dyDescent="0.25">
      <c r="A2461" s="122" t="s">
        <v>594</v>
      </c>
      <c r="B2461" s="127">
        <v>1</v>
      </c>
      <c r="C2461" s="101">
        <v>52538</v>
      </c>
      <c r="D2461" s="101">
        <f t="shared" si="138"/>
        <v>89314.599999999991</v>
      </c>
      <c r="E2461" s="107">
        <f>E2460</f>
        <v>18.768000000000001</v>
      </c>
      <c r="F2461" s="106">
        <f t="shared" si="139"/>
        <v>4758.8768115942021</v>
      </c>
      <c r="G2461" s="81"/>
      <c r="H2461" s="81"/>
      <c r="I2461" s="81"/>
      <c r="J2461" s="81"/>
      <c r="K2461" s="81"/>
      <c r="L2461" s="81"/>
      <c r="M2461" s="81"/>
      <c r="N2461" s="81"/>
    </row>
    <row r="2462" spans="1:14" ht="14.25" customHeight="1" x14ac:dyDescent="0.25">
      <c r="A2462" s="122"/>
      <c r="B2462" s="127"/>
      <c r="C2462" s="101"/>
      <c r="D2462" s="101"/>
      <c r="E2462" s="105"/>
      <c r="F2462" s="106"/>
      <c r="G2462" s="81"/>
      <c r="H2462" s="81"/>
      <c r="I2462" s="81"/>
      <c r="J2462" s="81"/>
      <c r="K2462" s="81"/>
      <c r="L2462" s="81"/>
      <c r="M2462" s="81"/>
      <c r="N2462" s="81"/>
    </row>
    <row r="2463" spans="1:14" ht="14.25" customHeight="1" x14ac:dyDescent="0.25">
      <c r="A2463" s="122"/>
      <c r="B2463" s="127"/>
      <c r="C2463" s="101"/>
      <c r="D2463" s="101"/>
      <c r="E2463" s="125"/>
      <c r="F2463" s="106"/>
      <c r="G2463" s="81"/>
      <c r="H2463" s="81"/>
      <c r="I2463" s="81"/>
      <c r="J2463" s="81"/>
      <c r="K2463" s="81"/>
      <c r="L2463" s="81"/>
      <c r="M2463" s="81"/>
      <c r="N2463" s="81"/>
    </row>
    <row r="2464" spans="1:14" ht="14.25" customHeight="1" x14ac:dyDescent="0.25">
      <c r="A2464" s="97" t="s">
        <v>548</v>
      </c>
      <c r="B2464" s="128"/>
      <c r="C2464" s="110"/>
      <c r="D2464" s="110"/>
      <c r="E2464" s="110"/>
      <c r="F2464" s="112">
        <f>SUM(F2460:F2463)</f>
        <v>7719.7463768115931</v>
      </c>
      <c r="G2464" s="81"/>
      <c r="H2464" s="81"/>
      <c r="I2464" s="81"/>
      <c r="J2464" s="81"/>
      <c r="K2464" s="81"/>
      <c r="L2464" s="81"/>
      <c r="M2464" s="81"/>
      <c r="N2464" s="81"/>
    </row>
    <row r="2465" spans="1:14" ht="14.25" customHeight="1" x14ac:dyDescent="0.25">
      <c r="A2465" s="96"/>
      <c r="B2465" s="129"/>
      <c r="C2465" s="118"/>
      <c r="D2465" s="118"/>
      <c r="E2465" s="118"/>
      <c r="F2465" s="118"/>
      <c r="G2465" s="81"/>
      <c r="H2465" s="81"/>
      <c r="I2465" s="81"/>
      <c r="J2465" s="81"/>
      <c r="K2465" s="81"/>
      <c r="L2465" s="81"/>
      <c r="M2465" s="81"/>
      <c r="N2465" s="81"/>
    </row>
    <row r="2466" spans="1:14" ht="14.25" customHeight="1" x14ac:dyDescent="0.25">
      <c r="A2466" s="95" t="s">
        <v>583</v>
      </c>
      <c r="B2466" s="96"/>
      <c r="C2466" s="92"/>
      <c r="D2466" s="92"/>
      <c r="E2466" s="92" t="s">
        <v>584</v>
      </c>
      <c r="F2466" s="92"/>
      <c r="G2466" s="81"/>
      <c r="H2466" s="81"/>
      <c r="I2466" s="81"/>
      <c r="J2466" s="81"/>
      <c r="K2466" s="81"/>
      <c r="L2466" s="81"/>
      <c r="M2466" s="81"/>
      <c r="N2466" s="81"/>
    </row>
    <row r="2467" spans="1:14" ht="14.25" customHeight="1" x14ac:dyDescent="0.25">
      <c r="A2467" s="97" t="s">
        <v>563</v>
      </c>
      <c r="B2467" s="98" t="s">
        <v>564</v>
      </c>
      <c r="C2467" s="98" t="s">
        <v>585</v>
      </c>
      <c r="D2467" s="98" t="s">
        <v>586</v>
      </c>
      <c r="E2467" s="120" t="s">
        <v>587</v>
      </c>
      <c r="F2467" s="98" t="s">
        <v>568</v>
      </c>
      <c r="G2467" s="81"/>
      <c r="H2467" s="81"/>
      <c r="I2467" s="81"/>
      <c r="J2467" s="81"/>
      <c r="K2467" s="81"/>
      <c r="L2467" s="81"/>
      <c r="M2467" s="81"/>
      <c r="N2467" s="81"/>
    </row>
    <row r="2468" spans="1:14" ht="14.25" customHeight="1" x14ac:dyDescent="0.25">
      <c r="A2468" s="103"/>
      <c r="B2468" s="100"/>
      <c r="C2468" s="101"/>
      <c r="D2468" s="140"/>
      <c r="E2468" s="107"/>
      <c r="F2468" s="109"/>
      <c r="G2468" s="81"/>
      <c r="H2468" s="81"/>
      <c r="I2468" s="81"/>
      <c r="J2468" s="81"/>
      <c r="K2468" s="81"/>
      <c r="L2468" s="81"/>
      <c r="M2468" s="81"/>
      <c r="N2468" s="81"/>
    </row>
    <row r="2469" spans="1:14" ht="14.25" customHeight="1" x14ac:dyDescent="0.25">
      <c r="A2469" s="103"/>
      <c r="B2469" s="100"/>
      <c r="C2469" s="107"/>
      <c r="D2469" s="107"/>
      <c r="E2469" s="108"/>
      <c r="F2469" s="109"/>
      <c r="G2469" s="81"/>
      <c r="H2469" s="81"/>
      <c r="I2469" s="81"/>
      <c r="J2469" s="81"/>
      <c r="K2469" s="81"/>
      <c r="L2469" s="81"/>
      <c r="M2469" s="81"/>
      <c r="N2469" s="81"/>
    </row>
    <row r="2470" spans="1:14" ht="14.25" customHeight="1" x14ac:dyDescent="0.25">
      <c r="A2470" s="97" t="s">
        <v>548</v>
      </c>
      <c r="B2470" s="98"/>
      <c r="C2470" s="110"/>
      <c r="D2470" s="110"/>
      <c r="E2470" s="111"/>
      <c r="F2470" s="112">
        <f>SUM(F2468:F2469)</f>
        <v>0</v>
      </c>
      <c r="G2470" s="81"/>
      <c r="H2470" s="81"/>
      <c r="I2470" s="81"/>
      <c r="J2470" s="81"/>
      <c r="K2470" s="81"/>
      <c r="L2470" s="81"/>
      <c r="M2470" s="81"/>
      <c r="N2470" s="81"/>
    </row>
    <row r="2471" spans="1:14" ht="14.25" customHeight="1" x14ac:dyDescent="0.25">
      <c r="A2471" s="88"/>
      <c r="B2471" s="89"/>
      <c r="C2471" s="113"/>
      <c r="D2471" s="113"/>
      <c r="E2471" s="114"/>
      <c r="F2471" s="113"/>
      <c r="G2471" s="81"/>
      <c r="H2471" s="81"/>
      <c r="I2471" s="81"/>
      <c r="J2471" s="81"/>
      <c r="K2471" s="81"/>
      <c r="L2471" s="81"/>
      <c r="M2471" s="81"/>
      <c r="N2471" s="81"/>
    </row>
    <row r="2472" spans="1:14" ht="14.25" customHeight="1" x14ac:dyDescent="0.25">
      <c r="A2472" s="88"/>
      <c r="B2472" s="89"/>
      <c r="C2472" s="113"/>
      <c r="D2472" s="113"/>
      <c r="E2472" s="114"/>
      <c r="F2472" s="113"/>
      <c r="G2472" s="81"/>
      <c r="H2472" s="81"/>
      <c r="I2472" s="81"/>
      <c r="J2472" s="81"/>
      <c r="K2472" s="81"/>
      <c r="L2472" s="81"/>
      <c r="M2472" s="81"/>
      <c r="N2472" s="81"/>
    </row>
    <row r="2473" spans="1:14" ht="14.25" customHeight="1" x14ac:dyDescent="0.25">
      <c r="A2473" s="612" t="s">
        <v>588</v>
      </c>
      <c r="B2473" s="608"/>
      <c r="C2473" s="608"/>
      <c r="D2473" s="608"/>
      <c r="E2473" s="609"/>
      <c r="F2473" s="131">
        <f>ROUND(F2447+F2456+F2464+F2470,0)</f>
        <v>12083</v>
      </c>
      <c r="G2473" s="81"/>
      <c r="H2473" s="117"/>
      <c r="I2473" s="81"/>
      <c r="J2473" s="81"/>
      <c r="K2473" s="81"/>
      <c r="L2473" s="81"/>
      <c r="M2473" s="81"/>
      <c r="N2473" s="81"/>
    </row>
    <row r="2474" spans="1:14" ht="14.25" customHeight="1" x14ac:dyDescent="0.25">
      <c r="A2474" s="612" t="s">
        <v>589</v>
      </c>
      <c r="B2474" s="608"/>
      <c r="C2474" s="608"/>
      <c r="D2474" s="608"/>
      <c r="E2474" s="609"/>
      <c r="F2474" s="132"/>
      <c r="G2474" s="81"/>
      <c r="H2474" s="81"/>
      <c r="I2474" s="81"/>
      <c r="J2474" s="81"/>
      <c r="K2474" s="81"/>
      <c r="L2474" s="81"/>
      <c r="M2474" s="81"/>
      <c r="N2474" s="81"/>
    </row>
    <row r="2475" spans="1:14" ht="14.25" customHeight="1" x14ac:dyDescent="0.25">
      <c r="A2475" s="146" t="s">
        <v>556</v>
      </c>
      <c r="B2475" s="147"/>
      <c r="C2475" s="147"/>
      <c r="D2475" s="147"/>
      <c r="E2475" s="148"/>
      <c r="F2475" s="133"/>
      <c r="G2475" s="81"/>
      <c r="H2475" s="81"/>
      <c r="I2475" s="81"/>
      <c r="J2475" s="81"/>
      <c r="K2475" s="81"/>
      <c r="L2475" s="81"/>
      <c r="M2475" s="81"/>
      <c r="N2475" s="81"/>
    </row>
    <row r="2476" spans="1:14" ht="14.25" customHeight="1" x14ac:dyDescent="0.25">
      <c r="A2476" s="134"/>
      <c r="B2476" s="135"/>
      <c r="C2476" s="135"/>
      <c r="D2476" s="135"/>
      <c r="E2476" s="135"/>
      <c r="F2476" s="136"/>
      <c r="G2476" s="81"/>
      <c r="H2476" s="81"/>
      <c r="I2476" s="81"/>
      <c r="J2476" s="81"/>
      <c r="K2476" s="81"/>
      <c r="L2476" s="81"/>
      <c r="M2476" s="81"/>
      <c r="N2476" s="81"/>
    </row>
    <row r="2477" spans="1:14" ht="14.25" customHeight="1" x14ac:dyDescent="0.25">
      <c r="A2477" s="81"/>
      <c r="B2477" s="81"/>
      <c r="C2477" s="137"/>
      <c r="D2477" s="81"/>
      <c r="E2477" s="81"/>
      <c r="F2477" s="81"/>
      <c r="G2477" s="81"/>
      <c r="H2477" s="81"/>
      <c r="I2477" s="81"/>
      <c r="J2477" s="81"/>
      <c r="K2477" s="81"/>
      <c r="L2477" s="81"/>
      <c r="M2477" s="81"/>
      <c r="N2477" s="81"/>
    </row>
    <row r="2478" spans="1:14" ht="14.25" customHeight="1" x14ac:dyDescent="0.25">
      <c r="A2478" s="81"/>
      <c r="B2478" s="81"/>
      <c r="C2478" s="137"/>
      <c r="D2478" s="81"/>
      <c r="E2478" s="81"/>
      <c r="F2478" s="81"/>
      <c r="G2478" s="81"/>
      <c r="H2478" s="81"/>
      <c r="I2478" s="81"/>
      <c r="J2478" s="81"/>
      <c r="K2478" s="81"/>
      <c r="L2478" s="81"/>
      <c r="M2478" s="81"/>
      <c r="N2478" s="81"/>
    </row>
    <row r="2479" spans="1:14" ht="14.25" customHeight="1" x14ac:dyDescent="0.25">
      <c r="A2479" s="81"/>
      <c r="B2479" s="81"/>
      <c r="C2479" s="137"/>
      <c r="D2479" s="81"/>
      <c r="E2479" s="81"/>
      <c r="F2479" s="81"/>
      <c r="G2479" s="81"/>
      <c r="H2479" s="81"/>
      <c r="I2479" s="81"/>
      <c r="J2479" s="81"/>
      <c r="K2479" s="81"/>
      <c r="L2479" s="81"/>
      <c r="M2479" s="81"/>
      <c r="N2479" s="81"/>
    </row>
    <row r="2480" spans="1:14" ht="14.25" customHeight="1" x14ac:dyDescent="0.25">
      <c r="A2480" s="81"/>
      <c r="B2480" s="81"/>
      <c r="C2480" s="137"/>
      <c r="D2480" s="81"/>
      <c r="E2480" s="81"/>
      <c r="F2480" s="81"/>
      <c r="G2480" s="81"/>
      <c r="H2480" s="81"/>
      <c r="I2480" s="81"/>
      <c r="J2480" s="81"/>
      <c r="K2480" s="81"/>
      <c r="L2480" s="81"/>
      <c r="M2480" s="81"/>
      <c r="N2480" s="81"/>
    </row>
    <row r="2481" spans="1:14" ht="14.25" customHeight="1" x14ac:dyDescent="0.25">
      <c r="A2481" s="81"/>
      <c r="B2481" s="81"/>
      <c r="C2481" s="137"/>
      <c r="D2481" s="81"/>
      <c r="E2481" s="81"/>
      <c r="F2481" s="81"/>
      <c r="G2481" s="81"/>
      <c r="H2481" s="81"/>
      <c r="I2481" s="81"/>
      <c r="J2481" s="81"/>
      <c r="K2481" s="81"/>
      <c r="L2481" s="81"/>
      <c r="M2481" s="81"/>
      <c r="N2481" s="81"/>
    </row>
    <row r="2482" spans="1:14" ht="14.25" customHeight="1" x14ac:dyDescent="0.25">
      <c r="A2482" s="81"/>
      <c r="B2482" s="81"/>
      <c r="C2482" s="137"/>
      <c r="D2482" s="81"/>
      <c r="E2482" s="81"/>
      <c r="F2482" s="81"/>
      <c r="G2482" s="81"/>
      <c r="H2482" s="81"/>
      <c r="I2482" s="81"/>
      <c r="J2482" s="81"/>
      <c r="K2482" s="81"/>
      <c r="L2482" s="81"/>
      <c r="M2482" s="81"/>
      <c r="N2482" s="81"/>
    </row>
    <row r="2483" spans="1:14" ht="14.25" customHeight="1" x14ac:dyDescent="0.25">
      <c r="A2483" s="134"/>
      <c r="B2483" s="135"/>
      <c r="C2483" s="135"/>
      <c r="D2483" s="135"/>
      <c r="E2483" s="135"/>
      <c r="F2483" s="136"/>
      <c r="G2483" s="81"/>
      <c r="H2483" s="81"/>
      <c r="I2483" s="81"/>
      <c r="J2483" s="81"/>
      <c r="K2483" s="81"/>
      <c r="L2483" s="81"/>
      <c r="M2483" s="81"/>
      <c r="N2483" s="81"/>
    </row>
    <row r="2484" spans="1:14" ht="14.25" customHeight="1" x14ac:dyDescent="0.25">
      <c r="A2484" s="134"/>
      <c r="B2484" s="135"/>
      <c r="C2484" s="135"/>
      <c r="D2484" s="135"/>
      <c r="E2484" s="135"/>
      <c r="F2484" s="136"/>
      <c r="G2484" s="81"/>
      <c r="H2484" s="81"/>
      <c r="I2484" s="81"/>
      <c r="J2484" s="81"/>
      <c r="K2484" s="81"/>
      <c r="L2484" s="81"/>
      <c r="M2484" s="81"/>
      <c r="N2484" s="81"/>
    </row>
    <row r="2485" spans="1:14" ht="14.25" customHeight="1" x14ac:dyDescent="0.25">
      <c r="A2485" s="134"/>
      <c r="B2485" s="135"/>
      <c r="C2485" s="135"/>
      <c r="D2485" s="135"/>
      <c r="E2485" s="135"/>
      <c r="F2485" s="136"/>
      <c r="G2485" s="81"/>
      <c r="H2485" s="81"/>
      <c r="I2485" s="81"/>
      <c r="J2485" s="81"/>
      <c r="K2485" s="81"/>
      <c r="L2485" s="81"/>
      <c r="M2485" s="81"/>
      <c r="N2485" s="81"/>
    </row>
    <row r="2486" spans="1:14" ht="14.25" customHeight="1" thickBot="1" x14ac:dyDescent="0.3">
      <c r="A2486" s="81"/>
      <c r="B2486" s="81"/>
      <c r="C2486" s="81"/>
      <c r="D2486" s="81"/>
      <c r="E2486" s="81"/>
      <c r="F2486" s="81"/>
      <c r="G2486" s="81"/>
      <c r="H2486" s="81"/>
      <c r="I2486" s="81"/>
      <c r="J2486" s="81"/>
      <c r="K2486" s="81"/>
      <c r="L2486" s="81"/>
      <c r="M2486" s="81"/>
      <c r="N2486" s="81"/>
    </row>
    <row r="2487" spans="1:14" ht="14.25" customHeight="1" x14ac:dyDescent="0.25">
      <c r="A2487" s="83"/>
      <c r="B2487" s="84"/>
      <c r="C2487" s="85"/>
      <c r="D2487" s="86"/>
      <c r="E2487" s="86"/>
      <c r="F2487" s="87"/>
      <c r="G2487" s="81"/>
      <c r="H2487" s="81"/>
      <c r="I2487" s="81"/>
      <c r="J2487" s="81"/>
      <c r="K2487" s="81"/>
      <c r="L2487" s="81"/>
      <c r="M2487" s="81"/>
      <c r="N2487" s="81"/>
    </row>
    <row r="2488" spans="1:14" ht="14.25" customHeight="1" x14ac:dyDescent="0.25">
      <c r="A2488" s="599"/>
      <c r="B2488" s="600"/>
      <c r="C2488" s="600"/>
      <c r="D2488" s="600"/>
      <c r="E2488" s="600"/>
      <c r="F2488" s="601"/>
      <c r="G2488" s="81"/>
      <c r="H2488" s="81"/>
      <c r="I2488" s="81"/>
      <c r="J2488" s="81"/>
      <c r="K2488" s="81"/>
      <c r="L2488" s="81"/>
      <c r="M2488" s="81"/>
      <c r="N2488" s="81"/>
    </row>
    <row r="2489" spans="1:14" ht="14.25" customHeight="1" x14ac:dyDescent="0.25">
      <c r="A2489" s="602" t="s">
        <v>561</v>
      </c>
      <c r="B2489" s="600"/>
      <c r="C2489" s="600"/>
      <c r="D2489" s="600"/>
      <c r="E2489" s="600"/>
      <c r="F2489" s="601"/>
      <c r="G2489" s="81"/>
      <c r="H2489" s="81"/>
      <c r="I2489" s="81"/>
      <c r="J2489" s="81"/>
      <c r="K2489" s="81"/>
      <c r="L2489" s="81"/>
      <c r="M2489" s="81"/>
      <c r="N2489" s="81"/>
    </row>
    <row r="2490" spans="1:14" ht="14.25" customHeight="1" thickBot="1" x14ac:dyDescent="0.3">
      <c r="A2490" s="603"/>
      <c r="B2490" s="604"/>
      <c r="C2490" s="604"/>
      <c r="D2490" s="604"/>
      <c r="E2490" s="604"/>
      <c r="F2490" s="605"/>
      <c r="G2490" s="81"/>
      <c r="H2490" s="81"/>
      <c r="I2490" s="81"/>
      <c r="J2490" s="81"/>
      <c r="K2490" s="81"/>
      <c r="L2490" s="81"/>
      <c r="M2490" s="81"/>
      <c r="N2490" s="81"/>
    </row>
    <row r="2491" spans="1:14" ht="14.25" customHeight="1" x14ac:dyDescent="0.25">
      <c r="A2491" s="88"/>
      <c r="B2491" s="88"/>
      <c r="C2491" s="89"/>
      <c r="D2491" s="89"/>
      <c r="E2491" s="89"/>
      <c r="F2491" s="89"/>
      <c r="G2491" s="81"/>
      <c r="H2491" s="81"/>
      <c r="I2491" s="81"/>
      <c r="J2491" s="81"/>
      <c r="K2491" s="81"/>
      <c r="L2491" s="81"/>
      <c r="M2491" s="81"/>
      <c r="N2491" s="81"/>
    </row>
    <row r="2492" spans="1:14" ht="14.25" customHeight="1" x14ac:dyDescent="0.25">
      <c r="A2492" s="90" t="s">
        <v>47</v>
      </c>
      <c r="B2492" s="613" t="s">
        <v>141</v>
      </c>
      <c r="C2492" s="600"/>
      <c r="D2492" s="600"/>
      <c r="E2492" s="600"/>
      <c r="F2492" s="600"/>
      <c r="G2492" s="81"/>
      <c r="H2492" s="81"/>
      <c r="I2492" s="81"/>
      <c r="J2492" s="81"/>
      <c r="K2492" s="81"/>
      <c r="L2492" s="81"/>
      <c r="M2492" s="81"/>
      <c r="N2492" s="81"/>
    </row>
    <row r="2493" spans="1:14" ht="14.25" customHeight="1" x14ac:dyDescent="0.25">
      <c r="A2493" s="91"/>
      <c r="B2493" s="91"/>
      <c r="C2493" s="91"/>
      <c r="D2493" s="91"/>
      <c r="E2493" s="91"/>
      <c r="F2493" s="91"/>
      <c r="G2493" s="81"/>
      <c r="H2493" s="81"/>
      <c r="I2493" s="81"/>
      <c r="J2493" s="81"/>
      <c r="K2493" s="81"/>
      <c r="L2493" s="81"/>
      <c r="M2493" s="81"/>
      <c r="N2493" s="81"/>
    </row>
    <row r="2494" spans="1:14" ht="14.25" customHeight="1" x14ac:dyDescent="0.25">
      <c r="A2494" s="88" t="s">
        <v>49</v>
      </c>
      <c r="B2494" s="92" t="s">
        <v>59</v>
      </c>
      <c r="C2494" s="89"/>
      <c r="D2494" s="89"/>
      <c r="E2494" s="89"/>
      <c r="F2494" s="93"/>
      <c r="G2494" s="81"/>
      <c r="H2494" s="81"/>
      <c r="I2494" s="81"/>
      <c r="J2494" s="81"/>
      <c r="K2494" s="81"/>
      <c r="L2494" s="81"/>
      <c r="M2494" s="81"/>
      <c r="N2494" s="81"/>
    </row>
    <row r="2495" spans="1:14" ht="14.25" customHeight="1" x14ac:dyDescent="0.25">
      <c r="A2495" s="88"/>
      <c r="B2495" s="94"/>
      <c r="C2495" s="89"/>
      <c r="D2495" s="89"/>
      <c r="E2495" s="89"/>
      <c r="F2495" s="93"/>
      <c r="G2495" s="81"/>
      <c r="H2495" s="81"/>
      <c r="I2495" s="81"/>
      <c r="J2495" s="81"/>
      <c r="K2495" s="81"/>
      <c r="L2495" s="81"/>
      <c r="M2495" s="81"/>
      <c r="N2495" s="81"/>
    </row>
    <row r="2496" spans="1:14" ht="14.25" customHeight="1" x14ac:dyDescent="0.25">
      <c r="A2496" s="95" t="s">
        <v>562</v>
      </c>
      <c r="B2496" s="96"/>
      <c r="C2496" s="92"/>
      <c r="D2496" s="92"/>
      <c r="E2496" s="92"/>
      <c r="F2496" s="92"/>
      <c r="G2496" s="81"/>
      <c r="H2496" s="81"/>
      <c r="I2496" s="81"/>
      <c r="J2496" s="81"/>
      <c r="K2496" s="81"/>
      <c r="L2496" s="81"/>
      <c r="M2496" s="81"/>
      <c r="N2496" s="81"/>
    </row>
    <row r="2497" spans="1:14" ht="14.25" customHeight="1" x14ac:dyDescent="0.25">
      <c r="A2497" s="97" t="s">
        <v>563</v>
      </c>
      <c r="B2497" s="98" t="s">
        <v>564</v>
      </c>
      <c r="C2497" s="98" t="s">
        <v>565</v>
      </c>
      <c r="D2497" s="98" t="s">
        <v>566</v>
      </c>
      <c r="E2497" s="98" t="s">
        <v>567</v>
      </c>
      <c r="F2497" s="98" t="s">
        <v>568</v>
      </c>
      <c r="G2497" s="81"/>
      <c r="H2497" s="81"/>
      <c r="I2497" s="81"/>
      <c r="J2497" s="81"/>
      <c r="K2497" s="81"/>
      <c r="L2497" s="81"/>
      <c r="M2497" s="81"/>
      <c r="N2497" s="81"/>
    </row>
    <row r="2498" spans="1:14" ht="14.25" customHeight="1" x14ac:dyDescent="0.25">
      <c r="A2498" s="99" t="s">
        <v>670</v>
      </c>
      <c r="B2498" s="100" t="s">
        <v>671</v>
      </c>
      <c r="C2498" s="101">
        <v>45850</v>
      </c>
      <c r="D2498" s="149">
        <v>3.5000000000000003E-2</v>
      </c>
      <c r="E2498" s="102">
        <v>0.05</v>
      </c>
      <c r="F2498" s="101">
        <f>C2498*(D2498+(D2498*E2498))</f>
        <v>1684.9875000000002</v>
      </c>
      <c r="G2498" s="81"/>
      <c r="H2498" s="81"/>
      <c r="I2498" s="81"/>
      <c r="J2498" s="81"/>
      <c r="K2498" s="81"/>
      <c r="L2498" s="81"/>
      <c r="M2498" s="81"/>
      <c r="N2498" s="81"/>
    </row>
    <row r="2499" spans="1:14" ht="14.25" customHeight="1" x14ac:dyDescent="0.25">
      <c r="A2499" s="99"/>
      <c r="B2499" s="100"/>
      <c r="C2499" s="101"/>
      <c r="D2499" s="149"/>
      <c r="E2499" s="102"/>
      <c r="F2499" s="101"/>
      <c r="G2499" s="81"/>
      <c r="H2499" s="81"/>
      <c r="I2499" s="81"/>
      <c r="J2499" s="81"/>
      <c r="K2499" s="81"/>
      <c r="L2499" s="81"/>
      <c r="M2499" s="81"/>
      <c r="N2499" s="81"/>
    </row>
    <row r="2500" spans="1:14" ht="14.25" customHeight="1" x14ac:dyDescent="0.25">
      <c r="A2500" s="99"/>
      <c r="B2500" s="100"/>
      <c r="C2500" s="101"/>
      <c r="D2500" s="149"/>
      <c r="E2500" s="102"/>
      <c r="F2500" s="101"/>
      <c r="G2500" s="81"/>
      <c r="H2500" s="81"/>
      <c r="I2500" s="81"/>
      <c r="J2500" s="81"/>
      <c r="K2500" s="81"/>
      <c r="L2500" s="81"/>
      <c r="M2500" s="81"/>
      <c r="N2500" s="81"/>
    </row>
    <row r="2501" spans="1:14" ht="14.25" customHeight="1" x14ac:dyDescent="0.25">
      <c r="A2501" s="99"/>
      <c r="B2501" s="100"/>
      <c r="C2501" s="101"/>
      <c r="D2501" s="104"/>
      <c r="E2501" s="102"/>
      <c r="F2501" s="101"/>
      <c r="G2501" s="81"/>
      <c r="H2501" s="81"/>
      <c r="I2501" s="81"/>
      <c r="J2501" s="81"/>
      <c r="K2501" s="81"/>
      <c r="L2501" s="81"/>
      <c r="M2501" s="81"/>
      <c r="N2501" s="81"/>
    </row>
    <row r="2502" spans="1:14" ht="14.25" customHeight="1" x14ac:dyDescent="0.25">
      <c r="A2502" s="99"/>
      <c r="B2502" s="100"/>
      <c r="C2502" s="101"/>
      <c r="D2502" s="104"/>
      <c r="E2502" s="102"/>
      <c r="F2502" s="101"/>
      <c r="G2502" s="81"/>
      <c r="H2502" s="81"/>
      <c r="I2502" s="81"/>
      <c r="J2502" s="81"/>
      <c r="K2502" s="81"/>
      <c r="L2502" s="81"/>
      <c r="M2502" s="81"/>
      <c r="N2502" s="81"/>
    </row>
    <row r="2503" spans="1:14" ht="14.25" customHeight="1" x14ac:dyDescent="0.25">
      <c r="A2503" s="99"/>
      <c r="B2503" s="100"/>
      <c r="C2503" s="106"/>
      <c r="D2503" s="107"/>
      <c r="E2503" s="108"/>
      <c r="F2503" s="106"/>
      <c r="G2503" s="81"/>
      <c r="H2503" s="81"/>
      <c r="I2503" s="81"/>
      <c r="J2503" s="81"/>
      <c r="K2503" s="81"/>
      <c r="L2503" s="81"/>
      <c r="M2503" s="81"/>
      <c r="N2503" s="81"/>
    </row>
    <row r="2504" spans="1:14" ht="14.25" customHeight="1" x14ac:dyDescent="0.25">
      <c r="A2504" s="97" t="s">
        <v>548</v>
      </c>
      <c r="B2504" s="97"/>
      <c r="C2504" s="109"/>
      <c r="D2504" s="110"/>
      <c r="E2504" s="111"/>
      <c r="F2504" s="112">
        <f>SUM(F2498:F2503)</f>
        <v>1684.9875000000002</v>
      </c>
      <c r="G2504" s="81"/>
      <c r="H2504" s="81"/>
      <c r="I2504" s="81"/>
      <c r="J2504" s="81"/>
      <c r="K2504" s="81"/>
      <c r="L2504" s="81"/>
      <c r="M2504" s="81"/>
      <c r="N2504" s="81"/>
    </row>
    <row r="2505" spans="1:14" ht="14.25" customHeight="1" x14ac:dyDescent="0.25">
      <c r="A2505" s="88"/>
      <c r="B2505" s="88"/>
      <c r="C2505" s="113"/>
      <c r="D2505" s="113"/>
      <c r="E2505" s="114"/>
      <c r="F2505" s="113"/>
      <c r="G2505" s="81"/>
      <c r="H2505" s="81"/>
      <c r="I2505" s="81"/>
      <c r="J2505" s="81"/>
      <c r="K2505" s="81"/>
      <c r="L2505" s="81"/>
      <c r="M2505" s="81"/>
      <c r="N2505" s="81"/>
    </row>
    <row r="2506" spans="1:14" ht="14.25" customHeight="1" x14ac:dyDescent="0.25">
      <c r="A2506" s="96" t="s">
        <v>573</v>
      </c>
      <c r="B2506" s="96"/>
      <c r="C2506" s="92"/>
      <c r="D2506" s="92"/>
      <c r="E2506" s="92"/>
      <c r="F2506" s="92"/>
      <c r="G2506" s="81"/>
      <c r="H2506" s="81"/>
      <c r="I2506" s="81"/>
      <c r="J2506" s="81"/>
      <c r="K2506" s="81"/>
      <c r="L2506" s="81"/>
      <c r="M2506" s="81"/>
      <c r="N2506" s="81"/>
    </row>
    <row r="2507" spans="1:14" ht="14.25" customHeight="1" x14ac:dyDescent="0.25">
      <c r="A2507" s="611" t="s">
        <v>563</v>
      </c>
      <c r="B2507" s="608"/>
      <c r="C2507" s="609"/>
      <c r="D2507" s="98" t="s">
        <v>574</v>
      </c>
      <c r="E2507" s="98" t="s">
        <v>575</v>
      </c>
      <c r="F2507" s="98" t="s">
        <v>568</v>
      </c>
      <c r="G2507" s="81"/>
      <c r="H2507" s="81"/>
      <c r="I2507" s="81"/>
      <c r="J2507" s="81"/>
      <c r="K2507" s="81"/>
      <c r="L2507" s="81"/>
      <c r="M2507" s="81"/>
      <c r="N2507" s="81"/>
    </row>
    <row r="2508" spans="1:14" ht="14.25" customHeight="1" x14ac:dyDescent="0.25">
      <c r="A2508" s="607" t="s">
        <v>577</v>
      </c>
      <c r="B2508" s="608"/>
      <c r="C2508" s="609"/>
      <c r="D2508" s="116"/>
      <c r="E2508" s="107"/>
      <c r="F2508" s="106">
        <f>+F2521*5%</f>
        <v>226.67907879091308</v>
      </c>
      <c r="G2508" s="81"/>
      <c r="H2508" s="81"/>
      <c r="I2508" s="81"/>
      <c r="J2508" s="81"/>
      <c r="K2508" s="81"/>
      <c r="L2508" s="81"/>
      <c r="M2508" s="81"/>
      <c r="N2508" s="81"/>
    </row>
    <row r="2509" spans="1:14" ht="14.25" customHeight="1" x14ac:dyDescent="0.25">
      <c r="A2509" s="607" t="s">
        <v>657</v>
      </c>
      <c r="B2509" s="608"/>
      <c r="C2509" s="609"/>
      <c r="D2509" s="142">
        <v>1850</v>
      </c>
      <c r="E2509" s="107">
        <v>2.2999999999999998</v>
      </c>
      <c r="F2509" s="106">
        <f>D2509/E2509</f>
        <v>804.34782608695662</v>
      </c>
      <c r="G2509" s="81"/>
      <c r="H2509" s="81"/>
      <c r="I2509" s="81"/>
      <c r="J2509" s="81"/>
      <c r="K2509" s="81"/>
      <c r="L2509" s="81"/>
      <c r="M2509" s="81"/>
      <c r="N2509" s="81"/>
    </row>
    <row r="2510" spans="1:14" ht="14.25" customHeight="1" x14ac:dyDescent="0.25">
      <c r="A2510" s="607"/>
      <c r="B2510" s="608"/>
      <c r="C2510" s="609"/>
      <c r="D2510" s="142"/>
      <c r="E2510" s="105"/>
      <c r="F2510" s="106"/>
      <c r="G2510" s="81"/>
      <c r="H2510" s="81"/>
      <c r="I2510" s="81"/>
      <c r="J2510" s="81"/>
      <c r="K2510" s="81"/>
      <c r="L2510" s="81"/>
      <c r="M2510" s="81"/>
      <c r="N2510" s="81"/>
    </row>
    <row r="2511" spans="1:14" ht="14.25" customHeight="1" x14ac:dyDescent="0.25">
      <c r="A2511" s="607"/>
      <c r="B2511" s="608"/>
      <c r="C2511" s="609"/>
      <c r="D2511" s="142"/>
      <c r="E2511" s="107"/>
      <c r="F2511" s="106"/>
      <c r="G2511" s="81"/>
      <c r="H2511" s="81"/>
      <c r="I2511" s="81"/>
      <c r="J2511" s="81"/>
      <c r="K2511" s="81"/>
      <c r="L2511" s="81"/>
      <c r="M2511" s="81"/>
      <c r="N2511" s="81"/>
    </row>
    <row r="2512" spans="1:14" ht="14.25" customHeight="1" x14ac:dyDescent="0.25">
      <c r="A2512" s="610"/>
      <c r="B2512" s="608"/>
      <c r="C2512" s="609"/>
      <c r="D2512" s="115"/>
      <c r="E2512" s="107"/>
      <c r="F2512" s="106"/>
      <c r="G2512" s="81"/>
      <c r="H2512" s="81"/>
      <c r="I2512" s="81"/>
      <c r="J2512" s="81"/>
      <c r="K2512" s="81"/>
      <c r="L2512" s="81"/>
      <c r="M2512" s="81"/>
      <c r="N2512" s="81"/>
    </row>
    <row r="2513" spans="1:14" ht="14.25" customHeight="1" x14ac:dyDescent="0.25">
      <c r="A2513" s="611" t="s">
        <v>548</v>
      </c>
      <c r="B2513" s="608"/>
      <c r="C2513" s="609"/>
      <c r="D2513" s="110"/>
      <c r="E2513" s="110"/>
      <c r="F2513" s="112">
        <f>SUM(F2508:F2511)</f>
        <v>1031.0269048778696</v>
      </c>
      <c r="G2513" s="81"/>
      <c r="H2513" s="81"/>
      <c r="I2513" s="81"/>
      <c r="J2513" s="81"/>
      <c r="K2513" s="81"/>
      <c r="L2513" s="81"/>
      <c r="M2513" s="81"/>
      <c r="N2513" s="81"/>
    </row>
    <row r="2514" spans="1:14" ht="14.25" customHeight="1" x14ac:dyDescent="0.25">
      <c r="A2514" s="88"/>
      <c r="B2514" s="88"/>
      <c r="C2514" s="89"/>
      <c r="D2514" s="113"/>
      <c r="E2514" s="113"/>
      <c r="F2514" s="113"/>
      <c r="G2514" s="81"/>
      <c r="H2514" s="81"/>
      <c r="I2514" s="81"/>
      <c r="J2514" s="81"/>
      <c r="K2514" s="81"/>
      <c r="L2514" s="81"/>
      <c r="M2514" s="81"/>
      <c r="N2514" s="81"/>
    </row>
    <row r="2515" spans="1:14" ht="14.25" customHeight="1" x14ac:dyDescent="0.25">
      <c r="A2515" s="96" t="s">
        <v>578</v>
      </c>
      <c r="B2515" s="96"/>
      <c r="C2515" s="92"/>
      <c r="D2515" s="118"/>
      <c r="E2515" s="118"/>
      <c r="F2515" s="118"/>
      <c r="G2515" s="81"/>
      <c r="H2515" s="81"/>
      <c r="I2515" s="81"/>
      <c r="J2515" s="81"/>
      <c r="K2515" s="81"/>
      <c r="L2515" s="81"/>
      <c r="M2515" s="81"/>
      <c r="N2515" s="81"/>
    </row>
    <row r="2516" spans="1:14" ht="14.25" customHeight="1" x14ac:dyDescent="0.25">
      <c r="A2516" s="119" t="s">
        <v>563</v>
      </c>
      <c r="B2516" s="120" t="s">
        <v>579</v>
      </c>
      <c r="C2516" s="120" t="s">
        <v>580</v>
      </c>
      <c r="D2516" s="121" t="s">
        <v>581</v>
      </c>
      <c r="E2516" s="121" t="s">
        <v>575</v>
      </c>
      <c r="F2516" s="121" t="s">
        <v>568</v>
      </c>
      <c r="G2516" s="81"/>
      <c r="H2516" s="81"/>
      <c r="I2516" s="81"/>
      <c r="J2516" s="81"/>
      <c r="K2516" s="81"/>
      <c r="L2516" s="81"/>
      <c r="M2516" s="81"/>
      <c r="N2516" s="81"/>
    </row>
    <row r="2517" spans="1:14" ht="14.25" customHeight="1" x14ac:dyDescent="0.25">
      <c r="A2517" s="122" t="s">
        <v>593</v>
      </c>
      <c r="B2517" s="127">
        <v>1</v>
      </c>
      <c r="C2517" s="101">
        <v>32688</v>
      </c>
      <c r="D2517" s="101">
        <f t="shared" ref="D2517:D2518" si="140">+C2517*1.7</f>
        <v>55569.599999999999</v>
      </c>
      <c r="E2517" s="107">
        <v>31.957999999999998</v>
      </c>
      <c r="F2517" s="106">
        <f t="shared" ref="F2517:F2518" si="141">+B2517*(D2517)/E2517</f>
        <v>1738.8322172851867</v>
      </c>
      <c r="G2517" s="81"/>
      <c r="H2517" s="81"/>
      <c r="I2517" s="81"/>
      <c r="J2517" s="81"/>
      <c r="K2517" s="81"/>
      <c r="L2517" s="81"/>
      <c r="M2517" s="81"/>
      <c r="N2517" s="81"/>
    </row>
    <row r="2518" spans="1:14" ht="14.25" customHeight="1" x14ac:dyDescent="0.25">
      <c r="A2518" s="122" t="s">
        <v>594</v>
      </c>
      <c r="B2518" s="127">
        <v>1</v>
      </c>
      <c r="C2518" s="101">
        <v>52538</v>
      </c>
      <c r="D2518" s="101">
        <f t="shared" si="140"/>
        <v>89314.599999999991</v>
      </c>
      <c r="E2518" s="107">
        <f>E2517</f>
        <v>31.957999999999998</v>
      </c>
      <c r="F2518" s="106">
        <f t="shared" si="141"/>
        <v>2794.7493585330744</v>
      </c>
      <c r="G2518" s="81"/>
      <c r="H2518" s="81"/>
      <c r="I2518" s="81"/>
      <c r="J2518" s="81"/>
      <c r="K2518" s="81"/>
      <c r="L2518" s="81"/>
      <c r="M2518" s="81"/>
      <c r="N2518" s="81"/>
    </row>
    <row r="2519" spans="1:14" ht="14.25" customHeight="1" x14ac:dyDescent="0.25">
      <c r="A2519" s="122"/>
      <c r="B2519" s="127"/>
      <c r="C2519" s="101"/>
      <c r="D2519" s="101"/>
      <c r="E2519" s="105"/>
      <c r="F2519" s="106"/>
      <c r="G2519" s="81"/>
      <c r="H2519" s="81"/>
      <c r="I2519" s="81"/>
      <c r="J2519" s="81"/>
      <c r="K2519" s="81"/>
      <c r="L2519" s="81"/>
      <c r="M2519" s="81"/>
      <c r="N2519" s="81"/>
    </row>
    <row r="2520" spans="1:14" ht="14.25" customHeight="1" x14ac:dyDescent="0.25">
      <c r="A2520" s="122"/>
      <c r="B2520" s="127"/>
      <c r="C2520" s="101"/>
      <c r="D2520" s="101"/>
      <c r="E2520" s="125"/>
      <c r="F2520" s="106"/>
      <c r="G2520" s="81"/>
      <c r="H2520" s="81"/>
      <c r="I2520" s="81"/>
      <c r="J2520" s="81"/>
      <c r="K2520" s="81"/>
      <c r="L2520" s="81"/>
      <c r="M2520" s="81"/>
      <c r="N2520" s="81"/>
    </row>
    <row r="2521" spans="1:14" ht="14.25" customHeight="1" x14ac:dyDescent="0.25">
      <c r="A2521" s="97" t="s">
        <v>548</v>
      </c>
      <c r="B2521" s="128"/>
      <c r="C2521" s="110"/>
      <c r="D2521" s="110"/>
      <c r="E2521" s="110"/>
      <c r="F2521" s="112">
        <f>SUM(F2517:F2520)</f>
        <v>4533.5815758182616</v>
      </c>
      <c r="G2521" s="81"/>
      <c r="H2521" s="81"/>
      <c r="I2521" s="81"/>
      <c r="J2521" s="81"/>
      <c r="K2521" s="81"/>
      <c r="L2521" s="81"/>
      <c r="M2521" s="81"/>
      <c r="N2521" s="81"/>
    </row>
    <row r="2522" spans="1:14" ht="14.25" customHeight="1" x14ac:dyDescent="0.25">
      <c r="A2522" s="96"/>
      <c r="B2522" s="129"/>
      <c r="C2522" s="118"/>
      <c r="D2522" s="118"/>
      <c r="E2522" s="118"/>
      <c r="F2522" s="118"/>
      <c r="G2522" s="81"/>
      <c r="H2522" s="81"/>
      <c r="I2522" s="81"/>
      <c r="J2522" s="81"/>
      <c r="K2522" s="81"/>
      <c r="L2522" s="81"/>
      <c r="M2522" s="81"/>
      <c r="N2522" s="81"/>
    </row>
    <row r="2523" spans="1:14" ht="14.25" customHeight="1" x14ac:dyDescent="0.25">
      <c r="A2523" s="95" t="s">
        <v>583</v>
      </c>
      <c r="B2523" s="96"/>
      <c r="C2523" s="92"/>
      <c r="D2523" s="92"/>
      <c r="E2523" s="92" t="s">
        <v>584</v>
      </c>
      <c r="F2523" s="92"/>
      <c r="G2523" s="81"/>
      <c r="H2523" s="81"/>
      <c r="I2523" s="81"/>
      <c r="J2523" s="81"/>
      <c r="K2523" s="81"/>
      <c r="L2523" s="81"/>
      <c r="M2523" s="81"/>
      <c r="N2523" s="81"/>
    </row>
    <row r="2524" spans="1:14" ht="14.25" customHeight="1" x14ac:dyDescent="0.25">
      <c r="A2524" s="97" t="s">
        <v>563</v>
      </c>
      <c r="B2524" s="98" t="s">
        <v>564</v>
      </c>
      <c r="C2524" s="98" t="s">
        <v>585</v>
      </c>
      <c r="D2524" s="98" t="s">
        <v>586</v>
      </c>
      <c r="E2524" s="120" t="s">
        <v>587</v>
      </c>
      <c r="F2524" s="98" t="s">
        <v>568</v>
      </c>
      <c r="G2524" s="81"/>
      <c r="H2524" s="81"/>
      <c r="I2524" s="81"/>
      <c r="J2524" s="81"/>
      <c r="K2524" s="81"/>
      <c r="L2524" s="81"/>
      <c r="M2524" s="81"/>
      <c r="N2524" s="81"/>
    </row>
    <row r="2525" spans="1:14" ht="14.25" customHeight="1" x14ac:dyDescent="0.25">
      <c r="A2525" s="103"/>
      <c r="B2525" s="100"/>
      <c r="C2525" s="101"/>
      <c r="D2525" s="140"/>
      <c r="E2525" s="107"/>
      <c r="F2525" s="109"/>
      <c r="G2525" s="81"/>
      <c r="H2525" s="81"/>
      <c r="I2525" s="81"/>
      <c r="J2525" s="81"/>
      <c r="K2525" s="81"/>
      <c r="L2525" s="81"/>
      <c r="M2525" s="81"/>
      <c r="N2525" s="81"/>
    </row>
    <row r="2526" spans="1:14" ht="14.25" customHeight="1" x14ac:dyDescent="0.25">
      <c r="A2526" s="103"/>
      <c r="B2526" s="100"/>
      <c r="C2526" s="107"/>
      <c r="D2526" s="107"/>
      <c r="E2526" s="108"/>
      <c r="F2526" s="109"/>
      <c r="G2526" s="81"/>
      <c r="H2526" s="81"/>
      <c r="I2526" s="81"/>
      <c r="J2526" s="81"/>
      <c r="K2526" s="81"/>
      <c r="L2526" s="81"/>
      <c r="M2526" s="81"/>
      <c r="N2526" s="81"/>
    </row>
    <row r="2527" spans="1:14" ht="14.25" customHeight="1" x14ac:dyDescent="0.25">
      <c r="A2527" s="97" t="s">
        <v>548</v>
      </c>
      <c r="B2527" s="98"/>
      <c r="C2527" s="110"/>
      <c r="D2527" s="110"/>
      <c r="E2527" s="111"/>
      <c r="F2527" s="112">
        <f>SUM(F2525:F2526)</f>
        <v>0</v>
      </c>
      <c r="G2527" s="81"/>
      <c r="H2527" s="81"/>
      <c r="I2527" s="81"/>
      <c r="J2527" s="81"/>
      <c r="K2527" s="81"/>
      <c r="L2527" s="81"/>
      <c r="M2527" s="81"/>
      <c r="N2527" s="81"/>
    </row>
    <row r="2528" spans="1:14" ht="14.25" customHeight="1" x14ac:dyDescent="0.25">
      <c r="A2528" s="88"/>
      <c r="B2528" s="89"/>
      <c r="C2528" s="113"/>
      <c r="D2528" s="113"/>
      <c r="E2528" s="114"/>
      <c r="F2528" s="113"/>
      <c r="G2528" s="81"/>
      <c r="H2528" s="81"/>
      <c r="I2528" s="81"/>
      <c r="J2528" s="81"/>
      <c r="K2528" s="81"/>
      <c r="L2528" s="81"/>
      <c r="M2528" s="81"/>
      <c r="N2528" s="81"/>
    </row>
    <row r="2529" spans="1:14" ht="14.25" customHeight="1" x14ac:dyDescent="0.25">
      <c r="A2529" s="88"/>
      <c r="B2529" s="89"/>
      <c r="C2529" s="113"/>
      <c r="D2529" s="113"/>
      <c r="E2529" s="114"/>
      <c r="F2529" s="113"/>
      <c r="G2529" s="81"/>
      <c r="H2529" s="81"/>
      <c r="I2529" s="81"/>
      <c r="J2529" s="81"/>
      <c r="K2529" s="81"/>
      <c r="L2529" s="81"/>
      <c r="M2529" s="81"/>
      <c r="N2529" s="81"/>
    </row>
    <row r="2530" spans="1:14" ht="14.25" customHeight="1" x14ac:dyDescent="0.25">
      <c r="A2530" s="612" t="s">
        <v>588</v>
      </c>
      <c r="B2530" s="608"/>
      <c r="C2530" s="608"/>
      <c r="D2530" s="608"/>
      <c r="E2530" s="609"/>
      <c r="F2530" s="131">
        <f>ROUND(F2504+F2513+F2521+F2527,0)</f>
        <v>7250</v>
      </c>
      <c r="G2530" s="81"/>
      <c r="H2530" s="117"/>
      <c r="I2530" s="81"/>
      <c r="J2530" s="81"/>
      <c r="K2530" s="81"/>
      <c r="L2530" s="81"/>
      <c r="M2530" s="81"/>
      <c r="N2530" s="81"/>
    </row>
    <row r="2531" spans="1:14" ht="14.25" customHeight="1" x14ac:dyDescent="0.25">
      <c r="A2531" s="612" t="s">
        <v>589</v>
      </c>
      <c r="B2531" s="608"/>
      <c r="C2531" s="608"/>
      <c r="D2531" s="608"/>
      <c r="E2531" s="609"/>
      <c r="F2531" s="132"/>
      <c r="G2531" s="81"/>
      <c r="H2531" s="81"/>
      <c r="I2531" s="81"/>
      <c r="J2531" s="81"/>
      <c r="K2531" s="81"/>
      <c r="L2531" s="81"/>
      <c r="M2531" s="81"/>
      <c r="N2531" s="81"/>
    </row>
    <row r="2532" spans="1:14" ht="14.25" customHeight="1" x14ac:dyDescent="0.25">
      <c r="A2532" s="146" t="s">
        <v>556</v>
      </c>
      <c r="B2532" s="147"/>
      <c r="C2532" s="147"/>
      <c r="D2532" s="147"/>
      <c r="E2532" s="148"/>
      <c r="F2532" s="133"/>
      <c r="G2532" s="81"/>
      <c r="H2532" s="81"/>
      <c r="I2532" s="81"/>
      <c r="J2532" s="81"/>
      <c r="K2532" s="81"/>
      <c r="L2532" s="81"/>
      <c r="M2532" s="81"/>
      <c r="N2532" s="81"/>
    </row>
    <row r="2533" spans="1:14" ht="14.25" customHeight="1" x14ac:dyDescent="0.25">
      <c r="A2533" s="134"/>
      <c r="B2533" s="135"/>
      <c r="C2533" s="135"/>
      <c r="D2533" s="135"/>
      <c r="E2533" s="135"/>
      <c r="F2533" s="136"/>
      <c r="G2533" s="81"/>
      <c r="H2533" s="81"/>
      <c r="I2533" s="81"/>
      <c r="J2533" s="81"/>
      <c r="K2533" s="81"/>
      <c r="L2533" s="81"/>
      <c r="M2533" s="81"/>
      <c r="N2533" s="81"/>
    </row>
    <row r="2534" spans="1:14" ht="14.25" customHeight="1" x14ac:dyDescent="0.25">
      <c r="A2534" s="81"/>
      <c r="B2534" s="81"/>
      <c r="C2534" s="137"/>
      <c r="D2534" s="81"/>
      <c r="E2534" s="81"/>
      <c r="F2534" s="81"/>
      <c r="G2534" s="81"/>
      <c r="H2534" s="81"/>
      <c r="I2534" s="81"/>
      <c r="J2534" s="81"/>
      <c r="K2534" s="81"/>
      <c r="L2534" s="81"/>
      <c r="M2534" s="81"/>
      <c r="N2534" s="81"/>
    </row>
    <row r="2535" spans="1:14" ht="14.25" customHeight="1" x14ac:dyDescent="0.25">
      <c r="A2535" s="81"/>
      <c r="B2535" s="81"/>
      <c r="C2535" s="137"/>
      <c r="D2535" s="81"/>
      <c r="E2535" s="81"/>
      <c r="F2535" s="81"/>
      <c r="G2535" s="81"/>
      <c r="H2535" s="81"/>
      <c r="I2535" s="81"/>
      <c r="J2535" s="81"/>
      <c r="K2535" s="81"/>
      <c r="L2535" s="81"/>
      <c r="M2535" s="81"/>
      <c r="N2535" s="81"/>
    </row>
    <row r="2536" spans="1:14" ht="14.25" customHeight="1" x14ac:dyDescent="0.25">
      <c r="A2536" s="81"/>
      <c r="B2536" s="81"/>
      <c r="C2536" s="137"/>
      <c r="D2536" s="81"/>
      <c r="E2536" s="81"/>
      <c r="F2536" s="81"/>
      <c r="G2536" s="81"/>
      <c r="H2536" s="81"/>
      <c r="I2536" s="81"/>
      <c r="J2536" s="81"/>
      <c r="K2536" s="81"/>
      <c r="L2536" s="81"/>
      <c r="M2536" s="81"/>
      <c r="N2536" s="81"/>
    </row>
    <row r="2537" spans="1:14" ht="14.25" customHeight="1" x14ac:dyDescent="0.25">
      <c r="A2537" s="81"/>
      <c r="B2537" s="81"/>
      <c r="C2537" s="137"/>
      <c r="D2537" s="81"/>
      <c r="E2537" s="81"/>
      <c r="F2537" s="81"/>
      <c r="G2537" s="81"/>
      <c r="H2537" s="81"/>
      <c r="I2537" s="81"/>
      <c r="J2537" s="81"/>
      <c r="K2537" s="81"/>
      <c r="L2537" s="81"/>
      <c r="M2537" s="81"/>
      <c r="N2537" s="81"/>
    </row>
    <row r="2538" spans="1:14" ht="14.25" customHeight="1" x14ac:dyDescent="0.25">
      <c r="A2538" s="81"/>
      <c r="B2538" s="81"/>
      <c r="C2538" s="137"/>
      <c r="D2538" s="81"/>
      <c r="E2538" s="81"/>
      <c r="F2538" s="81"/>
      <c r="G2538" s="81"/>
      <c r="H2538" s="81"/>
      <c r="I2538" s="81"/>
      <c r="J2538" s="81"/>
      <c r="K2538" s="81"/>
      <c r="L2538" s="81"/>
      <c r="M2538" s="81"/>
      <c r="N2538" s="81"/>
    </row>
    <row r="2539" spans="1:14" ht="14.25" customHeight="1" x14ac:dyDescent="0.25">
      <c r="A2539" s="134"/>
      <c r="B2539" s="135"/>
      <c r="C2539" s="135"/>
      <c r="D2539" s="135"/>
      <c r="E2539" s="135"/>
      <c r="F2539" s="136"/>
      <c r="G2539" s="81"/>
      <c r="H2539" s="81"/>
      <c r="I2539" s="81"/>
      <c r="J2539" s="81"/>
      <c r="K2539" s="81"/>
      <c r="L2539" s="81"/>
      <c r="M2539" s="81"/>
      <c r="N2539" s="81"/>
    </row>
    <row r="2540" spans="1:14" ht="14.25" customHeight="1" x14ac:dyDescent="0.25">
      <c r="A2540" s="134"/>
      <c r="B2540" s="135"/>
      <c r="C2540" s="135"/>
      <c r="D2540" s="135"/>
      <c r="E2540" s="135"/>
      <c r="F2540" s="136"/>
      <c r="G2540" s="81"/>
      <c r="H2540" s="81"/>
      <c r="I2540" s="81"/>
      <c r="J2540" s="81"/>
      <c r="K2540" s="81"/>
      <c r="L2540" s="81"/>
      <c r="M2540" s="81"/>
      <c r="N2540" s="81"/>
    </row>
    <row r="2541" spans="1:14" ht="14.25" customHeight="1" x14ac:dyDescent="0.25">
      <c r="A2541" s="134"/>
      <c r="B2541" s="135"/>
      <c r="C2541" s="135"/>
      <c r="D2541" s="135"/>
      <c r="E2541" s="135"/>
      <c r="F2541" s="136"/>
      <c r="G2541" s="81"/>
      <c r="H2541" s="81"/>
      <c r="I2541" s="81"/>
      <c r="J2541" s="81"/>
      <c r="K2541" s="81"/>
      <c r="L2541" s="81"/>
      <c r="M2541" s="81"/>
      <c r="N2541" s="81"/>
    </row>
    <row r="2542" spans="1:14" ht="14.25" customHeight="1" thickBot="1" x14ac:dyDescent="0.3">
      <c r="A2542" s="81"/>
      <c r="B2542" s="81"/>
      <c r="C2542" s="81"/>
      <c r="D2542" s="81"/>
      <c r="E2542" s="81"/>
      <c r="F2542" s="81"/>
      <c r="G2542" s="81"/>
      <c r="H2542" s="81"/>
      <c r="I2542" s="81"/>
      <c r="J2542" s="81"/>
      <c r="K2542" s="81"/>
      <c r="L2542" s="81"/>
      <c r="M2542" s="81"/>
      <c r="N2542" s="81"/>
    </row>
    <row r="2543" spans="1:14" ht="14.25" customHeight="1" x14ac:dyDescent="0.25">
      <c r="A2543" s="83"/>
      <c r="B2543" s="84"/>
      <c r="C2543" s="85"/>
      <c r="D2543" s="86"/>
      <c r="E2543" s="86"/>
      <c r="F2543" s="87"/>
      <c r="G2543" s="81"/>
      <c r="H2543" s="81"/>
      <c r="I2543" s="81"/>
      <c r="J2543" s="81"/>
      <c r="K2543" s="81"/>
      <c r="L2543" s="81"/>
      <c r="M2543" s="81"/>
      <c r="N2543" s="81"/>
    </row>
    <row r="2544" spans="1:14" ht="14.25" customHeight="1" x14ac:dyDescent="0.25">
      <c r="A2544" s="599"/>
      <c r="B2544" s="600"/>
      <c r="C2544" s="600"/>
      <c r="D2544" s="600"/>
      <c r="E2544" s="600"/>
      <c r="F2544" s="601"/>
      <c r="G2544" s="81"/>
      <c r="H2544" s="81"/>
      <c r="I2544" s="81"/>
      <c r="J2544" s="81"/>
      <c r="K2544" s="81"/>
      <c r="L2544" s="81"/>
      <c r="M2544" s="81"/>
      <c r="N2544" s="81"/>
    </row>
    <row r="2545" spans="1:14" ht="14.25" customHeight="1" x14ac:dyDescent="0.25">
      <c r="A2545" s="602" t="s">
        <v>561</v>
      </c>
      <c r="B2545" s="600"/>
      <c r="C2545" s="600"/>
      <c r="D2545" s="600"/>
      <c r="E2545" s="600"/>
      <c r="F2545" s="601"/>
      <c r="G2545" s="81"/>
      <c r="H2545" s="81"/>
      <c r="I2545" s="81"/>
      <c r="J2545" s="81"/>
      <c r="K2545" s="81"/>
      <c r="L2545" s="81"/>
      <c r="M2545" s="81"/>
      <c r="N2545" s="81"/>
    </row>
    <row r="2546" spans="1:14" ht="14.25" customHeight="1" thickBot="1" x14ac:dyDescent="0.3">
      <c r="A2546" s="603"/>
      <c r="B2546" s="604"/>
      <c r="C2546" s="604"/>
      <c r="D2546" s="604"/>
      <c r="E2546" s="604"/>
      <c r="F2546" s="605"/>
      <c r="G2546" s="81"/>
      <c r="H2546" s="81"/>
      <c r="I2546" s="81"/>
      <c r="J2546" s="81"/>
      <c r="K2546" s="81"/>
      <c r="L2546" s="81"/>
      <c r="M2546" s="81"/>
      <c r="N2546" s="81"/>
    </row>
    <row r="2547" spans="1:14" ht="14.25" customHeight="1" x14ac:dyDescent="0.25">
      <c r="A2547" s="88"/>
      <c r="B2547" s="88"/>
      <c r="C2547" s="89"/>
      <c r="D2547" s="89"/>
      <c r="E2547" s="89"/>
      <c r="F2547" s="89"/>
      <c r="G2547" s="81"/>
      <c r="H2547" s="81"/>
      <c r="I2547" s="81"/>
      <c r="J2547" s="81"/>
      <c r="K2547" s="81"/>
      <c r="L2547" s="81"/>
      <c r="M2547" s="81"/>
      <c r="N2547" s="81"/>
    </row>
    <row r="2548" spans="1:14" ht="14.25" customHeight="1" x14ac:dyDescent="0.25">
      <c r="A2548" s="90" t="s">
        <v>47</v>
      </c>
      <c r="B2548" s="613" t="s">
        <v>144</v>
      </c>
      <c r="C2548" s="600"/>
      <c r="D2548" s="600"/>
      <c r="E2548" s="600"/>
      <c r="F2548" s="600"/>
      <c r="G2548" s="81"/>
      <c r="H2548" s="81"/>
      <c r="I2548" s="81"/>
      <c r="J2548" s="81"/>
      <c r="K2548" s="81"/>
      <c r="L2548" s="81"/>
      <c r="M2548" s="81"/>
      <c r="N2548" s="81"/>
    </row>
    <row r="2549" spans="1:14" ht="14.25" customHeight="1" x14ac:dyDescent="0.25">
      <c r="A2549" s="91"/>
      <c r="B2549" s="91"/>
      <c r="C2549" s="91"/>
      <c r="D2549" s="91"/>
      <c r="E2549" s="91"/>
      <c r="F2549" s="91"/>
      <c r="G2549" s="81"/>
      <c r="H2549" s="81"/>
      <c r="I2549" s="81"/>
      <c r="J2549" s="81"/>
      <c r="K2549" s="81"/>
      <c r="L2549" s="81"/>
      <c r="M2549" s="81"/>
      <c r="N2549" s="81"/>
    </row>
    <row r="2550" spans="1:14" ht="14.25" customHeight="1" x14ac:dyDescent="0.25">
      <c r="A2550" s="88" t="s">
        <v>49</v>
      </c>
      <c r="B2550" s="92" t="s">
        <v>56</v>
      </c>
      <c r="C2550" s="89"/>
      <c r="D2550" s="89"/>
      <c r="E2550" s="89"/>
      <c r="F2550" s="93"/>
      <c r="G2550" s="81"/>
      <c r="H2550" s="81"/>
      <c r="I2550" s="81"/>
      <c r="J2550" s="81"/>
      <c r="K2550" s="81"/>
      <c r="L2550" s="81"/>
      <c r="M2550" s="81"/>
      <c r="N2550" s="81"/>
    </row>
    <row r="2551" spans="1:14" ht="14.25" customHeight="1" x14ac:dyDescent="0.25">
      <c r="A2551" s="88"/>
      <c r="B2551" s="94"/>
      <c r="C2551" s="89"/>
      <c r="D2551" s="89"/>
      <c r="E2551" s="89"/>
      <c r="F2551" s="93"/>
      <c r="G2551" s="81"/>
      <c r="H2551" s="81"/>
      <c r="I2551" s="81"/>
      <c r="J2551" s="81"/>
      <c r="K2551" s="81"/>
      <c r="L2551" s="81"/>
      <c r="M2551" s="81"/>
      <c r="N2551" s="81"/>
    </row>
    <row r="2552" spans="1:14" ht="14.25" customHeight="1" x14ac:dyDescent="0.25">
      <c r="A2552" s="95" t="s">
        <v>562</v>
      </c>
      <c r="B2552" s="96"/>
      <c r="C2552" s="92"/>
      <c r="D2552" s="92"/>
      <c r="E2552" s="92"/>
      <c r="F2552" s="92"/>
      <c r="G2552" s="81"/>
      <c r="H2552" s="81"/>
      <c r="I2552" s="81"/>
      <c r="J2552" s="81"/>
      <c r="K2552" s="81"/>
      <c r="L2552" s="81"/>
      <c r="M2552" s="81"/>
      <c r="N2552" s="81"/>
    </row>
    <row r="2553" spans="1:14" ht="14.25" customHeight="1" x14ac:dyDescent="0.25">
      <c r="A2553" s="97" t="s">
        <v>563</v>
      </c>
      <c r="B2553" s="98" t="s">
        <v>564</v>
      </c>
      <c r="C2553" s="98" t="s">
        <v>565</v>
      </c>
      <c r="D2553" s="98" t="s">
        <v>566</v>
      </c>
      <c r="E2553" s="98" t="s">
        <v>567</v>
      </c>
      <c r="F2553" s="98" t="s">
        <v>568</v>
      </c>
      <c r="G2553" s="81"/>
      <c r="H2553" s="81"/>
      <c r="I2553" s="81"/>
      <c r="J2553" s="81"/>
      <c r="K2553" s="81"/>
      <c r="L2553" s="81"/>
      <c r="M2553" s="81"/>
      <c r="N2553" s="81"/>
    </row>
    <row r="2554" spans="1:14" ht="14.25" customHeight="1" x14ac:dyDescent="0.25">
      <c r="A2554" s="99" t="s">
        <v>672</v>
      </c>
      <c r="B2554" s="100" t="s">
        <v>671</v>
      </c>
      <c r="C2554" s="101">
        <v>72650</v>
      </c>
      <c r="D2554" s="149">
        <v>0.06</v>
      </c>
      <c r="E2554" s="102">
        <v>0.05</v>
      </c>
      <c r="F2554" s="101">
        <f>C2554*(D2554+(D2554*E2554))</f>
        <v>4576.95</v>
      </c>
      <c r="G2554" s="81"/>
      <c r="H2554" s="81"/>
      <c r="I2554" s="81"/>
      <c r="J2554" s="81"/>
      <c r="K2554" s="81"/>
      <c r="L2554" s="81"/>
      <c r="M2554" s="81"/>
      <c r="N2554" s="81"/>
    </row>
    <row r="2555" spans="1:14" ht="14.25" customHeight="1" x14ac:dyDescent="0.25">
      <c r="A2555" s="99"/>
      <c r="B2555" s="100"/>
      <c r="C2555" s="101"/>
      <c r="D2555" s="149"/>
      <c r="E2555" s="102"/>
      <c r="F2555" s="101"/>
      <c r="G2555" s="81"/>
      <c r="H2555" s="81"/>
      <c r="I2555" s="81"/>
      <c r="J2555" s="81"/>
      <c r="K2555" s="81"/>
      <c r="L2555" s="81"/>
      <c r="M2555" s="81"/>
      <c r="N2555" s="81"/>
    </row>
    <row r="2556" spans="1:14" ht="14.25" customHeight="1" x14ac:dyDescent="0.25">
      <c r="A2556" s="99"/>
      <c r="B2556" s="100"/>
      <c r="C2556" s="101"/>
      <c r="D2556" s="149"/>
      <c r="E2556" s="102"/>
      <c r="F2556" s="101"/>
      <c r="G2556" s="81"/>
      <c r="H2556" s="81"/>
      <c r="I2556" s="81"/>
      <c r="J2556" s="81"/>
      <c r="K2556" s="81"/>
      <c r="L2556" s="81"/>
      <c r="M2556" s="81"/>
      <c r="N2556" s="81"/>
    </row>
    <row r="2557" spans="1:14" ht="14.25" customHeight="1" x14ac:dyDescent="0.25">
      <c r="A2557" s="99"/>
      <c r="B2557" s="100"/>
      <c r="C2557" s="101"/>
      <c r="D2557" s="104"/>
      <c r="E2557" s="102"/>
      <c r="F2557" s="101"/>
      <c r="G2557" s="81"/>
      <c r="H2557" s="81"/>
      <c r="I2557" s="81"/>
      <c r="J2557" s="81"/>
      <c r="K2557" s="81"/>
      <c r="L2557" s="81"/>
      <c r="M2557" s="81"/>
      <c r="N2557" s="81"/>
    </row>
    <row r="2558" spans="1:14" ht="14.25" customHeight="1" x14ac:dyDescent="0.25">
      <c r="A2558" s="99"/>
      <c r="B2558" s="100"/>
      <c r="C2558" s="101"/>
      <c r="D2558" s="104"/>
      <c r="E2558" s="102"/>
      <c r="F2558" s="101"/>
      <c r="G2558" s="81"/>
      <c r="H2558" s="81"/>
      <c r="I2558" s="81"/>
      <c r="J2558" s="81"/>
      <c r="K2558" s="81"/>
      <c r="L2558" s="81"/>
      <c r="M2558" s="81"/>
      <c r="N2558" s="81"/>
    </row>
    <row r="2559" spans="1:14" ht="14.25" customHeight="1" x14ac:dyDescent="0.25">
      <c r="A2559" s="99"/>
      <c r="B2559" s="100"/>
      <c r="C2559" s="106"/>
      <c r="D2559" s="107"/>
      <c r="E2559" s="108"/>
      <c r="F2559" s="106"/>
      <c r="G2559" s="81"/>
      <c r="H2559" s="81"/>
      <c r="I2559" s="81"/>
      <c r="J2559" s="81"/>
      <c r="K2559" s="81"/>
      <c r="L2559" s="81"/>
      <c r="M2559" s="81"/>
      <c r="N2559" s="81"/>
    </row>
    <row r="2560" spans="1:14" ht="14.25" customHeight="1" x14ac:dyDescent="0.25">
      <c r="A2560" s="97" t="s">
        <v>548</v>
      </c>
      <c r="B2560" s="97"/>
      <c r="C2560" s="109"/>
      <c r="D2560" s="110"/>
      <c r="E2560" s="111"/>
      <c r="F2560" s="112">
        <f>SUM(F2554:F2559)</f>
        <v>4576.95</v>
      </c>
      <c r="G2560" s="81"/>
      <c r="H2560" s="81"/>
      <c r="I2560" s="81"/>
      <c r="J2560" s="81"/>
      <c r="K2560" s="81"/>
      <c r="L2560" s="81"/>
      <c r="M2560" s="81"/>
      <c r="N2560" s="81"/>
    </row>
    <row r="2561" spans="1:14" ht="14.25" customHeight="1" x14ac:dyDescent="0.25">
      <c r="A2561" s="88"/>
      <c r="B2561" s="88"/>
      <c r="C2561" s="113"/>
      <c r="D2561" s="113"/>
      <c r="E2561" s="114"/>
      <c r="F2561" s="113"/>
      <c r="G2561" s="81"/>
      <c r="H2561" s="81"/>
      <c r="I2561" s="81"/>
      <c r="J2561" s="81"/>
      <c r="K2561" s="81"/>
      <c r="L2561" s="81"/>
      <c r="M2561" s="81"/>
      <c r="N2561" s="81"/>
    </row>
    <row r="2562" spans="1:14" ht="14.25" customHeight="1" x14ac:dyDescent="0.25">
      <c r="A2562" s="96" t="s">
        <v>573</v>
      </c>
      <c r="B2562" s="96"/>
      <c r="C2562" s="92"/>
      <c r="D2562" s="92"/>
      <c r="E2562" s="92"/>
      <c r="F2562" s="92"/>
      <c r="G2562" s="81"/>
      <c r="H2562" s="81"/>
      <c r="I2562" s="81"/>
      <c r="J2562" s="81"/>
      <c r="K2562" s="81"/>
      <c r="L2562" s="81"/>
      <c r="M2562" s="81"/>
      <c r="N2562" s="81"/>
    </row>
    <row r="2563" spans="1:14" ht="14.25" customHeight="1" x14ac:dyDescent="0.25">
      <c r="A2563" s="611" t="s">
        <v>563</v>
      </c>
      <c r="B2563" s="608"/>
      <c r="C2563" s="609"/>
      <c r="D2563" s="98" t="s">
        <v>574</v>
      </c>
      <c r="E2563" s="98" t="s">
        <v>575</v>
      </c>
      <c r="F2563" s="98" t="s">
        <v>568</v>
      </c>
      <c r="G2563" s="81"/>
      <c r="H2563" s="81"/>
      <c r="I2563" s="81"/>
      <c r="J2563" s="81"/>
      <c r="K2563" s="81"/>
      <c r="L2563" s="81"/>
      <c r="M2563" s="81"/>
      <c r="N2563" s="81"/>
    </row>
    <row r="2564" spans="1:14" ht="14.25" customHeight="1" x14ac:dyDescent="0.25">
      <c r="A2564" s="607" t="s">
        <v>577</v>
      </c>
      <c r="B2564" s="608"/>
      <c r="C2564" s="609"/>
      <c r="D2564" s="116"/>
      <c r="E2564" s="107"/>
      <c r="F2564" s="106">
        <v>526</v>
      </c>
      <c r="G2564" s="81"/>
      <c r="H2564" s="81"/>
      <c r="I2564" s="81"/>
      <c r="J2564" s="81"/>
      <c r="K2564" s="81"/>
      <c r="L2564" s="81"/>
      <c r="M2564" s="81"/>
      <c r="N2564" s="81"/>
    </row>
    <row r="2565" spans="1:14" ht="14.25" customHeight="1" x14ac:dyDescent="0.25">
      <c r="A2565" s="607" t="s">
        <v>657</v>
      </c>
      <c r="B2565" s="608"/>
      <c r="C2565" s="609"/>
      <c r="D2565" s="142">
        <v>1850</v>
      </c>
      <c r="E2565" s="107">
        <v>1.2</v>
      </c>
      <c r="F2565" s="106">
        <f>D2565/E2565</f>
        <v>1541.6666666666667</v>
      </c>
      <c r="G2565" s="81"/>
      <c r="H2565" s="81"/>
      <c r="I2565" s="81"/>
      <c r="J2565" s="81"/>
      <c r="K2565" s="81"/>
      <c r="L2565" s="81"/>
      <c r="M2565" s="81"/>
      <c r="N2565" s="81"/>
    </row>
    <row r="2566" spans="1:14" ht="14.25" customHeight="1" x14ac:dyDescent="0.25">
      <c r="A2566" s="607"/>
      <c r="B2566" s="608"/>
      <c r="C2566" s="609"/>
      <c r="D2566" s="142"/>
      <c r="E2566" s="105"/>
      <c r="F2566" s="106"/>
      <c r="G2566" s="81"/>
      <c r="H2566" s="81"/>
      <c r="I2566" s="81"/>
      <c r="J2566" s="81"/>
      <c r="K2566" s="81"/>
      <c r="L2566" s="81"/>
      <c r="M2566" s="81"/>
      <c r="N2566" s="81"/>
    </row>
    <row r="2567" spans="1:14" ht="14.25" customHeight="1" x14ac:dyDescent="0.25">
      <c r="A2567" s="607"/>
      <c r="B2567" s="608"/>
      <c r="C2567" s="609"/>
      <c r="D2567" s="142"/>
      <c r="E2567" s="107"/>
      <c r="F2567" s="106"/>
      <c r="G2567" s="81"/>
      <c r="H2567" s="81"/>
      <c r="I2567" s="81"/>
      <c r="J2567" s="81"/>
      <c r="K2567" s="81"/>
      <c r="L2567" s="81"/>
      <c r="M2567" s="81"/>
      <c r="N2567" s="81"/>
    </row>
    <row r="2568" spans="1:14" ht="14.25" customHeight="1" x14ac:dyDescent="0.25">
      <c r="A2568" s="610"/>
      <c r="B2568" s="608"/>
      <c r="C2568" s="609"/>
      <c r="D2568" s="115"/>
      <c r="E2568" s="107"/>
      <c r="F2568" s="106"/>
      <c r="G2568" s="81"/>
      <c r="H2568" s="81"/>
      <c r="I2568" s="81"/>
      <c r="J2568" s="81"/>
      <c r="K2568" s="81"/>
      <c r="L2568" s="81"/>
      <c r="M2568" s="81"/>
      <c r="N2568" s="81"/>
    </row>
    <row r="2569" spans="1:14" ht="14.25" customHeight="1" x14ac:dyDescent="0.25">
      <c r="A2569" s="611" t="s">
        <v>548</v>
      </c>
      <c r="B2569" s="608"/>
      <c r="C2569" s="609"/>
      <c r="D2569" s="110"/>
      <c r="E2569" s="110"/>
      <c r="F2569" s="112">
        <f>SUM(F2564:F2567)</f>
        <v>2067.666666666667</v>
      </c>
      <c r="G2569" s="81"/>
      <c r="H2569" s="81"/>
      <c r="I2569" s="81"/>
      <c r="J2569" s="81"/>
      <c r="K2569" s="81"/>
      <c r="L2569" s="81"/>
      <c r="M2569" s="81"/>
      <c r="N2569" s="81"/>
    </row>
    <row r="2570" spans="1:14" ht="14.25" customHeight="1" x14ac:dyDescent="0.25">
      <c r="A2570" s="88"/>
      <c r="B2570" s="88"/>
      <c r="C2570" s="89"/>
      <c r="D2570" s="113"/>
      <c r="E2570" s="113"/>
      <c r="F2570" s="113"/>
      <c r="G2570" s="81"/>
      <c r="H2570" s="81"/>
      <c r="I2570" s="81"/>
      <c r="J2570" s="81"/>
      <c r="K2570" s="81"/>
      <c r="L2570" s="81"/>
      <c r="M2570" s="81"/>
      <c r="N2570" s="81"/>
    </row>
    <row r="2571" spans="1:14" ht="14.25" customHeight="1" x14ac:dyDescent="0.25">
      <c r="A2571" s="96" t="s">
        <v>578</v>
      </c>
      <c r="B2571" s="96"/>
      <c r="C2571" s="92"/>
      <c r="D2571" s="118"/>
      <c r="E2571" s="118"/>
      <c r="F2571" s="118"/>
      <c r="G2571" s="81"/>
      <c r="H2571" s="81"/>
      <c r="I2571" s="81"/>
      <c r="J2571" s="81"/>
      <c r="K2571" s="81"/>
      <c r="L2571" s="81"/>
      <c r="M2571" s="81"/>
      <c r="N2571" s="81"/>
    </row>
    <row r="2572" spans="1:14" ht="14.25" customHeight="1" x14ac:dyDescent="0.25">
      <c r="A2572" s="119" t="s">
        <v>563</v>
      </c>
      <c r="B2572" s="120" t="s">
        <v>579</v>
      </c>
      <c r="C2572" s="120" t="s">
        <v>580</v>
      </c>
      <c r="D2572" s="121" t="s">
        <v>581</v>
      </c>
      <c r="E2572" s="121" t="s">
        <v>575</v>
      </c>
      <c r="F2572" s="121" t="s">
        <v>568</v>
      </c>
      <c r="G2572" s="81"/>
      <c r="H2572" s="81"/>
      <c r="I2572" s="81"/>
      <c r="J2572" s="81"/>
      <c r="K2572" s="81"/>
      <c r="L2572" s="81"/>
      <c r="M2572" s="81"/>
      <c r="N2572" s="81"/>
    </row>
    <row r="2573" spans="1:14" ht="14.25" customHeight="1" x14ac:dyDescent="0.25">
      <c r="A2573" s="122" t="s">
        <v>593</v>
      </c>
      <c r="B2573" s="127">
        <v>1</v>
      </c>
      <c r="C2573" s="101">
        <v>32688</v>
      </c>
      <c r="D2573" s="101">
        <f t="shared" ref="D2573:D2574" si="142">+C2573*1.7</f>
        <v>55569.599999999999</v>
      </c>
      <c r="E2573" s="107">
        <v>20</v>
      </c>
      <c r="F2573" s="106">
        <f t="shared" ref="F2573:F2574" si="143">+B2573*(D2573)/E2573</f>
        <v>2778.48</v>
      </c>
      <c r="G2573" s="81"/>
      <c r="H2573" s="81"/>
      <c r="I2573" s="81"/>
      <c r="J2573" s="81"/>
      <c r="K2573" s="81"/>
      <c r="L2573" s="81"/>
      <c r="M2573" s="81"/>
      <c r="N2573" s="81"/>
    </row>
    <row r="2574" spans="1:14" ht="14.25" customHeight="1" x14ac:dyDescent="0.25">
      <c r="A2574" s="122" t="s">
        <v>594</v>
      </c>
      <c r="B2574" s="127">
        <v>1</v>
      </c>
      <c r="C2574" s="101">
        <v>52538</v>
      </c>
      <c r="D2574" s="101">
        <f t="shared" si="142"/>
        <v>89314.599999999991</v>
      </c>
      <c r="E2574" s="107">
        <f>E2573</f>
        <v>20</v>
      </c>
      <c r="F2574" s="106">
        <f t="shared" si="143"/>
        <v>4465.7299999999996</v>
      </c>
      <c r="G2574" s="81"/>
      <c r="H2574" s="81"/>
      <c r="I2574" s="81"/>
      <c r="J2574" s="81"/>
      <c r="K2574" s="81"/>
      <c r="L2574" s="81"/>
      <c r="M2574" s="81"/>
      <c r="N2574" s="81"/>
    </row>
    <row r="2575" spans="1:14" ht="14.25" customHeight="1" x14ac:dyDescent="0.25">
      <c r="A2575" s="122"/>
      <c r="B2575" s="127"/>
      <c r="C2575" s="101"/>
      <c r="D2575" s="101"/>
      <c r="E2575" s="105"/>
      <c r="F2575" s="106"/>
      <c r="G2575" s="81"/>
      <c r="H2575" s="81"/>
      <c r="I2575" s="81"/>
      <c r="J2575" s="81"/>
      <c r="K2575" s="81"/>
      <c r="L2575" s="81"/>
      <c r="M2575" s="81"/>
      <c r="N2575" s="81"/>
    </row>
    <row r="2576" spans="1:14" ht="14.25" customHeight="1" x14ac:dyDescent="0.25">
      <c r="A2576" s="122"/>
      <c r="B2576" s="127"/>
      <c r="C2576" s="101"/>
      <c r="D2576" s="101"/>
      <c r="E2576" s="125"/>
      <c r="F2576" s="106"/>
      <c r="G2576" s="81"/>
      <c r="H2576" s="81"/>
      <c r="I2576" s="81"/>
      <c r="J2576" s="81"/>
      <c r="K2576" s="81"/>
      <c r="L2576" s="81"/>
      <c r="M2576" s="81"/>
      <c r="N2576" s="81"/>
    </row>
    <row r="2577" spans="1:14" ht="14.25" customHeight="1" x14ac:dyDescent="0.25">
      <c r="A2577" s="97" t="s">
        <v>548</v>
      </c>
      <c r="B2577" s="128"/>
      <c r="C2577" s="110"/>
      <c r="D2577" s="110"/>
      <c r="E2577" s="110"/>
      <c r="F2577" s="112">
        <f>SUM(F2573:F2576)</f>
        <v>7244.2099999999991</v>
      </c>
      <c r="G2577" s="81"/>
      <c r="H2577" s="81"/>
      <c r="I2577" s="81"/>
      <c r="J2577" s="81"/>
      <c r="K2577" s="81"/>
      <c r="L2577" s="81"/>
      <c r="M2577" s="81"/>
      <c r="N2577" s="81"/>
    </row>
    <row r="2578" spans="1:14" ht="14.25" customHeight="1" x14ac:dyDescent="0.25">
      <c r="A2578" s="96"/>
      <c r="B2578" s="129"/>
      <c r="C2578" s="118"/>
      <c r="D2578" s="118"/>
      <c r="E2578" s="118"/>
      <c r="F2578" s="118"/>
      <c r="G2578" s="81"/>
      <c r="H2578" s="81"/>
      <c r="I2578" s="81"/>
      <c r="J2578" s="81"/>
      <c r="K2578" s="81"/>
      <c r="L2578" s="81"/>
      <c r="M2578" s="81"/>
      <c r="N2578" s="81"/>
    </row>
    <row r="2579" spans="1:14" ht="14.25" customHeight="1" x14ac:dyDescent="0.25">
      <c r="A2579" s="95" t="s">
        <v>583</v>
      </c>
      <c r="B2579" s="96"/>
      <c r="C2579" s="92"/>
      <c r="D2579" s="92"/>
      <c r="E2579" s="92" t="s">
        <v>584</v>
      </c>
      <c r="F2579" s="92"/>
      <c r="G2579" s="81"/>
      <c r="H2579" s="81"/>
      <c r="I2579" s="81"/>
      <c r="J2579" s="81"/>
      <c r="K2579" s="81"/>
      <c r="L2579" s="81"/>
      <c r="M2579" s="81"/>
      <c r="N2579" s="81"/>
    </row>
    <row r="2580" spans="1:14" ht="14.25" customHeight="1" x14ac:dyDescent="0.25">
      <c r="A2580" s="97" t="s">
        <v>563</v>
      </c>
      <c r="B2580" s="98" t="s">
        <v>564</v>
      </c>
      <c r="C2580" s="98" t="s">
        <v>585</v>
      </c>
      <c r="D2580" s="98" t="s">
        <v>586</v>
      </c>
      <c r="E2580" s="120" t="s">
        <v>587</v>
      </c>
      <c r="F2580" s="98" t="s">
        <v>568</v>
      </c>
      <c r="G2580" s="81"/>
      <c r="H2580" s="81"/>
      <c r="I2580" s="81"/>
      <c r="J2580" s="81"/>
      <c r="K2580" s="81"/>
      <c r="L2580" s="81"/>
      <c r="M2580" s="81"/>
      <c r="N2580" s="81"/>
    </row>
    <row r="2581" spans="1:14" ht="14.25" customHeight="1" x14ac:dyDescent="0.25">
      <c r="A2581" s="103"/>
      <c r="B2581" s="100"/>
      <c r="C2581" s="101"/>
      <c r="D2581" s="140"/>
      <c r="E2581" s="107"/>
      <c r="F2581" s="109"/>
      <c r="G2581" s="81"/>
      <c r="H2581" s="81"/>
      <c r="I2581" s="81"/>
      <c r="J2581" s="81"/>
      <c r="K2581" s="81"/>
      <c r="L2581" s="81"/>
      <c r="M2581" s="81"/>
      <c r="N2581" s="81"/>
    </row>
    <row r="2582" spans="1:14" ht="14.25" customHeight="1" x14ac:dyDescent="0.25">
      <c r="A2582" s="103"/>
      <c r="B2582" s="100"/>
      <c r="C2582" s="107"/>
      <c r="D2582" s="107"/>
      <c r="E2582" s="108"/>
      <c r="F2582" s="109"/>
      <c r="G2582" s="81"/>
      <c r="H2582" s="81"/>
      <c r="I2582" s="81"/>
      <c r="J2582" s="81"/>
      <c r="K2582" s="81"/>
      <c r="L2582" s="81"/>
      <c r="M2582" s="81"/>
      <c r="N2582" s="81"/>
    </row>
    <row r="2583" spans="1:14" ht="14.25" customHeight="1" x14ac:dyDescent="0.25">
      <c r="A2583" s="97" t="s">
        <v>548</v>
      </c>
      <c r="B2583" s="98"/>
      <c r="C2583" s="110"/>
      <c r="D2583" s="110"/>
      <c r="E2583" s="111"/>
      <c r="F2583" s="112">
        <f>SUM(F2581:F2582)</f>
        <v>0</v>
      </c>
      <c r="G2583" s="81"/>
      <c r="H2583" s="81"/>
      <c r="I2583" s="81"/>
      <c r="J2583" s="81"/>
      <c r="K2583" s="81"/>
      <c r="L2583" s="81"/>
      <c r="M2583" s="81"/>
      <c r="N2583" s="81"/>
    </row>
    <row r="2584" spans="1:14" ht="14.25" customHeight="1" x14ac:dyDescent="0.25">
      <c r="A2584" s="88"/>
      <c r="B2584" s="89"/>
      <c r="C2584" s="113"/>
      <c r="D2584" s="113"/>
      <c r="E2584" s="114"/>
      <c r="F2584" s="113"/>
      <c r="G2584" s="81"/>
      <c r="H2584" s="81"/>
      <c r="I2584" s="81"/>
      <c r="J2584" s="81"/>
      <c r="K2584" s="81"/>
      <c r="L2584" s="81"/>
      <c r="M2584" s="81"/>
      <c r="N2584" s="81"/>
    </row>
    <row r="2585" spans="1:14" ht="14.25" customHeight="1" x14ac:dyDescent="0.25">
      <c r="A2585" s="88"/>
      <c r="B2585" s="89"/>
      <c r="C2585" s="113"/>
      <c r="D2585" s="113"/>
      <c r="E2585" s="114"/>
      <c r="F2585" s="113"/>
      <c r="G2585" s="81"/>
      <c r="H2585" s="81"/>
      <c r="I2585" s="81"/>
      <c r="J2585" s="81"/>
      <c r="K2585" s="81"/>
      <c r="L2585" s="81"/>
      <c r="M2585" s="81"/>
      <c r="N2585" s="81"/>
    </row>
    <row r="2586" spans="1:14" ht="14.25" customHeight="1" x14ac:dyDescent="0.25">
      <c r="A2586" s="612" t="s">
        <v>588</v>
      </c>
      <c r="B2586" s="608"/>
      <c r="C2586" s="608"/>
      <c r="D2586" s="608"/>
      <c r="E2586" s="609"/>
      <c r="F2586" s="131">
        <f>ROUND(F2560+F2569+F2577+F2583,0)</f>
        <v>13889</v>
      </c>
      <c r="G2586" s="81"/>
      <c r="H2586" s="117">
        <f>13889-F2586</f>
        <v>0</v>
      </c>
      <c r="I2586" s="81"/>
      <c r="J2586" s="81"/>
      <c r="K2586" s="81"/>
      <c r="L2586" s="81"/>
      <c r="M2586" s="81"/>
      <c r="N2586" s="81"/>
    </row>
    <row r="2587" spans="1:14" ht="14.25" customHeight="1" x14ac:dyDescent="0.25">
      <c r="A2587" s="612" t="s">
        <v>589</v>
      </c>
      <c r="B2587" s="608"/>
      <c r="C2587" s="608"/>
      <c r="D2587" s="608"/>
      <c r="E2587" s="609"/>
      <c r="F2587" s="132"/>
      <c r="G2587" s="81"/>
      <c r="H2587" s="81"/>
      <c r="I2587" s="81"/>
      <c r="J2587" s="81"/>
      <c r="K2587" s="81"/>
      <c r="L2587" s="81"/>
      <c r="M2587" s="81"/>
      <c r="N2587" s="81"/>
    </row>
    <row r="2588" spans="1:14" ht="14.25" customHeight="1" x14ac:dyDescent="0.25">
      <c r="A2588" s="146" t="s">
        <v>556</v>
      </c>
      <c r="B2588" s="147"/>
      <c r="C2588" s="147"/>
      <c r="D2588" s="147"/>
      <c r="E2588" s="148"/>
      <c r="F2588" s="133"/>
      <c r="G2588" s="81"/>
      <c r="H2588" s="81"/>
      <c r="I2588" s="81"/>
      <c r="J2588" s="81"/>
      <c r="K2588" s="81"/>
      <c r="L2588" s="81"/>
      <c r="M2588" s="81"/>
      <c r="N2588" s="81"/>
    </row>
    <row r="2589" spans="1:14" ht="14.25" customHeight="1" x14ac:dyDescent="0.25">
      <c r="A2589" s="134"/>
      <c r="B2589" s="135"/>
      <c r="C2589" s="135"/>
      <c r="D2589" s="135"/>
      <c r="E2589" s="135"/>
      <c r="F2589" s="136"/>
      <c r="G2589" s="81"/>
      <c r="H2589" s="81"/>
      <c r="I2589" s="81"/>
      <c r="J2589" s="81"/>
      <c r="K2589" s="81"/>
      <c r="L2589" s="81"/>
      <c r="M2589" s="81"/>
      <c r="N2589" s="81"/>
    </row>
    <row r="2590" spans="1:14" ht="14.25" customHeight="1" x14ac:dyDescent="0.25">
      <c r="A2590" s="81"/>
      <c r="B2590" s="81"/>
      <c r="C2590" s="137"/>
      <c r="D2590" s="81"/>
      <c r="E2590" s="81"/>
      <c r="F2590" s="81"/>
      <c r="G2590" s="81"/>
      <c r="H2590" s="81"/>
      <c r="I2590" s="81"/>
      <c r="J2590" s="81"/>
      <c r="K2590" s="81"/>
      <c r="L2590" s="81"/>
      <c r="M2590" s="81"/>
      <c r="N2590" s="81"/>
    </row>
    <row r="2591" spans="1:14" ht="14.25" customHeight="1" x14ac:dyDescent="0.25">
      <c r="A2591" s="81"/>
      <c r="B2591" s="81"/>
      <c r="C2591" s="137"/>
      <c r="D2591" s="81"/>
      <c r="E2591" s="81"/>
      <c r="F2591" s="81"/>
      <c r="G2591" s="81"/>
      <c r="H2591" s="81"/>
      <c r="I2591" s="81"/>
      <c r="J2591" s="81"/>
      <c r="K2591" s="81"/>
      <c r="L2591" s="81"/>
      <c r="M2591" s="81"/>
      <c r="N2591" s="81"/>
    </row>
    <row r="2592" spans="1:14" ht="14.25" customHeight="1" x14ac:dyDescent="0.25">
      <c r="A2592" s="81"/>
      <c r="B2592" s="81"/>
      <c r="C2592" s="137"/>
      <c r="D2592" s="81"/>
      <c r="E2592" s="81"/>
      <c r="F2592" s="81"/>
      <c r="G2592" s="81"/>
      <c r="H2592" s="81"/>
      <c r="I2592" s="81"/>
      <c r="J2592" s="81"/>
      <c r="K2592" s="81"/>
      <c r="L2592" s="81"/>
      <c r="M2592" s="81"/>
      <c r="N2592" s="81"/>
    </row>
    <row r="2593" spans="1:14" ht="14.25" customHeight="1" x14ac:dyDescent="0.25">
      <c r="A2593" s="81"/>
      <c r="B2593" s="81"/>
      <c r="C2593" s="137"/>
      <c r="D2593" s="81"/>
      <c r="E2593" s="81"/>
      <c r="F2593" s="81"/>
      <c r="G2593" s="81"/>
      <c r="H2593" s="81"/>
      <c r="I2593" s="81"/>
      <c r="J2593" s="81"/>
      <c r="K2593" s="81"/>
      <c r="L2593" s="81"/>
      <c r="M2593" s="81"/>
      <c r="N2593" s="81"/>
    </row>
    <row r="2594" spans="1:14" ht="14.25" customHeight="1" x14ac:dyDescent="0.25">
      <c r="A2594" s="81"/>
      <c r="B2594" s="81"/>
      <c r="C2594" s="137"/>
      <c r="D2594" s="81"/>
      <c r="E2594" s="81"/>
      <c r="F2594" s="81"/>
      <c r="G2594" s="81"/>
      <c r="H2594" s="81"/>
      <c r="I2594" s="81"/>
      <c r="J2594" s="81"/>
      <c r="K2594" s="81"/>
      <c r="L2594" s="81"/>
      <c r="M2594" s="81"/>
      <c r="N2594" s="81"/>
    </row>
    <row r="2595" spans="1:14" ht="14.25" customHeight="1" x14ac:dyDescent="0.25">
      <c r="A2595" s="81"/>
      <c r="B2595" s="81"/>
      <c r="C2595" s="137"/>
      <c r="D2595" s="81"/>
      <c r="E2595" s="81"/>
      <c r="F2595" s="81"/>
      <c r="G2595" s="81"/>
      <c r="H2595" s="81"/>
      <c r="I2595" s="81"/>
      <c r="J2595" s="81"/>
      <c r="K2595" s="81"/>
      <c r="L2595" s="81"/>
      <c r="M2595" s="81"/>
      <c r="N2595" s="81"/>
    </row>
    <row r="2596" spans="1:14" ht="14.25" customHeight="1" x14ac:dyDescent="0.25">
      <c r="A2596" s="134"/>
      <c r="B2596" s="135"/>
      <c r="C2596" s="135"/>
      <c r="D2596" s="135"/>
      <c r="E2596" s="135"/>
      <c r="F2596" s="136"/>
      <c r="G2596" s="81"/>
      <c r="H2596" s="81"/>
      <c r="I2596" s="81"/>
      <c r="J2596" s="81"/>
      <c r="K2596" s="81"/>
      <c r="L2596" s="81"/>
      <c r="M2596" s="81"/>
      <c r="N2596" s="81"/>
    </row>
    <row r="2597" spans="1:14" ht="14.25" customHeight="1" x14ac:dyDescent="0.25">
      <c r="A2597" s="134"/>
      <c r="B2597" s="135"/>
      <c r="C2597" s="135"/>
      <c r="D2597" s="135"/>
      <c r="E2597" s="135"/>
      <c r="F2597" s="136"/>
      <c r="G2597" s="81"/>
      <c r="H2597" s="81"/>
      <c r="I2597" s="81"/>
      <c r="J2597" s="81"/>
      <c r="K2597" s="81"/>
      <c r="L2597" s="81"/>
      <c r="M2597" s="81"/>
      <c r="N2597" s="81"/>
    </row>
    <row r="2598" spans="1:14" ht="14.25" customHeight="1" x14ac:dyDescent="0.25">
      <c r="A2598" s="134"/>
      <c r="B2598" s="135"/>
      <c r="C2598" s="135"/>
      <c r="D2598" s="135"/>
      <c r="E2598" s="135"/>
      <c r="F2598" s="136"/>
      <c r="G2598" s="81"/>
      <c r="H2598" s="81"/>
      <c r="I2598" s="81"/>
      <c r="J2598" s="81"/>
      <c r="K2598" s="81"/>
      <c r="L2598" s="81"/>
      <c r="M2598" s="81"/>
      <c r="N2598" s="81"/>
    </row>
    <row r="2599" spans="1:14" ht="14.25" customHeight="1" thickBot="1" x14ac:dyDescent="0.3">
      <c r="A2599" s="81"/>
      <c r="B2599" s="81"/>
      <c r="C2599" s="81"/>
      <c r="D2599" s="81"/>
      <c r="E2599" s="81"/>
      <c r="F2599" s="81"/>
      <c r="G2599" s="81"/>
      <c r="H2599" s="81"/>
      <c r="I2599" s="81"/>
      <c r="J2599" s="81"/>
      <c r="K2599" s="81"/>
      <c r="L2599" s="81"/>
      <c r="M2599" s="81"/>
      <c r="N2599" s="81"/>
    </row>
    <row r="2600" spans="1:14" ht="14.25" customHeight="1" x14ac:dyDescent="0.25">
      <c r="A2600" s="83"/>
      <c r="B2600" s="84"/>
      <c r="C2600" s="85"/>
      <c r="D2600" s="86"/>
      <c r="E2600" s="86"/>
      <c r="F2600" s="87"/>
      <c r="G2600" s="81"/>
      <c r="H2600" s="81"/>
      <c r="I2600" s="81"/>
      <c r="J2600" s="81"/>
      <c r="K2600" s="81"/>
      <c r="L2600" s="81"/>
      <c r="M2600" s="81"/>
      <c r="N2600" s="81"/>
    </row>
    <row r="2601" spans="1:14" ht="14.25" customHeight="1" x14ac:dyDescent="0.25">
      <c r="A2601" s="599"/>
      <c r="B2601" s="600"/>
      <c r="C2601" s="600"/>
      <c r="D2601" s="600"/>
      <c r="E2601" s="600"/>
      <c r="F2601" s="601"/>
      <c r="G2601" s="81"/>
      <c r="H2601" s="81"/>
      <c r="I2601" s="81"/>
      <c r="J2601" s="81"/>
      <c r="K2601" s="81"/>
      <c r="L2601" s="81"/>
      <c r="M2601" s="81"/>
      <c r="N2601" s="81"/>
    </row>
    <row r="2602" spans="1:14" ht="14.25" customHeight="1" x14ac:dyDescent="0.25">
      <c r="A2602" s="602" t="s">
        <v>561</v>
      </c>
      <c r="B2602" s="600"/>
      <c r="C2602" s="600"/>
      <c r="D2602" s="600"/>
      <c r="E2602" s="600"/>
      <c r="F2602" s="601"/>
      <c r="G2602" s="81"/>
      <c r="H2602" s="81"/>
      <c r="I2602" s="81"/>
      <c r="J2602" s="81"/>
      <c r="K2602" s="81"/>
      <c r="L2602" s="81"/>
      <c r="M2602" s="81"/>
      <c r="N2602" s="81"/>
    </row>
    <row r="2603" spans="1:14" ht="14.25" customHeight="1" thickBot="1" x14ac:dyDescent="0.3">
      <c r="A2603" s="603"/>
      <c r="B2603" s="604"/>
      <c r="C2603" s="604"/>
      <c r="D2603" s="604"/>
      <c r="E2603" s="604"/>
      <c r="F2603" s="605"/>
      <c r="G2603" s="81"/>
      <c r="H2603" s="81"/>
      <c r="I2603" s="81"/>
      <c r="J2603" s="81"/>
      <c r="K2603" s="81"/>
      <c r="L2603" s="81"/>
      <c r="M2603" s="81"/>
      <c r="N2603" s="81"/>
    </row>
    <row r="2604" spans="1:14" ht="14.25" customHeight="1" x14ac:dyDescent="0.25">
      <c r="A2604" s="88"/>
      <c r="B2604" s="88"/>
      <c r="C2604" s="89"/>
      <c r="D2604" s="89"/>
      <c r="E2604" s="89"/>
      <c r="F2604" s="89"/>
      <c r="G2604" s="81"/>
      <c r="H2604" s="81"/>
      <c r="I2604" s="81"/>
      <c r="J2604" s="81"/>
      <c r="K2604" s="81"/>
      <c r="L2604" s="81"/>
      <c r="M2604" s="81"/>
      <c r="N2604" s="81"/>
    </row>
    <row r="2605" spans="1:14" ht="14.25" customHeight="1" x14ac:dyDescent="0.25">
      <c r="A2605" s="90" t="s">
        <v>47</v>
      </c>
      <c r="B2605" s="613" t="s">
        <v>144</v>
      </c>
      <c r="C2605" s="600"/>
      <c r="D2605" s="600"/>
      <c r="E2605" s="600"/>
      <c r="F2605" s="600"/>
      <c r="G2605" s="81"/>
      <c r="H2605" s="81"/>
      <c r="I2605" s="81"/>
      <c r="J2605" s="81"/>
      <c r="K2605" s="81"/>
      <c r="L2605" s="81"/>
      <c r="M2605" s="81"/>
      <c r="N2605" s="81"/>
    </row>
    <row r="2606" spans="1:14" ht="14.25" customHeight="1" x14ac:dyDescent="0.25">
      <c r="A2606" s="91"/>
      <c r="B2606" s="91"/>
      <c r="C2606" s="91"/>
      <c r="D2606" s="91"/>
      <c r="E2606" s="91"/>
      <c r="F2606" s="91"/>
      <c r="G2606" s="81"/>
      <c r="H2606" s="81"/>
      <c r="I2606" s="81"/>
      <c r="J2606" s="81"/>
      <c r="K2606" s="81"/>
      <c r="L2606" s="81"/>
      <c r="M2606" s="81"/>
      <c r="N2606" s="81"/>
    </row>
    <row r="2607" spans="1:14" ht="14.25" customHeight="1" x14ac:dyDescent="0.25">
      <c r="A2607" s="88" t="s">
        <v>49</v>
      </c>
      <c r="B2607" s="92" t="s">
        <v>59</v>
      </c>
      <c r="C2607" s="89"/>
      <c r="D2607" s="89"/>
      <c r="E2607" s="89"/>
      <c r="F2607" s="93"/>
      <c r="G2607" s="81"/>
      <c r="H2607" s="81"/>
      <c r="I2607" s="81"/>
      <c r="J2607" s="81"/>
      <c r="K2607" s="81"/>
      <c r="L2607" s="81"/>
      <c r="M2607" s="81"/>
      <c r="N2607" s="81"/>
    </row>
    <row r="2608" spans="1:14" ht="14.25" customHeight="1" x14ac:dyDescent="0.25">
      <c r="A2608" s="88"/>
      <c r="B2608" s="94"/>
      <c r="C2608" s="89"/>
      <c r="D2608" s="89"/>
      <c r="E2608" s="89"/>
      <c r="F2608" s="93"/>
      <c r="G2608" s="81"/>
      <c r="H2608" s="81"/>
      <c r="I2608" s="81"/>
      <c r="J2608" s="81"/>
      <c r="K2608" s="81"/>
      <c r="L2608" s="81"/>
      <c r="M2608" s="81"/>
      <c r="N2608" s="81"/>
    </row>
    <row r="2609" spans="1:14" ht="14.25" customHeight="1" x14ac:dyDescent="0.25">
      <c r="A2609" s="95" t="s">
        <v>562</v>
      </c>
      <c r="B2609" s="96"/>
      <c r="C2609" s="92"/>
      <c r="D2609" s="92"/>
      <c r="E2609" s="92"/>
      <c r="F2609" s="92"/>
      <c r="G2609" s="81"/>
      <c r="H2609" s="81"/>
      <c r="I2609" s="81"/>
      <c r="J2609" s="81"/>
      <c r="K2609" s="81"/>
      <c r="L2609" s="81"/>
      <c r="M2609" s="81"/>
      <c r="N2609" s="81"/>
    </row>
    <row r="2610" spans="1:14" ht="14.25" customHeight="1" x14ac:dyDescent="0.25">
      <c r="A2610" s="97" t="s">
        <v>563</v>
      </c>
      <c r="B2610" s="98" t="s">
        <v>564</v>
      </c>
      <c r="C2610" s="98" t="s">
        <v>565</v>
      </c>
      <c r="D2610" s="98" t="s">
        <v>566</v>
      </c>
      <c r="E2610" s="98" t="s">
        <v>567</v>
      </c>
      <c r="F2610" s="98" t="s">
        <v>568</v>
      </c>
      <c r="G2610" s="81"/>
      <c r="H2610" s="81"/>
      <c r="I2610" s="81"/>
      <c r="J2610" s="81"/>
      <c r="K2610" s="81"/>
      <c r="L2610" s="81"/>
      <c r="M2610" s="81"/>
      <c r="N2610" s="81"/>
    </row>
    <row r="2611" spans="1:14" ht="14.25" customHeight="1" x14ac:dyDescent="0.25">
      <c r="A2611" s="99" t="s">
        <v>672</v>
      </c>
      <c r="B2611" s="100" t="s">
        <v>671</v>
      </c>
      <c r="C2611" s="101">
        <v>72650</v>
      </c>
      <c r="D2611" s="149">
        <v>3.5000000000000003E-2</v>
      </c>
      <c r="E2611" s="102">
        <v>0.05</v>
      </c>
      <c r="F2611" s="101">
        <f>C2611*(D2611+(D2611*E2611))</f>
        <v>2669.8875000000003</v>
      </c>
      <c r="G2611" s="81"/>
      <c r="H2611" s="81"/>
      <c r="I2611" s="81"/>
      <c r="J2611" s="81"/>
      <c r="K2611" s="81"/>
      <c r="L2611" s="81"/>
      <c r="M2611" s="81"/>
      <c r="N2611" s="81"/>
    </row>
    <row r="2612" spans="1:14" ht="14.25" customHeight="1" x14ac:dyDescent="0.25">
      <c r="A2612" s="99"/>
      <c r="B2612" s="100"/>
      <c r="C2612" s="101"/>
      <c r="D2612" s="149"/>
      <c r="E2612" s="102"/>
      <c r="F2612" s="101"/>
      <c r="G2612" s="81"/>
      <c r="H2612" s="81"/>
      <c r="I2612" s="81"/>
      <c r="J2612" s="81"/>
      <c r="K2612" s="81"/>
      <c r="L2612" s="81"/>
      <c r="M2612" s="81"/>
      <c r="N2612" s="81"/>
    </row>
    <row r="2613" spans="1:14" ht="14.25" customHeight="1" x14ac:dyDescent="0.25">
      <c r="A2613" s="99"/>
      <c r="B2613" s="100"/>
      <c r="C2613" s="101"/>
      <c r="D2613" s="149"/>
      <c r="E2613" s="102"/>
      <c r="F2613" s="101"/>
      <c r="G2613" s="81"/>
      <c r="H2613" s="81"/>
      <c r="I2613" s="81"/>
      <c r="J2613" s="81"/>
      <c r="K2613" s="81"/>
      <c r="L2613" s="81"/>
      <c r="M2613" s="81"/>
      <c r="N2613" s="81"/>
    </row>
    <row r="2614" spans="1:14" ht="14.25" customHeight="1" x14ac:dyDescent="0.25">
      <c r="A2614" s="99"/>
      <c r="B2614" s="100"/>
      <c r="C2614" s="101"/>
      <c r="D2614" s="104"/>
      <c r="E2614" s="102"/>
      <c r="F2614" s="101"/>
      <c r="G2614" s="81"/>
      <c r="H2614" s="81"/>
      <c r="I2614" s="81"/>
      <c r="J2614" s="81"/>
      <c r="K2614" s="81"/>
      <c r="L2614" s="81"/>
      <c r="M2614" s="81"/>
      <c r="N2614" s="81"/>
    </row>
    <row r="2615" spans="1:14" ht="14.25" customHeight="1" x14ac:dyDescent="0.25">
      <c r="A2615" s="99"/>
      <c r="B2615" s="100"/>
      <c r="C2615" s="101"/>
      <c r="D2615" s="104"/>
      <c r="E2615" s="102"/>
      <c r="F2615" s="101"/>
      <c r="G2615" s="81"/>
      <c r="H2615" s="81"/>
      <c r="I2615" s="81"/>
      <c r="J2615" s="81"/>
      <c r="K2615" s="81"/>
      <c r="L2615" s="81"/>
      <c r="M2615" s="81"/>
      <c r="N2615" s="81"/>
    </row>
    <row r="2616" spans="1:14" ht="14.25" customHeight="1" x14ac:dyDescent="0.25">
      <c r="A2616" s="99"/>
      <c r="B2616" s="100"/>
      <c r="C2616" s="106"/>
      <c r="D2616" s="107"/>
      <c r="E2616" s="108"/>
      <c r="F2616" s="106"/>
      <c r="G2616" s="81"/>
      <c r="H2616" s="81"/>
      <c r="I2616" s="81"/>
      <c r="J2616" s="81"/>
      <c r="K2616" s="81"/>
      <c r="L2616" s="81"/>
      <c r="M2616" s="81"/>
      <c r="N2616" s="81"/>
    </row>
    <row r="2617" spans="1:14" ht="14.25" customHeight="1" x14ac:dyDescent="0.25">
      <c r="A2617" s="97" t="s">
        <v>548</v>
      </c>
      <c r="B2617" s="97"/>
      <c r="C2617" s="109"/>
      <c r="D2617" s="110"/>
      <c r="E2617" s="111"/>
      <c r="F2617" s="112">
        <f>SUM(F2611:F2616)</f>
        <v>2669.8875000000003</v>
      </c>
      <c r="G2617" s="81"/>
      <c r="H2617" s="81"/>
      <c r="I2617" s="81"/>
      <c r="J2617" s="81"/>
      <c r="K2617" s="81"/>
      <c r="L2617" s="81"/>
      <c r="M2617" s="81"/>
      <c r="N2617" s="81"/>
    </row>
    <row r="2618" spans="1:14" ht="14.25" customHeight="1" x14ac:dyDescent="0.25">
      <c r="A2618" s="88"/>
      <c r="B2618" s="88"/>
      <c r="C2618" s="113"/>
      <c r="D2618" s="113"/>
      <c r="E2618" s="114"/>
      <c r="F2618" s="113"/>
      <c r="G2618" s="81"/>
      <c r="H2618" s="81"/>
      <c r="I2618" s="81"/>
      <c r="J2618" s="81"/>
      <c r="K2618" s="81"/>
      <c r="L2618" s="81"/>
      <c r="M2618" s="81"/>
      <c r="N2618" s="81"/>
    </row>
    <row r="2619" spans="1:14" ht="14.25" customHeight="1" x14ac:dyDescent="0.25">
      <c r="A2619" s="96" t="s">
        <v>573</v>
      </c>
      <c r="B2619" s="96"/>
      <c r="C2619" s="92"/>
      <c r="D2619" s="92"/>
      <c r="E2619" s="92"/>
      <c r="F2619" s="92"/>
      <c r="G2619" s="81"/>
      <c r="H2619" s="81"/>
      <c r="I2619" s="81"/>
      <c r="J2619" s="81"/>
      <c r="K2619" s="81"/>
      <c r="L2619" s="81"/>
      <c r="M2619" s="81"/>
      <c r="N2619" s="81"/>
    </row>
    <row r="2620" spans="1:14" ht="14.25" customHeight="1" x14ac:dyDescent="0.25">
      <c r="A2620" s="611" t="s">
        <v>563</v>
      </c>
      <c r="B2620" s="608"/>
      <c r="C2620" s="609"/>
      <c r="D2620" s="98" t="s">
        <v>574</v>
      </c>
      <c r="E2620" s="98" t="s">
        <v>575</v>
      </c>
      <c r="F2620" s="98" t="s">
        <v>568</v>
      </c>
      <c r="G2620" s="81"/>
      <c r="H2620" s="81"/>
      <c r="I2620" s="81"/>
      <c r="J2620" s="81"/>
      <c r="K2620" s="81"/>
      <c r="L2620" s="81"/>
      <c r="M2620" s="81"/>
      <c r="N2620" s="81"/>
    </row>
    <row r="2621" spans="1:14" ht="14.25" customHeight="1" x14ac:dyDescent="0.25">
      <c r="A2621" s="607" t="s">
        <v>577</v>
      </c>
      <c r="B2621" s="608"/>
      <c r="C2621" s="609"/>
      <c r="D2621" s="116"/>
      <c r="E2621" s="107"/>
      <c r="F2621" s="106">
        <f>+F2634*5%</f>
        <v>297.87047697368416</v>
      </c>
      <c r="G2621" s="81"/>
      <c r="H2621" s="81"/>
      <c r="I2621" s="81"/>
      <c r="J2621" s="81"/>
      <c r="K2621" s="81"/>
      <c r="L2621" s="81"/>
      <c r="M2621" s="81"/>
      <c r="N2621" s="81"/>
    </row>
    <row r="2622" spans="1:14" ht="14.25" customHeight="1" x14ac:dyDescent="0.25">
      <c r="A2622" s="607" t="s">
        <v>657</v>
      </c>
      <c r="B2622" s="608"/>
      <c r="C2622" s="609"/>
      <c r="D2622" s="142">
        <v>1850</v>
      </c>
      <c r="E2622" s="107">
        <v>2</v>
      </c>
      <c r="F2622" s="106">
        <f>D2622/E2622</f>
        <v>925</v>
      </c>
      <c r="G2622" s="81"/>
      <c r="H2622" s="81"/>
      <c r="I2622" s="81"/>
      <c r="J2622" s="81"/>
      <c r="K2622" s="81"/>
      <c r="L2622" s="81"/>
      <c r="M2622" s="81"/>
      <c r="N2622" s="81"/>
    </row>
    <row r="2623" spans="1:14" ht="14.25" customHeight="1" x14ac:dyDescent="0.25">
      <c r="A2623" s="607"/>
      <c r="B2623" s="608"/>
      <c r="C2623" s="609"/>
      <c r="D2623" s="142"/>
      <c r="E2623" s="105"/>
      <c r="F2623" s="106"/>
      <c r="G2623" s="81"/>
      <c r="H2623" s="81"/>
      <c r="I2623" s="81"/>
      <c r="J2623" s="81"/>
      <c r="K2623" s="81"/>
      <c r="L2623" s="81"/>
      <c r="M2623" s="81"/>
      <c r="N2623" s="81"/>
    </row>
    <row r="2624" spans="1:14" ht="14.25" customHeight="1" x14ac:dyDescent="0.25">
      <c r="A2624" s="607"/>
      <c r="B2624" s="608"/>
      <c r="C2624" s="609"/>
      <c r="D2624" s="142"/>
      <c r="E2624" s="107"/>
      <c r="F2624" s="106"/>
      <c r="G2624" s="81"/>
      <c r="H2624" s="81"/>
      <c r="I2624" s="81"/>
      <c r="J2624" s="81"/>
      <c r="K2624" s="81"/>
      <c r="L2624" s="81"/>
      <c r="M2624" s="81"/>
      <c r="N2624" s="81"/>
    </row>
    <row r="2625" spans="1:14" ht="14.25" customHeight="1" x14ac:dyDescent="0.25">
      <c r="A2625" s="610"/>
      <c r="B2625" s="608"/>
      <c r="C2625" s="609"/>
      <c r="D2625" s="115"/>
      <c r="E2625" s="107"/>
      <c r="F2625" s="106"/>
      <c r="G2625" s="81"/>
      <c r="H2625" s="81"/>
      <c r="I2625" s="81"/>
      <c r="J2625" s="81"/>
      <c r="K2625" s="81"/>
      <c r="L2625" s="81"/>
      <c r="M2625" s="81"/>
      <c r="N2625" s="81"/>
    </row>
    <row r="2626" spans="1:14" ht="14.25" customHeight="1" x14ac:dyDescent="0.25">
      <c r="A2626" s="611" t="s">
        <v>548</v>
      </c>
      <c r="B2626" s="608"/>
      <c r="C2626" s="609"/>
      <c r="D2626" s="110"/>
      <c r="E2626" s="110"/>
      <c r="F2626" s="112">
        <f>SUM(F2621:F2624)</f>
        <v>1222.8704769736842</v>
      </c>
      <c r="G2626" s="81"/>
      <c r="H2626" s="81"/>
      <c r="I2626" s="81"/>
      <c r="J2626" s="81"/>
      <c r="K2626" s="81"/>
      <c r="L2626" s="81"/>
      <c r="M2626" s="81"/>
      <c r="N2626" s="81"/>
    </row>
    <row r="2627" spans="1:14" ht="14.25" customHeight="1" x14ac:dyDescent="0.25">
      <c r="A2627" s="88"/>
      <c r="B2627" s="88"/>
      <c r="C2627" s="89"/>
      <c r="D2627" s="113"/>
      <c r="E2627" s="113"/>
      <c r="F2627" s="113"/>
      <c r="G2627" s="81"/>
      <c r="H2627" s="81"/>
      <c r="I2627" s="81"/>
      <c r="J2627" s="81"/>
      <c r="K2627" s="81"/>
      <c r="L2627" s="81"/>
      <c r="M2627" s="81"/>
      <c r="N2627" s="81"/>
    </row>
    <row r="2628" spans="1:14" ht="14.25" customHeight="1" x14ac:dyDescent="0.25">
      <c r="A2628" s="96" t="s">
        <v>578</v>
      </c>
      <c r="B2628" s="96"/>
      <c r="C2628" s="92"/>
      <c r="D2628" s="118"/>
      <c r="E2628" s="118"/>
      <c r="F2628" s="118"/>
      <c r="G2628" s="81"/>
      <c r="H2628" s="81"/>
      <c r="I2628" s="81"/>
      <c r="J2628" s="81"/>
      <c r="K2628" s="81"/>
      <c r="L2628" s="81"/>
      <c r="M2628" s="81"/>
      <c r="N2628" s="81"/>
    </row>
    <row r="2629" spans="1:14" ht="14.25" customHeight="1" x14ac:dyDescent="0.25">
      <c r="A2629" s="119" t="s">
        <v>563</v>
      </c>
      <c r="B2629" s="120" t="s">
        <v>579</v>
      </c>
      <c r="C2629" s="120" t="s">
        <v>580</v>
      </c>
      <c r="D2629" s="121" t="s">
        <v>581</v>
      </c>
      <c r="E2629" s="121" t="s">
        <v>575</v>
      </c>
      <c r="F2629" s="121" t="s">
        <v>568</v>
      </c>
      <c r="G2629" s="81"/>
      <c r="H2629" s="81"/>
      <c r="I2629" s="81"/>
      <c r="J2629" s="81"/>
      <c r="K2629" s="81"/>
      <c r="L2629" s="81"/>
      <c r="M2629" s="81"/>
      <c r="N2629" s="81"/>
    </row>
    <row r="2630" spans="1:14" ht="14.25" customHeight="1" x14ac:dyDescent="0.25">
      <c r="A2630" s="122" t="s">
        <v>593</v>
      </c>
      <c r="B2630" s="127">
        <v>1</v>
      </c>
      <c r="C2630" s="101">
        <v>32688</v>
      </c>
      <c r="D2630" s="101">
        <f t="shared" ref="D2630:D2631" si="144">+C2630*1.7</f>
        <v>55569.599999999999</v>
      </c>
      <c r="E2630" s="107">
        <v>24.32</v>
      </c>
      <c r="F2630" s="106">
        <f t="shared" ref="F2630:F2631" si="145">+B2630*(D2630)/E2630</f>
        <v>2284.9342105263158</v>
      </c>
      <c r="G2630" s="81"/>
      <c r="H2630" s="81"/>
      <c r="I2630" s="81"/>
      <c r="J2630" s="81"/>
      <c r="K2630" s="81"/>
      <c r="L2630" s="81"/>
      <c r="M2630" s="81"/>
      <c r="N2630" s="81"/>
    </row>
    <row r="2631" spans="1:14" ht="14.25" customHeight="1" x14ac:dyDescent="0.25">
      <c r="A2631" s="122" t="s">
        <v>594</v>
      </c>
      <c r="B2631" s="127">
        <v>1</v>
      </c>
      <c r="C2631" s="101">
        <v>52538</v>
      </c>
      <c r="D2631" s="101">
        <f t="shared" si="144"/>
        <v>89314.599999999991</v>
      </c>
      <c r="E2631" s="107">
        <f>E2630</f>
        <v>24.32</v>
      </c>
      <c r="F2631" s="106">
        <f t="shared" si="145"/>
        <v>3672.4753289473679</v>
      </c>
      <c r="G2631" s="81"/>
      <c r="H2631" s="81"/>
      <c r="I2631" s="81"/>
      <c r="J2631" s="81"/>
      <c r="K2631" s="81"/>
      <c r="L2631" s="81"/>
      <c r="M2631" s="81"/>
      <c r="N2631" s="81"/>
    </row>
    <row r="2632" spans="1:14" ht="14.25" customHeight="1" x14ac:dyDescent="0.25">
      <c r="A2632" s="122"/>
      <c r="B2632" s="127"/>
      <c r="C2632" s="101"/>
      <c r="D2632" s="101"/>
      <c r="E2632" s="105"/>
      <c r="F2632" s="106"/>
      <c r="G2632" s="81"/>
      <c r="H2632" s="81"/>
      <c r="I2632" s="81"/>
      <c r="J2632" s="81"/>
      <c r="K2632" s="81"/>
      <c r="L2632" s="81"/>
      <c r="M2632" s="81"/>
      <c r="N2632" s="81"/>
    </row>
    <row r="2633" spans="1:14" ht="14.25" customHeight="1" x14ac:dyDescent="0.25">
      <c r="A2633" s="122"/>
      <c r="B2633" s="127"/>
      <c r="C2633" s="101"/>
      <c r="D2633" s="101"/>
      <c r="E2633" s="125"/>
      <c r="F2633" s="106"/>
      <c r="G2633" s="81"/>
      <c r="H2633" s="81"/>
      <c r="I2633" s="81"/>
      <c r="J2633" s="81"/>
      <c r="K2633" s="81"/>
      <c r="L2633" s="81"/>
      <c r="M2633" s="81"/>
      <c r="N2633" s="81"/>
    </row>
    <row r="2634" spans="1:14" ht="14.25" customHeight="1" x14ac:dyDescent="0.25">
      <c r="A2634" s="97" t="s">
        <v>548</v>
      </c>
      <c r="B2634" s="128"/>
      <c r="C2634" s="110"/>
      <c r="D2634" s="110"/>
      <c r="E2634" s="110"/>
      <c r="F2634" s="112">
        <f>SUM(F2630:F2633)</f>
        <v>5957.4095394736833</v>
      </c>
      <c r="G2634" s="81"/>
      <c r="H2634" s="81"/>
      <c r="I2634" s="81"/>
      <c r="J2634" s="81"/>
      <c r="K2634" s="81"/>
      <c r="L2634" s="81"/>
      <c r="M2634" s="81"/>
      <c r="N2634" s="81"/>
    </row>
    <row r="2635" spans="1:14" ht="14.25" customHeight="1" x14ac:dyDescent="0.25">
      <c r="A2635" s="96"/>
      <c r="B2635" s="129"/>
      <c r="C2635" s="118"/>
      <c r="D2635" s="118"/>
      <c r="E2635" s="118"/>
      <c r="F2635" s="118"/>
      <c r="G2635" s="81"/>
      <c r="H2635" s="81"/>
      <c r="I2635" s="81"/>
      <c r="J2635" s="81"/>
      <c r="K2635" s="81"/>
      <c r="L2635" s="81"/>
      <c r="M2635" s="81"/>
      <c r="N2635" s="81"/>
    </row>
    <row r="2636" spans="1:14" ht="14.25" customHeight="1" x14ac:dyDescent="0.25">
      <c r="A2636" s="95" t="s">
        <v>583</v>
      </c>
      <c r="B2636" s="96"/>
      <c r="C2636" s="92"/>
      <c r="D2636" s="92"/>
      <c r="E2636" s="92" t="s">
        <v>584</v>
      </c>
      <c r="F2636" s="92"/>
      <c r="G2636" s="81"/>
      <c r="H2636" s="81"/>
      <c r="I2636" s="81"/>
      <c r="J2636" s="81"/>
      <c r="K2636" s="81"/>
      <c r="L2636" s="81"/>
      <c r="M2636" s="81"/>
      <c r="N2636" s="81"/>
    </row>
    <row r="2637" spans="1:14" ht="14.25" customHeight="1" x14ac:dyDescent="0.25">
      <c r="A2637" s="97" t="s">
        <v>563</v>
      </c>
      <c r="B2637" s="98" t="s">
        <v>564</v>
      </c>
      <c r="C2637" s="98" t="s">
        <v>585</v>
      </c>
      <c r="D2637" s="98" t="s">
        <v>586</v>
      </c>
      <c r="E2637" s="120" t="s">
        <v>587</v>
      </c>
      <c r="F2637" s="98" t="s">
        <v>568</v>
      </c>
      <c r="G2637" s="81"/>
      <c r="H2637" s="81"/>
      <c r="I2637" s="81"/>
      <c r="J2637" s="81"/>
      <c r="K2637" s="81"/>
      <c r="L2637" s="81"/>
      <c r="M2637" s="81"/>
      <c r="N2637" s="81"/>
    </row>
    <row r="2638" spans="1:14" ht="14.25" customHeight="1" x14ac:dyDescent="0.25">
      <c r="A2638" s="103"/>
      <c r="B2638" s="100"/>
      <c r="C2638" s="101"/>
      <c r="D2638" s="140"/>
      <c r="E2638" s="107"/>
      <c r="F2638" s="109"/>
      <c r="G2638" s="81"/>
      <c r="H2638" s="81"/>
      <c r="I2638" s="81"/>
      <c r="J2638" s="81"/>
      <c r="K2638" s="81"/>
      <c r="L2638" s="81"/>
      <c r="M2638" s="81"/>
      <c r="N2638" s="81"/>
    </row>
    <row r="2639" spans="1:14" ht="14.25" customHeight="1" x14ac:dyDescent="0.25">
      <c r="A2639" s="103"/>
      <c r="B2639" s="100"/>
      <c r="C2639" s="107"/>
      <c r="D2639" s="107"/>
      <c r="E2639" s="108"/>
      <c r="F2639" s="109"/>
      <c r="G2639" s="81"/>
      <c r="H2639" s="81"/>
      <c r="I2639" s="81"/>
      <c r="J2639" s="81"/>
      <c r="K2639" s="81"/>
      <c r="L2639" s="81"/>
      <c r="M2639" s="81"/>
      <c r="N2639" s="81"/>
    </row>
    <row r="2640" spans="1:14" ht="14.25" customHeight="1" x14ac:dyDescent="0.25">
      <c r="A2640" s="97" t="s">
        <v>548</v>
      </c>
      <c r="B2640" s="98"/>
      <c r="C2640" s="110"/>
      <c r="D2640" s="110"/>
      <c r="E2640" s="111"/>
      <c r="F2640" s="112">
        <f>SUM(F2638:F2639)</f>
        <v>0</v>
      </c>
      <c r="G2640" s="81"/>
      <c r="H2640" s="81"/>
      <c r="I2640" s="81"/>
      <c r="J2640" s="81"/>
      <c r="K2640" s="81"/>
      <c r="L2640" s="81"/>
      <c r="M2640" s="81"/>
      <c r="N2640" s="81"/>
    </row>
    <row r="2641" spans="1:14" ht="14.25" customHeight="1" x14ac:dyDescent="0.25">
      <c r="A2641" s="88"/>
      <c r="B2641" s="89"/>
      <c r="C2641" s="113"/>
      <c r="D2641" s="113"/>
      <c r="E2641" s="114"/>
      <c r="F2641" s="113"/>
      <c r="G2641" s="81"/>
      <c r="H2641" s="81"/>
      <c r="I2641" s="81"/>
      <c r="J2641" s="81"/>
      <c r="K2641" s="81"/>
      <c r="L2641" s="81"/>
      <c r="M2641" s="81"/>
      <c r="N2641" s="81"/>
    </row>
    <row r="2642" spans="1:14" ht="14.25" customHeight="1" x14ac:dyDescent="0.25">
      <c r="A2642" s="88"/>
      <c r="B2642" s="89"/>
      <c r="C2642" s="113"/>
      <c r="D2642" s="113"/>
      <c r="E2642" s="114"/>
      <c r="F2642" s="113"/>
      <c r="G2642" s="81"/>
      <c r="H2642" s="81"/>
      <c r="I2642" s="81"/>
      <c r="J2642" s="81"/>
      <c r="K2642" s="81"/>
      <c r="L2642" s="81"/>
      <c r="M2642" s="81"/>
      <c r="N2642" s="81"/>
    </row>
    <row r="2643" spans="1:14" ht="14.25" customHeight="1" x14ac:dyDescent="0.25">
      <c r="A2643" s="612" t="s">
        <v>588</v>
      </c>
      <c r="B2643" s="608"/>
      <c r="C2643" s="608"/>
      <c r="D2643" s="608"/>
      <c r="E2643" s="609"/>
      <c r="F2643" s="131">
        <f>ROUND(F2617+F2626+F2634+F2640,0)</f>
        <v>9850</v>
      </c>
      <c r="G2643" s="81"/>
      <c r="H2643" s="117"/>
      <c r="I2643" s="81"/>
      <c r="J2643" s="81"/>
      <c r="K2643" s="81"/>
      <c r="L2643" s="81"/>
      <c r="M2643" s="81"/>
      <c r="N2643" s="81"/>
    </row>
    <row r="2644" spans="1:14" ht="14.25" customHeight="1" x14ac:dyDescent="0.25">
      <c r="A2644" s="612" t="s">
        <v>589</v>
      </c>
      <c r="B2644" s="608"/>
      <c r="C2644" s="608"/>
      <c r="D2644" s="608"/>
      <c r="E2644" s="609"/>
      <c r="F2644" s="132"/>
      <c r="G2644" s="81"/>
      <c r="H2644" s="81"/>
      <c r="I2644" s="81"/>
      <c r="J2644" s="81"/>
      <c r="K2644" s="81"/>
      <c r="L2644" s="81"/>
      <c r="M2644" s="81"/>
      <c r="N2644" s="81"/>
    </row>
    <row r="2645" spans="1:14" ht="14.25" customHeight="1" x14ac:dyDescent="0.25">
      <c r="A2645" s="146" t="s">
        <v>556</v>
      </c>
      <c r="B2645" s="147"/>
      <c r="C2645" s="147"/>
      <c r="D2645" s="147"/>
      <c r="E2645" s="148"/>
      <c r="F2645" s="133"/>
      <c r="G2645" s="81"/>
      <c r="H2645" s="81"/>
      <c r="I2645" s="81"/>
      <c r="J2645" s="81"/>
      <c r="K2645" s="81"/>
      <c r="L2645" s="81"/>
      <c r="M2645" s="81"/>
      <c r="N2645" s="81"/>
    </row>
    <row r="2646" spans="1:14" ht="14.25" customHeight="1" x14ac:dyDescent="0.25">
      <c r="A2646" s="134"/>
      <c r="B2646" s="135"/>
      <c r="C2646" s="135"/>
      <c r="D2646" s="135"/>
      <c r="E2646" s="135"/>
      <c r="F2646" s="136"/>
      <c r="G2646" s="81"/>
      <c r="H2646" s="81"/>
      <c r="I2646" s="81"/>
      <c r="J2646" s="81"/>
      <c r="K2646" s="81"/>
      <c r="L2646" s="81"/>
      <c r="M2646" s="81"/>
      <c r="N2646" s="81"/>
    </row>
    <row r="2647" spans="1:14" ht="14.25" customHeight="1" x14ac:dyDescent="0.25">
      <c r="A2647" s="81"/>
      <c r="B2647" s="81"/>
      <c r="C2647" s="137"/>
      <c r="D2647" s="81"/>
      <c r="E2647" s="81"/>
      <c r="F2647" s="81"/>
      <c r="G2647" s="81"/>
      <c r="H2647" s="81"/>
      <c r="I2647" s="81"/>
      <c r="J2647" s="81"/>
      <c r="K2647" s="81"/>
      <c r="L2647" s="81"/>
      <c r="M2647" s="81"/>
      <c r="N2647" s="81"/>
    </row>
    <row r="2648" spans="1:14" ht="14.25" customHeight="1" x14ac:dyDescent="0.25">
      <c r="A2648" s="81"/>
      <c r="B2648" s="81"/>
      <c r="C2648" s="137"/>
      <c r="D2648" s="81"/>
      <c r="E2648" s="81"/>
      <c r="F2648" s="81"/>
      <c r="G2648" s="81"/>
      <c r="H2648" s="81"/>
      <c r="I2648" s="81"/>
      <c r="J2648" s="81"/>
      <c r="K2648" s="81"/>
      <c r="L2648" s="81"/>
      <c r="M2648" s="81"/>
      <c r="N2648" s="81"/>
    </row>
    <row r="2649" spans="1:14" ht="14.25" customHeight="1" x14ac:dyDescent="0.25">
      <c r="A2649" s="81"/>
      <c r="B2649" s="81"/>
      <c r="C2649" s="137"/>
      <c r="D2649" s="81"/>
      <c r="E2649" s="81"/>
      <c r="F2649" s="81"/>
      <c r="G2649" s="81"/>
      <c r="H2649" s="81"/>
      <c r="I2649" s="81"/>
      <c r="J2649" s="81"/>
      <c r="K2649" s="81"/>
      <c r="L2649" s="81"/>
      <c r="M2649" s="81"/>
      <c r="N2649" s="81"/>
    </row>
    <row r="2650" spans="1:14" ht="14.25" customHeight="1" x14ac:dyDescent="0.25">
      <c r="A2650" s="81"/>
      <c r="B2650" s="81"/>
      <c r="C2650" s="137"/>
      <c r="D2650" s="81"/>
      <c r="E2650" s="81"/>
      <c r="F2650" s="81"/>
      <c r="G2650" s="81"/>
      <c r="H2650" s="81"/>
      <c r="I2650" s="81"/>
      <c r="J2650" s="81"/>
      <c r="K2650" s="81"/>
      <c r="L2650" s="81"/>
      <c r="M2650" s="81"/>
      <c r="N2650" s="81"/>
    </row>
    <row r="2651" spans="1:14" ht="14.25" customHeight="1" x14ac:dyDescent="0.25">
      <c r="A2651" s="81"/>
      <c r="B2651" s="81"/>
      <c r="C2651" s="137"/>
      <c r="D2651" s="81"/>
      <c r="E2651" s="81"/>
      <c r="F2651" s="81"/>
      <c r="G2651" s="81"/>
      <c r="H2651" s="81"/>
      <c r="I2651" s="81"/>
      <c r="J2651" s="81"/>
      <c r="K2651" s="81"/>
      <c r="L2651" s="81"/>
      <c r="M2651" s="81"/>
      <c r="N2651" s="81"/>
    </row>
    <row r="2652" spans="1:14" ht="14.25" customHeight="1" x14ac:dyDescent="0.25">
      <c r="A2652" s="81"/>
      <c r="B2652" s="81"/>
      <c r="C2652" s="137"/>
      <c r="D2652" s="81"/>
      <c r="E2652" s="81"/>
      <c r="F2652" s="81"/>
      <c r="G2652" s="81"/>
      <c r="H2652" s="81"/>
      <c r="I2652" s="81"/>
      <c r="J2652" s="81"/>
      <c r="K2652" s="81"/>
      <c r="L2652" s="81"/>
      <c r="M2652" s="81"/>
      <c r="N2652" s="81"/>
    </row>
    <row r="2653" spans="1:14" ht="14.25" customHeight="1" x14ac:dyDescent="0.25">
      <c r="A2653" s="134"/>
      <c r="B2653" s="135"/>
      <c r="C2653" s="135"/>
      <c r="D2653" s="135"/>
      <c r="E2653" s="135"/>
      <c r="F2653" s="136"/>
      <c r="G2653" s="81"/>
      <c r="H2653" s="81"/>
      <c r="I2653" s="81"/>
      <c r="J2653" s="81"/>
      <c r="K2653" s="81"/>
      <c r="L2653" s="81"/>
      <c r="M2653" s="81"/>
      <c r="N2653" s="81"/>
    </row>
    <row r="2654" spans="1:14" ht="14.25" customHeight="1" x14ac:dyDescent="0.25">
      <c r="A2654" s="134"/>
      <c r="B2654" s="135"/>
      <c r="C2654" s="135"/>
      <c r="D2654" s="135"/>
      <c r="E2654" s="135"/>
      <c r="F2654" s="136"/>
      <c r="G2654" s="81"/>
      <c r="H2654" s="81"/>
      <c r="I2654" s="81"/>
      <c r="J2654" s="81"/>
      <c r="K2654" s="81"/>
      <c r="L2654" s="81"/>
      <c r="M2654" s="81"/>
      <c r="N2654" s="81"/>
    </row>
    <row r="2655" spans="1:14" ht="14.25" customHeight="1" x14ac:dyDescent="0.25">
      <c r="A2655" s="134"/>
      <c r="B2655" s="135"/>
      <c r="C2655" s="135"/>
      <c r="D2655" s="135"/>
      <c r="E2655" s="135"/>
      <c r="F2655" s="136"/>
      <c r="G2655" s="81"/>
      <c r="H2655" s="81"/>
      <c r="I2655" s="81"/>
      <c r="J2655" s="81"/>
      <c r="K2655" s="81"/>
      <c r="L2655" s="81"/>
      <c r="M2655" s="81"/>
      <c r="N2655" s="81"/>
    </row>
    <row r="2656" spans="1:14" ht="14.25" customHeight="1" thickBot="1" x14ac:dyDescent="0.3">
      <c r="A2656" s="81"/>
      <c r="B2656" s="81"/>
      <c r="C2656" s="81"/>
      <c r="D2656" s="81"/>
      <c r="E2656" s="81"/>
      <c r="F2656" s="81"/>
      <c r="G2656" s="81"/>
      <c r="H2656" s="81"/>
      <c r="I2656" s="81"/>
      <c r="J2656" s="81"/>
      <c r="K2656" s="81"/>
      <c r="L2656" s="81"/>
      <c r="M2656" s="81"/>
      <c r="N2656" s="81"/>
    </row>
    <row r="2657" spans="1:14" ht="14.25" customHeight="1" x14ac:dyDescent="0.25">
      <c r="A2657" s="83"/>
      <c r="B2657" s="84"/>
      <c r="C2657" s="85"/>
      <c r="D2657" s="86"/>
      <c r="E2657" s="86"/>
      <c r="F2657" s="87"/>
      <c r="G2657" s="81"/>
      <c r="H2657" s="81"/>
      <c r="I2657" s="81"/>
      <c r="J2657" s="81"/>
      <c r="K2657" s="81"/>
      <c r="L2657" s="81"/>
      <c r="M2657" s="81"/>
      <c r="N2657" s="81"/>
    </row>
    <row r="2658" spans="1:14" ht="14.25" customHeight="1" x14ac:dyDescent="0.25">
      <c r="A2658" s="599"/>
      <c r="B2658" s="600"/>
      <c r="C2658" s="600"/>
      <c r="D2658" s="600"/>
      <c r="E2658" s="600"/>
      <c r="F2658" s="601"/>
      <c r="G2658" s="81"/>
      <c r="H2658" s="81"/>
      <c r="I2658" s="81"/>
      <c r="J2658" s="81"/>
      <c r="K2658" s="81"/>
      <c r="L2658" s="81"/>
      <c r="M2658" s="81"/>
      <c r="N2658" s="81"/>
    </row>
    <row r="2659" spans="1:14" ht="14.25" customHeight="1" x14ac:dyDescent="0.25">
      <c r="A2659" s="602" t="s">
        <v>561</v>
      </c>
      <c r="B2659" s="600"/>
      <c r="C2659" s="600"/>
      <c r="D2659" s="600"/>
      <c r="E2659" s="600"/>
      <c r="F2659" s="601"/>
      <c r="G2659" s="81"/>
      <c r="H2659" s="81"/>
      <c r="I2659" s="81"/>
      <c r="J2659" s="81"/>
      <c r="K2659" s="81"/>
      <c r="L2659" s="81"/>
      <c r="M2659" s="81"/>
      <c r="N2659" s="81"/>
    </row>
    <row r="2660" spans="1:14" ht="14.25" customHeight="1" thickBot="1" x14ac:dyDescent="0.3">
      <c r="A2660" s="603"/>
      <c r="B2660" s="604"/>
      <c r="C2660" s="604"/>
      <c r="D2660" s="604"/>
      <c r="E2660" s="604"/>
      <c r="F2660" s="605"/>
      <c r="G2660" s="81"/>
      <c r="H2660" s="81"/>
      <c r="I2660" s="81"/>
      <c r="J2660" s="81"/>
      <c r="K2660" s="81"/>
      <c r="L2660" s="81"/>
      <c r="M2660" s="81"/>
      <c r="N2660" s="81"/>
    </row>
    <row r="2661" spans="1:14" ht="14.25" customHeight="1" x14ac:dyDescent="0.25">
      <c r="A2661" s="88"/>
      <c r="B2661" s="88"/>
      <c r="C2661" s="89"/>
      <c r="D2661" s="89"/>
      <c r="E2661" s="89"/>
      <c r="F2661" s="89"/>
      <c r="G2661" s="81"/>
      <c r="H2661" s="81"/>
      <c r="I2661" s="81"/>
      <c r="J2661" s="81"/>
      <c r="K2661" s="81"/>
      <c r="L2661" s="81"/>
      <c r="M2661" s="81"/>
      <c r="N2661" s="81"/>
    </row>
    <row r="2662" spans="1:14" ht="14.25" customHeight="1" x14ac:dyDescent="0.25">
      <c r="A2662" s="90" t="s">
        <v>47</v>
      </c>
      <c r="B2662" s="613" t="s">
        <v>147</v>
      </c>
      <c r="C2662" s="600"/>
      <c r="D2662" s="600"/>
      <c r="E2662" s="600"/>
      <c r="F2662" s="600"/>
      <c r="G2662" s="81"/>
      <c r="H2662" s="81"/>
      <c r="I2662" s="81"/>
      <c r="J2662" s="81"/>
      <c r="K2662" s="81"/>
      <c r="L2662" s="81"/>
      <c r="M2662" s="81"/>
      <c r="N2662" s="81"/>
    </row>
    <row r="2663" spans="1:14" ht="14.25" customHeight="1" x14ac:dyDescent="0.25">
      <c r="A2663" s="91"/>
      <c r="B2663" s="91"/>
      <c r="C2663" s="91"/>
      <c r="D2663" s="91"/>
      <c r="E2663" s="91"/>
      <c r="F2663" s="91"/>
      <c r="G2663" s="81"/>
      <c r="H2663" s="81"/>
      <c r="I2663" s="81"/>
      <c r="J2663" s="81"/>
      <c r="K2663" s="81"/>
      <c r="L2663" s="81"/>
      <c r="M2663" s="81"/>
      <c r="N2663" s="81"/>
    </row>
    <row r="2664" spans="1:14" ht="14.25" customHeight="1" x14ac:dyDescent="0.25">
      <c r="A2664" s="88" t="s">
        <v>49</v>
      </c>
      <c r="B2664" s="92" t="s">
        <v>56</v>
      </c>
      <c r="C2664" s="89"/>
      <c r="D2664" s="89"/>
      <c r="E2664" s="89"/>
      <c r="F2664" s="93"/>
      <c r="G2664" s="81"/>
      <c r="H2664" s="81"/>
      <c r="I2664" s="81"/>
      <c r="J2664" s="81"/>
      <c r="K2664" s="81"/>
      <c r="L2664" s="81"/>
      <c r="M2664" s="81"/>
      <c r="N2664" s="81"/>
    </row>
    <row r="2665" spans="1:14" ht="14.25" customHeight="1" x14ac:dyDescent="0.25">
      <c r="A2665" s="88"/>
      <c r="B2665" s="94"/>
      <c r="C2665" s="89"/>
      <c r="D2665" s="89"/>
      <c r="E2665" s="89"/>
      <c r="F2665" s="93"/>
      <c r="G2665" s="81"/>
      <c r="H2665" s="81"/>
      <c r="I2665" s="81"/>
      <c r="J2665" s="81"/>
      <c r="K2665" s="81"/>
      <c r="L2665" s="81"/>
      <c r="M2665" s="81"/>
      <c r="N2665" s="81"/>
    </row>
    <row r="2666" spans="1:14" ht="14.25" customHeight="1" x14ac:dyDescent="0.25">
      <c r="A2666" s="95" t="s">
        <v>562</v>
      </c>
      <c r="B2666" s="96"/>
      <c r="C2666" s="92"/>
      <c r="D2666" s="92"/>
      <c r="E2666" s="92"/>
      <c r="F2666" s="92"/>
      <c r="G2666" s="81"/>
      <c r="H2666" s="81"/>
      <c r="I2666" s="81"/>
      <c r="J2666" s="81"/>
      <c r="K2666" s="81"/>
      <c r="L2666" s="81"/>
      <c r="M2666" s="81"/>
      <c r="N2666" s="81"/>
    </row>
    <row r="2667" spans="1:14" ht="14.25" customHeight="1" x14ac:dyDescent="0.25">
      <c r="A2667" s="97" t="s">
        <v>563</v>
      </c>
      <c r="B2667" s="98" t="s">
        <v>564</v>
      </c>
      <c r="C2667" s="98" t="s">
        <v>565</v>
      </c>
      <c r="D2667" s="98" t="s">
        <v>566</v>
      </c>
      <c r="E2667" s="98" t="s">
        <v>567</v>
      </c>
      <c r="F2667" s="98" t="s">
        <v>568</v>
      </c>
      <c r="G2667" s="81"/>
      <c r="H2667" s="81"/>
      <c r="I2667" s="81"/>
      <c r="J2667" s="81"/>
      <c r="K2667" s="81"/>
      <c r="L2667" s="81"/>
      <c r="M2667" s="81"/>
      <c r="N2667" s="81"/>
    </row>
    <row r="2668" spans="1:14" ht="14.25" customHeight="1" x14ac:dyDescent="0.25">
      <c r="A2668" s="99" t="s">
        <v>673</v>
      </c>
      <c r="B2668" s="100" t="s">
        <v>671</v>
      </c>
      <c r="C2668" s="101">
        <v>340650</v>
      </c>
      <c r="D2668" s="149">
        <v>2.5000000000000001E-2</v>
      </c>
      <c r="E2668" s="102">
        <v>0.05</v>
      </c>
      <c r="F2668" s="101">
        <f>C2668*(D2668+(D2668*E2668))</f>
        <v>8942.0625</v>
      </c>
      <c r="G2668" s="81"/>
      <c r="H2668" s="81"/>
      <c r="I2668" s="81"/>
      <c r="J2668" s="81"/>
      <c r="K2668" s="81"/>
      <c r="L2668" s="81"/>
      <c r="M2668" s="81"/>
      <c r="N2668" s="81"/>
    </row>
    <row r="2669" spans="1:14" ht="14.25" customHeight="1" x14ac:dyDescent="0.25">
      <c r="A2669" s="99"/>
      <c r="B2669" s="100"/>
      <c r="C2669" s="101"/>
      <c r="D2669" s="149"/>
      <c r="E2669" s="102"/>
      <c r="F2669" s="101"/>
      <c r="G2669" s="81"/>
      <c r="H2669" s="81"/>
      <c r="I2669" s="81"/>
      <c r="J2669" s="81"/>
      <c r="K2669" s="81"/>
      <c r="L2669" s="81"/>
      <c r="M2669" s="81"/>
      <c r="N2669" s="81"/>
    </row>
    <row r="2670" spans="1:14" ht="14.25" customHeight="1" x14ac:dyDescent="0.25">
      <c r="A2670" s="99"/>
      <c r="B2670" s="100"/>
      <c r="C2670" s="101"/>
      <c r="D2670" s="149"/>
      <c r="E2670" s="102"/>
      <c r="F2670" s="101"/>
      <c r="G2670" s="81"/>
      <c r="H2670" s="81"/>
      <c r="I2670" s="81"/>
      <c r="J2670" s="81"/>
      <c r="K2670" s="81"/>
      <c r="L2670" s="81"/>
      <c r="M2670" s="81"/>
      <c r="N2670" s="81"/>
    </row>
    <row r="2671" spans="1:14" ht="14.25" customHeight="1" x14ac:dyDescent="0.25">
      <c r="A2671" s="99"/>
      <c r="B2671" s="100"/>
      <c r="C2671" s="101"/>
      <c r="D2671" s="104"/>
      <c r="E2671" s="102"/>
      <c r="F2671" s="101"/>
      <c r="G2671" s="81"/>
      <c r="H2671" s="81"/>
      <c r="I2671" s="81"/>
      <c r="J2671" s="81"/>
      <c r="K2671" s="81"/>
      <c r="L2671" s="81"/>
      <c r="M2671" s="81"/>
      <c r="N2671" s="81"/>
    </row>
    <row r="2672" spans="1:14" ht="14.25" customHeight="1" x14ac:dyDescent="0.25">
      <c r="A2672" s="99"/>
      <c r="B2672" s="100"/>
      <c r="C2672" s="101"/>
      <c r="D2672" s="104"/>
      <c r="E2672" s="102"/>
      <c r="F2672" s="101"/>
      <c r="G2672" s="81"/>
      <c r="H2672" s="81"/>
      <c r="I2672" s="81"/>
      <c r="J2672" s="81"/>
      <c r="K2672" s="81"/>
      <c r="L2672" s="81"/>
      <c r="M2672" s="81"/>
      <c r="N2672" s="81"/>
    </row>
    <row r="2673" spans="1:14" ht="14.25" customHeight="1" x14ac:dyDescent="0.25">
      <c r="A2673" s="99"/>
      <c r="B2673" s="100"/>
      <c r="C2673" s="106"/>
      <c r="D2673" s="107"/>
      <c r="E2673" s="108"/>
      <c r="F2673" s="106"/>
      <c r="G2673" s="81"/>
      <c r="H2673" s="81"/>
      <c r="I2673" s="81"/>
      <c r="J2673" s="81"/>
      <c r="K2673" s="81"/>
      <c r="L2673" s="81"/>
      <c r="M2673" s="81"/>
      <c r="N2673" s="81"/>
    </row>
    <row r="2674" spans="1:14" ht="14.25" customHeight="1" x14ac:dyDescent="0.25">
      <c r="A2674" s="97" t="s">
        <v>548</v>
      </c>
      <c r="B2674" s="97"/>
      <c r="C2674" s="109"/>
      <c r="D2674" s="110"/>
      <c r="E2674" s="111"/>
      <c r="F2674" s="112">
        <f>SUM(F2668:F2673)</f>
        <v>8942.0625</v>
      </c>
      <c r="G2674" s="81"/>
      <c r="H2674" s="81"/>
      <c r="I2674" s="81"/>
      <c r="J2674" s="81"/>
      <c r="K2674" s="81"/>
      <c r="L2674" s="81"/>
      <c r="M2674" s="81"/>
      <c r="N2674" s="81"/>
    </row>
    <row r="2675" spans="1:14" ht="14.25" customHeight="1" x14ac:dyDescent="0.25">
      <c r="A2675" s="88"/>
      <c r="B2675" s="88"/>
      <c r="C2675" s="113"/>
      <c r="D2675" s="113"/>
      <c r="E2675" s="114"/>
      <c r="F2675" s="113"/>
      <c r="G2675" s="81"/>
      <c r="H2675" s="81"/>
      <c r="I2675" s="81"/>
      <c r="J2675" s="81"/>
      <c r="K2675" s="81"/>
      <c r="L2675" s="81"/>
      <c r="M2675" s="81"/>
      <c r="N2675" s="81"/>
    </row>
    <row r="2676" spans="1:14" ht="14.25" customHeight="1" x14ac:dyDescent="0.25">
      <c r="A2676" s="96" t="s">
        <v>573</v>
      </c>
      <c r="B2676" s="96"/>
      <c r="C2676" s="92"/>
      <c r="D2676" s="92"/>
      <c r="E2676" s="92"/>
      <c r="F2676" s="92"/>
      <c r="G2676" s="81"/>
      <c r="H2676" s="81"/>
      <c r="I2676" s="81"/>
      <c r="J2676" s="81"/>
      <c r="K2676" s="81"/>
      <c r="L2676" s="81"/>
      <c r="M2676" s="81"/>
      <c r="N2676" s="81"/>
    </row>
    <row r="2677" spans="1:14" ht="14.25" customHeight="1" x14ac:dyDescent="0.25">
      <c r="A2677" s="611" t="s">
        <v>563</v>
      </c>
      <c r="B2677" s="608"/>
      <c r="C2677" s="609"/>
      <c r="D2677" s="98" t="s">
        <v>574</v>
      </c>
      <c r="E2677" s="98" t="s">
        <v>575</v>
      </c>
      <c r="F2677" s="98" t="s">
        <v>568</v>
      </c>
      <c r="G2677" s="81"/>
      <c r="H2677" s="81"/>
      <c r="I2677" s="81"/>
      <c r="J2677" s="81"/>
      <c r="K2677" s="81"/>
      <c r="L2677" s="81"/>
      <c r="M2677" s="81"/>
      <c r="N2677" s="81"/>
    </row>
    <row r="2678" spans="1:14" ht="14.25" customHeight="1" x14ac:dyDescent="0.25">
      <c r="A2678" s="607" t="s">
        <v>577</v>
      </c>
      <c r="B2678" s="608"/>
      <c r="C2678" s="609"/>
      <c r="D2678" s="116"/>
      <c r="E2678" s="107"/>
      <c r="F2678" s="106">
        <f>+F2691*5%</f>
        <v>339.641333395846</v>
      </c>
      <c r="G2678" s="81"/>
      <c r="H2678" s="81"/>
      <c r="I2678" s="81"/>
      <c r="J2678" s="81"/>
      <c r="K2678" s="81"/>
      <c r="L2678" s="81"/>
      <c r="M2678" s="81"/>
      <c r="N2678" s="81"/>
    </row>
    <row r="2679" spans="1:14" ht="14.25" customHeight="1" x14ac:dyDescent="0.25">
      <c r="A2679" s="607" t="s">
        <v>657</v>
      </c>
      <c r="B2679" s="608"/>
      <c r="C2679" s="609"/>
      <c r="D2679" s="142">
        <v>1850</v>
      </c>
      <c r="E2679" s="107">
        <v>2</v>
      </c>
      <c r="F2679" s="106">
        <f>D2679/E2679</f>
        <v>925</v>
      </c>
      <c r="G2679" s="81"/>
      <c r="H2679" s="81"/>
      <c r="I2679" s="81"/>
      <c r="J2679" s="81"/>
      <c r="K2679" s="81"/>
      <c r="L2679" s="81"/>
      <c r="M2679" s="81"/>
      <c r="N2679" s="81"/>
    </row>
    <row r="2680" spans="1:14" ht="14.25" customHeight="1" x14ac:dyDescent="0.25">
      <c r="A2680" s="607"/>
      <c r="B2680" s="608"/>
      <c r="C2680" s="609"/>
      <c r="D2680" s="142"/>
      <c r="E2680" s="105"/>
      <c r="F2680" s="106"/>
      <c r="G2680" s="81"/>
      <c r="H2680" s="81"/>
      <c r="I2680" s="81"/>
      <c r="J2680" s="81"/>
      <c r="K2680" s="81"/>
      <c r="L2680" s="81"/>
      <c r="M2680" s="81"/>
      <c r="N2680" s="81"/>
    </row>
    <row r="2681" spans="1:14" ht="14.25" customHeight="1" x14ac:dyDescent="0.25">
      <c r="A2681" s="607"/>
      <c r="B2681" s="608"/>
      <c r="C2681" s="609"/>
      <c r="D2681" s="142"/>
      <c r="E2681" s="107"/>
      <c r="F2681" s="106"/>
      <c r="G2681" s="81"/>
      <c r="H2681" s="81"/>
      <c r="I2681" s="81"/>
      <c r="J2681" s="81"/>
      <c r="K2681" s="81"/>
      <c r="L2681" s="81"/>
      <c r="M2681" s="81"/>
      <c r="N2681" s="81"/>
    </row>
    <row r="2682" spans="1:14" ht="14.25" customHeight="1" x14ac:dyDescent="0.25">
      <c r="A2682" s="610"/>
      <c r="B2682" s="608"/>
      <c r="C2682" s="609"/>
      <c r="D2682" s="115"/>
      <c r="E2682" s="107"/>
      <c r="F2682" s="106"/>
      <c r="G2682" s="81"/>
      <c r="H2682" s="81"/>
      <c r="I2682" s="81"/>
      <c r="J2682" s="81"/>
      <c r="K2682" s="81"/>
      <c r="L2682" s="81"/>
      <c r="M2682" s="81"/>
      <c r="N2682" s="81"/>
    </row>
    <row r="2683" spans="1:14" ht="14.25" customHeight="1" x14ac:dyDescent="0.25">
      <c r="A2683" s="611" t="s">
        <v>548</v>
      </c>
      <c r="B2683" s="608"/>
      <c r="C2683" s="609"/>
      <c r="D2683" s="110"/>
      <c r="E2683" s="110"/>
      <c r="F2683" s="112">
        <f>SUM(F2678:F2681)</f>
        <v>1264.641333395846</v>
      </c>
      <c r="G2683" s="81"/>
      <c r="H2683" s="81"/>
      <c r="I2683" s="81"/>
      <c r="J2683" s="81"/>
      <c r="K2683" s="81"/>
      <c r="L2683" s="81"/>
      <c r="M2683" s="81"/>
      <c r="N2683" s="81"/>
    </row>
    <row r="2684" spans="1:14" ht="14.25" customHeight="1" x14ac:dyDescent="0.25">
      <c r="A2684" s="88"/>
      <c r="B2684" s="88"/>
      <c r="C2684" s="89"/>
      <c r="D2684" s="113"/>
      <c r="E2684" s="113"/>
      <c r="F2684" s="113"/>
      <c r="G2684" s="81"/>
      <c r="H2684" s="81"/>
      <c r="I2684" s="81"/>
      <c r="J2684" s="81"/>
      <c r="K2684" s="81"/>
      <c r="L2684" s="81"/>
      <c r="M2684" s="81"/>
      <c r="N2684" s="81"/>
    </row>
    <row r="2685" spans="1:14" ht="14.25" customHeight="1" x14ac:dyDescent="0.25">
      <c r="A2685" s="96" t="s">
        <v>578</v>
      </c>
      <c r="B2685" s="96"/>
      <c r="C2685" s="92"/>
      <c r="D2685" s="118"/>
      <c r="E2685" s="118"/>
      <c r="F2685" s="118"/>
      <c r="G2685" s="81"/>
      <c r="H2685" s="81"/>
      <c r="I2685" s="81"/>
      <c r="J2685" s="81"/>
      <c r="K2685" s="81"/>
      <c r="L2685" s="81"/>
      <c r="M2685" s="81"/>
      <c r="N2685" s="81"/>
    </row>
    <row r="2686" spans="1:14" ht="14.25" customHeight="1" x14ac:dyDescent="0.25">
      <c r="A2686" s="119" t="s">
        <v>563</v>
      </c>
      <c r="B2686" s="120" t="s">
        <v>579</v>
      </c>
      <c r="C2686" s="120" t="s">
        <v>580</v>
      </c>
      <c r="D2686" s="121" t="s">
        <v>581</v>
      </c>
      <c r="E2686" s="121" t="s">
        <v>575</v>
      </c>
      <c r="F2686" s="121" t="s">
        <v>568</v>
      </c>
      <c r="G2686" s="81"/>
      <c r="H2686" s="81"/>
      <c r="I2686" s="81"/>
      <c r="J2686" s="81"/>
      <c r="K2686" s="81"/>
      <c r="L2686" s="81"/>
      <c r="M2686" s="81"/>
      <c r="N2686" s="81"/>
    </row>
    <row r="2687" spans="1:14" ht="14.25" customHeight="1" x14ac:dyDescent="0.25">
      <c r="A2687" s="122" t="s">
        <v>593</v>
      </c>
      <c r="B2687" s="127">
        <v>1</v>
      </c>
      <c r="C2687" s="101">
        <v>32688</v>
      </c>
      <c r="D2687" s="101">
        <f t="shared" ref="D2687:D2688" si="146">+C2687*1.7</f>
        <v>55569.599999999999</v>
      </c>
      <c r="E2687" s="107">
        <v>21.329000000000001</v>
      </c>
      <c r="F2687" s="106">
        <f t="shared" ref="F2687:F2688" si="147">+B2687*(D2687)/E2687</f>
        <v>2605.3542125744289</v>
      </c>
      <c r="G2687" s="81"/>
      <c r="H2687" s="81"/>
      <c r="I2687" s="81"/>
      <c r="J2687" s="81"/>
      <c r="K2687" s="81"/>
      <c r="L2687" s="81"/>
      <c r="M2687" s="81"/>
      <c r="N2687" s="81"/>
    </row>
    <row r="2688" spans="1:14" ht="14.25" customHeight="1" x14ac:dyDescent="0.25">
      <c r="A2688" s="122" t="s">
        <v>594</v>
      </c>
      <c r="B2688" s="127">
        <v>1</v>
      </c>
      <c r="C2688" s="101">
        <v>52538</v>
      </c>
      <c r="D2688" s="101">
        <f t="shared" si="146"/>
        <v>89314.599999999991</v>
      </c>
      <c r="E2688" s="107">
        <f>E2687</f>
        <v>21.329000000000001</v>
      </c>
      <c r="F2688" s="106">
        <f t="shared" si="147"/>
        <v>4187.4724553424912</v>
      </c>
      <c r="G2688" s="81"/>
      <c r="H2688" s="81"/>
      <c r="I2688" s="81"/>
      <c r="J2688" s="81"/>
      <c r="K2688" s="81"/>
      <c r="L2688" s="81"/>
      <c r="M2688" s="81"/>
      <c r="N2688" s="81"/>
    </row>
    <row r="2689" spans="1:14" ht="14.25" customHeight="1" x14ac:dyDescent="0.25">
      <c r="A2689" s="122"/>
      <c r="B2689" s="127"/>
      <c r="C2689" s="101"/>
      <c r="D2689" s="101"/>
      <c r="E2689" s="105"/>
      <c r="F2689" s="106"/>
      <c r="G2689" s="81"/>
      <c r="H2689" s="81"/>
      <c r="I2689" s="81"/>
      <c r="J2689" s="81"/>
      <c r="K2689" s="81"/>
      <c r="L2689" s="81"/>
      <c r="M2689" s="81"/>
      <c r="N2689" s="81"/>
    </row>
    <row r="2690" spans="1:14" ht="14.25" customHeight="1" x14ac:dyDescent="0.25">
      <c r="A2690" s="122"/>
      <c r="B2690" s="127"/>
      <c r="C2690" s="101"/>
      <c r="D2690" s="101"/>
      <c r="E2690" s="125"/>
      <c r="F2690" s="106"/>
      <c r="G2690" s="81"/>
      <c r="H2690" s="81"/>
      <c r="I2690" s="81"/>
      <c r="J2690" s="81"/>
      <c r="K2690" s="81"/>
      <c r="L2690" s="81"/>
      <c r="M2690" s="81"/>
      <c r="N2690" s="81"/>
    </row>
    <row r="2691" spans="1:14" ht="14.25" customHeight="1" x14ac:dyDescent="0.25">
      <c r="A2691" s="97" t="s">
        <v>548</v>
      </c>
      <c r="B2691" s="128"/>
      <c r="C2691" s="110"/>
      <c r="D2691" s="110"/>
      <c r="E2691" s="110"/>
      <c r="F2691" s="112">
        <f>SUM(F2687:F2690)</f>
        <v>6792.8266679169201</v>
      </c>
      <c r="G2691" s="81"/>
      <c r="H2691" s="81"/>
      <c r="I2691" s="81"/>
      <c r="J2691" s="81"/>
      <c r="K2691" s="81"/>
      <c r="L2691" s="81"/>
      <c r="M2691" s="81"/>
      <c r="N2691" s="81"/>
    </row>
    <row r="2692" spans="1:14" ht="14.25" customHeight="1" x14ac:dyDescent="0.25">
      <c r="A2692" s="96"/>
      <c r="B2692" s="129"/>
      <c r="C2692" s="118"/>
      <c r="D2692" s="118"/>
      <c r="E2692" s="118"/>
      <c r="F2692" s="118"/>
      <c r="G2692" s="81"/>
      <c r="H2692" s="81"/>
      <c r="I2692" s="81"/>
      <c r="J2692" s="81"/>
      <c r="K2692" s="81"/>
      <c r="L2692" s="81"/>
      <c r="M2692" s="81"/>
      <c r="N2692" s="81"/>
    </row>
    <row r="2693" spans="1:14" ht="14.25" customHeight="1" x14ac:dyDescent="0.25">
      <c r="A2693" s="95" t="s">
        <v>583</v>
      </c>
      <c r="B2693" s="96"/>
      <c r="C2693" s="92"/>
      <c r="D2693" s="92"/>
      <c r="E2693" s="92" t="s">
        <v>584</v>
      </c>
      <c r="F2693" s="92"/>
      <c r="G2693" s="81"/>
      <c r="H2693" s="81"/>
      <c r="I2693" s="81"/>
      <c r="J2693" s="81"/>
      <c r="K2693" s="81"/>
      <c r="L2693" s="81"/>
      <c r="M2693" s="81"/>
      <c r="N2693" s="81"/>
    </row>
    <row r="2694" spans="1:14" ht="14.25" customHeight="1" x14ac:dyDescent="0.25">
      <c r="A2694" s="97" t="s">
        <v>563</v>
      </c>
      <c r="B2694" s="98" t="s">
        <v>564</v>
      </c>
      <c r="C2694" s="98" t="s">
        <v>585</v>
      </c>
      <c r="D2694" s="98" t="s">
        <v>586</v>
      </c>
      <c r="E2694" s="120" t="s">
        <v>587</v>
      </c>
      <c r="F2694" s="98" t="s">
        <v>568</v>
      </c>
      <c r="G2694" s="81"/>
      <c r="H2694" s="81"/>
      <c r="I2694" s="81"/>
      <c r="J2694" s="81"/>
      <c r="K2694" s="81"/>
      <c r="L2694" s="81"/>
      <c r="M2694" s="81"/>
      <c r="N2694" s="81"/>
    </row>
    <row r="2695" spans="1:14" ht="14.25" customHeight="1" x14ac:dyDescent="0.25">
      <c r="A2695" s="103"/>
      <c r="B2695" s="100"/>
      <c r="C2695" s="101"/>
      <c r="D2695" s="140"/>
      <c r="E2695" s="107"/>
      <c r="F2695" s="109"/>
      <c r="G2695" s="81"/>
      <c r="H2695" s="81"/>
      <c r="I2695" s="81"/>
      <c r="J2695" s="81"/>
      <c r="K2695" s="81"/>
      <c r="L2695" s="81"/>
      <c r="M2695" s="81"/>
      <c r="N2695" s="81"/>
    </row>
    <row r="2696" spans="1:14" ht="14.25" customHeight="1" x14ac:dyDescent="0.25">
      <c r="A2696" s="103"/>
      <c r="B2696" s="100"/>
      <c r="C2696" s="107"/>
      <c r="D2696" s="107"/>
      <c r="E2696" s="108"/>
      <c r="F2696" s="109"/>
      <c r="G2696" s="81"/>
      <c r="H2696" s="81"/>
      <c r="I2696" s="81"/>
      <c r="J2696" s="81"/>
      <c r="K2696" s="81"/>
      <c r="L2696" s="81"/>
      <c r="M2696" s="81"/>
      <c r="N2696" s="81"/>
    </row>
    <row r="2697" spans="1:14" ht="14.25" customHeight="1" x14ac:dyDescent="0.25">
      <c r="A2697" s="97" t="s">
        <v>548</v>
      </c>
      <c r="B2697" s="98"/>
      <c r="C2697" s="110"/>
      <c r="D2697" s="110"/>
      <c r="E2697" s="111"/>
      <c r="F2697" s="112">
        <f>SUM(F2695:F2696)</f>
        <v>0</v>
      </c>
      <c r="G2697" s="81"/>
      <c r="H2697" s="81"/>
      <c r="I2697" s="81"/>
      <c r="J2697" s="81"/>
      <c r="K2697" s="81"/>
      <c r="L2697" s="81"/>
      <c r="M2697" s="81"/>
      <c r="N2697" s="81"/>
    </row>
    <row r="2698" spans="1:14" ht="14.25" customHeight="1" x14ac:dyDescent="0.25">
      <c r="A2698" s="88"/>
      <c r="B2698" s="89"/>
      <c r="C2698" s="113"/>
      <c r="D2698" s="113"/>
      <c r="E2698" s="114"/>
      <c r="F2698" s="113"/>
      <c r="G2698" s="81"/>
      <c r="H2698" s="81"/>
      <c r="I2698" s="81"/>
      <c r="J2698" s="81"/>
      <c r="K2698" s="81"/>
      <c r="L2698" s="81"/>
      <c r="M2698" s="81"/>
      <c r="N2698" s="81"/>
    </row>
    <row r="2699" spans="1:14" ht="14.25" customHeight="1" x14ac:dyDescent="0.25">
      <c r="A2699" s="88"/>
      <c r="B2699" s="89"/>
      <c r="C2699" s="113"/>
      <c r="D2699" s="113"/>
      <c r="E2699" s="114"/>
      <c r="F2699" s="113"/>
      <c r="G2699" s="81"/>
      <c r="H2699" s="81"/>
      <c r="I2699" s="81"/>
      <c r="J2699" s="81"/>
      <c r="K2699" s="81"/>
      <c r="L2699" s="81"/>
      <c r="M2699" s="81"/>
      <c r="N2699" s="81"/>
    </row>
    <row r="2700" spans="1:14" ht="14.25" customHeight="1" x14ac:dyDescent="0.25">
      <c r="A2700" s="612" t="s">
        <v>588</v>
      </c>
      <c r="B2700" s="608"/>
      <c r="C2700" s="608"/>
      <c r="D2700" s="608"/>
      <c r="E2700" s="609"/>
      <c r="F2700" s="131">
        <f>ROUND(F2674+F2683+F2691+F2697,0)</f>
        <v>17000</v>
      </c>
      <c r="G2700" s="81"/>
      <c r="H2700" s="117"/>
      <c r="I2700" s="81"/>
      <c r="J2700" s="81"/>
      <c r="K2700" s="81"/>
      <c r="L2700" s="81"/>
      <c r="M2700" s="81"/>
      <c r="N2700" s="81"/>
    </row>
    <row r="2701" spans="1:14" ht="14.25" customHeight="1" x14ac:dyDescent="0.25">
      <c r="A2701" s="612" t="s">
        <v>589</v>
      </c>
      <c r="B2701" s="608"/>
      <c r="C2701" s="608"/>
      <c r="D2701" s="608"/>
      <c r="E2701" s="609"/>
      <c r="F2701" s="132"/>
      <c r="G2701" s="81"/>
      <c r="H2701" s="81"/>
      <c r="I2701" s="81"/>
      <c r="J2701" s="81"/>
      <c r="K2701" s="81"/>
      <c r="L2701" s="81"/>
      <c r="M2701" s="81"/>
      <c r="N2701" s="81"/>
    </row>
    <row r="2702" spans="1:14" ht="14.25" customHeight="1" x14ac:dyDescent="0.25">
      <c r="A2702" s="146" t="s">
        <v>556</v>
      </c>
      <c r="B2702" s="147"/>
      <c r="C2702" s="147"/>
      <c r="D2702" s="147"/>
      <c r="E2702" s="148"/>
      <c r="F2702" s="133"/>
      <c r="G2702" s="81"/>
      <c r="H2702" s="81"/>
      <c r="I2702" s="81"/>
      <c r="J2702" s="81"/>
      <c r="K2702" s="81"/>
      <c r="L2702" s="81"/>
      <c r="M2702" s="81"/>
      <c r="N2702" s="81"/>
    </row>
    <row r="2703" spans="1:14" ht="14.25" customHeight="1" x14ac:dyDescent="0.25">
      <c r="A2703" s="134"/>
      <c r="B2703" s="135"/>
      <c r="C2703" s="135"/>
      <c r="D2703" s="135"/>
      <c r="E2703" s="135"/>
      <c r="F2703" s="136"/>
      <c r="G2703" s="81"/>
      <c r="H2703" s="81"/>
      <c r="I2703" s="81"/>
      <c r="J2703" s="81"/>
      <c r="K2703" s="81"/>
      <c r="L2703" s="81"/>
      <c r="M2703" s="81"/>
      <c r="N2703" s="81"/>
    </row>
    <row r="2704" spans="1:14" ht="14.25" customHeight="1" x14ac:dyDescent="0.25">
      <c r="A2704" s="81"/>
      <c r="B2704" s="81"/>
      <c r="C2704" s="137"/>
      <c r="D2704" s="81"/>
      <c r="E2704" s="81"/>
      <c r="F2704" s="81"/>
      <c r="G2704" s="81"/>
      <c r="H2704" s="81"/>
      <c r="I2704" s="81"/>
      <c r="J2704" s="81"/>
      <c r="K2704" s="81"/>
      <c r="L2704" s="81"/>
      <c r="M2704" s="81"/>
      <c r="N2704" s="81"/>
    </row>
    <row r="2705" spans="1:14" ht="14.25" customHeight="1" x14ac:dyDescent="0.25">
      <c r="A2705" s="81"/>
      <c r="B2705" s="81"/>
      <c r="C2705" s="137"/>
      <c r="D2705" s="81"/>
      <c r="E2705" s="81"/>
      <c r="F2705" s="81"/>
      <c r="G2705" s="81"/>
      <c r="H2705" s="81"/>
      <c r="I2705" s="81"/>
      <c r="J2705" s="81"/>
      <c r="K2705" s="81"/>
      <c r="L2705" s="81"/>
      <c r="M2705" s="81"/>
      <c r="N2705" s="81"/>
    </row>
    <row r="2706" spans="1:14" ht="14.25" customHeight="1" x14ac:dyDescent="0.25">
      <c r="A2706" s="81"/>
      <c r="B2706" s="81"/>
      <c r="C2706" s="137"/>
      <c r="D2706" s="81"/>
      <c r="E2706" s="81"/>
      <c r="F2706" s="81"/>
      <c r="G2706" s="81"/>
      <c r="H2706" s="81"/>
      <c r="I2706" s="81"/>
      <c r="J2706" s="81"/>
      <c r="K2706" s="81"/>
      <c r="L2706" s="81"/>
      <c r="M2706" s="81"/>
      <c r="N2706" s="81"/>
    </row>
    <row r="2707" spans="1:14" ht="14.25" customHeight="1" x14ac:dyDescent="0.25">
      <c r="A2707" s="81"/>
      <c r="B2707" s="81"/>
      <c r="C2707" s="137"/>
      <c r="D2707" s="81"/>
      <c r="E2707" s="81"/>
      <c r="F2707" s="81"/>
      <c r="G2707" s="81"/>
      <c r="H2707" s="81"/>
      <c r="I2707" s="81"/>
      <c r="J2707" s="81"/>
      <c r="K2707" s="81"/>
      <c r="L2707" s="81"/>
      <c r="M2707" s="81"/>
      <c r="N2707" s="81"/>
    </row>
    <row r="2708" spans="1:14" ht="14.25" customHeight="1" x14ac:dyDescent="0.25">
      <c r="A2708" s="81"/>
      <c r="B2708" s="81"/>
      <c r="C2708" s="137"/>
      <c r="D2708" s="81"/>
      <c r="E2708" s="81"/>
      <c r="F2708" s="81"/>
      <c r="G2708" s="81"/>
      <c r="H2708" s="81"/>
      <c r="I2708" s="81"/>
      <c r="J2708" s="81"/>
      <c r="K2708" s="81"/>
      <c r="L2708" s="81"/>
      <c r="M2708" s="81"/>
      <c r="N2708" s="81"/>
    </row>
    <row r="2709" spans="1:14" ht="14.25" customHeight="1" x14ac:dyDescent="0.25">
      <c r="A2709" s="81"/>
      <c r="B2709" s="81"/>
      <c r="C2709" s="137"/>
      <c r="D2709" s="81"/>
      <c r="E2709" s="81"/>
      <c r="F2709" s="81"/>
      <c r="G2709" s="81"/>
      <c r="H2709" s="81"/>
      <c r="I2709" s="81"/>
      <c r="J2709" s="81"/>
      <c r="K2709" s="81"/>
      <c r="L2709" s="81"/>
      <c r="M2709" s="81"/>
      <c r="N2709" s="81"/>
    </row>
    <row r="2710" spans="1:14" ht="14.25" customHeight="1" x14ac:dyDescent="0.25">
      <c r="A2710" s="134"/>
      <c r="B2710" s="135"/>
      <c r="C2710" s="135"/>
      <c r="D2710" s="135"/>
      <c r="E2710" s="135"/>
      <c r="F2710" s="136"/>
      <c r="G2710" s="81"/>
      <c r="H2710" s="81"/>
      <c r="I2710" s="81"/>
      <c r="J2710" s="81"/>
      <c r="K2710" s="81"/>
      <c r="L2710" s="81"/>
      <c r="M2710" s="81"/>
      <c r="N2710" s="81"/>
    </row>
    <row r="2711" spans="1:14" ht="14.25" customHeight="1" x14ac:dyDescent="0.25">
      <c r="A2711" s="134"/>
      <c r="B2711" s="135"/>
      <c r="C2711" s="135"/>
      <c r="D2711" s="135"/>
      <c r="E2711" s="135"/>
      <c r="F2711" s="136"/>
      <c r="G2711" s="81"/>
      <c r="H2711" s="81"/>
      <c r="I2711" s="81"/>
      <c r="J2711" s="81"/>
      <c r="K2711" s="81"/>
      <c r="L2711" s="81"/>
      <c r="M2711" s="81"/>
      <c r="N2711" s="81"/>
    </row>
    <row r="2712" spans="1:14" ht="14.25" customHeight="1" x14ac:dyDescent="0.25">
      <c r="A2712" s="134"/>
      <c r="B2712" s="135"/>
      <c r="C2712" s="135"/>
      <c r="D2712" s="135"/>
      <c r="E2712" s="135"/>
      <c r="F2712" s="136"/>
      <c r="G2712" s="81"/>
      <c r="H2712" s="81"/>
      <c r="I2712" s="81"/>
      <c r="J2712" s="81"/>
      <c r="K2712" s="81"/>
      <c r="L2712" s="81"/>
      <c r="M2712" s="81"/>
      <c r="N2712" s="81"/>
    </row>
    <row r="2713" spans="1:14" ht="14.25" customHeight="1" thickBot="1" x14ac:dyDescent="0.3">
      <c r="A2713" s="81"/>
      <c r="B2713" s="81"/>
      <c r="C2713" s="81"/>
      <c r="D2713" s="81"/>
      <c r="E2713" s="81"/>
      <c r="F2713" s="81"/>
      <c r="G2713" s="81"/>
      <c r="H2713" s="81"/>
      <c r="I2713" s="81"/>
      <c r="J2713" s="81"/>
      <c r="K2713" s="81"/>
      <c r="L2713" s="81"/>
      <c r="M2713" s="81"/>
      <c r="N2713" s="81"/>
    </row>
    <row r="2714" spans="1:14" ht="14.25" customHeight="1" x14ac:dyDescent="0.25">
      <c r="A2714" s="83"/>
      <c r="B2714" s="84"/>
      <c r="C2714" s="85"/>
      <c r="D2714" s="86"/>
      <c r="E2714" s="86"/>
      <c r="F2714" s="87"/>
      <c r="G2714" s="81"/>
      <c r="H2714" s="81"/>
      <c r="I2714" s="81"/>
      <c r="J2714" s="81"/>
      <c r="K2714" s="81"/>
      <c r="L2714" s="81"/>
      <c r="M2714" s="81"/>
      <c r="N2714" s="81"/>
    </row>
    <row r="2715" spans="1:14" ht="14.25" customHeight="1" x14ac:dyDescent="0.25">
      <c r="A2715" s="599"/>
      <c r="B2715" s="600"/>
      <c r="C2715" s="600"/>
      <c r="D2715" s="600"/>
      <c r="E2715" s="600"/>
      <c r="F2715" s="601"/>
      <c r="G2715" s="81"/>
      <c r="H2715" s="81"/>
      <c r="I2715" s="81"/>
      <c r="J2715" s="81"/>
      <c r="K2715" s="81"/>
      <c r="L2715" s="81"/>
      <c r="M2715" s="81"/>
      <c r="N2715" s="81"/>
    </row>
    <row r="2716" spans="1:14" ht="14.25" customHeight="1" x14ac:dyDescent="0.25">
      <c r="A2716" s="602" t="s">
        <v>561</v>
      </c>
      <c r="B2716" s="600"/>
      <c r="C2716" s="600"/>
      <c r="D2716" s="600"/>
      <c r="E2716" s="600"/>
      <c r="F2716" s="601"/>
      <c r="G2716" s="81"/>
      <c r="H2716" s="81"/>
      <c r="I2716" s="81"/>
      <c r="J2716" s="81"/>
      <c r="K2716" s="81"/>
      <c r="L2716" s="81"/>
      <c r="M2716" s="81"/>
      <c r="N2716" s="81"/>
    </row>
    <row r="2717" spans="1:14" ht="14.25" customHeight="1" thickBot="1" x14ac:dyDescent="0.3">
      <c r="A2717" s="603"/>
      <c r="B2717" s="604"/>
      <c r="C2717" s="604"/>
      <c r="D2717" s="604"/>
      <c r="E2717" s="604"/>
      <c r="F2717" s="605"/>
      <c r="G2717" s="81"/>
      <c r="H2717" s="81"/>
      <c r="I2717" s="81"/>
      <c r="J2717" s="81"/>
      <c r="K2717" s="81"/>
      <c r="L2717" s="81"/>
      <c r="M2717" s="81"/>
      <c r="N2717" s="81"/>
    </row>
    <row r="2718" spans="1:14" ht="14.25" customHeight="1" x14ac:dyDescent="0.25">
      <c r="A2718" s="88"/>
      <c r="B2718" s="88"/>
      <c r="C2718" s="89"/>
      <c r="D2718" s="89"/>
      <c r="E2718" s="89"/>
      <c r="F2718" s="89"/>
      <c r="G2718" s="81"/>
      <c r="H2718" s="81"/>
      <c r="I2718" s="81"/>
      <c r="J2718" s="81"/>
      <c r="K2718" s="81"/>
      <c r="L2718" s="81"/>
      <c r="M2718" s="81"/>
      <c r="N2718" s="81"/>
    </row>
    <row r="2719" spans="1:14" ht="14.25" customHeight="1" x14ac:dyDescent="0.25">
      <c r="A2719" s="90" t="s">
        <v>47</v>
      </c>
      <c r="B2719" s="613" t="s">
        <v>147</v>
      </c>
      <c r="C2719" s="600"/>
      <c r="D2719" s="600"/>
      <c r="E2719" s="600"/>
      <c r="F2719" s="600"/>
      <c r="G2719" s="81"/>
      <c r="H2719" s="81"/>
      <c r="I2719" s="81"/>
      <c r="J2719" s="81"/>
      <c r="K2719" s="81"/>
      <c r="L2719" s="81"/>
      <c r="M2719" s="81"/>
      <c r="N2719" s="81"/>
    </row>
    <row r="2720" spans="1:14" ht="14.25" customHeight="1" x14ac:dyDescent="0.25">
      <c r="A2720" s="91"/>
      <c r="B2720" s="91"/>
      <c r="C2720" s="91"/>
      <c r="D2720" s="91"/>
      <c r="E2720" s="91"/>
      <c r="F2720" s="91"/>
      <c r="G2720" s="81"/>
      <c r="H2720" s="81"/>
      <c r="I2720" s="81"/>
      <c r="J2720" s="81"/>
      <c r="K2720" s="81"/>
      <c r="L2720" s="81"/>
      <c r="M2720" s="81"/>
      <c r="N2720" s="81"/>
    </row>
    <row r="2721" spans="1:14" ht="14.25" customHeight="1" x14ac:dyDescent="0.25">
      <c r="A2721" s="88" t="s">
        <v>49</v>
      </c>
      <c r="B2721" s="92" t="s">
        <v>59</v>
      </c>
      <c r="C2721" s="89"/>
      <c r="D2721" s="89"/>
      <c r="E2721" s="89"/>
      <c r="F2721" s="93"/>
      <c r="G2721" s="81"/>
      <c r="H2721" s="81"/>
      <c r="I2721" s="81"/>
      <c r="J2721" s="81"/>
      <c r="K2721" s="81"/>
      <c r="L2721" s="81"/>
      <c r="M2721" s="81"/>
      <c r="N2721" s="81"/>
    </row>
    <row r="2722" spans="1:14" ht="14.25" customHeight="1" x14ac:dyDescent="0.25">
      <c r="A2722" s="88"/>
      <c r="B2722" s="94"/>
      <c r="C2722" s="89"/>
      <c r="D2722" s="89"/>
      <c r="E2722" s="89"/>
      <c r="F2722" s="93"/>
      <c r="G2722" s="81"/>
      <c r="H2722" s="81"/>
      <c r="I2722" s="81"/>
      <c r="J2722" s="81"/>
      <c r="K2722" s="81"/>
      <c r="L2722" s="81"/>
      <c r="M2722" s="81"/>
      <c r="N2722" s="81"/>
    </row>
    <row r="2723" spans="1:14" ht="14.25" customHeight="1" x14ac:dyDescent="0.25">
      <c r="A2723" s="95" t="s">
        <v>562</v>
      </c>
      <c r="B2723" s="96"/>
      <c r="C2723" s="92"/>
      <c r="D2723" s="92"/>
      <c r="E2723" s="92"/>
      <c r="F2723" s="92"/>
      <c r="G2723" s="81"/>
      <c r="H2723" s="81"/>
      <c r="I2723" s="81"/>
      <c r="J2723" s="81"/>
      <c r="K2723" s="81"/>
      <c r="L2723" s="81"/>
      <c r="M2723" s="81"/>
      <c r="N2723" s="81"/>
    </row>
    <row r="2724" spans="1:14" ht="14.25" customHeight="1" x14ac:dyDescent="0.25">
      <c r="A2724" s="97" t="s">
        <v>563</v>
      </c>
      <c r="B2724" s="98" t="s">
        <v>564</v>
      </c>
      <c r="C2724" s="98" t="s">
        <v>565</v>
      </c>
      <c r="D2724" s="98" t="s">
        <v>566</v>
      </c>
      <c r="E2724" s="98" t="s">
        <v>567</v>
      </c>
      <c r="F2724" s="98" t="s">
        <v>568</v>
      </c>
      <c r="G2724" s="81"/>
      <c r="H2724" s="81"/>
      <c r="I2724" s="81"/>
      <c r="J2724" s="81"/>
      <c r="K2724" s="81"/>
      <c r="L2724" s="81"/>
      <c r="M2724" s="81"/>
      <c r="N2724" s="81"/>
    </row>
    <row r="2725" spans="1:14" ht="14.25" customHeight="1" x14ac:dyDescent="0.25">
      <c r="A2725" s="99" t="s">
        <v>673</v>
      </c>
      <c r="B2725" s="100" t="s">
        <v>671</v>
      </c>
      <c r="C2725" s="101">
        <v>340650</v>
      </c>
      <c r="D2725" s="149">
        <v>1.4999999999999999E-2</v>
      </c>
      <c r="E2725" s="102">
        <v>0.05</v>
      </c>
      <c r="F2725" s="101">
        <f>C2725*(D2725+(D2725*E2725))</f>
        <v>5365.2375000000002</v>
      </c>
      <c r="G2725" s="81"/>
      <c r="H2725" s="81"/>
      <c r="I2725" s="81"/>
      <c r="J2725" s="81"/>
      <c r="K2725" s="81"/>
      <c r="L2725" s="81"/>
      <c r="M2725" s="81"/>
      <c r="N2725" s="81"/>
    </row>
    <row r="2726" spans="1:14" ht="14.25" customHeight="1" x14ac:dyDescent="0.25">
      <c r="A2726" s="99"/>
      <c r="B2726" s="100"/>
      <c r="C2726" s="101"/>
      <c r="D2726" s="149"/>
      <c r="E2726" s="102"/>
      <c r="F2726" s="101"/>
      <c r="G2726" s="81"/>
      <c r="H2726" s="81"/>
      <c r="I2726" s="81"/>
      <c r="J2726" s="81"/>
      <c r="K2726" s="81"/>
      <c r="L2726" s="81"/>
      <c r="M2726" s="81"/>
      <c r="N2726" s="81"/>
    </row>
    <row r="2727" spans="1:14" ht="14.25" customHeight="1" x14ac:dyDescent="0.25">
      <c r="A2727" s="99"/>
      <c r="B2727" s="100"/>
      <c r="C2727" s="101"/>
      <c r="D2727" s="149"/>
      <c r="E2727" s="102"/>
      <c r="F2727" s="101"/>
      <c r="G2727" s="81"/>
      <c r="H2727" s="81"/>
      <c r="I2727" s="81"/>
      <c r="J2727" s="81"/>
      <c r="K2727" s="81"/>
      <c r="L2727" s="81"/>
      <c r="M2727" s="81"/>
      <c r="N2727" s="81"/>
    </row>
    <row r="2728" spans="1:14" ht="14.25" customHeight="1" x14ac:dyDescent="0.25">
      <c r="A2728" s="99"/>
      <c r="B2728" s="100"/>
      <c r="C2728" s="101"/>
      <c r="D2728" s="104"/>
      <c r="E2728" s="102"/>
      <c r="F2728" s="101"/>
      <c r="G2728" s="81"/>
      <c r="H2728" s="81"/>
      <c r="I2728" s="81"/>
      <c r="J2728" s="81"/>
      <c r="K2728" s="81"/>
      <c r="L2728" s="81"/>
      <c r="M2728" s="81"/>
      <c r="N2728" s="81"/>
    </row>
    <row r="2729" spans="1:14" ht="14.25" customHeight="1" x14ac:dyDescent="0.25">
      <c r="A2729" s="99"/>
      <c r="B2729" s="100"/>
      <c r="C2729" s="101"/>
      <c r="D2729" s="104"/>
      <c r="E2729" s="102"/>
      <c r="F2729" s="101"/>
      <c r="G2729" s="81"/>
      <c r="H2729" s="81"/>
      <c r="I2729" s="81"/>
      <c r="J2729" s="81"/>
      <c r="K2729" s="81"/>
      <c r="L2729" s="81"/>
      <c r="M2729" s="81"/>
      <c r="N2729" s="81"/>
    </row>
    <row r="2730" spans="1:14" ht="14.25" customHeight="1" x14ac:dyDescent="0.25">
      <c r="A2730" s="99"/>
      <c r="B2730" s="100"/>
      <c r="C2730" s="106"/>
      <c r="D2730" s="107"/>
      <c r="E2730" s="108"/>
      <c r="F2730" s="106"/>
      <c r="G2730" s="81"/>
      <c r="H2730" s="81"/>
      <c r="I2730" s="81"/>
      <c r="J2730" s="81"/>
      <c r="K2730" s="81"/>
      <c r="L2730" s="81"/>
      <c r="M2730" s="81"/>
      <c r="N2730" s="81"/>
    </row>
    <row r="2731" spans="1:14" ht="14.25" customHeight="1" x14ac:dyDescent="0.25">
      <c r="A2731" s="97" t="s">
        <v>548</v>
      </c>
      <c r="B2731" s="97"/>
      <c r="C2731" s="109"/>
      <c r="D2731" s="110"/>
      <c r="E2731" s="111"/>
      <c r="F2731" s="112">
        <f>SUM(F2725:F2730)</f>
        <v>5365.2375000000002</v>
      </c>
      <c r="G2731" s="81"/>
      <c r="H2731" s="81"/>
      <c r="I2731" s="81"/>
      <c r="J2731" s="81"/>
      <c r="K2731" s="81"/>
      <c r="L2731" s="81"/>
      <c r="M2731" s="81"/>
      <c r="N2731" s="81"/>
    </row>
    <row r="2732" spans="1:14" ht="14.25" customHeight="1" x14ac:dyDescent="0.25">
      <c r="A2732" s="88"/>
      <c r="B2732" s="88"/>
      <c r="C2732" s="113"/>
      <c r="D2732" s="113"/>
      <c r="E2732" s="114"/>
      <c r="F2732" s="113"/>
      <c r="G2732" s="81"/>
      <c r="H2732" s="81"/>
      <c r="I2732" s="81"/>
      <c r="J2732" s="81"/>
      <c r="K2732" s="81"/>
      <c r="L2732" s="81"/>
      <c r="M2732" s="81"/>
      <c r="N2732" s="81"/>
    </row>
    <row r="2733" spans="1:14" ht="14.25" customHeight="1" x14ac:dyDescent="0.25">
      <c r="A2733" s="96" t="s">
        <v>573</v>
      </c>
      <c r="B2733" s="96"/>
      <c r="C2733" s="92"/>
      <c r="D2733" s="92"/>
      <c r="E2733" s="92"/>
      <c r="F2733" s="92"/>
      <c r="G2733" s="81"/>
      <c r="H2733" s="81"/>
      <c r="I2733" s="81"/>
      <c r="J2733" s="81"/>
      <c r="K2733" s="81"/>
      <c r="L2733" s="81"/>
      <c r="M2733" s="81"/>
      <c r="N2733" s="81"/>
    </row>
    <row r="2734" spans="1:14" ht="14.25" customHeight="1" x14ac:dyDescent="0.25">
      <c r="A2734" s="611" t="s">
        <v>563</v>
      </c>
      <c r="B2734" s="608"/>
      <c r="C2734" s="609"/>
      <c r="D2734" s="98" t="s">
        <v>574</v>
      </c>
      <c r="E2734" s="98" t="s">
        <v>575</v>
      </c>
      <c r="F2734" s="98" t="s">
        <v>568</v>
      </c>
      <c r="G2734" s="81"/>
      <c r="H2734" s="81"/>
      <c r="I2734" s="81"/>
      <c r="J2734" s="81"/>
      <c r="K2734" s="81"/>
      <c r="L2734" s="81"/>
      <c r="M2734" s="81"/>
      <c r="N2734" s="81"/>
    </row>
    <row r="2735" spans="1:14" ht="14.25" customHeight="1" x14ac:dyDescent="0.25">
      <c r="A2735" s="607" t="s">
        <v>577</v>
      </c>
      <c r="B2735" s="608"/>
      <c r="C2735" s="609"/>
      <c r="D2735" s="116"/>
      <c r="E2735" s="107"/>
      <c r="F2735" s="106">
        <f>+F2748*5%</f>
        <v>206.44068279615854</v>
      </c>
      <c r="G2735" s="81"/>
      <c r="H2735" s="81"/>
      <c r="I2735" s="81"/>
      <c r="J2735" s="81"/>
      <c r="K2735" s="81"/>
      <c r="L2735" s="81"/>
      <c r="M2735" s="81"/>
      <c r="N2735" s="81"/>
    </row>
    <row r="2736" spans="1:14" ht="14.25" customHeight="1" x14ac:dyDescent="0.25">
      <c r="A2736" s="607" t="s">
        <v>657</v>
      </c>
      <c r="B2736" s="608"/>
      <c r="C2736" s="609"/>
      <c r="D2736" s="142">
        <v>1850</v>
      </c>
      <c r="E2736" s="107">
        <v>3.7</v>
      </c>
      <c r="F2736" s="106">
        <f>D2736/E2736</f>
        <v>500</v>
      </c>
      <c r="G2736" s="81"/>
      <c r="H2736" s="81"/>
      <c r="I2736" s="81"/>
      <c r="J2736" s="81"/>
      <c r="K2736" s="81"/>
      <c r="L2736" s="81"/>
      <c r="M2736" s="81"/>
      <c r="N2736" s="81"/>
    </row>
    <row r="2737" spans="1:14" ht="14.25" customHeight="1" x14ac:dyDescent="0.25">
      <c r="A2737" s="607"/>
      <c r="B2737" s="608"/>
      <c r="C2737" s="609"/>
      <c r="D2737" s="142"/>
      <c r="E2737" s="105"/>
      <c r="F2737" s="106"/>
      <c r="G2737" s="81"/>
      <c r="H2737" s="81"/>
      <c r="I2737" s="81"/>
      <c r="J2737" s="81"/>
      <c r="K2737" s="81"/>
      <c r="L2737" s="81"/>
      <c r="M2737" s="81"/>
      <c r="N2737" s="81"/>
    </row>
    <row r="2738" spans="1:14" ht="14.25" customHeight="1" x14ac:dyDescent="0.25">
      <c r="A2738" s="607"/>
      <c r="B2738" s="608"/>
      <c r="C2738" s="609"/>
      <c r="D2738" s="142"/>
      <c r="E2738" s="107"/>
      <c r="F2738" s="106"/>
      <c r="G2738" s="81"/>
      <c r="H2738" s="81"/>
      <c r="I2738" s="81"/>
      <c r="J2738" s="81"/>
      <c r="K2738" s="81"/>
      <c r="L2738" s="81"/>
      <c r="M2738" s="81"/>
      <c r="N2738" s="81"/>
    </row>
    <row r="2739" spans="1:14" ht="14.25" customHeight="1" x14ac:dyDescent="0.25">
      <c r="A2739" s="610"/>
      <c r="B2739" s="608"/>
      <c r="C2739" s="609"/>
      <c r="D2739" s="115"/>
      <c r="E2739" s="107"/>
      <c r="F2739" s="106"/>
      <c r="G2739" s="81"/>
      <c r="H2739" s="81"/>
      <c r="I2739" s="81"/>
      <c r="J2739" s="81"/>
      <c r="K2739" s="81"/>
      <c r="L2739" s="81"/>
      <c r="M2739" s="81"/>
      <c r="N2739" s="81"/>
    </row>
    <row r="2740" spans="1:14" ht="14.25" customHeight="1" x14ac:dyDescent="0.25">
      <c r="A2740" s="611" t="s">
        <v>548</v>
      </c>
      <c r="B2740" s="608"/>
      <c r="C2740" s="609"/>
      <c r="D2740" s="110"/>
      <c r="E2740" s="110"/>
      <c r="F2740" s="112">
        <f>SUM(F2735:F2738)</f>
        <v>706.44068279615851</v>
      </c>
      <c r="G2740" s="81"/>
      <c r="H2740" s="81"/>
      <c r="I2740" s="81"/>
      <c r="J2740" s="81"/>
      <c r="K2740" s="81"/>
      <c r="L2740" s="81"/>
      <c r="M2740" s="81"/>
      <c r="N2740" s="81"/>
    </row>
    <row r="2741" spans="1:14" ht="14.25" customHeight="1" x14ac:dyDescent="0.25">
      <c r="A2741" s="88"/>
      <c r="B2741" s="88"/>
      <c r="C2741" s="89"/>
      <c r="D2741" s="113"/>
      <c r="E2741" s="113"/>
      <c r="F2741" s="113"/>
      <c r="G2741" s="81"/>
      <c r="H2741" s="81"/>
      <c r="I2741" s="81"/>
      <c r="J2741" s="81"/>
      <c r="K2741" s="81"/>
      <c r="L2741" s="81"/>
      <c r="M2741" s="81"/>
      <c r="N2741" s="81"/>
    </row>
    <row r="2742" spans="1:14" ht="14.25" customHeight="1" x14ac:dyDescent="0.25">
      <c r="A2742" s="96" t="s">
        <v>578</v>
      </c>
      <c r="B2742" s="96"/>
      <c r="C2742" s="92"/>
      <c r="D2742" s="118"/>
      <c r="E2742" s="118"/>
      <c r="F2742" s="118"/>
      <c r="G2742" s="81"/>
      <c r="H2742" s="81"/>
      <c r="I2742" s="81"/>
      <c r="J2742" s="81"/>
      <c r="K2742" s="81"/>
      <c r="L2742" s="81"/>
      <c r="M2742" s="81"/>
      <c r="N2742" s="81"/>
    </row>
    <row r="2743" spans="1:14" ht="14.25" customHeight="1" x14ac:dyDescent="0.25">
      <c r="A2743" s="119" t="s">
        <v>563</v>
      </c>
      <c r="B2743" s="120" t="s">
        <v>579</v>
      </c>
      <c r="C2743" s="120" t="s">
        <v>580</v>
      </c>
      <c r="D2743" s="121" t="s">
        <v>581</v>
      </c>
      <c r="E2743" s="121" t="s">
        <v>575</v>
      </c>
      <c r="F2743" s="121" t="s">
        <v>568</v>
      </c>
      <c r="G2743" s="81"/>
      <c r="H2743" s="81"/>
      <c r="I2743" s="81"/>
      <c r="J2743" s="81"/>
      <c r="K2743" s="81"/>
      <c r="L2743" s="81"/>
      <c r="M2743" s="81"/>
      <c r="N2743" s="81"/>
    </row>
    <row r="2744" spans="1:14" ht="14.25" customHeight="1" x14ac:dyDescent="0.25">
      <c r="A2744" s="122" t="s">
        <v>593</v>
      </c>
      <c r="B2744" s="127">
        <v>1</v>
      </c>
      <c r="C2744" s="101">
        <v>32688</v>
      </c>
      <c r="D2744" s="101">
        <f t="shared" ref="D2744:D2745" si="148">+C2744*1.7</f>
        <v>55569.599999999999</v>
      </c>
      <c r="E2744" s="107">
        <v>35.091000000000001</v>
      </c>
      <c r="F2744" s="106">
        <f t="shared" ref="F2744:F2745" si="149">+B2744*(D2744)/E2744</f>
        <v>1583.5855347525005</v>
      </c>
      <c r="G2744" s="81"/>
      <c r="H2744" s="81"/>
      <c r="I2744" s="81"/>
      <c r="J2744" s="81"/>
      <c r="K2744" s="81"/>
      <c r="L2744" s="81"/>
      <c r="M2744" s="81"/>
      <c r="N2744" s="81"/>
    </row>
    <row r="2745" spans="1:14" ht="14.25" customHeight="1" x14ac:dyDescent="0.25">
      <c r="A2745" s="122" t="s">
        <v>594</v>
      </c>
      <c r="B2745" s="127">
        <v>1</v>
      </c>
      <c r="C2745" s="101">
        <v>52538</v>
      </c>
      <c r="D2745" s="101">
        <f t="shared" si="148"/>
        <v>89314.599999999991</v>
      </c>
      <c r="E2745" s="107">
        <f>E2744</f>
        <v>35.091000000000001</v>
      </c>
      <c r="F2745" s="106">
        <f t="shared" si="149"/>
        <v>2545.2281211706704</v>
      </c>
      <c r="G2745" s="81"/>
      <c r="H2745" s="81"/>
      <c r="I2745" s="81"/>
      <c r="J2745" s="81"/>
      <c r="K2745" s="81"/>
      <c r="L2745" s="81"/>
      <c r="M2745" s="81"/>
      <c r="N2745" s="81"/>
    </row>
    <row r="2746" spans="1:14" ht="14.25" customHeight="1" x14ac:dyDescent="0.25">
      <c r="A2746" s="122"/>
      <c r="B2746" s="127"/>
      <c r="C2746" s="101"/>
      <c r="D2746" s="101"/>
      <c r="E2746" s="105"/>
      <c r="F2746" s="106"/>
      <c r="G2746" s="81"/>
      <c r="H2746" s="81"/>
      <c r="I2746" s="81"/>
      <c r="J2746" s="81"/>
      <c r="K2746" s="81"/>
      <c r="L2746" s="81"/>
      <c r="M2746" s="81"/>
      <c r="N2746" s="81"/>
    </row>
    <row r="2747" spans="1:14" ht="14.25" customHeight="1" x14ac:dyDescent="0.25">
      <c r="A2747" s="122"/>
      <c r="B2747" s="127"/>
      <c r="C2747" s="101"/>
      <c r="D2747" s="101"/>
      <c r="E2747" s="125"/>
      <c r="F2747" s="106"/>
      <c r="G2747" s="81"/>
      <c r="H2747" s="81"/>
      <c r="I2747" s="81"/>
      <c r="J2747" s="81"/>
      <c r="K2747" s="81"/>
      <c r="L2747" s="81"/>
      <c r="M2747" s="81"/>
      <c r="N2747" s="81"/>
    </row>
    <row r="2748" spans="1:14" ht="14.25" customHeight="1" x14ac:dyDescent="0.25">
      <c r="A2748" s="97" t="s">
        <v>548</v>
      </c>
      <c r="B2748" s="128"/>
      <c r="C2748" s="110"/>
      <c r="D2748" s="110"/>
      <c r="E2748" s="110"/>
      <c r="F2748" s="112">
        <f>SUM(F2744:F2747)</f>
        <v>4128.8136559231707</v>
      </c>
      <c r="G2748" s="81"/>
      <c r="H2748" s="81"/>
      <c r="I2748" s="81"/>
      <c r="J2748" s="81"/>
      <c r="K2748" s="81"/>
      <c r="L2748" s="81"/>
      <c r="M2748" s="81"/>
      <c r="N2748" s="81"/>
    </row>
    <row r="2749" spans="1:14" ht="14.25" customHeight="1" x14ac:dyDescent="0.25">
      <c r="A2749" s="96"/>
      <c r="B2749" s="129"/>
      <c r="C2749" s="118"/>
      <c r="D2749" s="118"/>
      <c r="E2749" s="118"/>
      <c r="F2749" s="118"/>
      <c r="G2749" s="81"/>
      <c r="H2749" s="81"/>
      <c r="I2749" s="81"/>
      <c r="J2749" s="81"/>
      <c r="K2749" s="81"/>
      <c r="L2749" s="81"/>
      <c r="M2749" s="81"/>
      <c r="N2749" s="81"/>
    </row>
    <row r="2750" spans="1:14" ht="14.25" customHeight="1" x14ac:dyDescent="0.25">
      <c r="A2750" s="95" t="s">
        <v>583</v>
      </c>
      <c r="B2750" s="96"/>
      <c r="C2750" s="92"/>
      <c r="D2750" s="92"/>
      <c r="E2750" s="92" t="s">
        <v>584</v>
      </c>
      <c r="F2750" s="92"/>
      <c r="G2750" s="81"/>
      <c r="H2750" s="81"/>
      <c r="I2750" s="81"/>
      <c r="J2750" s="81"/>
      <c r="K2750" s="81"/>
      <c r="L2750" s="81"/>
      <c r="M2750" s="81"/>
      <c r="N2750" s="81"/>
    </row>
    <row r="2751" spans="1:14" ht="14.25" customHeight="1" x14ac:dyDescent="0.25">
      <c r="A2751" s="97" t="s">
        <v>563</v>
      </c>
      <c r="B2751" s="98" t="s">
        <v>564</v>
      </c>
      <c r="C2751" s="98" t="s">
        <v>585</v>
      </c>
      <c r="D2751" s="98" t="s">
        <v>586</v>
      </c>
      <c r="E2751" s="120" t="s">
        <v>587</v>
      </c>
      <c r="F2751" s="98" t="s">
        <v>568</v>
      </c>
      <c r="G2751" s="81"/>
      <c r="H2751" s="81"/>
      <c r="I2751" s="81"/>
      <c r="J2751" s="81"/>
      <c r="K2751" s="81"/>
      <c r="L2751" s="81"/>
      <c r="M2751" s="81"/>
      <c r="N2751" s="81"/>
    </row>
    <row r="2752" spans="1:14" ht="14.25" customHeight="1" x14ac:dyDescent="0.25">
      <c r="A2752" s="103"/>
      <c r="B2752" s="100"/>
      <c r="C2752" s="101"/>
      <c r="D2752" s="140"/>
      <c r="E2752" s="107"/>
      <c r="F2752" s="109"/>
      <c r="G2752" s="81"/>
      <c r="H2752" s="81"/>
      <c r="I2752" s="81"/>
      <c r="J2752" s="81"/>
      <c r="K2752" s="81"/>
      <c r="L2752" s="81"/>
      <c r="M2752" s="81"/>
      <c r="N2752" s="81"/>
    </row>
    <row r="2753" spans="1:14" ht="14.25" customHeight="1" x14ac:dyDescent="0.25">
      <c r="A2753" s="103"/>
      <c r="B2753" s="100"/>
      <c r="C2753" s="107"/>
      <c r="D2753" s="107"/>
      <c r="E2753" s="108"/>
      <c r="F2753" s="109"/>
      <c r="G2753" s="81"/>
      <c r="H2753" s="81"/>
      <c r="I2753" s="81"/>
      <c r="J2753" s="81"/>
      <c r="K2753" s="81"/>
      <c r="L2753" s="81"/>
      <c r="M2753" s="81"/>
      <c r="N2753" s="81"/>
    </row>
    <row r="2754" spans="1:14" ht="14.25" customHeight="1" x14ac:dyDescent="0.25">
      <c r="A2754" s="97" t="s">
        <v>548</v>
      </c>
      <c r="B2754" s="98"/>
      <c r="C2754" s="110"/>
      <c r="D2754" s="110"/>
      <c r="E2754" s="111"/>
      <c r="F2754" s="112">
        <f>SUM(F2752:F2753)</f>
        <v>0</v>
      </c>
      <c r="G2754" s="81"/>
      <c r="H2754" s="81"/>
      <c r="I2754" s="81"/>
      <c r="J2754" s="81"/>
      <c r="K2754" s="81"/>
      <c r="L2754" s="81"/>
      <c r="M2754" s="81"/>
      <c r="N2754" s="81"/>
    </row>
    <row r="2755" spans="1:14" ht="14.25" customHeight="1" x14ac:dyDescent="0.25">
      <c r="A2755" s="88"/>
      <c r="B2755" s="89"/>
      <c r="C2755" s="113"/>
      <c r="D2755" s="113"/>
      <c r="E2755" s="114"/>
      <c r="F2755" s="113"/>
      <c r="G2755" s="81"/>
      <c r="H2755" s="81"/>
      <c r="I2755" s="81"/>
      <c r="J2755" s="81"/>
      <c r="K2755" s="81"/>
      <c r="L2755" s="81"/>
      <c r="M2755" s="81"/>
      <c r="N2755" s="81"/>
    </row>
    <row r="2756" spans="1:14" ht="14.25" customHeight="1" x14ac:dyDescent="0.25">
      <c r="A2756" s="88"/>
      <c r="B2756" s="89"/>
      <c r="C2756" s="113"/>
      <c r="D2756" s="113"/>
      <c r="E2756" s="114"/>
      <c r="F2756" s="113"/>
      <c r="G2756" s="81"/>
      <c r="H2756" s="81"/>
      <c r="I2756" s="81"/>
      <c r="J2756" s="81"/>
      <c r="K2756" s="81"/>
      <c r="L2756" s="81"/>
      <c r="M2756" s="81"/>
      <c r="N2756" s="81"/>
    </row>
    <row r="2757" spans="1:14" ht="14.25" customHeight="1" x14ac:dyDescent="0.25">
      <c r="A2757" s="612" t="s">
        <v>588</v>
      </c>
      <c r="B2757" s="608"/>
      <c r="C2757" s="608"/>
      <c r="D2757" s="608"/>
      <c r="E2757" s="609"/>
      <c r="F2757" s="131">
        <f>ROUND(F2731+F2740+F2748+F2754,0)</f>
        <v>10200</v>
      </c>
      <c r="G2757" s="81"/>
      <c r="H2757" s="117"/>
      <c r="I2757" s="81"/>
      <c r="J2757" s="81"/>
      <c r="K2757" s="81"/>
      <c r="L2757" s="81"/>
      <c r="M2757" s="81"/>
      <c r="N2757" s="81"/>
    </row>
    <row r="2758" spans="1:14" ht="14.25" customHeight="1" x14ac:dyDescent="0.25">
      <c r="A2758" s="612" t="s">
        <v>589</v>
      </c>
      <c r="B2758" s="608"/>
      <c r="C2758" s="608"/>
      <c r="D2758" s="608"/>
      <c r="E2758" s="609"/>
      <c r="F2758" s="132"/>
      <c r="G2758" s="81"/>
      <c r="H2758" s="81"/>
      <c r="I2758" s="81"/>
      <c r="J2758" s="81"/>
      <c r="K2758" s="81"/>
      <c r="L2758" s="81"/>
      <c r="M2758" s="81"/>
      <c r="N2758" s="81"/>
    </row>
    <row r="2759" spans="1:14" ht="14.25" customHeight="1" x14ac:dyDescent="0.25">
      <c r="A2759" s="146" t="s">
        <v>556</v>
      </c>
      <c r="B2759" s="147"/>
      <c r="C2759" s="147"/>
      <c r="D2759" s="147"/>
      <c r="E2759" s="148"/>
      <c r="F2759" s="133"/>
      <c r="G2759" s="81"/>
      <c r="H2759" s="81"/>
      <c r="I2759" s="81"/>
      <c r="J2759" s="81"/>
      <c r="K2759" s="81"/>
      <c r="L2759" s="81"/>
      <c r="M2759" s="81"/>
      <c r="N2759" s="81"/>
    </row>
    <row r="2760" spans="1:14" ht="14.25" customHeight="1" x14ac:dyDescent="0.25">
      <c r="A2760" s="134"/>
      <c r="B2760" s="135"/>
      <c r="C2760" s="135"/>
      <c r="D2760" s="135"/>
      <c r="E2760" s="135"/>
      <c r="F2760" s="136"/>
      <c r="G2760" s="81"/>
      <c r="H2760" s="81"/>
      <c r="I2760" s="81"/>
      <c r="J2760" s="81"/>
      <c r="K2760" s="81"/>
      <c r="L2760" s="81"/>
      <c r="M2760" s="81"/>
      <c r="N2760" s="81"/>
    </row>
    <row r="2761" spans="1:14" ht="14.25" customHeight="1" x14ac:dyDescent="0.25">
      <c r="A2761" s="81"/>
      <c r="B2761" s="81"/>
      <c r="C2761" s="137"/>
      <c r="D2761" s="81"/>
      <c r="E2761" s="81"/>
      <c r="F2761" s="81"/>
      <c r="G2761" s="81"/>
      <c r="H2761" s="81"/>
      <c r="I2761" s="81"/>
      <c r="J2761" s="81"/>
      <c r="K2761" s="81"/>
      <c r="L2761" s="81"/>
      <c r="M2761" s="81"/>
      <c r="N2761" s="81"/>
    </row>
    <row r="2762" spans="1:14" ht="14.25" customHeight="1" x14ac:dyDescent="0.25">
      <c r="A2762" s="81"/>
      <c r="B2762" s="81"/>
      <c r="C2762" s="137"/>
      <c r="D2762" s="81"/>
      <c r="E2762" s="81"/>
      <c r="F2762" s="81"/>
      <c r="G2762" s="81"/>
      <c r="H2762" s="81"/>
      <c r="I2762" s="81"/>
      <c r="J2762" s="81"/>
      <c r="K2762" s="81"/>
      <c r="L2762" s="81"/>
      <c r="M2762" s="81"/>
      <c r="N2762" s="81"/>
    </row>
    <row r="2763" spans="1:14" ht="14.25" customHeight="1" x14ac:dyDescent="0.25">
      <c r="A2763" s="81"/>
      <c r="B2763" s="81"/>
      <c r="C2763" s="137"/>
      <c r="D2763" s="81"/>
      <c r="E2763" s="81"/>
      <c r="F2763" s="81"/>
      <c r="G2763" s="81"/>
      <c r="H2763" s="81"/>
      <c r="I2763" s="81"/>
      <c r="J2763" s="81"/>
      <c r="K2763" s="81"/>
      <c r="L2763" s="81"/>
      <c r="M2763" s="81"/>
      <c r="N2763" s="81"/>
    </row>
    <row r="2764" spans="1:14" ht="14.25" customHeight="1" x14ac:dyDescent="0.25">
      <c r="A2764" s="81"/>
      <c r="B2764" s="81"/>
      <c r="C2764" s="137"/>
      <c r="D2764" s="81"/>
      <c r="E2764" s="81"/>
      <c r="F2764" s="81"/>
      <c r="G2764" s="81"/>
      <c r="H2764" s="81"/>
      <c r="I2764" s="81"/>
      <c r="J2764" s="81"/>
      <c r="K2764" s="81"/>
      <c r="L2764" s="81"/>
      <c r="M2764" s="81"/>
      <c r="N2764" s="81"/>
    </row>
    <row r="2765" spans="1:14" ht="14.25" customHeight="1" x14ac:dyDescent="0.25">
      <c r="A2765" s="81"/>
      <c r="B2765" s="81"/>
      <c r="C2765" s="137"/>
      <c r="D2765" s="81"/>
      <c r="E2765" s="81"/>
      <c r="F2765" s="81"/>
      <c r="G2765" s="81"/>
      <c r="H2765" s="81"/>
      <c r="I2765" s="81"/>
      <c r="J2765" s="81"/>
      <c r="K2765" s="81"/>
      <c r="L2765" s="81"/>
      <c r="M2765" s="81"/>
      <c r="N2765" s="81"/>
    </row>
    <row r="2766" spans="1:14" ht="14.25" customHeight="1" x14ac:dyDescent="0.25">
      <c r="A2766" s="81"/>
      <c r="B2766" s="81"/>
      <c r="C2766" s="137"/>
      <c r="D2766" s="81"/>
      <c r="E2766" s="81"/>
      <c r="F2766" s="81"/>
      <c r="G2766" s="81"/>
      <c r="H2766" s="81"/>
      <c r="I2766" s="81"/>
      <c r="J2766" s="81"/>
      <c r="K2766" s="81"/>
      <c r="L2766" s="81"/>
      <c r="M2766" s="81"/>
      <c r="N2766" s="81"/>
    </row>
    <row r="2767" spans="1:14" ht="14.25" customHeight="1" x14ac:dyDescent="0.25">
      <c r="A2767" s="134"/>
      <c r="B2767" s="135"/>
      <c r="C2767" s="135"/>
      <c r="D2767" s="135"/>
      <c r="E2767" s="135"/>
      <c r="F2767" s="136"/>
      <c r="G2767" s="81"/>
      <c r="H2767" s="81"/>
      <c r="I2767" s="81"/>
      <c r="J2767" s="81"/>
      <c r="K2767" s="81"/>
      <c r="L2767" s="81"/>
      <c r="M2767" s="81"/>
      <c r="N2767" s="81"/>
    </row>
    <row r="2768" spans="1:14" ht="14.25" customHeight="1" x14ac:dyDescent="0.25">
      <c r="A2768" s="134"/>
      <c r="B2768" s="135"/>
      <c r="C2768" s="135"/>
      <c r="D2768" s="135"/>
      <c r="E2768" s="135"/>
      <c r="F2768" s="136"/>
      <c r="G2768" s="81"/>
      <c r="H2768" s="81"/>
      <c r="I2768" s="81"/>
      <c r="J2768" s="81"/>
      <c r="K2768" s="81"/>
      <c r="L2768" s="81"/>
      <c r="M2768" s="81"/>
      <c r="N2768" s="81"/>
    </row>
    <row r="2769" spans="1:14" ht="14.25" customHeight="1" x14ac:dyDescent="0.25">
      <c r="A2769" s="134"/>
      <c r="B2769" s="135"/>
      <c r="C2769" s="135"/>
      <c r="D2769" s="135"/>
      <c r="E2769" s="135"/>
      <c r="F2769" s="136"/>
      <c r="G2769" s="81"/>
      <c r="H2769" s="81"/>
      <c r="I2769" s="81"/>
      <c r="J2769" s="81"/>
      <c r="K2769" s="81"/>
      <c r="L2769" s="81"/>
      <c r="M2769" s="81"/>
      <c r="N2769" s="81"/>
    </row>
    <row r="2770" spans="1:14" ht="14.25" customHeight="1" thickBot="1" x14ac:dyDescent="0.3">
      <c r="A2770" s="81"/>
      <c r="B2770" s="81"/>
      <c r="C2770" s="81"/>
      <c r="D2770" s="81"/>
      <c r="E2770" s="81"/>
      <c r="F2770" s="81"/>
      <c r="G2770" s="81"/>
      <c r="H2770" s="81"/>
      <c r="I2770" s="81"/>
      <c r="J2770" s="81"/>
      <c r="K2770" s="81"/>
      <c r="L2770" s="81"/>
      <c r="M2770" s="81"/>
      <c r="N2770" s="81"/>
    </row>
    <row r="2771" spans="1:14" ht="14.25" customHeight="1" x14ac:dyDescent="0.25">
      <c r="A2771" s="83"/>
      <c r="B2771" s="84"/>
      <c r="C2771" s="85"/>
      <c r="D2771" s="86"/>
      <c r="E2771" s="86"/>
      <c r="F2771" s="87"/>
      <c r="G2771" s="81"/>
      <c r="H2771" s="81"/>
      <c r="I2771" s="81"/>
      <c r="J2771" s="81"/>
      <c r="K2771" s="81"/>
      <c r="L2771" s="81"/>
      <c r="M2771" s="81"/>
      <c r="N2771" s="81"/>
    </row>
    <row r="2772" spans="1:14" ht="14.25" customHeight="1" x14ac:dyDescent="0.25">
      <c r="A2772" s="599"/>
      <c r="B2772" s="600"/>
      <c r="C2772" s="600"/>
      <c r="D2772" s="600"/>
      <c r="E2772" s="600"/>
      <c r="F2772" s="601"/>
      <c r="G2772" s="81"/>
      <c r="H2772" s="81"/>
      <c r="I2772" s="81"/>
      <c r="J2772" s="81"/>
      <c r="K2772" s="81"/>
      <c r="L2772" s="81"/>
      <c r="M2772" s="81"/>
      <c r="N2772" s="81"/>
    </row>
    <row r="2773" spans="1:14" ht="14.25" customHeight="1" x14ac:dyDescent="0.25">
      <c r="A2773" s="602" t="s">
        <v>561</v>
      </c>
      <c r="B2773" s="600"/>
      <c r="C2773" s="600"/>
      <c r="D2773" s="600"/>
      <c r="E2773" s="600"/>
      <c r="F2773" s="601"/>
      <c r="G2773" s="81"/>
      <c r="H2773" s="81"/>
      <c r="I2773" s="81"/>
      <c r="J2773" s="81"/>
      <c r="K2773" s="81"/>
      <c r="L2773" s="81"/>
      <c r="M2773" s="81"/>
      <c r="N2773" s="81"/>
    </row>
    <row r="2774" spans="1:14" ht="14.25" customHeight="1" thickBot="1" x14ac:dyDescent="0.3">
      <c r="A2774" s="603"/>
      <c r="B2774" s="604"/>
      <c r="C2774" s="604"/>
      <c r="D2774" s="604"/>
      <c r="E2774" s="604"/>
      <c r="F2774" s="605"/>
      <c r="G2774" s="81"/>
      <c r="H2774" s="81"/>
      <c r="I2774" s="81"/>
      <c r="J2774" s="81"/>
      <c r="K2774" s="81"/>
      <c r="L2774" s="81"/>
      <c r="M2774" s="81"/>
      <c r="N2774" s="81"/>
    </row>
    <row r="2775" spans="1:14" ht="14.25" customHeight="1" x14ac:dyDescent="0.25">
      <c r="A2775" s="88"/>
      <c r="B2775" s="88"/>
      <c r="C2775" s="89"/>
      <c r="D2775" s="89"/>
      <c r="E2775" s="89"/>
      <c r="F2775" s="89"/>
      <c r="G2775" s="81"/>
      <c r="H2775" s="81"/>
      <c r="I2775" s="81"/>
      <c r="J2775" s="81"/>
      <c r="K2775" s="81"/>
      <c r="L2775" s="81"/>
      <c r="M2775" s="81"/>
      <c r="N2775" s="81"/>
    </row>
    <row r="2776" spans="1:14" ht="14.25" customHeight="1" x14ac:dyDescent="0.25">
      <c r="A2776" s="90" t="s">
        <v>47</v>
      </c>
      <c r="B2776" s="613" t="s">
        <v>674</v>
      </c>
      <c r="C2776" s="600"/>
      <c r="D2776" s="600"/>
      <c r="E2776" s="600"/>
      <c r="F2776" s="600"/>
      <c r="G2776" s="81"/>
      <c r="H2776" s="81"/>
      <c r="I2776" s="81"/>
      <c r="J2776" s="81"/>
      <c r="K2776" s="81"/>
      <c r="L2776" s="81"/>
      <c r="M2776" s="81"/>
      <c r="N2776" s="81"/>
    </row>
    <row r="2777" spans="1:14" ht="14.25" customHeight="1" x14ac:dyDescent="0.25">
      <c r="A2777" s="91"/>
      <c r="B2777" s="91"/>
      <c r="C2777" s="91"/>
      <c r="D2777" s="91"/>
      <c r="E2777" s="91"/>
      <c r="F2777" s="91"/>
      <c r="G2777" s="81"/>
      <c r="H2777" s="81"/>
      <c r="I2777" s="81"/>
      <c r="J2777" s="81"/>
      <c r="K2777" s="81"/>
      <c r="L2777" s="81"/>
      <c r="M2777" s="81"/>
      <c r="N2777" s="81"/>
    </row>
    <row r="2778" spans="1:14" ht="14.25" customHeight="1" x14ac:dyDescent="0.25">
      <c r="A2778" s="88" t="s">
        <v>49</v>
      </c>
      <c r="B2778" s="92" t="s">
        <v>56</v>
      </c>
      <c r="C2778" s="89"/>
      <c r="D2778" s="89"/>
      <c r="E2778" s="89"/>
      <c r="F2778" s="93"/>
      <c r="G2778" s="81"/>
      <c r="H2778" s="81"/>
      <c r="I2778" s="81"/>
      <c r="J2778" s="81"/>
      <c r="K2778" s="81"/>
      <c r="L2778" s="81"/>
      <c r="M2778" s="81"/>
      <c r="N2778" s="81"/>
    </row>
    <row r="2779" spans="1:14" ht="14.25" customHeight="1" x14ac:dyDescent="0.25">
      <c r="A2779" s="88"/>
      <c r="B2779" s="94"/>
      <c r="C2779" s="89"/>
      <c r="D2779" s="89"/>
      <c r="E2779" s="89"/>
      <c r="F2779" s="93"/>
      <c r="G2779" s="81"/>
      <c r="H2779" s="81"/>
      <c r="I2779" s="81"/>
      <c r="J2779" s="81"/>
      <c r="K2779" s="81"/>
      <c r="L2779" s="81"/>
      <c r="M2779" s="81"/>
      <c r="N2779" s="81"/>
    </row>
    <row r="2780" spans="1:14" ht="14.25" customHeight="1" x14ac:dyDescent="0.25">
      <c r="A2780" s="95" t="s">
        <v>562</v>
      </c>
      <c r="B2780" s="96"/>
      <c r="C2780" s="92"/>
      <c r="D2780" s="92"/>
      <c r="E2780" s="92"/>
      <c r="F2780" s="92"/>
      <c r="G2780" s="81"/>
      <c r="H2780" s="81"/>
      <c r="I2780" s="81"/>
      <c r="J2780" s="81"/>
      <c r="K2780" s="81"/>
      <c r="L2780" s="81"/>
      <c r="M2780" s="81"/>
      <c r="N2780" s="81"/>
    </row>
    <row r="2781" spans="1:14" ht="14.25" customHeight="1" x14ac:dyDescent="0.25">
      <c r="A2781" s="97" t="s">
        <v>563</v>
      </c>
      <c r="B2781" s="98" t="s">
        <v>564</v>
      </c>
      <c r="C2781" s="98" t="s">
        <v>565</v>
      </c>
      <c r="D2781" s="98" t="s">
        <v>566</v>
      </c>
      <c r="E2781" s="98" t="s">
        <v>567</v>
      </c>
      <c r="F2781" s="98" t="s">
        <v>568</v>
      </c>
      <c r="G2781" s="81"/>
      <c r="H2781" s="81"/>
      <c r="I2781" s="81"/>
      <c r="J2781" s="81"/>
      <c r="K2781" s="81"/>
      <c r="L2781" s="81"/>
      <c r="M2781" s="81"/>
      <c r="N2781" s="81"/>
    </row>
    <row r="2782" spans="1:14" ht="14.25" customHeight="1" x14ac:dyDescent="0.25">
      <c r="A2782" s="99" t="s">
        <v>558</v>
      </c>
      <c r="B2782" s="100" t="s">
        <v>651</v>
      </c>
      <c r="C2782" s="101">
        <v>125350</v>
      </c>
      <c r="D2782" s="149">
        <v>0.14000000000000001</v>
      </c>
      <c r="E2782" s="102">
        <v>0.05</v>
      </c>
      <c r="F2782" s="101">
        <f t="shared" ref="F2782:F2785" si="150">C2782*(D2782+(D2782*E2782))</f>
        <v>18426.45</v>
      </c>
      <c r="G2782" s="81"/>
      <c r="H2782" s="81"/>
      <c r="I2782" s="81"/>
      <c r="J2782" s="81"/>
      <c r="K2782" s="81"/>
      <c r="L2782" s="81"/>
      <c r="M2782" s="81"/>
      <c r="N2782" s="81"/>
    </row>
    <row r="2783" spans="1:14" ht="14.25" customHeight="1" x14ac:dyDescent="0.25">
      <c r="A2783" s="99" t="s">
        <v>675</v>
      </c>
      <c r="B2783" s="100" t="s">
        <v>99</v>
      </c>
      <c r="C2783" s="101">
        <v>12000</v>
      </c>
      <c r="D2783" s="149">
        <v>0.01</v>
      </c>
      <c r="E2783" s="102">
        <v>0.05</v>
      </c>
      <c r="F2783" s="101">
        <f t="shared" si="150"/>
        <v>126.00000000000001</v>
      </c>
      <c r="G2783" s="81"/>
      <c r="H2783" s="81"/>
      <c r="I2783" s="81"/>
      <c r="J2783" s="81"/>
      <c r="K2783" s="81"/>
      <c r="L2783" s="81"/>
      <c r="M2783" s="81"/>
      <c r="N2783" s="81"/>
    </row>
    <row r="2784" spans="1:14" ht="14.25" customHeight="1" x14ac:dyDescent="0.25">
      <c r="A2784" s="99" t="s">
        <v>676</v>
      </c>
      <c r="B2784" s="100" t="s">
        <v>99</v>
      </c>
      <c r="C2784" s="101">
        <v>12350</v>
      </c>
      <c r="D2784" s="149">
        <v>0.04</v>
      </c>
      <c r="E2784" s="102">
        <v>0.05</v>
      </c>
      <c r="F2784" s="101">
        <f t="shared" si="150"/>
        <v>518.70000000000005</v>
      </c>
      <c r="G2784" s="81"/>
      <c r="H2784" s="81"/>
      <c r="I2784" s="81"/>
      <c r="J2784" s="81"/>
      <c r="K2784" s="81"/>
      <c r="L2784" s="81"/>
      <c r="M2784" s="81"/>
      <c r="N2784" s="81"/>
    </row>
    <row r="2785" spans="1:14" ht="14.25" customHeight="1" x14ac:dyDescent="0.25">
      <c r="A2785" s="99" t="s">
        <v>677</v>
      </c>
      <c r="B2785" s="100" t="s">
        <v>99</v>
      </c>
      <c r="C2785" s="101">
        <v>4850</v>
      </c>
      <c r="D2785" s="149">
        <v>0.04</v>
      </c>
      <c r="E2785" s="102">
        <v>0.05</v>
      </c>
      <c r="F2785" s="101">
        <f t="shared" si="150"/>
        <v>203.70000000000002</v>
      </c>
      <c r="G2785" s="81"/>
      <c r="H2785" s="81"/>
      <c r="I2785" s="81"/>
      <c r="J2785" s="81"/>
      <c r="K2785" s="81"/>
      <c r="L2785" s="81"/>
      <c r="M2785" s="81"/>
      <c r="N2785" s="81"/>
    </row>
    <row r="2786" spans="1:14" ht="14.25" customHeight="1" x14ac:dyDescent="0.25">
      <c r="A2786" s="99"/>
      <c r="B2786" s="100"/>
      <c r="C2786" s="101"/>
      <c r="D2786" s="104"/>
      <c r="E2786" s="102"/>
      <c r="F2786" s="101"/>
      <c r="G2786" s="81"/>
      <c r="H2786" s="81"/>
      <c r="I2786" s="81"/>
      <c r="J2786" s="81"/>
      <c r="K2786" s="81"/>
      <c r="L2786" s="81"/>
      <c r="M2786" s="81"/>
      <c r="N2786" s="81"/>
    </row>
    <row r="2787" spans="1:14" ht="14.25" customHeight="1" x14ac:dyDescent="0.25">
      <c r="A2787" s="99"/>
      <c r="B2787" s="100"/>
      <c r="C2787" s="106"/>
      <c r="D2787" s="107"/>
      <c r="E2787" s="108"/>
      <c r="F2787" s="106"/>
      <c r="G2787" s="81"/>
      <c r="H2787" s="81"/>
      <c r="I2787" s="81"/>
      <c r="J2787" s="81"/>
      <c r="K2787" s="81"/>
      <c r="L2787" s="81"/>
      <c r="M2787" s="81"/>
      <c r="N2787" s="81"/>
    </row>
    <row r="2788" spans="1:14" ht="14.25" customHeight="1" x14ac:dyDescent="0.25">
      <c r="A2788" s="97" t="s">
        <v>548</v>
      </c>
      <c r="B2788" s="97"/>
      <c r="C2788" s="109"/>
      <c r="D2788" s="110"/>
      <c r="E2788" s="111"/>
      <c r="F2788" s="112">
        <f>SUM(F2782:F2787)</f>
        <v>19274.850000000002</v>
      </c>
      <c r="G2788" s="81"/>
      <c r="H2788" s="81"/>
      <c r="I2788" s="81"/>
      <c r="J2788" s="81"/>
      <c r="K2788" s="81"/>
      <c r="L2788" s="81"/>
      <c r="M2788" s="81"/>
      <c r="N2788" s="81"/>
    </row>
    <row r="2789" spans="1:14" ht="14.25" customHeight="1" x14ac:dyDescent="0.25">
      <c r="A2789" s="88"/>
      <c r="B2789" s="88"/>
      <c r="C2789" s="113"/>
      <c r="D2789" s="113"/>
      <c r="E2789" s="114"/>
      <c r="F2789" s="113"/>
      <c r="G2789" s="81"/>
      <c r="H2789" s="81"/>
      <c r="I2789" s="81"/>
      <c r="J2789" s="81"/>
      <c r="K2789" s="81"/>
      <c r="L2789" s="81"/>
      <c r="M2789" s="81"/>
      <c r="N2789" s="81"/>
    </row>
    <row r="2790" spans="1:14" ht="14.25" customHeight="1" x14ac:dyDescent="0.25">
      <c r="A2790" s="96" t="s">
        <v>573</v>
      </c>
      <c r="B2790" s="96"/>
      <c r="C2790" s="92"/>
      <c r="D2790" s="92"/>
      <c r="E2790" s="92"/>
      <c r="F2790" s="92"/>
      <c r="G2790" s="81"/>
      <c r="H2790" s="81"/>
      <c r="I2790" s="81"/>
      <c r="J2790" s="81"/>
      <c r="K2790" s="81"/>
      <c r="L2790" s="81"/>
      <c r="M2790" s="81"/>
      <c r="N2790" s="81"/>
    </row>
    <row r="2791" spans="1:14" ht="14.25" customHeight="1" x14ac:dyDescent="0.25">
      <c r="A2791" s="611" t="s">
        <v>563</v>
      </c>
      <c r="B2791" s="608"/>
      <c r="C2791" s="609"/>
      <c r="D2791" s="98" t="s">
        <v>574</v>
      </c>
      <c r="E2791" s="98" t="s">
        <v>575</v>
      </c>
      <c r="F2791" s="98" t="s">
        <v>568</v>
      </c>
      <c r="G2791" s="81"/>
      <c r="H2791" s="81"/>
      <c r="I2791" s="81"/>
      <c r="J2791" s="81"/>
      <c r="K2791" s="81"/>
      <c r="L2791" s="81"/>
      <c r="M2791" s="81"/>
      <c r="N2791" s="81"/>
    </row>
    <row r="2792" spans="1:14" ht="14.25" customHeight="1" x14ac:dyDescent="0.25">
      <c r="A2792" s="607" t="s">
        <v>577</v>
      </c>
      <c r="B2792" s="608"/>
      <c r="C2792" s="609"/>
      <c r="D2792" s="116"/>
      <c r="E2792" s="107"/>
      <c r="F2792" s="106">
        <f>+F2805*5%</f>
        <v>571.98657718120808</v>
      </c>
      <c r="G2792" s="81"/>
      <c r="H2792" s="81"/>
      <c r="I2792" s="81"/>
      <c r="J2792" s="81"/>
      <c r="K2792" s="81"/>
      <c r="L2792" s="81"/>
      <c r="M2792" s="81"/>
      <c r="N2792" s="81"/>
    </row>
    <row r="2793" spans="1:14" ht="14.25" customHeight="1" x14ac:dyDescent="0.25">
      <c r="A2793" s="607" t="s">
        <v>657</v>
      </c>
      <c r="B2793" s="608"/>
      <c r="C2793" s="609"/>
      <c r="D2793" s="142">
        <v>1850</v>
      </c>
      <c r="E2793" s="107">
        <v>1.5</v>
      </c>
      <c r="F2793" s="106">
        <f>D2793/E2793</f>
        <v>1233.3333333333333</v>
      </c>
      <c r="G2793" s="81"/>
      <c r="H2793" s="81"/>
      <c r="I2793" s="81"/>
      <c r="J2793" s="81"/>
      <c r="K2793" s="81"/>
      <c r="L2793" s="81"/>
      <c r="M2793" s="81"/>
      <c r="N2793" s="81"/>
    </row>
    <row r="2794" spans="1:14" ht="14.25" customHeight="1" x14ac:dyDescent="0.25">
      <c r="A2794" s="607"/>
      <c r="B2794" s="608"/>
      <c r="C2794" s="609"/>
      <c r="D2794" s="142"/>
      <c r="E2794" s="105"/>
      <c r="F2794" s="106"/>
      <c r="G2794" s="81"/>
      <c r="H2794" s="81"/>
      <c r="I2794" s="81"/>
      <c r="J2794" s="81"/>
      <c r="K2794" s="81"/>
      <c r="L2794" s="81"/>
      <c r="M2794" s="81"/>
      <c r="N2794" s="81"/>
    </row>
    <row r="2795" spans="1:14" ht="14.25" customHeight="1" x14ac:dyDescent="0.25">
      <c r="A2795" s="607"/>
      <c r="B2795" s="608"/>
      <c r="C2795" s="609"/>
      <c r="D2795" s="142"/>
      <c r="E2795" s="107"/>
      <c r="F2795" s="106"/>
      <c r="G2795" s="81"/>
      <c r="H2795" s="81"/>
      <c r="I2795" s="81"/>
      <c r="J2795" s="81"/>
      <c r="K2795" s="81"/>
      <c r="L2795" s="81"/>
      <c r="M2795" s="81"/>
      <c r="N2795" s="81"/>
    </row>
    <row r="2796" spans="1:14" ht="14.25" customHeight="1" x14ac:dyDescent="0.25">
      <c r="A2796" s="610"/>
      <c r="B2796" s="608"/>
      <c r="C2796" s="609"/>
      <c r="D2796" s="115"/>
      <c r="E2796" s="107"/>
      <c r="F2796" s="106"/>
      <c r="G2796" s="81"/>
      <c r="H2796" s="81"/>
      <c r="I2796" s="81"/>
      <c r="J2796" s="81"/>
      <c r="K2796" s="81"/>
      <c r="L2796" s="81"/>
      <c r="M2796" s="81"/>
      <c r="N2796" s="81"/>
    </row>
    <row r="2797" spans="1:14" ht="14.25" customHeight="1" x14ac:dyDescent="0.25">
      <c r="A2797" s="611" t="s">
        <v>548</v>
      </c>
      <c r="B2797" s="608"/>
      <c r="C2797" s="609"/>
      <c r="D2797" s="110"/>
      <c r="E2797" s="110"/>
      <c r="F2797" s="112">
        <f>SUM(F2792:F2795)</f>
        <v>1805.3199105145413</v>
      </c>
      <c r="G2797" s="81"/>
      <c r="H2797" s="81"/>
      <c r="I2797" s="81"/>
      <c r="J2797" s="81"/>
      <c r="K2797" s="81"/>
      <c r="L2797" s="81"/>
      <c r="M2797" s="81"/>
      <c r="N2797" s="81"/>
    </row>
    <row r="2798" spans="1:14" ht="14.25" customHeight="1" x14ac:dyDescent="0.25">
      <c r="A2798" s="88"/>
      <c r="B2798" s="88"/>
      <c r="C2798" s="89"/>
      <c r="D2798" s="113"/>
      <c r="E2798" s="113"/>
      <c r="F2798" s="113"/>
      <c r="G2798" s="81"/>
      <c r="H2798" s="81"/>
      <c r="I2798" s="81"/>
      <c r="J2798" s="81"/>
      <c r="K2798" s="81"/>
      <c r="L2798" s="81"/>
      <c r="M2798" s="81"/>
      <c r="N2798" s="81"/>
    </row>
    <row r="2799" spans="1:14" ht="14.25" customHeight="1" x14ac:dyDescent="0.25">
      <c r="A2799" s="96" t="s">
        <v>578</v>
      </c>
      <c r="B2799" s="96"/>
      <c r="C2799" s="92"/>
      <c r="D2799" s="118"/>
      <c r="E2799" s="118"/>
      <c r="F2799" s="118"/>
      <c r="G2799" s="81"/>
      <c r="H2799" s="81"/>
      <c r="I2799" s="81"/>
      <c r="J2799" s="81"/>
      <c r="K2799" s="81"/>
      <c r="L2799" s="81"/>
      <c r="M2799" s="81"/>
      <c r="N2799" s="81"/>
    </row>
    <row r="2800" spans="1:14" ht="14.25" customHeight="1" x14ac:dyDescent="0.25">
      <c r="A2800" s="119" t="s">
        <v>563</v>
      </c>
      <c r="B2800" s="120" t="s">
        <v>579</v>
      </c>
      <c r="C2800" s="120" t="s">
        <v>580</v>
      </c>
      <c r="D2800" s="121" t="s">
        <v>581</v>
      </c>
      <c r="E2800" s="121" t="s">
        <v>575</v>
      </c>
      <c r="F2800" s="121" t="s">
        <v>568</v>
      </c>
      <c r="G2800" s="81"/>
      <c r="H2800" s="81"/>
      <c r="I2800" s="81"/>
      <c r="J2800" s="81"/>
      <c r="K2800" s="81"/>
      <c r="L2800" s="81"/>
      <c r="M2800" s="81"/>
      <c r="N2800" s="81"/>
    </row>
    <row r="2801" spans="1:14" ht="14.25" customHeight="1" x14ac:dyDescent="0.25">
      <c r="A2801" s="122" t="s">
        <v>593</v>
      </c>
      <c r="B2801" s="127">
        <v>1</v>
      </c>
      <c r="C2801" s="101">
        <v>32688</v>
      </c>
      <c r="D2801" s="101">
        <f t="shared" ref="D2801:D2802" si="151">+C2801*1.7</f>
        <v>55569.599999999999</v>
      </c>
      <c r="E2801" s="107">
        <v>12.664999999999999</v>
      </c>
      <c r="F2801" s="106">
        <f t="shared" ref="F2801:F2802" si="152">+B2801*(D2801)/E2801</f>
        <v>4387.6510067114095</v>
      </c>
      <c r="G2801" s="81"/>
      <c r="H2801" s="81"/>
      <c r="I2801" s="81"/>
      <c r="J2801" s="81"/>
      <c r="K2801" s="81"/>
      <c r="L2801" s="81"/>
      <c r="M2801" s="81"/>
      <c r="N2801" s="81"/>
    </row>
    <row r="2802" spans="1:14" ht="14.25" customHeight="1" x14ac:dyDescent="0.25">
      <c r="A2802" s="122" t="s">
        <v>594</v>
      </c>
      <c r="B2802" s="127">
        <v>1</v>
      </c>
      <c r="C2802" s="101">
        <v>52538</v>
      </c>
      <c r="D2802" s="101">
        <f t="shared" si="151"/>
        <v>89314.599999999991</v>
      </c>
      <c r="E2802" s="107">
        <f>E2801</f>
        <v>12.664999999999999</v>
      </c>
      <c r="F2802" s="106">
        <f t="shared" si="152"/>
        <v>7052.0805369127511</v>
      </c>
      <c r="G2802" s="81"/>
      <c r="H2802" s="81"/>
      <c r="I2802" s="81"/>
      <c r="J2802" s="81"/>
      <c r="K2802" s="81"/>
      <c r="L2802" s="81"/>
      <c r="M2802" s="81"/>
      <c r="N2802" s="81"/>
    </row>
    <row r="2803" spans="1:14" ht="14.25" customHeight="1" x14ac:dyDescent="0.25">
      <c r="A2803" s="122"/>
      <c r="B2803" s="127"/>
      <c r="C2803" s="101"/>
      <c r="D2803" s="101"/>
      <c r="E2803" s="105"/>
      <c r="F2803" s="106"/>
      <c r="G2803" s="81"/>
      <c r="H2803" s="81"/>
      <c r="I2803" s="81"/>
      <c r="J2803" s="81"/>
      <c r="K2803" s="81"/>
      <c r="L2803" s="81"/>
      <c r="M2803" s="81"/>
      <c r="N2803" s="81"/>
    </row>
    <row r="2804" spans="1:14" ht="14.25" customHeight="1" x14ac:dyDescent="0.25">
      <c r="A2804" s="122"/>
      <c r="B2804" s="127"/>
      <c r="C2804" s="101"/>
      <c r="D2804" s="101"/>
      <c r="E2804" s="125"/>
      <c r="F2804" s="106"/>
      <c r="G2804" s="81"/>
      <c r="H2804" s="81"/>
      <c r="I2804" s="81"/>
      <c r="J2804" s="81"/>
      <c r="K2804" s="81"/>
      <c r="L2804" s="81"/>
      <c r="M2804" s="81"/>
      <c r="N2804" s="81"/>
    </row>
    <row r="2805" spans="1:14" ht="14.25" customHeight="1" x14ac:dyDescent="0.25">
      <c r="A2805" s="97" t="s">
        <v>548</v>
      </c>
      <c r="B2805" s="128"/>
      <c r="C2805" s="110"/>
      <c r="D2805" s="110"/>
      <c r="E2805" s="110"/>
      <c r="F2805" s="112">
        <f>SUM(F2801:F2804)</f>
        <v>11439.731543624161</v>
      </c>
      <c r="G2805" s="81"/>
      <c r="H2805" s="81"/>
      <c r="I2805" s="81"/>
      <c r="J2805" s="81"/>
      <c r="K2805" s="81"/>
      <c r="L2805" s="81"/>
      <c r="M2805" s="81"/>
      <c r="N2805" s="81"/>
    </row>
    <row r="2806" spans="1:14" ht="14.25" customHeight="1" x14ac:dyDescent="0.25">
      <c r="A2806" s="96"/>
      <c r="B2806" s="129"/>
      <c r="C2806" s="118"/>
      <c r="D2806" s="118"/>
      <c r="E2806" s="118"/>
      <c r="F2806" s="118"/>
      <c r="G2806" s="81"/>
      <c r="H2806" s="81"/>
      <c r="I2806" s="81"/>
      <c r="J2806" s="81"/>
      <c r="K2806" s="81"/>
      <c r="L2806" s="81"/>
      <c r="M2806" s="81"/>
      <c r="N2806" s="81"/>
    </row>
    <row r="2807" spans="1:14" ht="14.25" customHeight="1" x14ac:dyDescent="0.25">
      <c r="A2807" s="95" t="s">
        <v>583</v>
      </c>
      <c r="B2807" s="96"/>
      <c r="C2807" s="92"/>
      <c r="D2807" s="92"/>
      <c r="E2807" s="92" t="s">
        <v>584</v>
      </c>
      <c r="F2807" s="92"/>
      <c r="G2807" s="81"/>
      <c r="H2807" s="81"/>
      <c r="I2807" s="81"/>
      <c r="J2807" s="81"/>
      <c r="K2807" s="81"/>
      <c r="L2807" s="81"/>
      <c r="M2807" s="81"/>
      <c r="N2807" s="81"/>
    </row>
    <row r="2808" spans="1:14" ht="14.25" customHeight="1" x14ac:dyDescent="0.25">
      <c r="A2808" s="97" t="s">
        <v>563</v>
      </c>
      <c r="B2808" s="98" t="s">
        <v>564</v>
      </c>
      <c r="C2808" s="98" t="s">
        <v>585</v>
      </c>
      <c r="D2808" s="98" t="s">
        <v>586</v>
      </c>
      <c r="E2808" s="120" t="s">
        <v>587</v>
      </c>
      <c r="F2808" s="98" t="s">
        <v>568</v>
      </c>
      <c r="G2808" s="81"/>
      <c r="H2808" s="81"/>
      <c r="I2808" s="81"/>
      <c r="J2808" s="81"/>
      <c r="K2808" s="81"/>
      <c r="L2808" s="81"/>
      <c r="M2808" s="81"/>
      <c r="N2808" s="81"/>
    </row>
    <row r="2809" spans="1:14" ht="14.25" customHeight="1" x14ac:dyDescent="0.25">
      <c r="A2809" s="103"/>
      <c r="B2809" s="100"/>
      <c r="C2809" s="101"/>
      <c r="D2809" s="140"/>
      <c r="E2809" s="107"/>
      <c r="F2809" s="109"/>
      <c r="G2809" s="81"/>
      <c r="H2809" s="81"/>
      <c r="I2809" s="81"/>
      <c r="J2809" s="81"/>
      <c r="K2809" s="81"/>
      <c r="L2809" s="81"/>
      <c r="M2809" s="81"/>
      <c r="N2809" s="81"/>
    </row>
    <row r="2810" spans="1:14" ht="14.25" customHeight="1" x14ac:dyDescent="0.25">
      <c r="A2810" s="103"/>
      <c r="B2810" s="100"/>
      <c r="C2810" s="107"/>
      <c r="D2810" s="107"/>
      <c r="E2810" s="108"/>
      <c r="F2810" s="109"/>
      <c r="G2810" s="81"/>
      <c r="H2810" s="81"/>
      <c r="I2810" s="81"/>
      <c r="J2810" s="81"/>
      <c r="K2810" s="81"/>
      <c r="L2810" s="81"/>
      <c r="M2810" s="81"/>
      <c r="N2810" s="81"/>
    </row>
    <row r="2811" spans="1:14" ht="14.25" customHeight="1" x14ac:dyDescent="0.25">
      <c r="A2811" s="97" t="s">
        <v>548</v>
      </c>
      <c r="B2811" s="98"/>
      <c r="C2811" s="110"/>
      <c r="D2811" s="110"/>
      <c r="E2811" s="111"/>
      <c r="F2811" s="112">
        <f>SUM(F2809:F2810)</f>
        <v>0</v>
      </c>
      <c r="G2811" s="81"/>
      <c r="H2811" s="81"/>
      <c r="I2811" s="81"/>
      <c r="J2811" s="81"/>
      <c r="K2811" s="81"/>
      <c r="L2811" s="81"/>
      <c r="M2811" s="81"/>
      <c r="N2811" s="81"/>
    </row>
    <row r="2812" spans="1:14" ht="14.25" customHeight="1" x14ac:dyDescent="0.25">
      <c r="A2812" s="88"/>
      <c r="B2812" s="89"/>
      <c r="C2812" s="113"/>
      <c r="D2812" s="113"/>
      <c r="E2812" s="114"/>
      <c r="F2812" s="113"/>
      <c r="G2812" s="81"/>
      <c r="H2812" s="81"/>
      <c r="I2812" s="81"/>
      <c r="J2812" s="81"/>
      <c r="K2812" s="81"/>
      <c r="L2812" s="81"/>
      <c r="M2812" s="81"/>
      <c r="N2812" s="81"/>
    </row>
    <row r="2813" spans="1:14" ht="14.25" customHeight="1" x14ac:dyDescent="0.25">
      <c r="A2813" s="88"/>
      <c r="B2813" s="89"/>
      <c r="C2813" s="113"/>
      <c r="D2813" s="113"/>
      <c r="E2813" s="114"/>
      <c r="F2813" s="113"/>
      <c r="G2813" s="81"/>
      <c r="H2813" s="81"/>
      <c r="I2813" s="81"/>
      <c r="J2813" s="81"/>
      <c r="K2813" s="81"/>
      <c r="L2813" s="81"/>
      <c r="M2813" s="81"/>
      <c r="N2813" s="81"/>
    </row>
    <row r="2814" spans="1:14" ht="14.25" customHeight="1" x14ac:dyDescent="0.25">
      <c r="A2814" s="612" t="s">
        <v>588</v>
      </c>
      <c r="B2814" s="608"/>
      <c r="C2814" s="608"/>
      <c r="D2814" s="608"/>
      <c r="E2814" s="609"/>
      <c r="F2814" s="131">
        <f>ROUND(F2788+F2797+F2805+F2811,0)</f>
        <v>32520</v>
      </c>
      <c r="G2814" s="81"/>
      <c r="H2814" s="117"/>
      <c r="I2814" s="81"/>
      <c r="J2814" s="81"/>
      <c r="K2814" s="81"/>
      <c r="L2814" s="81"/>
      <c r="M2814" s="81"/>
      <c r="N2814" s="81"/>
    </row>
    <row r="2815" spans="1:14" ht="14.25" customHeight="1" x14ac:dyDescent="0.25">
      <c r="A2815" s="612" t="s">
        <v>589</v>
      </c>
      <c r="B2815" s="608"/>
      <c r="C2815" s="608"/>
      <c r="D2815" s="608"/>
      <c r="E2815" s="609"/>
      <c r="F2815" s="132"/>
      <c r="G2815" s="81"/>
      <c r="H2815" s="81"/>
      <c r="I2815" s="81"/>
      <c r="J2815" s="81"/>
      <c r="K2815" s="81"/>
      <c r="L2815" s="81"/>
      <c r="M2815" s="81"/>
      <c r="N2815" s="81"/>
    </row>
    <row r="2816" spans="1:14" ht="14.25" customHeight="1" x14ac:dyDescent="0.25">
      <c r="A2816" s="146" t="s">
        <v>556</v>
      </c>
      <c r="B2816" s="147"/>
      <c r="C2816" s="147"/>
      <c r="D2816" s="147"/>
      <c r="E2816" s="148"/>
      <c r="F2816" s="133"/>
      <c r="G2816" s="81"/>
      <c r="H2816" s="81"/>
      <c r="I2816" s="81"/>
      <c r="J2816" s="81"/>
      <c r="K2816" s="81"/>
      <c r="L2816" s="81"/>
      <c r="M2816" s="81"/>
      <c r="N2816" s="81"/>
    </row>
    <row r="2817" spans="1:14" ht="14.25" customHeight="1" x14ac:dyDescent="0.25">
      <c r="A2817" s="134"/>
      <c r="B2817" s="135"/>
      <c r="C2817" s="135"/>
      <c r="D2817" s="135"/>
      <c r="E2817" s="135"/>
      <c r="F2817" s="136"/>
      <c r="G2817" s="81"/>
      <c r="H2817" s="81"/>
      <c r="I2817" s="81"/>
      <c r="J2817" s="81"/>
      <c r="K2817" s="81"/>
      <c r="L2817" s="81"/>
      <c r="M2817" s="81"/>
      <c r="N2817" s="81"/>
    </row>
    <row r="2818" spans="1:14" ht="14.25" customHeight="1" x14ac:dyDescent="0.25">
      <c r="A2818" s="81"/>
      <c r="B2818" s="81"/>
      <c r="C2818" s="137"/>
      <c r="D2818" s="81"/>
      <c r="E2818" s="81"/>
      <c r="F2818" s="81"/>
      <c r="G2818" s="81"/>
      <c r="H2818" s="81"/>
      <c r="I2818" s="81"/>
      <c r="J2818" s="81"/>
      <c r="K2818" s="81"/>
      <c r="L2818" s="81"/>
      <c r="M2818" s="81"/>
      <c r="N2818" s="81"/>
    </row>
    <row r="2819" spans="1:14" ht="14.25" customHeight="1" x14ac:dyDescent="0.25">
      <c r="A2819" s="81"/>
      <c r="B2819" s="81"/>
      <c r="C2819" s="137"/>
      <c r="D2819" s="81"/>
      <c r="E2819" s="81"/>
      <c r="F2819" s="81"/>
      <c r="G2819" s="81"/>
      <c r="H2819" s="81"/>
      <c r="I2819" s="81"/>
      <c r="J2819" s="81"/>
      <c r="K2819" s="81"/>
      <c r="L2819" s="81"/>
      <c r="M2819" s="81"/>
      <c r="N2819" s="81"/>
    </row>
    <row r="2820" spans="1:14" ht="14.25" customHeight="1" x14ac:dyDescent="0.25">
      <c r="A2820" s="81"/>
      <c r="B2820" s="81"/>
      <c r="C2820" s="137"/>
      <c r="D2820" s="81"/>
      <c r="E2820" s="81"/>
      <c r="F2820" s="81"/>
      <c r="G2820" s="81"/>
      <c r="H2820" s="81"/>
      <c r="I2820" s="81"/>
      <c r="J2820" s="81"/>
      <c r="K2820" s="81"/>
      <c r="L2820" s="81"/>
      <c r="M2820" s="81"/>
      <c r="N2820" s="81"/>
    </row>
    <row r="2821" spans="1:14" ht="14.25" customHeight="1" x14ac:dyDescent="0.25">
      <c r="A2821" s="81"/>
      <c r="B2821" s="81"/>
      <c r="C2821" s="137"/>
      <c r="D2821" s="81"/>
      <c r="E2821" s="81"/>
      <c r="F2821" s="81"/>
      <c r="G2821" s="81"/>
      <c r="H2821" s="81"/>
      <c r="I2821" s="81"/>
      <c r="J2821" s="81"/>
      <c r="K2821" s="81"/>
      <c r="L2821" s="81"/>
      <c r="M2821" s="81"/>
      <c r="N2821" s="81"/>
    </row>
    <row r="2822" spans="1:14" ht="14.25" customHeight="1" x14ac:dyDescent="0.25">
      <c r="A2822" s="81"/>
      <c r="B2822" s="81"/>
      <c r="C2822" s="137"/>
      <c r="D2822" s="81"/>
      <c r="E2822" s="81"/>
      <c r="F2822" s="81"/>
      <c r="G2822" s="81"/>
      <c r="H2822" s="81"/>
      <c r="I2822" s="81"/>
      <c r="J2822" s="81"/>
      <c r="K2822" s="81"/>
      <c r="L2822" s="81"/>
      <c r="M2822" s="81"/>
      <c r="N2822" s="81"/>
    </row>
    <row r="2823" spans="1:14" ht="14.25" customHeight="1" x14ac:dyDescent="0.25">
      <c r="A2823" s="81"/>
      <c r="B2823" s="81"/>
      <c r="C2823" s="137"/>
      <c r="D2823" s="81"/>
      <c r="E2823" s="81"/>
      <c r="F2823" s="81"/>
      <c r="G2823" s="81"/>
      <c r="H2823" s="81"/>
      <c r="I2823" s="81"/>
      <c r="J2823" s="81"/>
      <c r="K2823" s="81"/>
      <c r="L2823" s="81"/>
      <c r="M2823" s="81"/>
      <c r="N2823" s="81"/>
    </row>
    <row r="2824" spans="1:14" ht="14.25" customHeight="1" x14ac:dyDescent="0.25">
      <c r="A2824" s="134"/>
      <c r="B2824" s="135"/>
      <c r="C2824" s="135"/>
      <c r="D2824" s="135"/>
      <c r="E2824" s="135"/>
      <c r="F2824" s="136"/>
      <c r="G2824" s="81"/>
      <c r="H2824" s="81"/>
      <c r="I2824" s="81"/>
      <c r="J2824" s="81"/>
      <c r="K2824" s="81"/>
      <c r="L2824" s="81"/>
      <c r="M2824" s="81"/>
      <c r="N2824" s="81"/>
    </row>
    <row r="2825" spans="1:14" ht="14.25" customHeight="1" x14ac:dyDescent="0.25">
      <c r="A2825" s="134"/>
      <c r="B2825" s="135"/>
      <c r="C2825" s="135"/>
      <c r="D2825" s="135"/>
      <c r="E2825" s="135"/>
      <c r="F2825" s="136"/>
      <c r="G2825" s="81"/>
      <c r="H2825" s="81"/>
      <c r="I2825" s="81"/>
      <c r="J2825" s="81"/>
      <c r="K2825" s="81"/>
      <c r="L2825" s="81"/>
      <c r="M2825" s="81"/>
      <c r="N2825" s="81"/>
    </row>
    <row r="2826" spans="1:14" ht="14.25" customHeight="1" x14ac:dyDescent="0.25">
      <c r="A2826" s="134"/>
      <c r="B2826" s="135"/>
      <c r="C2826" s="135"/>
      <c r="D2826" s="135"/>
      <c r="E2826" s="135"/>
      <c r="F2826" s="136"/>
      <c r="G2826" s="81"/>
      <c r="H2826" s="81"/>
      <c r="I2826" s="81"/>
      <c r="J2826" s="81"/>
      <c r="K2826" s="81"/>
      <c r="L2826" s="81"/>
      <c r="M2826" s="81"/>
      <c r="N2826" s="81"/>
    </row>
    <row r="2827" spans="1:14" ht="14.25" customHeight="1" thickBot="1" x14ac:dyDescent="0.3">
      <c r="A2827" s="81"/>
      <c r="B2827" s="81"/>
      <c r="C2827" s="81"/>
      <c r="D2827" s="81"/>
      <c r="E2827" s="81"/>
      <c r="F2827" s="81"/>
      <c r="G2827" s="81"/>
      <c r="H2827" s="81"/>
      <c r="I2827" s="81"/>
      <c r="J2827" s="81"/>
      <c r="K2827" s="81"/>
      <c r="L2827" s="81"/>
      <c r="M2827" s="81"/>
      <c r="N2827" s="81"/>
    </row>
    <row r="2828" spans="1:14" ht="14.25" customHeight="1" x14ac:dyDescent="0.25">
      <c r="A2828" s="83"/>
      <c r="B2828" s="84"/>
      <c r="C2828" s="85"/>
      <c r="D2828" s="86"/>
      <c r="E2828" s="86"/>
      <c r="F2828" s="87"/>
      <c r="G2828" s="81"/>
      <c r="H2828" s="81"/>
      <c r="I2828" s="81"/>
      <c r="J2828" s="81"/>
      <c r="K2828" s="81"/>
      <c r="L2828" s="81"/>
      <c r="M2828" s="81"/>
      <c r="N2828" s="81"/>
    </row>
    <row r="2829" spans="1:14" ht="14.25" customHeight="1" x14ac:dyDescent="0.25">
      <c r="A2829" s="599"/>
      <c r="B2829" s="600"/>
      <c r="C2829" s="600"/>
      <c r="D2829" s="600"/>
      <c r="E2829" s="600"/>
      <c r="F2829" s="601"/>
      <c r="G2829" s="81"/>
      <c r="H2829" s="81"/>
      <c r="I2829" s="81"/>
      <c r="J2829" s="81"/>
      <c r="K2829" s="81"/>
      <c r="L2829" s="81"/>
      <c r="M2829" s="81"/>
      <c r="N2829" s="81"/>
    </row>
    <row r="2830" spans="1:14" ht="14.25" customHeight="1" x14ac:dyDescent="0.25">
      <c r="A2830" s="602" t="s">
        <v>561</v>
      </c>
      <c r="B2830" s="600"/>
      <c r="C2830" s="600"/>
      <c r="D2830" s="600"/>
      <c r="E2830" s="600"/>
      <c r="F2830" s="601"/>
      <c r="G2830" s="81"/>
      <c r="H2830" s="81"/>
      <c r="I2830" s="81"/>
      <c r="J2830" s="81"/>
      <c r="K2830" s="81"/>
      <c r="L2830" s="81"/>
      <c r="M2830" s="81"/>
      <c r="N2830" s="81"/>
    </row>
    <row r="2831" spans="1:14" ht="14.25" customHeight="1" thickBot="1" x14ac:dyDescent="0.3">
      <c r="A2831" s="603"/>
      <c r="B2831" s="604"/>
      <c r="C2831" s="604"/>
      <c r="D2831" s="604"/>
      <c r="E2831" s="604"/>
      <c r="F2831" s="605"/>
      <c r="G2831" s="81"/>
      <c r="H2831" s="81"/>
      <c r="I2831" s="81"/>
      <c r="J2831" s="81"/>
      <c r="K2831" s="81"/>
      <c r="L2831" s="81"/>
      <c r="M2831" s="81"/>
      <c r="N2831" s="81"/>
    </row>
    <row r="2832" spans="1:14" ht="14.25" customHeight="1" x14ac:dyDescent="0.25">
      <c r="A2832" s="88"/>
      <c r="B2832" s="88"/>
      <c r="C2832" s="89"/>
      <c r="D2832" s="89"/>
      <c r="E2832" s="89"/>
      <c r="F2832" s="89"/>
      <c r="G2832" s="81"/>
      <c r="H2832" s="81"/>
      <c r="I2832" s="81"/>
      <c r="J2832" s="81"/>
      <c r="K2832" s="81"/>
      <c r="L2832" s="81"/>
      <c r="M2832" s="81"/>
      <c r="N2832" s="81"/>
    </row>
    <row r="2833" spans="1:14" ht="14.25" customHeight="1" x14ac:dyDescent="0.25">
      <c r="A2833" s="90" t="s">
        <v>47</v>
      </c>
      <c r="B2833" s="613" t="s">
        <v>151</v>
      </c>
      <c r="C2833" s="600"/>
      <c r="D2833" s="600"/>
      <c r="E2833" s="600"/>
      <c r="F2833" s="600"/>
      <c r="G2833" s="81"/>
      <c r="H2833" s="81"/>
      <c r="I2833" s="81"/>
      <c r="J2833" s="81"/>
      <c r="K2833" s="81"/>
      <c r="L2833" s="81"/>
      <c r="M2833" s="81"/>
      <c r="N2833" s="81"/>
    </row>
    <row r="2834" spans="1:14" ht="14.25" customHeight="1" x14ac:dyDescent="0.25">
      <c r="A2834" s="91"/>
      <c r="B2834" s="91"/>
      <c r="C2834" s="91"/>
      <c r="D2834" s="91"/>
      <c r="E2834" s="91"/>
      <c r="F2834" s="91"/>
      <c r="G2834" s="81"/>
      <c r="H2834" s="81"/>
      <c r="I2834" s="81"/>
      <c r="J2834" s="81"/>
      <c r="K2834" s="81"/>
      <c r="L2834" s="81"/>
      <c r="M2834" s="81"/>
      <c r="N2834" s="81"/>
    </row>
    <row r="2835" spans="1:14" ht="14.25" customHeight="1" x14ac:dyDescent="0.25">
      <c r="A2835" s="88" t="s">
        <v>49</v>
      </c>
      <c r="B2835" s="92" t="s">
        <v>56</v>
      </c>
      <c r="C2835" s="89"/>
      <c r="D2835" s="89"/>
      <c r="E2835" s="89"/>
      <c r="F2835" s="93"/>
      <c r="G2835" s="81"/>
      <c r="H2835" s="81"/>
      <c r="I2835" s="81"/>
      <c r="J2835" s="81"/>
      <c r="K2835" s="81"/>
      <c r="L2835" s="81"/>
      <c r="M2835" s="81"/>
      <c r="N2835" s="81"/>
    </row>
    <row r="2836" spans="1:14" ht="14.25" customHeight="1" x14ac:dyDescent="0.25">
      <c r="A2836" s="88"/>
      <c r="B2836" s="94"/>
      <c r="C2836" s="89"/>
      <c r="D2836" s="89"/>
      <c r="E2836" s="89"/>
      <c r="F2836" s="93"/>
      <c r="G2836" s="81"/>
      <c r="H2836" s="81"/>
      <c r="I2836" s="81"/>
      <c r="J2836" s="81"/>
      <c r="K2836" s="81"/>
      <c r="L2836" s="81"/>
      <c r="M2836" s="81"/>
      <c r="N2836" s="81"/>
    </row>
    <row r="2837" spans="1:14" ht="14.25" customHeight="1" x14ac:dyDescent="0.25">
      <c r="A2837" s="95" t="s">
        <v>562</v>
      </c>
      <c r="B2837" s="96"/>
      <c r="C2837" s="92"/>
      <c r="D2837" s="92"/>
      <c r="E2837" s="92"/>
      <c r="F2837" s="92"/>
      <c r="G2837" s="81"/>
      <c r="H2837" s="81"/>
      <c r="I2837" s="81"/>
      <c r="J2837" s="81"/>
      <c r="K2837" s="81"/>
      <c r="L2837" s="81"/>
      <c r="M2837" s="81"/>
      <c r="N2837" s="81"/>
    </row>
    <row r="2838" spans="1:14" ht="14.25" customHeight="1" x14ac:dyDescent="0.25">
      <c r="A2838" s="97" t="s">
        <v>563</v>
      </c>
      <c r="B2838" s="98" t="s">
        <v>564</v>
      </c>
      <c r="C2838" s="98" t="s">
        <v>565</v>
      </c>
      <c r="D2838" s="98" t="s">
        <v>566</v>
      </c>
      <c r="E2838" s="98" t="s">
        <v>567</v>
      </c>
      <c r="F2838" s="98" t="s">
        <v>568</v>
      </c>
      <c r="G2838" s="81"/>
      <c r="H2838" s="81"/>
      <c r="I2838" s="81"/>
      <c r="J2838" s="81"/>
      <c r="K2838" s="81"/>
      <c r="L2838" s="81"/>
      <c r="M2838" s="81"/>
      <c r="N2838" s="81"/>
    </row>
    <row r="2839" spans="1:14" ht="14.25" customHeight="1" x14ac:dyDescent="0.25">
      <c r="A2839" s="99" t="s">
        <v>151</v>
      </c>
      <c r="B2839" s="100" t="s">
        <v>651</v>
      </c>
      <c r="C2839" s="101">
        <v>113420</v>
      </c>
      <c r="D2839" s="149">
        <v>0.14000000000000001</v>
      </c>
      <c r="E2839" s="102">
        <v>0.05</v>
      </c>
      <c r="F2839" s="101">
        <f t="shared" ref="F2839:F2842" si="153">C2839*(D2839+(D2839*E2839))</f>
        <v>16672.740000000002</v>
      </c>
      <c r="G2839" s="81"/>
      <c r="H2839" s="81"/>
      <c r="I2839" s="81"/>
      <c r="J2839" s="81"/>
      <c r="K2839" s="81"/>
      <c r="L2839" s="81"/>
      <c r="M2839" s="81"/>
      <c r="N2839" s="81"/>
    </row>
    <row r="2840" spans="1:14" ht="14.25" customHeight="1" x14ac:dyDescent="0.25">
      <c r="A2840" s="99" t="s">
        <v>675</v>
      </c>
      <c r="B2840" s="100" t="s">
        <v>99</v>
      </c>
      <c r="C2840" s="101">
        <v>12000</v>
      </c>
      <c r="D2840" s="149">
        <v>0.01</v>
      </c>
      <c r="E2840" s="102">
        <v>0.05</v>
      </c>
      <c r="F2840" s="101">
        <f t="shared" si="153"/>
        <v>126.00000000000001</v>
      </c>
      <c r="G2840" s="81"/>
      <c r="H2840" s="81"/>
      <c r="I2840" s="81"/>
      <c r="J2840" s="81"/>
      <c r="K2840" s="81"/>
      <c r="L2840" s="81"/>
      <c r="M2840" s="81"/>
      <c r="N2840" s="81"/>
    </row>
    <row r="2841" spans="1:14" ht="14.25" customHeight="1" x14ac:dyDescent="0.25">
      <c r="A2841" s="99" t="s">
        <v>676</v>
      </c>
      <c r="B2841" s="100" t="s">
        <v>99</v>
      </c>
      <c r="C2841" s="101">
        <v>12350</v>
      </c>
      <c r="D2841" s="149">
        <v>0.04</v>
      </c>
      <c r="E2841" s="102">
        <v>0.05</v>
      </c>
      <c r="F2841" s="101">
        <f t="shared" si="153"/>
        <v>518.70000000000005</v>
      </c>
      <c r="G2841" s="81"/>
      <c r="H2841" s="81"/>
      <c r="I2841" s="81"/>
      <c r="J2841" s="81"/>
      <c r="K2841" s="81"/>
      <c r="L2841" s="81"/>
      <c r="M2841" s="81"/>
      <c r="N2841" s="81"/>
    </row>
    <row r="2842" spans="1:14" ht="14.25" customHeight="1" x14ac:dyDescent="0.25">
      <c r="A2842" s="99" t="s">
        <v>677</v>
      </c>
      <c r="B2842" s="100" t="s">
        <v>99</v>
      </c>
      <c r="C2842" s="101">
        <v>4850</v>
      </c>
      <c r="D2842" s="149">
        <v>0.04</v>
      </c>
      <c r="E2842" s="102">
        <v>0.05</v>
      </c>
      <c r="F2842" s="101">
        <f t="shared" si="153"/>
        <v>203.70000000000002</v>
      </c>
      <c r="G2842" s="81"/>
      <c r="H2842" s="81"/>
      <c r="I2842" s="81"/>
      <c r="J2842" s="81"/>
      <c r="K2842" s="81"/>
      <c r="L2842" s="81"/>
      <c r="M2842" s="81"/>
      <c r="N2842" s="81"/>
    </row>
    <row r="2843" spans="1:14" ht="14.25" customHeight="1" x14ac:dyDescent="0.25">
      <c r="A2843" s="99"/>
      <c r="B2843" s="100"/>
      <c r="C2843" s="101"/>
      <c r="D2843" s="104"/>
      <c r="E2843" s="102"/>
      <c r="F2843" s="101"/>
      <c r="G2843" s="81"/>
      <c r="H2843" s="81"/>
      <c r="I2843" s="81"/>
      <c r="J2843" s="81"/>
      <c r="K2843" s="81"/>
      <c r="L2843" s="81"/>
      <c r="M2843" s="81"/>
      <c r="N2843" s="81"/>
    </row>
    <row r="2844" spans="1:14" ht="14.25" customHeight="1" x14ac:dyDescent="0.25">
      <c r="A2844" s="99"/>
      <c r="B2844" s="100"/>
      <c r="C2844" s="106"/>
      <c r="D2844" s="107"/>
      <c r="E2844" s="108"/>
      <c r="F2844" s="106"/>
      <c r="G2844" s="81"/>
      <c r="H2844" s="81"/>
      <c r="I2844" s="81"/>
      <c r="J2844" s="81"/>
      <c r="K2844" s="81"/>
      <c r="L2844" s="81"/>
      <c r="M2844" s="81"/>
      <c r="N2844" s="81"/>
    </row>
    <row r="2845" spans="1:14" ht="14.25" customHeight="1" x14ac:dyDescent="0.25">
      <c r="A2845" s="97" t="s">
        <v>548</v>
      </c>
      <c r="B2845" s="97"/>
      <c r="C2845" s="109"/>
      <c r="D2845" s="110"/>
      <c r="E2845" s="111"/>
      <c r="F2845" s="112">
        <f>SUM(F2839:F2844)</f>
        <v>17521.140000000003</v>
      </c>
      <c r="G2845" s="81"/>
      <c r="H2845" s="81"/>
      <c r="I2845" s="81"/>
      <c r="J2845" s="81"/>
      <c r="K2845" s="81"/>
      <c r="L2845" s="81"/>
      <c r="M2845" s="81"/>
      <c r="N2845" s="81"/>
    </row>
    <row r="2846" spans="1:14" ht="14.25" customHeight="1" x14ac:dyDescent="0.25">
      <c r="A2846" s="88"/>
      <c r="B2846" s="88"/>
      <c r="C2846" s="113"/>
      <c r="D2846" s="113"/>
      <c r="E2846" s="114"/>
      <c r="F2846" s="113"/>
      <c r="G2846" s="81"/>
      <c r="H2846" s="81"/>
      <c r="I2846" s="81"/>
      <c r="J2846" s="81"/>
      <c r="K2846" s="81"/>
      <c r="L2846" s="81"/>
      <c r="M2846" s="81"/>
      <c r="N2846" s="81"/>
    </row>
    <row r="2847" spans="1:14" ht="14.25" customHeight="1" x14ac:dyDescent="0.25">
      <c r="A2847" s="96" t="s">
        <v>573</v>
      </c>
      <c r="B2847" s="96"/>
      <c r="C2847" s="92"/>
      <c r="D2847" s="92"/>
      <c r="E2847" s="92"/>
      <c r="F2847" s="92"/>
      <c r="G2847" s="81"/>
      <c r="H2847" s="81"/>
      <c r="I2847" s="81"/>
      <c r="J2847" s="81"/>
      <c r="K2847" s="81"/>
      <c r="L2847" s="81"/>
      <c r="M2847" s="81"/>
      <c r="N2847" s="81"/>
    </row>
    <row r="2848" spans="1:14" ht="14.25" customHeight="1" x14ac:dyDescent="0.25">
      <c r="A2848" s="611" t="s">
        <v>563</v>
      </c>
      <c r="B2848" s="608"/>
      <c r="C2848" s="609"/>
      <c r="D2848" s="98" t="s">
        <v>574</v>
      </c>
      <c r="E2848" s="98" t="s">
        <v>575</v>
      </c>
      <c r="F2848" s="98" t="s">
        <v>568</v>
      </c>
      <c r="G2848" s="81"/>
      <c r="H2848" s="81"/>
      <c r="I2848" s="81"/>
      <c r="J2848" s="81"/>
      <c r="K2848" s="81"/>
      <c r="L2848" s="81"/>
      <c r="M2848" s="81"/>
      <c r="N2848" s="81"/>
    </row>
    <row r="2849" spans="1:14" ht="14.25" customHeight="1" x14ac:dyDescent="0.25">
      <c r="A2849" s="607" t="s">
        <v>577</v>
      </c>
      <c r="B2849" s="608"/>
      <c r="C2849" s="609"/>
      <c r="D2849" s="116"/>
      <c r="E2849" s="107"/>
      <c r="F2849" s="106">
        <f>+F2862*5%</f>
        <v>552.1501524390244</v>
      </c>
      <c r="G2849" s="81"/>
      <c r="H2849" s="81"/>
      <c r="I2849" s="81"/>
      <c r="J2849" s="81"/>
      <c r="K2849" s="81"/>
      <c r="L2849" s="81"/>
      <c r="M2849" s="81"/>
      <c r="N2849" s="81"/>
    </row>
    <row r="2850" spans="1:14" ht="14.25" customHeight="1" x14ac:dyDescent="0.25">
      <c r="A2850" s="607" t="s">
        <v>657</v>
      </c>
      <c r="B2850" s="608"/>
      <c r="C2850" s="609"/>
      <c r="D2850" s="142">
        <v>1850</v>
      </c>
      <c r="E2850" s="107">
        <v>1.5</v>
      </c>
      <c r="F2850" s="106">
        <f>D2850/E2850</f>
        <v>1233.3333333333333</v>
      </c>
      <c r="G2850" s="81"/>
      <c r="H2850" s="81"/>
      <c r="I2850" s="81"/>
      <c r="J2850" s="81"/>
      <c r="K2850" s="81"/>
      <c r="L2850" s="81"/>
      <c r="M2850" s="81"/>
      <c r="N2850" s="81"/>
    </row>
    <row r="2851" spans="1:14" ht="14.25" customHeight="1" x14ac:dyDescent="0.25">
      <c r="A2851" s="607"/>
      <c r="B2851" s="608"/>
      <c r="C2851" s="609"/>
      <c r="D2851" s="142"/>
      <c r="E2851" s="105"/>
      <c r="F2851" s="106"/>
      <c r="G2851" s="81"/>
      <c r="H2851" s="81"/>
      <c r="I2851" s="81"/>
      <c r="J2851" s="81"/>
      <c r="K2851" s="81"/>
      <c r="L2851" s="81"/>
      <c r="M2851" s="81"/>
      <c r="N2851" s="81"/>
    </row>
    <row r="2852" spans="1:14" ht="14.25" customHeight="1" x14ac:dyDescent="0.25">
      <c r="A2852" s="607"/>
      <c r="B2852" s="608"/>
      <c r="C2852" s="609"/>
      <c r="D2852" s="142"/>
      <c r="E2852" s="107"/>
      <c r="F2852" s="106"/>
      <c r="G2852" s="81"/>
      <c r="H2852" s="81"/>
      <c r="I2852" s="81"/>
      <c r="J2852" s="81"/>
      <c r="K2852" s="81"/>
      <c r="L2852" s="81"/>
      <c r="M2852" s="81"/>
      <c r="N2852" s="81"/>
    </row>
    <row r="2853" spans="1:14" ht="14.25" customHeight="1" x14ac:dyDescent="0.25">
      <c r="A2853" s="610"/>
      <c r="B2853" s="608"/>
      <c r="C2853" s="609"/>
      <c r="D2853" s="115"/>
      <c r="E2853" s="107"/>
      <c r="F2853" s="106"/>
      <c r="G2853" s="81"/>
      <c r="H2853" s="81"/>
      <c r="I2853" s="81"/>
      <c r="J2853" s="81"/>
      <c r="K2853" s="81"/>
      <c r="L2853" s="81"/>
      <c r="M2853" s="81"/>
      <c r="N2853" s="81"/>
    </row>
    <row r="2854" spans="1:14" ht="14.25" customHeight="1" x14ac:dyDescent="0.25">
      <c r="A2854" s="611" t="s">
        <v>548</v>
      </c>
      <c r="B2854" s="608"/>
      <c r="C2854" s="609"/>
      <c r="D2854" s="110"/>
      <c r="E2854" s="110"/>
      <c r="F2854" s="112">
        <f>SUM(F2849:F2852)</f>
        <v>1785.4834857723577</v>
      </c>
      <c r="G2854" s="81"/>
      <c r="H2854" s="81"/>
      <c r="I2854" s="81"/>
      <c r="J2854" s="81"/>
      <c r="K2854" s="81"/>
      <c r="L2854" s="81"/>
      <c r="M2854" s="81"/>
      <c r="N2854" s="81"/>
    </row>
    <row r="2855" spans="1:14" ht="14.25" customHeight="1" x14ac:dyDescent="0.25">
      <c r="A2855" s="88"/>
      <c r="B2855" s="88"/>
      <c r="C2855" s="89"/>
      <c r="D2855" s="113"/>
      <c r="E2855" s="113"/>
      <c r="F2855" s="113"/>
      <c r="G2855" s="81"/>
      <c r="H2855" s="81"/>
      <c r="I2855" s="81"/>
      <c r="J2855" s="81"/>
      <c r="K2855" s="81"/>
      <c r="L2855" s="81"/>
      <c r="M2855" s="81"/>
      <c r="N2855" s="81"/>
    </row>
    <row r="2856" spans="1:14" ht="14.25" customHeight="1" x14ac:dyDescent="0.25">
      <c r="A2856" s="96" t="s">
        <v>578</v>
      </c>
      <c r="B2856" s="96"/>
      <c r="C2856" s="92"/>
      <c r="D2856" s="118"/>
      <c r="E2856" s="118"/>
      <c r="F2856" s="118"/>
      <c r="G2856" s="81"/>
      <c r="H2856" s="81"/>
      <c r="I2856" s="81"/>
      <c r="J2856" s="81"/>
      <c r="K2856" s="81"/>
      <c r="L2856" s="81"/>
      <c r="M2856" s="81"/>
      <c r="N2856" s="81"/>
    </row>
    <row r="2857" spans="1:14" ht="14.25" customHeight="1" x14ac:dyDescent="0.25">
      <c r="A2857" s="119" t="s">
        <v>563</v>
      </c>
      <c r="B2857" s="120" t="s">
        <v>579</v>
      </c>
      <c r="C2857" s="120" t="s">
        <v>580</v>
      </c>
      <c r="D2857" s="121" t="s">
        <v>581</v>
      </c>
      <c r="E2857" s="121" t="s">
        <v>575</v>
      </c>
      <c r="F2857" s="121" t="s">
        <v>568</v>
      </c>
      <c r="G2857" s="81"/>
      <c r="H2857" s="81"/>
      <c r="I2857" s="81"/>
      <c r="J2857" s="81"/>
      <c r="K2857" s="81"/>
      <c r="L2857" s="81"/>
      <c r="M2857" s="81"/>
      <c r="N2857" s="81"/>
    </row>
    <row r="2858" spans="1:14" ht="14.25" customHeight="1" x14ac:dyDescent="0.25">
      <c r="A2858" s="122" t="s">
        <v>593</v>
      </c>
      <c r="B2858" s="127">
        <v>1</v>
      </c>
      <c r="C2858" s="101">
        <v>32688</v>
      </c>
      <c r="D2858" s="101">
        <f t="shared" ref="D2858:D2859" si="154">+C2858*1.7</f>
        <v>55569.599999999999</v>
      </c>
      <c r="E2858" s="107">
        <v>13.12</v>
      </c>
      <c r="F2858" s="106">
        <f t="shared" ref="F2858:F2859" si="155">+B2858*(D2858)/E2858</f>
        <v>4235.4878048780492</v>
      </c>
      <c r="G2858" s="81"/>
      <c r="H2858" s="81"/>
      <c r="I2858" s="81"/>
      <c r="J2858" s="81"/>
      <c r="K2858" s="81"/>
      <c r="L2858" s="81"/>
      <c r="M2858" s="81"/>
      <c r="N2858" s="81"/>
    </row>
    <row r="2859" spans="1:14" ht="14.25" customHeight="1" x14ac:dyDescent="0.25">
      <c r="A2859" s="122" t="s">
        <v>594</v>
      </c>
      <c r="B2859" s="127">
        <v>1</v>
      </c>
      <c r="C2859" s="101">
        <v>52538</v>
      </c>
      <c r="D2859" s="101">
        <f t="shared" si="154"/>
        <v>89314.599999999991</v>
      </c>
      <c r="E2859" s="107">
        <f>E2858</f>
        <v>13.12</v>
      </c>
      <c r="F2859" s="106">
        <f t="shared" si="155"/>
        <v>6807.5152439024387</v>
      </c>
      <c r="G2859" s="81"/>
      <c r="H2859" s="81"/>
      <c r="I2859" s="81"/>
      <c r="J2859" s="81"/>
      <c r="K2859" s="81"/>
      <c r="L2859" s="81"/>
      <c r="M2859" s="81"/>
      <c r="N2859" s="81"/>
    </row>
    <row r="2860" spans="1:14" ht="14.25" customHeight="1" x14ac:dyDescent="0.25">
      <c r="A2860" s="122"/>
      <c r="B2860" s="127"/>
      <c r="C2860" s="101"/>
      <c r="D2860" s="101"/>
      <c r="E2860" s="105"/>
      <c r="F2860" s="106"/>
      <c r="G2860" s="81"/>
      <c r="H2860" s="81"/>
      <c r="I2860" s="81"/>
      <c r="J2860" s="81"/>
      <c r="K2860" s="81"/>
      <c r="L2860" s="81"/>
      <c r="M2860" s="81"/>
      <c r="N2860" s="81"/>
    </row>
    <row r="2861" spans="1:14" ht="14.25" customHeight="1" x14ac:dyDescent="0.25">
      <c r="A2861" s="122"/>
      <c r="B2861" s="127"/>
      <c r="C2861" s="101"/>
      <c r="D2861" s="101"/>
      <c r="E2861" s="125"/>
      <c r="F2861" s="106"/>
      <c r="G2861" s="81"/>
      <c r="H2861" s="81"/>
      <c r="I2861" s="81"/>
      <c r="J2861" s="81"/>
      <c r="K2861" s="81"/>
      <c r="L2861" s="81"/>
      <c r="M2861" s="81"/>
      <c r="N2861" s="81"/>
    </row>
    <row r="2862" spans="1:14" ht="14.25" customHeight="1" x14ac:dyDescent="0.25">
      <c r="A2862" s="97" t="s">
        <v>548</v>
      </c>
      <c r="B2862" s="128"/>
      <c r="C2862" s="110"/>
      <c r="D2862" s="110"/>
      <c r="E2862" s="110"/>
      <c r="F2862" s="112">
        <f>SUM(F2858:F2861)</f>
        <v>11043.003048780487</v>
      </c>
      <c r="G2862" s="81"/>
      <c r="H2862" s="81"/>
      <c r="I2862" s="81"/>
      <c r="J2862" s="81"/>
      <c r="K2862" s="81"/>
      <c r="L2862" s="81"/>
      <c r="M2862" s="81"/>
      <c r="N2862" s="81"/>
    </row>
    <row r="2863" spans="1:14" ht="14.25" customHeight="1" x14ac:dyDescent="0.25">
      <c r="A2863" s="96"/>
      <c r="B2863" s="129"/>
      <c r="C2863" s="118"/>
      <c r="D2863" s="118"/>
      <c r="E2863" s="118"/>
      <c r="F2863" s="118"/>
      <c r="G2863" s="81"/>
      <c r="H2863" s="81"/>
      <c r="I2863" s="81"/>
      <c r="J2863" s="81"/>
      <c r="K2863" s="81"/>
      <c r="L2863" s="81"/>
      <c r="M2863" s="81"/>
      <c r="N2863" s="81"/>
    </row>
    <row r="2864" spans="1:14" ht="14.25" customHeight="1" x14ac:dyDescent="0.25">
      <c r="A2864" s="95" t="s">
        <v>583</v>
      </c>
      <c r="B2864" s="96"/>
      <c r="C2864" s="92"/>
      <c r="D2864" s="92"/>
      <c r="E2864" s="92" t="s">
        <v>584</v>
      </c>
      <c r="F2864" s="92"/>
      <c r="G2864" s="81"/>
      <c r="H2864" s="81"/>
      <c r="I2864" s="81"/>
      <c r="J2864" s="81"/>
      <c r="K2864" s="81"/>
      <c r="L2864" s="81"/>
      <c r="M2864" s="81"/>
      <c r="N2864" s="81"/>
    </row>
    <row r="2865" spans="1:14" ht="14.25" customHeight="1" x14ac:dyDescent="0.25">
      <c r="A2865" s="97" t="s">
        <v>563</v>
      </c>
      <c r="B2865" s="98" t="s">
        <v>564</v>
      </c>
      <c r="C2865" s="98" t="s">
        <v>585</v>
      </c>
      <c r="D2865" s="98" t="s">
        <v>586</v>
      </c>
      <c r="E2865" s="120" t="s">
        <v>587</v>
      </c>
      <c r="F2865" s="98" t="s">
        <v>568</v>
      </c>
      <c r="G2865" s="81"/>
      <c r="H2865" s="81"/>
      <c r="I2865" s="81"/>
      <c r="J2865" s="81"/>
      <c r="K2865" s="81"/>
      <c r="L2865" s="81"/>
      <c r="M2865" s="81"/>
      <c r="N2865" s="81"/>
    </row>
    <row r="2866" spans="1:14" ht="14.25" customHeight="1" x14ac:dyDescent="0.25">
      <c r="A2866" s="103"/>
      <c r="B2866" s="100"/>
      <c r="C2866" s="101"/>
      <c r="D2866" s="140"/>
      <c r="E2866" s="107"/>
      <c r="F2866" s="109"/>
      <c r="G2866" s="81"/>
      <c r="H2866" s="81"/>
      <c r="I2866" s="81"/>
      <c r="J2866" s="81"/>
      <c r="K2866" s="81"/>
      <c r="L2866" s="81"/>
      <c r="M2866" s="81"/>
      <c r="N2866" s="81"/>
    </row>
    <row r="2867" spans="1:14" ht="14.25" customHeight="1" x14ac:dyDescent="0.25">
      <c r="A2867" s="103"/>
      <c r="B2867" s="100"/>
      <c r="C2867" s="107"/>
      <c r="D2867" s="107"/>
      <c r="E2867" s="108"/>
      <c r="F2867" s="109"/>
      <c r="G2867" s="81"/>
      <c r="H2867" s="81"/>
      <c r="I2867" s="81"/>
      <c r="J2867" s="81"/>
      <c r="K2867" s="81"/>
      <c r="L2867" s="81"/>
      <c r="M2867" s="81"/>
      <c r="N2867" s="81"/>
    </row>
    <row r="2868" spans="1:14" ht="14.25" customHeight="1" x14ac:dyDescent="0.25">
      <c r="A2868" s="97" t="s">
        <v>548</v>
      </c>
      <c r="B2868" s="98"/>
      <c r="C2868" s="110"/>
      <c r="D2868" s="110"/>
      <c r="E2868" s="111"/>
      <c r="F2868" s="112">
        <f>SUM(F2866:F2867)</f>
        <v>0</v>
      </c>
      <c r="G2868" s="81"/>
      <c r="H2868" s="81"/>
      <c r="I2868" s="81"/>
      <c r="J2868" s="81"/>
      <c r="K2868" s="81"/>
      <c r="L2868" s="81"/>
      <c r="M2868" s="81"/>
      <c r="N2868" s="81"/>
    </row>
    <row r="2869" spans="1:14" ht="14.25" customHeight="1" x14ac:dyDescent="0.25">
      <c r="A2869" s="88"/>
      <c r="B2869" s="89"/>
      <c r="C2869" s="113"/>
      <c r="D2869" s="113"/>
      <c r="E2869" s="114"/>
      <c r="F2869" s="113"/>
      <c r="G2869" s="81"/>
      <c r="H2869" s="81"/>
      <c r="I2869" s="81"/>
      <c r="J2869" s="81"/>
      <c r="K2869" s="81"/>
      <c r="L2869" s="81"/>
      <c r="M2869" s="81"/>
      <c r="N2869" s="81"/>
    </row>
    <row r="2870" spans="1:14" ht="14.25" customHeight="1" x14ac:dyDescent="0.25">
      <c r="A2870" s="88"/>
      <c r="B2870" s="89"/>
      <c r="C2870" s="113"/>
      <c r="D2870" s="113"/>
      <c r="E2870" s="114"/>
      <c r="F2870" s="113"/>
      <c r="G2870" s="81"/>
      <c r="H2870" s="81"/>
      <c r="I2870" s="81"/>
      <c r="J2870" s="81"/>
      <c r="K2870" s="81"/>
      <c r="L2870" s="81"/>
      <c r="M2870" s="81"/>
      <c r="N2870" s="81"/>
    </row>
    <row r="2871" spans="1:14" ht="14.25" customHeight="1" x14ac:dyDescent="0.25">
      <c r="A2871" s="612" t="s">
        <v>588</v>
      </c>
      <c r="B2871" s="608"/>
      <c r="C2871" s="608"/>
      <c r="D2871" s="608"/>
      <c r="E2871" s="609"/>
      <c r="F2871" s="131">
        <f>ROUND(F2845+F2854+F2862+F2868,0)</f>
        <v>30350</v>
      </c>
      <c r="G2871" s="81"/>
      <c r="H2871" s="117"/>
      <c r="I2871" s="81"/>
      <c r="J2871" s="81"/>
      <c r="K2871" s="81"/>
      <c r="L2871" s="81"/>
      <c r="M2871" s="81"/>
      <c r="N2871" s="81"/>
    </row>
    <row r="2872" spans="1:14" ht="14.25" customHeight="1" x14ac:dyDescent="0.25">
      <c r="A2872" s="612" t="s">
        <v>589</v>
      </c>
      <c r="B2872" s="608"/>
      <c r="C2872" s="608"/>
      <c r="D2872" s="608"/>
      <c r="E2872" s="609"/>
      <c r="F2872" s="132"/>
      <c r="G2872" s="81"/>
      <c r="H2872" s="81"/>
      <c r="I2872" s="81"/>
      <c r="J2872" s="81"/>
      <c r="K2872" s="81"/>
      <c r="L2872" s="81"/>
      <c r="M2872" s="81"/>
      <c r="N2872" s="81"/>
    </row>
    <row r="2873" spans="1:14" ht="14.25" customHeight="1" x14ac:dyDescent="0.25">
      <c r="A2873" s="146" t="s">
        <v>556</v>
      </c>
      <c r="B2873" s="147"/>
      <c r="C2873" s="147"/>
      <c r="D2873" s="147"/>
      <c r="E2873" s="148"/>
      <c r="F2873" s="133"/>
      <c r="G2873" s="81"/>
      <c r="H2873" s="81"/>
      <c r="I2873" s="81"/>
      <c r="J2873" s="81"/>
      <c r="K2873" s="81"/>
      <c r="L2873" s="81"/>
      <c r="M2873" s="81"/>
      <c r="N2873" s="81"/>
    </row>
    <row r="2874" spans="1:14" ht="14.25" customHeight="1" x14ac:dyDescent="0.25">
      <c r="A2874" s="134"/>
      <c r="B2874" s="135"/>
      <c r="C2874" s="135"/>
      <c r="D2874" s="135"/>
      <c r="E2874" s="135"/>
      <c r="F2874" s="136"/>
      <c r="G2874" s="81"/>
      <c r="H2874" s="81"/>
      <c r="I2874" s="81"/>
      <c r="J2874" s="81"/>
      <c r="K2874" s="81"/>
      <c r="L2874" s="81"/>
      <c r="M2874" s="81"/>
      <c r="N2874" s="81"/>
    </row>
    <row r="2875" spans="1:14" ht="14.25" customHeight="1" x14ac:dyDescent="0.25">
      <c r="A2875" s="81"/>
      <c r="B2875" s="81"/>
      <c r="C2875" s="137"/>
      <c r="D2875" s="81"/>
      <c r="E2875" s="81"/>
      <c r="F2875" s="81"/>
      <c r="G2875" s="81"/>
      <c r="H2875" s="81"/>
      <c r="I2875" s="81"/>
      <c r="J2875" s="81"/>
      <c r="K2875" s="81"/>
      <c r="L2875" s="81"/>
      <c r="M2875" s="81"/>
      <c r="N2875" s="81"/>
    </row>
    <row r="2876" spans="1:14" ht="14.25" customHeight="1" x14ac:dyDescent="0.25">
      <c r="A2876" s="81"/>
      <c r="B2876" s="81"/>
      <c r="C2876" s="137"/>
      <c r="D2876" s="81"/>
      <c r="E2876" s="81"/>
      <c r="F2876" s="81"/>
      <c r="G2876" s="81"/>
      <c r="H2876" s="81"/>
      <c r="I2876" s="81"/>
      <c r="J2876" s="81"/>
      <c r="K2876" s="81"/>
      <c r="L2876" s="81"/>
      <c r="M2876" s="81"/>
      <c r="N2876" s="81"/>
    </row>
    <row r="2877" spans="1:14" ht="14.25" customHeight="1" x14ac:dyDescent="0.25">
      <c r="A2877" s="81"/>
      <c r="B2877" s="81"/>
      <c r="C2877" s="137"/>
      <c r="D2877" s="81"/>
      <c r="E2877" s="81"/>
      <c r="F2877" s="81"/>
      <c r="G2877" s="81"/>
      <c r="H2877" s="81"/>
      <c r="I2877" s="81"/>
      <c r="J2877" s="81"/>
      <c r="K2877" s="81"/>
      <c r="L2877" s="81"/>
      <c r="M2877" s="81"/>
      <c r="N2877" s="81"/>
    </row>
    <row r="2878" spans="1:14" ht="14.25" customHeight="1" x14ac:dyDescent="0.25">
      <c r="A2878" s="81"/>
      <c r="B2878" s="81"/>
      <c r="C2878" s="137"/>
      <c r="D2878" s="81"/>
      <c r="E2878" s="81"/>
      <c r="F2878" s="81"/>
      <c r="G2878" s="81"/>
      <c r="H2878" s="81"/>
      <c r="I2878" s="81"/>
      <c r="J2878" s="81"/>
      <c r="K2878" s="81"/>
      <c r="L2878" s="81"/>
      <c r="M2878" s="81"/>
      <c r="N2878" s="81"/>
    </row>
    <row r="2879" spans="1:14" ht="14.25" customHeight="1" x14ac:dyDescent="0.25">
      <c r="A2879" s="81"/>
      <c r="B2879" s="81"/>
      <c r="C2879" s="137"/>
      <c r="D2879" s="81"/>
      <c r="E2879" s="81"/>
      <c r="F2879" s="81"/>
      <c r="G2879" s="81"/>
      <c r="H2879" s="81"/>
      <c r="I2879" s="81"/>
      <c r="J2879" s="81"/>
      <c r="K2879" s="81"/>
      <c r="L2879" s="81"/>
      <c r="M2879" s="81"/>
      <c r="N2879" s="81"/>
    </row>
    <row r="2880" spans="1:14" ht="14.25" customHeight="1" x14ac:dyDescent="0.25">
      <c r="A2880" s="134"/>
      <c r="B2880" s="135"/>
      <c r="C2880" s="135"/>
      <c r="D2880" s="135"/>
      <c r="E2880" s="135"/>
      <c r="F2880" s="136"/>
      <c r="G2880" s="81"/>
      <c r="H2880" s="81"/>
      <c r="I2880" s="81"/>
      <c r="J2880" s="81"/>
      <c r="K2880" s="81"/>
      <c r="L2880" s="81"/>
      <c r="M2880" s="81"/>
      <c r="N2880" s="81"/>
    </row>
    <row r="2881" spans="1:14" ht="14.25" customHeight="1" x14ac:dyDescent="0.25">
      <c r="A2881" s="134"/>
      <c r="B2881" s="135"/>
      <c r="C2881" s="135"/>
      <c r="D2881" s="135"/>
      <c r="E2881" s="135"/>
      <c r="F2881" s="136"/>
      <c r="G2881" s="81"/>
      <c r="H2881" s="81"/>
      <c r="I2881" s="81"/>
      <c r="J2881" s="81"/>
      <c r="K2881" s="81"/>
      <c r="L2881" s="81"/>
      <c r="M2881" s="81"/>
      <c r="N2881" s="81"/>
    </row>
    <row r="2882" spans="1:14" ht="14.25" customHeight="1" x14ac:dyDescent="0.25">
      <c r="A2882" s="134"/>
      <c r="B2882" s="135"/>
      <c r="C2882" s="135"/>
      <c r="D2882" s="135"/>
      <c r="E2882" s="135"/>
      <c r="F2882" s="136"/>
      <c r="G2882" s="81"/>
      <c r="H2882" s="81"/>
      <c r="I2882" s="81"/>
      <c r="J2882" s="81"/>
      <c r="K2882" s="81"/>
      <c r="L2882" s="81"/>
      <c r="M2882" s="81"/>
      <c r="N2882" s="81"/>
    </row>
    <row r="2883" spans="1:14" ht="14.25" customHeight="1" thickBot="1" x14ac:dyDescent="0.3">
      <c r="A2883" s="81"/>
      <c r="B2883" s="81"/>
      <c r="C2883" s="81"/>
      <c r="D2883" s="81"/>
      <c r="E2883" s="81"/>
      <c r="F2883" s="81"/>
      <c r="G2883" s="81"/>
      <c r="H2883" s="81"/>
      <c r="I2883" s="81"/>
      <c r="J2883" s="81"/>
      <c r="K2883" s="81"/>
      <c r="L2883" s="81"/>
      <c r="M2883" s="81"/>
      <c r="N2883" s="81"/>
    </row>
    <row r="2884" spans="1:14" ht="14.25" customHeight="1" x14ac:dyDescent="0.25">
      <c r="A2884" s="83"/>
      <c r="B2884" s="84"/>
      <c r="C2884" s="85"/>
      <c r="D2884" s="86"/>
      <c r="E2884" s="86"/>
      <c r="F2884" s="87"/>
      <c r="G2884" s="81"/>
      <c r="H2884" s="81"/>
      <c r="I2884" s="81"/>
      <c r="J2884" s="81"/>
      <c r="K2884" s="81"/>
      <c r="L2884" s="81"/>
      <c r="M2884" s="81"/>
      <c r="N2884" s="81"/>
    </row>
    <row r="2885" spans="1:14" ht="14.25" customHeight="1" x14ac:dyDescent="0.25">
      <c r="A2885" s="599"/>
      <c r="B2885" s="600"/>
      <c r="C2885" s="600"/>
      <c r="D2885" s="600"/>
      <c r="E2885" s="600"/>
      <c r="F2885" s="601"/>
      <c r="G2885" s="81"/>
      <c r="H2885" s="81"/>
      <c r="I2885" s="81"/>
      <c r="J2885" s="81"/>
      <c r="K2885" s="81"/>
      <c r="L2885" s="81"/>
      <c r="M2885" s="81"/>
      <c r="N2885" s="81"/>
    </row>
    <row r="2886" spans="1:14" ht="14.25" customHeight="1" x14ac:dyDescent="0.25">
      <c r="A2886" s="602" t="s">
        <v>561</v>
      </c>
      <c r="B2886" s="600"/>
      <c r="C2886" s="600"/>
      <c r="D2886" s="600"/>
      <c r="E2886" s="600"/>
      <c r="F2886" s="601"/>
      <c r="G2886" s="81"/>
      <c r="H2886" s="81"/>
      <c r="I2886" s="81"/>
      <c r="J2886" s="81"/>
      <c r="K2886" s="81"/>
      <c r="L2886" s="81"/>
      <c r="M2886" s="81"/>
      <c r="N2886" s="81"/>
    </row>
    <row r="2887" spans="1:14" ht="14.25" customHeight="1" thickBot="1" x14ac:dyDescent="0.3">
      <c r="A2887" s="603"/>
      <c r="B2887" s="604"/>
      <c r="C2887" s="604"/>
      <c r="D2887" s="604"/>
      <c r="E2887" s="604"/>
      <c r="F2887" s="605"/>
      <c r="G2887" s="81"/>
      <c r="H2887" s="81"/>
      <c r="I2887" s="81"/>
      <c r="J2887" s="81"/>
      <c r="K2887" s="81"/>
      <c r="L2887" s="81"/>
      <c r="M2887" s="81"/>
      <c r="N2887" s="81"/>
    </row>
    <row r="2888" spans="1:14" ht="14.25" customHeight="1" x14ac:dyDescent="0.25">
      <c r="A2888" s="88"/>
      <c r="B2888" s="88"/>
      <c r="C2888" s="89"/>
      <c r="D2888" s="89"/>
      <c r="E2888" s="89"/>
      <c r="F2888" s="89"/>
      <c r="G2888" s="81"/>
      <c r="H2888" s="81"/>
      <c r="I2888" s="81"/>
      <c r="J2888" s="81"/>
      <c r="K2888" s="81"/>
      <c r="L2888" s="81"/>
      <c r="M2888" s="81"/>
      <c r="N2888" s="81"/>
    </row>
    <row r="2889" spans="1:14" ht="14.25" customHeight="1" x14ac:dyDescent="0.25">
      <c r="A2889" s="90" t="s">
        <v>47</v>
      </c>
      <c r="B2889" s="613" t="s">
        <v>152</v>
      </c>
      <c r="C2889" s="600"/>
      <c r="D2889" s="600"/>
      <c r="E2889" s="600"/>
      <c r="F2889" s="600"/>
      <c r="G2889" s="81"/>
      <c r="H2889" s="81"/>
      <c r="I2889" s="81"/>
      <c r="J2889" s="81"/>
      <c r="K2889" s="81"/>
      <c r="L2889" s="81"/>
      <c r="M2889" s="81"/>
      <c r="N2889" s="81"/>
    </row>
    <row r="2890" spans="1:14" ht="14.25" customHeight="1" x14ac:dyDescent="0.25">
      <c r="A2890" s="91"/>
      <c r="B2890" s="91"/>
      <c r="C2890" s="91"/>
      <c r="D2890" s="91"/>
      <c r="E2890" s="91"/>
      <c r="F2890" s="91"/>
      <c r="G2890" s="81"/>
      <c r="H2890" s="81"/>
      <c r="I2890" s="81"/>
      <c r="J2890" s="81"/>
      <c r="K2890" s="81"/>
      <c r="L2890" s="81"/>
      <c r="M2890" s="81"/>
      <c r="N2890" s="81"/>
    </row>
    <row r="2891" spans="1:14" ht="14.25" customHeight="1" x14ac:dyDescent="0.25">
      <c r="A2891" s="88" t="s">
        <v>49</v>
      </c>
      <c r="B2891" s="92" t="s">
        <v>56</v>
      </c>
      <c r="C2891" s="89"/>
      <c r="D2891" s="89"/>
      <c r="E2891" s="89"/>
      <c r="F2891" s="93"/>
      <c r="G2891" s="81"/>
      <c r="H2891" s="81"/>
      <c r="I2891" s="81"/>
      <c r="J2891" s="81"/>
      <c r="K2891" s="81"/>
      <c r="L2891" s="81"/>
      <c r="M2891" s="81"/>
      <c r="N2891" s="81"/>
    </row>
    <row r="2892" spans="1:14" ht="14.25" customHeight="1" x14ac:dyDescent="0.25">
      <c r="A2892" s="88"/>
      <c r="B2892" s="94"/>
      <c r="C2892" s="89"/>
      <c r="D2892" s="89"/>
      <c r="E2892" s="89"/>
      <c r="F2892" s="93"/>
      <c r="G2892" s="81"/>
      <c r="H2892" s="81"/>
      <c r="I2892" s="81"/>
      <c r="J2892" s="81"/>
      <c r="K2892" s="81"/>
      <c r="L2892" s="81"/>
      <c r="M2892" s="81"/>
      <c r="N2892" s="81"/>
    </row>
    <row r="2893" spans="1:14" ht="14.25" customHeight="1" x14ac:dyDescent="0.25">
      <c r="A2893" s="95" t="s">
        <v>562</v>
      </c>
      <c r="B2893" s="96"/>
      <c r="C2893" s="92"/>
      <c r="D2893" s="92"/>
      <c r="E2893" s="92"/>
      <c r="F2893" s="92"/>
      <c r="G2893" s="81"/>
      <c r="H2893" s="81"/>
      <c r="I2893" s="81"/>
      <c r="J2893" s="81"/>
      <c r="K2893" s="81"/>
      <c r="L2893" s="81"/>
      <c r="M2893" s="81"/>
      <c r="N2893" s="81"/>
    </row>
    <row r="2894" spans="1:14" ht="14.25" customHeight="1" x14ac:dyDescent="0.25">
      <c r="A2894" s="97" t="s">
        <v>563</v>
      </c>
      <c r="B2894" s="98" t="s">
        <v>564</v>
      </c>
      <c r="C2894" s="98" t="s">
        <v>565</v>
      </c>
      <c r="D2894" s="98" t="s">
        <v>566</v>
      </c>
      <c r="E2894" s="98" t="s">
        <v>567</v>
      </c>
      <c r="F2894" s="98" t="s">
        <v>568</v>
      </c>
      <c r="G2894" s="81"/>
      <c r="H2894" s="81"/>
      <c r="I2894" s="81"/>
      <c r="J2894" s="81"/>
      <c r="K2894" s="81"/>
      <c r="L2894" s="81"/>
      <c r="M2894" s="81"/>
      <c r="N2894" s="81"/>
    </row>
    <row r="2895" spans="1:14" ht="14.25" customHeight="1" x14ac:dyDescent="0.25">
      <c r="A2895" s="99" t="s">
        <v>611</v>
      </c>
      <c r="B2895" s="100" t="s">
        <v>612</v>
      </c>
      <c r="C2895" s="101">
        <v>12</v>
      </c>
      <c r="D2895" s="104">
        <v>28</v>
      </c>
      <c r="E2895" s="102">
        <v>0.05</v>
      </c>
      <c r="F2895" s="101">
        <f t="shared" ref="F2895:F2898" si="156">C2895*(D2895+(D2895*E2895))</f>
        <v>352.79999999999995</v>
      </c>
      <c r="G2895" s="81"/>
      <c r="H2895" s="81"/>
      <c r="I2895" s="81"/>
      <c r="J2895" s="81"/>
      <c r="K2895" s="81"/>
      <c r="L2895" s="81"/>
      <c r="M2895" s="81"/>
      <c r="N2895" s="81"/>
    </row>
    <row r="2896" spans="1:14" ht="14.25" customHeight="1" x14ac:dyDescent="0.25">
      <c r="A2896" s="99" t="s">
        <v>678</v>
      </c>
      <c r="B2896" s="100" t="s">
        <v>651</v>
      </c>
      <c r="C2896" s="101">
        <v>15000</v>
      </c>
      <c r="D2896" s="149">
        <v>0.18</v>
      </c>
      <c r="E2896" s="102">
        <v>0.05</v>
      </c>
      <c r="F2896" s="101">
        <f t="shared" si="156"/>
        <v>2835</v>
      </c>
      <c r="G2896" s="81"/>
      <c r="H2896" s="81"/>
      <c r="I2896" s="81"/>
      <c r="J2896" s="81"/>
      <c r="K2896" s="81"/>
      <c r="L2896" s="81"/>
      <c r="M2896" s="81"/>
      <c r="N2896" s="81"/>
    </row>
    <row r="2897" spans="1:14" ht="14.25" customHeight="1" x14ac:dyDescent="0.25">
      <c r="A2897" s="99" t="s">
        <v>679</v>
      </c>
      <c r="B2897" s="100" t="s">
        <v>117</v>
      </c>
      <c r="C2897" s="101">
        <v>8500</v>
      </c>
      <c r="D2897" s="149">
        <v>0.1</v>
      </c>
      <c r="E2897" s="102">
        <v>0.05</v>
      </c>
      <c r="F2897" s="101">
        <f t="shared" si="156"/>
        <v>892.50000000000011</v>
      </c>
      <c r="G2897" s="81"/>
      <c r="H2897" s="81"/>
      <c r="I2897" s="81"/>
      <c r="J2897" s="81"/>
      <c r="K2897" s="81"/>
      <c r="L2897" s="81"/>
      <c r="M2897" s="81"/>
      <c r="N2897" s="81"/>
    </row>
    <row r="2898" spans="1:14" ht="14.25" customHeight="1" x14ac:dyDescent="0.25">
      <c r="A2898" s="99"/>
      <c r="B2898" s="100"/>
      <c r="C2898" s="101"/>
      <c r="D2898" s="149"/>
      <c r="E2898" s="102"/>
      <c r="F2898" s="101">
        <f t="shared" si="156"/>
        <v>0</v>
      </c>
      <c r="G2898" s="81"/>
      <c r="H2898" s="81"/>
      <c r="I2898" s="81"/>
      <c r="J2898" s="81"/>
      <c r="K2898" s="81"/>
      <c r="L2898" s="81"/>
      <c r="M2898" s="81"/>
      <c r="N2898" s="81"/>
    </row>
    <row r="2899" spans="1:14" ht="14.25" customHeight="1" x14ac:dyDescent="0.25">
      <c r="A2899" s="99"/>
      <c r="B2899" s="100"/>
      <c r="C2899" s="101"/>
      <c r="D2899" s="104"/>
      <c r="E2899" s="102"/>
      <c r="F2899" s="101"/>
      <c r="G2899" s="81"/>
      <c r="H2899" s="81"/>
      <c r="I2899" s="81"/>
      <c r="J2899" s="81"/>
      <c r="K2899" s="81"/>
      <c r="L2899" s="81"/>
      <c r="M2899" s="81"/>
      <c r="N2899" s="81"/>
    </row>
    <row r="2900" spans="1:14" ht="14.25" customHeight="1" x14ac:dyDescent="0.25">
      <c r="A2900" s="99"/>
      <c r="B2900" s="100"/>
      <c r="C2900" s="106"/>
      <c r="D2900" s="107"/>
      <c r="E2900" s="108"/>
      <c r="F2900" s="106"/>
      <c r="G2900" s="81"/>
      <c r="H2900" s="81"/>
      <c r="I2900" s="81"/>
      <c r="J2900" s="81"/>
      <c r="K2900" s="81"/>
      <c r="L2900" s="81"/>
      <c r="M2900" s="81"/>
      <c r="N2900" s="81"/>
    </row>
    <row r="2901" spans="1:14" ht="14.25" customHeight="1" x14ac:dyDescent="0.25">
      <c r="A2901" s="97" t="s">
        <v>548</v>
      </c>
      <c r="B2901" s="97"/>
      <c r="C2901" s="109"/>
      <c r="D2901" s="110"/>
      <c r="E2901" s="111"/>
      <c r="F2901" s="112">
        <f>SUM(F2895:F2900)</f>
        <v>4080.3</v>
      </c>
      <c r="G2901" s="81"/>
      <c r="H2901" s="81"/>
      <c r="I2901" s="81"/>
      <c r="J2901" s="81"/>
      <c r="K2901" s="81"/>
      <c r="L2901" s="81"/>
      <c r="M2901" s="81"/>
      <c r="N2901" s="81"/>
    </row>
    <row r="2902" spans="1:14" ht="14.25" customHeight="1" x14ac:dyDescent="0.25">
      <c r="A2902" s="88"/>
      <c r="B2902" s="88"/>
      <c r="C2902" s="113"/>
      <c r="D2902" s="113"/>
      <c r="E2902" s="114"/>
      <c r="F2902" s="113"/>
      <c r="G2902" s="81"/>
      <c r="H2902" s="81"/>
      <c r="I2902" s="81"/>
      <c r="J2902" s="81"/>
      <c r="K2902" s="81"/>
      <c r="L2902" s="81"/>
      <c r="M2902" s="81"/>
      <c r="N2902" s="81"/>
    </row>
    <row r="2903" spans="1:14" ht="14.25" customHeight="1" x14ac:dyDescent="0.25">
      <c r="A2903" s="96" t="s">
        <v>573</v>
      </c>
      <c r="B2903" s="96"/>
      <c r="C2903" s="92"/>
      <c r="D2903" s="92"/>
      <c r="E2903" s="92"/>
      <c r="F2903" s="92"/>
      <c r="G2903" s="81"/>
      <c r="H2903" s="81"/>
      <c r="I2903" s="81"/>
      <c r="J2903" s="81"/>
      <c r="K2903" s="81"/>
      <c r="L2903" s="81"/>
      <c r="M2903" s="81"/>
      <c r="N2903" s="81"/>
    </row>
    <row r="2904" spans="1:14" ht="14.25" customHeight="1" x14ac:dyDescent="0.25">
      <c r="A2904" s="611" t="s">
        <v>563</v>
      </c>
      <c r="B2904" s="608"/>
      <c r="C2904" s="609"/>
      <c r="D2904" s="98" t="s">
        <v>574</v>
      </c>
      <c r="E2904" s="98" t="s">
        <v>575</v>
      </c>
      <c r="F2904" s="98" t="s">
        <v>568</v>
      </c>
      <c r="G2904" s="81"/>
      <c r="H2904" s="81"/>
      <c r="I2904" s="81"/>
      <c r="J2904" s="81"/>
      <c r="K2904" s="81"/>
      <c r="L2904" s="81"/>
      <c r="M2904" s="81"/>
      <c r="N2904" s="81"/>
    </row>
    <row r="2905" spans="1:14" ht="14.25" customHeight="1" x14ac:dyDescent="0.25">
      <c r="A2905" s="607" t="s">
        <v>577</v>
      </c>
      <c r="B2905" s="608"/>
      <c r="C2905" s="609"/>
      <c r="D2905" s="116"/>
      <c r="E2905" s="107"/>
      <c r="F2905" s="106">
        <f>+F2918*5%</f>
        <v>225.25528606965173</v>
      </c>
      <c r="G2905" s="81"/>
      <c r="H2905" s="81"/>
      <c r="I2905" s="81"/>
      <c r="J2905" s="81"/>
      <c r="K2905" s="81"/>
      <c r="L2905" s="81"/>
      <c r="M2905" s="81"/>
      <c r="N2905" s="81"/>
    </row>
    <row r="2906" spans="1:14" ht="14.25" customHeight="1" x14ac:dyDescent="0.25">
      <c r="A2906" s="607" t="s">
        <v>680</v>
      </c>
      <c r="B2906" s="608"/>
      <c r="C2906" s="609"/>
      <c r="D2906" s="142">
        <v>5250</v>
      </c>
      <c r="E2906" s="107">
        <v>5</v>
      </c>
      <c r="F2906" s="106">
        <f>D2906/E2906</f>
        <v>1050</v>
      </c>
      <c r="G2906" s="81"/>
      <c r="H2906" s="81"/>
      <c r="I2906" s="81"/>
      <c r="J2906" s="81"/>
      <c r="K2906" s="81"/>
      <c r="L2906" s="81"/>
      <c r="M2906" s="81"/>
      <c r="N2906" s="81"/>
    </row>
    <row r="2907" spans="1:14" ht="14.25" customHeight="1" x14ac:dyDescent="0.25">
      <c r="A2907" s="607"/>
      <c r="B2907" s="608"/>
      <c r="C2907" s="609"/>
      <c r="D2907" s="142"/>
      <c r="E2907" s="105"/>
      <c r="F2907" s="106"/>
      <c r="G2907" s="81"/>
      <c r="H2907" s="81"/>
      <c r="I2907" s="81"/>
      <c r="J2907" s="81"/>
      <c r="K2907" s="81"/>
      <c r="L2907" s="81"/>
      <c r="M2907" s="81"/>
      <c r="N2907" s="81"/>
    </row>
    <row r="2908" spans="1:14" ht="14.25" customHeight="1" x14ac:dyDescent="0.25">
      <c r="A2908" s="607"/>
      <c r="B2908" s="608"/>
      <c r="C2908" s="609"/>
      <c r="D2908" s="142"/>
      <c r="E2908" s="107"/>
      <c r="F2908" s="106"/>
      <c r="G2908" s="81"/>
      <c r="H2908" s="81"/>
      <c r="I2908" s="81"/>
      <c r="J2908" s="81"/>
      <c r="K2908" s="81"/>
      <c r="L2908" s="81"/>
      <c r="M2908" s="81"/>
      <c r="N2908" s="81"/>
    </row>
    <row r="2909" spans="1:14" ht="14.25" customHeight="1" x14ac:dyDescent="0.25">
      <c r="A2909" s="610"/>
      <c r="B2909" s="608"/>
      <c r="C2909" s="609"/>
      <c r="D2909" s="115"/>
      <c r="E2909" s="107"/>
      <c r="F2909" s="106"/>
      <c r="G2909" s="81"/>
      <c r="H2909" s="81"/>
      <c r="I2909" s="81"/>
      <c r="J2909" s="81"/>
      <c r="K2909" s="81"/>
      <c r="L2909" s="81"/>
      <c r="M2909" s="81"/>
      <c r="N2909" s="81"/>
    </row>
    <row r="2910" spans="1:14" ht="14.25" customHeight="1" x14ac:dyDescent="0.25">
      <c r="A2910" s="611" t="s">
        <v>548</v>
      </c>
      <c r="B2910" s="608"/>
      <c r="C2910" s="609"/>
      <c r="D2910" s="110"/>
      <c r="E2910" s="110"/>
      <c r="F2910" s="112">
        <f>SUM(F2905:F2908)</f>
        <v>1275.2552860696517</v>
      </c>
      <c r="G2910" s="81"/>
      <c r="H2910" s="81"/>
      <c r="I2910" s="81"/>
      <c r="J2910" s="81"/>
      <c r="K2910" s="81"/>
      <c r="L2910" s="81"/>
      <c r="M2910" s="81"/>
      <c r="N2910" s="81"/>
    </row>
    <row r="2911" spans="1:14" ht="14.25" customHeight="1" x14ac:dyDescent="0.25">
      <c r="A2911" s="88"/>
      <c r="B2911" s="88"/>
      <c r="C2911" s="89"/>
      <c r="D2911" s="113"/>
      <c r="E2911" s="113"/>
      <c r="F2911" s="113"/>
      <c r="G2911" s="81"/>
      <c r="H2911" s="81"/>
      <c r="I2911" s="81"/>
      <c r="J2911" s="81"/>
      <c r="K2911" s="81"/>
      <c r="L2911" s="81"/>
      <c r="M2911" s="81"/>
      <c r="N2911" s="81"/>
    </row>
    <row r="2912" spans="1:14" ht="14.25" customHeight="1" x14ac:dyDescent="0.25">
      <c r="A2912" s="96" t="s">
        <v>578</v>
      </c>
      <c r="B2912" s="96"/>
      <c r="C2912" s="92"/>
      <c r="D2912" s="118"/>
      <c r="E2912" s="118"/>
      <c r="F2912" s="118"/>
      <c r="G2912" s="81"/>
      <c r="H2912" s="81"/>
      <c r="I2912" s="81"/>
      <c r="J2912" s="81"/>
      <c r="K2912" s="81"/>
      <c r="L2912" s="81"/>
      <c r="M2912" s="81"/>
      <c r="N2912" s="81"/>
    </row>
    <row r="2913" spans="1:14" ht="14.25" customHeight="1" x14ac:dyDescent="0.25">
      <c r="A2913" s="119" t="s">
        <v>563</v>
      </c>
      <c r="B2913" s="120" t="s">
        <v>579</v>
      </c>
      <c r="C2913" s="120" t="s">
        <v>580</v>
      </c>
      <c r="D2913" s="121" t="s">
        <v>581</v>
      </c>
      <c r="E2913" s="121" t="s">
        <v>575</v>
      </c>
      <c r="F2913" s="121" t="s">
        <v>568</v>
      </c>
      <c r="G2913" s="81"/>
      <c r="H2913" s="81"/>
      <c r="I2913" s="81"/>
      <c r="J2913" s="81"/>
      <c r="K2913" s="81"/>
      <c r="L2913" s="81"/>
      <c r="M2913" s="81"/>
      <c r="N2913" s="81"/>
    </row>
    <row r="2914" spans="1:14" ht="14.25" customHeight="1" x14ac:dyDescent="0.25">
      <c r="A2914" s="122" t="s">
        <v>593</v>
      </c>
      <c r="B2914" s="127">
        <v>1</v>
      </c>
      <c r="C2914" s="101">
        <v>32688</v>
      </c>
      <c r="D2914" s="101">
        <f t="shared" ref="D2914:D2915" si="157">+C2914*1.7</f>
        <v>55569.599999999999</v>
      </c>
      <c r="E2914" s="107">
        <v>32.159999999999997</v>
      </c>
      <c r="F2914" s="106">
        <f t="shared" ref="F2914:F2915" si="158">+B2914*(D2914)/E2914</f>
        <v>1727.9104477611941</v>
      </c>
      <c r="G2914" s="81"/>
      <c r="H2914" s="81"/>
      <c r="I2914" s="81"/>
      <c r="J2914" s="81"/>
      <c r="K2914" s="81"/>
      <c r="L2914" s="81"/>
      <c r="M2914" s="81"/>
      <c r="N2914" s="81"/>
    </row>
    <row r="2915" spans="1:14" ht="14.25" customHeight="1" x14ac:dyDescent="0.25">
      <c r="A2915" s="122" t="s">
        <v>594</v>
      </c>
      <c r="B2915" s="127">
        <v>1</v>
      </c>
      <c r="C2915" s="101">
        <v>52538</v>
      </c>
      <c r="D2915" s="101">
        <f t="shared" si="157"/>
        <v>89314.599999999991</v>
      </c>
      <c r="E2915" s="107">
        <f>E2914</f>
        <v>32.159999999999997</v>
      </c>
      <c r="F2915" s="106">
        <f t="shared" si="158"/>
        <v>2777.1952736318408</v>
      </c>
      <c r="G2915" s="81"/>
      <c r="H2915" s="81"/>
      <c r="I2915" s="81"/>
      <c r="J2915" s="81"/>
      <c r="K2915" s="81"/>
      <c r="L2915" s="81"/>
      <c r="M2915" s="81"/>
      <c r="N2915" s="81"/>
    </row>
    <row r="2916" spans="1:14" ht="14.25" customHeight="1" x14ac:dyDescent="0.25">
      <c r="A2916" s="122"/>
      <c r="B2916" s="127"/>
      <c r="C2916" s="101"/>
      <c r="D2916" s="101"/>
      <c r="E2916" s="105"/>
      <c r="F2916" s="106"/>
      <c r="G2916" s="81"/>
      <c r="H2916" s="81"/>
      <c r="I2916" s="81"/>
      <c r="J2916" s="81"/>
      <c r="K2916" s="81"/>
      <c r="L2916" s="81"/>
      <c r="M2916" s="81"/>
      <c r="N2916" s="81"/>
    </row>
    <row r="2917" spans="1:14" ht="14.25" customHeight="1" x14ac:dyDescent="0.25">
      <c r="A2917" s="122"/>
      <c r="B2917" s="127"/>
      <c r="C2917" s="101"/>
      <c r="D2917" s="101"/>
      <c r="E2917" s="125"/>
      <c r="F2917" s="106"/>
      <c r="G2917" s="81"/>
      <c r="H2917" s="81"/>
      <c r="I2917" s="81"/>
      <c r="J2917" s="81"/>
      <c r="K2917" s="81"/>
      <c r="L2917" s="81"/>
      <c r="M2917" s="81"/>
      <c r="N2917" s="81"/>
    </row>
    <row r="2918" spans="1:14" ht="14.25" customHeight="1" x14ac:dyDescent="0.25">
      <c r="A2918" s="97" t="s">
        <v>548</v>
      </c>
      <c r="B2918" s="128"/>
      <c r="C2918" s="110"/>
      <c r="D2918" s="110"/>
      <c r="E2918" s="110"/>
      <c r="F2918" s="112">
        <f>SUM(F2914:F2917)</f>
        <v>4505.1057213930344</v>
      </c>
      <c r="G2918" s="81"/>
      <c r="H2918" s="81"/>
      <c r="I2918" s="81"/>
      <c r="J2918" s="81"/>
      <c r="K2918" s="81"/>
      <c r="L2918" s="81"/>
      <c r="M2918" s="81"/>
      <c r="N2918" s="81"/>
    </row>
    <row r="2919" spans="1:14" ht="14.25" customHeight="1" x14ac:dyDescent="0.25">
      <c r="A2919" s="96"/>
      <c r="B2919" s="129"/>
      <c r="C2919" s="118"/>
      <c r="D2919" s="118"/>
      <c r="E2919" s="118"/>
      <c r="F2919" s="118"/>
      <c r="G2919" s="81"/>
      <c r="H2919" s="81"/>
      <c r="I2919" s="81"/>
      <c r="J2919" s="81"/>
      <c r="K2919" s="81"/>
      <c r="L2919" s="81"/>
      <c r="M2919" s="81"/>
      <c r="N2919" s="81"/>
    </row>
    <row r="2920" spans="1:14" ht="14.25" customHeight="1" x14ac:dyDescent="0.25">
      <c r="A2920" s="95" t="s">
        <v>583</v>
      </c>
      <c r="B2920" s="96"/>
      <c r="C2920" s="92"/>
      <c r="D2920" s="92"/>
      <c r="E2920" s="92" t="s">
        <v>584</v>
      </c>
      <c r="F2920" s="92"/>
      <c r="G2920" s="81"/>
      <c r="H2920" s="81"/>
      <c r="I2920" s="81"/>
      <c r="J2920" s="81"/>
      <c r="K2920" s="81"/>
      <c r="L2920" s="81"/>
      <c r="M2920" s="81"/>
      <c r="N2920" s="81"/>
    </row>
    <row r="2921" spans="1:14" ht="14.25" customHeight="1" x14ac:dyDescent="0.25">
      <c r="A2921" s="97" t="s">
        <v>563</v>
      </c>
      <c r="B2921" s="98" t="s">
        <v>564</v>
      </c>
      <c r="C2921" s="98" t="s">
        <v>585</v>
      </c>
      <c r="D2921" s="98" t="s">
        <v>586</v>
      </c>
      <c r="E2921" s="120" t="s">
        <v>587</v>
      </c>
      <c r="F2921" s="98" t="s">
        <v>568</v>
      </c>
      <c r="G2921" s="81"/>
      <c r="H2921" s="81"/>
      <c r="I2921" s="81"/>
      <c r="J2921" s="81"/>
      <c r="K2921" s="81"/>
      <c r="L2921" s="81"/>
      <c r="M2921" s="81"/>
      <c r="N2921" s="81"/>
    </row>
    <row r="2922" spans="1:14" ht="14.25" customHeight="1" x14ac:dyDescent="0.25">
      <c r="A2922" s="103"/>
      <c r="B2922" s="100"/>
      <c r="C2922" s="101"/>
      <c r="D2922" s="140"/>
      <c r="E2922" s="107"/>
      <c r="F2922" s="109"/>
      <c r="G2922" s="81"/>
      <c r="H2922" s="81"/>
      <c r="I2922" s="81"/>
      <c r="J2922" s="81"/>
      <c r="K2922" s="81"/>
      <c r="L2922" s="81"/>
      <c r="M2922" s="81"/>
      <c r="N2922" s="81"/>
    </row>
    <row r="2923" spans="1:14" ht="14.25" customHeight="1" x14ac:dyDescent="0.25">
      <c r="A2923" s="103"/>
      <c r="B2923" s="100"/>
      <c r="C2923" s="107"/>
      <c r="D2923" s="107"/>
      <c r="E2923" s="108"/>
      <c r="F2923" s="109"/>
      <c r="G2923" s="81"/>
      <c r="H2923" s="81"/>
      <c r="I2923" s="81"/>
      <c r="J2923" s="81"/>
      <c r="K2923" s="81"/>
      <c r="L2923" s="81"/>
      <c r="M2923" s="81"/>
      <c r="N2923" s="81"/>
    </row>
    <row r="2924" spans="1:14" ht="14.25" customHeight="1" x14ac:dyDescent="0.25">
      <c r="A2924" s="97" t="s">
        <v>548</v>
      </c>
      <c r="B2924" s="98"/>
      <c r="C2924" s="110"/>
      <c r="D2924" s="110"/>
      <c r="E2924" s="111"/>
      <c r="F2924" s="112">
        <f>SUM(F2922:F2923)</f>
        <v>0</v>
      </c>
      <c r="G2924" s="81"/>
      <c r="H2924" s="81"/>
      <c r="I2924" s="81"/>
      <c r="J2924" s="81"/>
      <c r="K2924" s="81"/>
      <c r="L2924" s="81"/>
      <c r="M2924" s="81"/>
      <c r="N2924" s="81"/>
    </row>
    <row r="2925" spans="1:14" ht="14.25" customHeight="1" x14ac:dyDescent="0.25">
      <c r="A2925" s="88"/>
      <c r="B2925" s="89"/>
      <c r="C2925" s="113"/>
      <c r="D2925" s="113"/>
      <c r="E2925" s="114"/>
      <c r="F2925" s="113"/>
      <c r="G2925" s="81"/>
      <c r="H2925" s="81"/>
      <c r="I2925" s="81"/>
      <c r="J2925" s="81"/>
      <c r="K2925" s="81"/>
      <c r="L2925" s="81"/>
      <c r="M2925" s="81"/>
      <c r="N2925" s="81"/>
    </row>
    <row r="2926" spans="1:14" ht="14.25" customHeight="1" x14ac:dyDescent="0.25">
      <c r="A2926" s="88"/>
      <c r="B2926" s="89"/>
      <c r="C2926" s="113"/>
      <c r="D2926" s="113"/>
      <c r="E2926" s="114"/>
      <c r="F2926" s="113"/>
      <c r="G2926" s="81"/>
      <c r="H2926" s="81"/>
      <c r="I2926" s="81"/>
      <c r="J2926" s="81"/>
      <c r="K2926" s="81"/>
      <c r="L2926" s="81"/>
      <c r="M2926" s="81"/>
      <c r="N2926" s="81"/>
    </row>
    <row r="2927" spans="1:14" ht="14.25" customHeight="1" x14ac:dyDescent="0.25">
      <c r="A2927" s="612" t="s">
        <v>588</v>
      </c>
      <c r="B2927" s="608"/>
      <c r="C2927" s="608"/>
      <c r="D2927" s="608"/>
      <c r="E2927" s="609"/>
      <c r="F2927" s="131">
        <f>ROUND(F2901+F2910+F2918+F2924,0)</f>
        <v>9861</v>
      </c>
      <c r="G2927" s="81"/>
      <c r="H2927" s="81"/>
      <c r="I2927" s="81"/>
      <c r="J2927" s="81"/>
      <c r="K2927" s="81"/>
      <c r="L2927" s="81"/>
      <c r="M2927" s="81"/>
      <c r="N2927" s="81"/>
    </row>
    <row r="2928" spans="1:14" ht="14.25" customHeight="1" x14ac:dyDescent="0.25">
      <c r="A2928" s="612" t="s">
        <v>589</v>
      </c>
      <c r="B2928" s="608"/>
      <c r="C2928" s="608"/>
      <c r="D2928" s="608"/>
      <c r="E2928" s="609"/>
      <c r="F2928" s="132"/>
      <c r="G2928" s="81"/>
      <c r="H2928" s="81"/>
      <c r="I2928" s="81"/>
      <c r="J2928" s="81"/>
      <c r="K2928" s="81"/>
      <c r="L2928" s="81"/>
      <c r="M2928" s="81"/>
      <c r="N2928" s="81"/>
    </row>
    <row r="2929" spans="1:14" ht="14.25" customHeight="1" x14ac:dyDescent="0.25">
      <c r="A2929" s="146" t="s">
        <v>556</v>
      </c>
      <c r="B2929" s="147"/>
      <c r="C2929" s="147"/>
      <c r="D2929" s="147"/>
      <c r="E2929" s="148"/>
      <c r="F2929" s="133"/>
      <c r="G2929" s="81"/>
      <c r="H2929" s="81"/>
      <c r="I2929" s="81"/>
      <c r="J2929" s="81"/>
      <c r="K2929" s="81"/>
      <c r="L2929" s="81"/>
      <c r="M2929" s="81"/>
      <c r="N2929" s="81"/>
    </row>
    <row r="2930" spans="1:14" ht="14.25" customHeight="1" x14ac:dyDescent="0.25">
      <c r="A2930" s="134"/>
      <c r="B2930" s="135"/>
      <c r="C2930" s="135"/>
      <c r="D2930" s="135"/>
      <c r="E2930" s="135"/>
      <c r="F2930" s="136"/>
      <c r="G2930" s="81"/>
      <c r="H2930" s="81"/>
      <c r="I2930" s="81"/>
      <c r="J2930" s="81"/>
      <c r="K2930" s="81"/>
      <c r="L2930" s="81"/>
      <c r="M2930" s="81"/>
      <c r="N2930" s="81"/>
    </row>
    <row r="2931" spans="1:14" ht="14.25" customHeight="1" x14ac:dyDescent="0.25">
      <c r="A2931" s="81"/>
      <c r="B2931" s="81"/>
      <c r="C2931" s="137"/>
      <c r="D2931" s="81"/>
      <c r="E2931" s="81"/>
      <c r="F2931" s="81"/>
      <c r="G2931" s="81"/>
      <c r="H2931" s="81"/>
      <c r="I2931" s="81"/>
      <c r="J2931" s="81"/>
      <c r="K2931" s="81"/>
      <c r="L2931" s="81"/>
      <c r="M2931" s="81"/>
      <c r="N2931" s="81"/>
    </row>
    <row r="2932" spans="1:14" ht="14.25" customHeight="1" x14ac:dyDescent="0.25">
      <c r="A2932" s="81"/>
      <c r="B2932" s="81"/>
      <c r="C2932" s="137"/>
      <c r="D2932" s="81"/>
      <c r="E2932" s="81"/>
      <c r="F2932" s="81"/>
      <c r="G2932" s="81"/>
      <c r="H2932" s="81"/>
      <c r="I2932" s="81"/>
      <c r="J2932" s="81"/>
      <c r="K2932" s="81"/>
      <c r="L2932" s="81"/>
      <c r="M2932" s="81"/>
      <c r="N2932" s="81"/>
    </row>
    <row r="2933" spans="1:14" ht="14.25" customHeight="1" x14ac:dyDescent="0.25">
      <c r="A2933" s="81"/>
      <c r="B2933" s="81"/>
      <c r="C2933" s="137"/>
      <c r="D2933" s="81"/>
      <c r="E2933" s="81"/>
      <c r="F2933" s="81"/>
      <c r="G2933" s="81"/>
      <c r="H2933" s="81"/>
      <c r="I2933" s="81"/>
      <c r="J2933" s="81"/>
      <c r="K2933" s="81"/>
      <c r="L2933" s="81"/>
      <c r="M2933" s="81"/>
      <c r="N2933" s="81"/>
    </row>
    <row r="2934" spans="1:14" ht="14.25" customHeight="1" x14ac:dyDescent="0.25">
      <c r="A2934" s="81"/>
      <c r="B2934" s="81"/>
      <c r="C2934" s="137"/>
      <c r="D2934" s="81"/>
      <c r="E2934" s="81"/>
      <c r="F2934" s="81"/>
      <c r="G2934" s="81"/>
      <c r="H2934" s="81"/>
      <c r="I2934" s="81"/>
      <c r="J2934" s="81"/>
      <c r="K2934" s="81"/>
      <c r="L2934" s="81"/>
      <c r="M2934" s="81"/>
      <c r="N2934" s="81"/>
    </row>
    <row r="2935" spans="1:14" ht="14.25" customHeight="1" x14ac:dyDescent="0.25">
      <c r="A2935" s="81"/>
      <c r="B2935" s="81"/>
      <c r="C2935" s="137"/>
      <c r="D2935" s="81"/>
      <c r="E2935" s="81"/>
      <c r="F2935" s="81"/>
      <c r="G2935" s="81"/>
      <c r="H2935" s="81"/>
      <c r="I2935" s="81"/>
      <c r="J2935" s="81"/>
      <c r="K2935" s="81"/>
      <c r="L2935" s="81"/>
      <c r="M2935" s="81"/>
      <c r="N2935" s="81"/>
    </row>
    <row r="2936" spans="1:14" ht="14.25" customHeight="1" x14ac:dyDescent="0.25">
      <c r="A2936" s="81"/>
      <c r="B2936" s="81"/>
      <c r="C2936" s="137"/>
      <c r="D2936" s="81"/>
      <c r="E2936" s="81"/>
      <c r="F2936" s="81"/>
      <c r="G2936" s="81"/>
      <c r="H2936" s="81"/>
      <c r="I2936" s="81"/>
      <c r="J2936" s="81"/>
      <c r="K2936" s="81"/>
      <c r="L2936" s="81"/>
      <c r="M2936" s="81"/>
      <c r="N2936" s="81"/>
    </row>
    <row r="2937" spans="1:14" ht="14.25" customHeight="1" x14ac:dyDescent="0.25">
      <c r="A2937" s="134"/>
      <c r="B2937" s="135"/>
      <c r="C2937" s="135"/>
      <c r="D2937" s="135"/>
      <c r="E2937" s="135"/>
      <c r="F2937" s="136"/>
      <c r="G2937" s="81"/>
      <c r="H2937" s="81"/>
      <c r="I2937" s="81"/>
      <c r="J2937" s="81"/>
      <c r="K2937" s="81"/>
      <c r="L2937" s="81"/>
      <c r="M2937" s="81"/>
      <c r="N2937" s="81"/>
    </row>
    <row r="2938" spans="1:14" ht="14.25" customHeight="1" x14ac:dyDescent="0.25">
      <c r="A2938" s="134"/>
      <c r="B2938" s="135"/>
      <c r="C2938" s="135"/>
      <c r="D2938" s="135"/>
      <c r="E2938" s="135"/>
      <c r="F2938" s="136"/>
      <c r="G2938" s="81"/>
      <c r="H2938" s="81"/>
      <c r="I2938" s="81"/>
      <c r="J2938" s="81"/>
      <c r="K2938" s="81"/>
      <c r="L2938" s="81"/>
      <c r="M2938" s="81"/>
      <c r="N2938" s="81"/>
    </row>
    <row r="2939" spans="1:14" ht="14.25" customHeight="1" x14ac:dyDescent="0.25">
      <c r="A2939" s="134"/>
      <c r="B2939" s="135"/>
      <c r="C2939" s="135"/>
      <c r="D2939" s="135"/>
      <c r="E2939" s="135"/>
      <c r="F2939" s="136"/>
      <c r="G2939" s="81"/>
      <c r="H2939" s="81"/>
      <c r="I2939" s="81"/>
      <c r="J2939" s="81"/>
      <c r="K2939" s="81"/>
      <c r="L2939" s="81"/>
      <c r="M2939" s="81"/>
      <c r="N2939" s="81"/>
    </row>
    <row r="2940" spans="1:14" ht="14.25" customHeight="1" thickBot="1" x14ac:dyDescent="0.3">
      <c r="A2940" s="81"/>
      <c r="B2940" s="81"/>
      <c r="C2940" s="81"/>
      <c r="D2940" s="81"/>
      <c r="E2940" s="81"/>
      <c r="F2940" s="81"/>
      <c r="G2940" s="81"/>
      <c r="H2940" s="81"/>
      <c r="I2940" s="81"/>
      <c r="J2940" s="81"/>
      <c r="K2940" s="81"/>
      <c r="L2940" s="81"/>
      <c r="M2940" s="81"/>
      <c r="N2940" s="81"/>
    </row>
    <row r="2941" spans="1:14" ht="14.25" customHeight="1" x14ac:dyDescent="0.25">
      <c r="A2941" s="83"/>
      <c r="B2941" s="84"/>
      <c r="C2941" s="85"/>
      <c r="D2941" s="86"/>
      <c r="E2941" s="86"/>
      <c r="F2941" s="87"/>
      <c r="G2941" s="81"/>
      <c r="H2941" s="81"/>
      <c r="I2941" s="81"/>
      <c r="J2941" s="81"/>
      <c r="K2941" s="81"/>
      <c r="L2941" s="81"/>
      <c r="M2941" s="81"/>
      <c r="N2941" s="81"/>
    </row>
    <row r="2942" spans="1:14" ht="14.25" customHeight="1" x14ac:dyDescent="0.25">
      <c r="A2942" s="599"/>
      <c r="B2942" s="600"/>
      <c r="C2942" s="600"/>
      <c r="D2942" s="600"/>
      <c r="E2942" s="600"/>
      <c r="F2942" s="601"/>
      <c r="G2942" s="81"/>
      <c r="H2942" s="81"/>
      <c r="I2942" s="81"/>
      <c r="J2942" s="81"/>
      <c r="K2942" s="81"/>
      <c r="L2942" s="81"/>
      <c r="M2942" s="81"/>
      <c r="N2942" s="81"/>
    </row>
    <row r="2943" spans="1:14" ht="14.25" customHeight="1" x14ac:dyDescent="0.25">
      <c r="A2943" s="602" t="s">
        <v>561</v>
      </c>
      <c r="B2943" s="600"/>
      <c r="C2943" s="600"/>
      <c r="D2943" s="600"/>
      <c r="E2943" s="600"/>
      <c r="F2943" s="601"/>
      <c r="G2943" s="81"/>
      <c r="H2943" s="81"/>
      <c r="I2943" s="81"/>
      <c r="J2943" s="81"/>
      <c r="K2943" s="81"/>
      <c r="L2943" s="81"/>
      <c r="M2943" s="81"/>
      <c r="N2943" s="81"/>
    </row>
    <row r="2944" spans="1:14" ht="14.25" customHeight="1" thickBot="1" x14ac:dyDescent="0.3">
      <c r="A2944" s="603"/>
      <c r="B2944" s="604"/>
      <c r="C2944" s="604"/>
      <c r="D2944" s="604"/>
      <c r="E2944" s="604"/>
      <c r="F2944" s="605"/>
      <c r="G2944" s="81"/>
      <c r="H2944" s="81"/>
      <c r="I2944" s="81"/>
      <c r="J2944" s="81"/>
      <c r="K2944" s="81"/>
      <c r="L2944" s="81"/>
      <c r="M2944" s="81"/>
      <c r="N2944" s="81"/>
    </row>
    <row r="2945" spans="1:14" ht="14.25" customHeight="1" x14ac:dyDescent="0.25">
      <c r="A2945" s="88"/>
      <c r="B2945" s="88"/>
      <c r="C2945" s="89"/>
      <c r="D2945" s="89"/>
      <c r="E2945" s="89"/>
      <c r="F2945" s="89"/>
      <c r="G2945" s="81"/>
      <c r="H2945" s="81"/>
      <c r="I2945" s="81"/>
      <c r="J2945" s="81"/>
      <c r="K2945" s="81"/>
      <c r="L2945" s="81"/>
      <c r="M2945" s="81"/>
      <c r="N2945" s="81"/>
    </row>
    <row r="2946" spans="1:14" ht="14.25" customHeight="1" x14ac:dyDescent="0.25">
      <c r="A2946" s="90" t="s">
        <v>47</v>
      </c>
      <c r="B2946" s="613" t="s">
        <v>681</v>
      </c>
      <c r="C2946" s="600"/>
      <c r="D2946" s="600"/>
      <c r="E2946" s="600"/>
      <c r="F2946" s="600"/>
      <c r="G2946" s="81"/>
      <c r="H2946" s="81"/>
      <c r="I2946" s="81"/>
      <c r="J2946" s="81"/>
      <c r="K2946" s="81"/>
      <c r="L2946" s="81"/>
      <c r="M2946" s="81"/>
      <c r="N2946" s="81"/>
    </row>
    <row r="2947" spans="1:14" ht="14.25" customHeight="1" x14ac:dyDescent="0.25">
      <c r="A2947" s="91"/>
      <c r="B2947" s="91"/>
      <c r="C2947" s="91"/>
      <c r="D2947" s="91"/>
      <c r="E2947" s="91"/>
      <c r="F2947" s="91"/>
      <c r="G2947" s="81"/>
      <c r="H2947" s="81"/>
      <c r="I2947" s="81"/>
      <c r="J2947" s="81"/>
      <c r="K2947" s="81"/>
      <c r="L2947" s="81"/>
      <c r="M2947" s="81"/>
      <c r="N2947" s="81"/>
    </row>
    <row r="2948" spans="1:14" ht="14.25" customHeight="1" x14ac:dyDescent="0.25">
      <c r="A2948" s="88" t="s">
        <v>49</v>
      </c>
      <c r="B2948" s="92" t="s">
        <v>56</v>
      </c>
      <c r="C2948" s="89"/>
      <c r="D2948" s="89"/>
      <c r="E2948" s="89"/>
      <c r="F2948" s="93"/>
      <c r="G2948" s="81"/>
      <c r="H2948" s="81"/>
      <c r="I2948" s="81"/>
      <c r="J2948" s="81"/>
      <c r="K2948" s="81"/>
      <c r="L2948" s="81"/>
      <c r="M2948" s="81"/>
      <c r="N2948" s="81"/>
    </row>
    <row r="2949" spans="1:14" ht="14.25" customHeight="1" x14ac:dyDescent="0.25">
      <c r="A2949" s="88"/>
      <c r="B2949" s="94"/>
      <c r="C2949" s="89"/>
      <c r="D2949" s="89"/>
      <c r="E2949" s="89"/>
      <c r="F2949" s="93"/>
      <c r="G2949" s="81"/>
      <c r="H2949" s="81"/>
      <c r="I2949" s="81"/>
      <c r="J2949" s="81"/>
      <c r="K2949" s="81"/>
      <c r="L2949" s="81"/>
      <c r="M2949" s="81"/>
      <c r="N2949" s="81"/>
    </row>
    <row r="2950" spans="1:14" ht="14.25" customHeight="1" x14ac:dyDescent="0.25">
      <c r="A2950" s="95" t="s">
        <v>562</v>
      </c>
      <c r="B2950" s="96"/>
      <c r="C2950" s="92"/>
      <c r="D2950" s="92"/>
      <c r="E2950" s="92"/>
      <c r="F2950" s="92"/>
      <c r="G2950" s="81"/>
      <c r="H2950" s="81"/>
      <c r="I2950" s="81"/>
      <c r="J2950" s="81"/>
      <c r="K2950" s="81"/>
      <c r="L2950" s="81"/>
      <c r="M2950" s="81"/>
      <c r="N2950" s="81"/>
    </row>
    <row r="2951" spans="1:14" ht="14.25" customHeight="1" x14ac:dyDescent="0.25">
      <c r="A2951" s="97" t="s">
        <v>563</v>
      </c>
      <c r="B2951" s="98" t="s">
        <v>564</v>
      </c>
      <c r="C2951" s="98" t="s">
        <v>565</v>
      </c>
      <c r="D2951" s="98" t="s">
        <v>566</v>
      </c>
      <c r="E2951" s="98" t="s">
        <v>567</v>
      </c>
      <c r="F2951" s="98" t="s">
        <v>568</v>
      </c>
      <c r="G2951" s="81"/>
      <c r="H2951" s="81"/>
      <c r="I2951" s="81"/>
      <c r="J2951" s="81"/>
      <c r="K2951" s="81"/>
      <c r="L2951" s="81"/>
      <c r="M2951" s="81"/>
      <c r="N2951" s="81"/>
    </row>
    <row r="2952" spans="1:14" ht="25.5" x14ac:dyDescent="0.25">
      <c r="A2952" s="99" t="s">
        <v>682</v>
      </c>
      <c r="B2952" s="100" t="s">
        <v>99</v>
      </c>
      <c r="C2952" s="101">
        <v>5450</v>
      </c>
      <c r="D2952" s="104">
        <v>2.5</v>
      </c>
      <c r="E2952" s="102">
        <v>0.05</v>
      </c>
      <c r="F2952" s="101">
        <f t="shared" ref="F2952:F2957" si="159">C2952*(D2952+(D2952*E2952))</f>
        <v>14306.25</v>
      </c>
      <c r="G2952" s="81"/>
      <c r="H2952" s="81"/>
      <c r="I2952" s="81"/>
      <c r="J2952" s="81"/>
      <c r="K2952" s="81"/>
      <c r="L2952" s="81"/>
      <c r="M2952" s="81"/>
      <c r="N2952" s="81"/>
    </row>
    <row r="2953" spans="1:14" ht="14.25" customHeight="1" x14ac:dyDescent="0.25">
      <c r="A2953" s="99" t="s">
        <v>683</v>
      </c>
      <c r="B2953" s="100" t="s">
        <v>117</v>
      </c>
      <c r="C2953" s="101">
        <v>1200</v>
      </c>
      <c r="D2953" s="149">
        <v>0.85</v>
      </c>
      <c r="E2953" s="102">
        <v>0.05</v>
      </c>
      <c r="F2953" s="101">
        <f t="shared" si="159"/>
        <v>1071</v>
      </c>
      <c r="G2953" s="81"/>
      <c r="H2953" s="81"/>
      <c r="I2953" s="81"/>
      <c r="J2953" s="81"/>
      <c r="K2953" s="81"/>
      <c r="L2953" s="81"/>
      <c r="M2953" s="81"/>
      <c r="N2953" s="81"/>
    </row>
    <row r="2954" spans="1:14" ht="14.25" customHeight="1" x14ac:dyDescent="0.25">
      <c r="A2954" s="99" t="s">
        <v>684</v>
      </c>
      <c r="B2954" s="100" t="s">
        <v>99</v>
      </c>
      <c r="C2954" s="101">
        <v>6350</v>
      </c>
      <c r="D2954" s="149">
        <v>1.75</v>
      </c>
      <c r="E2954" s="102">
        <v>0.05</v>
      </c>
      <c r="F2954" s="101">
        <f t="shared" si="159"/>
        <v>11668.125</v>
      </c>
      <c r="G2954" s="81"/>
      <c r="H2954" s="81"/>
      <c r="I2954" s="81"/>
      <c r="J2954" s="81"/>
      <c r="K2954" s="81"/>
      <c r="L2954" s="81"/>
      <c r="M2954" s="81"/>
      <c r="N2954" s="81"/>
    </row>
    <row r="2955" spans="1:14" ht="14.25" customHeight="1" x14ac:dyDescent="0.25">
      <c r="A2955" s="99" t="s">
        <v>685</v>
      </c>
      <c r="B2955" s="100" t="s">
        <v>99</v>
      </c>
      <c r="C2955" s="101">
        <v>7245</v>
      </c>
      <c r="D2955" s="149">
        <v>1.7</v>
      </c>
      <c r="E2955" s="102">
        <v>0.05</v>
      </c>
      <c r="F2955" s="101">
        <f t="shared" si="159"/>
        <v>12932.324999999999</v>
      </c>
      <c r="G2955" s="81"/>
      <c r="H2955" s="81"/>
      <c r="I2955" s="81"/>
      <c r="J2955" s="81"/>
      <c r="K2955" s="81"/>
      <c r="L2955" s="81"/>
      <c r="M2955" s="81"/>
      <c r="N2955" s="81"/>
    </row>
    <row r="2956" spans="1:14" ht="14.25" customHeight="1" x14ac:dyDescent="0.25">
      <c r="A2956" s="99" t="s">
        <v>686</v>
      </c>
      <c r="B2956" s="100" t="s">
        <v>56</v>
      </c>
      <c r="C2956" s="101">
        <v>28500</v>
      </c>
      <c r="D2956" s="149">
        <v>1</v>
      </c>
      <c r="E2956" s="102">
        <v>0.05</v>
      </c>
      <c r="F2956" s="101">
        <f t="shared" si="159"/>
        <v>29925</v>
      </c>
      <c r="G2956" s="81"/>
      <c r="H2956" s="81"/>
      <c r="I2956" s="81"/>
      <c r="J2956" s="81"/>
      <c r="K2956" s="81"/>
      <c r="L2956" s="81"/>
      <c r="M2956" s="81"/>
      <c r="N2956" s="81"/>
    </row>
    <row r="2957" spans="1:14" ht="14.25" customHeight="1" x14ac:dyDescent="0.25">
      <c r="A2957" s="99" t="s">
        <v>687</v>
      </c>
      <c r="B2957" s="100" t="s">
        <v>117</v>
      </c>
      <c r="C2957" s="101">
        <v>200</v>
      </c>
      <c r="D2957" s="104">
        <v>0.75</v>
      </c>
      <c r="E2957" s="102">
        <v>0.05</v>
      </c>
      <c r="F2957" s="101">
        <f t="shared" si="159"/>
        <v>157.5</v>
      </c>
      <c r="G2957" s="81"/>
      <c r="H2957" s="81"/>
      <c r="I2957" s="81"/>
      <c r="J2957" s="81"/>
      <c r="K2957" s="81"/>
      <c r="L2957" s="81"/>
      <c r="M2957" s="81"/>
      <c r="N2957" s="81"/>
    </row>
    <row r="2958" spans="1:14" ht="14.25" customHeight="1" x14ac:dyDescent="0.25">
      <c r="A2958" s="99"/>
      <c r="B2958" s="100"/>
      <c r="C2958" s="106"/>
      <c r="D2958" s="107"/>
      <c r="E2958" s="108"/>
      <c r="F2958" s="106"/>
      <c r="G2958" s="81"/>
      <c r="H2958" s="81"/>
      <c r="I2958" s="81"/>
      <c r="J2958" s="81"/>
      <c r="K2958" s="81"/>
      <c r="L2958" s="81"/>
      <c r="M2958" s="81"/>
      <c r="N2958" s="81"/>
    </row>
    <row r="2959" spans="1:14" ht="14.25" customHeight="1" x14ac:dyDescent="0.25">
      <c r="A2959" s="97" t="s">
        <v>548</v>
      </c>
      <c r="B2959" s="97"/>
      <c r="C2959" s="109"/>
      <c r="D2959" s="110"/>
      <c r="E2959" s="111"/>
      <c r="F2959" s="112">
        <f>SUM(F2952:F2958)</f>
        <v>70060.2</v>
      </c>
      <c r="G2959" s="81"/>
      <c r="H2959" s="81"/>
      <c r="I2959" s="81"/>
      <c r="J2959" s="81"/>
      <c r="K2959" s="81"/>
      <c r="L2959" s="81"/>
      <c r="M2959" s="81"/>
      <c r="N2959" s="81"/>
    </row>
    <row r="2960" spans="1:14" ht="14.25" customHeight="1" x14ac:dyDescent="0.25">
      <c r="A2960" s="88"/>
      <c r="B2960" s="88"/>
      <c r="C2960" s="113"/>
      <c r="D2960" s="113"/>
      <c r="E2960" s="114"/>
      <c r="F2960" s="113"/>
      <c r="G2960" s="81"/>
      <c r="H2960" s="81"/>
      <c r="I2960" s="81"/>
      <c r="J2960" s="81"/>
      <c r="K2960" s="81"/>
      <c r="L2960" s="81"/>
      <c r="M2960" s="81"/>
      <c r="N2960" s="81"/>
    </row>
    <row r="2961" spans="1:14" ht="14.25" customHeight="1" x14ac:dyDescent="0.25">
      <c r="A2961" s="96" t="s">
        <v>573</v>
      </c>
      <c r="B2961" s="96"/>
      <c r="C2961" s="92"/>
      <c r="D2961" s="92"/>
      <c r="E2961" s="92"/>
      <c r="F2961" s="92"/>
      <c r="G2961" s="81"/>
      <c r="H2961" s="81"/>
      <c r="I2961" s="81"/>
      <c r="J2961" s="81"/>
      <c r="K2961" s="81"/>
      <c r="L2961" s="81"/>
      <c r="M2961" s="81"/>
      <c r="N2961" s="81"/>
    </row>
    <row r="2962" spans="1:14" ht="14.25" customHeight="1" x14ac:dyDescent="0.25">
      <c r="A2962" s="611" t="s">
        <v>563</v>
      </c>
      <c r="B2962" s="608"/>
      <c r="C2962" s="609"/>
      <c r="D2962" s="98" t="s">
        <v>574</v>
      </c>
      <c r="E2962" s="98" t="s">
        <v>575</v>
      </c>
      <c r="F2962" s="98" t="s">
        <v>568</v>
      </c>
      <c r="G2962" s="81"/>
      <c r="H2962" s="81"/>
      <c r="I2962" s="81"/>
      <c r="J2962" s="81"/>
      <c r="K2962" s="81"/>
      <c r="L2962" s="81"/>
      <c r="M2962" s="81"/>
      <c r="N2962" s="81"/>
    </row>
    <row r="2963" spans="1:14" ht="14.25" customHeight="1" x14ac:dyDescent="0.25">
      <c r="A2963" s="607" t="s">
        <v>577</v>
      </c>
      <c r="B2963" s="608"/>
      <c r="C2963" s="609"/>
      <c r="D2963" s="116"/>
      <c r="E2963" s="107"/>
      <c r="F2963" s="106">
        <f>+F2976*5%</f>
        <v>1088.7000300571087</v>
      </c>
      <c r="G2963" s="81"/>
      <c r="H2963" s="81"/>
      <c r="I2963" s="81"/>
      <c r="J2963" s="81"/>
      <c r="K2963" s="81"/>
      <c r="L2963" s="81"/>
      <c r="M2963" s="81"/>
      <c r="N2963" s="81"/>
    </row>
    <row r="2964" spans="1:14" ht="14.25" customHeight="1" x14ac:dyDescent="0.25">
      <c r="A2964" s="607" t="s">
        <v>657</v>
      </c>
      <c r="B2964" s="608"/>
      <c r="C2964" s="609"/>
      <c r="D2964" s="142">
        <v>1850</v>
      </c>
      <c r="E2964" s="107">
        <v>1</v>
      </c>
      <c r="F2964" s="106">
        <f>D2964/E2964</f>
        <v>1850</v>
      </c>
      <c r="G2964" s="81"/>
      <c r="H2964" s="81"/>
      <c r="I2964" s="81"/>
      <c r="J2964" s="81"/>
      <c r="K2964" s="81"/>
      <c r="L2964" s="81"/>
      <c r="M2964" s="81"/>
      <c r="N2964" s="81"/>
    </row>
    <row r="2965" spans="1:14" ht="14.25" customHeight="1" x14ac:dyDescent="0.25">
      <c r="A2965" s="607"/>
      <c r="B2965" s="608"/>
      <c r="C2965" s="609"/>
      <c r="D2965" s="142"/>
      <c r="E2965" s="105"/>
      <c r="F2965" s="106"/>
      <c r="G2965" s="81"/>
      <c r="H2965" s="81"/>
      <c r="I2965" s="81"/>
      <c r="J2965" s="81"/>
      <c r="K2965" s="81"/>
      <c r="L2965" s="81"/>
      <c r="M2965" s="81"/>
      <c r="N2965" s="81"/>
    </row>
    <row r="2966" spans="1:14" ht="14.25" customHeight="1" x14ac:dyDescent="0.25">
      <c r="A2966" s="607"/>
      <c r="B2966" s="608"/>
      <c r="C2966" s="609"/>
      <c r="D2966" s="142"/>
      <c r="E2966" s="107"/>
      <c r="F2966" s="106"/>
      <c r="G2966" s="81"/>
      <c r="H2966" s="81"/>
      <c r="I2966" s="81"/>
      <c r="J2966" s="81"/>
      <c r="K2966" s="81"/>
      <c r="L2966" s="81"/>
      <c r="M2966" s="81"/>
      <c r="N2966" s="81"/>
    </row>
    <row r="2967" spans="1:14" ht="14.25" customHeight="1" x14ac:dyDescent="0.25">
      <c r="A2967" s="610"/>
      <c r="B2967" s="608"/>
      <c r="C2967" s="609"/>
      <c r="D2967" s="115"/>
      <c r="E2967" s="107"/>
      <c r="F2967" s="106"/>
      <c r="G2967" s="81"/>
      <c r="H2967" s="81"/>
      <c r="I2967" s="81"/>
      <c r="J2967" s="81"/>
      <c r="K2967" s="81"/>
      <c r="L2967" s="81"/>
      <c r="M2967" s="81"/>
      <c r="N2967" s="81"/>
    </row>
    <row r="2968" spans="1:14" ht="14.25" customHeight="1" x14ac:dyDescent="0.25">
      <c r="A2968" s="611" t="s">
        <v>548</v>
      </c>
      <c r="B2968" s="608"/>
      <c r="C2968" s="609"/>
      <c r="D2968" s="110"/>
      <c r="E2968" s="110"/>
      <c r="F2968" s="112">
        <f>SUM(F2963:F2966)</f>
        <v>2938.700030057109</v>
      </c>
      <c r="G2968" s="81"/>
      <c r="H2968" s="81"/>
      <c r="I2968" s="81"/>
      <c r="J2968" s="81"/>
      <c r="K2968" s="81"/>
      <c r="L2968" s="81"/>
      <c r="M2968" s="81"/>
      <c r="N2968" s="81"/>
    </row>
    <row r="2969" spans="1:14" ht="14.25" customHeight="1" x14ac:dyDescent="0.25">
      <c r="A2969" s="88"/>
      <c r="B2969" s="88"/>
      <c r="C2969" s="89"/>
      <c r="D2969" s="113"/>
      <c r="E2969" s="113"/>
      <c r="F2969" s="113"/>
      <c r="G2969" s="81"/>
      <c r="H2969" s="81"/>
      <c r="I2969" s="81"/>
      <c r="J2969" s="81"/>
      <c r="K2969" s="81"/>
      <c r="L2969" s="81"/>
      <c r="M2969" s="81"/>
      <c r="N2969" s="81"/>
    </row>
    <row r="2970" spans="1:14" ht="14.25" customHeight="1" x14ac:dyDescent="0.25">
      <c r="A2970" s="96" t="s">
        <v>578</v>
      </c>
      <c r="B2970" s="96"/>
      <c r="C2970" s="92"/>
      <c r="D2970" s="118"/>
      <c r="E2970" s="118"/>
      <c r="F2970" s="118"/>
      <c r="G2970" s="81"/>
      <c r="H2970" s="81"/>
      <c r="I2970" s="81"/>
      <c r="J2970" s="81"/>
      <c r="K2970" s="81"/>
      <c r="L2970" s="81"/>
      <c r="M2970" s="81"/>
      <c r="N2970" s="81"/>
    </row>
    <row r="2971" spans="1:14" ht="14.25" customHeight="1" x14ac:dyDescent="0.25">
      <c r="A2971" s="119" t="s">
        <v>563</v>
      </c>
      <c r="B2971" s="120" t="s">
        <v>579</v>
      </c>
      <c r="C2971" s="120" t="s">
        <v>580</v>
      </c>
      <c r="D2971" s="121" t="s">
        <v>581</v>
      </c>
      <c r="E2971" s="121" t="s">
        <v>575</v>
      </c>
      <c r="F2971" s="121" t="s">
        <v>568</v>
      </c>
      <c r="G2971" s="81"/>
      <c r="H2971" s="81"/>
      <c r="I2971" s="81"/>
      <c r="J2971" s="81"/>
      <c r="K2971" s="81"/>
      <c r="L2971" s="81"/>
      <c r="M2971" s="81"/>
      <c r="N2971" s="81"/>
    </row>
    <row r="2972" spans="1:14" ht="14.25" customHeight="1" x14ac:dyDescent="0.25">
      <c r="A2972" s="122" t="s">
        <v>593</v>
      </c>
      <c r="B2972" s="127">
        <v>1</v>
      </c>
      <c r="C2972" s="101">
        <v>32688</v>
      </c>
      <c r="D2972" s="101">
        <f t="shared" ref="D2972:D2973" si="160">+C2972*1.7</f>
        <v>55569.599999999999</v>
      </c>
      <c r="E2972" s="107">
        <v>6.6539999999999999</v>
      </c>
      <c r="F2972" s="106">
        <f t="shared" ref="F2972:F2973" si="161">+B2972*(D2972)/E2972</f>
        <v>8351.3074842200185</v>
      </c>
      <c r="G2972" s="81"/>
      <c r="H2972" s="81"/>
      <c r="I2972" s="81"/>
      <c r="J2972" s="81"/>
      <c r="K2972" s="81"/>
      <c r="L2972" s="81"/>
      <c r="M2972" s="81"/>
      <c r="N2972" s="81"/>
    </row>
    <row r="2973" spans="1:14" ht="14.25" customHeight="1" x14ac:dyDescent="0.25">
      <c r="A2973" s="122" t="s">
        <v>594</v>
      </c>
      <c r="B2973" s="127">
        <v>1</v>
      </c>
      <c r="C2973" s="101">
        <v>52538</v>
      </c>
      <c r="D2973" s="101">
        <f t="shared" si="160"/>
        <v>89314.599999999991</v>
      </c>
      <c r="E2973" s="107">
        <f>E2972</f>
        <v>6.6539999999999999</v>
      </c>
      <c r="F2973" s="106">
        <f t="shared" si="161"/>
        <v>13422.693116922152</v>
      </c>
      <c r="G2973" s="81"/>
      <c r="H2973" s="81"/>
      <c r="I2973" s="81"/>
      <c r="J2973" s="81"/>
      <c r="K2973" s="81"/>
      <c r="L2973" s="81"/>
      <c r="M2973" s="81"/>
      <c r="N2973" s="81"/>
    </row>
    <row r="2974" spans="1:14" ht="14.25" customHeight="1" x14ac:dyDescent="0.25">
      <c r="A2974" s="122"/>
      <c r="B2974" s="127"/>
      <c r="C2974" s="101"/>
      <c r="D2974" s="101"/>
      <c r="E2974" s="105"/>
      <c r="F2974" s="106"/>
      <c r="G2974" s="81"/>
      <c r="H2974" s="81"/>
      <c r="I2974" s="81"/>
      <c r="J2974" s="81"/>
      <c r="K2974" s="81"/>
      <c r="L2974" s="81"/>
      <c r="M2974" s="81"/>
      <c r="N2974" s="81"/>
    </row>
    <row r="2975" spans="1:14" ht="14.25" customHeight="1" x14ac:dyDescent="0.25">
      <c r="A2975" s="122"/>
      <c r="B2975" s="127"/>
      <c r="C2975" s="101"/>
      <c r="D2975" s="101"/>
      <c r="E2975" s="125"/>
      <c r="F2975" s="106"/>
      <c r="G2975" s="81"/>
      <c r="H2975" s="81"/>
      <c r="I2975" s="81"/>
      <c r="J2975" s="81"/>
      <c r="K2975" s="81"/>
      <c r="L2975" s="81"/>
      <c r="M2975" s="81"/>
      <c r="N2975" s="81"/>
    </row>
    <row r="2976" spans="1:14" ht="14.25" customHeight="1" x14ac:dyDescent="0.25">
      <c r="A2976" s="97" t="s">
        <v>548</v>
      </c>
      <c r="B2976" s="128"/>
      <c r="C2976" s="110"/>
      <c r="D2976" s="110"/>
      <c r="E2976" s="110"/>
      <c r="F2976" s="112">
        <f>SUM(F2972:F2975)</f>
        <v>21774.000601142172</v>
      </c>
      <c r="G2976" s="81"/>
      <c r="H2976" s="81"/>
      <c r="I2976" s="81"/>
      <c r="J2976" s="81"/>
      <c r="K2976" s="81"/>
      <c r="L2976" s="81"/>
      <c r="M2976" s="81"/>
      <c r="N2976" s="81"/>
    </row>
    <row r="2977" spans="1:14" ht="14.25" customHeight="1" x14ac:dyDescent="0.25">
      <c r="A2977" s="96"/>
      <c r="B2977" s="129"/>
      <c r="C2977" s="118"/>
      <c r="D2977" s="118"/>
      <c r="E2977" s="118"/>
      <c r="F2977" s="118"/>
      <c r="G2977" s="81"/>
      <c r="H2977" s="81"/>
      <c r="I2977" s="81"/>
      <c r="J2977" s="81"/>
      <c r="K2977" s="81"/>
      <c r="L2977" s="81"/>
      <c r="M2977" s="81"/>
      <c r="N2977" s="81"/>
    </row>
    <row r="2978" spans="1:14" ht="14.25" customHeight="1" x14ac:dyDescent="0.25">
      <c r="A2978" s="95" t="s">
        <v>583</v>
      </c>
      <c r="B2978" s="96"/>
      <c r="C2978" s="92"/>
      <c r="D2978" s="92"/>
      <c r="E2978" s="92" t="s">
        <v>584</v>
      </c>
      <c r="F2978" s="92"/>
      <c r="G2978" s="81"/>
      <c r="H2978" s="81"/>
      <c r="I2978" s="81"/>
      <c r="J2978" s="81"/>
      <c r="K2978" s="81"/>
      <c r="L2978" s="81"/>
      <c r="M2978" s="81"/>
      <c r="N2978" s="81"/>
    </row>
    <row r="2979" spans="1:14" ht="14.25" customHeight="1" x14ac:dyDescent="0.25">
      <c r="A2979" s="97" t="s">
        <v>563</v>
      </c>
      <c r="B2979" s="98" t="s">
        <v>564</v>
      </c>
      <c r="C2979" s="98" t="s">
        <v>585</v>
      </c>
      <c r="D2979" s="98" t="s">
        <v>586</v>
      </c>
      <c r="E2979" s="120" t="s">
        <v>587</v>
      </c>
      <c r="F2979" s="98" t="s">
        <v>568</v>
      </c>
      <c r="G2979" s="81"/>
      <c r="H2979" s="81"/>
      <c r="I2979" s="81"/>
      <c r="J2979" s="81"/>
      <c r="K2979" s="81"/>
      <c r="L2979" s="81"/>
      <c r="M2979" s="81"/>
      <c r="N2979" s="81"/>
    </row>
    <row r="2980" spans="1:14" ht="14.25" customHeight="1" x14ac:dyDescent="0.25">
      <c r="A2980" s="103"/>
      <c r="B2980" s="100"/>
      <c r="C2980" s="101"/>
      <c r="D2980" s="140"/>
      <c r="E2980" s="107"/>
      <c r="F2980" s="109"/>
      <c r="G2980" s="81"/>
      <c r="H2980" s="81"/>
      <c r="I2980" s="81"/>
      <c r="J2980" s="81"/>
      <c r="K2980" s="81"/>
      <c r="L2980" s="81"/>
      <c r="M2980" s="81"/>
      <c r="N2980" s="81"/>
    </row>
    <row r="2981" spans="1:14" ht="14.25" customHeight="1" x14ac:dyDescent="0.25">
      <c r="A2981" s="103"/>
      <c r="B2981" s="100"/>
      <c r="C2981" s="107"/>
      <c r="D2981" s="107"/>
      <c r="E2981" s="108"/>
      <c r="F2981" s="109"/>
      <c r="G2981" s="81"/>
      <c r="H2981" s="81"/>
      <c r="I2981" s="81"/>
      <c r="J2981" s="81"/>
      <c r="K2981" s="81"/>
      <c r="L2981" s="81"/>
      <c r="M2981" s="81"/>
      <c r="N2981" s="81"/>
    </row>
    <row r="2982" spans="1:14" ht="14.25" customHeight="1" x14ac:dyDescent="0.25">
      <c r="A2982" s="97" t="s">
        <v>548</v>
      </c>
      <c r="B2982" s="98"/>
      <c r="C2982" s="110"/>
      <c r="D2982" s="110"/>
      <c r="E2982" s="111"/>
      <c r="F2982" s="112">
        <f>SUM(F2980:F2981)</f>
        <v>0</v>
      </c>
      <c r="G2982" s="81"/>
      <c r="H2982" s="81"/>
      <c r="I2982" s="81"/>
      <c r="J2982" s="81"/>
      <c r="K2982" s="81"/>
      <c r="L2982" s="81"/>
      <c r="M2982" s="81"/>
      <c r="N2982" s="81"/>
    </row>
    <row r="2983" spans="1:14" ht="14.25" customHeight="1" x14ac:dyDescent="0.25">
      <c r="A2983" s="88"/>
      <c r="B2983" s="89"/>
      <c r="C2983" s="113"/>
      <c r="D2983" s="113"/>
      <c r="E2983" s="114"/>
      <c r="F2983" s="113"/>
      <c r="G2983" s="81"/>
      <c r="H2983" s="81"/>
      <c r="I2983" s="81"/>
      <c r="J2983" s="81"/>
      <c r="K2983" s="81"/>
      <c r="L2983" s="81"/>
      <c r="M2983" s="81"/>
      <c r="N2983" s="81"/>
    </row>
    <row r="2984" spans="1:14" ht="14.25" customHeight="1" x14ac:dyDescent="0.25">
      <c r="A2984" s="88"/>
      <c r="B2984" s="89"/>
      <c r="C2984" s="113"/>
      <c r="D2984" s="113"/>
      <c r="E2984" s="114"/>
      <c r="F2984" s="113"/>
      <c r="G2984" s="81"/>
      <c r="H2984" s="81"/>
      <c r="I2984" s="81"/>
      <c r="J2984" s="81"/>
      <c r="K2984" s="81"/>
      <c r="L2984" s="81"/>
      <c r="M2984" s="81"/>
      <c r="N2984" s="81"/>
    </row>
    <row r="2985" spans="1:14" ht="14.25" customHeight="1" x14ac:dyDescent="0.25">
      <c r="A2985" s="612" t="s">
        <v>588</v>
      </c>
      <c r="B2985" s="608"/>
      <c r="C2985" s="608"/>
      <c r="D2985" s="608"/>
      <c r="E2985" s="609"/>
      <c r="F2985" s="131">
        <f>ROUND(F2959+F2968+F2976+F2982,0)</f>
        <v>94773</v>
      </c>
      <c r="G2985" s="81"/>
      <c r="H2985" s="117"/>
      <c r="I2985" s="81"/>
      <c r="J2985" s="81"/>
      <c r="K2985" s="81"/>
      <c r="L2985" s="81"/>
      <c r="M2985" s="81"/>
      <c r="N2985" s="81"/>
    </row>
    <row r="2986" spans="1:14" ht="14.25" customHeight="1" x14ac:dyDescent="0.25">
      <c r="A2986" s="612" t="s">
        <v>589</v>
      </c>
      <c r="B2986" s="608"/>
      <c r="C2986" s="608"/>
      <c r="D2986" s="608"/>
      <c r="E2986" s="609"/>
      <c r="F2986" s="132"/>
      <c r="G2986" s="81"/>
      <c r="H2986" s="81"/>
      <c r="I2986" s="81"/>
      <c r="J2986" s="81"/>
      <c r="K2986" s="81"/>
      <c r="L2986" s="81"/>
      <c r="M2986" s="81"/>
      <c r="N2986" s="81"/>
    </row>
    <row r="2987" spans="1:14" ht="14.25" customHeight="1" x14ac:dyDescent="0.25">
      <c r="A2987" s="146" t="s">
        <v>556</v>
      </c>
      <c r="B2987" s="147"/>
      <c r="C2987" s="147"/>
      <c r="D2987" s="147"/>
      <c r="E2987" s="148"/>
      <c r="F2987" s="133"/>
      <c r="G2987" s="81"/>
      <c r="H2987" s="81"/>
      <c r="I2987" s="81"/>
      <c r="J2987" s="81"/>
      <c r="K2987" s="81"/>
      <c r="L2987" s="81"/>
      <c r="M2987" s="81"/>
      <c r="N2987" s="81"/>
    </row>
    <row r="2988" spans="1:14" ht="14.25" customHeight="1" x14ac:dyDescent="0.25">
      <c r="A2988" s="134"/>
      <c r="B2988" s="135"/>
      <c r="C2988" s="135"/>
      <c r="D2988" s="135"/>
      <c r="E2988" s="135"/>
      <c r="F2988" s="136"/>
      <c r="G2988" s="81"/>
      <c r="H2988" s="81"/>
      <c r="I2988" s="81"/>
      <c r="J2988" s="81"/>
      <c r="K2988" s="81"/>
      <c r="L2988" s="81"/>
      <c r="M2988" s="81"/>
      <c r="N2988" s="81"/>
    </row>
    <row r="2989" spans="1:14" ht="14.25" customHeight="1" x14ac:dyDescent="0.25">
      <c r="A2989" s="81"/>
      <c r="B2989" s="81"/>
      <c r="C2989" s="137"/>
      <c r="D2989" s="81"/>
      <c r="E2989" s="81"/>
      <c r="F2989" s="81"/>
      <c r="G2989" s="81"/>
      <c r="H2989" s="81"/>
      <c r="I2989" s="81"/>
      <c r="J2989" s="81"/>
      <c r="K2989" s="81"/>
      <c r="L2989" s="81"/>
      <c r="M2989" s="81"/>
      <c r="N2989" s="81"/>
    </row>
    <row r="2990" spans="1:14" ht="14.25" customHeight="1" x14ac:dyDescent="0.25">
      <c r="A2990" s="81"/>
      <c r="B2990" s="81"/>
      <c r="C2990" s="137"/>
      <c r="D2990" s="81"/>
      <c r="E2990" s="81"/>
      <c r="F2990" s="81"/>
      <c r="G2990" s="81"/>
      <c r="H2990" s="81"/>
      <c r="I2990" s="81"/>
      <c r="J2990" s="81"/>
      <c r="K2990" s="81"/>
      <c r="L2990" s="81"/>
      <c r="M2990" s="81"/>
      <c r="N2990" s="81"/>
    </row>
    <row r="2991" spans="1:14" ht="14.25" customHeight="1" x14ac:dyDescent="0.25">
      <c r="A2991" s="81"/>
      <c r="B2991" s="81"/>
      <c r="C2991" s="137"/>
      <c r="D2991" s="81"/>
      <c r="E2991" s="81"/>
      <c r="F2991" s="81"/>
      <c r="G2991" s="81"/>
      <c r="H2991" s="81"/>
      <c r="I2991" s="81"/>
      <c r="J2991" s="81"/>
      <c r="K2991" s="81"/>
      <c r="L2991" s="81"/>
      <c r="M2991" s="81"/>
      <c r="N2991" s="81"/>
    </row>
    <row r="2992" spans="1:14" ht="14.25" customHeight="1" x14ac:dyDescent="0.25">
      <c r="A2992" s="81"/>
      <c r="B2992" s="81"/>
      <c r="C2992" s="137"/>
      <c r="D2992" s="81"/>
      <c r="E2992" s="81"/>
      <c r="F2992" s="81"/>
      <c r="G2992" s="81"/>
      <c r="H2992" s="81"/>
      <c r="I2992" s="81"/>
      <c r="J2992" s="81"/>
      <c r="K2992" s="81"/>
      <c r="L2992" s="81"/>
      <c r="M2992" s="81"/>
      <c r="N2992" s="81"/>
    </row>
    <row r="2993" spans="1:14" ht="14.25" customHeight="1" x14ac:dyDescent="0.25">
      <c r="A2993" s="81"/>
      <c r="B2993" s="81"/>
      <c r="C2993" s="137"/>
      <c r="D2993" s="81"/>
      <c r="E2993" s="81"/>
      <c r="F2993" s="81"/>
      <c r="G2993" s="81"/>
      <c r="H2993" s="81"/>
      <c r="I2993" s="81"/>
      <c r="J2993" s="81"/>
      <c r="K2993" s="81"/>
      <c r="L2993" s="81"/>
      <c r="M2993" s="81"/>
      <c r="N2993" s="81"/>
    </row>
    <row r="2994" spans="1:14" ht="14.25" customHeight="1" x14ac:dyDescent="0.25">
      <c r="A2994" s="81"/>
      <c r="B2994" s="81"/>
      <c r="C2994" s="137"/>
      <c r="D2994" s="81"/>
      <c r="E2994" s="81"/>
      <c r="F2994" s="81"/>
      <c r="G2994" s="81"/>
      <c r="H2994" s="81"/>
      <c r="I2994" s="81"/>
      <c r="J2994" s="81"/>
      <c r="K2994" s="81"/>
      <c r="L2994" s="81"/>
      <c r="M2994" s="81"/>
      <c r="N2994" s="81"/>
    </row>
    <row r="2995" spans="1:14" ht="14.25" customHeight="1" x14ac:dyDescent="0.25">
      <c r="A2995" s="134"/>
      <c r="B2995" s="135"/>
      <c r="C2995" s="135"/>
      <c r="D2995" s="135"/>
      <c r="E2995" s="135"/>
      <c r="F2995" s="136"/>
      <c r="G2995" s="81"/>
      <c r="H2995" s="81"/>
      <c r="I2995" s="81"/>
      <c r="J2995" s="81"/>
      <c r="K2995" s="81"/>
      <c r="L2995" s="81"/>
      <c r="M2995" s="81"/>
      <c r="N2995" s="81"/>
    </row>
    <row r="2996" spans="1:14" ht="14.25" customHeight="1" x14ac:dyDescent="0.25">
      <c r="A2996" s="134"/>
      <c r="B2996" s="135"/>
      <c r="C2996" s="135"/>
      <c r="D2996" s="135"/>
      <c r="E2996" s="135"/>
      <c r="F2996" s="136"/>
      <c r="G2996" s="81"/>
      <c r="H2996" s="81"/>
      <c r="I2996" s="81"/>
      <c r="J2996" s="81"/>
      <c r="K2996" s="81"/>
      <c r="L2996" s="81"/>
      <c r="M2996" s="81"/>
      <c r="N2996" s="81"/>
    </row>
    <row r="2997" spans="1:14" ht="14.25" customHeight="1" x14ac:dyDescent="0.25">
      <c r="A2997" s="134"/>
      <c r="B2997" s="135"/>
      <c r="C2997" s="135"/>
      <c r="D2997" s="135"/>
      <c r="E2997" s="135"/>
      <c r="F2997" s="136"/>
      <c r="G2997" s="81"/>
      <c r="H2997" s="81"/>
      <c r="I2997" s="81"/>
      <c r="J2997" s="81"/>
      <c r="K2997" s="81"/>
      <c r="L2997" s="81"/>
      <c r="M2997" s="81"/>
      <c r="N2997" s="81"/>
    </row>
    <row r="2998" spans="1:14" ht="14.25" customHeight="1" thickBot="1" x14ac:dyDescent="0.3">
      <c r="A2998" s="81"/>
      <c r="B2998" s="81"/>
      <c r="C2998" s="81"/>
      <c r="D2998" s="81"/>
      <c r="E2998" s="81"/>
      <c r="F2998" s="81"/>
      <c r="G2998" s="81"/>
      <c r="H2998" s="81"/>
      <c r="I2998" s="81"/>
      <c r="J2998" s="81"/>
      <c r="K2998" s="81"/>
      <c r="L2998" s="81"/>
      <c r="M2998" s="81"/>
      <c r="N2998" s="81"/>
    </row>
    <row r="2999" spans="1:14" ht="14.25" customHeight="1" x14ac:dyDescent="0.25">
      <c r="A2999" s="83"/>
      <c r="B2999" s="84"/>
      <c r="C2999" s="85"/>
      <c r="D2999" s="86"/>
      <c r="E2999" s="86"/>
      <c r="F2999" s="87"/>
      <c r="G2999" s="81"/>
      <c r="H2999" s="81"/>
      <c r="I2999" s="81"/>
      <c r="J2999" s="81"/>
      <c r="K2999" s="81"/>
      <c r="L2999" s="81"/>
      <c r="M2999" s="81"/>
      <c r="N2999" s="81"/>
    </row>
    <row r="3000" spans="1:14" ht="14.25" customHeight="1" x14ac:dyDescent="0.25">
      <c r="A3000" s="599"/>
      <c r="B3000" s="600"/>
      <c r="C3000" s="600"/>
      <c r="D3000" s="600"/>
      <c r="E3000" s="600"/>
      <c r="F3000" s="601"/>
      <c r="G3000" s="81"/>
      <c r="H3000" s="81"/>
      <c r="I3000" s="81"/>
      <c r="J3000" s="81"/>
      <c r="K3000" s="81"/>
      <c r="L3000" s="81"/>
      <c r="M3000" s="81"/>
      <c r="N3000" s="81"/>
    </row>
    <row r="3001" spans="1:14" ht="14.25" customHeight="1" x14ac:dyDescent="0.25">
      <c r="A3001" s="602" t="s">
        <v>561</v>
      </c>
      <c r="B3001" s="600"/>
      <c r="C3001" s="600"/>
      <c r="D3001" s="600"/>
      <c r="E3001" s="600"/>
      <c r="F3001" s="601"/>
      <c r="G3001" s="81"/>
      <c r="H3001" s="81"/>
      <c r="I3001" s="81"/>
      <c r="J3001" s="81"/>
      <c r="K3001" s="81"/>
      <c r="L3001" s="81"/>
      <c r="M3001" s="81"/>
      <c r="N3001" s="81"/>
    </row>
    <row r="3002" spans="1:14" ht="14.25" customHeight="1" thickBot="1" x14ac:dyDescent="0.3">
      <c r="A3002" s="603"/>
      <c r="B3002" s="604"/>
      <c r="C3002" s="604"/>
      <c r="D3002" s="604"/>
      <c r="E3002" s="604"/>
      <c r="F3002" s="605"/>
      <c r="G3002" s="81"/>
      <c r="H3002" s="81"/>
      <c r="I3002" s="81"/>
      <c r="J3002" s="81"/>
      <c r="K3002" s="81"/>
      <c r="L3002" s="81"/>
      <c r="M3002" s="81"/>
      <c r="N3002" s="81"/>
    </row>
    <row r="3003" spans="1:14" ht="14.25" customHeight="1" x14ac:dyDescent="0.25">
      <c r="A3003" s="88"/>
      <c r="B3003" s="88"/>
      <c r="C3003" s="89"/>
      <c r="D3003" s="89"/>
      <c r="E3003" s="89"/>
      <c r="F3003" s="89"/>
      <c r="G3003" s="81"/>
      <c r="H3003" s="81"/>
      <c r="I3003" s="81"/>
      <c r="J3003" s="81"/>
      <c r="K3003" s="81"/>
      <c r="L3003" s="81"/>
      <c r="M3003" s="81"/>
      <c r="N3003" s="81"/>
    </row>
    <row r="3004" spans="1:14" ht="30" customHeight="1" x14ac:dyDescent="0.25">
      <c r="A3004" s="90" t="s">
        <v>47</v>
      </c>
      <c r="B3004" s="613" t="s">
        <v>158</v>
      </c>
      <c r="C3004" s="600"/>
      <c r="D3004" s="600"/>
      <c r="E3004" s="600"/>
      <c r="F3004" s="600"/>
      <c r="G3004" s="81"/>
      <c r="H3004" s="81"/>
      <c r="I3004" s="81"/>
      <c r="J3004" s="81"/>
      <c r="K3004" s="81"/>
      <c r="L3004" s="81"/>
      <c r="M3004" s="81"/>
      <c r="N3004" s="81"/>
    </row>
    <row r="3005" spans="1:14" ht="14.25" customHeight="1" x14ac:dyDescent="0.25">
      <c r="A3005" s="91"/>
      <c r="B3005" s="91"/>
      <c r="C3005" s="91"/>
      <c r="D3005" s="91"/>
      <c r="E3005" s="91"/>
      <c r="F3005" s="91"/>
      <c r="G3005" s="81"/>
      <c r="H3005" s="81"/>
      <c r="I3005" s="81"/>
      <c r="J3005" s="81"/>
      <c r="K3005" s="81"/>
      <c r="L3005" s="81"/>
      <c r="M3005" s="81"/>
      <c r="N3005" s="81"/>
    </row>
    <row r="3006" spans="1:14" ht="14.25" customHeight="1" x14ac:dyDescent="0.25">
      <c r="A3006" s="88" t="s">
        <v>49</v>
      </c>
      <c r="B3006" s="92" t="s">
        <v>56</v>
      </c>
      <c r="C3006" s="89"/>
      <c r="D3006" s="89"/>
      <c r="E3006" s="89"/>
      <c r="F3006" s="93"/>
      <c r="G3006" s="81"/>
      <c r="H3006" s="81"/>
      <c r="I3006" s="81"/>
      <c r="J3006" s="81"/>
      <c r="K3006" s="81"/>
      <c r="L3006" s="81"/>
      <c r="M3006" s="81"/>
      <c r="N3006" s="81"/>
    </row>
    <row r="3007" spans="1:14" ht="14.25" customHeight="1" x14ac:dyDescent="0.25">
      <c r="A3007" s="88"/>
      <c r="B3007" s="94"/>
      <c r="C3007" s="89"/>
      <c r="D3007" s="89"/>
      <c r="E3007" s="89"/>
      <c r="F3007" s="93"/>
      <c r="G3007" s="81"/>
      <c r="H3007" s="81"/>
      <c r="I3007" s="81"/>
      <c r="J3007" s="81"/>
      <c r="K3007" s="81"/>
      <c r="L3007" s="81"/>
      <c r="M3007" s="81"/>
      <c r="N3007" s="81"/>
    </row>
    <row r="3008" spans="1:14" ht="14.25" customHeight="1" x14ac:dyDescent="0.25">
      <c r="A3008" s="95" t="s">
        <v>562</v>
      </c>
      <c r="B3008" s="96"/>
      <c r="C3008" s="92"/>
      <c r="D3008" s="92"/>
      <c r="E3008" s="92"/>
      <c r="F3008" s="92"/>
      <c r="G3008" s="81"/>
      <c r="H3008" s="81"/>
      <c r="I3008" s="81"/>
      <c r="J3008" s="81"/>
      <c r="K3008" s="81"/>
      <c r="L3008" s="81"/>
      <c r="M3008" s="81"/>
      <c r="N3008" s="81"/>
    </row>
    <row r="3009" spans="1:14" ht="14.25" customHeight="1" x14ac:dyDescent="0.25">
      <c r="A3009" s="97" t="s">
        <v>563</v>
      </c>
      <c r="B3009" s="98" t="s">
        <v>564</v>
      </c>
      <c r="C3009" s="98" t="s">
        <v>565</v>
      </c>
      <c r="D3009" s="98" t="s">
        <v>566</v>
      </c>
      <c r="E3009" s="98" t="s">
        <v>567</v>
      </c>
      <c r="F3009" s="98" t="s">
        <v>568</v>
      </c>
      <c r="G3009" s="81"/>
      <c r="H3009" s="81"/>
      <c r="I3009" s="81"/>
      <c r="J3009" s="81"/>
      <c r="K3009" s="81"/>
      <c r="L3009" s="81"/>
      <c r="M3009" s="81"/>
      <c r="N3009" s="81"/>
    </row>
    <row r="3010" spans="1:14" ht="14.25" customHeight="1" x14ac:dyDescent="0.25">
      <c r="A3010" s="99" t="s">
        <v>688</v>
      </c>
      <c r="B3010" s="100" t="s">
        <v>99</v>
      </c>
      <c r="C3010" s="101">
        <v>3000</v>
      </c>
      <c r="D3010" s="149">
        <v>0.45</v>
      </c>
      <c r="E3010" s="102">
        <v>0.05</v>
      </c>
      <c r="F3010" s="101">
        <f t="shared" ref="F3010:F3018" si="162">C3010*(D3010+(D3010*E3010))</f>
        <v>1417.5</v>
      </c>
      <c r="G3010" s="81"/>
      <c r="H3010" s="81"/>
      <c r="I3010" s="81"/>
      <c r="J3010" s="81"/>
      <c r="K3010" s="81"/>
      <c r="L3010" s="81"/>
      <c r="M3010" s="81"/>
      <c r="N3010" s="81"/>
    </row>
    <row r="3011" spans="1:14" ht="14.25" customHeight="1" x14ac:dyDescent="0.25">
      <c r="A3011" s="99" t="s">
        <v>683</v>
      </c>
      <c r="B3011" s="100" t="s">
        <v>117</v>
      </c>
      <c r="C3011" s="101">
        <v>1200</v>
      </c>
      <c r="D3011" s="149">
        <v>0.85</v>
      </c>
      <c r="E3011" s="102">
        <v>0.05</v>
      </c>
      <c r="F3011" s="101">
        <f t="shared" si="162"/>
        <v>1071</v>
      </c>
      <c r="G3011" s="81"/>
      <c r="H3011" s="81"/>
      <c r="I3011" s="81"/>
      <c r="J3011" s="81"/>
      <c r="K3011" s="81"/>
      <c r="L3011" s="81"/>
      <c r="M3011" s="81"/>
      <c r="N3011" s="81"/>
    </row>
    <row r="3012" spans="1:14" ht="14.25" customHeight="1" x14ac:dyDescent="0.25">
      <c r="A3012" s="99" t="s">
        <v>684</v>
      </c>
      <c r="B3012" s="100" t="s">
        <v>99</v>
      </c>
      <c r="C3012" s="101">
        <v>6350</v>
      </c>
      <c r="D3012" s="149">
        <v>1.2</v>
      </c>
      <c r="E3012" s="102">
        <v>0.05</v>
      </c>
      <c r="F3012" s="101">
        <f t="shared" si="162"/>
        <v>8001</v>
      </c>
      <c r="G3012" s="81"/>
      <c r="H3012" s="81"/>
      <c r="I3012" s="81"/>
      <c r="J3012" s="81"/>
      <c r="K3012" s="81"/>
      <c r="L3012" s="81"/>
      <c r="M3012" s="81"/>
      <c r="N3012" s="81"/>
    </row>
    <row r="3013" spans="1:14" ht="14.25" customHeight="1" x14ac:dyDescent="0.25">
      <c r="A3013" s="99" t="s">
        <v>685</v>
      </c>
      <c r="B3013" s="100" t="s">
        <v>99</v>
      </c>
      <c r="C3013" s="101">
        <v>7245</v>
      </c>
      <c r="D3013" s="149">
        <v>1.3</v>
      </c>
      <c r="E3013" s="102">
        <v>0.05</v>
      </c>
      <c r="F3013" s="101">
        <f t="shared" si="162"/>
        <v>9889.4249999999993</v>
      </c>
      <c r="G3013" s="81"/>
      <c r="H3013" s="81"/>
      <c r="I3013" s="81"/>
      <c r="J3013" s="81"/>
      <c r="K3013" s="81"/>
      <c r="L3013" s="81"/>
      <c r="M3013" s="81"/>
      <c r="N3013" s="81"/>
    </row>
    <row r="3014" spans="1:14" ht="14.25" customHeight="1" x14ac:dyDescent="0.25">
      <c r="A3014" s="99" t="s">
        <v>689</v>
      </c>
      <c r="B3014" s="100" t="s">
        <v>99</v>
      </c>
      <c r="C3014" s="101">
        <v>46720</v>
      </c>
      <c r="D3014" s="149">
        <v>0.34</v>
      </c>
      <c r="E3014" s="102">
        <v>0.05</v>
      </c>
      <c r="F3014" s="101">
        <f t="shared" si="162"/>
        <v>16679.04</v>
      </c>
      <c r="G3014" s="81"/>
      <c r="H3014" s="81"/>
      <c r="I3014" s="81"/>
      <c r="J3014" s="81"/>
      <c r="K3014" s="81"/>
      <c r="L3014" s="81"/>
      <c r="M3014" s="81"/>
      <c r="N3014" s="81"/>
    </row>
    <row r="3015" spans="1:14" ht="14.25" customHeight="1" x14ac:dyDescent="0.25">
      <c r="A3015" s="99" t="s">
        <v>687</v>
      </c>
      <c r="B3015" s="100" t="s">
        <v>117</v>
      </c>
      <c r="C3015" s="101">
        <v>200</v>
      </c>
      <c r="D3015" s="149">
        <v>0.75</v>
      </c>
      <c r="E3015" s="102">
        <v>0.05</v>
      </c>
      <c r="F3015" s="101">
        <f t="shared" si="162"/>
        <v>157.5</v>
      </c>
      <c r="G3015" s="81"/>
      <c r="H3015" s="81"/>
      <c r="I3015" s="81"/>
      <c r="J3015" s="81"/>
      <c r="K3015" s="81"/>
      <c r="L3015" s="81"/>
      <c r="M3015" s="81"/>
      <c r="N3015" s="81"/>
    </row>
    <row r="3016" spans="1:14" ht="14.25" customHeight="1" x14ac:dyDescent="0.25">
      <c r="A3016" s="99" t="s">
        <v>690</v>
      </c>
      <c r="B3016" s="100" t="s">
        <v>651</v>
      </c>
      <c r="C3016" s="101">
        <v>12500</v>
      </c>
      <c r="D3016" s="149">
        <v>0.25</v>
      </c>
      <c r="E3016" s="102">
        <v>0.05</v>
      </c>
      <c r="F3016" s="101">
        <f t="shared" si="162"/>
        <v>3281.25</v>
      </c>
      <c r="G3016" s="81"/>
      <c r="H3016" s="81"/>
      <c r="I3016" s="81"/>
      <c r="J3016" s="81"/>
      <c r="K3016" s="81"/>
      <c r="L3016" s="81"/>
      <c r="M3016" s="81"/>
      <c r="N3016" s="81"/>
    </row>
    <row r="3017" spans="1:14" ht="14.25" customHeight="1" x14ac:dyDescent="0.25">
      <c r="A3017" s="99" t="s">
        <v>676</v>
      </c>
      <c r="B3017" s="100" t="s">
        <v>99</v>
      </c>
      <c r="C3017" s="101">
        <v>12350</v>
      </c>
      <c r="D3017" s="149">
        <v>0.05</v>
      </c>
      <c r="E3017" s="102">
        <v>0.05</v>
      </c>
      <c r="F3017" s="101">
        <f t="shared" si="162"/>
        <v>648.37500000000011</v>
      </c>
      <c r="G3017" s="81"/>
      <c r="H3017" s="81"/>
      <c r="I3017" s="81"/>
      <c r="J3017" s="81"/>
      <c r="K3017" s="81"/>
      <c r="L3017" s="81"/>
      <c r="M3017" s="81"/>
      <c r="N3017" s="81"/>
    </row>
    <row r="3018" spans="1:14" ht="14.25" customHeight="1" x14ac:dyDescent="0.25">
      <c r="A3018" s="99" t="s">
        <v>691</v>
      </c>
      <c r="B3018" s="100" t="s">
        <v>671</v>
      </c>
      <c r="C3018" s="101">
        <v>340650</v>
      </c>
      <c r="D3018" s="149">
        <v>1.2500000000000001E-2</v>
      </c>
      <c r="E3018" s="102">
        <v>0.05</v>
      </c>
      <c r="F3018" s="101">
        <f t="shared" si="162"/>
        <v>4471.03125</v>
      </c>
      <c r="G3018" s="81"/>
      <c r="H3018" s="81"/>
      <c r="I3018" s="81"/>
      <c r="J3018" s="81"/>
      <c r="K3018" s="81"/>
      <c r="L3018" s="81"/>
      <c r="M3018" s="81"/>
      <c r="N3018" s="81"/>
    </row>
    <row r="3019" spans="1:14" ht="14.25" customHeight="1" x14ac:dyDescent="0.25">
      <c r="A3019" s="99"/>
      <c r="B3019" s="100"/>
      <c r="C3019" s="106"/>
      <c r="D3019" s="107"/>
      <c r="E3019" s="108"/>
      <c r="F3019" s="106"/>
      <c r="G3019" s="81"/>
      <c r="H3019" s="81"/>
      <c r="I3019" s="81"/>
      <c r="J3019" s="81"/>
      <c r="K3019" s="81"/>
      <c r="L3019" s="81"/>
      <c r="M3019" s="81"/>
      <c r="N3019" s="81"/>
    </row>
    <row r="3020" spans="1:14" ht="14.25" customHeight="1" x14ac:dyDescent="0.25">
      <c r="A3020" s="97" t="s">
        <v>548</v>
      </c>
      <c r="B3020" s="97"/>
      <c r="C3020" s="109"/>
      <c r="D3020" s="110"/>
      <c r="E3020" s="111"/>
      <c r="F3020" s="112">
        <f>SUM(F3010:F3019)</f>
        <v>45616.121249999997</v>
      </c>
      <c r="G3020" s="81"/>
      <c r="H3020" s="81"/>
      <c r="I3020" s="81"/>
      <c r="J3020" s="81"/>
      <c r="K3020" s="81"/>
      <c r="L3020" s="81"/>
      <c r="M3020" s="81"/>
      <c r="N3020" s="81"/>
    </row>
    <row r="3021" spans="1:14" ht="14.25" customHeight="1" x14ac:dyDescent="0.25">
      <c r="A3021" s="88"/>
      <c r="B3021" s="88"/>
      <c r="C3021" s="113"/>
      <c r="D3021" s="113"/>
      <c r="E3021" s="114"/>
      <c r="F3021" s="113"/>
      <c r="G3021" s="81"/>
      <c r="H3021" s="81"/>
      <c r="I3021" s="81"/>
      <c r="J3021" s="81"/>
      <c r="K3021" s="81"/>
      <c r="L3021" s="81"/>
      <c r="M3021" s="81"/>
      <c r="N3021" s="81"/>
    </row>
    <row r="3022" spans="1:14" ht="14.25" customHeight="1" x14ac:dyDescent="0.25">
      <c r="A3022" s="96" t="s">
        <v>573</v>
      </c>
      <c r="B3022" s="96"/>
      <c r="C3022" s="92"/>
      <c r="D3022" s="92"/>
      <c r="E3022" s="92"/>
      <c r="F3022" s="92"/>
      <c r="G3022" s="81"/>
      <c r="H3022" s="81"/>
      <c r="I3022" s="81"/>
      <c r="J3022" s="81"/>
      <c r="K3022" s="81"/>
      <c r="L3022" s="81"/>
      <c r="M3022" s="81"/>
      <c r="N3022" s="81"/>
    </row>
    <row r="3023" spans="1:14" ht="14.25" customHeight="1" x14ac:dyDescent="0.25">
      <c r="A3023" s="611" t="s">
        <v>563</v>
      </c>
      <c r="B3023" s="608"/>
      <c r="C3023" s="609"/>
      <c r="D3023" s="98" t="s">
        <v>574</v>
      </c>
      <c r="E3023" s="98" t="s">
        <v>575</v>
      </c>
      <c r="F3023" s="98" t="s">
        <v>568</v>
      </c>
      <c r="G3023" s="81"/>
      <c r="H3023" s="81"/>
      <c r="I3023" s="81"/>
      <c r="J3023" s="81"/>
      <c r="K3023" s="81"/>
      <c r="L3023" s="81"/>
      <c r="M3023" s="81"/>
      <c r="N3023" s="81"/>
    </row>
    <row r="3024" spans="1:14" ht="14.25" customHeight="1" x14ac:dyDescent="0.25">
      <c r="A3024" s="607" t="s">
        <v>577</v>
      </c>
      <c r="B3024" s="608"/>
      <c r="C3024" s="609"/>
      <c r="D3024" s="116"/>
      <c r="E3024" s="107"/>
      <c r="F3024" s="106">
        <f>+F3037*5%</f>
        <v>1208.7785750041714</v>
      </c>
      <c r="G3024" s="81"/>
      <c r="H3024" s="81"/>
      <c r="I3024" s="81"/>
      <c r="J3024" s="81"/>
      <c r="K3024" s="81"/>
      <c r="L3024" s="81"/>
      <c r="M3024" s="81"/>
      <c r="N3024" s="81"/>
    </row>
    <row r="3025" spans="1:14" ht="14.25" customHeight="1" x14ac:dyDescent="0.25">
      <c r="A3025" s="607" t="s">
        <v>657</v>
      </c>
      <c r="B3025" s="608"/>
      <c r="C3025" s="609"/>
      <c r="D3025" s="142">
        <v>1850</v>
      </c>
      <c r="E3025" s="107">
        <v>1</v>
      </c>
      <c r="F3025" s="106">
        <f>D3025/E3025</f>
        <v>1850</v>
      </c>
      <c r="G3025" s="81"/>
      <c r="H3025" s="81"/>
      <c r="I3025" s="81"/>
      <c r="J3025" s="81"/>
      <c r="K3025" s="81"/>
      <c r="L3025" s="81"/>
      <c r="M3025" s="81"/>
      <c r="N3025" s="81"/>
    </row>
    <row r="3026" spans="1:14" ht="14.25" customHeight="1" x14ac:dyDescent="0.25">
      <c r="A3026" s="607"/>
      <c r="B3026" s="608"/>
      <c r="C3026" s="609"/>
      <c r="D3026" s="142"/>
      <c r="E3026" s="105"/>
      <c r="F3026" s="106"/>
      <c r="G3026" s="81"/>
      <c r="H3026" s="81"/>
      <c r="I3026" s="81"/>
      <c r="J3026" s="81"/>
      <c r="K3026" s="81"/>
      <c r="L3026" s="81"/>
      <c r="M3026" s="81"/>
      <c r="N3026" s="81"/>
    </row>
    <row r="3027" spans="1:14" ht="14.25" customHeight="1" x14ac:dyDescent="0.25">
      <c r="A3027" s="607"/>
      <c r="B3027" s="608"/>
      <c r="C3027" s="609"/>
      <c r="D3027" s="142"/>
      <c r="E3027" s="107"/>
      <c r="F3027" s="106"/>
      <c r="G3027" s="81"/>
      <c r="H3027" s="81"/>
      <c r="I3027" s="81"/>
      <c r="J3027" s="81"/>
      <c r="K3027" s="81"/>
      <c r="L3027" s="81"/>
      <c r="M3027" s="81"/>
      <c r="N3027" s="81"/>
    </row>
    <row r="3028" spans="1:14" ht="14.25" customHeight="1" x14ac:dyDescent="0.25">
      <c r="A3028" s="610"/>
      <c r="B3028" s="608"/>
      <c r="C3028" s="609"/>
      <c r="D3028" s="115"/>
      <c r="E3028" s="107"/>
      <c r="F3028" s="106"/>
      <c r="G3028" s="81"/>
      <c r="H3028" s="81"/>
      <c r="I3028" s="81"/>
      <c r="J3028" s="81"/>
      <c r="K3028" s="81"/>
      <c r="L3028" s="81"/>
      <c r="M3028" s="81"/>
      <c r="N3028" s="81"/>
    </row>
    <row r="3029" spans="1:14" ht="14.25" customHeight="1" x14ac:dyDescent="0.25">
      <c r="A3029" s="611" t="s">
        <v>548</v>
      </c>
      <c r="B3029" s="608"/>
      <c r="C3029" s="609"/>
      <c r="D3029" s="110"/>
      <c r="E3029" s="110"/>
      <c r="F3029" s="112">
        <f>SUM(F3024:F3027)</f>
        <v>3058.7785750041712</v>
      </c>
      <c r="G3029" s="81"/>
      <c r="H3029" s="81"/>
      <c r="I3029" s="81"/>
      <c r="J3029" s="81"/>
      <c r="K3029" s="81"/>
      <c r="L3029" s="81"/>
      <c r="M3029" s="81"/>
      <c r="N3029" s="81"/>
    </row>
    <row r="3030" spans="1:14" ht="14.25" customHeight="1" x14ac:dyDescent="0.25">
      <c r="A3030" s="88"/>
      <c r="B3030" s="88"/>
      <c r="C3030" s="89"/>
      <c r="D3030" s="113"/>
      <c r="E3030" s="113"/>
      <c r="F3030" s="113"/>
      <c r="G3030" s="81"/>
      <c r="H3030" s="81"/>
      <c r="I3030" s="81"/>
      <c r="J3030" s="81"/>
      <c r="K3030" s="81"/>
      <c r="L3030" s="81"/>
      <c r="M3030" s="81"/>
      <c r="N3030" s="81"/>
    </row>
    <row r="3031" spans="1:14" ht="14.25" customHeight="1" x14ac:dyDescent="0.25">
      <c r="A3031" s="96" t="s">
        <v>578</v>
      </c>
      <c r="B3031" s="96"/>
      <c r="C3031" s="92"/>
      <c r="D3031" s="118"/>
      <c r="E3031" s="118"/>
      <c r="F3031" s="118"/>
      <c r="G3031" s="81"/>
      <c r="H3031" s="81"/>
      <c r="I3031" s="81"/>
      <c r="J3031" s="81"/>
      <c r="K3031" s="81"/>
      <c r="L3031" s="81"/>
      <c r="M3031" s="81"/>
      <c r="N3031" s="81"/>
    </row>
    <row r="3032" spans="1:14" ht="14.25" customHeight="1" x14ac:dyDescent="0.25">
      <c r="A3032" s="119" t="s">
        <v>563</v>
      </c>
      <c r="B3032" s="120" t="s">
        <v>579</v>
      </c>
      <c r="C3032" s="120" t="s">
        <v>580</v>
      </c>
      <c r="D3032" s="121" t="s">
        <v>581</v>
      </c>
      <c r="E3032" s="121" t="s">
        <v>575</v>
      </c>
      <c r="F3032" s="121" t="s">
        <v>568</v>
      </c>
      <c r="G3032" s="81"/>
      <c r="H3032" s="81"/>
      <c r="I3032" s="81"/>
      <c r="J3032" s="81"/>
      <c r="K3032" s="81"/>
      <c r="L3032" s="81"/>
      <c r="M3032" s="81"/>
      <c r="N3032" s="81"/>
    </row>
    <row r="3033" spans="1:14" ht="14.25" customHeight="1" x14ac:dyDescent="0.25">
      <c r="A3033" s="122" t="s">
        <v>593</v>
      </c>
      <c r="B3033" s="127">
        <v>1</v>
      </c>
      <c r="C3033" s="101">
        <v>32688</v>
      </c>
      <c r="D3033" s="101">
        <f t="shared" ref="D3033:D3034" si="163">+C3033*1.7</f>
        <v>55569.599999999999</v>
      </c>
      <c r="E3033" s="107">
        <v>5.9930000000000003</v>
      </c>
      <c r="F3033" s="106">
        <f t="shared" ref="F3033:F3034" si="164">+B3033*(D3033)/E3033</f>
        <v>9272.4178207909226</v>
      </c>
      <c r="G3033" s="81"/>
      <c r="H3033" s="81"/>
      <c r="I3033" s="81"/>
      <c r="J3033" s="81"/>
      <c r="K3033" s="81"/>
      <c r="L3033" s="81"/>
      <c r="M3033" s="81"/>
      <c r="N3033" s="81"/>
    </row>
    <row r="3034" spans="1:14" ht="14.25" customHeight="1" x14ac:dyDescent="0.25">
      <c r="A3034" s="122" t="s">
        <v>594</v>
      </c>
      <c r="B3034" s="127">
        <v>1</v>
      </c>
      <c r="C3034" s="101">
        <v>52538</v>
      </c>
      <c r="D3034" s="101">
        <f t="shared" si="163"/>
        <v>89314.599999999991</v>
      </c>
      <c r="E3034" s="107">
        <f>E3033</f>
        <v>5.9930000000000003</v>
      </c>
      <c r="F3034" s="106">
        <f t="shared" si="164"/>
        <v>14903.153679292505</v>
      </c>
      <c r="G3034" s="81"/>
      <c r="H3034" s="81"/>
      <c r="I3034" s="81"/>
      <c r="J3034" s="81"/>
      <c r="K3034" s="81"/>
      <c r="L3034" s="81"/>
      <c r="M3034" s="81"/>
      <c r="N3034" s="81"/>
    </row>
    <row r="3035" spans="1:14" ht="14.25" customHeight="1" x14ac:dyDescent="0.25">
      <c r="A3035" s="122"/>
      <c r="B3035" s="127"/>
      <c r="C3035" s="101"/>
      <c r="D3035" s="101"/>
      <c r="E3035" s="105"/>
      <c r="F3035" s="106"/>
      <c r="G3035" s="81"/>
      <c r="H3035" s="81"/>
      <c r="I3035" s="81"/>
      <c r="J3035" s="81"/>
      <c r="K3035" s="81"/>
      <c r="L3035" s="81"/>
      <c r="M3035" s="81"/>
      <c r="N3035" s="81"/>
    </row>
    <row r="3036" spans="1:14" ht="14.25" customHeight="1" x14ac:dyDescent="0.25">
      <c r="A3036" s="122"/>
      <c r="B3036" s="127"/>
      <c r="C3036" s="101"/>
      <c r="D3036" s="101"/>
      <c r="E3036" s="125"/>
      <c r="F3036" s="106"/>
      <c r="G3036" s="81"/>
      <c r="H3036" s="81"/>
      <c r="I3036" s="81"/>
      <c r="J3036" s="81"/>
      <c r="K3036" s="81"/>
      <c r="L3036" s="81"/>
      <c r="M3036" s="81"/>
      <c r="N3036" s="81"/>
    </row>
    <row r="3037" spans="1:14" ht="14.25" customHeight="1" x14ac:dyDescent="0.25">
      <c r="A3037" s="97" t="s">
        <v>548</v>
      </c>
      <c r="B3037" s="128"/>
      <c r="C3037" s="110"/>
      <c r="D3037" s="110"/>
      <c r="E3037" s="110"/>
      <c r="F3037" s="112">
        <f>SUM(F3033:F3036)</f>
        <v>24175.571500083428</v>
      </c>
      <c r="G3037" s="81"/>
      <c r="H3037" s="81"/>
      <c r="I3037" s="81"/>
      <c r="J3037" s="81"/>
      <c r="K3037" s="81"/>
      <c r="L3037" s="81"/>
      <c r="M3037" s="81"/>
      <c r="N3037" s="81"/>
    </row>
    <row r="3038" spans="1:14" ht="14.25" customHeight="1" x14ac:dyDescent="0.25">
      <c r="A3038" s="96"/>
      <c r="B3038" s="129"/>
      <c r="C3038" s="118"/>
      <c r="D3038" s="118"/>
      <c r="E3038" s="118"/>
      <c r="F3038" s="118"/>
      <c r="G3038" s="81"/>
      <c r="H3038" s="81"/>
      <c r="I3038" s="81"/>
      <c r="J3038" s="81"/>
      <c r="K3038" s="81"/>
      <c r="L3038" s="81"/>
      <c r="M3038" s="81"/>
      <c r="N3038" s="81"/>
    </row>
    <row r="3039" spans="1:14" ht="14.25" customHeight="1" x14ac:dyDescent="0.25">
      <c r="A3039" s="95" t="s">
        <v>583</v>
      </c>
      <c r="B3039" s="96"/>
      <c r="C3039" s="92"/>
      <c r="D3039" s="92"/>
      <c r="E3039" s="92" t="s">
        <v>584</v>
      </c>
      <c r="F3039" s="92"/>
      <c r="G3039" s="81"/>
      <c r="H3039" s="81"/>
      <c r="I3039" s="81"/>
      <c r="J3039" s="81"/>
      <c r="K3039" s="81"/>
      <c r="L3039" s="81"/>
      <c r="M3039" s="81"/>
      <c r="N3039" s="81"/>
    </row>
    <row r="3040" spans="1:14" ht="14.25" customHeight="1" x14ac:dyDescent="0.25">
      <c r="A3040" s="97" t="s">
        <v>563</v>
      </c>
      <c r="B3040" s="98" t="s">
        <v>564</v>
      </c>
      <c r="C3040" s="98" t="s">
        <v>585</v>
      </c>
      <c r="D3040" s="98" t="s">
        <v>586</v>
      </c>
      <c r="E3040" s="120" t="s">
        <v>587</v>
      </c>
      <c r="F3040" s="98" t="s">
        <v>568</v>
      </c>
      <c r="G3040" s="81"/>
      <c r="H3040" s="81"/>
      <c r="I3040" s="81"/>
      <c r="J3040" s="81"/>
      <c r="K3040" s="81"/>
      <c r="L3040" s="81"/>
      <c r="M3040" s="81"/>
      <c r="N3040" s="81"/>
    </row>
    <row r="3041" spans="1:14" ht="14.25" customHeight="1" x14ac:dyDescent="0.25">
      <c r="A3041" s="103"/>
      <c r="B3041" s="100"/>
      <c r="C3041" s="101"/>
      <c r="D3041" s="140"/>
      <c r="E3041" s="107"/>
      <c r="F3041" s="109"/>
      <c r="G3041" s="81"/>
      <c r="H3041" s="81"/>
      <c r="I3041" s="81"/>
      <c r="J3041" s="81"/>
      <c r="K3041" s="81"/>
      <c r="L3041" s="81"/>
      <c r="M3041" s="81"/>
      <c r="N3041" s="81"/>
    </row>
    <row r="3042" spans="1:14" ht="14.25" customHeight="1" x14ac:dyDescent="0.25">
      <c r="A3042" s="103"/>
      <c r="B3042" s="100"/>
      <c r="C3042" s="107"/>
      <c r="D3042" s="107"/>
      <c r="E3042" s="108"/>
      <c r="F3042" s="109"/>
      <c r="G3042" s="81"/>
      <c r="H3042" s="81"/>
      <c r="I3042" s="81"/>
      <c r="J3042" s="81"/>
      <c r="K3042" s="81"/>
      <c r="L3042" s="81"/>
      <c r="M3042" s="81"/>
      <c r="N3042" s="81"/>
    </row>
    <row r="3043" spans="1:14" ht="14.25" customHeight="1" x14ac:dyDescent="0.25">
      <c r="A3043" s="97" t="s">
        <v>548</v>
      </c>
      <c r="B3043" s="98"/>
      <c r="C3043" s="110"/>
      <c r="D3043" s="110"/>
      <c r="E3043" s="111"/>
      <c r="F3043" s="112">
        <f>SUM(F3041:F3042)</f>
        <v>0</v>
      </c>
      <c r="G3043" s="81"/>
      <c r="H3043" s="81"/>
      <c r="I3043" s="81"/>
      <c r="J3043" s="81"/>
      <c r="K3043" s="81"/>
      <c r="L3043" s="81"/>
      <c r="M3043" s="81"/>
      <c r="N3043" s="81"/>
    </row>
    <row r="3044" spans="1:14" ht="14.25" customHeight="1" x14ac:dyDescent="0.25">
      <c r="A3044" s="88"/>
      <c r="B3044" s="89"/>
      <c r="C3044" s="113"/>
      <c r="D3044" s="113"/>
      <c r="E3044" s="114"/>
      <c r="F3044" s="113"/>
      <c r="G3044" s="81"/>
      <c r="H3044" s="81"/>
      <c r="I3044" s="81"/>
      <c r="J3044" s="81"/>
      <c r="K3044" s="81"/>
      <c r="L3044" s="81"/>
      <c r="M3044" s="81"/>
      <c r="N3044" s="81"/>
    </row>
    <row r="3045" spans="1:14" ht="14.25" customHeight="1" x14ac:dyDescent="0.25">
      <c r="A3045" s="88"/>
      <c r="B3045" s="89"/>
      <c r="C3045" s="113"/>
      <c r="D3045" s="113"/>
      <c r="E3045" s="114"/>
      <c r="F3045" s="113"/>
      <c r="G3045" s="81"/>
      <c r="H3045" s="81"/>
      <c r="I3045" s="81"/>
      <c r="J3045" s="81"/>
      <c r="K3045" s="81"/>
      <c r="L3045" s="81"/>
      <c r="M3045" s="81"/>
      <c r="N3045" s="81"/>
    </row>
    <row r="3046" spans="1:14" ht="14.25" customHeight="1" x14ac:dyDescent="0.25">
      <c r="A3046" s="612" t="s">
        <v>588</v>
      </c>
      <c r="B3046" s="608"/>
      <c r="C3046" s="608"/>
      <c r="D3046" s="608"/>
      <c r="E3046" s="609"/>
      <c r="F3046" s="131">
        <f>ROUND(F3020+F3029+F3037+F3043,0)</f>
        <v>72850</v>
      </c>
      <c r="G3046" s="81"/>
      <c r="H3046" s="117"/>
      <c r="I3046" s="81"/>
      <c r="J3046" s="81"/>
      <c r="K3046" s="81"/>
      <c r="L3046" s="81"/>
      <c r="M3046" s="81"/>
      <c r="N3046" s="81"/>
    </row>
    <row r="3047" spans="1:14" ht="14.25" customHeight="1" x14ac:dyDescent="0.25">
      <c r="A3047" s="612" t="s">
        <v>589</v>
      </c>
      <c r="B3047" s="608"/>
      <c r="C3047" s="608"/>
      <c r="D3047" s="608"/>
      <c r="E3047" s="609"/>
      <c r="F3047" s="132"/>
      <c r="G3047" s="81"/>
      <c r="H3047" s="81"/>
      <c r="I3047" s="81"/>
      <c r="J3047" s="81"/>
      <c r="K3047" s="81"/>
      <c r="L3047" s="81"/>
      <c r="M3047" s="81"/>
      <c r="N3047" s="81"/>
    </row>
    <row r="3048" spans="1:14" ht="14.25" customHeight="1" x14ac:dyDescent="0.25">
      <c r="A3048" s="146" t="s">
        <v>556</v>
      </c>
      <c r="B3048" s="147"/>
      <c r="C3048" s="147"/>
      <c r="D3048" s="147"/>
      <c r="E3048" s="148"/>
      <c r="F3048" s="133"/>
      <c r="G3048" s="81"/>
      <c r="H3048" s="81"/>
      <c r="I3048" s="81"/>
      <c r="J3048" s="81"/>
      <c r="K3048" s="81"/>
      <c r="L3048" s="81"/>
      <c r="M3048" s="81"/>
      <c r="N3048" s="81"/>
    </row>
    <row r="3049" spans="1:14" ht="14.25" customHeight="1" x14ac:dyDescent="0.25">
      <c r="A3049" s="134"/>
      <c r="B3049" s="135"/>
      <c r="C3049" s="135"/>
      <c r="D3049" s="135"/>
      <c r="E3049" s="135"/>
      <c r="F3049" s="136"/>
      <c r="G3049" s="81"/>
      <c r="H3049" s="81"/>
      <c r="I3049" s="81"/>
      <c r="J3049" s="81"/>
      <c r="K3049" s="81"/>
      <c r="L3049" s="81"/>
      <c r="M3049" s="81"/>
      <c r="N3049" s="81"/>
    </row>
    <row r="3050" spans="1:14" ht="14.25" customHeight="1" x14ac:dyDescent="0.25">
      <c r="A3050" s="81"/>
      <c r="B3050" s="81"/>
      <c r="C3050" s="137"/>
      <c r="D3050" s="81"/>
      <c r="E3050" s="81"/>
      <c r="F3050" s="81"/>
      <c r="G3050" s="81"/>
      <c r="H3050" s="81"/>
      <c r="I3050" s="81"/>
      <c r="J3050" s="81"/>
      <c r="K3050" s="81"/>
      <c r="L3050" s="81"/>
      <c r="M3050" s="81"/>
      <c r="N3050" s="81"/>
    </row>
    <row r="3051" spans="1:14" ht="14.25" customHeight="1" x14ac:dyDescent="0.25">
      <c r="A3051" s="81"/>
      <c r="B3051" s="81"/>
      <c r="C3051" s="137"/>
      <c r="D3051" s="81"/>
      <c r="E3051" s="81"/>
      <c r="F3051" s="81"/>
      <c r="G3051" s="81"/>
      <c r="H3051" s="81"/>
      <c r="I3051" s="81"/>
      <c r="J3051" s="81"/>
      <c r="K3051" s="81"/>
      <c r="L3051" s="81"/>
      <c r="M3051" s="81"/>
      <c r="N3051" s="81"/>
    </row>
    <row r="3052" spans="1:14" ht="14.25" customHeight="1" x14ac:dyDescent="0.25">
      <c r="A3052" s="81"/>
      <c r="B3052" s="81"/>
      <c r="C3052" s="137"/>
      <c r="D3052" s="81"/>
      <c r="E3052" s="81"/>
      <c r="F3052" s="81"/>
      <c r="G3052" s="81"/>
      <c r="H3052" s="81"/>
      <c r="I3052" s="81"/>
      <c r="J3052" s="81"/>
      <c r="K3052" s="81"/>
      <c r="L3052" s="81"/>
      <c r="M3052" s="81"/>
      <c r="N3052" s="81"/>
    </row>
    <row r="3053" spans="1:14" ht="14.25" customHeight="1" x14ac:dyDescent="0.25">
      <c r="A3053" s="81"/>
      <c r="B3053" s="81"/>
      <c r="C3053" s="137"/>
      <c r="D3053" s="81"/>
      <c r="E3053" s="81"/>
      <c r="F3053" s="81"/>
      <c r="G3053" s="81"/>
      <c r="H3053" s="81"/>
      <c r="I3053" s="81"/>
      <c r="J3053" s="81"/>
      <c r="K3053" s="81"/>
      <c r="L3053" s="81"/>
      <c r="M3053" s="81"/>
      <c r="N3053" s="81"/>
    </row>
    <row r="3054" spans="1:14" ht="14.25" customHeight="1" x14ac:dyDescent="0.25">
      <c r="A3054" s="81"/>
      <c r="B3054" s="81"/>
      <c r="C3054" s="137"/>
      <c r="D3054" s="81"/>
      <c r="E3054" s="81"/>
      <c r="F3054" s="81"/>
      <c r="G3054" s="81"/>
      <c r="H3054" s="81"/>
      <c r="I3054" s="81"/>
      <c r="J3054" s="81"/>
      <c r="K3054" s="81"/>
      <c r="L3054" s="81"/>
      <c r="M3054" s="81"/>
      <c r="N3054" s="81"/>
    </row>
    <row r="3055" spans="1:14" ht="14.25" customHeight="1" x14ac:dyDescent="0.25">
      <c r="A3055" s="81"/>
      <c r="B3055" s="81"/>
      <c r="C3055" s="137"/>
      <c r="D3055" s="81"/>
      <c r="E3055" s="81"/>
      <c r="F3055" s="81"/>
      <c r="G3055" s="81"/>
      <c r="H3055" s="81"/>
      <c r="I3055" s="81"/>
      <c r="J3055" s="81"/>
      <c r="K3055" s="81"/>
      <c r="L3055" s="81"/>
      <c r="M3055" s="81"/>
      <c r="N3055" s="81"/>
    </row>
    <row r="3056" spans="1:14" ht="14.25" customHeight="1" x14ac:dyDescent="0.25">
      <c r="A3056" s="134"/>
      <c r="B3056" s="135"/>
      <c r="C3056" s="135"/>
      <c r="D3056" s="135"/>
      <c r="E3056" s="135"/>
      <c r="F3056" s="136"/>
      <c r="G3056" s="81"/>
      <c r="H3056" s="81"/>
      <c r="I3056" s="81"/>
      <c r="J3056" s="81"/>
      <c r="K3056" s="81"/>
      <c r="L3056" s="81"/>
      <c r="M3056" s="81"/>
      <c r="N3056" s="81"/>
    </row>
    <row r="3057" spans="1:14" ht="14.25" customHeight="1" x14ac:dyDescent="0.25">
      <c r="A3057" s="134"/>
      <c r="B3057" s="135"/>
      <c r="C3057" s="135"/>
      <c r="D3057" s="135"/>
      <c r="E3057" s="135"/>
      <c r="F3057" s="136"/>
      <c r="G3057" s="81"/>
      <c r="H3057" s="81"/>
      <c r="I3057" s="81"/>
      <c r="J3057" s="81"/>
      <c r="K3057" s="81"/>
      <c r="L3057" s="81"/>
      <c r="M3057" s="81"/>
      <c r="N3057" s="81"/>
    </row>
    <row r="3058" spans="1:14" ht="14.25" customHeight="1" x14ac:dyDescent="0.25">
      <c r="A3058" s="134"/>
      <c r="B3058" s="135"/>
      <c r="C3058" s="135"/>
      <c r="D3058" s="135"/>
      <c r="E3058" s="135"/>
      <c r="F3058" s="136"/>
      <c r="G3058" s="81"/>
      <c r="H3058" s="81"/>
      <c r="I3058" s="81"/>
      <c r="J3058" s="81"/>
      <c r="K3058" s="81"/>
      <c r="L3058" s="81"/>
      <c r="M3058" s="81"/>
      <c r="N3058" s="81"/>
    </row>
    <row r="3059" spans="1:14" ht="14.25" customHeight="1" thickBot="1" x14ac:dyDescent="0.3">
      <c r="A3059" s="81"/>
      <c r="B3059" s="81"/>
      <c r="C3059" s="81"/>
      <c r="D3059" s="81"/>
      <c r="E3059" s="81"/>
      <c r="F3059" s="81"/>
      <c r="G3059" s="81"/>
      <c r="H3059" s="81"/>
      <c r="I3059" s="81"/>
      <c r="J3059" s="81"/>
      <c r="K3059" s="81"/>
      <c r="L3059" s="81"/>
      <c r="M3059" s="81"/>
      <c r="N3059" s="81"/>
    </row>
    <row r="3060" spans="1:14" ht="14.25" customHeight="1" x14ac:dyDescent="0.25">
      <c r="A3060" s="83"/>
      <c r="B3060" s="84"/>
      <c r="C3060" s="85"/>
      <c r="D3060" s="86"/>
      <c r="E3060" s="86"/>
      <c r="F3060" s="87"/>
      <c r="G3060" s="81"/>
      <c r="H3060" s="81"/>
      <c r="I3060" s="81"/>
      <c r="J3060" s="81"/>
      <c r="K3060" s="81"/>
      <c r="L3060" s="81"/>
      <c r="M3060" s="81"/>
      <c r="N3060" s="81"/>
    </row>
    <row r="3061" spans="1:14" ht="14.25" customHeight="1" x14ac:dyDescent="0.25">
      <c r="A3061" s="599"/>
      <c r="B3061" s="600"/>
      <c r="C3061" s="600"/>
      <c r="D3061" s="600"/>
      <c r="E3061" s="600"/>
      <c r="F3061" s="601"/>
      <c r="G3061" s="81"/>
      <c r="H3061" s="81"/>
      <c r="I3061" s="81"/>
      <c r="J3061" s="81"/>
      <c r="K3061" s="81"/>
      <c r="L3061" s="81"/>
      <c r="M3061" s="81"/>
      <c r="N3061" s="81"/>
    </row>
    <row r="3062" spans="1:14" ht="14.25" customHeight="1" x14ac:dyDescent="0.25">
      <c r="A3062" s="602" t="s">
        <v>561</v>
      </c>
      <c r="B3062" s="600"/>
      <c r="C3062" s="600"/>
      <c r="D3062" s="600"/>
      <c r="E3062" s="600"/>
      <c r="F3062" s="601"/>
      <c r="G3062" s="81"/>
      <c r="H3062" s="81"/>
      <c r="I3062" s="81"/>
      <c r="J3062" s="81"/>
      <c r="K3062" s="81"/>
      <c r="L3062" s="81"/>
      <c r="M3062" s="81"/>
      <c r="N3062" s="81"/>
    </row>
    <row r="3063" spans="1:14" ht="14.25" customHeight="1" thickBot="1" x14ac:dyDescent="0.3">
      <c r="A3063" s="603"/>
      <c r="B3063" s="604"/>
      <c r="C3063" s="604"/>
      <c r="D3063" s="604"/>
      <c r="E3063" s="604"/>
      <c r="F3063" s="605"/>
      <c r="G3063" s="81"/>
      <c r="H3063" s="81"/>
      <c r="I3063" s="81"/>
      <c r="J3063" s="81"/>
      <c r="K3063" s="81"/>
      <c r="L3063" s="81"/>
      <c r="M3063" s="81"/>
      <c r="N3063" s="81"/>
    </row>
    <row r="3064" spans="1:14" ht="14.25" customHeight="1" x14ac:dyDescent="0.25">
      <c r="A3064" s="88"/>
      <c r="B3064" s="88"/>
      <c r="C3064" s="89"/>
      <c r="D3064" s="89"/>
      <c r="E3064" s="89"/>
      <c r="F3064" s="89"/>
      <c r="G3064" s="81"/>
      <c r="H3064" s="81"/>
      <c r="I3064" s="81"/>
      <c r="J3064" s="81"/>
      <c r="K3064" s="81"/>
      <c r="L3064" s="81"/>
      <c r="M3064" s="81"/>
      <c r="N3064" s="81"/>
    </row>
    <row r="3065" spans="1:14" ht="25.5" customHeight="1" x14ac:dyDescent="0.25">
      <c r="A3065" s="90" t="s">
        <v>47</v>
      </c>
      <c r="B3065" s="613" t="s">
        <v>160</v>
      </c>
      <c r="C3065" s="600"/>
      <c r="D3065" s="600"/>
      <c r="E3065" s="600"/>
      <c r="F3065" s="600"/>
      <c r="G3065" s="81"/>
      <c r="H3065" s="81"/>
      <c r="I3065" s="81"/>
      <c r="J3065" s="81"/>
      <c r="K3065" s="81"/>
      <c r="L3065" s="81"/>
      <c r="M3065" s="81"/>
      <c r="N3065" s="81"/>
    </row>
    <row r="3066" spans="1:14" ht="14.25" customHeight="1" x14ac:dyDescent="0.25">
      <c r="A3066" s="91"/>
      <c r="B3066" s="91"/>
      <c r="C3066" s="91"/>
      <c r="D3066" s="91"/>
      <c r="E3066" s="91"/>
      <c r="F3066" s="91"/>
      <c r="G3066" s="81"/>
      <c r="H3066" s="81"/>
      <c r="I3066" s="81"/>
      <c r="J3066" s="81"/>
      <c r="K3066" s="81"/>
      <c r="L3066" s="81"/>
      <c r="M3066" s="81"/>
      <c r="N3066" s="81"/>
    </row>
    <row r="3067" spans="1:14" ht="14.25" customHeight="1" x14ac:dyDescent="0.25">
      <c r="A3067" s="88" t="s">
        <v>49</v>
      </c>
      <c r="B3067" s="92" t="s">
        <v>56</v>
      </c>
      <c r="C3067" s="89"/>
      <c r="D3067" s="89"/>
      <c r="E3067" s="89"/>
      <c r="F3067" s="93"/>
      <c r="G3067" s="81"/>
      <c r="H3067" s="81"/>
      <c r="I3067" s="81"/>
      <c r="J3067" s="81"/>
      <c r="K3067" s="81"/>
      <c r="L3067" s="81"/>
      <c r="M3067" s="81"/>
      <c r="N3067" s="81"/>
    </row>
    <row r="3068" spans="1:14" ht="14.25" customHeight="1" x14ac:dyDescent="0.25">
      <c r="A3068" s="88"/>
      <c r="B3068" s="94"/>
      <c r="C3068" s="89"/>
      <c r="D3068" s="89"/>
      <c r="E3068" s="89"/>
      <c r="F3068" s="93"/>
      <c r="G3068" s="81"/>
      <c r="H3068" s="81"/>
      <c r="I3068" s="81"/>
      <c r="J3068" s="81"/>
      <c r="K3068" s="81"/>
      <c r="L3068" s="81"/>
      <c r="M3068" s="81"/>
      <c r="N3068" s="81"/>
    </row>
    <row r="3069" spans="1:14" ht="14.25" customHeight="1" x14ac:dyDescent="0.25">
      <c r="A3069" s="95" t="s">
        <v>562</v>
      </c>
      <c r="B3069" s="96"/>
      <c r="C3069" s="92"/>
      <c r="D3069" s="92"/>
      <c r="E3069" s="92"/>
      <c r="F3069" s="92"/>
      <c r="G3069" s="81"/>
      <c r="H3069" s="81"/>
      <c r="I3069" s="81"/>
      <c r="J3069" s="81"/>
      <c r="K3069" s="81"/>
      <c r="L3069" s="81"/>
      <c r="M3069" s="81"/>
      <c r="N3069" s="81"/>
    </row>
    <row r="3070" spans="1:14" ht="14.25" customHeight="1" x14ac:dyDescent="0.25">
      <c r="A3070" s="97" t="s">
        <v>563</v>
      </c>
      <c r="B3070" s="98" t="s">
        <v>564</v>
      </c>
      <c r="C3070" s="98" t="s">
        <v>565</v>
      </c>
      <c r="D3070" s="98" t="s">
        <v>566</v>
      </c>
      <c r="E3070" s="98" t="s">
        <v>567</v>
      </c>
      <c r="F3070" s="98" t="s">
        <v>568</v>
      </c>
      <c r="G3070" s="81"/>
      <c r="H3070" s="81"/>
      <c r="I3070" s="81"/>
      <c r="J3070" s="81"/>
      <c r="K3070" s="81"/>
      <c r="L3070" s="81"/>
      <c r="M3070" s="81"/>
      <c r="N3070" s="81"/>
    </row>
    <row r="3071" spans="1:14" ht="14.25" customHeight="1" x14ac:dyDescent="0.25">
      <c r="A3071" s="99" t="s">
        <v>688</v>
      </c>
      <c r="B3071" s="100" t="s">
        <v>99</v>
      </c>
      <c r="C3071" s="101">
        <v>3000</v>
      </c>
      <c r="D3071" s="149">
        <v>0.7</v>
      </c>
      <c r="E3071" s="102">
        <v>0.05</v>
      </c>
      <c r="F3071" s="101">
        <f t="shared" ref="F3071:F3080" si="165">C3071*(D3071+(D3071*E3071))</f>
        <v>2205</v>
      </c>
      <c r="G3071" s="81"/>
      <c r="H3071" s="81"/>
      <c r="I3071" s="81"/>
      <c r="J3071" s="81"/>
      <c r="K3071" s="81"/>
      <c r="L3071" s="81"/>
      <c r="M3071" s="81"/>
      <c r="N3071" s="81"/>
    </row>
    <row r="3072" spans="1:14" ht="14.25" customHeight="1" x14ac:dyDescent="0.25">
      <c r="A3072" s="99" t="s">
        <v>683</v>
      </c>
      <c r="B3072" s="100" t="s">
        <v>117</v>
      </c>
      <c r="C3072" s="101">
        <v>1200</v>
      </c>
      <c r="D3072" s="149">
        <v>1.2</v>
      </c>
      <c r="E3072" s="102">
        <v>0.05</v>
      </c>
      <c r="F3072" s="101">
        <f t="shared" si="165"/>
        <v>1512</v>
      </c>
      <c r="G3072" s="81"/>
      <c r="H3072" s="81"/>
      <c r="I3072" s="81"/>
      <c r="J3072" s="81"/>
      <c r="K3072" s="81"/>
      <c r="L3072" s="81"/>
      <c r="M3072" s="81"/>
      <c r="N3072" s="81"/>
    </row>
    <row r="3073" spans="1:14" ht="14.25" customHeight="1" x14ac:dyDescent="0.25">
      <c r="A3073" s="99" t="s">
        <v>692</v>
      </c>
      <c r="B3073" s="100" t="s">
        <v>99</v>
      </c>
      <c r="C3073" s="101">
        <v>8500</v>
      </c>
      <c r="D3073" s="149">
        <v>2.1</v>
      </c>
      <c r="E3073" s="102">
        <v>0.05</v>
      </c>
      <c r="F3073" s="101">
        <f t="shared" si="165"/>
        <v>18742.5</v>
      </c>
      <c r="G3073" s="81"/>
      <c r="H3073" s="81"/>
      <c r="I3073" s="81"/>
      <c r="J3073" s="81"/>
      <c r="K3073" s="81"/>
      <c r="L3073" s="81"/>
      <c r="M3073" s="81"/>
      <c r="N3073" s="81"/>
    </row>
    <row r="3074" spans="1:14" ht="14.25" customHeight="1" x14ac:dyDescent="0.25">
      <c r="A3074" s="99" t="s">
        <v>684</v>
      </c>
      <c r="B3074" s="100" t="s">
        <v>99</v>
      </c>
      <c r="C3074" s="101">
        <v>6350</v>
      </c>
      <c r="D3074" s="149">
        <v>3.5</v>
      </c>
      <c r="E3074" s="102">
        <v>0.05</v>
      </c>
      <c r="F3074" s="101">
        <f t="shared" si="165"/>
        <v>23336.25</v>
      </c>
      <c r="G3074" s="81"/>
      <c r="H3074" s="81"/>
      <c r="I3074" s="81"/>
      <c r="J3074" s="81"/>
      <c r="K3074" s="81"/>
      <c r="L3074" s="81"/>
      <c r="M3074" s="81"/>
      <c r="N3074" s="81"/>
    </row>
    <row r="3075" spans="1:14" ht="14.25" customHeight="1" x14ac:dyDescent="0.25">
      <c r="A3075" s="99" t="s">
        <v>685</v>
      </c>
      <c r="B3075" s="100" t="s">
        <v>99</v>
      </c>
      <c r="C3075" s="101">
        <v>7245</v>
      </c>
      <c r="D3075" s="149">
        <v>3.2</v>
      </c>
      <c r="E3075" s="102">
        <v>0.05</v>
      </c>
      <c r="F3075" s="101">
        <f t="shared" si="165"/>
        <v>24343.200000000001</v>
      </c>
      <c r="G3075" s="81"/>
      <c r="H3075" s="81"/>
      <c r="I3075" s="81"/>
      <c r="J3075" s="81"/>
      <c r="K3075" s="81"/>
      <c r="L3075" s="81"/>
      <c r="M3075" s="81"/>
      <c r="N3075" s="81"/>
    </row>
    <row r="3076" spans="1:14" ht="14.25" customHeight="1" x14ac:dyDescent="0.25">
      <c r="A3076" s="99" t="s">
        <v>693</v>
      </c>
      <c r="B3076" s="100" t="s">
        <v>99</v>
      </c>
      <c r="C3076" s="101">
        <v>80250</v>
      </c>
      <c r="D3076" s="149">
        <v>0.34</v>
      </c>
      <c r="E3076" s="102">
        <v>0.05</v>
      </c>
      <c r="F3076" s="101">
        <f t="shared" si="165"/>
        <v>28649.250000000004</v>
      </c>
      <c r="G3076" s="81"/>
      <c r="H3076" s="81"/>
      <c r="I3076" s="81"/>
      <c r="J3076" s="81"/>
      <c r="K3076" s="81"/>
      <c r="L3076" s="81"/>
      <c r="M3076" s="81"/>
      <c r="N3076" s="81"/>
    </row>
    <row r="3077" spans="1:14" ht="14.25" customHeight="1" x14ac:dyDescent="0.25">
      <c r="A3077" s="99" t="s">
        <v>687</v>
      </c>
      <c r="B3077" s="100" t="s">
        <v>117</v>
      </c>
      <c r="C3077" s="101">
        <v>200</v>
      </c>
      <c r="D3077" s="149">
        <v>1.3</v>
      </c>
      <c r="E3077" s="102">
        <v>0.05</v>
      </c>
      <c r="F3077" s="101">
        <f t="shared" si="165"/>
        <v>273</v>
      </c>
      <c r="G3077" s="81"/>
      <c r="H3077" s="81"/>
      <c r="I3077" s="81"/>
      <c r="J3077" s="81"/>
      <c r="K3077" s="81"/>
      <c r="L3077" s="81"/>
      <c r="M3077" s="81"/>
      <c r="N3077" s="81"/>
    </row>
    <row r="3078" spans="1:14" ht="14.25" customHeight="1" x14ac:dyDescent="0.25">
      <c r="A3078" s="99" t="s">
        <v>690</v>
      </c>
      <c r="B3078" s="100" t="s">
        <v>651</v>
      </c>
      <c r="C3078" s="101">
        <v>12500</v>
      </c>
      <c r="D3078" s="149">
        <v>0.45</v>
      </c>
      <c r="E3078" s="102">
        <v>0.05</v>
      </c>
      <c r="F3078" s="101">
        <f t="shared" si="165"/>
        <v>5906.25</v>
      </c>
      <c r="G3078" s="81"/>
      <c r="H3078" s="81"/>
      <c r="I3078" s="81"/>
      <c r="J3078" s="81"/>
      <c r="K3078" s="81"/>
      <c r="L3078" s="81"/>
      <c r="M3078" s="81"/>
      <c r="N3078" s="81"/>
    </row>
    <row r="3079" spans="1:14" ht="14.25" customHeight="1" x14ac:dyDescent="0.25">
      <c r="A3079" s="99" t="s">
        <v>676</v>
      </c>
      <c r="B3079" s="100" t="s">
        <v>99</v>
      </c>
      <c r="C3079" s="101">
        <v>12350</v>
      </c>
      <c r="D3079" s="149">
        <v>0.08</v>
      </c>
      <c r="E3079" s="102">
        <v>0.05</v>
      </c>
      <c r="F3079" s="101">
        <f t="shared" si="165"/>
        <v>1037.4000000000001</v>
      </c>
      <c r="G3079" s="81"/>
      <c r="H3079" s="81"/>
      <c r="I3079" s="81"/>
      <c r="J3079" s="81"/>
      <c r="K3079" s="81"/>
      <c r="L3079" s="81"/>
      <c r="M3079" s="81"/>
      <c r="N3079" s="81"/>
    </row>
    <row r="3080" spans="1:14" ht="14.25" customHeight="1" x14ac:dyDescent="0.25">
      <c r="A3080" s="99" t="s">
        <v>691</v>
      </c>
      <c r="B3080" s="100" t="s">
        <v>671</v>
      </c>
      <c r="C3080" s="101">
        <v>340650</v>
      </c>
      <c r="D3080" s="149">
        <v>0.01</v>
      </c>
      <c r="E3080" s="102">
        <v>0.05</v>
      </c>
      <c r="F3080" s="101">
        <f t="shared" si="165"/>
        <v>3576.8250000000003</v>
      </c>
      <c r="G3080" s="81"/>
      <c r="H3080" s="81"/>
      <c r="I3080" s="81"/>
      <c r="J3080" s="81"/>
      <c r="K3080" s="81"/>
      <c r="L3080" s="81"/>
      <c r="M3080" s="81"/>
      <c r="N3080" s="81"/>
    </row>
    <row r="3081" spans="1:14" ht="14.25" customHeight="1" x14ac:dyDescent="0.25">
      <c r="A3081" s="99"/>
      <c r="B3081" s="100"/>
      <c r="C3081" s="106"/>
      <c r="D3081" s="107"/>
      <c r="E3081" s="108"/>
      <c r="F3081" s="106"/>
      <c r="G3081" s="81"/>
      <c r="H3081" s="81"/>
      <c r="I3081" s="81"/>
      <c r="J3081" s="81"/>
      <c r="K3081" s="81"/>
      <c r="L3081" s="81"/>
      <c r="M3081" s="81"/>
      <c r="N3081" s="81"/>
    </row>
    <row r="3082" spans="1:14" ht="14.25" customHeight="1" x14ac:dyDescent="0.25">
      <c r="A3082" s="97" t="s">
        <v>548</v>
      </c>
      <c r="B3082" s="97"/>
      <c r="C3082" s="109"/>
      <c r="D3082" s="110"/>
      <c r="E3082" s="111"/>
      <c r="F3082" s="112">
        <f>SUM(F3071:F3081)</f>
        <v>109581.67499999999</v>
      </c>
      <c r="G3082" s="81"/>
      <c r="H3082" s="81"/>
      <c r="I3082" s="81"/>
      <c r="J3082" s="81"/>
      <c r="K3082" s="81"/>
      <c r="L3082" s="81"/>
      <c r="M3082" s="81"/>
      <c r="N3082" s="81"/>
    </row>
    <row r="3083" spans="1:14" ht="14.25" customHeight="1" x14ac:dyDescent="0.25">
      <c r="A3083" s="88"/>
      <c r="B3083" s="88"/>
      <c r="C3083" s="113"/>
      <c r="D3083" s="113"/>
      <c r="E3083" s="114"/>
      <c r="F3083" s="113"/>
      <c r="G3083" s="81"/>
      <c r="H3083" s="81"/>
      <c r="I3083" s="81"/>
      <c r="J3083" s="81"/>
      <c r="K3083" s="81"/>
      <c r="L3083" s="81"/>
      <c r="M3083" s="81"/>
      <c r="N3083" s="81"/>
    </row>
    <row r="3084" spans="1:14" ht="14.25" customHeight="1" x14ac:dyDescent="0.25">
      <c r="A3084" s="96" t="s">
        <v>573</v>
      </c>
      <c r="B3084" s="96"/>
      <c r="C3084" s="92"/>
      <c r="D3084" s="92"/>
      <c r="E3084" s="92"/>
      <c r="F3084" s="92"/>
      <c r="G3084" s="81"/>
      <c r="H3084" s="81"/>
      <c r="I3084" s="81"/>
      <c r="J3084" s="81"/>
      <c r="K3084" s="81"/>
      <c r="L3084" s="81"/>
      <c r="M3084" s="81"/>
      <c r="N3084" s="81"/>
    </row>
    <row r="3085" spans="1:14" ht="14.25" customHeight="1" x14ac:dyDescent="0.25">
      <c r="A3085" s="611" t="s">
        <v>563</v>
      </c>
      <c r="B3085" s="608"/>
      <c r="C3085" s="609"/>
      <c r="D3085" s="98" t="s">
        <v>574</v>
      </c>
      <c r="E3085" s="98" t="s">
        <v>575</v>
      </c>
      <c r="F3085" s="98" t="s">
        <v>568</v>
      </c>
      <c r="G3085" s="81"/>
      <c r="H3085" s="81"/>
      <c r="I3085" s="81"/>
      <c r="J3085" s="81"/>
      <c r="K3085" s="81"/>
      <c r="L3085" s="81"/>
      <c r="M3085" s="81"/>
      <c r="N3085" s="81"/>
    </row>
    <row r="3086" spans="1:14" ht="14.25" customHeight="1" x14ac:dyDescent="0.25">
      <c r="A3086" s="607" t="s">
        <v>577</v>
      </c>
      <c r="B3086" s="608"/>
      <c r="C3086" s="609"/>
      <c r="D3086" s="116"/>
      <c r="E3086" s="107"/>
      <c r="F3086" s="106">
        <f>+F3099*5%</f>
        <v>1979.4546001038336</v>
      </c>
      <c r="G3086" s="81"/>
      <c r="H3086" s="81"/>
      <c r="I3086" s="81"/>
      <c r="J3086" s="81"/>
      <c r="K3086" s="81"/>
      <c r="L3086" s="81"/>
      <c r="M3086" s="81"/>
      <c r="N3086" s="81"/>
    </row>
    <row r="3087" spans="1:14" ht="14.25" customHeight="1" x14ac:dyDescent="0.25">
      <c r="A3087" s="607" t="s">
        <v>657</v>
      </c>
      <c r="B3087" s="608"/>
      <c r="C3087" s="609"/>
      <c r="D3087" s="142">
        <v>1850</v>
      </c>
      <c r="E3087" s="107">
        <v>1</v>
      </c>
      <c r="F3087" s="106">
        <f>D3087/E3087</f>
        <v>1850</v>
      </c>
      <c r="G3087" s="81"/>
      <c r="H3087" s="81"/>
      <c r="I3087" s="81"/>
      <c r="J3087" s="81"/>
      <c r="K3087" s="81"/>
      <c r="L3087" s="81"/>
      <c r="M3087" s="81"/>
      <c r="N3087" s="81"/>
    </row>
    <row r="3088" spans="1:14" ht="14.25" customHeight="1" x14ac:dyDescent="0.25">
      <c r="A3088" s="607"/>
      <c r="B3088" s="608"/>
      <c r="C3088" s="609"/>
      <c r="D3088" s="142"/>
      <c r="E3088" s="105"/>
      <c r="F3088" s="106"/>
      <c r="G3088" s="81"/>
      <c r="H3088" s="81"/>
      <c r="I3088" s="81"/>
      <c r="J3088" s="81"/>
      <c r="K3088" s="81"/>
      <c r="L3088" s="81"/>
      <c r="M3088" s="81"/>
      <c r="N3088" s="81"/>
    </row>
    <row r="3089" spans="1:14" ht="14.25" customHeight="1" x14ac:dyDescent="0.25">
      <c r="A3089" s="607"/>
      <c r="B3089" s="608"/>
      <c r="C3089" s="609"/>
      <c r="D3089" s="142"/>
      <c r="E3089" s="107"/>
      <c r="F3089" s="106"/>
      <c r="G3089" s="81"/>
      <c r="H3089" s="81"/>
      <c r="I3089" s="81"/>
      <c r="J3089" s="81"/>
      <c r="K3089" s="81"/>
      <c r="L3089" s="81"/>
      <c r="M3089" s="81"/>
      <c r="N3089" s="81"/>
    </row>
    <row r="3090" spans="1:14" ht="14.25" customHeight="1" x14ac:dyDescent="0.25">
      <c r="A3090" s="610"/>
      <c r="B3090" s="608"/>
      <c r="C3090" s="609"/>
      <c r="D3090" s="115"/>
      <c r="E3090" s="107"/>
      <c r="F3090" s="106"/>
      <c r="G3090" s="81"/>
      <c r="H3090" s="81"/>
      <c r="I3090" s="81"/>
      <c r="J3090" s="81"/>
      <c r="K3090" s="81"/>
      <c r="L3090" s="81"/>
      <c r="M3090" s="81"/>
      <c r="N3090" s="81"/>
    </row>
    <row r="3091" spans="1:14" ht="14.25" customHeight="1" x14ac:dyDescent="0.25">
      <c r="A3091" s="611" t="s">
        <v>548</v>
      </c>
      <c r="B3091" s="608"/>
      <c r="C3091" s="609"/>
      <c r="D3091" s="110"/>
      <c r="E3091" s="110"/>
      <c r="F3091" s="112">
        <f>SUM(F3086:F3089)</f>
        <v>3829.4546001038334</v>
      </c>
      <c r="G3091" s="81"/>
      <c r="H3091" s="81"/>
      <c r="I3091" s="81"/>
      <c r="J3091" s="81"/>
      <c r="K3091" s="81"/>
      <c r="L3091" s="81"/>
      <c r="M3091" s="81"/>
      <c r="N3091" s="81"/>
    </row>
    <row r="3092" spans="1:14" ht="14.25" customHeight="1" x14ac:dyDescent="0.25">
      <c r="A3092" s="88"/>
      <c r="B3092" s="88"/>
      <c r="C3092" s="89"/>
      <c r="D3092" s="113"/>
      <c r="E3092" s="113"/>
      <c r="F3092" s="113"/>
      <c r="G3092" s="81"/>
      <c r="H3092" s="81"/>
      <c r="I3092" s="81"/>
      <c r="J3092" s="81"/>
      <c r="K3092" s="81"/>
      <c r="L3092" s="81"/>
      <c r="M3092" s="81"/>
      <c r="N3092" s="81"/>
    </row>
    <row r="3093" spans="1:14" ht="14.25" customHeight="1" x14ac:dyDescent="0.25">
      <c r="A3093" s="96" t="s">
        <v>578</v>
      </c>
      <c r="B3093" s="96"/>
      <c r="C3093" s="92"/>
      <c r="D3093" s="118"/>
      <c r="E3093" s="118"/>
      <c r="F3093" s="118"/>
      <c r="G3093" s="81"/>
      <c r="H3093" s="81"/>
      <c r="I3093" s="81"/>
      <c r="J3093" s="81"/>
      <c r="K3093" s="81"/>
      <c r="L3093" s="81"/>
      <c r="M3093" s="81"/>
      <c r="N3093" s="81"/>
    </row>
    <row r="3094" spans="1:14" ht="14.25" customHeight="1" x14ac:dyDescent="0.25">
      <c r="A3094" s="119" t="s">
        <v>563</v>
      </c>
      <c r="B3094" s="120" t="s">
        <v>579</v>
      </c>
      <c r="C3094" s="120" t="s">
        <v>580</v>
      </c>
      <c r="D3094" s="121" t="s">
        <v>581</v>
      </c>
      <c r="E3094" s="121" t="s">
        <v>575</v>
      </c>
      <c r="F3094" s="121" t="s">
        <v>568</v>
      </c>
      <c r="G3094" s="81"/>
      <c r="H3094" s="81"/>
      <c r="I3094" s="81"/>
      <c r="J3094" s="81"/>
      <c r="K3094" s="81"/>
      <c r="L3094" s="81"/>
      <c r="M3094" s="81"/>
      <c r="N3094" s="81"/>
    </row>
    <row r="3095" spans="1:14" ht="14.25" customHeight="1" x14ac:dyDescent="0.25">
      <c r="A3095" s="122" t="s">
        <v>593</v>
      </c>
      <c r="B3095" s="127">
        <v>1</v>
      </c>
      <c r="C3095" s="101">
        <v>32688</v>
      </c>
      <c r="D3095" s="101">
        <f t="shared" ref="D3095:D3096" si="166">+C3095*1.7</f>
        <v>55569.599999999999</v>
      </c>
      <c r="E3095" s="107">
        <v>3.6597</v>
      </c>
      <c r="F3095" s="106">
        <f t="shared" ref="F3095:F3096" si="167">+B3095*(D3095)/E3095</f>
        <v>15184.195425854577</v>
      </c>
      <c r="G3095" s="81"/>
      <c r="H3095" s="81"/>
      <c r="I3095" s="81"/>
      <c r="J3095" s="81"/>
      <c r="K3095" s="81"/>
      <c r="L3095" s="81"/>
      <c r="M3095" s="81"/>
      <c r="N3095" s="81"/>
    </row>
    <row r="3096" spans="1:14" ht="14.25" customHeight="1" x14ac:dyDescent="0.25">
      <c r="A3096" s="122" t="s">
        <v>594</v>
      </c>
      <c r="B3096" s="127">
        <v>1</v>
      </c>
      <c r="C3096" s="101">
        <v>52538</v>
      </c>
      <c r="D3096" s="101">
        <f t="shared" si="166"/>
        <v>89314.599999999991</v>
      </c>
      <c r="E3096" s="107">
        <f>E3095</f>
        <v>3.6597</v>
      </c>
      <c r="F3096" s="106">
        <f t="shared" si="167"/>
        <v>24404.896576222094</v>
      </c>
      <c r="G3096" s="81"/>
      <c r="H3096" s="81"/>
      <c r="I3096" s="81"/>
      <c r="J3096" s="81"/>
      <c r="K3096" s="81"/>
      <c r="L3096" s="81"/>
      <c r="M3096" s="81"/>
      <c r="N3096" s="81"/>
    </row>
    <row r="3097" spans="1:14" ht="14.25" customHeight="1" x14ac:dyDescent="0.25">
      <c r="A3097" s="122"/>
      <c r="B3097" s="127"/>
      <c r="C3097" s="101"/>
      <c r="D3097" s="101"/>
      <c r="E3097" s="105"/>
      <c r="F3097" s="106"/>
      <c r="G3097" s="81"/>
      <c r="H3097" s="81"/>
      <c r="I3097" s="81"/>
      <c r="J3097" s="81"/>
      <c r="K3097" s="81"/>
      <c r="L3097" s="81"/>
      <c r="M3097" s="81"/>
      <c r="N3097" s="81"/>
    </row>
    <row r="3098" spans="1:14" ht="14.25" customHeight="1" x14ac:dyDescent="0.25">
      <c r="A3098" s="122"/>
      <c r="B3098" s="127"/>
      <c r="C3098" s="101"/>
      <c r="D3098" s="101"/>
      <c r="E3098" s="125"/>
      <c r="F3098" s="106"/>
      <c r="G3098" s="81"/>
      <c r="H3098" s="81"/>
      <c r="I3098" s="81"/>
      <c r="J3098" s="81"/>
      <c r="K3098" s="81"/>
      <c r="L3098" s="81"/>
      <c r="M3098" s="81"/>
      <c r="N3098" s="81"/>
    </row>
    <row r="3099" spans="1:14" ht="14.25" customHeight="1" x14ac:dyDescent="0.25">
      <c r="A3099" s="97" t="s">
        <v>548</v>
      </c>
      <c r="B3099" s="128"/>
      <c r="C3099" s="110"/>
      <c r="D3099" s="110"/>
      <c r="E3099" s="110"/>
      <c r="F3099" s="112">
        <f>SUM(F3095:F3098)</f>
        <v>39589.092002076672</v>
      </c>
      <c r="G3099" s="81"/>
      <c r="H3099" s="81"/>
      <c r="I3099" s="81"/>
      <c r="J3099" s="81"/>
      <c r="K3099" s="81"/>
      <c r="L3099" s="81"/>
      <c r="M3099" s="81"/>
      <c r="N3099" s="81"/>
    </row>
    <row r="3100" spans="1:14" ht="14.25" customHeight="1" x14ac:dyDescent="0.25">
      <c r="A3100" s="96"/>
      <c r="B3100" s="129"/>
      <c r="C3100" s="118"/>
      <c r="D3100" s="118"/>
      <c r="E3100" s="118"/>
      <c r="F3100" s="118"/>
      <c r="G3100" s="81"/>
      <c r="H3100" s="81"/>
      <c r="I3100" s="81"/>
      <c r="J3100" s="81"/>
      <c r="K3100" s="81"/>
      <c r="L3100" s="81"/>
      <c r="M3100" s="81"/>
      <c r="N3100" s="81"/>
    </row>
    <row r="3101" spans="1:14" ht="14.25" customHeight="1" x14ac:dyDescent="0.25">
      <c r="A3101" s="95" t="s">
        <v>583</v>
      </c>
      <c r="B3101" s="96"/>
      <c r="C3101" s="92"/>
      <c r="D3101" s="92"/>
      <c r="E3101" s="92" t="s">
        <v>584</v>
      </c>
      <c r="F3101" s="92"/>
      <c r="G3101" s="81"/>
      <c r="H3101" s="81"/>
      <c r="I3101" s="81"/>
      <c r="J3101" s="81"/>
      <c r="K3101" s="81"/>
      <c r="L3101" s="81"/>
      <c r="M3101" s="81"/>
      <c r="N3101" s="81"/>
    </row>
    <row r="3102" spans="1:14" ht="14.25" customHeight="1" x14ac:dyDescent="0.25">
      <c r="A3102" s="97" t="s">
        <v>563</v>
      </c>
      <c r="B3102" s="98" t="s">
        <v>564</v>
      </c>
      <c r="C3102" s="98" t="s">
        <v>585</v>
      </c>
      <c r="D3102" s="98" t="s">
        <v>586</v>
      </c>
      <c r="E3102" s="120" t="s">
        <v>587</v>
      </c>
      <c r="F3102" s="98" t="s">
        <v>568</v>
      </c>
      <c r="G3102" s="81"/>
      <c r="H3102" s="81"/>
      <c r="I3102" s="81"/>
      <c r="J3102" s="81"/>
      <c r="K3102" s="81"/>
      <c r="L3102" s="81"/>
      <c r="M3102" s="81"/>
      <c r="N3102" s="81"/>
    </row>
    <row r="3103" spans="1:14" ht="14.25" customHeight="1" x14ac:dyDescent="0.25">
      <c r="A3103" s="103"/>
      <c r="B3103" s="100"/>
      <c r="C3103" s="101"/>
      <c r="D3103" s="140"/>
      <c r="E3103" s="107"/>
      <c r="F3103" s="109"/>
      <c r="G3103" s="81"/>
      <c r="H3103" s="81"/>
      <c r="I3103" s="81"/>
      <c r="J3103" s="81"/>
      <c r="K3103" s="81"/>
      <c r="L3103" s="81"/>
      <c r="M3103" s="81"/>
      <c r="N3103" s="81"/>
    </row>
    <row r="3104" spans="1:14" ht="14.25" customHeight="1" x14ac:dyDescent="0.25">
      <c r="A3104" s="103"/>
      <c r="B3104" s="100"/>
      <c r="C3104" s="107"/>
      <c r="D3104" s="107"/>
      <c r="E3104" s="108"/>
      <c r="F3104" s="109"/>
      <c r="G3104" s="81"/>
      <c r="H3104" s="81"/>
      <c r="I3104" s="81"/>
      <c r="J3104" s="81"/>
      <c r="K3104" s="81"/>
      <c r="L3104" s="81"/>
      <c r="M3104" s="81"/>
      <c r="N3104" s="81"/>
    </row>
    <row r="3105" spans="1:14" ht="14.25" customHeight="1" x14ac:dyDescent="0.25">
      <c r="A3105" s="97" t="s">
        <v>548</v>
      </c>
      <c r="B3105" s="98"/>
      <c r="C3105" s="110"/>
      <c r="D3105" s="110"/>
      <c r="E3105" s="111"/>
      <c r="F3105" s="112">
        <f>SUM(F3103:F3104)</f>
        <v>0</v>
      </c>
      <c r="G3105" s="81"/>
      <c r="H3105" s="81"/>
      <c r="I3105" s="81"/>
      <c r="J3105" s="81"/>
      <c r="K3105" s="81"/>
      <c r="L3105" s="81"/>
      <c r="M3105" s="81"/>
      <c r="N3105" s="81"/>
    </row>
    <row r="3106" spans="1:14" ht="14.25" customHeight="1" x14ac:dyDescent="0.25">
      <c r="A3106" s="88"/>
      <c r="B3106" s="89"/>
      <c r="C3106" s="113"/>
      <c r="D3106" s="113"/>
      <c r="E3106" s="114"/>
      <c r="F3106" s="113"/>
      <c r="G3106" s="81"/>
      <c r="H3106" s="81"/>
      <c r="I3106" s="81"/>
      <c r="J3106" s="81"/>
      <c r="K3106" s="81"/>
      <c r="L3106" s="81"/>
      <c r="M3106" s="81"/>
      <c r="N3106" s="81"/>
    </row>
    <row r="3107" spans="1:14" ht="14.25" customHeight="1" x14ac:dyDescent="0.25">
      <c r="A3107" s="88"/>
      <c r="B3107" s="89"/>
      <c r="C3107" s="113"/>
      <c r="D3107" s="113"/>
      <c r="E3107" s="114"/>
      <c r="F3107" s="113"/>
      <c r="G3107" s="81"/>
      <c r="H3107" s="81"/>
      <c r="I3107" s="81"/>
      <c r="J3107" s="81"/>
      <c r="K3107" s="81"/>
      <c r="L3107" s="81"/>
      <c r="M3107" s="81"/>
      <c r="N3107" s="81"/>
    </row>
    <row r="3108" spans="1:14" ht="14.25" customHeight="1" x14ac:dyDescent="0.25">
      <c r="A3108" s="612" t="s">
        <v>588</v>
      </c>
      <c r="B3108" s="608"/>
      <c r="C3108" s="608"/>
      <c r="D3108" s="608"/>
      <c r="E3108" s="609"/>
      <c r="F3108" s="131">
        <f>ROUND(F3082+F3091+F3099+F3105,0)</f>
        <v>153000</v>
      </c>
      <c r="G3108" s="81"/>
      <c r="H3108" s="117"/>
      <c r="I3108" s="81"/>
      <c r="J3108" s="81"/>
      <c r="K3108" s="81"/>
      <c r="L3108" s="81"/>
      <c r="M3108" s="81"/>
      <c r="N3108" s="81"/>
    </row>
    <row r="3109" spans="1:14" ht="14.25" customHeight="1" x14ac:dyDescent="0.25">
      <c r="A3109" s="612" t="s">
        <v>589</v>
      </c>
      <c r="B3109" s="608"/>
      <c r="C3109" s="608"/>
      <c r="D3109" s="608"/>
      <c r="E3109" s="609"/>
      <c r="F3109" s="132"/>
      <c r="G3109" s="81"/>
      <c r="H3109" s="81"/>
      <c r="I3109" s="81"/>
      <c r="J3109" s="81"/>
      <c r="K3109" s="81"/>
      <c r="L3109" s="81"/>
      <c r="M3109" s="81"/>
      <c r="N3109" s="81"/>
    </row>
    <row r="3110" spans="1:14" ht="14.25" customHeight="1" x14ac:dyDescent="0.25">
      <c r="A3110" s="146" t="s">
        <v>556</v>
      </c>
      <c r="B3110" s="147"/>
      <c r="C3110" s="147"/>
      <c r="D3110" s="147"/>
      <c r="E3110" s="148"/>
      <c r="F3110" s="133"/>
      <c r="G3110" s="81"/>
      <c r="H3110" s="81"/>
      <c r="I3110" s="81"/>
      <c r="J3110" s="81"/>
      <c r="K3110" s="81"/>
      <c r="L3110" s="81"/>
      <c r="M3110" s="81"/>
      <c r="N3110" s="81"/>
    </row>
    <row r="3111" spans="1:14" ht="14.25" customHeight="1" x14ac:dyDescent="0.25">
      <c r="A3111" s="134"/>
      <c r="B3111" s="135"/>
      <c r="C3111" s="135"/>
      <c r="D3111" s="135"/>
      <c r="E3111" s="135"/>
      <c r="F3111" s="136"/>
      <c r="G3111" s="81"/>
      <c r="H3111" s="81"/>
      <c r="I3111" s="81"/>
      <c r="J3111" s="81"/>
      <c r="K3111" s="81"/>
      <c r="L3111" s="81"/>
      <c r="M3111" s="81"/>
      <c r="N3111" s="81"/>
    </row>
    <row r="3112" spans="1:14" ht="14.25" customHeight="1" x14ac:dyDescent="0.25">
      <c r="A3112" s="81"/>
      <c r="B3112" s="81"/>
      <c r="C3112" s="137"/>
      <c r="D3112" s="81"/>
      <c r="E3112" s="81"/>
      <c r="F3112" s="81"/>
      <c r="G3112" s="81"/>
      <c r="H3112" s="81"/>
      <c r="I3112" s="81"/>
      <c r="J3112" s="81"/>
      <c r="K3112" s="81"/>
      <c r="L3112" s="81"/>
      <c r="M3112" s="81"/>
      <c r="N3112" s="81"/>
    </row>
    <row r="3113" spans="1:14" ht="14.25" customHeight="1" x14ac:dyDescent="0.25">
      <c r="A3113" s="81"/>
      <c r="B3113" s="81"/>
      <c r="C3113" s="137"/>
      <c r="D3113" s="81"/>
      <c r="E3113" s="81"/>
      <c r="F3113" s="81"/>
      <c r="G3113" s="81"/>
      <c r="H3113" s="81"/>
      <c r="I3113" s="81"/>
      <c r="J3113" s="81"/>
      <c r="K3113" s="81"/>
      <c r="L3113" s="81"/>
      <c r="M3113" s="81"/>
      <c r="N3113" s="81"/>
    </row>
    <row r="3114" spans="1:14" ht="14.25" customHeight="1" x14ac:dyDescent="0.25">
      <c r="A3114" s="81"/>
      <c r="B3114" s="81"/>
      <c r="C3114" s="137"/>
      <c r="D3114" s="81"/>
      <c r="E3114" s="81"/>
      <c r="F3114" s="81"/>
      <c r="G3114" s="81"/>
      <c r="H3114" s="81"/>
      <c r="I3114" s="81"/>
      <c r="J3114" s="81"/>
      <c r="K3114" s="81"/>
      <c r="L3114" s="81"/>
      <c r="M3114" s="81"/>
      <c r="N3114" s="81"/>
    </row>
    <row r="3115" spans="1:14" ht="14.25" customHeight="1" x14ac:dyDescent="0.25">
      <c r="A3115" s="81"/>
      <c r="B3115" s="81"/>
      <c r="C3115" s="137"/>
      <c r="D3115" s="81"/>
      <c r="E3115" s="81"/>
      <c r="F3115" s="81"/>
      <c r="G3115" s="81"/>
      <c r="H3115" s="81"/>
      <c r="I3115" s="81"/>
      <c r="J3115" s="81"/>
      <c r="K3115" s="81"/>
      <c r="L3115" s="81"/>
      <c r="M3115" s="81"/>
      <c r="N3115" s="81"/>
    </row>
    <row r="3116" spans="1:14" ht="14.25" customHeight="1" x14ac:dyDescent="0.25">
      <c r="A3116" s="81"/>
      <c r="B3116" s="81"/>
      <c r="C3116" s="137"/>
      <c r="D3116" s="81"/>
      <c r="E3116" s="81"/>
      <c r="F3116" s="81"/>
      <c r="G3116" s="81"/>
      <c r="H3116" s="81"/>
      <c r="I3116" s="81"/>
      <c r="J3116" s="81"/>
      <c r="K3116" s="81"/>
      <c r="L3116" s="81"/>
      <c r="M3116" s="81"/>
      <c r="N3116" s="81"/>
    </row>
    <row r="3117" spans="1:14" ht="14.25" customHeight="1" x14ac:dyDescent="0.25">
      <c r="A3117" s="81"/>
      <c r="B3117" s="81"/>
      <c r="C3117" s="137"/>
      <c r="D3117" s="81"/>
      <c r="E3117" s="81"/>
      <c r="F3117" s="81"/>
      <c r="G3117" s="81"/>
      <c r="H3117" s="81"/>
      <c r="I3117" s="81"/>
      <c r="J3117" s="81"/>
      <c r="K3117" s="81"/>
      <c r="L3117" s="81"/>
      <c r="M3117" s="81"/>
      <c r="N3117" s="81"/>
    </row>
    <row r="3118" spans="1:14" ht="14.25" customHeight="1" x14ac:dyDescent="0.25">
      <c r="A3118" s="81"/>
      <c r="B3118" s="81"/>
      <c r="C3118" s="137"/>
      <c r="D3118" s="81"/>
      <c r="E3118" s="81"/>
      <c r="F3118" s="81"/>
      <c r="G3118" s="81"/>
      <c r="H3118" s="81"/>
      <c r="I3118" s="81"/>
      <c r="J3118" s="81"/>
      <c r="K3118" s="81"/>
      <c r="L3118" s="81"/>
      <c r="M3118" s="81"/>
      <c r="N3118" s="81"/>
    </row>
    <row r="3119" spans="1:14" ht="14.25" customHeight="1" x14ac:dyDescent="0.25">
      <c r="A3119" s="134"/>
      <c r="B3119" s="135"/>
      <c r="C3119" s="135"/>
      <c r="D3119" s="135"/>
      <c r="E3119" s="135"/>
      <c r="F3119" s="136"/>
      <c r="G3119" s="81"/>
      <c r="H3119" s="81"/>
      <c r="I3119" s="81"/>
      <c r="J3119" s="81"/>
      <c r="K3119" s="81"/>
      <c r="L3119" s="81"/>
      <c r="M3119" s="81"/>
      <c r="N3119" s="81"/>
    </row>
    <row r="3120" spans="1:14" ht="14.25" customHeight="1" x14ac:dyDescent="0.25">
      <c r="A3120" s="134"/>
      <c r="B3120" s="135"/>
      <c r="C3120" s="135"/>
      <c r="D3120" s="135"/>
      <c r="E3120" s="135"/>
      <c r="F3120" s="136"/>
      <c r="G3120" s="81"/>
      <c r="H3120" s="81"/>
      <c r="I3120" s="81"/>
      <c r="J3120" s="81"/>
      <c r="K3120" s="81"/>
      <c r="L3120" s="81"/>
      <c r="M3120" s="81"/>
      <c r="N3120" s="81"/>
    </row>
    <row r="3121" spans="1:14" ht="14.25" customHeight="1" x14ac:dyDescent="0.25">
      <c r="A3121" s="134"/>
      <c r="B3121" s="135"/>
      <c r="C3121" s="135"/>
      <c r="D3121" s="135"/>
      <c r="E3121" s="135"/>
      <c r="F3121" s="136"/>
      <c r="G3121" s="81"/>
      <c r="H3121" s="81"/>
      <c r="I3121" s="81"/>
      <c r="J3121" s="81"/>
      <c r="K3121" s="81"/>
      <c r="L3121" s="81"/>
      <c r="M3121" s="81"/>
      <c r="N3121" s="81"/>
    </row>
    <row r="3122" spans="1:14" ht="14.25" customHeight="1" thickBot="1" x14ac:dyDescent="0.3">
      <c r="A3122" s="81"/>
      <c r="B3122" s="81"/>
      <c r="C3122" s="81"/>
      <c r="D3122" s="81"/>
      <c r="E3122" s="81"/>
      <c r="F3122" s="81"/>
      <c r="G3122" s="81"/>
      <c r="H3122" s="81"/>
      <c r="I3122" s="81"/>
      <c r="J3122" s="81"/>
      <c r="K3122" s="81"/>
      <c r="L3122" s="81"/>
      <c r="M3122" s="81"/>
      <c r="N3122" s="81"/>
    </row>
    <row r="3123" spans="1:14" ht="14.25" customHeight="1" x14ac:dyDescent="0.25">
      <c r="A3123" s="83"/>
      <c r="B3123" s="84"/>
      <c r="C3123" s="85"/>
      <c r="D3123" s="86"/>
      <c r="E3123" s="86"/>
      <c r="F3123" s="87"/>
      <c r="G3123" s="81"/>
      <c r="H3123" s="81"/>
      <c r="I3123" s="81"/>
      <c r="J3123" s="81"/>
      <c r="K3123" s="81"/>
      <c r="L3123" s="81"/>
      <c r="M3123" s="81"/>
      <c r="N3123" s="81"/>
    </row>
    <row r="3124" spans="1:14" ht="14.25" customHeight="1" x14ac:dyDescent="0.25">
      <c r="A3124" s="599"/>
      <c r="B3124" s="600"/>
      <c r="C3124" s="600"/>
      <c r="D3124" s="600"/>
      <c r="E3124" s="600"/>
      <c r="F3124" s="601"/>
      <c r="G3124" s="81"/>
      <c r="H3124" s="81"/>
      <c r="I3124" s="81"/>
      <c r="J3124" s="81"/>
      <c r="K3124" s="81"/>
      <c r="L3124" s="81"/>
      <c r="M3124" s="81"/>
      <c r="N3124" s="81"/>
    </row>
    <row r="3125" spans="1:14" ht="14.25" customHeight="1" x14ac:dyDescent="0.25">
      <c r="A3125" s="602" t="s">
        <v>561</v>
      </c>
      <c r="B3125" s="600"/>
      <c r="C3125" s="600"/>
      <c r="D3125" s="600"/>
      <c r="E3125" s="600"/>
      <c r="F3125" s="601"/>
      <c r="G3125" s="81"/>
      <c r="H3125" s="81"/>
      <c r="I3125" s="81"/>
      <c r="J3125" s="81"/>
      <c r="K3125" s="81"/>
      <c r="L3125" s="81"/>
      <c r="M3125" s="81"/>
      <c r="N3125" s="81"/>
    </row>
    <row r="3126" spans="1:14" ht="14.25" customHeight="1" thickBot="1" x14ac:dyDescent="0.3">
      <c r="A3126" s="603"/>
      <c r="B3126" s="604"/>
      <c r="C3126" s="604"/>
      <c r="D3126" s="604"/>
      <c r="E3126" s="604"/>
      <c r="F3126" s="605"/>
      <c r="G3126" s="81"/>
      <c r="H3126" s="81"/>
      <c r="I3126" s="81"/>
      <c r="J3126" s="81"/>
      <c r="K3126" s="81"/>
      <c r="L3126" s="81"/>
      <c r="M3126" s="81"/>
      <c r="N3126" s="81"/>
    </row>
    <row r="3127" spans="1:14" ht="14.25" customHeight="1" x14ac:dyDescent="0.25">
      <c r="A3127" s="88"/>
      <c r="B3127" s="88"/>
      <c r="C3127" s="89"/>
      <c r="D3127" s="89"/>
      <c r="E3127" s="89"/>
      <c r="F3127" s="89"/>
      <c r="G3127" s="81"/>
      <c r="H3127" s="81"/>
      <c r="I3127" s="81"/>
      <c r="J3127" s="81"/>
      <c r="K3127" s="81"/>
      <c r="L3127" s="81"/>
      <c r="M3127" s="81"/>
      <c r="N3127" s="81"/>
    </row>
    <row r="3128" spans="1:14" ht="24" customHeight="1" x14ac:dyDescent="0.25">
      <c r="A3128" s="90" t="s">
        <v>47</v>
      </c>
      <c r="B3128" s="613" t="s">
        <v>164</v>
      </c>
      <c r="C3128" s="600"/>
      <c r="D3128" s="600"/>
      <c r="E3128" s="600"/>
      <c r="F3128" s="600"/>
      <c r="G3128" s="81"/>
      <c r="H3128" s="81"/>
      <c r="I3128" s="81"/>
      <c r="J3128" s="81"/>
      <c r="K3128" s="81"/>
      <c r="L3128" s="81"/>
      <c r="M3128" s="81"/>
      <c r="N3128" s="81"/>
    </row>
    <row r="3129" spans="1:14" ht="14.25" customHeight="1" x14ac:dyDescent="0.25">
      <c r="A3129" s="91"/>
      <c r="B3129" s="91"/>
      <c r="C3129" s="91"/>
      <c r="D3129" s="91"/>
      <c r="E3129" s="91"/>
      <c r="F3129" s="91"/>
      <c r="G3129" s="81"/>
      <c r="H3129" s="81"/>
      <c r="I3129" s="81"/>
      <c r="J3129" s="81"/>
      <c r="K3129" s="81"/>
      <c r="L3129" s="81"/>
      <c r="M3129" s="81"/>
      <c r="N3129" s="81"/>
    </row>
    <row r="3130" spans="1:14" ht="14.25" customHeight="1" x14ac:dyDescent="0.25">
      <c r="A3130" s="88" t="s">
        <v>49</v>
      </c>
      <c r="B3130" s="92" t="s">
        <v>56</v>
      </c>
      <c r="C3130" s="89"/>
      <c r="D3130" s="89"/>
      <c r="E3130" s="89"/>
      <c r="F3130" s="93"/>
      <c r="G3130" s="81"/>
      <c r="H3130" s="81"/>
      <c r="I3130" s="81"/>
      <c r="J3130" s="81"/>
      <c r="K3130" s="81"/>
      <c r="L3130" s="81"/>
      <c r="M3130" s="81"/>
      <c r="N3130" s="81"/>
    </row>
    <row r="3131" spans="1:14" ht="14.25" customHeight="1" x14ac:dyDescent="0.25">
      <c r="A3131" s="88"/>
      <c r="B3131" s="94"/>
      <c r="C3131" s="89"/>
      <c r="D3131" s="89"/>
      <c r="E3131" s="89"/>
      <c r="F3131" s="93"/>
      <c r="G3131" s="81"/>
      <c r="H3131" s="81"/>
      <c r="I3131" s="81"/>
      <c r="J3131" s="81"/>
      <c r="K3131" s="81"/>
      <c r="L3131" s="81"/>
      <c r="M3131" s="81"/>
      <c r="N3131" s="81"/>
    </row>
    <row r="3132" spans="1:14" ht="14.25" customHeight="1" x14ac:dyDescent="0.25">
      <c r="A3132" s="95" t="s">
        <v>562</v>
      </c>
      <c r="B3132" s="96"/>
      <c r="C3132" s="92"/>
      <c r="D3132" s="92"/>
      <c r="E3132" s="92"/>
      <c r="F3132" s="92"/>
      <c r="G3132" s="81"/>
      <c r="H3132" s="81"/>
      <c r="I3132" s="81"/>
      <c r="J3132" s="81"/>
      <c r="K3132" s="81"/>
      <c r="L3132" s="81"/>
      <c r="M3132" s="81"/>
      <c r="N3132" s="81"/>
    </row>
    <row r="3133" spans="1:14" ht="14.25" customHeight="1" x14ac:dyDescent="0.25">
      <c r="A3133" s="97" t="s">
        <v>563</v>
      </c>
      <c r="B3133" s="98" t="s">
        <v>564</v>
      </c>
      <c r="C3133" s="98" t="s">
        <v>565</v>
      </c>
      <c r="D3133" s="98" t="s">
        <v>566</v>
      </c>
      <c r="E3133" s="98" t="s">
        <v>567</v>
      </c>
      <c r="F3133" s="98" t="s">
        <v>568</v>
      </c>
      <c r="G3133" s="81"/>
      <c r="H3133" s="81"/>
      <c r="I3133" s="81"/>
      <c r="J3133" s="81"/>
      <c r="K3133" s="81"/>
      <c r="L3133" s="81"/>
      <c r="M3133" s="81"/>
      <c r="N3133" s="81"/>
    </row>
    <row r="3134" spans="1:14" ht="14.25" customHeight="1" x14ac:dyDescent="0.25">
      <c r="A3134" s="99" t="s">
        <v>694</v>
      </c>
      <c r="B3134" s="100" t="s">
        <v>695</v>
      </c>
      <c r="C3134" s="101">
        <v>145000</v>
      </c>
      <c r="D3134" s="149">
        <v>0.3</v>
      </c>
      <c r="E3134" s="102">
        <v>0.05</v>
      </c>
      <c r="F3134" s="101">
        <f t="shared" ref="F3134:F3137" si="168">C3134*(D3134+(D3134*E3134))</f>
        <v>45675</v>
      </c>
      <c r="G3134" s="81"/>
      <c r="H3134" s="81"/>
      <c r="I3134" s="81"/>
      <c r="J3134" s="81"/>
      <c r="K3134" s="81"/>
      <c r="L3134" s="81"/>
      <c r="M3134" s="81"/>
      <c r="N3134" s="81"/>
    </row>
    <row r="3135" spans="1:14" ht="14.25" customHeight="1" x14ac:dyDescent="0.25">
      <c r="A3135" s="99" t="s">
        <v>696</v>
      </c>
      <c r="B3135" s="100" t="s">
        <v>671</v>
      </c>
      <c r="C3135" s="101">
        <v>125000</v>
      </c>
      <c r="D3135" s="149">
        <v>0.04</v>
      </c>
      <c r="E3135" s="102">
        <v>0.05</v>
      </c>
      <c r="F3135" s="101">
        <f t="shared" si="168"/>
        <v>5250</v>
      </c>
      <c r="G3135" s="81"/>
      <c r="H3135" s="81"/>
      <c r="I3135" s="81"/>
      <c r="J3135" s="81"/>
      <c r="K3135" s="81"/>
      <c r="L3135" s="81"/>
      <c r="M3135" s="81"/>
      <c r="N3135" s="81"/>
    </row>
    <row r="3136" spans="1:14" ht="14.25" customHeight="1" x14ac:dyDescent="0.25">
      <c r="A3136" s="99" t="s">
        <v>676</v>
      </c>
      <c r="B3136" s="100" t="s">
        <v>99</v>
      </c>
      <c r="C3136" s="101">
        <v>12350</v>
      </c>
      <c r="D3136" s="149">
        <v>0.08</v>
      </c>
      <c r="E3136" s="102">
        <v>0.05</v>
      </c>
      <c r="F3136" s="101">
        <f t="shared" si="168"/>
        <v>1037.4000000000001</v>
      </c>
      <c r="G3136" s="81"/>
      <c r="H3136" s="81"/>
      <c r="I3136" s="81"/>
      <c r="J3136" s="81"/>
      <c r="K3136" s="81"/>
      <c r="L3136" s="81"/>
      <c r="M3136" s="81"/>
      <c r="N3136" s="81"/>
    </row>
    <row r="3137" spans="1:14" ht="14.25" customHeight="1" x14ac:dyDescent="0.25">
      <c r="A3137" s="99"/>
      <c r="B3137" s="100"/>
      <c r="C3137" s="101"/>
      <c r="D3137" s="149"/>
      <c r="E3137" s="102"/>
      <c r="F3137" s="101">
        <f t="shared" si="168"/>
        <v>0</v>
      </c>
      <c r="G3137" s="81"/>
      <c r="H3137" s="81"/>
      <c r="I3137" s="81"/>
      <c r="J3137" s="81"/>
      <c r="K3137" s="81"/>
      <c r="L3137" s="81"/>
      <c r="M3137" s="81"/>
      <c r="N3137" s="81"/>
    </row>
    <row r="3138" spans="1:14" ht="14.25" customHeight="1" x14ac:dyDescent="0.25">
      <c r="A3138" s="99"/>
      <c r="B3138" s="100"/>
      <c r="C3138" s="106"/>
      <c r="D3138" s="107"/>
      <c r="E3138" s="108"/>
      <c r="F3138" s="106"/>
      <c r="G3138" s="81"/>
      <c r="H3138" s="81"/>
      <c r="I3138" s="81"/>
      <c r="J3138" s="81"/>
      <c r="K3138" s="81"/>
      <c r="L3138" s="81"/>
      <c r="M3138" s="81"/>
      <c r="N3138" s="81"/>
    </row>
    <row r="3139" spans="1:14" ht="14.25" customHeight="1" x14ac:dyDescent="0.25">
      <c r="A3139" s="97" t="s">
        <v>548</v>
      </c>
      <c r="B3139" s="97"/>
      <c r="C3139" s="109"/>
      <c r="D3139" s="110"/>
      <c r="E3139" s="111"/>
      <c r="F3139" s="112">
        <f>SUM(F3134:F3138)</f>
        <v>51962.400000000001</v>
      </c>
      <c r="G3139" s="81"/>
      <c r="H3139" s="81"/>
      <c r="I3139" s="81"/>
      <c r="J3139" s="81"/>
      <c r="K3139" s="81"/>
      <c r="L3139" s="81"/>
      <c r="M3139" s="81"/>
      <c r="N3139" s="81"/>
    </row>
    <row r="3140" spans="1:14" ht="14.25" customHeight="1" x14ac:dyDescent="0.25">
      <c r="A3140" s="88"/>
      <c r="B3140" s="88"/>
      <c r="C3140" s="113"/>
      <c r="D3140" s="113"/>
      <c r="E3140" s="114"/>
      <c r="F3140" s="113"/>
      <c r="G3140" s="81"/>
      <c r="H3140" s="81"/>
      <c r="I3140" s="81"/>
      <c r="J3140" s="81"/>
      <c r="K3140" s="81"/>
      <c r="L3140" s="81"/>
      <c r="M3140" s="81"/>
      <c r="N3140" s="81"/>
    </row>
    <row r="3141" spans="1:14" ht="14.25" customHeight="1" x14ac:dyDescent="0.25">
      <c r="A3141" s="96" t="s">
        <v>573</v>
      </c>
      <c r="B3141" s="96"/>
      <c r="C3141" s="92"/>
      <c r="D3141" s="92"/>
      <c r="E3141" s="92"/>
      <c r="F3141" s="92"/>
      <c r="G3141" s="81"/>
      <c r="H3141" s="81"/>
      <c r="I3141" s="81"/>
      <c r="J3141" s="81"/>
      <c r="K3141" s="81"/>
      <c r="L3141" s="81"/>
      <c r="M3141" s="81"/>
      <c r="N3141" s="81"/>
    </row>
    <row r="3142" spans="1:14" ht="14.25" customHeight="1" x14ac:dyDescent="0.25">
      <c r="A3142" s="611" t="s">
        <v>563</v>
      </c>
      <c r="B3142" s="608"/>
      <c r="C3142" s="609"/>
      <c r="D3142" s="98" t="s">
        <v>574</v>
      </c>
      <c r="E3142" s="98" t="s">
        <v>575</v>
      </c>
      <c r="F3142" s="98" t="s">
        <v>568</v>
      </c>
      <c r="G3142" s="81"/>
      <c r="H3142" s="81"/>
      <c r="I3142" s="81"/>
      <c r="J3142" s="81"/>
      <c r="K3142" s="81"/>
      <c r="L3142" s="81"/>
      <c r="M3142" s="81"/>
      <c r="N3142" s="81"/>
    </row>
    <row r="3143" spans="1:14" ht="14.25" customHeight="1" x14ac:dyDescent="0.25">
      <c r="A3143" s="607" t="s">
        <v>577</v>
      </c>
      <c r="B3143" s="608"/>
      <c r="C3143" s="609"/>
      <c r="D3143" s="116"/>
      <c r="E3143" s="107"/>
      <c r="F3143" s="106">
        <f>+F3156*5%</f>
        <v>870.85532247400374</v>
      </c>
      <c r="G3143" s="81"/>
      <c r="H3143" s="81"/>
      <c r="I3143" s="81"/>
      <c r="J3143" s="81"/>
      <c r="K3143" s="81"/>
      <c r="L3143" s="81"/>
      <c r="M3143" s="81"/>
      <c r="N3143" s="81"/>
    </row>
    <row r="3144" spans="1:14" ht="14.25" customHeight="1" x14ac:dyDescent="0.25">
      <c r="A3144" s="607"/>
      <c r="B3144" s="608"/>
      <c r="C3144" s="609"/>
      <c r="D3144" s="142"/>
      <c r="E3144" s="107"/>
      <c r="F3144" s="106"/>
      <c r="G3144" s="81"/>
      <c r="H3144" s="81"/>
      <c r="I3144" s="81"/>
      <c r="J3144" s="81"/>
      <c r="K3144" s="81"/>
      <c r="L3144" s="81"/>
      <c r="M3144" s="81"/>
      <c r="N3144" s="81"/>
    </row>
    <row r="3145" spans="1:14" ht="14.25" customHeight="1" x14ac:dyDescent="0.25">
      <c r="A3145" s="607"/>
      <c r="B3145" s="608"/>
      <c r="C3145" s="609"/>
      <c r="D3145" s="142"/>
      <c r="E3145" s="105"/>
      <c r="F3145" s="106"/>
      <c r="G3145" s="81"/>
      <c r="H3145" s="81"/>
      <c r="I3145" s="81"/>
      <c r="J3145" s="81"/>
      <c r="K3145" s="81"/>
      <c r="L3145" s="81"/>
      <c r="M3145" s="81"/>
      <c r="N3145" s="81"/>
    </row>
    <row r="3146" spans="1:14" ht="14.25" customHeight="1" x14ac:dyDescent="0.25">
      <c r="A3146" s="607"/>
      <c r="B3146" s="608"/>
      <c r="C3146" s="609"/>
      <c r="D3146" s="142"/>
      <c r="E3146" s="107"/>
      <c r="F3146" s="106"/>
      <c r="G3146" s="81"/>
      <c r="H3146" s="81"/>
      <c r="I3146" s="81"/>
      <c r="J3146" s="81"/>
      <c r="K3146" s="81"/>
      <c r="L3146" s="81"/>
      <c r="M3146" s="81"/>
      <c r="N3146" s="81"/>
    </row>
    <row r="3147" spans="1:14" ht="14.25" customHeight="1" x14ac:dyDescent="0.25">
      <c r="A3147" s="610"/>
      <c r="B3147" s="608"/>
      <c r="C3147" s="609"/>
      <c r="D3147" s="115"/>
      <c r="E3147" s="107"/>
      <c r="F3147" s="106"/>
      <c r="G3147" s="81"/>
      <c r="H3147" s="81"/>
      <c r="I3147" s="81"/>
      <c r="J3147" s="81"/>
      <c r="K3147" s="81"/>
      <c r="L3147" s="81"/>
      <c r="M3147" s="81"/>
      <c r="N3147" s="81"/>
    </row>
    <row r="3148" spans="1:14" ht="14.25" customHeight="1" x14ac:dyDescent="0.25">
      <c r="A3148" s="611" t="s">
        <v>548</v>
      </c>
      <c r="B3148" s="608"/>
      <c r="C3148" s="609"/>
      <c r="D3148" s="110"/>
      <c r="E3148" s="110"/>
      <c r="F3148" s="112">
        <f>SUM(F3143:F3146)</f>
        <v>870.85532247400374</v>
      </c>
      <c r="G3148" s="81"/>
      <c r="H3148" s="81"/>
      <c r="I3148" s="81"/>
      <c r="J3148" s="81"/>
      <c r="K3148" s="81"/>
      <c r="L3148" s="81"/>
      <c r="M3148" s="81"/>
      <c r="N3148" s="81"/>
    </row>
    <row r="3149" spans="1:14" ht="14.25" customHeight="1" x14ac:dyDescent="0.25">
      <c r="A3149" s="88"/>
      <c r="B3149" s="88"/>
      <c r="C3149" s="89"/>
      <c r="D3149" s="113"/>
      <c r="E3149" s="113"/>
      <c r="F3149" s="113"/>
      <c r="G3149" s="81"/>
      <c r="H3149" s="81"/>
      <c r="I3149" s="81"/>
      <c r="J3149" s="81"/>
      <c r="K3149" s="81"/>
      <c r="L3149" s="81"/>
      <c r="M3149" s="81"/>
      <c r="N3149" s="81"/>
    </row>
    <row r="3150" spans="1:14" ht="14.25" customHeight="1" x14ac:dyDescent="0.25">
      <c r="A3150" s="96" t="s">
        <v>578</v>
      </c>
      <c r="B3150" s="96"/>
      <c r="C3150" s="92"/>
      <c r="D3150" s="118"/>
      <c r="E3150" s="118"/>
      <c r="F3150" s="118"/>
      <c r="G3150" s="81"/>
      <c r="H3150" s="81"/>
      <c r="I3150" s="81"/>
      <c r="J3150" s="81"/>
      <c r="K3150" s="81"/>
      <c r="L3150" s="81"/>
      <c r="M3150" s="81"/>
      <c r="N3150" s="81"/>
    </row>
    <row r="3151" spans="1:14" ht="14.25" customHeight="1" x14ac:dyDescent="0.25">
      <c r="A3151" s="119" t="s">
        <v>563</v>
      </c>
      <c r="B3151" s="120" t="s">
        <v>579</v>
      </c>
      <c r="C3151" s="120" t="s">
        <v>580</v>
      </c>
      <c r="D3151" s="121" t="s">
        <v>581</v>
      </c>
      <c r="E3151" s="121" t="s">
        <v>575</v>
      </c>
      <c r="F3151" s="121" t="s">
        <v>568</v>
      </c>
      <c r="G3151" s="81"/>
      <c r="H3151" s="81"/>
      <c r="I3151" s="81"/>
      <c r="J3151" s="81"/>
      <c r="K3151" s="81"/>
      <c r="L3151" s="81"/>
      <c r="M3151" s="81"/>
      <c r="N3151" s="81"/>
    </row>
    <row r="3152" spans="1:14" ht="14.25" customHeight="1" x14ac:dyDescent="0.25">
      <c r="A3152" s="122" t="s">
        <v>593</v>
      </c>
      <c r="B3152" s="127">
        <v>1</v>
      </c>
      <c r="C3152" s="101">
        <v>32688</v>
      </c>
      <c r="D3152" s="101">
        <f t="shared" ref="D3152:D3153" si="169">+C3152*1.7</f>
        <v>55569.599999999999</v>
      </c>
      <c r="E3152" s="107">
        <v>8.3185000000000002</v>
      </c>
      <c r="F3152" s="106">
        <f t="shared" ref="F3152:F3153" si="170">+B3152*(D3152)/E3152</f>
        <v>6680.2428322413889</v>
      </c>
      <c r="G3152" s="81"/>
      <c r="H3152" s="81"/>
      <c r="I3152" s="81"/>
      <c r="J3152" s="81"/>
      <c r="K3152" s="81"/>
      <c r="L3152" s="81"/>
      <c r="M3152" s="81"/>
      <c r="N3152" s="81"/>
    </row>
    <row r="3153" spans="1:14" ht="14.25" customHeight="1" x14ac:dyDescent="0.25">
      <c r="A3153" s="122" t="s">
        <v>594</v>
      </c>
      <c r="B3153" s="127">
        <v>1</v>
      </c>
      <c r="C3153" s="101">
        <v>52538</v>
      </c>
      <c r="D3153" s="101">
        <f t="shared" si="169"/>
        <v>89314.599999999991</v>
      </c>
      <c r="E3153" s="107">
        <f>E3152</f>
        <v>8.3185000000000002</v>
      </c>
      <c r="F3153" s="106">
        <f t="shared" si="170"/>
        <v>10736.863617238683</v>
      </c>
      <c r="G3153" s="81"/>
      <c r="H3153" s="81"/>
      <c r="I3153" s="81"/>
      <c r="J3153" s="81"/>
      <c r="K3153" s="81"/>
      <c r="L3153" s="81"/>
      <c r="M3153" s="81"/>
      <c r="N3153" s="81"/>
    </row>
    <row r="3154" spans="1:14" ht="14.25" customHeight="1" x14ac:dyDescent="0.25">
      <c r="A3154" s="122"/>
      <c r="B3154" s="127"/>
      <c r="C3154" s="101"/>
      <c r="D3154" s="101"/>
      <c r="E3154" s="105"/>
      <c r="F3154" s="106"/>
      <c r="G3154" s="81"/>
      <c r="H3154" s="81"/>
      <c r="I3154" s="81"/>
      <c r="J3154" s="81"/>
      <c r="K3154" s="81"/>
      <c r="L3154" s="81"/>
      <c r="M3154" s="81"/>
      <c r="N3154" s="81"/>
    </row>
    <row r="3155" spans="1:14" ht="14.25" customHeight="1" x14ac:dyDescent="0.25">
      <c r="A3155" s="122"/>
      <c r="B3155" s="127"/>
      <c r="C3155" s="101"/>
      <c r="D3155" s="101"/>
      <c r="E3155" s="125"/>
      <c r="F3155" s="106"/>
      <c r="G3155" s="81"/>
      <c r="H3155" s="81"/>
      <c r="I3155" s="81"/>
      <c r="J3155" s="81"/>
      <c r="K3155" s="81"/>
      <c r="L3155" s="81"/>
      <c r="M3155" s="81"/>
      <c r="N3155" s="81"/>
    </row>
    <row r="3156" spans="1:14" ht="14.25" customHeight="1" x14ac:dyDescent="0.25">
      <c r="A3156" s="97" t="s">
        <v>548</v>
      </c>
      <c r="B3156" s="128"/>
      <c r="C3156" s="110"/>
      <c r="D3156" s="110"/>
      <c r="E3156" s="110"/>
      <c r="F3156" s="112">
        <f>SUM(F3152:F3155)</f>
        <v>17417.106449480074</v>
      </c>
      <c r="G3156" s="81"/>
      <c r="H3156" s="81"/>
      <c r="I3156" s="81"/>
      <c r="J3156" s="81"/>
      <c r="K3156" s="81"/>
      <c r="L3156" s="81"/>
      <c r="M3156" s="81"/>
      <c r="N3156" s="81"/>
    </row>
    <row r="3157" spans="1:14" ht="14.25" customHeight="1" x14ac:dyDescent="0.25">
      <c r="A3157" s="96"/>
      <c r="B3157" s="129"/>
      <c r="C3157" s="118"/>
      <c r="D3157" s="118"/>
      <c r="E3157" s="118"/>
      <c r="F3157" s="118"/>
      <c r="G3157" s="81"/>
      <c r="H3157" s="81"/>
      <c r="I3157" s="81"/>
      <c r="J3157" s="81"/>
      <c r="K3157" s="81"/>
      <c r="L3157" s="81"/>
      <c r="M3157" s="81"/>
      <c r="N3157" s="81"/>
    </row>
    <row r="3158" spans="1:14" ht="14.25" customHeight="1" x14ac:dyDescent="0.25">
      <c r="A3158" s="95" t="s">
        <v>583</v>
      </c>
      <c r="B3158" s="96"/>
      <c r="C3158" s="92"/>
      <c r="D3158" s="92"/>
      <c r="E3158" s="92" t="s">
        <v>584</v>
      </c>
      <c r="F3158" s="92"/>
      <c r="G3158" s="81"/>
      <c r="H3158" s="81"/>
      <c r="I3158" s="81"/>
      <c r="J3158" s="81"/>
      <c r="K3158" s="81"/>
      <c r="L3158" s="81"/>
      <c r="M3158" s="81"/>
      <c r="N3158" s="81"/>
    </row>
    <row r="3159" spans="1:14" ht="14.25" customHeight="1" x14ac:dyDescent="0.25">
      <c r="A3159" s="97" t="s">
        <v>563</v>
      </c>
      <c r="B3159" s="98" t="s">
        <v>564</v>
      </c>
      <c r="C3159" s="98" t="s">
        <v>585</v>
      </c>
      <c r="D3159" s="98" t="s">
        <v>586</v>
      </c>
      <c r="E3159" s="120" t="s">
        <v>587</v>
      </c>
      <c r="F3159" s="98" t="s">
        <v>568</v>
      </c>
      <c r="G3159" s="81"/>
      <c r="H3159" s="81"/>
      <c r="I3159" s="81"/>
      <c r="J3159" s="81"/>
      <c r="K3159" s="81"/>
      <c r="L3159" s="81"/>
      <c r="M3159" s="81"/>
      <c r="N3159" s="81"/>
    </row>
    <row r="3160" spans="1:14" ht="14.25" customHeight="1" x14ac:dyDescent="0.25">
      <c r="A3160" s="103"/>
      <c r="B3160" s="100"/>
      <c r="C3160" s="101"/>
      <c r="D3160" s="140"/>
      <c r="E3160" s="107"/>
      <c r="F3160" s="109"/>
      <c r="G3160" s="81"/>
      <c r="H3160" s="81"/>
      <c r="I3160" s="81"/>
      <c r="J3160" s="81"/>
      <c r="K3160" s="81"/>
      <c r="L3160" s="81"/>
      <c r="M3160" s="81"/>
      <c r="N3160" s="81"/>
    </row>
    <row r="3161" spans="1:14" ht="14.25" customHeight="1" x14ac:dyDescent="0.25">
      <c r="A3161" s="103"/>
      <c r="B3161" s="100"/>
      <c r="C3161" s="107"/>
      <c r="D3161" s="107"/>
      <c r="E3161" s="108"/>
      <c r="F3161" s="109"/>
      <c r="G3161" s="81"/>
      <c r="H3161" s="81"/>
      <c r="I3161" s="81"/>
      <c r="J3161" s="81"/>
      <c r="K3161" s="81"/>
      <c r="L3161" s="81"/>
      <c r="M3161" s="81"/>
      <c r="N3161" s="81"/>
    </row>
    <row r="3162" spans="1:14" ht="14.25" customHeight="1" x14ac:dyDescent="0.25">
      <c r="A3162" s="97" t="s">
        <v>548</v>
      </c>
      <c r="B3162" s="98"/>
      <c r="C3162" s="110"/>
      <c r="D3162" s="110"/>
      <c r="E3162" s="111"/>
      <c r="F3162" s="112">
        <f>SUM(F3160:F3161)</f>
        <v>0</v>
      </c>
      <c r="G3162" s="81"/>
      <c r="H3162" s="81"/>
      <c r="I3162" s="81"/>
      <c r="J3162" s="81"/>
      <c r="K3162" s="81"/>
      <c r="L3162" s="81"/>
      <c r="M3162" s="81"/>
      <c r="N3162" s="81"/>
    </row>
    <row r="3163" spans="1:14" ht="14.25" customHeight="1" x14ac:dyDescent="0.25">
      <c r="A3163" s="88"/>
      <c r="B3163" s="89"/>
      <c r="C3163" s="113"/>
      <c r="D3163" s="113"/>
      <c r="E3163" s="114"/>
      <c r="F3163" s="113"/>
      <c r="G3163" s="81"/>
      <c r="H3163" s="81"/>
      <c r="I3163" s="81"/>
      <c r="J3163" s="81"/>
      <c r="K3163" s="81"/>
      <c r="L3163" s="81"/>
      <c r="M3163" s="81"/>
      <c r="N3163" s="81"/>
    </row>
    <row r="3164" spans="1:14" ht="14.25" customHeight="1" x14ac:dyDescent="0.25">
      <c r="A3164" s="88"/>
      <c r="B3164" s="89"/>
      <c r="C3164" s="113"/>
      <c r="D3164" s="113"/>
      <c r="E3164" s="114"/>
      <c r="F3164" s="113"/>
      <c r="G3164" s="81"/>
      <c r="H3164" s="81"/>
      <c r="I3164" s="81"/>
      <c r="J3164" s="81"/>
      <c r="K3164" s="81"/>
      <c r="L3164" s="81"/>
      <c r="M3164" s="81"/>
      <c r="N3164" s="81"/>
    </row>
    <row r="3165" spans="1:14" ht="14.25" customHeight="1" x14ac:dyDescent="0.25">
      <c r="A3165" s="612" t="s">
        <v>588</v>
      </c>
      <c r="B3165" s="608"/>
      <c r="C3165" s="608"/>
      <c r="D3165" s="608"/>
      <c r="E3165" s="609"/>
      <c r="F3165" s="131">
        <f>ROUND(F3139+F3148+F3156+F3162,0)</f>
        <v>70250</v>
      </c>
      <c r="G3165" s="81"/>
      <c r="H3165" s="117"/>
      <c r="I3165" s="81"/>
      <c r="J3165" s="81"/>
      <c r="K3165" s="81"/>
      <c r="L3165" s="81"/>
      <c r="M3165" s="81"/>
      <c r="N3165" s="81"/>
    </row>
    <row r="3166" spans="1:14" ht="14.25" customHeight="1" x14ac:dyDescent="0.25">
      <c r="A3166" s="612" t="s">
        <v>589</v>
      </c>
      <c r="B3166" s="608"/>
      <c r="C3166" s="608"/>
      <c r="D3166" s="608"/>
      <c r="E3166" s="609"/>
      <c r="F3166" s="132"/>
      <c r="G3166" s="81"/>
      <c r="H3166" s="81"/>
      <c r="I3166" s="81"/>
      <c r="J3166" s="81"/>
      <c r="K3166" s="81"/>
      <c r="L3166" s="81"/>
      <c r="M3166" s="81"/>
      <c r="N3166" s="81"/>
    </row>
    <row r="3167" spans="1:14" ht="14.25" customHeight="1" x14ac:dyDescent="0.25">
      <c r="A3167" s="146" t="s">
        <v>556</v>
      </c>
      <c r="B3167" s="147"/>
      <c r="C3167" s="147"/>
      <c r="D3167" s="147"/>
      <c r="E3167" s="148"/>
      <c r="F3167" s="133"/>
      <c r="G3167" s="81"/>
      <c r="H3167" s="81"/>
      <c r="I3167" s="81"/>
      <c r="J3167" s="81"/>
      <c r="K3167" s="81"/>
      <c r="L3167" s="81"/>
      <c r="M3167" s="81"/>
      <c r="N3167" s="81"/>
    </row>
    <row r="3168" spans="1:14" s="170" customFormat="1" ht="14.25" customHeight="1" x14ac:dyDescent="0.25">
      <c r="A3168" s="171"/>
      <c r="B3168" s="172"/>
      <c r="C3168" s="172"/>
      <c r="D3168" s="172"/>
      <c r="E3168" s="172"/>
      <c r="F3168" s="173"/>
      <c r="G3168" s="81"/>
      <c r="H3168" s="81"/>
      <c r="I3168" s="81"/>
      <c r="J3168" s="81"/>
      <c r="K3168" s="81"/>
      <c r="L3168" s="81"/>
      <c r="M3168" s="81"/>
      <c r="N3168" s="81"/>
    </row>
    <row r="3169" spans="1:14" s="170" customFormat="1" ht="14.25" customHeight="1" x14ac:dyDescent="0.25">
      <c r="A3169" s="171"/>
      <c r="B3169" s="172"/>
      <c r="C3169" s="172"/>
      <c r="D3169" s="172"/>
      <c r="E3169" s="172"/>
      <c r="F3169" s="173"/>
      <c r="G3169" s="81"/>
      <c r="H3169" s="81"/>
      <c r="I3169" s="81"/>
      <c r="J3169" s="81"/>
      <c r="K3169" s="81"/>
      <c r="L3169" s="81"/>
      <c r="M3169" s="81"/>
      <c r="N3169" s="81"/>
    </row>
    <row r="3170" spans="1:14" s="170" customFormat="1" ht="14.25" customHeight="1" x14ac:dyDescent="0.25">
      <c r="A3170" s="171"/>
      <c r="B3170" s="172"/>
      <c r="C3170" s="172"/>
      <c r="D3170" s="172"/>
      <c r="E3170" s="172"/>
      <c r="F3170" s="173"/>
      <c r="G3170" s="81"/>
      <c r="H3170" s="81"/>
      <c r="I3170" s="81"/>
      <c r="J3170" s="81"/>
      <c r="K3170" s="81"/>
      <c r="L3170" s="81"/>
      <c r="M3170" s="81"/>
      <c r="N3170" s="81"/>
    </row>
    <row r="3171" spans="1:14" s="170" customFormat="1" ht="14.25" customHeight="1" x14ac:dyDescent="0.25">
      <c r="A3171" s="171"/>
      <c r="B3171" s="172"/>
      <c r="C3171" s="172"/>
      <c r="D3171" s="172"/>
      <c r="E3171" s="172"/>
      <c r="F3171" s="173"/>
      <c r="G3171" s="81"/>
      <c r="H3171" s="81"/>
      <c r="I3171" s="81"/>
      <c r="J3171" s="81"/>
      <c r="K3171" s="81"/>
      <c r="L3171" s="81"/>
      <c r="M3171" s="81"/>
      <c r="N3171" s="81"/>
    </row>
    <row r="3172" spans="1:14" ht="14.25" customHeight="1" thickBot="1" x14ac:dyDescent="0.3">
      <c r="A3172" s="134"/>
      <c r="B3172" s="135"/>
      <c r="C3172" s="135"/>
      <c r="D3172" s="135"/>
      <c r="E3172" s="135"/>
      <c r="F3172" s="136"/>
      <c r="G3172" s="81"/>
      <c r="H3172" s="81"/>
      <c r="I3172" s="81"/>
      <c r="J3172" s="81"/>
      <c r="K3172" s="81"/>
      <c r="L3172" s="81"/>
      <c r="M3172" s="81"/>
      <c r="N3172" s="81"/>
    </row>
    <row r="3173" spans="1:14" s="170" customFormat="1" ht="14.25" customHeight="1" x14ac:dyDescent="0.25">
      <c r="A3173" s="83"/>
      <c r="B3173" s="84"/>
      <c r="C3173" s="85"/>
      <c r="D3173" s="86"/>
      <c r="E3173" s="86"/>
      <c r="F3173" s="87"/>
      <c r="G3173" s="81"/>
      <c r="H3173" s="81"/>
      <c r="I3173" s="81"/>
      <c r="J3173" s="81"/>
      <c r="K3173" s="81"/>
      <c r="L3173" s="81"/>
      <c r="M3173" s="81"/>
      <c r="N3173" s="81"/>
    </row>
    <row r="3174" spans="1:14" s="170" customFormat="1" ht="14.25" customHeight="1" x14ac:dyDescent="0.25">
      <c r="A3174" s="599"/>
      <c r="B3174" s="600"/>
      <c r="C3174" s="600"/>
      <c r="D3174" s="600"/>
      <c r="E3174" s="600"/>
      <c r="F3174" s="601"/>
      <c r="G3174" s="81"/>
      <c r="H3174" s="81"/>
      <c r="I3174" s="81"/>
      <c r="J3174" s="81"/>
      <c r="K3174" s="81"/>
      <c r="L3174" s="81"/>
      <c r="M3174" s="81"/>
      <c r="N3174" s="81"/>
    </row>
    <row r="3175" spans="1:14" s="170" customFormat="1" ht="14.25" customHeight="1" x14ac:dyDescent="0.25">
      <c r="A3175" s="602" t="s">
        <v>561</v>
      </c>
      <c r="B3175" s="600"/>
      <c r="C3175" s="600"/>
      <c r="D3175" s="600"/>
      <c r="E3175" s="600"/>
      <c r="F3175" s="601"/>
      <c r="G3175" s="81"/>
      <c r="H3175" s="81"/>
      <c r="I3175" s="81"/>
      <c r="J3175" s="81"/>
      <c r="K3175" s="81"/>
      <c r="L3175" s="81"/>
      <c r="M3175" s="81"/>
      <c r="N3175" s="81"/>
    </row>
    <row r="3176" spans="1:14" s="170" customFormat="1" ht="14.25" customHeight="1" thickBot="1" x14ac:dyDescent="0.3">
      <c r="A3176" s="603"/>
      <c r="B3176" s="604"/>
      <c r="C3176" s="604"/>
      <c r="D3176" s="604"/>
      <c r="E3176" s="604"/>
      <c r="F3176" s="605"/>
      <c r="G3176" s="81"/>
      <c r="H3176" s="81"/>
      <c r="I3176" s="81"/>
      <c r="J3176" s="81"/>
      <c r="K3176" s="81"/>
      <c r="L3176" s="81"/>
      <c r="M3176" s="81"/>
      <c r="N3176" s="81"/>
    </row>
    <row r="3177" spans="1:14" s="170" customFormat="1" ht="14.25" customHeight="1" x14ac:dyDescent="0.25">
      <c r="A3177" s="88"/>
      <c r="B3177" s="88"/>
      <c r="C3177" s="89"/>
      <c r="D3177" s="89"/>
      <c r="E3177" s="89"/>
      <c r="F3177" s="89"/>
      <c r="G3177" s="81"/>
      <c r="H3177" s="81"/>
      <c r="I3177" s="81"/>
      <c r="J3177" s="81"/>
      <c r="K3177" s="81"/>
      <c r="L3177" s="81"/>
      <c r="M3177" s="81"/>
      <c r="N3177" s="81"/>
    </row>
    <row r="3178" spans="1:14" s="170" customFormat="1" ht="24" customHeight="1" x14ac:dyDescent="0.25">
      <c r="A3178" s="90" t="s">
        <v>47</v>
      </c>
      <c r="B3178" s="613" t="s">
        <v>1044</v>
      </c>
      <c r="C3178" s="600"/>
      <c r="D3178" s="600"/>
      <c r="E3178" s="600"/>
      <c r="F3178" s="600"/>
      <c r="G3178" s="81"/>
      <c r="H3178" s="81"/>
      <c r="I3178" s="81"/>
      <c r="J3178" s="81"/>
      <c r="K3178" s="81"/>
      <c r="L3178" s="81"/>
      <c r="M3178" s="81"/>
      <c r="N3178" s="81"/>
    </row>
    <row r="3179" spans="1:14" s="170" customFormat="1" ht="14.25" customHeight="1" x14ac:dyDescent="0.25">
      <c r="A3179" s="91"/>
      <c r="B3179" s="91"/>
      <c r="C3179" s="91"/>
      <c r="D3179" s="91"/>
      <c r="E3179" s="91"/>
      <c r="F3179" s="91"/>
      <c r="G3179" s="81"/>
      <c r="H3179" s="81"/>
      <c r="I3179" s="81"/>
      <c r="J3179" s="81"/>
      <c r="K3179" s="81"/>
      <c r="L3179" s="81"/>
      <c r="M3179" s="81"/>
      <c r="N3179" s="81"/>
    </row>
    <row r="3180" spans="1:14" s="170" customFormat="1" ht="14.25" customHeight="1" x14ac:dyDescent="0.25">
      <c r="A3180" s="88" t="s">
        <v>49</v>
      </c>
      <c r="B3180" s="92" t="s">
        <v>56</v>
      </c>
      <c r="C3180" s="89"/>
      <c r="D3180" s="89"/>
      <c r="E3180" s="89"/>
      <c r="F3180" s="93"/>
      <c r="G3180" s="81"/>
      <c r="H3180" s="81"/>
      <c r="I3180" s="81"/>
      <c r="J3180" s="81"/>
      <c r="K3180" s="81"/>
      <c r="L3180" s="81"/>
      <c r="M3180" s="81"/>
      <c r="N3180" s="81"/>
    </row>
    <row r="3181" spans="1:14" s="170" customFormat="1" ht="14.25" customHeight="1" x14ac:dyDescent="0.25">
      <c r="A3181" s="88"/>
      <c r="B3181" s="94"/>
      <c r="C3181" s="89"/>
      <c r="D3181" s="89"/>
      <c r="E3181" s="89"/>
      <c r="F3181" s="93"/>
      <c r="G3181" s="81"/>
      <c r="H3181" s="81"/>
      <c r="I3181" s="81"/>
      <c r="J3181" s="81"/>
      <c r="K3181" s="81"/>
      <c r="L3181" s="81"/>
      <c r="M3181" s="81"/>
      <c r="N3181" s="81"/>
    </row>
    <row r="3182" spans="1:14" s="170" customFormat="1" ht="14.25" customHeight="1" x14ac:dyDescent="0.25">
      <c r="A3182" s="95" t="s">
        <v>562</v>
      </c>
      <c r="B3182" s="96"/>
      <c r="C3182" s="92"/>
      <c r="D3182" s="92"/>
      <c r="E3182" s="92"/>
      <c r="F3182" s="92"/>
      <c r="G3182" s="81"/>
      <c r="H3182" s="81"/>
      <c r="I3182" s="81"/>
      <c r="J3182" s="81"/>
      <c r="K3182" s="81"/>
      <c r="L3182" s="81"/>
      <c r="M3182" s="81"/>
      <c r="N3182" s="81"/>
    </row>
    <row r="3183" spans="1:14" s="170" customFormat="1" ht="14.25" customHeight="1" x14ac:dyDescent="0.25">
      <c r="A3183" s="97" t="s">
        <v>563</v>
      </c>
      <c r="B3183" s="98" t="s">
        <v>564</v>
      </c>
      <c r="C3183" s="98" t="s">
        <v>565</v>
      </c>
      <c r="D3183" s="98" t="s">
        <v>566</v>
      </c>
      <c r="E3183" s="98" t="s">
        <v>567</v>
      </c>
      <c r="F3183" s="98" t="s">
        <v>568</v>
      </c>
      <c r="G3183" s="81"/>
      <c r="H3183" s="81"/>
      <c r="I3183" s="81"/>
      <c r="J3183" s="81"/>
      <c r="K3183" s="81"/>
      <c r="L3183" s="81"/>
      <c r="M3183" s="81"/>
      <c r="N3183" s="81"/>
    </row>
    <row r="3184" spans="1:14" s="170" customFormat="1" ht="14.25" customHeight="1" x14ac:dyDescent="0.25">
      <c r="A3184" s="99" t="s">
        <v>694</v>
      </c>
      <c r="B3184" s="100" t="s">
        <v>695</v>
      </c>
      <c r="C3184" s="101">
        <v>250000</v>
      </c>
      <c r="D3184" s="149">
        <v>0.3</v>
      </c>
      <c r="E3184" s="102">
        <v>0.05</v>
      </c>
      <c r="F3184" s="101">
        <f t="shared" ref="F3184:F3187" si="171">C3184*(D3184+(D3184*E3184))</f>
        <v>78750</v>
      </c>
      <c r="G3184" s="81"/>
      <c r="H3184" s="81"/>
      <c r="I3184" s="81"/>
      <c r="J3184" s="81"/>
      <c r="K3184" s="81"/>
      <c r="L3184" s="81"/>
      <c r="M3184" s="81"/>
      <c r="N3184" s="81"/>
    </row>
    <row r="3185" spans="1:14" s="170" customFormat="1" ht="14.25" customHeight="1" x14ac:dyDescent="0.25">
      <c r="A3185" s="99" t="s">
        <v>696</v>
      </c>
      <c r="B3185" s="100" t="s">
        <v>671</v>
      </c>
      <c r="C3185" s="101">
        <v>125000</v>
      </c>
      <c r="D3185" s="149">
        <v>0.04</v>
      </c>
      <c r="E3185" s="102">
        <v>0.05</v>
      </c>
      <c r="F3185" s="101">
        <f t="shared" si="171"/>
        <v>5250</v>
      </c>
      <c r="G3185" s="81"/>
      <c r="H3185" s="81"/>
      <c r="I3185" s="81"/>
      <c r="J3185" s="81"/>
      <c r="K3185" s="81"/>
      <c r="L3185" s="81"/>
      <c r="M3185" s="81"/>
      <c r="N3185" s="81"/>
    </row>
    <row r="3186" spans="1:14" s="170" customFormat="1" ht="14.25" customHeight="1" x14ac:dyDescent="0.25">
      <c r="A3186" s="99" t="s">
        <v>676</v>
      </c>
      <c r="B3186" s="100" t="s">
        <v>99</v>
      </c>
      <c r="C3186" s="101">
        <v>12350</v>
      </c>
      <c r="D3186" s="149">
        <v>0.08</v>
      </c>
      <c r="E3186" s="102">
        <v>0.05</v>
      </c>
      <c r="F3186" s="101">
        <f t="shared" si="171"/>
        <v>1037.4000000000001</v>
      </c>
      <c r="G3186" s="81"/>
      <c r="H3186" s="81"/>
      <c r="I3186" s="81"/>
      <c r="J3186" s="81"/>
      <c r="K3186" s="81"/>
      <c r="L3186" s="81"/>
      <c r="M3186" s="81"/>
      <c r="N3186" s="81"/>
    </row>
    <row r="3187" spans="1:14" s="170" customFormat="1" ht="14.25" customHeight="1" x14ac:dyDescent="0.25">
      <c r="A3187" s="99"/>
      <c r="B3187" s="100"/>
      <c r="C3187" s="101"/>
      <c r="D3187" s="149"/>
      <c r="E3187" s="102"/>
      <c r="F3187" s="101">
        <f t="shared" si="171"/>
        <v>0</v>
      </c>
      <c r="G3187" s="81"/>
      <c r="H3187" s="81"/>
      <c r="I3187" s="81"/>
      <c r="J3187" s="81"/>
      <c r="K3187" s="81"/>
      <c r="L3187" s="81"/>
      <c r="M3187" s="81"/>
      <c r="N3187" s="81"/>
    </row>
    <row r="3188" spans="1:14" s="170" customFormat="1" ht="14.25" customHeight="1" x14ac:dyDescent="0.25">
      <c r="A3188" s="99"/>
      <c r="B3188" s="100"/>
      <c r="C3188" s="106"/>
      <c r="D3188" s="107"/>
      <c r="E3188" s="108"/>
      <c r="F3188" s="106"/>
      <c r="G3188" s="81"/>
      <c r="H3188" s="81"/>
      <c r="I3188" s="81"/>
      <c r="J3188" s="81"/>
      <c r="K3188" s="81"/>
      <c r="L3188" s="81"/>
      <c r="M3188" s="81"/>
      <c r="N3188" s="81"/>
    </row>
    <row r="3189" spans="1:14" s="170" customFormat="1" ht="14.25" customHeight="1" x14ac:dyDescent="0.25">
      <c r="A3189" s="97" t="s">
        <v>548</v>
      </c>
      <c r="B3189" s="97"/>
      <c r="C3189" s="109"/>
      <c r="D3189" s="110"/>
      <c r="E3189" s="111"/>
      <c r="F3189" s="112">
        <f>SUM(F3184:F3188)</f>
        <v>85037.4</v>
      </c>
      <c r="G3189" s="81"/>
      <c r="H3189" s="81"/>
      <c r="I3189" s="81"/>
      <c r="J3189" s="81"/>
      <c r="K3189" s="81"/>
      <c r="L3189" s="81"/>
      <c r="M3189" s="81"/>
      <c r="N3189" s="81"/>
    </row>
    <row r="3190" spans="1:14" s="170" customFormat="1" ht="14.25" customHeight="1" x14ac:dyDescent="0.25">
      <c r="A3190" s="88"/>
      <c r="B3190" s="88"/>
      <c r="C3190" s="113"/>
      <c r="D3190" s="113"/>
      <c r="E3190" s="114"/>
      <c r="F3190" s="113"/>
      <c r="G3190" s="81"/>
      <c r="H3190" s="81"/>
      <c r="I3190" s="81"/>
      <c r="J3190" s="81"/>
      <c r="K3190" s="81"/>
      <c r="L3190" s="81"/>
      <c r="M3190" s="81"/>
      <c r="N3190" s="81"/>
    </row>
    <row r="3191" spans="1:14" s="170" customFormat="1" ht="14.25" customHeight="1" x14ac:dyDescent="0.25">
      <c r="A3191" s="96" t="s">
        <v>573</v>
      </c>
      <c r="B3191" s="96"/>
      <c r="C3191" s="92"/>
      <c r="D3191" s="92"/>
      <c r="E3191" s="92"/>
      <c r="F3191" s="92"/>
      <c r="G3191" s="81"/>
      <c r="H3191" s="81"/>
      <c r="I3191" s="81"/>
      <c r="J3191" s="81"/>
      <c r="K3191" s="81"/>
      <c r="L3191" s="81"/>
      <c r="M3191" s="81"/>
      <c r="N3191" s="81"/>
    </row>
    <row r="3192" spans="1:14" s="170" customFormat="1" ht="14.25" customHeight="1" x14ac:dyDescent="0.25">
      <c r="A3192" s="611" t="s">
        <v>563</v>
      </c>
      <c r="B3192" s="608"/>
      <c r="C3192" s="609"/>
      <c r="D3192" s="98" t="s">
        <v>574</v>
      </c>
      <c r="E3192" s="98" t="s">
        <v>575</v>
      </c>
      <c r="F3192" s="98" t="s">
        <v>568</v>
      </c>
      <c r="G3192" s="81"/>
      <c r="H3192" s="81"/>
      <c r="I3192" s="81"/>
      <c r="J3192" s="81"/>
      <c r="K3192" s="81"/>
      <c r="L3192" s="81"/>
      <c r="M3192" s="81"/>
      <c r="N3192" s="81"/>
    </row>
    <row r="3193" spans="1:14" s="170" customFormat="1" ht="14.25" customHeight="1" x14ac:dyDescent="0.25">
      <c r="A3193" s="607" t="s">
        <v>577</v>
      </c>
      <c r="B3193" s="608"/>
      <c r="C3193" s="609"/>
      <c r="D3193" s="116"/>
      <c r="E3193" s="107"/>
      <c r="F3193" s="106">
        <f>+F3206*5%</f>
        <v>870.85532247400374</v>
      </c>
      <c r="G3193" s="81"/>
      <c r="H3193" s="81"/>
      <c r="I3193" s="81"/>
      <c r="J3193" s="81"/>
      <c r="K3193" s="81"/>
      <c r="L3193" s="81"/>
      <c r="M3193" s="81"/>
      <c r="N3193" s="81"/>
    </row>
    <row r="3194" spans="1:14" s="170" customFormat="1" ht="14.25" customHeight="1" x14ac:dyDescent="0.25">
      <c r="A3194" s="607"/>
      <c r="B3194" s="608"/>
      <c r="C3194" s="609"/>
      <c r="D3194" s="142"/>
      <c r="E3194" s="107"/>
      <c r="F3194" s="106"/>
      <c r="G3194" s="81"/>
      <c r="H3194" s="81"/>
      <c r="I3194" s="81"/>
      <c r="J3194" s="81"/>
      <c r="K3194" s="81"/>
      <c r="L3194" s="81"/>
      <c r="M3194" s="81"/>
      <c r="N3194" s="81"/>
    </row>
    <row r="3195" spans="1:14" s="170" customFormat="1" ht="14.25" customHeight="1" x14ac:dyDescent="0.25">
      <c r="A3195" s="607"/>
      <c r="B3195" s="608"/>
      <c r="C3195" s="609"/>
      <c r="D3195" s="142"/>
      <c r="E3195" s="105"/>
      <c r="F3195" s="106"/>
      <c r="G3195" s="81"/>
      <c r="H3195" s="81"/>
      <c r="I3195" s="81"/>
      <c r="J3195" s="81"/>
      <c r="K3195" s="81"/>
      <c r="L3195" s="81"/>
      <c r="M3195" s="81"/>
      <c r="N3195" s="81"/>
    </row>
    <row r="3196" spans="1:14" s="170" customFormat="1" ht="14.25" customHeight="1" x14ac:dyDescent="0.25">
      <c r="A3196" s="607"/>
      <c r="B3196" s="608"/>
      <c r="C3196" s="609"/>
      <c r="D3196" s="142"/>
      <c r="E3196" s="107"/>
      <c r="F3196" s="106"/>
      <c r="G3196" s="81"/>
      <c r="H3196" s="81"/>
      <c r="I3196" s="81"/>
      <c r="J3196" s="81"/>
      <c r="K3196" s="81"/>
      <c r="L3196" s="81"/>
      <c r="M3196" s="81"/>
      <c r="N3196" s="81"/>
    </row>
    <row r="3197" spans="1:14" s="170" customFormat="1" ht="14.25" customHeight="1" x14ac:dyDescent="0.25">
      <c r="A3197" s="610"/>
      <c r="B3197" s="608"/>
      <c r="C3197" s="609"/>
      <c r="D3197" s="115"/>
      <c r="E3197" s="107"/>
      <c r="F3197" s="106"/>
      <c r="G3197" s="81"/>
      <c r="H3197" s="81"/>
      <c r="I3197" s="81"/>
      <c r="J3197" s="81"/>
      <c r="K3197" s="81"/>
      <c r="L3197" s="81"/>
      <c r="M3197" s="81"/>
      <c r="N3197" s="81"/>
    </row>
    <row r="3198" spans="1:14" s="170" customFormat="1" ht="14.25" customHeight="1" x14ac:dyDescent="0.25">
      <c r="A3198" s="611" t="s">
        <v>548</v>
      </c>
      <c r="B3198" s="608"/>
      <c r="C3198" s="609"/>
      <c r="D3198" s="110"/>
      <c r="E3198" s="110"/>
      <c r="F3198" s="112">
        <f>SUM(F3193:F3196)</f>
        <v>870.85532247400374</v>
      </c>
      <c r="G3198" s="81"/>
      <c r="H3198" s="81"/>
      <c r="I3198" s="81"/>
      <c r="J3198" s="81"/>
      <c r="K3198" s="81"/>
      <c r="L3198" s="81"/>
      <c r="M3198" s="81"/>
      <c r="N3198" s="81"/>
    </row>
    <row r="3199" spans="1:14" s="170" customFormat="1" ht="14.25" customHeight="1" x14ac:dyDescent="0.25">
      <c r="A3199" s="88"/>
      <c r="B3199" s="88"/>
      <c r="C3199" s="89"/>
      <c r="D3199" s="113"/>
      <c r="E3199" s="113"/>
      <c r="F3199" s="113"/>
      <c r="G3199" s="81"/>
      <c r="H3199" s="81"/>
      <c r="I3199" s="81"/>
      <c r="J3199" s="81"/>
      <c r="K3199" s="81"/>
      <c r="L3199" s="81"/>
      <c r="M3199" s="81"/>
      <c r="N3199" s="81"/>
    </row>
    <row r="3200" spans="1:14" s="170" customFormat="1" ht="14.25" customHeight="1" x14ac:dyDescent="0.25">
      <c r="A3200" s="96" t="s">
        <v>578</v>
      </c>
      <c r="B3200" s="96"/>
      <c r="C3200" s="92"/>
      <c r="D3200" s="118"/>
      <c r="E3200" s="118"/>
      <c r="F3200" s="118"/>
      <c r="G3200" s="81"/>
      <c r="H3200" s="81"/>
      <c r="I3200" s="81"/>
      <c r="J3200" s="81"/>
      <c r="K3200" s="81"/>
      <c r="L3200" s="81"/>
      <c r="M3200" s="81"/>
      <c r="N3200" s="81"/>
    </row>
    <row r="3201" spans="1:14" s="170" customFormat="1" ht="14.25" customHeight="1" x14ac:dyDescent="0.25">
      <c r="A3201" s="119" t="s">
        <v>563</v>
      </c>
      <c r="B3201" s="120" t="s">
        <v>579</v>
      </c>
      <c r="C3201" s="120" t="s">
        <v>580</v>
      </c>
      <c r="D3201" s="121" t="s">
        <v>581</v>
      </c>
      <c r="E3201" s="121" t="s">
        <v>575</v>
      </c>
      <c r="F3201" s="121" t="s">
        <v>568</v>
      </c>
      <c r="G3201" s="81"/>
      <c r="H3201" s="81"/>
      <c r="I3201" s="81"/>
      <c r="J3201" s="81"/>
      <c r="K3201" s="81"/>
      <c r="L3201" s="81"/>
      <c r="M3201" s="81"/>
      <c r="N3201" s="81"/>
    </row>
    <row r="3202" spans="1:14" s="170" customFormat="1" ht="14.25" customHeight="1" x14ac:dyDescent="0.25">
      <c r="A3202" s="122" t="s">
        <v>593</v>
      </c>
      <c r="B3202" s="127">
        <v>1</v>
      </c>
      <c r="C3202" s="101">
        <v>32688</v>
      </c>
      <c r="D3202" s="101">
        <f t="shared" ref="D3202:D3203" si="172">+C3202*1.7</f>
        <v>55569.599999999999</v>
      </c>
      <c r="E3202" s="107">
        <v>8.3185000000000002</v>
      </c>
      <c r="F3202" s="106">
        <f t="shared" ref="F3202:F3203" si="173">+B3202*(D3202)/E3202</f>
        <v>6680.2428322413889</v>
      </c>
      <c r="G3202" s="81"/>
      <c r="H3202" s="81"/>
      <c r="I3202" s="81"/>
      <c r="J3202" s="81"/>
      <c r="K3202" s="81"/>
      <c r="L3202" s="81"/>
      <c r="M3202" s="81"/>
      <c r="N3202" s="81"/>
    </row>
    <row r="3203" spans="1:14" s="170" customFormat="1" ht="14.25" customHeight="1" x14ac:dyDescent="0.25">
      <c r="A3203" s="122" t="s">
        <v>594</v>
      </c>
      <c r="B3203" s="127">
        <v>1</v>
      </c>
      <c r="C3203" s="101">
        <v>52538</v>
      </c>
      <c r="D3203" s="101">
        <f t="shared" si="172"/>
        <v>89314.599999999991</v>
      </c>
      <c r="E3203" s="107">
        <f>E3202</f>
        <v>8.3185000000000002</v>
      </c>
      <c r="F3203" s="106">
        <f t="shared" si="173"/>
        <v>10736.863617238683</v>
      </c>
      <c r="G3203" s="81"/>
      <c r="H3203" s="81"/>
      <c r="I3203" s="81"/>
      <c r="J3203" s="81"/>
      <c r="K3203" s="81"/>
      <c r="L3203" s="81"/>
      <c r="M3203" s="81"/>
      <c r="N3203" s="81"/>
    </row>
    <row r="3204" spans="1:14" s="170" customFormat="1" ht="14.25" customHeight="1" x14ac:dyDescent="0.25">
      <c r="A3204" s="122"/>
      <c r="B3204" s="127"/>
      <c r="C3204" s="101"/>
      <c r="D3204" s="101"/>
      <c r="E3204" s="105"/>
      <c r="F3204" s="106"/>
      <c r="G3204" s="81"/>
      <c r="H3204" s="81"/>
      <c r="I3204" s="81"/>
      <c r="J3204" s="81"/>
      <c r="K3204" s="81"/>
      <c r="L3204" s="81"/>
      <c r="M3204" s="81"/>
      <c r="N3204" s="81"/>
    </row>
    <row r="3205" spans="1:14" s="170" customFormat="1" ht="14.25" customHeight="1" x14ac:dyDescent="0.25">
      <c r="A3205" s="122"/>
      <c r="B3205" s="127"/>
      <c r="C3205" s="101"/>
      <c r="D3205" s="101"/>
      <c r="E3205" s="125"/>
      <c r="F3205" s="106"/>
      <c r="G3205" s="81"/>
      <c r="H3205" s="81"/>
      <c r="I3205" s="81"/>
      <c r="J3205" s="81"/>
      <c r="K3205" s="81"/>
      <c r="L3205" s="81"/>
      <c r="M3205" s="81"/>
      <c r="N3205" s="81"/>
    </row>
    <row r="3206" spans="1:14" s="170" customFormat="1" ht="14.25" customHeight="1" x14ac:dyDescent="0.25">
      <c r="A3206" s="97" t="s">
        <v>548</v>
      </c>
      <c r="B3206" s="128"/>
      <c r="C3206" s="110"/>
      <c r="D3206" s="110"/>
      <c r="E3206" s="110"/>
      <c r="F3206" s="112">
        <f>SUM(F3202:F3205)</f>
        <v>17417.106449480074</v>
      </c>
      <c r="G3206" s="81"/>
      <c r="H3206" s="81"/>
      <c r="I3206" s="81"/>
      <c r="J3206" s="81"/>
      <c r="K3206" s="81"/>
      <c r="L3206" s="81"/>
      <c r="M3206" s="81"/>
      <c r="N3206" s="81"/>
    </row>
    <row r="3207" spans="1:14" s="170" customFormat="1" ht="14.25" customHeight="1" x14ac:dyDescent="0.25">
      <c r="A3207" s="96"/>
      <c r="B3207" s="129"/>
      <c r="C3207" s="118"/>
      <c r="D3207" s="118"/>
      <c r="E3207" s="118"/>
      <c r="F3207" s="118"/>
      <c r="G3207" s="81"/>
      <c r="H3207" s="81"/>
      <c r="I3207" s="81"/>
      <c r="J3207" s="81"/>
      <c r="K3207" s="81"/>
      <c r="L3207" s="81"/>
      <c r="M3207" s="81"/>
      <c r="N3207" s="81"/>
    </row>
    <row r="3208" spans="1:14" s="170" customFormat="1" ht="14.25" customHeight="1" x14ac:dyDescent="0.25">
      <c r="A3208" s="95" t="s">
        <v>583</v>
      </c>
      <c r="B3208" s="96"/>
      <c r="C3208" s="92"/>
      <c r="D3208" s="92"/>
      <c r="E3208" s="92" t="s">
        <v>584</v>
      </c>
      <c r="F3208" s="92"/>
      <c r="G3208" s="81"/>
      <c r="H3208" s="81"/>
      <c r="I3208" s="81"/>
      <c r="J3208" s="81"/>
      <c r="K3208" s="81"/>
      <c r="L3208" s="81"/>
      <c r="M3208" s="81"/>
      <c r="N3208" s="81"/>
    </row>
    <row r="3209" spans="1:14" s="170" customFormat="1" ht="14.25" customHeight="1" x14ac:dyDescent="0.25">
      <c r="A3209" s="97" t="s">
        <v>563</v>
      </c>
      <c r="B3209" s="98" t="s">
        <v>564</v>
      </c>
      <c r="C3209" s="98" t="s">
        <v>585</v>
      </c>
      <c r="D3209" s="98" t="s">
        <v>586</v>
      </c>
      <c r="E3209" s="120" t="s">
        <v>587</v>
      </c>
      <c r="F3209" s="98" t="s">
        <v>568</v>
      </c>
      <c r="G3209" s="81"/>
      <c r="H3209" s="81"/>
      <c r="I3209" s="81"/>
      <c r="J3209" s="81"/>
      <c r="K3209" s="81"/>
      <c r="L3209" s="81"/>
      <c r="M3209" s="81"/>
      <c r="N3209" s="81"/>
    </row>
    <row r="3210" spans="1:14" s="170" customFormat="1" ht="14.25" customHeight="1" x14ac:dyDescent="0.25">
      <c r="A3210" s="103"/>
      <c r="B3210" s="100"/>
      <c r="C3210" s="101"/>
      <c r="D3210" s="140"/>
      <c r="E3210" s="107"/>
      <c r="F3210" s="109"/>
      <c r="G3210" s="81"/>
      <c r="H3210" s="81"/>
      <c r="I3210" s="81"/>
      <c r="J3210" s="81"/>
      <c r="K3210" s="81"/>
      <c r="L3210" s="81"/>
      <c r="M3210" s="81"/>
      <c r="N3210" s="81"/>
    </row>
    <row r="3211" spans="1:14" s="170" customFormat="1" ht="14.25" customHeight="1" x14ac:dyDescent="0.25">
      <c r="A3211" s="103"/>
      <c r="B3211" s="100"/>
      <c r="C3211" s="107"/>
      <c r="D3211" s="107"/>
      <c r="E3211" s="108"/>
      <c r="F3211" s="109"/>
      <c r="G3211" s="81"/>
      <c r="H3211" s="81"/>
      <c r="I3211" s="81"/>
      <c r="J3211" s="81"/>
      <c r="K3211" s="81"/>
      <c r="L3211" s="81"/>
      <c r="M3211" s="81"/>
      <c r="N3211" s="81"/>
    </row>
    <row r="3212" spans="1:14" s="170" customFormat="1" ht="14.25" customHeight="1" x14ac:dyDescent="0.25">
      <c r="A3212" s="97" t="s">
        <v>548</v>
      </c>
      <c r="B3212" s="98"/>
      <c r="C3212" s="110"/>
      <c r="D3212" s="110"/>
      <c r="E3212" s="111"/>
      <c r="F3212" s="112">
        <f>SUM(F3210:F3211)</f>
        <v>0</v>
      </c>
      <c r="G3212" s="81"/>
      <c r="H3212" s="81"/>
      <c r="I3212" s="81"/>
      <c r="J3212" s="81"/>
      <c r="K3212" s="81"/>
      <c r="L3212" s="81"/>
      <c r="M3212" s="81"/>
      <c r="N3212" s="81"/>
    </row>
    <row r="3213" spans="1:14" s="170" customFormat="1" ht="14.25" customHeight="1" x14ac:dyDescent="0.25">
      <c r="A3213" s="88"/>
      <c r="B3213" s="89"/>
      <c r="C3213" s="113"/>
      <c r="D3213" s="113"/>
      <c r="E3213" s="114"/>
      <c r="F3213" s="113"/>
      <c r="G3213" s="81"/>
      <c r="H3213" s="81"/>
      <c r="I3213" s="81"/>
      <c r="J3213" s="81"/>
      <c r="K3213" s="81"/>
      <c r="L3213" s="81"/>
      <c r="M3213" s="81"/>
      <c r="N3213" s="81"/>
    </row>
    <row r="3214" spans="1:14" s="170" customFormat="1" ht="14.25" customHeight="1" x14ac:dyDescent="0.25">
      <c r="A3214" s="88"/>
      <c r="B3214" s="89"/>
      <c r="C3214" s="113"/>
      <c r="D3214" s="113"/>
      <c r="E3214" s="114"/>
      <c r="F3214" s="113"/>
      <c r="G3214" s="81"/>
      <c r="H3214" s="81"/>
      <c r="I3214" s="81"/>
      <c r="J3214" s="81"/>
      <c r="K3214" s="81"/>
      <c r="L3214" s="81"/>
      <c r="M3214" s="81"/>
      <c r="N3214" s="81"/>
    </row>
    <row r="3215" spans="1:14" s="170" customFormat="1" ht="14.25" customHeight="1" x14ac:dyDescent="0.25">
      <c r="A3215" s="612" t="s">
        <v>588</v>
      </c>
      <c r="B3215" s="608"/>
      <c r="C3215" s="608"/>
      <c r="D3215" s="608"/>
      <c r="E3215" s="609"/>
      <c r="F3215" s="131">
        <f>ROUND(F3189+F3198+F3206+F3212,0)</f>
        <v>103325</v>
      </c>
      <c r="G3215" s="81"/>
      <c r="H3215" s="117"/>
      <c r="I3215" s="81"/>
      <c r="J3215" s="81"/>
      <c r="K3215" s="81"/>
      <c r="L3215" s="81"/>
      <c r="M3215" s="81"/>
      <c r="N3215" s="81"/>
    </row>
    <row r="3216" spans="1:14" s="170" customFormat="1" ht="14.25" customHeight="1" x14ac:dyDescent="0.25">
      <c r="A3216" s="612" t="s">
        <v>589</v>
      </c>
      <c r="B3216" s="608"/>
      <c r="C3216" s="608"/>
      <c r="D3216" s="608"/>
      <c r="E3216" s="609"/>
      <c r="F3216" s="132"/>
      <c r="G3216" s="81"/>
      <c r="H3216" s="81"/>
      <c r="I3216" s="81"/>
      <c r="J3216" s="81"/>
      <c r="K3216" s="81"/>
      <c r="L3216" s="81"/>
      <c r="M3216" s="81"/>
      <c r="N3216" s="81"/>
    </row>
    <row r="3217" spans="1:14" s="170" customFormat="1" ht="14.25" customHeight="1" x14ac:dyDescent="0.25">
      <c r="A3217" s="169" t="s">
        <v>556</v>
      </c>
      <c r="B3217" s="147"/>
      <c r="C3217" s="147"/>
      <c r="D3217" s="147"/>
      <c r="E3217" s="148"/>
      <c r="F3217" s="133"/>
      <c r="G3217" s="81"/>
      <c r="H3217" s="81"/>
      <c r="I3217" s="81"/>
      <c r="J3217" s="81"/>
      <c r="K3217" s="81"/>
      <c r="L3217" s="81"/>
      <c r="M3217" s="81"/>
      <c r="N3217" s="81"/>
    </row>
    <row r="3218" spans="1:14" ht="14.25" customHeight="1" x14ac:dyDescent="0.25">
      <c r="A3218" s="81"/>
      <c r="B3218" s="81"/>
      <c r="C3218" s="137"/>
      <c r="D3218" s="81"/>
      <c r="E3218" s="81"/>
      <c r="F3218" s="81"/>
      <c r="G3218" s="81"/>
      <c r="H3218" s="81"/>
      <c r="I3218" s="81"/>
      <c r="J3218" s="81"/>
      <c r="K3218" s="81"/>
      <c r="L3218" s="81"/>
      <c r="M3218" s="81"/>
      <c r="N3218" s="81"/>
    </row>
    <row r="3219" spans="1:14" ht="14.25" customHeight="1" x14ac:dyDescent="0.25">
      <c r="A3219" s="81"/>
      <c r="B3219" s="81"/>
      <c r="C3219" s="137"/>
      <c r="D3219" s="81"/>
      <c r="E3219" s="81"/>
      <c r="F3219" s="81"/>
      <c r="G3219" s="81"/>
      <c r="H3219" s="81"/>
      <c r="I3219" s="81"/>
      <c r="J3219" s="81"/>
      <c r="K3219" s="81"/>
      <c r="L3219" s="81"/>
      <c r="M3219" s="81"/>
      <c r="N3219" s="81"/>
    </row>
    <row r="3220" spans="1:14" ht="14.25" customHeight="1" x14ac:dyDescent="0.25">
      <c r="A3220" s="81"/>
      <c r="B3220" s="81"/>
      <c r="C3220" s="137"/>
      <c r="D3220" s="81"/>
      <c r="E3220" s="81"/>
      <c r="F3220" s="81"/>
      <c r="G3220" s="81"/>
      <c r="H3220" s="81"/>
      <c r="I3220" s="81"/>
      <c r="J3220" s="81"/>
      <c r="K3220" s="81"/>
      <c r="L3220" s="81"/>
      <c r="M3220" s="81"/>
      <c r="N3220" s="81"/>
    </row>
    <row r="3221" spans="1:14" ht="14.25" customHeight="1" x14ac:dyDescent="0.25">
      <c r="A3221" s="81"/>
      <c r="B3221" s="81"/>
      <c r="C3221" s="137"/>
      <c r="D3221" s="81"/>
      <c r="E3221" s="81"/>
      <c r="F3221" s="81"/>
      <c r="G3221" s="81"/>
      <c r="H3221" s="81"/>
      <c r="I3221" s="81"/>
      <c r="J3221" s="81"/>
      <c r="K3221" s="81"/>
      <c r="L3221" s="81"/>
      <c r="M3221" s="81"/>
      <c r="N3221" s="81"/>
    </row>
    <row r="3222" spans="1:14" ht="14.25" customHeight="1" x14ac:dyDescent="0.25">
      <c r="A3222" s="81"/>
      <c r="B3222" s="81"/>
      <c r="C3222" s="137"/>
      <c r="D3222" s="81"/>
      <c r="E3222" s="81"/>
      <c r="F3222" s="81"/>
      <c r="G3222" s="81"/>
      <c r="H3222" s="81"/>
      <c r="I3222" s="81"/>
      <c r="J3222" s="81"/>
      <c r="K3222" s="81"/>
      <c r="L3222" s="81"/>
      <c r="M3222" s="81"/>
      <c r="N3222" s="81"/>
    </row>
    <row r="3223" spans="1:14" ht="14.25" customHeight="1" x14ac:dyDescent="0.25">
      <c r="A3223" s="81"/>
      <c r="B3223" s="81"/>
      <c r="C3223" s="137"/>
      <c r="D3223" s="81"/>
      <c r="E3223" s="81"/>
      <c r="F3223" s="81"/>
      <c r="G3223" s="81"/>
      <c r="H3223" s="81"/>
      <c r="I3223" s="81"/>
      <c r="J3223" s="81"/>
      <c r="K3223" s="81"/>
      <c r="L3223" s="81"/>
      <c r="M3223" s="81"/>
      <c r="N3223" s="81"/>
    </row>
    <row r="3224" spans="1:14" ht="14.25" customHeight="1" x14ac:dyDescent="0.25">
      <c r="A3224" s="81"/>
      <c r="B3224" s="81"/>
      <c r="C3224" s="137"/>
      <c r="D3224" s="81"/>
      <c r="E3224" s="81"/>
      <c r="F3224" s="81"/>
      <c r="G3224" s="81"/>
      <c r="H3224" s="81"/>
      <c r="I3224" s="81"/>
      <c r="J3224" s="81"/>
      <c r="K3224" s="81"/>
      <c r="L3224" s="81"/>
      <c r="M3224" s="81"/>
      <c r="N3224" s="81"/>
    </row>
    <row r="3225" spans="1:14" ht="14.25" customHeight="1" x14ac:dyDescent="0.25">
      <c r="A3225" s="134"/>
      <c r="B3225" s="135"/>
      <c r="C3225" s="135"/>
      <c r="D3225" s="135"/>
      <c r="E3225" s="135"/>
      <c r="F3225" s="136"/>
      <c r="G3225" s="81"/>
      <c r="H3225" s="81"/>
      <c r="I3225" s="81"/>
      <c r="J3225" s="81"/>
      <c r="K3225" s="81"/>
      <c r="L3225" s="81"/>
      <c r="M3225" s="81"/>
      <c r="N3225" s="81"/>
    </row>
    <row r="3226" spans="1:14" ht="14.25" customHeight="1" x14ac:dyDescent="0.25">
      <c r="A3226" s="134"/>
      <c r="B3226" s="135"/>
      <c r="C3226" s="135"/>
      <c r="D3226" s="135"/>
      <c r="E3226" s="135"/>
      <c r="F3226" s="136"/>
      <c r="G3226" s="81"/>
      <c r="H3226" s="81"/>
      <c r="I3226" s="81"/>
      <c r="J3226" s="81"/>
      <c r="K3226" s="81"/>
      <c r="L3226" s="81"/>
      <c r="M3226" s="81"/>
      <c r="N3226" s="81"/>
    </row>
    <row r="3227" spans="1:14" ht="14.25" customHeight="1" x14ac:dyDescent="0.25">
      <c r="A3227" s="134"/>
      <c r="B3227" s="135"/>
      <c r="C3227" s="135"/>
      <c r="D3227" s="135"/>
      <c r="E3227" s="135"/>
      <c r="F3227" s="136"/>
      <c r="G3227" s="81"/>
      <c r="H3227" s="81"/>
      <c r="I3227" s="81"/>
      <c r="J3227" s="81"/>
      <c r="K3227" s="81"/>
      <c r="L3227" s="81"/>
      <c r="M3227" s="81"/>
      <c r="N3227" s="81"/>
    </row>
    <row r="3228" spans="1:14" ht="14.25" customHeight="1" thickBot="1" x14ac:dyDescent="0.3">
      <c r="A3228" s="81"/>
      <c r="B3228" s="81"/>
      <c r="C3228" s="81"/>
      <c r="D3228" s="81"/>
      <c r="E3228" s="81"/>
      <c r="F3228" s="81"/>
      <c r="G3228" s="81"/>
      <c r="H3228" s="81"/>
      <c r="I3228" s="81"/>
      <c r="J3228" s="81"/>
      <c r="K3228" s="81"/>
      <c r="L3228" s="81"/>
      <c r="M3228" s="81"/>
      <c r="N3228" s="81"/>
    </row>
    <row r="3229" spans="1:14" ht="14.25" customHeight="1" x14ac:dyDescent="0.25">
      <c r="A3229" s="83"/>
      <c r="B3229" s="84"/>
      <c r="C3229" s="85"/>
      <c r="D3229" s="86"/>
      <c r="E3229" s="86"/>
      <c r="F3229" s="87"/>
      <c r="G3229" s="81"/>
      <c r="H3229" s="81"/>
      <c r="I3229" s="81"/>
      <c r="J3229" s="81"/>
      <c r="K3229" s="81"/>
      <c r="L3229" s="81"/>
      <c r="M3229" s="81"/>
      <c r="N3229" s="81"/>
    </row>
    <row r="3230" spans="1:14" ht="14.25" customHeight="1" x14ac:dyDescent="0.25">
      <c r="A3230" s="599"/>
      <c r="B3230" s="600"/>
      <c r="C3230" s="600"/>
      <c r="D3230" s="600"/>
      <c r="E3230" s="600"/>
      <c r="F3230" s="601"/>
      <c r="G3230" s="81"/>
      <c r="H3230" s="81"/>
      <c r="I3230" s="81"/>
      <c r="J3230" s="81"/>
      <c r="K3230" s="81"/>
      <c r="L3230" s="81"/>
      <c r="M3230" s="81"/>
      <c r="N3230" s="81"/>
    </row>
    <row r="3231" spans="1:14" ht="14.25" customHeight="1" x14ac:dyDescent="0.25">
      <c r="A3231" s="602" t="s">
        <v>561</v>
      </c>
      <c r="B3231" s="600"/>
      <c r="C3231" s="600"/>
      <c r="D3231" s="600"/>
      <c r="E3231" s="600"/>
      <c r="F3231" s="601"/>
      <c r="G3231" s="81"/>
      <c r="H3231" s="81"/>
      <c r="I3231" s="81"/>
      <c r="J3231" s="81"/>
      <c r="K3231" s="81"/>
      <c r="L3231" s="81"/>
      <c r="M3231" s="81"/>
      <c r="N3231" s="81"/>
    </row>
    <row r="3232" spans="1:14" ht="14.25" customHeight="1" thickBot="1" x14ac:dyDescent="0.3">
      <c r="A3232" s="603"/>
      <c r="B3232" s="604"/>
      <c r="C3232" s="604"/>
      <c r="D3232" s="604"/>
      <c r="E3232" s="604"/>
      <c r="F3232" s="605"/>
      <c r="G3232" s="81"/>
      <c r="H3232" s="81"/>
      <c r="I3232" s="81"/>
      <c r="J3232" s="81"/>
      <c r="K3232" s="81"/>
      <c r="L3232" s="81"/>
      <c r="M3232" s="81"/>
      <c r="N3232" s="81"/>
    </row>
    <row r="3233" spans="1:14" ht="14.25" customHeight="1" x14ac:dyDescent="0.25">
      <c r="A3233" s="88"/>
      <c r="B3233" s="88"/>
      <c r="C3233" s="89"/>
      <c r="D3233" s="89"/>
      <c r="E3233" s="89"/>
      <c r="F3233" s="89"/>
      <c r="G3233" s="81"/>
      <c r="H3233" s="81"/>
      <c r="I3233" s="81"/>
      <c r="J3233" s="81"/>
      <c r="K3233" s="81"/>
      <c r="L3233" s="81"/>
      <c r="M3233" s="81"/>
      <c r="N3233" s="81"/>
    </row>
    <row r="3234" spans="1:14" ht="14.25" customHeight="1" x14ac:dyDescent="0.25">
      <c r="A3234" s="90" t="s">
        <v>47</v>
      </c>
      <c r="B3234" s="613" t="s">
        <v>166</v>
      </c>
      <c r="C3234" s="600"/>
      <c r="D3234" s="600"/>
      <c r="E3234" s="600"/>
      <c r="F3234" s="600"/>
      <c r="G3234" s="81"/>
      <c r="H3234" s="81"/>
      <c r="I3234" s="81"/>
      <c r="J3234" s="81"/>
      <c r="K3234" s="81"/>
      <c r="L3234" s="81"/>
      <c r="M3234" s="81"/>
      <c r="N3234" s="81"/>
    </row>
    <row r="3235" spans="1:14" ht="14.25" customHeight="1" x14ac:dyDescent="0.25">
      <c r="A3235" s="91"/>
      <c r="B3235" s="91"/>
      <c r="C3235" s="91"/>
      <c r="D3235" s="91"/>
      <c r="E3235" s="91"/>
      <c r="F3235" s="91"/>
      <c r="G3235" s="81"/>
      <c r="H3235" s="81"/>
      <c r="I3235" s="81"/>
      <c r="J3235" s="81"/>
      <c r="K3235" s="81"/>
      <c r="L3235" s="81"/>
      <c r="M3235" s="81"/>
      <c r="N3235" s="81"/>
    </row>
    <row r="3236" spans="1:14" ht="14.25" customHeight="1" x14ac:dyDescent="0.25">
      <c r="A3236" s="88" t="s">
        <v>49</v>
      </c>
      <c r="B3236" s="92" t="s">
        <v>56</v>
      </c>
      <c r="C3236" s="89"/>
      <c r="D3236" s="89"/>
      <c r="E3236" s="89"/>
      <c r="F3236" s="93"/>
      <c r="G3236" s="81"/>
      <c r="H3236" s="81"/>
      <c r="I3236" s="81"/>
      <c r="J3236" s="81"/>
      <c r="K3236" s="81"/>
      <c r="L3236" s="81"/>
      <c r="M3236" s="81"/>
      <c r="N3236" s="81"/>
    </row>
    <row r="3237" spans="1:14" ht="14.25" customHeight="1" x14ac:dyDescent="0.25">
      <c r="A3237" s="88"/>
      <c r="B3237" s="94"/>
      <c r="C3237" s="89"/>
      <c r="D3237" s="89"/>
      <c r="E3237" s="89"/>
      <c r="F3237" s="93"/>
      <c r="G3237" s="81"/>
      <c r="H3237" s="81"/>
      <c r="I3237" s="81"/>
      <c r="J3237" s="81"/>
      <c r="K3237" s="81"/>
      <c r="L3237" s="81"/>
      <c r="M3237" s="81"/>
      <c r="N3237" s="81"/>
    </row>
    <row r="3238" spans="1:14" ht="14.25" customHeight="1" x14ac:dyDescent="0.25">
      <c r="A3238" s="95" t="s">
        <v>562</v>
      </c>
      <c r="B3238" s="96"/>
      <c r="C3238" s="92"/>
      <c r="D3238" s="92"/>
      <c r="E3238" s="92"/>
      <c r="F3238" s="92"/>
      <c r="G3238" s="81"/>
      <c r="H3238" s="81"/>
      <c r="I3238" s="81"/>
      <c r="J3238" s="81"/>
      <c r="K3238" s="81"/>
      <c r="L3238" s="81"/>
      <c r="M3238" s="81"/>
      <c r="N3238" s="81"/>
    </row>
    <row r="3239" spans="1:14" ht="14.25" customHeight="1" x14ac:dyDescent="0.25">
      <c r="A3239" s="97" t="s">
        <v>563</v>
      </c>
      <c r="B3239" s="98" t="s">
        <v>564</v>
      </c>
      <c r="C3239" s="98" t="s">
        <v>565</v>
      </c>
      <c r="D3239" s="98" t="s">
        <v>566</v>
      </c>
      <c r="E3239" s="98" t="s">
        <v>567</v>
      </c>
      <c r="F3239" s="98" t="s">
        <v>568</v>
      </c>
      <c r="G3239" s="81"/>
      <c r="H3239" s="81"/>
      <c r="I3239" s="81"/>
      <c r="J3239" s="81"/>
      <c r="K3239" s="81"/>
      <c r="L3239" s="81"/>
      <c r="M3239" s="81"/>
      <c r="N3239" s="81"/>
    </row>
    <row r="3240" spans="1:14" ht="14.25" customHeight="1" x14ac:dyDescent="0.25">
      <c r="A3240" s="99" t="s">
        <v>697</v>
      </c>
      <c r="B3240" s="100" t="s">
        <v>671</v>
      </c>
      <c r="C3240" s="101">
        <v>93250</v>
      </c>
      <c r="D3240" s="149">
        <v>0.3</v>
      </c>
      <c r="E3240" s="102">
        <v>0.05</v>
      </c>
      <c r="F3240" s="101">
        <f t="shared" ref="F3240:F3242" si="174">C3240*(D3240+(D3240*E3240))</f>
        <v>29373.75</v>
      </c>
      <c r="G3240" s="81"/>
      <c r="H3240" s="81"/>
      <c r="I3240" s="81"/>
      <c r="J3240" s="81"/>
      <c r="K3240" s="81"/>
      <c r="L3240" s="81"/>
      <c r="M3240" s="81"/>
      <c r="N3240" s="81"/>
    </row>
    <row r="3241" spans="1:14" ht="14.25" customHeight="1" x14ac:dyDescent="0.25">
      <c r="A3241" s="99" t="s">
        <v>676</v>
      </c>
      <c r="B3241" s="100" t="s">
        <v>99</v>
      </c>
      <c r="C3241" s="101">
        <v>12350</v>
      </c>
      <c r="D3241" s="149">
        <v>0.2</v>
      </c>
      <c r="E3241" s="102">
        <v>0.05</v>
      </c>
      <c r="F3241" s="101">
        <f t="shared" si="174"/>
        <v>2593.5000000000005</v>
      </c>
      <c r="G3241" s="81"/>
      <c r="H3241" s="81"/>
      <c r="I3241" s="81"/>
      <c r="J3241" s="81"/>
      <c r="K3241" s="81"/>
      <c r="L3241" s="81"/>
      <c r="M3241" s="81"/>
      <c r="N3241" s="81"/>
    </row>
    <row r="3242" spans="1:14" ht="14.25" customHeight="1" x14ac:dyDescent="0.25">
      <c r="A3242" s="99"/>
      <c r="B3242" s="100"/>
      <c r="C3242" s="101"/>
      <c r="D3242" s="149"/>
      <c r="E3242" s="102"/>
      <c r="F3242" s="101">
        <f t="shared" si="174"/>
        <v>0</v>
      </c>
      <c r="G3242" s="81"/>
      <c r="H3242" s="81"/>
      <c r="I3242" s="81"/>
      <c r="J3242" s="81"/>
      <c r="K3242" s="81"/>
      <c r="L3242" s="81"/>
      <c r="M3242" s="81"/>
      <c r="N3242" s="81"/>
    </row>
    <row r="3243" spans="1:14" ht="14.25" customHeight="1" x14ac:dyDescent="0.25">
      <c r="A3243" s="99"/>
      <c r="B3243" s="100"/>
      <c r="C3243" s="106"/>
      <c r="D3243" s="107"/>
      <c r="E3243" s="108"/>
      <c r="F3243" s="106"/>
      <c r="G3243" s="81"/>
      <c r="H3243" s="81"/>
      <c r="I3243" s="81"/>
      <c r="J3243" s="81"/>
      <c r="K3243" s="81"/>
      <c r="L3243" s="81"/>
      <c r="M3243" s="81"/>
      <c r="N3243" s="81"/>
    </row>
    <row r="3244" spans="1:14" ht="14.25" customHeight="1" x14ac:dyDescent="0.25">
      <c r="A3244" s="97" t="s">
        <v>548</v>
      </c>
      <c r="B3244" s="97"/>
      <c r="C3244" s="109"/>
      <c r="D3244" s="110"/>
      <c r="E3244" s="111"/>
      <c r="F3244" s="112">
        <f>SUM(F3240:F3243)</f>
        <v>31967.25</v>
      </c>
      <c r="G3244" s="81"/>
      <c r="H3244" s="81"/>
      <c r="I3244" s="81"/>
      <c r="J3244" s="81"/>
      <c r="K3244" s="81"/>
      <c r="L3244" s="81"/>
      <c r="M3244" s="81"/>
      <c r="N3244" s="81"/>
    </row>
    <row r="3245" spans="1:14" ht="14.25" customHeight="1" x14ac:dyDescent="0.25">
      <c r="A3245" s="88"/>
      <c r="B3245" s="88"/>
      <c r="C3245" s="113"/>
      <c r="D3245" s="113"/>
      <c r="E3245" s="114"/>
      <c r="F3245" s="113"/>
      <c r="G3245" s="81"/>
      <c r="H3245" s="81"/>
      <c r="I3245" s="81"/>
      <c r="J3245" s="81"/>
      <c r="K3245" s="81"/>
      <c r="L3245" s="81"/>
      <c r="M3245" s="81"/>
      <c r="N3245" s="81"/>
    </row>
    <row r="3246" spans="1:14" ht="14.25" customHeight="1" x14ac:dyDescent="0.25">
      <c r="A3246" s="96" t="s">
        <v>573</v>
      </c>
      <c r="B3246" s="96"/>
      <c r="C3246" s="92"/>
      <c r="D3246" s="92"/>
      <c r="E3246" s="92"/>
      <c r="F3246" s="92"/>
      <c r="G3246" s="81"/>
      <c r="H3246" s="81"/>
      <c r="I3246" s="81"/>
      <c r="J3246" s="81"/>
      <c r="K3246" s="81"/>
      <c r="L3246" s="81"/>
      <c r="M3246" s="81"/>
      <c r="N3246" s="81"/>
    </row>
    <row r="3247" spans="1:14" ht="14.25" customHeight="1" x14ac:dyDescent="0.25">
      <c r="A3247" s="611" t="s">
        <v>563</v>
      </c>
      <c r="B3247" s="608"/>
      <c r="C3247" s="609"/>
      <c r="D3247" s="98" t="s">
        <v>574</v>
      </c>
      <c r="E3247" s="98" t="s">
        <v>575</v>
      </c>
      <c r="F3247" s="98" t="s">
        <v>568</v>
      </c>
      <c r="G3247" s="81"/>
      <c r="H3247" s="81"/>
      <c r="I3247" s="81"/>
      <c r="J3247" s="81"/>
      <c r="K3247" s="81"/>
      <c r="L3247" s="81"/>
      <c r="M3247" s="81"/>
      <c r="N3247" s="81"/>
    </row>
    <row r="3248" spans="1:14" ht="14.25" customHeight="1" x14ac:dyDescent="0.25">
      <c r="A3248" s="607" t="s">
        <v>577</v>
      </c>
      <c r="B3248" s="608"/>
      <c r="C3248" s="609"/>
      <c r="D3248" s="116"/>
      <c r="E3248" s="107"/>
      <c r="F3248" s="106">
        <f>+F3261*5%</f>
        <v>631.08371809391065</v>
      </c>
      <c r="G3248" s="81"/>
      <c r="H3248" s="81"/>
      <c r="I3248" s="81"/>
      <c r="J3248" s="81"/>
      <c r="K3248" s="81"/>
      <c r="L3248" s="81"/>
      <c r="M3248" s="81"/>
      <c r="N3248" s="81"/>
    </row>
    <row r="3249" spans="1:14" ht="14.25" customHeight="1" x14ac:dyDescent="0.25">
      <c r="A3249" s="607"/>
      <c r="B3249" s="608"/>
      <c r="C3249" s="609"/>
      <c r="D3249" s="142"/>
      <c r="E3249" s="107"/>
      <c r="F3249" s="106"/>
      <c r="G3249" s="81"/>
      <c r="H3249" s="81"/>
      <c r="I3249" s="81"/>
      <c r="J3249" s="81"/>
      <c r="K3249" s="81"/>
      <c r="L3249" s="81"/>
      <c r="M3249" s="81"/>
      <c r="N3249" s="81"/>
    </row>
    <row r="3250" spans="1:14" ht="14.25" customHeight="1" x14ac:dyDescent="0.25">
      <c r="A3250" s="607"/>
      <c r="B3250" s="608"/>
      <c r="C3250" s="609"/>
      <c r="D3250" s="142"/>
      <c r="E3250" s="105"/>
      <c r="F3250" s="106"/>
      <c r="G3250" s="81"/>
      <c r="H3250" s="81"/>
      <c r="I3250" s="81"/>
      <c r="J3250" s="81"/>
      <c r="K3250" s="81"/>
      <c r="L3250" s="81"/>
      <c r="M3250" s="81"/>
      <c r="N3250" s="81"/>
    </row>
    <row r="3251" spans="1:14" ht="14.25" customHeight="1" x14ac:dyDescent="0.25">
      <c r="A3251" s="607"/>
      <c r="B3251" s="608"/>
      <c r="C3251" s="609"/>
      <c r="D3251" s="142"/>
      <c r="E3251" s="107"/>
      <c r="F3251" s="106"/>
      <c r="G3251" s="81"/>
      <c r="H3251" s="81"/>
      <c r="I3251" s="81"/>
      <c r="J3251" s="81"/>
      <c r="K3251" s="81"/>
      <c r="L3251" s="81"/>
      <c r="M3251" s="81"/>
      <c r="N3251" s="81"/>
    </row>
    <row r="3252" spans="1:14" ht="14.25" customHeight="1" x14ac:dyDescent="0.25">
      <c r="A3252" s="610"/>
      <c r="B3252" s="608"/>
      <c r="C3252" s="609"/>
      <c r="D3252" s="115"/>
      <c r="E3252" s="107"/>
      <c r="F3252" s="106"/>
      <c r="G3252" s="81"/>
      <c r="H3252" s="81"/>
      <c r="I3252" s="81"/>
      <c r="J3252" s="81"/>
      <c r="K3252" s="81"/>
      <c r="L3252" s="81"/>
      <c r="M3252" s="81"/>
      <c r="N3252" s="81"/>
    </row>
    <row r="3253" spans="1:14" ht="14.25" customHeight="1" x14ac:dyDescent="0.25">
      <c r="A3253" s="611" t="s">
        <v>548</v>
      </c>
      <c r="B3253" s="608"/>
      <c r="C3253" s="609"/>
      <c r="D3253" s="110"/>
      <c r="E3253" s="110"/>
      <c r="F3253" s="112">
        <f>SUM(F3248:F3251)</f>
        <v>631.08371809391065</v>
      </c>
      <c r="G3253" s="81"/>
      <c r="H3253" s="81"/>
      <c r="I3253" s="81"/>
      <c r="J3253" s="81"/>
      <c r="K3253" s="81"/>
      <c r="L3253" s="81"/>
      <c r="M3253" s="81"/>
      <c r="N3253" s="81"/>
    </row>
    <row r="3254" spans="1:14" ht="14.25" customHeight="1" x14ac:dyDescent="0.25">
      <c r="A3254" s="88"/>
      <c r="B3254" s="88"/>
      <c r="C3254" s="89"/>
      <c r="D3254" s="113"/>
      <c r="E3254" s="113"/>
      <c r="F3254" s="113"/>
      <c r="G3254" s="81"/>
      <c r="H3254" s="81"/>
      <c r="I3254" s="81"/>
      <c r="J3254" s="81"/>
      <c r="K3254" s="81"/>
      <c r="L3254" s="81"/>
      <c r="M3254" s="81"/>
      <c r="N3254" s="81"/>
    </row>
    <row r="3255" spans="1:14" ht="14.25" customHeight="1" x14ac:dyDescent="0.25">
      <c r="A3255" s="96" t="s">
        <v>578</v>
      </c>
      <c r="B3255" s="96"/>
      <c r="C3255" s="92"/>
      <c r="D3255" s="118"/>
      <c r="E3255" s="118"/>
      <c r="F3255" s="118"/>
      <c r="G3255" s="81"/>
      <c r="H3255" s="81"/>
      <c r="I3255" s="81"/>
      <c r="J3255" s="81"/>
      <c r="K3255" s="81"/>
      <c r="L3255" s="81"/>
      <c r="M3255" s="81"/>
      <c r="N3255" s="81"/>
    </row>
    <row r="3256" spans="1:14" ht="14.25" customHeight="1" x14ac:dyDescent="0.25">
      <c r="A3256" s="119" t="s">
        <v>563</v>
      </c>
      <c r="B3256" s="120" t="s">
        <v>579</v>
      </c>
      <c r="C3256" s="120" t="s">
        <v>580</v>
      </c>
      <c r="D3256" s="121" t="s">
        <v>581</v>
      </c>
      <c r="E3256" s="121" t="s">
        <v>575</v>
      </c>
      <c r="F3256" s="121" t="s">
        <v>568</v>
      </c>
      <c r="G3256" s="81"/>
      <c r="H3256" s="81"/>
      <c r="I3256" s="81"/>
      <c r="J3256" s="81"/>
      <c r="K3256" s="81"/>
      <c r="L3256" s="81"/>
      <c r="M3256" s="81"/>
      <c r="N3256" s="81"/>
    </row>
    <row r="3257" spans="1:14" ht="14.25" customHeight="1" x14ac:dyDescent="0.25">
      <c r="A3257" s="122" t="s">
        <v>593</v>
      </c>
      <c r="B3257" s="127">
        <v>1</v>
      </c>
      <c r="C3257" s="101">
        <v>32688</v>
      </c>
      <c r="D3257" s="101">
        <f t="shared" ref="D3257:D3258" si="175">+C3257*1.7</f>
        <v>55569.599999999999</v>
      </c>
      <c r="E3257" s="107">
        <v>11.478999999999999</v>
      </c>
      <c r="F3257" s="106">
        <f t="shared" ref="F3257:F3258" si="176">+B3257*(D3257)/E3257</f>
        <v>4840.9791793710256</v>
      </c>
      <c r="G3257" s="81"/>
      <c r="H3257" s="81"/>
      <c r="I3257" s="81"/>
      <c r="J3257" s="81"/>
      <c r="K3257" s="81"/>
      <c r="L3257" s="81"/>
      <c r="M3257" s="81"/>
      <c r="N3257" s="81"/>
    </row>
    <row r="3258" spans="1:14" ht="14.25" customHeight="1" x14ac:dyDescent="0.25">
      <c r="A3258" s="122" t="s">
        <v>594</v>
      </c>
      <c r="B3258" s="127">
        <v>1</v>
      </c>
      <c r="C3258" s="101">
        <v>52538</v>
      </c>
      <c r="D3258" s="101">
        <f t="shared" si="175"/>
        <v>89314.599999999991</v>
      </c>
      <c r="E3258" s="107">
        <f>E3257</f>
        <v>11.478999999999999</v>
      </c>
      <c r="F3258" s="106">
        <f t="shared" si="176"/>
        <v>7780.6951825071865</v>
      </c>
      <c r="G3258" s="81"/>
      <c r="H3258" s="81"/>
      <c r="I3258" s="81"/>
      <c r="J3258" s="81"/>
      <c r="K3258" s="81"/>
      <c r="L3258" s="81"/>
      <c r="M3258" s="81"/>
      <c r="N3258" s="81"/>
    </row>
    <row r="3259" spans="1:14" ht="14.25" customHeight="1" x14ac:dyDescent="0.25">
      <c r="A3259" s="122"/>
      <c r="B3259" s="127"/>
      <c r="C3259" s="101"/>
      <c r="D3259" s="101"/>
      <c r="E3259" s="105"/>
      <c r="F3259" s="106"/>
      <c r="G3259" s="81"/>
      <c r="H3259" s="81"/>
      <c r="I3259" s="81"/>
      <c r="J3259" s="81"/>
      <c r="K3259" s="81"/>
      <c r="L3259" s="81"/>
      <c r="M3259" s="81"/>
      <c r="N3259" s="81"/>
    </row>
    <row r="3260" spans="1:14" ht="14.25" customHeight="1" x14ac:dyDescent="0.25">
      <c r="A3260" s="122"/>
      <c r="B3260" s="127"/>
      <c r="C3260" s="101"/>
      <c r="D3260" s="101"/>
      <c r="E3260" s="125"/>
      <c r="F3260" s="106"/>
      <c r="G3260" s="81"/>
      <c r="H3260" s="81"/>
      <c r="I3260" s="81"/>
      <c r="J3260" s="81"/>
      <c r="K3260" s="81"/>
      <c r="L3260" s="81"/>
      <c r="M3260" s="81"/>
      <c r="N3260" s="81"/>
    </row>
    <row r="3261" spans="1:14" ht="14.25" customHeight="1" x14ac:dyDescent="0.25">
      <c r="A3261" s="97" t="s">
        <v>548</v>
      </c>
      <c r="B3261" s="128"/>
      <c r="C3261" s="110"/>
      <c r="D3261" s="110"/>
      <c r="E3261" s="110"/>
      <c r="F3261" s="112">
        <f>SUM(F3257:F3260)</f>
        <v>12621.674361878213</v>
      </c>
      <c r="G3261" s="81"/>
      <c r="H3261" s="81"/>
      <c r="I3261" s="81"/>
      <c r="J3261" s="81"/>
      <c r="K3261" s="81"/>
      <c r="L3261" s="81"/>
      <c r="M3261" s="81"/>
      <c r="N3261" s="81"/>
    </row>
    <row r="3262" spans="1:14" ht="14.25" customHeight="1" x14ac:dyDescent="0.25">
      <c r="A3262" s="96"/>
      <c r="B3262" s="129"/>
      <c r="C3262" s="118"/>
      <c r="D3262" s="118"/>
      <c r="E3262" s="118"/>
      <c r="F3262" s="118"/>
      <c r="G3262" s="81"/>
      <c r="H3262" s="81"/>
      <c r="I3262" s="81"/>
      <c r="J3262" s="81"/>
      <c r="K3262" s="81"/>
      <c r="L3262" s="81"/>
      <c r="M3262" s="81"/>
      <c r="N3262" s="81"/>
    </row>
    <row r="3263" spans="1:14" ht="14.25" customHeight="1" x14ac:dyDescent="0.25">
      <c r="A3263" s="95" t="s">
        <v>583</v>
      </c>
      <c r="B3263" s="96"/>
      <c r="C3263" s="92"/>
      <c r="D3263" s="92"/>
      <c r="E3263" s="92" t="s">
        <v>584</v>
      </c>
      <c r="F3263" s="92"/>
      <c r="G3263" s="81"/>
      <c r="H3263" s="81"/>
      <c r="I3263" s="81"/>
      <c r="J3263" s="81"/>
      <c r="K3263" s="81"/>
      <c r="L3263" s="81"/>
      <c r="M3263" s="81"/>
      <c r="N3263" s="81"/>
    </row>
    <row r="3264" spans="1:14" ht="14.25" customHeight="1" x14ac:dyDescent="0.25">
      <c r="A3264" s="97" t="s">
        <v>563</v>
      </c>
      <c r="B3264" s="98" t="s">
        <v>564</v>
      </c>
      <c r="C3264" s="98" t="s">
        <v>585</v>
      </c>
      <c r="D3264" s="98" t="s">
        <v>586</v>
      </c>
      <c r="E3264" s="120" t="s">
        <v>587</v>
      </c>
      <c r="F3264" s="98" t="s">
        <v>568</v>
      </c>
      <c r="G3264" s="81"/>
      <c r="H3264" s="81"/>
      <c r="I3264" s="81"/>
      <c r="J3264" s="81"/>
      <c r="K3264" s="81"/>
      <c r="L3264" s="81"/>
      <c r="M3264" s="81"/>
      <c r="N3264" s="81"/>
    </row>
    <row r="3265" spans="1:14" ht="14.25" customHeight="1" x14ac:dyDescent="0.25">
      <c r="A3265" s="103"/>
      <c r="B3265" s="100"/>
      <c r="C3265" s="101"/>
      <c r="D3265" s="140"/>
      <c r="E3265" s="107"/>
      <c r="F3265" s="109"/>
      <c r="G3265" s="81"/>
      <c r="H3265" s="81"/>
      <c r="I3265" s="81"/>
      <c r="J3265" s="81"/>
      <c r="K3265" s="81"/>
      <c r="L3265" s="81"/>
      <c r="M3265" s="81"/>
      <c r="N3265" s="81"/>
    </row>
    <row r="3266" spans="1:14" ht="14.25" customHeight="1" x14ac:dyDescent="0.25">
      <c r="A3266" s="103"/>
      <c r="B3266" s="100"/>
      <c r="C3266" s="107"/>
      <c r="D3266" s="107"/>
      <c r="E3266" s="108"/>
      <c r="F3266" s="109"/>
      <c r="G3266" s="81"/>
      <c r="H3266" s="81"/>
      <c r="I3266" s="81"/>
      <c r="J3266" s="81"/>
      <c r="K3266" s="81"/>
      <c r="L3266" s="81"/>
      <c r="M3266" s="81"/>
      <c r="N3266" s="81"/>
    </row>
    <row r="3267" spans="1:14" ht="14.25" customHeight="1" x14ac:dyDescent="0.25">
      <c r="A3267" s="97" t="s">
        <v>548</v>
      </c>
      <c r="B3267" s="98"/>
      <c r="C3267" s="110"/>
      <c r="D3267" s="110"/>
      <c r="E3267" s="111"/>
      <c r="F3267" s="112">
        <f>SUM(F3265:F3266)</f>
        <v>0</v>
      </c>
      <c r="G3267" s="81"/>
      <c r="H3267" s="81"/>
      <c r="I3267" s="81"/>
      <c r="J3267" s="81"/>
      <c r="K3267" s="81"/>
      <c r="L3267" s="81"/>
      <c r="M3267" s="81"/>
      <c r="N3267" s="81"/>
    </row>
    <row r="3268" spans="1:14" ht="14.25" customHeight="1" x14ac:dyDescent="0.25">
      <c r="A3268" s="88"/>
      <c r="B3268" s="89"/>
      <c r="C3268" s="113"/>
      <c r="D3268" s="113"/>
      <c r="E3268" s="114"/>
      <c r="F3268" s="113"/>
      <c r="G3268" s="81"/>
      <c r="H3268" s="81"/>
      <c r="I3268" s="81"/>
      <c r="J3268" s="81"/>
      <c r="K3268" s="81"/>
      <c r="L3268" s="81"/>
      <c r="M3268" s="81"/>
      <c r="N3268" s="81"/>
    </row>
    <row r="3269" spans="1:14" ht="14.25" customHeight="1" x14ac:dyDescent="0.25">
      <c r="A3269" s="88"/>
      <c r="B3269" s="89"/>
      <c r="C3269" s="113"/>
      <c r="D3269" s="113"/>
      <c r="E3269" s="114"/>
      <c r="F3269" s="113"/>
      <c r="G3269" s="81"/>
      <c r="H3269" s="81"/>
      <c r="I3269" s="81"/>
      <c r="J3269" s="81"/>
      <c r="K3269" s="81"/>
      <c r="L3269" s="81"/>
      <c r="M3269" s="81"/>
      <c r="N3269" s="81"/>
    </row>
    <row r="3270" spans="1:14" ht="14.25" customHeight="1" x14ac:dyDescent="0.25">
      <c r="A3270" s="612" t="s">
        <v>588</v>
      </c>
      <c r="B3270" s="608"/>
      <c r="C3270" s="608"/>
      <c r="D3270" s="608"/>
      <c r="E3270" s="609"/>
      <c r="F3270" s="131">
        <f>ROUND(F3244+F3253+F3261+F3267,0)</f>
        <v>45220</v>
      </c>
      <c r="G3270" s="81"/>
      <c r="H3270" s="117"/>
      <c r="I3270" s="81"/>
      <c r="J3270" s="81"/>
      <c r="K3270" s="81"/>
      <c r="L3270" s="81"/>
      <c r="M3270" s="81"/>
      <c r="N3270" s="81"/>
    </row>
    <row r="3271" spans="1:14" ht="14.25" customHeight="1" x14ac:dyDescent="0.25">
      <c r="A3271" s="612" t="s">
        <v>589</v>
      </c>
      <c r="B3271" s="608"/>
      <c r="C3271" s="608"/>
      <c r="D3271" s="608"/>
      <c r="E3271" s="609"/>
      <c r="F3271" s="132"/>
      <c r="G3271" s="81"/>
      <c r="H3271" s="81"/>
      <c r="I3271" s="81"/>
      <c r="J3271" s="81"/>
      <c r="K3271" s="81"/>
      <c r="L3271" s="81"/>
      <c r="M3271" s="81"/>
      <c r="N3271" s="81"/>
    </row>
    <row r="3272" spans="1:14" ht="14.25" customHeight="1" x14ac:dyDescent="0.25">
      <c r="A3272" s="146" t="s">
        <v>556</v>
      </c>
      <c r="B3272" s="147"/>
      <c r="C3272" s="147"/>
      <c r="D3272" s="147"/>
      <c r="E3272" s="148"/>
      <c r="F3272" s="133"/>
      <c r="G3272" s="81"/>
      <c r="H3272" s="81"/>
      <c r="I3272" s="81"/>
      <c r="J3272" s="81"/>
      <c r="K3272" s="81"/>
      <c r="L3272" s="81"/>
      <c r="M3272" s="81"/>
      <c r="N3272" s="81"/>
    </row>
    <row r="3273" spans="1:14" ht="14.25" customHeight="1" x14ac:dyDescent="0.25">
      <c r="A3273" s="134"/>
      <c r="B3273" s="135"/>
      <c r="C3273" s="135"/>
      <c r="D3273" s="135"/>
      <c r="E3273" s="135"/>
      <c r="F3273" s="136"/>
      <c r="G3273" s="81"/>
      <c r="H3273" s="81"/>
      <c r="I3273" s="81"/>
      <c r="J3273" s="81"/>
      <c r="K3273" s="81"/>
      <c r="L3273" s="81"/>
      <c r="M3273" s="81"/>
      <c r="N3273" s="81"/>
    </row>
    <row r="3274" spans="1:14" ht="14.25" customHeight="1" x14ac:dyDescent="0.25">
      <c r="A3274" s="81"/>
      <c r="B3274" s="81"/>
      <c r="C3274" s="137"/>
      <c r="D3274" s="81"/>
      <c r="E3274" s="81"/>
      <c r="F3274" s="81"/>
      <c r="G3274" s="81"/>
      <c r="H3274" s="81"/>
      <c r="I3274" s="81"/>
      <c r="J3274" s="81"/>
      <c r="K3274" s="81"/>
      <c r="L3274" s="81"/>
      <c r="M3274" s="81"/>
      <c r="N3274" s="81"/>
    </row>
    <row r="3275" spans="1:14" ht="14.25" customHeight="1" x14ac:dyDescent="0.25">
      <c r="A3275" s="81"/>
      <c r="B3275" s="81"/>
      <c r="C3275" s="137"/>
      <c r="D3275" s="81"/>
      <c r="E3275" s="81"/>
      <c r="F3275" s="81"/>
      <c r="G3275" s="81"/>
      <c r="H3275" s="81"/>
      <c r="I3275" s="81"/>
      <c r="J3275" s="81"/>
      <c r="K3275" s="81"/>
      <c r="L3275" s="81"/>
      <c r="M3275" s="81"/>
      <c r="N3275" s="81"/>
    </row>
    <row r="3276" spans="1:14" ht="14.25" customHeight="1" x14ac:dyDescent="0.25">
      <c r="A3276" s="81"/>
      <c r="B3276" s="81"/>
      <c r="C3276" s="137"/>
      <c r="D3276" s="81"/>
      <c r="E3276" s="81"/>
      <c r="F3276" s="81"/>
      <c r="G3276" s="81"/>
      <c r="H3276" s="81"/>
      <c r="I3276" s="81"/>
      <c r="J3276" s="81"/>
      <c r="K3276" s="81"/>
      <c r="L3276" s="81"/>
      <c r="M3276" s="81"/>
      <c r="N3276" s="81"/>
    </row>
    <row r="3277" spans="1:14" ht="14.25" customHeight="1" x14ac:dyDescent="0.25">
      <c r="A3277" s="81"/>
      <c r="B3277" s="81"/>
      <c r="C3277" s="137"/>
      <c r="D3277" s="81"/>
      <c r="E3277" s="81"/>
      <c r="F3277" s="81"/>
      <c r="G3277" s="81"/>
      <c r="H3277" s="81"/>
      <c r="I3277" s="81"/>
      <c r="J3277" s="81"/>
      <c r="K3277" s="81"/>
      <c r="L3277" s="81"/>
      <c r="M3277" s="81"/>
      <c r="N3277" s="81"/>
    </row>
    <row r="3278" spans="1:14" ht="14.25" customHeight="1" x14ac:dyDescent="0.25">
      <c r="A3278" s="81"/>
      <c r="B3278" s="81"/>
      <c r="C3278" s="137"/>
      <c r="D3278" s="81"/>
      <c r="E3278" s="81"/>
      <c r="F3278" s="81"/>
      <c r="G3278" s="81"/>
      <c r="H3278" s="81"/>
      <c r="I3278" s="81"/>
      <c r="J3278" s="81"/>
      <c r="K3278" s="81"/>
      <c r="L3278" s="81"/>
      <c r="M3278" s="81"/>
      <c r="N3278" s="81"/>
    </row>
    <row r="3279" spans="1:14" ht="14.25" customHeight="1" x14ac:dyDescent="0.25">
      <c r="A3279" s="81"/>
      <c r="B3279" s="81"/>
      <c r="C3279" s="137"/>
      <c r="D3279" s="81"/>
      <c r="E3279" s="81"/>
      <c r="F3279" s="81"/>
      <c r="G3279" s="81"/>
      <c r="H3279" s="81"/>
      <c r="I3279" s="81"/>
      <c r="J3279" s="81"/>
      <c r="K3279" s="81"/>
      <c r="L3279" s="81"/>
      <c r="M3279" s="81"/>
      <c r="N3279" s="81"/>
    </row>
    <row r="3280" spans="1:14" ht="14.25" customHeight="1" x14ac:dyDescent="0.25">
      <c r="A3280" s="81"/>
      <c r="B3280" s="81"/>
      <c r="C3280" s="137"/>
      <c r="D3280" s="81"/>
      <c r="E3280" s="81"/>
      <c r="F3280" s="81"/>
      <c r="G3280" s="81"/>
      <c r="H3280" s="81"/>
      <c r="I3280" s="81"/>
      <c r="J3280" s="81"/>
      <c r="K3280" s="81"/>
      <c r="L3280" s="81"/>
      <c r="M3280" s="81"/>
      <c r="N3280" s="81"/>
    </row>
    <row r="3281" spans="1:14" ht="14.25" customHeight="1" x14ac:dyDescent="0.25">
      <c r="A3281" s="134"/>
      <c r="B3281" s="135"/>
      <c r="C3281" s="135"/>
      <c r="D3281" s="135"/>
      <c r="E3281" s="135"/>
      <c r="F3281" s="136"/>
      <c r="G3281" s="81"/>
      <c r="H3281" s="81"/>
      <c r="I3281" s="81"/>
      <c r="J3281" s="81"/>
      <c r="K3281" s="81"/>
      <c r="L3281" s="81"/>
      <c r="M3281" s="81"/>
      <c r="N3281" s="81"/>
    </row>
    <row r="3282" spans="1:14" ht="14.25" customHeight="1" x14ac:dyDescent="0.25">
      <c r="A3282" s="134"/>
      <c r="B3282" s="135"/>
      <c r="C3282" s="135"/>
      <c r="D3282" s="135"/>
      <c r="E3282" s="135"/>
      <c r="F3282" s="136"/>
      <c r="G3282" s="81"/>
      <c r="H3282" s="81"/>
      <c r="I3282" s="81"/>
      <c r="J3282" s="81"/>
      <c r="K3282" s="81"/>
      <c r="L3282" s="81"/>
      <c r="M3282" s="81"/>
      <c r="N3282" s="81"/>
    </row>
    <row r="3283" spans="1:14" ht="14.25" customHeight="1" x14ac:dyDescent="0.25">
      <c r="A3283" s="134"/>
      <c r="B3283" s="135"/>
      <c r="C3283" s="135"/>
      <c r="D3283" s="135"/>
      <c r="E3283" s="135"/>
      <c r="F3283" s="136"/>
      <c r="G3283" s="81"/>
      <c r="H3283" s="81"/>
      <c r="I3283" s="81"/>
      <c r="J3283" s="81"/>
      <c r="K3283" s="81"/>
      <c r="L3283" s="81"/>
      <c r="M3283" s="81"/>
      <c r="N3283" s="81"/>
    </row>
    <row r="3284" spans="1:14" ht="14.25" customHeight="1" thickBot="1" x14ac:dyDescent="0.3">
      <c r="A3284" s="81"/>
      <c r="B3284" s="81"/>
      <c r="C3284" s="81"/>
      <c r="D3284" s="81"/>
      <c r="E3284" s="81"/>
      <c r="F3284" s="81"/>
      <c r="G3284" s="81"/>
      <c r="H3284" s="81"/>
      <c r="I3284" s="81"/>
      <c r="J3284" s="81"/>
      <c r="K3284" s="81"/>
      <c r="L3284" s="81"/>
      <c r="M3284" s="81"/>
      <c r="N3284" s="81"/>
    </row>
    <row r="3285" spans="1:14" ht="14.25" customHeight="1" x14ac:dyDescent="0.25">
      <c r="A3285" s="83"/>
      <c r="B3285" s="84"/>
      <c r="C3285" s="85"/>
      <c r="D3285" s="86"/>
      <c r="E3285" s="86"/>
      <c r="F3285" s="87"/>
      <c r="G3285" s="81"/>
      <c r="H3285" s="81"/>
      <c r="I3285" s="81"/>
      <c r="J3285" s="81"/>
      <c r="K3285" s="81"/>
      <c r="L3285" s="81"/>
      <c r="M3285" s="81"/>
      <c r="N3285" s="81"/>
    </row>
    <row r="3286" spans="1:14" ht="14.25" customHeight="1" x14ac:dyDescent="0.25">
      <c r="A3286" s="599"/>
      <c r="B3286" s="600"/>
      <c r="C3286" s="600"/>
      <c r="D3286" s="600"/>
      <c r="E3286" s="600"/>
      <c r="F3286" s="601"/>
      <c r="G3286" s="81"/>
      <c r="H3286" s="81"/>
      <c r="I3286" s="81"/>
      <c r="J3286" s="81"/>
      <c r="K3286" s="81"/>
      <c r="L3286" s="81"/>
      <c r="M3286" s="81"/>
      <c r="N3286" s="81"/>
    </row>
    <row r="3287" spans="1:14" ht="14.25" customHeight="1" x14ac:dyDescent="0.25">
      <c r="A3287" s="602" t="s">
        <v>561</v>
      </c>
      <c r="B3287" s="600"/>
      <c r="C3287" s="600"/>
      <c r="D3287" s="600"/>
      <c r="E3287" s="600"/>
      <c r="F3287" s="601"/>
      <c r="G3287" s="81"/>
      <c r="H3287" s="81"/>
      <c r="I3287" s="81"/>
      <c r="J3287" s="81"/>
      <c r="K3287" s="81"/>
      <c r="L3287" s="81"/>
      <c r="M3287" s="81"/>
      <c r="N3287" s="81"/>
    </row>
    <row r="3288" spans="1:14" ht="14.25" customHeight="1" thickBot="1" x14ac:dyDescent="0.3">
      <c r="A3288" s="603"/>
      <c r="B3288" s="604"/>
      <c r="C3288" s="604"/>
      <c r="D3288" s="604"/>
      <c r="E3288" s="604"/>
      <c r="F3288" s="605"/>
      <c r="G3288" s="81"/>
      <c r="H3288" s="81"/>
      <c r="I3288" s="81"/>
      <c r="J3288" s="81"/>
      <c r="K3288" s="81"/>
      <c r="L3288" s="81"/>
      <c r="M3288" s="81"/>
      <c r="N3288" s="81"/>
    </row>
    <row r="3289" spans="1:14" ht="14.25" customHeight="1" x14ac:dyDescent="0.25">
      <c r="A3289" s="88"/>
      <c r="B3289" s="88"/>
      <c r="C3289" s="89"/>
      <c r="D3289" s="89"/>
      <c r="E3289" s="89"/>
      <c r="F3289" s="89"/>
      <c r="G3289" s="81"/>
      <c r="H3289" s="81"/>
      <c r="I3289" s="81"/>
      <c r="J3289" s="81"/>
      <c r="K3289" s="81"/>
      <c r="L3289" s="81"/>
      <c r="M3289" s="81"/>
      <c r="N3289" s="81"/>
    </row>
    <row r="3290" spans="1:14" ht="14.25" customHeight="1" x14ac:dyDescent="0.25">
      <c r="A3290" s="90" t="s">
        <v>47</v>
      </c>
      <c r="B3290" s="613" t="s">
        <v>169</v>
      </c>
      <c r="C3290" s="600"/>
      <c r="D3290" s="600"/>
      <c r="E3290" s="600"/>
      <c r="F3290" s="600"/>
      <c r="G3290" s="81"/>
      <c r="H3290" s="81"/>
      <c r="I3290" s="81"/>
      <c r="J3290" s="81"/>
      <c r="K3290" s="81"/>
      <c r="L3290" s="81"/>
      <c r="M3290" s="81"/>
      <c r="N3290" s="81"/>
    </row>
    <row r="3291" spans="1:14" ht="14.25" customHeight="1" x14ac:dyDescent="0.25">
      <c r="A3291" s="91"/>
      <c r="B3291" s="91"/>
      <c r="C3291" s="91"/>
      <c r="D3291" s="91"/>
      <c r="E3291" s="91"/>
      <c r="F3291" s="91"/>
      <c r="G3291" s="81"/>
      <c r="H3291" s="81"/>
      <c r="I3291" s="81"/>
      <c r="J3291" s="81"/>
      <c r="K3291" s="81"/>
      <c r="L3291" s="81"/>
      <c r="M3291" s="81"/>
      <c r="N3291" s="81"/>
    </row>
    <row r="3292" spans="1:14" ht="14.25" customHeight="1" x14ac:dyDescent="0.25">
      <c r="A3292" s="88" t="s">
        <v>49</v>
      </c>
      <c r="B3292" s="92" t="s">
        <v>56</v>
      </c>
      <c r="C3292" s="89"/>
      <c r="D3292" s="89"/>
      <c r="E3292" s="89"/>
      <c r="F3292" s="93"/>
      <c r="G3292" s="81"/>
      <c r="H3292" s="81"/>
      <c r="I3292" s="81"/>
      <c r="J3292" s="81"/>
      <c r="K3292" s="81"/>
      <c r="L3292" s="81"/>
      <c r="M3292" s="81"/>
      <c r="N3292" s="81"/>
    </row>
    <row r="3293" spans="1:14" ht="14.25" customHeight="1" x14ac:dyDescent="0.25">
      <c r="A3293" s="88"/>
      <c r="B3293" s="94"/>
      <c r="C3293" s="89"/>
      <c r="D3293" s="89"/>
      <c r="E3293" s="89"/>
      <c r="F3293" s="93"/>
      <c r="G3293" s="81"/>
      <c r="H3293" s="81"/>
      <c r="I3293" s="81"/>
      <c r="J3293" s="81"/>
      <c r="K3293" s="81"/>
      <c r="L3293" s="81"/>
      <c r="M3293" s="81"/>
      <c r="N3293" s="81"/>
    </row>
    <row r="3294" spans="1:14" ht="14.25" customHeight="1" x14ac:dyDescent="0.25">
      <c r="A3294" s="95" t="s">
        <v>562</v>
      </c>
      <c r="B3294" s="96"/>
      <c r="C3294" s="92"/>
      <c r="D3294" s="92"/>
      <c r="E3294" s="92"/>
      <c r="F3294" s="92"/>
      <c r="G3294" s="81"/>
      <c r="H3294" s="81"/>
      <c r="I3294" s="81"/>
      <c r="J3294" s="81"/>
      <c r="K3294" s="81"/>
      <c r="L3294" s="81"/>
      <c r="M3294" s="81"/>
      <c r="N3294" s="81"/>
    </row>
    <row r="3295" spans="1:14" ht="14.25" customHeight="1" x14ac:dyDescent="0.25">
      <c r="A3295" s="97" t="s">
        <v>563</v>
      </c>
      <c r="B3295" s="98" t="s">
        <v>564</v>
      </c>
      <c r="C3295" s="98" t="s">
        <v>565</v>
      </c>
      <c r="D3295" s="98" t="s">
        <v>566</v>
      </c>
      <c r="E3295" s="98" t="s">
        <v>567</v>
      </c>
      <c r="F3295" s="98" t="s">
        <v>568</v>
      </c>
      <c r="G3295" s="81"/>
      <c r="H3295" s="81"/>
      <c r="I3295" s="81"/>
      <c r="J3295" s="81"/>
      <c r="K3295" s="81"/>
      <c r="L3295" s="81"/>
      <c r="M3295" s="81"/>
      <c r="N3295" s="81"/>
    </row>
    <row r="3296" spans="1:14" ht="18.75" customHeight="1" x14ac:dyDescent="0.25">
      <c r="A3296" s="99" t="s">
        <v>698</v>
      </c>
      <c r="B3296" s="100" t="s">
        <v>56</v>
      </c>
      <c r="C3296" s="101">
        <v>30350</v>
      </c>
      <c r="D3296" s="149">
        <v>1</v>
      </c>
      <c r="E3296" s="102">
        <v>0.05</v>
      </c>
      <c r="F3296" s="101">
        <f t="shared" ref="F3296:F3299" si="177">C3296*(D3296+(D3296*E3296))</f>
        <v>31867.5</v>
      </c>
      <c r="G3296" s="81"/>
      <c r="H3296" s="81"/>
      <c r="I3296" s="81"/>
      <c r="J3296" s="81"/>
      <c r="K3296" s="81"/>
      <c r="L3296" s="81"/>
      <c r="M3296" s="81"/>
      <c r="N3296" s="81"/>
    </row>
    <row r="3297" spans="1:14" ht="27" customHeight="1" x14ac:dyDescent="0.25">
      <c r="A3297" s="99" t="s">
        <v>699</v>
      </c>
      <c r="B3297" s="100" t="s">
        <v>671</v>
      </c>
      <c r="C3297" s="101">
        <v>89250</v>
      </c>
      <c r="D3297" s="149">
        <v>0.15</v>
      </c>
      <c r="E3297" s="102">
        <v>0.05</v>
      </c>
      <c r="F3297" s="101">
        <f t="shared" si="177"/>
        <v>14056.875</v>
      </c>
      <c r="G3297" s="81"/>
      <c r="H3297" s="81"/>
      <c r="I3297" s="81"/>
      <c r="J3297" s="81"/>
      <c r="K3297" s="81"/>
      <c r="L3297" s="81"/>
      <c r="M3297" s="81"/>
      <c r="N3297" s="81"/>
    </row>
    <row r="3298" spans="1:14" ht="17.25" customHeight="1" x14ac:dyDescent="0.25">
      <c r="A3298" s="99" t="s">
        <v>676</v>
      </c>
      <c r="B3298" s="100" t="s">
        <v>99</v>
      </c>
      <c r="C3298" s="101">
        <v>12350</v>
      </c>
      <c r="D3298" s="149">
        <v>0.25</v>
      </c>
      <c r="E3298" s="102">
        <v>0.05</v>
      </c>
      <c r="F3298" s="101">
        <f t="shared" si="177"/>
        <v>3241.875</v>
      </c>
      <c r="G3298" s="81"/>
      <c r="H3298" s="81"/>
      <c r="I3298" s="81"/>
      <c r="J3298" s="81"/>
      <c r="K3298" s="81"/>
      <c r="L3298" s="81"/>
      <c r="M3298" s="81"/>
      <c r="N3298" s="81"/>
    </row>
    <row r="3299" spans="1:14" ht="14.25" customHeight="1" x14ac:dyDescent="0.25">
      <c r="A3299" s="99"/>
      <c r="B3299" s="100"/>
      <c r="C3299" s="101"/>
      <c r="D3299" s="149"/>
      <c r="E3299" s="102"/>
      <c r="F3299" s="101">
        <f t="shared" si="177"/>
        <v>0</v>
      </c>
      <c r="G3299" s="81"/>
      <c r="H3299" s="81"/>
      <c r="I3299" s="81"/>
      <c r="J3299" s="81"/>
      <c r="K3299" s="81"/>
      <c r="L3299" s="81"/>
      <c r="M3299" s="81"/>
      <c r="N3299" s="81"/>
    </row>
    <row r="3300" spans="1:14" ht="14.25" customHeight="1" x14ac:dyDescent="0.25">
      <c r="A3300" s="99"/>
      <c r="B3300" s="100"/>
      <c r="C3300" s="106"/>
      <c r="D3300" s="107"/>
      <c r="E3300" s="108"/>
      <c r="F3300" s="106"/>
      <c r="G3300" s="81"/>
      <c r="H3300" s="81"/>
      <c r="I3300" s="81"/>
      <c r="J3300" s="81"/>
      <c r="K3300" s="81"/>
      <c r="L3300" s="81"/>
      <c r="M3300" s="81"/>
      <c r="N3300" s="81"/>
    </row>
    <row r="3301" spans="1:14" ht="14.25" customHeight="1" x14ac:dyDescent="0.25">
      <c r="A3301" s="97" t="s">
        <v>548</v>
      </c>
      <c r="B3301" s="97"/>
      <c r="C3301" s="109"/>
      <c r="D3301" s="110"/>
      <c r="E3301" s="111"/>
      <c r="F3301" s="112">
        <f>SUM(F3296:F3300)</f>
        <v>49166.25</v>
      </c>
      <c r="G3301" s="81"/>
      <c r="H3301" s="81"/>
      <c r="I3301" s="81"/>
      <c r="J3301" s="81"/>
      <c r="K3301" s="81"/>
      <c r="L3301" s="81"/>
      <c r="M3301" s="81"/>
      <c r="N3301" s="81"/>
    </row>
    <row r="3302" spans="1:14" ht="14.25" customHeight="1" x14ac:dyDescent="0.25">
      <c r="A3302" s="88"/>
      <c r="B3302" s="88"/>
      <c r="C3302" s="113"/>
      <c r="D3302" s="113"/>
      <c r="E3302" s="114"/>
      <c r="F3302" s="113"/>
      <c r="G3302" s="81"/>
      <c r="H3302" s="81"/>
      <c r="I3302" s="81"/>
      <c r="J3302" s="81"/>
      <c r="K3302" s="81"/>
      <c r="L3302" s="81"/>
      <c r="M3302" s="81"/>
      <c r="N3302" s="81"/>
    </row>
    <row r="3303" spans="1:14" ht="14.25" customHeight="1" x14ac:dyDescent="0.25">
      <c r="A3303" s="96" t="s">
        <v>573</v>
      </c>
      <c r="B3303" s="96"/>
      <c r="C3303" s="92"/>
      <c r="D3303" s="92"/>
      <c r="E3303" s="92"/>
      <c r="F3303" s="92"/>
      <c r="G3303" s="81"/>
      <c r="H3303" s="81"/>
      <c r="I3303" s="81"/>
      <c r="J3303" s="81"/>
      <c r="K3303" s="81"/>
      <c r="L3303" s="81"/>
      <c r="M3303" s="81"/>
      <c r="N3303" s="81"/>
    </row>
    <row r="3304" spans="1:14" ht="14.25" customHeight="1" x14ac:dyDescent="0.25">
      <c r="A3304" s="611" t="s">
        <v>563</v>
      </c>
      <c r="B3304" s="608"/>
      <c r="C3304" s="609"/>
      <c r="D3304" s="98" t="s">
        <v>574</v>
      </c>
      <c r="E3304" s="98" t="s">
        <v>575</v>
      </c>
      <c r="F3304" s="98" t="s">
        <v>568</v>
      </c>
      <c r="G3304" s="81"/>
      <c r="H3304" s="81"/>
      <c r="I3304" s="81"/>
      <c r="J3304" s="81"/>
      <c r="K3304" s="81"/>
      <c r="L3304" s="81"/>
      <c r="M3304" s="81"/>
      <c r="N3304" s="81"/>
    </row>
    <row r="3305" spans="1:14" ht="14.25" customHeight="1" x14ac:dyDescent="0.25">
      <c r="A3305" s="607" t="s">
        <v>577</v>
      </c>
      <c r="B3305" s="608"/>
      <c r="C3305" s="609"/>
      <c r="D3305" s="116"/>
      <c r="E3305" s="107"/>
      <c r="F3305" s="106">
        <f>+F3318*5%</f>
        <v>1071.5335916930451</v>
      </c>
      <c r="G3305" s="81"/>
      <c r="H3305" s="81"/>
      <c r="I3305" s="81"/>
      <c r="J3305" s="81"/>
      <c r="K3305" s="81"/>
      <c r="L3305" s="81"/>
      <c r="M3305" s="81"/>
      <c r="N3305" s="81"/>
    </row>
    <row r="3306" spans="1:14" ht="14.25" customHeight="1" x14ac:dyDescent="0.25">
      <c r="A3306" s="607" t="s">
        <v>657</v>
      </c>
      <c r="B3306" s="608"/>
      <c r="C3306" s="609"/>
      <c r="D3306" s="142">
        <v>1850</v>
      </c>
      <c r="E3306" s="107">
        <v>0.45</v>
      </c>
      <c r="F3306" s="106">
        <f>D3306/E3306</f>
        <v>4111.1111111111113</v>
      </c>
      <c r="G3306" s="81"/>
      <c r="H3306" s="81"/>
      <c r="I3306" s="81"/>
      <c r="J3306" s="81"/>
      <c r="K3306" s="81"/>
      <c r="L3306" s="81"/>
      <c r="M3306" s="81"/>
      <c r="N3306" s="81"/>
    </row>
    <row r="3307" spans="1:14" ht="14.25" customHeight="1" x14ac:dyDescent="0.25">
      <c r="A3307" s="607"/>
      <c r="B3307" s="608"/>
      <c r="C3307" s="609"/>
      <c r="D3307" s="142"/>
      <c r="E3307" s="105"/>
      <c r="F3307" s="106"/>
      <c r="G3307" s="81"/>
      <c r="H3307" s="81"/>
      <c r="I3307" s="81"/>
      <c r="J3307" s="81"/>
      <c r="K3307" s="81"/>
      <c r="L3307" s="81"/>
      <c r="M3307" s="81"/>
      <c r="N3307" s="81"/>
    </row>
    <row r="3308" spans="1:14" ht="14.25" customHeight="1" x14ac:dyDescent="0.25">
      <c r="A3308" s="607"/>
      <c r="B3308" s="608"/>
      <c r="C3308" s="609"/>
      <c r="D3308" s="142"/>
      <c r="E3308" s="107"/>
      <c r="F3308" s="106"/>
      <c r="G3308" s="81"/>
      <c r="H3308" s="81"/>
      <c r="I3308" s="81"/>
      <c r="J3308" s="81"/>
      <c r="K3308" s="81"/>
      <c r="L3308" s="81"/>
      <c r="M3308" s="81"/>
      <c r="N3308" s="81"/>
    </row>
    <row r="3309" spans="1:14" ht="14.25" customHeight="1" x14ac:dyDescent="0.25">
      <c r="A3309" s="610"/>
      <c r="B3309" s="608"/>
      <c r="C3309" s="609"/>
      <c r="D3309" s="115"/>
      <c r="E3309" s="107"/>
      <c r="F3309" s="106"/>
      <c r="G3309" s="81"/>
      <c r="H3309" s="81"/>
      <c r="I3309" s="81"/>
      <c r="J3309" s="81"/>
      <c r="K3309" s="81"/>
      <c r="L3309" s="81"/>
      <c r="M3309" s="81"/>
      <c r="N3309" s="81"/>
    </row>
    <row r="3310" spans="1:14" ht="14.25" customHeight="1" x14ac:dyDescent="0.25">
      <c r="A3310" s="611" t="s">
        <v>548</v>
      </c>
      <c r="B3310" s="608"/>
      <c r="C3310" s="609"/>
      <c r="D3310" s="110"/>
      <c r="E3310" s="110"/>
      <c r="F3310" s="112">
        <f>SUM(F3305:F3308)</f>
        <v>5182.6447028041566</v>
      </c>
      <c r="G3310" s="81"/>
      <c r="H3310" s="81"/>
      <c r="I3310" s="81"/>
      <c r="J3310" s="81"/>
      <c r="K3310" s="81"/>
      <c r="L3310" s="81"/>
      <c r="M3310" s="81"/>
      <c r="N3310" s="81"/>
    </row>
    <row r="3311" spans="1:14" ht="14.25" customHeight="1" x14ac:dyDescent="0.25">
      <c r="A3311" s="88"/>
      <c r="B3311" s="88"/>
      <c r="C3311" s="89"/>
      <c r="D3311" s="113"/>
      <c r="E3311" s="113"/>
      <c r="F3311" s="113"/>
      <c r="G3311" s="81"/>
      <c r="H3311" s="81"/>
      <c r="I3311" s="81"/>
      <c r="J3311" s="81"/>
      <c r="K3311" s="81"/>
      <c r="L3311" s="81"/>
      <c r="M3311" s="81"/>
      <c r="N3311" s="81"/>
    </row>
    <row r="3312" spans="1:14" ht="14.25" customHeight="1" x14ac:dyDescent="0.25">
      <c r="A3312" s="96" t="s">
        <v>578</v>
      </c>
      <c r="B3312" s="96"/>
      <c r="C3312" s="92"/>
      <c r="D3312" s="118"/>
      <c r="E3312" s="118"/>
      <c r="F3312" s="118"/>
      <c r="G3312" s="81"/>
      <c r="H3312" s="81"/>
      <c r="I3312" s="81"/>
      <c r="J3312" s="81"/>
      <c r="K3312" s="81"/>
      <c r="L3312" s="81"/>
      <c r="M3312" s="81"/>
      <c r="N3312" s="81"/>
    </row>
    <row r="3313" spans="1:14" ht="14.25" customHeight="1" x14ac:dyDescent="0.25">
      <c r="A3313" s="119" t="s">
        <v>563</v>
      </c>
      <c r="B3313" s="120" t="s">
        <v>579</v>
      </c>
      <c r="C3313" s="120" t="s">
        <v>580</v>
      </c>
      <c r="D3313" s="121" t="s">
        <v>581</v>
      </c>
      <c r="E3313" s="121" t="s">
        <v>575</v>
      </c>
      <c r="F3313" s="121" t="s">
        <v>568</v>
      </c>
      <c r="G3313" s="81"/>
      <c r="H3313" s="81"/>
      <c r="I3313" s="81"/>
      <c r="J3313" s="81"/>
      <c r="K3313" s="81"/>
      <c r="L3313" s="81"/>
      <c r="M3313" s="81"/>
      <c r="N3313" s="81"/>
    </row>
    <row r="3314" spans="1:14" ht="14.25" customHeight="1" x14ac:dyDescent="0.25">
      <c r="A3314" s="122" t="s">
        <v>593</v>
      </c>
      <c r="B3314" s="127">
        <v>1</v>
      </c>
      <c r="C3314" s="101">
        <v>32688</v>
      </c>
      <c r="D3314" s="101">
        <f t="shared" ref="D3314:D3315" si="178">+C3314*1.7</f>
        <v>55569.599999999999</v>
      </c>
      <c r="E3314" s="107">
        <v>6.7606000000000002</v>
      </c>
      <c r="F3314" s="106">
        <f t="shared" ref="F3314:F3315" si="179">+B3314*(D3314)/E3314</f>
        <v>8219.625477028665</v>
      </c>
      <c r="G3314" s="81"/>
      <c r="H3314" s="81"/>
      <c r="I3314" s="81"/>
      <c r="J3314" s="81"/>
      <c r="K3314" s="81"/>
      <c r="L3314" s="81"/>
      <c r="M3314" s="81"/>
      <c r="N3314" s="81"/>
    </row>
    <row r="3315" spans="1:14" ht="14.25" customHeight="1" x14ac:dyDescent="0.25">
      <c r="A3315" s="122" t="s">
        <v>594</v>
      </c>
      <c r="B3315" s="127">
        <v>1</v>
      </c>
      <c r="C3315" s="101">
        <v>52538</v>
      </c>
      <c r="D3315" s="101">
        <f t="shared" si="178"/>
        <v>89314.599999999991</v>
      </c>
      <c r="E3315" s="107">
        <f>E3314</f>
        <v>6.7606000000000002</v>
      </c>
      <c r="F3315" s="106">
        <f t="shared" si="179"/>
        <v>13211.046356832232</v>
      </c>
      <c r="G3315" s="81"/>
      <c r="H3315" s="81"/>
      <c r="I3315" s="81"/>
      <c r="J3315" s="81"/>
      <c r="K3315" s="81"/>
      <c r="L3315" s="81"/>
      <c r="M3315" s="81"/>
      <c r="N3315" s="81"/>
    </row>
    <row r="3316" spans="1:14" ht="14.25" customHeight="1" x14ac:dyDescent="0.25">
      <c r="A3316" s="122"/>
      <c r="B3316" s="127"/>
      <c r="C3316" s="101"/>
      <c r="D3316" s="101"/>
      <c r="E3316" s="105"/>
      <c r="F3316" s="106"/>
      <c r="G3316" s="81"/>
      <c r="H3316" s="81"/>
      <c r="I3316" s="81"/>
      <c r="J3316" s="81"/>
      <c r="K3316" s="81"/>
      <c r="L3316" s="81"/>
      <c r="M3316" s="81"/>
      <c r="N3316" s="81"/>
    </row>
    <row r="3317" spans="1:14" ht="14.25" customHeight="1" x14ac:dyDescent="0.25">
      <c r="A3317" s="122"/>
      <c r="B3317" s="127"/>
      <c r="C3317" s="101"/>
      <c r="D3317" s="101"/>
      <c r="E3317" s="125"/>
      <c r="F3317" s="106"/>
      <c r="G3317" s="81"/>
      <c r="H3317" s="81"/>
      <c r="I3317" s="81"/>
      <c r="J3317" s="81"/>
      <c r="K3317" s="81"/>
      <c r="L3317" s="81"/>
      <c r="M3317" s="81"/>
      <c r="N3317" s="81"/>
    </row>
    <row r="3318" spans="1:14" ht="14.25" customHeight="1" x14ac:dyDescent="0.25">
      <c r="A3318" s="97" t="s">
        <v>548</v>
      </c>
      <c r="B3318" s="128"/>
      <c r="C3318" s="110"/>
      <c r="D3318" s="110"/>
      <c r="E3318" s="110"/>
      <c r="F3318" s="112">
        <f>SUM(F3314:F3317)</f>
        <v>21430.671833860899</v>
      </c>
      <c r="G3318" s="81"/>
      <c r="H3318" s="81"/>
      <c r="I3318" s="81"/>
      <c r="J3318" s="81"/>
      <c r="K3318" s="81"/>
      <c r="L3318" s="81"/>
      <c r="M3318" s="81"/>
      <c r="N3318" s="81"/>
    </row>
    <row r="3319" spans="1:14" ht="14.25" customHeight="1" x14ac:dyDescent="0.25">
      <c r="A3319" s="96"/>
      <c r="B3319" s="129"/>
      <c r="C3319" s="118"/>
      <c r="D3319" s="118"/>
      <c r="E3319" s="118"/>
      <c r="F3319" s="118"/>
      <c r="G3319" s="81"/>
      <c r="H3319" s="81"/>
      <c r="I3319" s="81"/>
      <c r="J3319" s="81"/>
      <c r="K3319" s="81"/>
      <c r="L3319" s="81"/>
      <c r="M3319" s="81"/>
      <c r="N3319" s="81"/>
    </row>
    <row r="3320" spans="1:14" ht="14.25" customHeight="1" x14ac:dyDescent="0.25">
      <c r="A3320" s="95" t="s">
        <v>583</v>
      </c>
      <c r="B3320" s="96"/>
      <c r="C3320" s="92"/>
      <c r="D3320" s="92"/>
      <c r="E3320" s="92" t="s">
        <v>584</v>
      </c>
      <c r="F3320" s="92"/>
      <c r="G3320" s="81"/>
      <c r="H3320" s="81"/>
      <c r="I3320" s="81"/>
      <c r="J3320" s="81"/>
      <c r="K3320" s="81"/>
      <c r="L3320" s="81"/>
      <c r="M3320" s="81"/>
      <c r="N3320" s="81"/>
    </row>
    <row r="3321" spans="1:14" ht="14.25" customHeight="1" x14ac:dyDescent="0.25">
      <c r="A3321" s="97" t="s">
        <v>563</v>
      </c>
      <c r="B3321" s="98" t="s">
        <v>564</v>
      </c>
      <c r="C3321" s="98" t="s">
        <v>585</v>
      </c>
      <c r="D3321" s="98" t="s">
        <v>586</v>
      </c>
      <c r="E3321" s="120" t="s">
        <v>587</v>
      </c>
      <c r="F3321" s="98" t="s">
        <v>568</v>
      </c>
      <c r="G3321" s="81"/>
      <c r="H3321" s="81"/>
      <c r="I3321" s="81"/>
      <c r="J3321" s="81"/>
      <c r="K3321" s="81"/>
      <c r="L3321" s="81"/>
      <c r="M3321" s="81"/>
      <c r="N3321" s="81"/>
    </row>
    <row r="3322" spans="1:14" ht="14.25" customHeight="1" x14ac:dyDescent="0.25">
      <c r="A3322" s="103"/>
      <c r="B3322" s="100"/>
      <c r="C3322" s="101"/>
      <c r="D3322" s="140"/>
      <c r="E3322" s="107"/>
      <c r="F3322" s="109"/>
      <c r="G3322" s="81"/>
      <c r="H3322" s="81"/>
      <c r="I3322" s="81"/>
      <c r="J3322" s="81"/>
      <c r="K3322" s="81"/>
      <c r="L3322" s="81"/>
      <c r="M3322" s="81"/>
      <c r="N3322" s="81"/>
    </row>
    <row r="3323" spans="1:14" ht="14.25" customHeight="1" x14ac:dyDescent="0.25">
      <c r="A3323" s="103"/>
      <c r="B3323" s="100"/>
      <c r="C3323" s="107"/>
      <c r="D3323" s="107"/>
      <c r="E3323" s="108"/>
      <c r="F3323" s="109"/>
      <c r="G3323" s="81"/>
      <c r="H3323" s="81"/>
      <c r="I3323" s="81"/>
      <c r="J3323" s="81"/>
      <c r="K3323" s="81"/>
      <c r="L3323" s="81"/>
      <c r="M3323" s="81"/>
      <c r="N3323" s="81"/>
    </row>
    <row r="3324" spans="1:14" ht="14.25" customHeight="1" x14ac:dyDescent="0.25">
      <c r="A3324" s="97" t="s">
        <v>548</v>
      </c>
      <c r="B3324" s="98"/>
      <c r="C3324" s="110"/>
      <c r="D3324" s="110"/>
      <c r="E3324" s="111"/>
      <c r="F3324" s="112">
        <f>SUM(F3322:F3323)</f>
        <v>0</v>
      </c>
      <c r="G3324" s="81"/>
      <c r="H3324" s="81"/>
      <c r="I3324" s="81"/>
      <c r="J3324" s="81"/>
      <c r="K3324" s="81"/>
      <c r="L3324" s="81"/>
      <c r="M3324" s="81"/>
      <c r="N3324" s="81"/>
    </row>
    <row r="3325" spans="1:14" ht="14.25" customHeight="1" x14ac:dyDescent="0.25">
      <c r="A3325" s="88"/>
      <c r="B3325" s="89"/>
      <c r="C3325" s="113"/>
      <c r="D3325" s="113"/>
      <c r="E3325" s="114"/>
      <c r="F3325" s="113"/>
      <c r="G3325" s="81"/>
      <c r="H3325" s="81"/>
      <c r="I3325" s="81"/>
      <c r="J3325" s="81"/>
      <c r="K3325" s="81"/>
      <c r="L3325" s="81"/>
      <c r="M3325" s="81"/>
      <c r="N3325" s="81"/>
    </row>
    <row r="3326" spans="1:14" ht="14.25" customHeight="1" x14ac:dyDescent="0.25">
      <c r="A3326" s="88"/>
      <c r="B3326" s="89"/>
      <c r="C3326" s="113"/>
      <c r="D3326" s="113"/>
      <c r="E3326" s="114"/>
      <c r="F3326" s="113"/>
      <c r="G3326" s="81"/>
      <c r="H3326" s="81"/>
      <c r="I3326" s="81"/>
      <c r="J3326" s="81"/>
      <c r="K3326" s="81"/>
      <c r="L3326" s="81"/>
      <c r="M3326" s="81"/>
      <c r="N3326" s="81"/>
    </row>
    <row r="3327" spans="1:14" ht="14.25" customHeight="1" x14ac:dyDescent="0.25">
      <c r="A3327" s="612" t="s">
        <v>588</v>
      </c>
      <c r="B3327" s="608"/>
      <c r="C3327" s="608"/>
      <c r="D3327" s="608"/>
      <c r="E3327" s="609"/>
      <c r="F3327" s="131">
        <f>ROUND(F3301+F3310+F3318+F3324,0)</f>
        <v>75780</v>
      </c>
      <c r="G3327" s="81"/>
      <c r="H3327" s="117"/>
      <c r="I3327" s="81"/>
      <c r="J3327" s="81"/>
      <c r="K3327" s="81"/>
      <c r="L3327" s="81"/>
      <c r="M3327" s="81"/>
      <c r="N3327" s="81"/>
    </row>
    <row r="3328" spans="1:14" ht="14.25" customHeight="1" x14ac:dyDescent="0.25">
      <c r="A3328" s="612" t="s">
        <v>589</v>
      </c>
      <c r="B3328" s="608"/>
      <c r="C3328" s="608"/>
      <c r="D3328" s="608"/>
      <c r="E3328" s="609"/>
      <c r="F3328" s="132"/>
      <c r="G3328" s="81"/>
      <c r="H3328" s="81"/>
      <c r="I3328" s="81"/>
      <c r="J3328" s="81"/>
      <c r="K3328" s="81"/>
      <c r="L3328" s="81"/>
      <c r="M3328" s="81"/>
      <c r="N3328" s="81"/>
    </row>
    <row r="3329" spans="1:14" ht="14.25" customHeight="1" x14ac:dyDescent="0.25">
      <c r="A3329" s="146" t="s">
        <v>556</v>
      </c>
      <c r="B3329" s="147"/>
      <c r="C3329" s="147"/>
      <c r="D3329" s="147"/>
      <c r="E3329" s="148"/>
      <c r="F3329" s="133"/>
      <c r="G3329" s="81"/>
      <c r="H3329" s="81"/>
      <c r="I3329" s="81"/>
      <c r="J3329" s="81"/>
      <c r="K3329" s="81"/>
      <c r="L3329" s="81"/>
      <c r="M3329" s="81"/>
      <c r="N3329" s="81"/>
    </row>
    <row r="3330" spans="1:14" ht="14.25" customHeight="1" x14ac:dyDescent="0.25">
      <c r="A3330" s="134"/>
      <c r="B3330" s="135"/>
      <c r="C3330" s="135"/>
      <c r="D3330" s="135"/>
      <c r="E3330" s="135"/>
      <c r="F3330" s="136"/>
      <c r="G3330" s="81"/>
      <c r="H3330" s="81"/>
      <c r="I3330" s="81"/>
      <c r="J3330" s="81"/>
      <c r="K3330" s="81"/>
      <c r="L3330" s="81"/>
      <c r="M3330" s="81"/>
      <c r="N3330" s="81"/>
    </row>
    <row r="3331" spans="1:14" ht="14.25" customHeight="1" x14ac:dyDescent="0.25">
      <c r="A3331" s="81"/>
      <c r="B3331" s="81"/>
      <c r="C3331" s="137"/>
      <c r="D3331" s="81"/>
      <c r="E3331" s="81"/>
      <c r="F3331" s="81"/>
      <c r="G3331" s="81"/>
      <c r="H3331" s="81"/>
      <c r="I3331" s="81"/>
      <c r="J3331" s="81"/>
      <c r="K3331" s="81"/>
      <c r="L3331" s="81"/>
      <c r="M3331" s="81"/>
      <c r="N3331" s="81"/>
    </row>
    <row r="3332" spans="1:14" ht="14.25" customHeight="1" x14ac:dyDescent="0.25">
      <c r="A3332" s="81"/>
      <c r="B3332" s="81"/>
      <c r="C3332" s="137"/>
      <c r="D3332" s="81"/>
      <c r="E3332" s="81"/>
      <c r="F3332" s="81"/>
      <c r="G3332" s="81"/>
      <c r="H3332" s="81"/>
      <c r="I3332" s="81"/>
      <c r="J3332" s="81"/>
      <c r="K3332" s="81"/>
      <c r="L3332" s="81"/>
      <c r="M3332" s="81"/>
      <c r="N3332" s="81"/>
    </row>
    <row r="3333" spans="1:14" ht="14.25" customHeight="1" x14ac:dyDescent="0.25">
      <c r="A3333" s="81"/>
      <c r="B3333" s="81"/>
      <c r="C3333" s="137"/>
      <c r="D3333" s="81"/>
      <c r="E3333" s="81"/>
      <c r="F3333" s="81"/>
      <c r="G3333" s="81"/>
      <c r="H3333" s="81"/>
      <c r="I3333" s="81"/>
      <c r="J3333" s="81"/>
      <c r="K3333" s="81"/>
      <c r="L3333" s="81"/>
      <c r="M3333" s="81"/>
      <c r="N3333" s="81"/>
    </row>
    <row r="3334" spans="1:14" ht="14.25" customHeight="1" x14ac:dyDescent="0.25">
      <c r="A3334" s="81"/>
      <c r="B3334" s="81"/>
      <c r="C3334" s="137"/>
      <c r="D3334" s="81"/>
      <c r="E3334" s="81"/>
      <c r="F3334" s="81"/>
      <c r="G3334" s="81"/>
      <c r="H3334" s="81"/>
      <c r="I3334" s="81"/>
      <c r="J3334" s="81"/>
      <c r="K3334" s="81"/>
      <c r="L3334" s="81"/>
      <c r="M3334" s="81"/>
      <c r="N3334" s="81"/>
    </row>
    <row r="3335" spans="1:14" ht="14.25" customHeight="1" x14ac:dyDescent="0.25">
      <c r="A3335" s="81"/>
      <c r="B3335" s="81"/>
      <c r="C3335" s="137"/>
      <c r="D3335" s="81"/>
      <c r="E3335" s="81"/>
      <c r="F3335" s="81"/>
      <c r="G3335" s="81"/>
      <c r="H3335" s="81"/>
      <c r="I3335" s="81"/>
      <c r="J3335" s="81"/>
      <c r="K3335" s="81"/>
      <c r="L3335" s="81"/>
      <c r="M3335" s="81"/>
      <c r="N3335" s="81"/>
    </row>
    <row r="3336" spans="1:14" ht="14.25" customHeight="1" x14ac:dyDescent="0.25">
      <c r="A3336" s="81"/>
      <c r="B3336" s="81"/>
      <c r="C3336" s="137"/>
      <c r="D3336" s="81"/>
      <c r="E3336" s="81"/>
      <c r="F3336" s="81"/>
      <c r="G3336" s="81"/>
      <c r="H3336" s="81"/>
      <c r="I3336" s="81"/>
      <c r="J3336" s="81"/>
      <c r="K3336" s="81"/>
      <c r="L3336" s="81"/>
      <c r="M3336" s="81"/>
      <c r="N3336" s="81"/>
    </row>
    <row r="3337" spans="1:14" ht="14.25" customHeight="1" x14ac:dyDescent="0.25">
      <c r="A3337" s="134"/>
      <c r="B3337" s="135"/>
      <c r="C3337" s="135"/>
      <c r="D3337" s="135"/>
      <c r="E3337" s="135"/>
      <c r="F3337" s="136"/>
      <c r="G3337" s="81"/>
      <c r="H3337" s="81"/>
      <c r="I3337" s="81"/>
      <c r="J3337" s="81"/>
      <c r="K3337" s="81"/>
      <c r="L3337" s="81"/>
      <c r="M3337" s="81"/>
      <c r="N3337" s="81"/>
    </row>
    <row r="3338" spans="1:14" ht="14.25" customHeight="1" x14ac:dyDescent="0.25">
      <c r="A3338" s="134"/>
      <c r="B3338" s="135"/>
      <c r="C3338" s="135"/>
      <c r="D3338" s="135"/>
      <c r="E3338" s="135"/>
      <c r="F3338" s="136"/>
      <c r="G3338" s="81"/>
      <c r="H3338" s="81"/>
      <c r="I3338" s="81"/>
      <c r="J3338" s="81"/>
      <c r="K3338" s="81"/>
      <c r="L3338" s="81"/>
      <c r="M3338" s="81"/>
      <c r="N3338" s="81"/>
    </row>
    <row r="3339" spans="1:14" ht="14.25" customHeight="1" x14ac:dyDescent="0.25">
      <c r="A3339" s="134"/>
      <c r="B3339" s="135"/>
      <c r="C3339" s="135"/>
      <c r="D3339" s="135"/>
      <c r="E3339" s="135"/>
      <c r="F3339" s="136"/>
      <c r="G3339" s="81"/>
      <c r="H3339" s="81"/>
      <c r="I3339" s="81"/>
      <c r="J3339" s="81"/>
      <c r="K3339" s="81"/>
      <c r="L3339" s="81"/>
      <c r="M3339" s="81"/>
      <c r="N3339" s="81"/>
    </row>
    <row r="3340" spans="1:14" ht="14.25" customHeight="1" thickBot="1" x14ac:dyDescent="0.3">
      <c r="A3340" s="81"/>
      <c r="B3340" s="81"/>
      <c r="C3340" s="81"/>
      <c r="D3340" s="81"/>
      <c r="E3340" s="81"/>
      <c r="F3340" s="81"/>
      <c r="G3340" s="81"/>
      <c r="H3340" s="81"/>
      <c r="I3340" s="81"/>
      <c r="J3340" s="81"/>
      <c r="K3340" s="81"/>
      <c r="L3340" s="81"/>
      <c r="M3340" s="81"/>
      <c r="N3340" s="81"/>
    </row>
    <row r="3341" spans="1:14" ht="14.25" customHeight="1" x14ac:dyDescent="0.25">
      <c r="A3341" s="83"/>
      <c r="B3341" s="84"/>
      <c r="C3341" s="85"/>
      <c r="D3341" s="86"/>
      <c r="E3341" s="86"/>
      <c r="F3341" s="87"/>
      <c r="G3341" s="81"/>
      <c r="H3341" s="81"/>
      <c r="I3341" s="81"/>
      <c r="J3341" s="81"/>
      <c r="K3341" s="81"/>
      <c r="L3341" s="81"/>
      <c r="M3341" s="81"/>
      <c r="N3341" s="81"/>
    </row>
    <row r="3342" spans="1:14" ht="14.25" customHeight="1" x14ac:dyDescent="0.25">
      <c r="A3342" s="599"/>
      <c r="B3342" s="600"/>
      <c r="C3342" s="600"/>
      <c r="D3342" s="600"/>
      <c r="E3342" s="600"/>
      <c r="F3342" s="601"/>
      <c r="G3342" s="81"/>
      <c r="H3342" s="81"/>
      <c r="I3342" s="81"/>
      <c r="J3342" s="81"/>
      <c r="K3342" s="81"/>
      <c r="L3342" s="81"/>
      <c r="M3342" s="81"/>
      <c r="N3342" s="81"/>
    </row>
    <row r="3343" spans="1:14" ht="14.25" customHeight="1" x14ac:dyDescent="0.25">
      <c r="A3343" s="602" t="s">
        <v>561</v>
      </c>
      <c r="B3343" s="600"/>
      <c r="C3343" s="600"/>
      <c r="D3343" s="600"/>
      <c r="E3343" s="600"/>
      <c r="F3343" s="601"/>
      <c r="G3343" s="81"/>
      <c r="H3343" s="81"/>
      <c r="I3343" s="81"/>
      <c r="J3343" s="81"/>
      <c r="K3343" s="81"/>
      <c r="L3343" s="81"/>
      <c r="M3343" s="81"/>
      <c r="N3343" s="81"/>
    </row>
    <row r="3344" spans="1:14" ht="14.25" customHeight="1" thickBot="1" x14ac:dyDescent="0.3">
      <c r="A3344" s="603"/>
      <c r="B3344" s="604"/>
      <c r="C3344" s="604"/>
      <c r="D3344" s="604"/>
      <c r="E3344" s="604"/>
      <c r="F3344" s="605"/>
      <c r="G3344" s="81"/>
      <c r="H3344" s="81"/>
      <c r="I3344" s="81"/>
      <c r="J3344" s="81"/>
      <c r="K3344" s="81"/>
      <c r="L3344" s="81"/>
      <c r="M3344" s="81"/>
      <c r="N3344" s="81"/>
    </row>
    <row r="3345" spans="1:14" ht="14.25" customHeight="1" x14ac:dyDescent="0.25">
      <c r="A3345" s="88"/>
      <c r="B3345" s="88"/>
      <c r="C3345" s="89"/>
      <c r="D3345" s="89"/>
      <c r="E3345" s="89"/>
      <c r="F3345" s="89"/>
      <c r="G3345" s="81"/>
      <c r="H3345" s="81"/>
      <c r="I3345" s="81"/>
      <c r="J3345" s="81"/>
      <c r="K3345" s="81"/>
      <c r="L3345" s="81"/>
      <c r="M3345" s="81"/>
      <c r="N3345" s="81"/>
    </row>
    <row r="3346" spans="1:14" ht="14.25" customHeight="1" x14ac:dyDescent="0.25">
      <c r="A3346" s="90" t="s">
        <v>47</v>
      </c>
      <c r="B3346" s="613" t="s">
        <v>170</v>
      </c>
      <c r="C3346" s="600"/>
      <c r="D3346" s="600"/>
      <c r="E3346" s="600"/>
      <c r="F3346" s="600"/>
      <c r="G3346" s="81"/>
      <c r="H3346" s="81"/>
      <c r="I3346" s="81"/>
      <c r="J3346" s="81"/>
      <c r="K3346" s="81"/>
      <c r="L3346" s="81"/>
      <c r="M3346" s="81"/>
      <c r="N3346" s="81"/>
    </row>
    <row r="3347" spans="1:14" ht="14.25" customHeight="1" x14ac:dyDescent="0.25">
      <c r="A3347" s="91"/>
      <c r="B3347" s="91"/>
      <c r="C3347" s="91"/>
      <c r="D3347" s="91"/>
      <c r="E3347" s="91"/>
      <c r="F3347" s="91"/>
      <c r="G3347" s="81"/>
      <c r="H3347" s="81"/>
      <c r="I3347" s="81"/>
      <c r="J3347" s="81"/>
      <c r="K3347" s="81"/>
      <c r="L3347" s="81"/>
      <c r="M3347" s="81"/>
      <c r="N3347" s="81"/>
    </row>
    <row r="3348" spans="1:14" ht="14.25" customHeight="1" x14ac:dyDescent="0.25">
      <c r="A3348" s="88" t="s">
        <v>49</v>
      </c>
      <c r="B3348" s="92" t="s">
        <v>56</v>
      </c>
      <c r="C3348" s="89"/>
      <c r="D3348" s="89"/>
      <c r="E3348" s="89"/>
      <c r="F3348" s="93"/>
      <c r="G3348" s="81"/>
      <c r="H3348" s="81"/>
      <c r="I3348" s="81"/>
      <c r="J3348" s="81"/>
      <c r="K3348" s="81"/>
      <c r="L3348" s="81"/>
      <c r="M3348" s="81"/>
      <c r="N3348" s="81"/>
    </row>
    <row r="3349" spans="1:14" ht="14.25" customHeight="1" x14ac:dyDescent="0.25">
      <c r="A3349" s="88"/>
      <c r="B3349" s="94"/>
      <c r="C3349" s="89"/>
      <c r="D3349" s="89"/>
      <c r="E3349" s="89"/>
      <c r="F3349" s="93"/>
      <c r="G3349" s="81"/>
      <c r="H3349" s="81"/>
      <c r="I3349" s="81"/>
      <c r="J3349" s="81"/>
      <c r="K3349" s="81"/>
      <c r="L3349" s="81"/>
      <c r="M3349" s="81"/>
      <c r="N3349" s="81"/>
    </row>
    <row r="3350" spans="1:14" ht="14.25" customHeight="1" x14ac:dyDescent="0.25">
      <c r="A3350" s="95" t="s">
        <v>562</v>
      </c>
      <c r="B3350" s="96"/>
      <c r="C3350" s="92"/>
      <c r="D3350" s="92"/>
      <c r="E3350" s="92"/>
      <c r="F3350" s="92"/>
      <c r="G3350" s="81"/>
      <c r="H3350" s="81"/>
      <c r="I3350" s="81"/>
      <c r="J3350" s="81"/>
      <c r="K3350" s="81"/>
      <c r="L3350" s="81"/>
      <c r="M3350" s="81"/>
      <c r="N3350" s="81"/>
    </row>
    <row r="3351" spans="1:14" ht="14.25" customHeight="1" x14ac:dyDescent="0.25">
      <c r="A3351" s="97" t="s">
        <v>563</v>
      </c>
      <c r="B3351" s="98" t="s">
        <v>564</v>
      </c>
      <c r="C3351" s="98" t="s">
        <v>565</v>
      </c>
      <c r="D3351" s="98" t="s">
        <v>566</v>
      </c>
      <c r="E3351" s="98" t="s">
        <v>567</v>
      </c>
      <c r="F3351" s="98" t="s">
        <v>568</v>
      </c>
      <c r="G3351" s="81"/>
      <c r="H3351" s="81"/>
      <c r="I3351" s="81"/>
      <c r="J3351" s="81"/>
      <c r="K3351" s="81"/>
      <c r="L3351" s="81"/>
      <c r="M3351" s="81"/>
      <c r="N3351" s="81"/>
    </row>
    <row r="3352" spans="1:14" ht="14.25" customHeight="1" x14ac:dyDescent="0.25">
      <c r="A3352" s="99" t="s">
        <v>700</v>
      </c>
      <c r="B3352" s="100" t="s">
        <v>56</v>
      </c>
      <c r="C3352" s="101">
        <v>79550</v>
      </c>
      <c r="D3352" s="149">
        <v>1</v>
      </c>
      <c r="E3352" s="102">
        <v>0.05</v>
      </c>
      <c r="F3352" s="101">
        <f t="shared" ref="F3352:F3355" si="180">C3352*(D3352+(D3352*E3352))</f>
        <v>83527.5</v>
      </c>
      <c r="G3352" s="81"/>
      <c r="H3352" s="81"/>
      <c r="I3352" s="81"/>
      <c r="J3352" s="81"/>
      <c r="K3352" s="81"/>
      <c r="L3352" s="81"/>
      <c r="M3352" s="81"/>
      <c r="N3352" s="81"/>
    </row>
    <row r="3353" spans="1:14" ht="14.25" customHeight="1" x14ac:dyDescent="0.25">
      <c r="A3353" s="99" t="s">
        <v>701</v>
      </c>
      <c r="B3353" s="100" t="s">
        <v>117</v>
      </c>
      <c r="C3353" s="101">
        <v>5850</v>
      </c>
      <c r="D3353" s="149">
        <v>1.5</v>
      </c>
      <c r="E3353" s="102">
        <v>0.05</v>
      </c>
      <c r="F3353" s="101">
        <f t="shared" si="180"/>
        <v>9213.75</v>
      </c>
      <c r="G3353" s="81"/>
      <c r="H3353" s="81"/>
      <c r="I3353" s="81"/>
      <c r="J3353" s="81"/>
      <c r="K3353" s="81"/>
      <c r="L3353" s="81"/>
      <c r="M3353" s="81"/>
      <c r="N3353" s="81"/>
    </row>
    <row r="3354" spans="1:14" ht="14.25" customHeight="1" x14ac:dyDescent="0.25">
      <c r="A3354" s="99" t="s">
        <v>636</v>
      </c>
      <c r="B3354" s="100" t="s">
        <v>99</v>
      </c>
      <c r="C3354" s="101">
        <v>7850</v>
      </c>
      <c r="D3354" s="104">
        <v>0.15</v>
      </c>
      <c r="E3354" s="102">
        <v>0.05</v>
      </c>
      <c r="F3354" s="101">
        <f t="shared" si="180"/>
        <v>1236.375</v>
      </c>
      <c r="G3354" s="81"/>
      <c r="H3354" s="81"/>
      <c r="I3354" s="81"/>
      <c r="J3354" s="81"/>
      <c r="K3354" s="81"/>
      <c r="L3354" s="81"/>
      <c r="M3354" s="81"/>
      <c r="N3354" s="81"/>
    </row>
    <row r="3355" spans="1:14" ht="14.25" customHeight="1" x14ac:dyDescent="0.25">
      <c r="A3355" s="99"/>
      <c r="B3355" s="100"/>
      <c r="C3355" s="101"/>
      <c r="D3355" s="149"/>
      <c r="E3355" s="102"/>
      <c r="F3355" s="101">
        <f t="shared" si="180"/>
        <v>0</v>
      </c>
      <c r="G3355" s="81"/>
      <c r="H3355" s="81"/>
      <c r="I3355" s="81"/>
      <c r="J3355" s="81"/>
      <c r="K3355" s="81"/>
      <c r="L3355" s="81"/>
      <c r="M3355" s="81"/>
      <c r="N3355" s="81"/>
    </row>
    <row r="3356" spans="1:14" ht="14.25" customHeight="1" x14ac:dyDescent="0.25">
      <c r="A3356" s="99"/>
      <c r="B3356" s="100"/>
      <c r="C3356" s="106"/>
      <c r="D3356" s="107"/>
      <c r="E3356" s="108"/>
      <c r="F3356" s="106"/>
      <c r="G3356" s="81"/>
      <c r="H3356" s="81"/>
      <c r="I3356" s="81"/>
      <c r="J3356" s="81"/>
      <c r="K3356" s="81"/>
      <c r="L3356" s="81"/>
      <c r="M3356" s="81"/>
      <c r="N3356" s="81"/>
    </row>
    <row r="3357" spans="1:14" ht="14.25" customHeight="1" x14ac:dyDescent="0.25">
      <c r="A3357" s="97" t="s">
        <v>548</v>
      </c>
      <c r="B3357" s="97"/>
      <c r="C3357" s="109"/>
      <c r="D3357" s="110"/>
      <c r="E3357" s="111"/>
      <c r="F3357" s="112">
        <f>SUM(F3352:F3356)</f>
        <v>93977.625</v>
      </c>
      <c r="G3357" s="81"/>
      <c r="H3357" s="81"/>
      <c r="I3357" s="81"/>
      <c r="J3357" s="81"/>
      <c r="K3357" s="81"/>
      <c r="L3357" s="81"/>
      <c r="M3357" s="81"/>
      <c r="N3357" s="81"/>
    </row>
    <row r="3358" spans="1:14" ht="14.25" customHeight="1" x14ac:dyDescent="0.25">
      <c r="A3358" s="88"/>
      <c r="B3358" s="88"/>
      <c r="C3358" s="113"/>
      <c r="D3358" s="113"/>
      <c r="E3358" s="114"/>
      <c r="F3358" s="113"/>
      <c r="G3358" s="81"/>
      <c r="H3358" s="81"/>
      <c r="I3358" s="81"/>
      <c r="J3358" s="81"/>
      <c r="K3358" s="81"/>
      <c r="L3358" s="81"/>
      <c r="M3358" s="81"/>
      <c r="N3358" s="81"/>
    </row>
    <row r="3359" spans="1:14" ht="14.25" customHeight="1" x14ac:dyDescent="0.25">
      <c r="A3359" s="96" t="s">
        <v>573</v>
      </c>
      <c r="B3359" s="96"/>
      <c r="C3359" s="92"/>
      <c r="D3359" s="92"/>
      <c r="E3359" s="92"/>
      <c r="F3359" s="92"/>
      <c r="G3359" s="81"/>
      <c r="H3359" s="81"/>
      <c r="I3359" s="81"/>
      <c r="J3359" s="81"/>
      <c r="K3359" s="81"/>
      <c r="L3359" s="81"/>
      <c r="M3359" s="81"/>
      <c r="N3359" s="81"/>
    </row>
    <row r="3360" spans="1:14" ht="14.25" customHeight="1" x14ac:dyDescent="0.25">
      <c r="A3360" s="611" t="s">
        <v>563</v>
      </c>
      <c r="B3360" s="608"/>
      <c r="C3360" s="609"/>
      <c r="D3360" s="98" t="s">
        <v>574</v>
      </c>
      <c r="E3360" s="98" t="s">
        <v>575</v>
      </c>
      <c r="F3360" s="98" t="s">
        <v>568</v>
      </c>
      <c r="G3360" s="81"/>
      <c r="H3360" s="81"/>
      <c r="I3360" s="81"/>
      <c r="J3360" s="81"/>
      <c r="K3360" s="81"/>
      <c r="L3360" s="81"/>
      <c r="M3360" s="81"/>
      <c r="N3360" s="81"/>
    </row>
    <row r="3361" spans="1:14" ht="14.25" customHeight="1" x14ac:dyDescent="0.25">
      <c r="A3361" s="607" t="s">
        <v>577</v>
      </c>
      <c r="B3361" s="608"/>
      <c r="C3361" s="609"/>
      <c r="D3361" s="116"/>
      <c r="E3361" s="107"/>
      <c r="F3361" s="106">
        <f>+F3374*5%</f>
        <v>1728.8046201942584</v>
      </c>
      <c r="G3361" s="81"/>
      <c r="H3361" s="117"/>
      <c r="I3361" s="81"/>
      <c r="J3361" s="81"/>
      <c r="K3361" s="81"/>
      <c r="L3361" s="81"/>
      <c r="M3361" s="81"/>
      <c r="N3361" s="81"/>
    </row>
    <row r="3362" spans="1:14" ht="14.25" customHeight="1" x14ac:dyDescent="0.25">
      <c r="A3362" s="607" t="s">
        <v>657</v>
      </c>
      <c r="B3362" s="608"/>
      <c r="C3362" s="609"/>
      <c r="D3362" s="142">
        <v>1850</v>
      </c>
      <c r="E3362" s="107">
        <v>0.08</v>
      </c>
      <c r="F3362" s="106">
        <f t="shared" ref="F3362:F3364" si="181">D3362/E3362</f>
        <v>23125</v>
      </c>
      <c r="G3362" s="81"/>
      <c r="H3362" s="81"/>
      <c r="I3362" s="81"/>
      <c r="J3362" s="81"/>
      <c r="K3362" s="81"/>
      <c r="L3362" s="81"/>
      <c r="M3362" s="81"/>
      <c r="N3362" s="81"/>
    </row>
    <row r="3363" spans="1:14" ht="14.25" customHeight="1" x14ac:dyDescent="0.25">
      <c r="A3363" s="607" t="s">
        <v>639</v>
      </c>
      <c r="B3363" s="608"/>
      <c r="C3363" s="609"/>
      <c r="D3363" s="142">
        <v>5150</v>
      </c>
      <c r="E3363" s="107">
        <v>5</v>
      </c>
      <c r="F3363" s="106">
        <f t="shared" si="181"/>
        <v>1030</v>
      </c>
      <c r="G3363" s="81"/>
      <c r="H3363" s="81"/>
      <c r="I3363" s="81"/>
      <c r="J3363" s="81"/>
      <c r="K3363" s="81"/>
      <c r="L3363" s="81"/>
      <c r="M3363" s="81"/>
      <c r="N3363" s="81"/>
    </row>
    <row r="3364" spans="1:14" ht="14.25" customHeight="1" x14ac:dyDescent="0.25">
      <c r="A3364" s="607" t="s">
        <v>702</v>
      </c>
      <c r="B3364" s="608"/>
      <c r="C3364" s="609"/>
      <c r="D3364" s="142">
        <v>3250</v>
      </c>
      <c r="E3364" s="107">
        <v>4</v>
      </c>
      <c r="F3364" s="106">
        <f t="shared" si="181"/>
        <v>812.5</v>
      </c>
      <c r="G3364" s="81"/>
      <c r="H3364" s="81"/>
      <c r="I3364" s="81"/>
      <c r="J3364" s="81"/>
      <c r="K3364" s="81"/>
      <c r="L3364" s="81"/>
      <c r="M3364" s="81"/>
      <c r="N3364" s="81"/>
    </row>
    <row r="3365" spans="1:14" ht="14.25" customHeight="1" x14ac:dyDescent="0.25">
      <c r="A3365" s="610"/>
      <c r="B3365" s="608"/>
      <c r="C3365" s="609"/>
      <c r="D3365" s="115"/>
      <c r="E3365" s="107"/>
      <c r="F3365" s="106"/>
      <c r="G3365" s="81"/>
      <c r="H3365" s="81"/>
      <c r="I3365" s="81"/>
      <c r="J3365" s="81"/>
      <c r="K3365" s="81"/>
      <c r="L3365" s="81"/>
      <c r="M3365" s="81"/>
      <c r="N3365" s="81"/>
    </row>
    <row r="3366" spans="1:14" ht="14.25" customHeight="1" x14ac:dyDescent="0.25">
      <c r="A3366" s="611" t="s">
        <v>548</v>
      </c>
      <c r="B3366" s="608"/>
      <c r="C3366" s="609"/>
      <c r="D3366" s="110"/>
      <c r="E3366" s="110"/>
      <c r="F3366" s="112">
        <f>SUM(F3361:F3364)</f>
        <v>26696.30462019426</v>
      </c>
      <c r="G3366" s="81"/>
      <c r="H3366" s="81"/>
      <c r="I3366" s="81"/>
      <c r="J3366" s="81"/>
      <c r="K3366" s="81"/>
      <c r="L3366" s="81"/>
      <c r="M3366" s="81"/>
      <c r="N3366" s="81"/>
    </row>
    <row r="3367" spans="1:14" ht="14.25" customHeight="1" x14ac:dyDescent="0.25">
      <c r="A3367" s="88"/>
      <c r="B3367" s="88"/>
      <c r="C3367" s="89"/>
      <c r="D3367" s="113"/>
      <c r="E3367" s="113"/>
      <c r="F3367" s="113"/>
      <c r="G3367" s="81"/>
      <c r="H3367" s="81"/>
      <c r="I3367" s="81"/>
      <c r="J3367" s="81"/>
      <c r="K3367" s="81"/>
      <c r="L3367" s="81"/>
      <c r="M3367" s="81"/>
      <c r="N3367" s="81"/>
    </row>
    <row r="3368" spans="1:14" ht="14.25" customHeight="1" x14ac:dyDescent="0.25">
      <c r="A3368" s="96" t="s">
        <v>578</v>
      </c>
      <c r="B3368" s="96"/>
      <c r="C3368" s="92"/>
      <c r="D3368" s="118"/>
      <c r="E3368" s="118"/>
      <c r="F3368" s="118"/>
      <c r="G3368" s="81"/>
      <c r="H3368" s="81"/>
      <c r="I3368" s="81"/>
      <c r="J3368" s="81"/>
      <c r="K3368" s="81"/>
      <c r="L3368" s="81"/>
      <c r="M3368" s="81"/>
      <c r="N3368" s="81"/>
    </row>
    <row r="3369" spans="1:14" ht="14.25" customHeight="1" x14ac:dyDescent="0.25">
      <c r="A3369" s="119" t="s">
        <v>563</v>
      </c>
      <c r="B3369" s="120" t="s">
        <v>579</v>
      </c>
      <c r="C3369" s="120" t="s">
        <v>580</v>
      </c>
      <c r="D3369" s="121" t="s">
        <v>581</v>
      </c>
      <c r="E3369" s="121" t="s">
        <v>575</v>
      </c>
      <c r="F3369" s="121" t="s">
        <v>568</v>
      </c>
      <c r="G3369" s="81"/>
      <c r="H3369" s="81"/>
      <c r="I3369" s="81"/>
      <c r="J3369" s="81"/>
      <c r="K3369" s="81"/>
      <c r="L3369" s="81"/>
      <c r="M3369" s="81"/>
      <c r="N3369" s="81"/>
    </row>
    <row r="3370" spans="1:14" ht="14.25" customHeight="1" x14ac:dyDescent="0.25">
      <c r="A3370" s="122" t="s">
        <v>593</v>
      </c>
      <c r="B3370" s="127">
        <v>1</v>
      </c>
      <c r="C3370" s="101">
        <v>32688</v>
      </c>
      <c r="D3370" s="101">
        <f t="shared" ref="D3370:D3371" si="182">+C3370*1.7</f>
        <v>55569.599999999999</v>
      </c>
      <c r="E3370" s="107">
        <v>4.1902999999999997</v>
      </c>
      <c r="F3370" s="106">
        <f t="shared" ref="F3370:F3371" si="183">+B3370*(D3370)/E3370</f>
        <v>13261.484857886071</v>
      </c>
      <c r="G3370" s="81"/>
      <c r="H3370" s="81"/>
      <c r="I3370" s="81"/>
      <c r="J3370" s="81"/>
      <c r="K3370" s="81"/>
      <c r="L3370" s="81"/>
      <c r="M3370" s="81"/>
      <c r="N3370" s="81"/>
    </row>
    <row r="3371" spans="1:14" ht="14.25" customHeight="1" x14ac:dyDescent="0.25">
      <c r="A3371" s="122" t="s">
        <v>594</v>
      </c>
      <c r="B3371" s="127">
        <v>1</v>
      </c>
      <c r="C3371" s="101">
        <v>52538</v>
      </c>
      <c r="D3371" s="101">
        <f t="shared" si="182"/>
        <v>89314.599999999991</v>
      </c>
      <c r="E3371" s="107">
        <f>E3370</f>
        <v>4.1902999999999997</v>
      </c>
      <c r="F3371" s="106">
        <f t="shared" si="183"/>
        <v>21314.607545999093</v>
      </c>
      <c r="G3371" s="81"/>
      <c r="H3371" s="81"/>
      <c r="I3371" s="81"/>
      <c r="J3371" s="81"/>
      <c r="K3371" s="81"/>
      <c r="L3371" s="81"/>
      <c r="M3371" s="81"/>
      <c r="N3371" s="81"/>
    </row>
    <row r="3372" spans="1:14" ht="14.25" customHeight="1" x14ac:dyDescent="0.25">
      <c r="A3372" s="122"/>
      <c r="B3372" s="127"/>
      <c r="C3372" s="101"/>
      <c r="D3372" s="101"/>
      <c r="E3372" s="105"/>
      <c r="F3372" s="106"/>
      <c r="G3372" s="81"/>
      <c r="H3372" s="81"/>
      <c r="I3372" s="81"/>
      <c r="J3372" s="81"/>
      <c r="K3372" s="81"/>
      <c r="L3372" s="81"/>
      <c r="M3372" s="81"/>
      <c r="N3372" s="81"/>
    </row>
    <row r="3373" spans="1:14" ht="14.25" customHeight="1" x14ac:dyDescent="0.25">
      <c r="A3373" s="122"/>
      <c r="B3373" s="127"/>
      <c r="C3373" s="101"/>
      <c r="D3373" s="101"/>
      <c r="E3373" s="125"/>
      <c r="F3373" s="106"/>
      <c r="G3373" s="81"/>
      <c r="H3373" s="81"/>
      <c r="I3373" s="81"/>
      <c r="J3373" s="81"/>
      <c r="K3373" s="81"/>
      <c r="L3373" s="81"/>
      <c r="M3373" s="81"/>
      <c r="N3373" s="81"/>
    </row>
    <row r="3374" spans="1:14" ht="14.25" customHeight="1" x14ac:dyDescent="0.25">
      <c r="A3374" s="97" t="s">
        <v>548</v>
      </c>
      <c r="B3374" s="128"/>
      <c r="C3374" s="110"/>
      <c r="D3374" s="110"/>
      <c r="E3374" s="110"/>
      <c r="F3374" s="112">
        <f>SUM(F3370:F3373)</f>
        <v>34576.092403885166</v>
      </c>
      <c r="G3374" s="81"/>
      <c r="H3374" s="81"/>
      <c r="I3374" s="81"/>
      <c r="J3374" s="81"/>
      <c r="K3374" s="81"/>
      <c r="L3374" s="81"/>
      <c r="M3374" s="81"/>
      <c r="N3374" s="81"/>
    </row>
    <row r="3375" spans="1:14" ht="14.25" customHeight="1" x14ac:dyDescent="0.25">
      <c r="A3375" s="96"/>
      <c r="B3375" s="129"/>
      <c r="C3375" s="118"/>
      <c r="D3375" s="118"/>
      <c r="E3375" s="118"/>
      <c r="F3375" s="118"/>
      <c r="G3375" s="81"/>
      <c r="H3375" s="81"/>
      <c r="I3375" s="81"/>
      <c r="J3375" s="81"/>
      <c r="K3375" s="81"/>
      <c r="L3375" s="81"/>
      <c r="M3375" s="81"/>
      <c r="N3375" s="81"/>
    </row>
    <row r="3376" spans="1:14" ht="14.25" customHeight="1" x14ac:dyDescent="0.25">
      <c r="A3376" s="95" t="s">
        <v>583</v>
      </c>
      <c r="B3376" s="96"/>
      <c r="C3376" s="92"/>
      <c r="D3376" s="92"/>
      <c r="E3376" s="92" t="s">
        <v>584</v>
      </c>
      <c r="F3376" s="92"/>
      <c r="G3376" s="81"/>
      <c r="H3376" s="81"/>
      <c r="I3376" s="81"/>
      <c r="J3376" s="81"/>
      <c r="K3376" s="81"/>
      <c r="L3376" s="81"/>
      <c r="M3376" s="81"/>
      <c r="N3376" s="81"/>
    </row>
    <row r="3377" spans="1:14" ht="14.25" customHeight="1" x14ac:dyDescent="0.25">
      <c r="A3377" s="97" t="s">
        <v>563</v>
      </c>
      <c r="B3377" s="98" t="s">
        <v>564</v>
      </c>
      <c r="C3377" s="98" t="s">
        <v>585</v>
      </c>
      <c r="D3377" s="98" t="s">
        <v>586</v>
      </c>
      <c r="E3377" s="120" t="s">
        <v>587</v>
      </c>
      <c r="F3377" s="98" t="s">
        <v>568</v>
      </c>
      <c r="G3377" s="81"/>
      <c r="H3377" s="81"/>
      <c r="I3377" s="81"/>
      <c r="J3377" s="81"/>
      <c r="K3377" s="81"/>
      <c r="L3377" s="81"/>
      <c r="M3377" s="81"/>
      <c r="N3377" s="81"/>
    </row>
    <row r="3378" spans="1:14" ht="14.25" customHeight="1" x14ac:dyDescent="0.25">
      <c r="A3378" s="103"/>
      <c r="B3378" s="100"/>
      <c r="C3378" s="101"/>
      <c r="D3378" s="140"/>
      <c r="E3378" s="107"/>
      <c r="F3378" s="109"/>
      <c r="G3378" s="81"/>
      <c r="H3378" s="81"/>
      <c r="I3378" s="81"/>
      <c r="J3378" s="81"/>
      <c r="K3378" s="81"/>
      <c r="L3378" s="81"/>
      <c r="M3378" s="81"/>
      <c r="N3378" s="81"/>
    </row>
    <row r="3379" spans="1:14" ht="14.25" customHeight="1" x14ac:dyDescent="0.25">
      <c r="A3379" s="103"/>
      <c r="B3379" s="100"/>
      <c r="C3379" s="107"/>
      <c r="D3379" s="107"/>
      <c r="E3379" s="108"/>
      <c r="F3379" s="109"/>
      <c r="G3379" s="81"/>
      <c r="H3379" s="81"/>
      <c r="I3379" s="81"/>
      <c r="J3379" s="81"/>
      <c r="K3379" s="81"/>
      <c r="L3379" s="81"/>
      <c r="M3379" s="81"/>
      <c r="N3379" s="81"/>
    </row>
    <row r="3380" spans="1:14" ht="14.25" customHeight="1" x14ac:dyDescent="0.25">
      <c r="A3380" s="97" t="s">
        <v>548</v>
      </c>
      <c r="B3380" s="98"/>
      <c r="C3380" s="110"/>
      <c r="D3380" s="110"/>
      <c r="E3380" s="111"/>
      <c r="F3380" s="112">
        <f>SUM(F3378:F3379)</f>
        <v>0</v>
      </c>
      <c r="G3380" s="81"/>
      <c r="H3380" s="81"/>
      <c r="I3380" s="81"/>
      <c r="J3380" s="81"/>
      <c r="K3380" s="81"/>
      <c r="L3380" s="81"/>
      <c r="M3380" s="81"/>
      <c r="N3380" s="81"/>
    </row>
    <row r="3381" spans="1:14" ht="14.25" customHeight="1" x14ac:dyDescent="0.25">
      <c r="A3381" s="88"/>
      <c r="B3381" s="89"/>
      <c r="C3381" s="113"/>
      <c r="D3381" s="113"/>
      <c r="E3381" s="114"/>
      <c r="F3381" s="113"/>
      <c r="G3381" s="81"/>
      <c r="H3381" s="81"/>
      <c r="I3381" s="81"/>
      <c r="J3381" s="81"/>
      <c r="K3381" s="81"/>
      <c r="L3381" s="81"/>
      <c r="M3381" s="81"/>
      <c r="N3381" s="81"/>
    </row>
    <row r="3382" spans="1:14" ht="14.25" customHeight="1" x14ac:dyDescent="0.25">
      <c r="A3382" s="88"/>
      <c r="B3382" s="89"/>
      <c r="C3382" s="113"/>
      <c r="D3382" s="113"/>
      <c r="E3382" s="114"/>
      <c r="F3382" s="113"/>
      <c r="G3382" s="81"/>
      <c r="H3382" s="81"/>
      <c r="I3382" s="81"/>
      <c r="J3382" s="81"/>
      <c r="K3382" s="81"/>
      <c r="L3382" s="81"/>
      <c r="M3382" s="81"/>
      <c r="N3382" s="81"/>
    </row>
    <row r="3383" spans="1:14" ht="14.25" customHeight="1" x14ac:dyDescent="0.25">
      <c r="A3383" s="612" t="s">
        <v>588</v>
      </c>
      <c r="B3383" s="608"/>
      <c r="C3383" s="608"/>
      <c r="D3383" s="608"/>
      <c r="E3383" s="609"/>
      <c r="F3383" s="131">
        <f>ROUND(F3357+F3366+F3374+F3380,0)</f>
        <v>155250</v>
      </c>
      <c r="G3383" s="81"/>
      <c r="H3383" s="117"/>
      <c r="I3383" s="81"/>
      <c r="J3383" s="81"/>
      <c r="K3383" s="81"/>
      <c r="L3383" s="81"/>
      <c r="M3383" s="81"/>
      <c r="N3383" s="81"/>
    </row>
    <row r="3384" spans="1:14" ht="14.25" customHeight="1" x14ac:dyDescent="0.25">
      <c r="A3384" s="612" t="s">
        <v>589</v>
      </c>
      <c r="B3384" s="608"/>
      <c r="C3384" s="608"/>
      <c r="D3384" s="608"/>
      <c r="E3384" s="609"/>
      <c r="F3384" s="132"/>
      <c r="G3384" s="81"/>
      <c r="H3384" s="81"/>
      <c r="I3384" s="81"/>
      <c r="J3384" s="81"/>
      <c r="K3384" s="81"/>
      <c r="L3384" s="81"/>
      <c r="M3384" s="81"/>
      <c r="N3384" s="81"/>
    </row>
    <row r="3385" spans="1:14" ht="14.25" customHeight="1" x14ac:dyDescent="0.25">
      <c r="A3385" s="146" t="s">
        <v>556</v>
      </c>
      <c r="B3385" s="147"/>
      <c r="C3385" s="147"/>
      <c r="D3385" s="147"/>
      <c r="E3385" s="148"/>
      <c r="F3385" s="133"/>
      <c r="G3385" s="81"/>
      <c r="H3385" s="81"/>
      <c r="I3385" s="81"/>
      <c r="J3385" s="81"/>
      <c r="K3385" s="81"/>
      <c r="L3385" s="81"/>
      <c r="M3385" s="81"/>
      <c r="N3385" s="81"/>
    </row>
    <row r="3386" spans="1:14" ht="14.25" customHeight="1" x14ac:dyDescent="0.25">
      <c r="A3386" s="134"/>
      <c r="B3386" s="135"/>
      <c r="C3386" s="135"/>
      <c r="D3386" s="135"/>
      <c r="E3386" s="135"/>
      <c r="F3386" s="136"/>
      <c r="G3386" s="81"/>
      <c r="H3386" s="81"/>
      <c r="I3386" s="81"/>
      <c r="J3386" s="81"/>
      <c r="K3386" s="81"/>
      <c r="L3386" s="81"/>
      <c r="M3386" s="81"/>
      <c r="N3386" s="81"/>
    </row>
    <row r="3387" spans="1:14" ht="14.25" customHeight="1" x14ac:dyDescent="0.25">
      <c r="A3387" s="81"/>
      <c r="B3387" s="81"/>
      <c r="C3387" s="137"/>
      <c r="D3387" s="81"/>
      <c r="E3387" s="81"/>
      <c r="F3387" s="81"/>
      <c r="G3387" s="81"/>
      <c r="H3387" s="81"/>
      <c r="I3387" s="81"/>
      <c r="J3387" s="81"/>
      <c r="K3387" s="81"/>
      <c r="L3387" s="81"/>
      <c r="M3387" s="81"/>
      <c r="N3387" s="81"/>
    </row>
    <row r="3388" spans="1:14" ht="14.25" customHeight="1" x14ac:dyDescent="0.25">
      <c r="A3388" s="81"/>
      <c r="B3388" s="81"/>
      <c r="C3388" s="137"/>
      <c r="D3388" s="81"/>
      <c r="E3388" s="81"/>
      <c r="F3388" s="81"/>
      <c r="G3388" s="81"/>
      <c r="H3388" s="81"/>
      <c r="I3388" s="81"/>
      <c r="J3388" s="81"/>
      <c r="K3388" s="81"/>
      <c r="L3388" s="81"/>
      <c r="M3388" s="81"/>
      <c r="N3388" s="81"/>
    </row>
    <row r="3389" spans="1:14" ht="14.25" customHeight="1" x14ac:dyDescent="0.25">
      <c r="A3389" s="81"/>
      <c r="B3389" s="81"/>
      <c r="C3389" s="137"/>
      <c r="D3389" s="81"/>
      <c r="E3389" s="81"/>
      <c r="F3389" s="81"/>
      <c r="G3389" s="81"/>
      <c r="H3389" s="81"/>
      <c r="I3389" s="81"/>
      <c r="J3389" s="81"/>
      <c r="K3389" s="81"/>
      <c r="L3389" s="81"/>
      <c r="M3389" s="81"/>
      <c r="N3389" s="81"/>
    </row>
    <row r="3390" spans="1:14" ht="14.25" customHeight="1" x14ac:dyDescent="0.25">
      <c r="A3390" s="81"/>
      <c r="B3390" s="81"/>
      <c r="C3390" s="137"/>
      <c r="D3390" s="81"/>
      <c r="E3390" s="81"/>
      <c r="F3390" s="81"/>
      <c r="G3390" s="81"/>
      <c r="H3390" s="81"/>
      <c r="I3390" s="81"/>
      <c r="J3390" s="81"/>
      <c r="K3390" s="81"/>
      <c r="L3390" s="81"/>
      <c r="M3390" s="81"/>
      <c r="N3390" s="81"/>
    </row>
    <row r="3391" spans="1:14" ht="14.25" customHeight="1" x14ac:dyDescent="0.25">
      <c r="A3391" s="81"/>
      <c r="B3391" s="81"/>
      <c r="C3391" s="137"/>
      <c r="D3391" s="81"/>
      <c r="E3391" s="81"/>
      <c r="F3391" s="81"/>
      <c r="G3391" s="81"/>
      <c r="H3391" s="81"/>
      <c r="I3391" s="81"/>
      <c r="J3391" s="81"/>
      <c r="K3391" s="81"/>
      <c r="L3391" s="81"/>
      <c r="M3391" s="81"/>
      <c r="N3391" s="81"/>
    </row>
    <row r="3392" spans="1:14" ht="14.25" customHeight="1" x14ac:dyDescent="0.25">
      <c r="A3392" s="81"/>
      <c r="B3392" s="81"/>
      <c r="C3392" s="137"/>
      <c r="D3392" s="81"/>
      <c r="E3392" s="81"/>
      <c r="F3392" s="81"/>
      <c r="G3392" s="81"/>
      <c r="H3392" s="81"/>
      <c r="I3392" s="81"/>
      <c r="J3392" s="81"/>
      <c r="K3392" s="81"/>
      <c r="L3392" s="81"/>
      <c r="M3392" s="81"/>
      <c r="N3392" s="81"/>
    </row>
    <row r="3393" spans="1:14" ht="14.25" customHeight="1" x14ac:dyDescent="0.25">
      <c r="A3393" s="134"/>
      <c r="B3393" s="135"/>
      <c r="C3393" s="135"/>
      <c r="D3393" s="135"/>
      <c r="E3393" s="135"/>
      <c r="F3393" s="136"/>
      <c r="G3393" s="81"/>
      <c r="H3393" s="81"/>
      <c r="I3393" s="81"/>
      <c r="J3393" s="81"/>
      <c r="K3393" s="81"/>
      <c r="L3393" s="81"/>
      <c r="M3393" s="81"/>
      <c r="N3393" s="81"/>
    </row>
    <row r="3394" spans="1:14" ht="14.25" customHeight="1" x14ac:dyDescent="0.25">
      <c r="A3394" s="134"/>
      <c r="B3394" s="135"/>
      <c r="C3394" s="135"/>
      <c r="D3394" s="135"/>
      <c r="E3394" s="135"/>
      <c r="F3394" s="136"/>
      <c r="G3394" s="81"/>
      <c r="H3394" s="81"/>
      <c r="I3394" s="81"/>
      <c r="J3394" s="81"/>
      <c r="K3394" s="81"/>
      <c r="L3394" s="81"/>
      <c r="M3394" s="81"/>
      <c r="N3394" s="81"/>
    </row>
    <row r="3395" spans="1:14" ht="14.25" customHeight="1" x14ac:dyDescent="0.25">
      <c r="A3395" s="134"/>
      <c r="B3395" s="135"/>
      <c r="C3395" s="135"/>
      <c r="D3395" s="135"/>
      <c r="E3395" s="135"/>
      <c r="F3395" s="136"/>
      <c r="G3395" s="81"/>
      <c r="H3395" s="81"/>
      <c r="I3395" s="81"/>
      <c r="J3395" s="81"/>
      <c r="K3395" s="81"/>
      <c r="L3395" s="81"/>
      <c r="M3395" s="81"/>
      <c r="N3395" s="81"/>
    </row>
    <row r="3396" spans="1:14" ht="14.25" customHeight="1" thickBot="1" x14ac:dyDescent="0.3">
      <c r="A3396" s="81"/>
      <c r="B3396" s="81"/>
      <c r="C3396" s="81"/>
      <c r="D3396" s="81"/>
      <c r="E3396" s="81"/>
      <c r="F3396" s="81"/>
      <c r="G3396" s="81"/>
      <c r="H3396" s="81"/>
      <c r="I3396" s="81"/>
      <c r="J3396" s="81"/>
      <c r="K3396" s="81"/>
      <c r="L3396" s="81"/>
      <c r="M3396" s="81"/>
      <c r="N3396" s="81"/>
    </row>
    <row r="3397" spans="1:14" ht="14.25" customHeight="1" x14ac:dyDescent="0.25">
      <c r="A3397" s="83"/>
      <c r="B3397" s="84"/>
      <c r="C3397" s="85"/>
      <c r="D3397" s="86"/>
      <c r="E3397" s="86"/>
      <c r="F3397" s="87"/>
      <c r="G3397" s="81"/>
      <c r="H3397" s="81"/>
      <c r="I3397" s="81"/>
      <c r="J3397" s="81"/>
      <c r="K3397" s="81"/>
      <c r="L3397" s="81"/>
      <c r="M3397" s="81"/>
      <c r="N3397" s="81"/>
    </row>
    <row r="3398" spans="1:14" ht="14.25" customHeight="1" x14ac:dyDescent="0.25">
      <c r="A3398" s="599"/>
      <c r="B3398" s="600"/>
      <c r="C3398" s="600"/>
      <c r="D3398" s="600"/>
      <c r="E3398" s="600"/>
      <c r="F3398" s="601"/>
      <c r="G3398" s="81"/>
      <c r="H3398" s="81"/>
      <c r="I3398" s="81"/>
      <c r="J3398" s="81"/>
      <c r="K3398" s="81"/>
      <c r="L3398" s="81"/>
      <c r="M3398" s="81"/>
      <c r="N3398" s="81"/>
    </row>
    <row r="3399" spans="1:14" ht="14.25" customHeight="1" x14ac:dyDescent="0.25">
      <c r="A3399" s="602" t="s">
        <v>561</v>
      </c>
      <c r="B3399" s="600"/>
      <c r="C3399" s="600"/>
      <c r="D3399" s="600"/>
      <c r="E3399" s="600"/>
      <c r="F3399" s="601"/>
      <c r="G3399" s="81"/>
      <c r="H3399" s="81"/>
      <c r="I3399" s="81"/>
      <c r="J3399" s="81"/>
      <c r="K3399" s="81"/>
      <c r="L3399" s="81"/>
      <c r="M3399" s="81"/>
      <c r="N3399" s="81"/>
    </row>
    <row r="3400" spans="1:14" ht="14.25" customHeight="1" thickBot="1" x14ac:dyDescent="0.3">
      <c r="A3400" s="603"/>
      <c r="B3400" s="604"/>
      <c r="C3400" s="604"/>
      <c r="D3400" s="604"/>
      <c r="E3400" s="604"/>
      <c r="F3400" s="605"/>
      <c r="G3400" s="81"/>
      <c r="H3400" s="81"/>
      <c r="I3400" s="81"/>
      <c r="J3400" s="81"/>
      <c r="K3400" s="81"/>
      <c r="L3400" s="81"/>
      <c r="M3400" s="81"/>
      <c r="N3400" s="81"/>
    </row>
    <row r="3401" spans="1:14" ht="14.25" customHeight="1" x14ac:dyDescent="0.25">
      <c r="A3401" s="88"/>
      <c r="B3401" s="88"/>
      <c r="C3401" s="89"/>
      <c r="D3401" s="89"/>
      <c r="E3401" s="89"/>
      <c r="F3401" s="89"/>
      <c r="G3401" s="81"/>
      <c r="H3401" s="81"/>
      <c r="I3401" s="81"/>
      <c r="J3401" s="81"/>
      <c r="K3401" s="81"/>
      <c r="L3401" s="81"/>
      <c r="M3401" s="81"/>
      <c r="N3401" s="81"/>
    </row>
    <row r="3402" spans="1:14" ht="27.75" customHeight="1" x14ac:dyDescent="0.25">
      <c r="A3402" s="90" t="s">
        <v>47</v>
      </c>
      <c r="B3402" s="613" t="s">
        <v>703</v>
      </c>
      <c r="C3402" s="600"/>
      <c r="D3402" s="600"/>
      <c r="E3402" s="600"/>
      <c r="F3402" s="600"/>
      <c r="G3402" s="81"/>
      <c r="H3402" s="81"/>
      <c r="I3402" s="81"/>
      <c r="J3402" s="81"/>
      <c r="K3402" s="81"/>
      <c r="L3402" s="81"/>
      <c r="M3402" s="81"/>
      <c r="N3402" s="81"/>
    </row>
    <row r="3403" spans="1:14" ht="14.25" customHeight="1" x14ac:dyDescent="0.25">
      <c r="A3403" s="91"/>
      <c r="B3403" s="91"/>
      <c r="C3403" s="91"/>
      <c r="D3403" s="91"/>
      <c r="E3403" s="91"/>
      <c r="F3403" s="91"/>
      <c r="G3403" s="81"/>
      <c r="H3403" s="81"/>
      <c r="I3403" s="81"/>
      <c r="J3403" s="81"/>
      <c r="K3403" s="81"/>
      <c r="L3403" s="81"/>
      <c r="M3403" s="81"/>
      <c r="N3403" s="81"/>
    </row>
    <row r="3404" spans="1:14" ht="14.25" customHeight="1" x14ac:dyDescent="0.25">
      <c r="A3404" s="88" t="s">
        <v>49</v>
      </c>
      <c r="B3404" s="92" t="s">
        <v>56</v>
      </c>
      <c r="C3404" s="89"/>
      <c r="D3404" s="89"/>
      <c r="E3404" s="89"/>
      <c r="F3404" s="93"/>
      <c r="G3404" s="81"/>
      <c r="H3404" s="81"/>
      <c r="I3404" s="81"/>
      <c r="J3404" s="81"/>
      <c r="K3404" s="81"/>
      <c r="L3404" s="81"/>
      <c r="M3404" s="81"/>
      <c r="N3404" s="81"/>
    </row>
    <row r="3405" spans="1:14" ht="14.25" customHeight="1" x14ac:dyDescent="0.25">
      <c r="A3405" s="88"/>
      <c r="B3405" s="94"/>
      <c r="C3405" s="89"/>
      <c r="D3405" s="89"/>
      <c r="E3405" s="89"/>
      <c r="F3405" s="93"/>
      <c r="G3405" s="81"/>
      <c r="H3405" s="81"/>
      <c r="I3405" s="81"/>
      <c r="J3405" s="81"/>
      <c r="K3405" s="81"/>
      <c r="L3405" s="81"/>
      <c r="M3405" s="81"/>
      <c r="N3405" s="81"/>
    </row>
    <row r="3406" spans="1:14" ht="14.25" customHeight="1" x14ac:dyDescent="0.25">
      <c r="A3406" s="95" t="s">
        <v>562</v>
      </c>
      <c r="B3406" s="96"/>
      <c r="C3406" s="92"/>
      <c r="D3406" s="92"/>
      <c r="E3406" s="92"/>
      <c r="F3406" s="92"/>
      <c r="G3406" s="81"/>
      <c r="H3406" s="81"/>
      <c r="I3406" s="81"/>
      <c r="J3406" s="81"/>
      <c r="K3406" s="81"/>
      <c r="L3406" s="81"/>
      <c r="M3406" s="81"/>
      <c r="N3406" s="81"/>
    </row>
    <row r="3407" spans="1:14" ht="14.25" customHeight="1" x14ac:dyDescent="0.25">
      <c r="A3407" s="97" t="s">
        <v>563</v>
      </c>
      <c r="B3407" s="98" t="s">
        <v>564</v>
      </c>
      <c r="C3407" s="98" t="s">
        <v>565</v>
      </c>
      <c r="D3407" s="98" t="s">
        <v>566</v>
      </c>
      <c r="E3407" s="98" t="s">
        <v>567</v>
      </c>
      <c r="F3407" s="98" t="s">
        <v>568</v>
      </c>
      <c r="G3407" s="81"/>
      <c r="H3407" s="81"/>
      <c r="I3407" s="81"/>
      <c r="J3407" s="81"/>
      <c r="K3407" s="81"/>
      <c r="L3407" s="81"/>
      <c r="M3407" s="81"/>
      <c r="N3407" s="81"/>
    </row>
    <row r="3408" spans="1:14" ht="38.25" x14ac:dyDescent="0.25">
      <c r="A3408" s="99" t="s">
        <v>704</v>
      </c>
      <c r="B3408" s="100" t="s">
        <v>99</v>
      </c>
      <c r="C3408" s="101">
        <v>129800</v>
      </c>
      <c r="D3408" s="149">
        <v>0.6</v>
      </c>
      <c r="E3408" s="102">
        <v>0.05</v>
      </c>
      <c r="F3408" s="101">
        <f t="shared" ref="F3408:F3411" si="184">C3408*(D3408+(D3408*E3408))</f>
        <v>81774</v>
      </c>
      <c r="G3408" s="81"/>
      <c r="H3408" s="81"/>
      <c r="I3408" s="81"/>
      <c r="J3408" s="81"/>
      <c r="K3408" s="81"/>
      <c r="L3408" s="81"/>
      <c r="M3408" s="81"/>
      <c r="N3408" s="81"/>
    </row>
    <row r="3409" spans="1:14" ht="25.5" x14ac:dyDescent="0.25">
      <c r="A3409" s="99" t="s">
        <v>705</v>
      </c>
      <c r="B3409" s="100" t="s">
        <v>117</v>
      </c>
      <c r="C3409" s="101">
        <v>35450</v>
      </c>
      <c r="D3409" s="149">
        <v>0.33</v>
      </c>
      <c r="E3409" s="102">
        <v>0.05</v>
      </c>
      <c r="F3409" s="101">
        <f t="shared" si="184"/>
        <v>12283.425000000001</v>
      </c>
      <c r="G3409" s="81"/>
      <c r="H3409" s="81"/>
      <c r="I3409" s="81"/>
      <c r="J3409" s="81"/>
      <c r="K3409" s="81"/>
      <c r="L3409" s="81"/>
      <c r="M3409" s="81"/>
      <c r="N3409" s="81"/>
    </row>
    <row r="3410" spans="1:14" ht="14.25" customHeight="1" x14ac:dyDescent="0.25">
      <c r="A3410" s="99"/>
      <c r="B3410" s="100"/>
      <c r="C3410" s="101"/>
      <c r="D3410" s="104"/>
      <c r="E3410" s="102"/>
      <c r="F3410" s="101">
        <f t="shared" si="184"/>
        <v>0</v>
      </c>
      <c r="G3410" s="81"/>
      <c r="H3410" s="81"/>
      <c r="I3410" s="81"/>
      <c r="J3410" s="81"/>
      <c r="K3410" s="81"/>
      <c r="L3410" s="81"/>
      <c r="M3410" s="81"/>
      <c r="N3410" s="81"/>
    </row>
    <row r="3411" spans="1:14" ht="14.25" customHeight="1" x14ac:dyDescent="0.25">
      <c r="A3411" s="99"/>
      <c r="B3411" s="100"/>
      <c r="C3411" s="101"/>
      <c r="D3411" s="149"/>
      <c r="E3411" s="102"/>
      <c r="F3411" s="101">
        <f t="shared" si="184"/>
        <v>0</v>
      </c>
      <c r="G3411" s="81"/>
      <c r="H3411" s="81"/>
      <c r="I3411" s="81"/>
      <c r="J3411" s="81"/>
      <c r="K3411" s="81"/>
      <c r="L3411" s="81"/>
      <c r="M3411" s="81"/>
      <c r="N3411" s="81"/>
    </row>
    <row r="3412" spans="1:14" ht="14.25" customHeight="1" x14ac:dyDescent="0.25">
      <c r="A3412" s="99"/>
      <c r="B3412" s="100"/>
      <c r="C3412" s="106"/>
      <c r="D3412" s="107"/>
      <c r="E3412" s="108"/>
      <c r="F3412" s="106"/>
      <c r="G3412" s="81"/>
      <c r="H3412" s="81"/>
      <c r="I3412" s="81"/>
      <c r="J3412" s="81"/>
      <c r="K3412" s="81"/>
      <c r="L3412" s="81"/>
      <c r="M3412" s="81"/>
      <c r="N3412" s="81"/>
    </row>
    <row r="3413" spans="1:14" ht="14.25" customHeight="1" x14ac:dyDescent="0.25">
      <c r="A3413" s="97" t="s">
        <v>548</v>
      </c>
      <c r="B3413" s="97"/>
      <c r="C3413" s="109"/>
      <c r="D3413" s="110"/>
      <c r="E3413" s="111"/>
      <c r="F3413" s="112">
        <f>SUM(F3408:F3412)</f>
        <v>94057.425000000003</v>
      </c>
      <c r="G3413" s="81"/>
      <c r="H3413" s="81"/>
      <c r="I3413" s="81"/>
      <c r="J3413" s="81"/>
      <c r="K3413" s="81"/>
      <c r="L3413" s="81"/>
      <c r="M3413" s="81"/>
      <c r="N3413" s="81"/>
    </row>
    <row r="3414" spans="1:14" ht="14.25" customHeight="1" x14ac:dyDescent="0.25">
      <c r="A3414" s="88"/>
      <c r="B3414" s="88"/>
      <c r="C3414" s="113"/>
      <c r="D3414" s="113"/>
      <c r="E3414" s="114"/>
      <c r="F3414" s="113"/>
      <c r="G3414" s="81"/>
      <c r="H3414" s="81"/>
      <c r="I3414" s="81"/>
      <c r="J3414" s="81"/>
      <c r="K3414" s="81"/>
      <c r="L3414" s="81"/>
      <c r="M3414" s="81"/>
      <c r="N3414" s="81"/>
    </row>
    <row r="3415" spans="1:14" ht="14.25" customHeight="1" x14ac:dyDescent="0.25">
      <c r="A3415" s="96" t="s">
        <v>573</v>
      </c>
      <c r="B3415" s="96"/>
      <c r="C3415" s="92"/>
      <c r="D3415" s="92"/>
      <c r="E3415" s="92"/>
      <c r="F3415" s="92"/>
      <c r="G3415" s="81"/>
      <c r="H3415" s="81"/>
      <c r="I3415" s="81"/>
      <c r="J3415" s="81"/>
      <c r="K3415" s="81"/>
      <c r="L3415" s="81"/>
      <c r="M3415" s="81"/>
      <c r="N3415" s="81"/>
    </row>
    <row r="3416" spans="1:14" ht="14.25" customHeight="1" x14ac:dyDescent="0.25">
      <c r="A3416" s="611" t="s">
        <v>563</v>
      </c>
      <c r="B3416" s="608"/>
      <c r="C3416" s="609"/>
      <c r="D3416" s="98" t="s">
        <v>574</v>
      </c>
      <c r="E3416" s="98" t="s">
        <v>575</v>
      </c>
      <c r="F3416" s="98" t="s">
        <v>568</v>
      </c>
      <c r="G3416" s="81"/>
      <c r="H3416" s="81"/>
      <c r="I3416" s="81"/>
      <c r="J3416" s="81"/>
      <c r="K3416" s="81"/>
      <c r="L3416" s="81"/>
      <c r="M3416" s="81"/>
      <c r="N3416" s="81"/>
    </row>
    <row r="3417" spans="1:14" ht="14.25" customHeight="1" x14ac:dyDescent="0.25">
      <c r="A3417" s="607" t="s">
        <v>577</v>
      </c>
      <c r="B3417" s="608"/>
      <c r="C3417" s="609"/>
      <c r="D3417" s="116"/>
      <c r="E3417" s="107"/>
      <c r="F3417" s="106">
        <v>1082</v>
      </c>
      <c r="G3417" s="81"/>
      <c r="H3417" s="81"/>
      <c r="I3417" s="81"/>
      <c r="J3417" s="81"/>
      <c r="K3417" s="81"/>
      <c r="L3417" s="81"/>
      <c r="M3417" s="81"/>
      <c r="N3417" s="81"/>
    </row>
    <row r="3418" spans="1:14" ht="14.25" customHeight="1" x14ac:dyDescent="0.25">
      <c r="A3418" s="607" t="s">
        <v>657</v>
      </c>
      <c r="B3418" s="608"/>
      <c r="C3418" s="609"/>
      <c r="D3418" s="142">
        <v>1850</v>
      </c>
      <c r="E3418" s="107">
        <v>0.6</v>
      </c>
      <c r="F3418" s="106">
        <f t="shared" ref="F3418:F3420" si="185">D3418/E3418</f>
        <v>3083.3333333333335</v>
      </c>
      <c r="G3418" s="81"/>
      <c r="H3418" s="81"/>
      <c r="I3418" s="81"/>
      <c r="J3418" s="81"/>
      <c r="K3418" s="81"/>
      <c r="L3418" s="81"/>
      <c r="M3418" s="81"/>
      <c r="N3418" s="81"/>
    </row>
    <row r="3419" spans="1:14" ht="14.25" customHeight="1" x14ac:dyDescent="0.25">
      <c r="A3419" s="607" t="s">
        <v>639</v>
      </c>
      <c r="B3419" s="608"/>
      <c r="C3419" s="609"/>
      <c r="D3419" s="142">
        <v>5150</v>
      </c>
      <c r="E3419" s="107">
        <v>3</v>
      </c>
      <c r="F3419" s="106">
        <f t="shared" si="185"/>
        <v>1716.6666666666667</v>
      </c>
      <c r="G3419" s="81"/>
      <c r="H3419" s="81"/>
      <c r="I3419" s="81"/>
      <c r="J3419" s="81"/>
      <c r="K3419" s="81"/>
      <c r="L3419" s="81"/>
      <c r="M3419" s="81"/>
      <c r="N3419" s="81"/>
    </row>
    <row r="3420" spans="1:14" ht="14.25" customHeight="1" x14ac:dyDescent="0.25">
      <c r="A3420" s="607" t="s">
        <v>702</v>
      </c>
      <c r="B3420" s="608"/>
      <c r="C3420" s="609"/>
      <c r="D3420" s="142">
        <v>3250</v>
      </c>
      <c r="E3420" s="107">
        <v>3</v>
      </c>
      <c r="F3420" s="106">
        <f t="shared" si="185"/>
        <v>1083.3333333333333</v>
      </c>
      <c r="G3420" s="81"/>
      <c r="H3420" s="81"/>
      <c r="I3420" s="81"/>
      <c r="J3420" s="81"/>
      <c r="K3420" s="81"/>
      <c r="L3420" s="81"/>
      <c r="M3420" s="81"/>
      <c r="N3420" s="81"/>
    </row>
    <row r="3421" spans="1:14" ht="14.25" customHeight="1" x14ac:dyDescent="0.25">
      <c r="A3421" s="610"/>
      <c r="B3421" s="608"/>
      <c r="C3421" s="609"/>
      <c r="D3421" s="115"/>
      <c r="E3421" s="107"/>
      <c r="F3421" s="106"/>
      <c r="G3421" s="81"/>
      <c r="H3421" s="81"/>
      <c r="I3421" s="81"/>
      <c r="J3421" s="81"/>
      <c r="K3421" s="81"/>
      <c r="L3421" s="81"/>
      <c r="M3421" s="81"/>
      <c r="N3421" s="81"/>
    </row>
    <row r="3422" spans="1:14" ht="14.25" customHeight="1" x14ac:dyDescent="0.25">
      <c r="A3422" s="611" t="s">
        <v>548</v>
      </c>
      <c r="B3422" s="608"/>
      <c r="C3422" s="609"/>
      <c r="D3422" s="110"/>
      <c r="E3422" s="110"/>
      <c r="F3422" s="112">
        <f>SUM(F3417:F3420)</f>
        <v>6965.3333333333339</v>
      </c>
      <c r="G3422" s="81"/>
      <c r="H3422" s="81"/>
      <c r="I3422" s="81"/>
      <c r="J3422" s="81"/>
      <c r="K3422" s="81"/>
      <c r="L3422" s="81"/>
      <c r="M3422" s="81"/>
      <c r="N3422" s="81"/>
    </row>
    <row r="3423" spans="1:14" ht="14.25" customHeight="1" x14ac:dyDescent="0.25">
      <c r="A3423" s="88"/>
      <c r="B3423" s="88"/>
      <c r="C3423" s="89"/>
      <c r="D3423" s="113"/>
      <c r="E3423" s="113"/>
      <c r="F3423" s="113"/>
      <c r="G3423" s="81"/>
      <c r="H3423" s="81"/>
      <c r="I3423" s="81"/>
      <c r="J3423" s="81"/>
      <c r="K3423" s="81"/>
      <c r="L3423" s="81"/>
      <c r="M3423" s="81"/>
      <c r="N3423" s="81"/>
    </row>
    <row r="3424" spans="1:14" ht="14.25" customHeight="1" x14ac:dyDescent="0.25">
      <c r="A3424" s="96" t="s">
        <v>578</v>
      </c>
      <c r="B3424" s="96"/>
      <c r="C3424" s="92"/>
      <c r="D3424" s="118"/>
      <c r="E3424" s="118"/>
      <c r="F3424" s="118"/>
      <c r="G3424" s="81"/>
      <c r="H3424" s="81"/>
      <c r="I3424" s="81"/>
      <c r="J3424" s="81"/>
      <c r="K3424" s="81"/>
      <c r="L3424" s="81"/>
      <c r="M3424" s="81"/>
      <c r="N3424" s="81"/>
    </row>
    <row r="3425" spans="1:14" ht="14.25" customHeight="1" x14ac:dyDescent="0.25">
      <c r="A3425" s="119" t="s">
        <v>563</v>
      </c>
      <c r="B3425" s="120" t="s">
        <v>579</v>
      </c>
      <c r="C3425" s="120" t="s">
        <v>580</v>
      </c>
      <c r="D3425" s="121" t="s">
        <v>581</v>
      </c>
      <c r="E3425" s="121" t="s">
        <v>575</v>
      </c>
      <c r="F3425" s="121" t="s">
        <v>568</v>
      </c>
      <c r="G3425" s="81"/>
      <c r="H3425" s="81"/>
      <c r="I3425" s="81"/>
      <c r="J3425" s="81"/>
      <c r="K3425" s="81"/>
      <c r="L3425" s="81"/>
      <c r="M3425" s="81"/>
      <c r="N3425" s="81"/>
    </row>
    <row r="3426" spans="1:14" ht="14.25" customHeight="1" x14ac:dyDescent="0.25">
      <c r="A3426" s="122" t="s">
        <v>593</v>
      </c>
      <c r="B3426" s="127">
        <v>1</v>
      </c>
      <c r="C3426" s="101">
        <v>32688</v>
      </c>
      <c r="D3426" s="101">
        <f t="shared" ref="D3426:D3427" si="186">+C3426*1.7</f>
        <v>55569.599999999999</v>
      </c>
      <c r="E3426" s="107">
        <v>5</v>
      </c>
      <c r="F3426" s="106">
        <f t="shared" ref="F3426:F3427" si="187">+B3426*(D3426)/E3426</f>
        <v>11113.92</v>
      </c>
      <c r="G3426" s="81"/>
      <c r="H3426" s="81"/>
      <c r="I3426" s="81"/>
      <c r="J3426" s="81"/>
      <c r="K3426" s="81"/>
      <c r="L3426" s="81"/>
      <c r="M3426" s="81"/>
      <c r="N3426" s="81"/>
    </row>
    <row r="3427" spans="1:14" ht="14.25" customHeight="1" x14ac:dyDescent="0.25">
      <c r="A3427" s="122" t="s">
        <v>594</v>
      </c>
      <c r="B3427" s="127">
        <v>1</v>
      </c>
      <c r="C3427" s="101">
        <v>52538</v>
      </c>
      <c r="D3427" s="101">
        <f t="shared" si="186"/>
        <v>89314.599999999991</v>
      </c>
      <c r="E3427" s="107">
        <f>E3426</f>
        <v>5</v>
      </c>
      <c r="F3427" s="106">
        <f t="shared" si="187"/>
        <v>17862.919999999998</v>
      </c>
      <c r="G3427" s="81"/>
      <c r="H3427" s="81"/>
      <c r="I3427" s="81"/>
      <c r="J3427" s="81"/>
      <c r="K3427" s="81"/>
      <c r="L3427" s="81"/>
      <c r="M3427" s="81"/>
      <c r="N3427" s="81"/>
    </row>
    <row r="3428" spans="1:14" ht="14.25" customHeight="1" x14ac:dyDescent="0.25">
      <c r="A3428" s="122"/>
      <c r="B3428" s="127"/>
      <c r="C3428" s="101"/>
      <c r="D3428" s="101"/>
      <c r="E3428" s="105"/>
      <c r="F3428" s="106"/>
      <c r="G3428" s="81"/>
      <c r="H3428" s="81"/>
      <c r="I3428" s="81"/>
      <c r="J3428" s="81"/>
      <c r="K3428" s="81"/>
      <c r="L3428" s="81"/>
      <c r="M3428" s="81"/>
      <c r="N3428" s="81"/>
    </row>
    <row r="3429" spans="1:14" ht="14.25" customHeight="1" x14ac:dyDescent="0.25">
      <c r="A3429" s="122"/>
      <c r="B3429" s="127"/>
      <c r="C3429" s="101"/>
      <c r="D3429" s="101"/>
      <c r="E3429" s="125"/>
      <c r="F3429" s="106"/>
      <c r="G3429" s="81"/>
      <c r="H3429" s="81"/>
      <c r="I3429" s="81"/>
      <c r="J3429" s="81"/>
      <c r="K3429" s="81"/>
      <c r="L3429" s="81"/>
      <c r="M3429" s="81"/>
      <c r="N3429" s="81"/>
    </row>
    <row r="3430" spans="1:14" ht="14.25" customHeight="1" x14ac:dyDescent="0.25">
      <c r="A3430" s="97" t="s">
        <v>548</v>
      </c>
      <c r="B3430" s="128"/>
      <c r="C3430" s="110"/>
      <c r="D3430" s="110"/>
      <c r="E3430" s="110"/>
      <c r="F3430" s="112">
        <f>SUM(F3426:F3429)</f>
        <v>28976.839999999997</v>
      </c>
      <c r="G3430" s="81"/>
      <c r="H3430" s="81"/>
      <c r="I3430" s="81"/>
      <c r="J3430" s="81"/>
      <c r="K3430" s="81"/>
      <c r="L3430" s="81"/>
      <c r="M3430" s="81"/>
      <c r="N3430" s="81"/>
    </row>
    <row r="3431" spans="1:14" ht="14.25" customHeight="1" x14ac:dyDescent="0.25">
      <c r="A3431" s="96"/>
      <c r="B3431" s="129"/>
      <c r="C3431" s="118"/>
      <c r="D3431" s="118"/>
      <c r="E3431" s="118"/>
      <c r="F3431" s="118"/>
      <c r="G3431" s="81"/>
      <c r="H3431" s="81"/>
      <c r="I3431" s="81"/>
      <c r="J3431" s="81"/>
      <c r="K3431" s="81"/>
      <c r="L3431" s="81"/>
      <c r="M3431" s="81"/>
      <c r="N3431" s="81"/>
    </row>
    <row r="3432" spans="1:14" ht="14.25" customHeight="1" x14ac:dyDescent="0.25">
      <c r="A3432" s="95" t="s">
        <v>583</v>
      </c>
      <c r="B3432" s="96"/>
      <c r="C3432" s="92"/>
      <c r="D3432" s="92"/>
      <c r="E3432" s="92" t="s">
        <v>584</v>
      </c>
      <c r="F3432" s="92"/>
      <c r="G3432" s="81"/>
      <c r="H3432" s="81"/>
      <c r="I3432" s="81"/>
      <c r="J3432" s="81"/>
      <c r="K3432" s="81"/>
      <c r="L3432" s="81"/>
      <c r="M3432" s="81"/>
      <c r="N3432" s="81"/>
    </row>
    <row r="3433" spans="1:14" ht="14.25" customHeight="1" x14ac:dyDescent="0.25">
      <c r="A3433" s="97" t="s">
        <v>563</v>
      </c>
      <c r="B3433" s="98" t="s">
        <v>564</v>
      </c>
      <c r="C3433" s="98" t="s">
        <v>585</v>
      </c>
      <c r="D3433" s="98" t="s">
        <v>586</v>
      </c>
      <c r="E3433" s="120" t="s">
        <v>587</v>
      </c>
      <c r="F3433" s="98" t="s">
        <v>568</v>
      </c>
      <c r="G3433" s="81"/>
      <c r="H3433" s="81"/>
      <c r="I3433" s="81"/>
      <c r="J3433" s="81"/>
      <c r="K3433" s="81"/>
      <c r="L3433" s="81"/>
      <c r="M3433" s="81"/>
      <c r="N3433" s="81"/>
    </row>
    <row r="3434" spans="1:14" ht="14.25" customHeight="1" x14ac:dyDescent="0.25">
      <c r="A3434" s="103"/>
      <c r="B3434" s="100"/>
      <c r="C3434" s="101"/>
      <c r="D3434" s="140"/>
      <c r="E3434" s="107"/>
      <c r="F3434" s="109"/>
      <c r="G3434" s="81"/>
      <c r="H3434" s="81"/>
      <c r="I3434" s="81"/>
      <c r="J3434" s="81"/>
      <c r="K3434" s="81"/>
      <c r="L3434" s="81"/>
      <c r="M3434" s="81"/>
      <c r="N3434" s="81"/>
    </row>
    <row r="3435" spans="1:14" ht="14.25" customHeight="1" x14ac:dyDescent="0.25">
      <c r="A3435" s="103"/>
      <c r="B3435" s="100"/>
      <c r="C3435" s="107"/>
      <c r="D3435" s="107"/>
      <c r="E3435" s="108"/>
      <c r="F3435" s="109"/>
      <c r="G3435" s="81"/>
      <c r="H3435" s="81"/>
      <c r="I3435" s="81"/>
      <c r="J3435" s="81"/>
      <c r="K3435" s="81"/>
      <c r="L3435" s="81"/>
      <c r="M3435" s="81"/>
      <c r="N3435" s="81"/>
    </row>
    <row r="3436" spans="1:14" ht="14.25" customHeight="1" x14ac:dyDescent="0.25">
      <c r="A3436" s="97" t="s">
        <v>548</v>
      </c>
      <c r="B3436" s="98"/>
      <c r="C3436" s="110"/>
      <c r="D3436" s="110"/>
      <c r="E3436" s="111"/>
      <c r="F3436" s="112">
        <f>SUM(F3434:F3435)</f>
        <v>0</v>
      </c>
      <c r="G3436" s="81"/>
      <c r="H3436" s="81"/>
      <c r="I3436" s="81"/>
      <c r="J3436" s="81"/>
      <c r="K3436" s="81"/>
      <c r="L3436" s="81"/>
      <c r="M3436" s="81"/>
      <c r="N3436" s="81"/>
    </row>
    <row r="3437" spans="1:14" ht="14.25" customHeight="1" x14ac:dyDescent="0.25">
      <c r="A3437" s="88"/>
      <c r="B3437" s="89"/>
      <c r="C3437" s="113"/>
      <c r="D3437" s="113"/>
      <c r="E3437" s="114"/>
      <c r="F3437" s="113"/>
      <c r="G3437" s="81"/>
      <c r="H3437" s="81"/>
      <c r="I3437" s="81"/>
      <c r="J3437" s="81"/>
      <c r="K3437" s="81"/>
      <c r="L3437" s="81"/>
      <c r="M3437" s="81"/>
      <c r="N3437" s="81"/>
    </row>
    <row r="3438" spans="1:14" ht="14.25" customHeight="1" x14ac:dyDescent="0.25">
      <c r="A3438" s="88"/>
      <c r="B3438" s="89"/>
      <c r="C3438" s="113"/>
      <c r="D3438" s="113"/>
      <c r="E3438" s="114"/>
      <c r="F3438" s="113"/>
      <c r="G3438" s="81"/>
      <c r="H3438" s="81"/>
      <c r="I3438" s="81"/>
      <c r="J3438" s="81"/>
      <c r="K3438" s="81"/>
      <c r="L3438" s="81"/>
      <c r="M3438" s="81"/>
      <c r="N3438" s="81"/>
    </row>
    <row r="3439" spans="1:14" ht="14.25" customHeight="1" x14ac:dyDescent="0.25">
      <c r="A3439" s="612" t="s">
        <v>588</v>
      </c>
      <c r="B3439" s="608"/>
      <c r="C3439" s="608"/>
      <c r="D3439" s="608"/>
      <c r="E3439" s="609"/>
      <c r="F3439" s="131">
        <f>ROUND(F3413+F3422+F3430+F3436,0)</f>
        <v>130000</v>
      </c>
      <c r="G3439" s="81"/>
      <c r="H3439" s="117">
        <f>130000-F3439</f>
        <v>0</v>
      </c>
      <c r="I3439" s="81"/>
      <c r="J3439" s="81"/>
      <c r="K3439" s="81"/>
      <c r="L3439" s="81"/>
      <c r="M3439" s="81"/>
      <c r="N3439" s="81"/>
    </row>
    <row r="3440" spans="1:14" ht="14.25" customHeight="1" x14ac:dyDescent="0.25">
      <c r="A3440" s="612" t="s">
        <v>589</v>
      </c>
      <c r="B3440" s="608"/>
      <c r="C3440" s="608"/>
      <c r="D3440" s="608"/>
      <c r="E3440" s="609"/>
      <c r="F3440" s="132"/>
      <c r="G3440" s="81"/>
      <c r="H3440" s="81"/>
      <c r="I3440" s="81"/>
      <c r="J3440" s="81"/>
      <c r="K3440" s="81"/>
      <c r="L3440" s="81"/>
      <c r="M3440" s="81"/>
      <c r="N3440" s="81"/>
    </row>
    <row r="3441" spans="1:14" ht="14.25" customHeight="1" x14ac:dyDescent="0.25">
      <c r="A3441" s="146" t="s">
        <v>556</v>
      </c>
      <c r="B3441" s="147"/>
      <c r="C3441" s="147"/>
      <c r="D3441" s="147"/>
      <c r="E3441" s="148"/>
      <c r="F3441" s="133"/>
      <c r="G3441" s="81"/>
      <c r="H3441" s="81"/>
      <c r="I3441" s="81"/>
      <c r="J3441" s="81"/>
      <c r="K3441" s="81"/>
      <c r="L3441" s="81"/>
      <c r="M3441" s="81"/>
      <c r="N3441" s="81"/>
    </row>
    <row r="3442" spans="1:14" ht="14.25" customHeight="1" x14ac:dyDescent="0.25">
      <c r="A3442" s="134"/>
      <c r="B3442" s="135"/>
      <c r="C3442" s="135"/>
      <c r="D3442" s="135"/>
      <c r="E3442" s="135"/>
      <c r="F3442" s="136"/>
      <c r="G3442" s="81"/>
      <c r="H3442" s="81"/>
      <c r="I3442" s="81"/>
      <c r="J3442" s="81"/>
      <c r="K3442" s="81"/>
      <c r="L3442" s="81"/>
      <c r="M3442" s="81"/>
      <c r="N3442" s="81"/>
    </row>
    <row r="3443" spans="1:14" ht="14.25" customHeight="1" x14ac:dyDescent="0.25">
      <c r="A3443" s="81"/>
      <c r="B3443" s="81"/>
      <c r="C3443" s="137"/>
      <c r="D3443" s="81"/>
      <c r="E3443" s="81"/>
      <c r="F3443" s="81"/>
      <c r="G3443" s="81"/>
      <c r="H3443" s="81"/>
      <c r="I3443" s="81"/>
      <c r="J3443" s="81"/>
      <c r="K3443" s="81"/>
      <c r="L3443" s="81"/>
      <c r="M3443" s="81"/>
      <c r="N3443" s="81"/>
    </row>
    <row r="3444" spans="1:14" ht="14.25" customHeight="1" x14ac:dyDescent="0.25">
      <c r="A3444" s="81"/>
      <c r="B3444" s="81"/>
      <c r="C3444" s="137"/>
      <c r="D3444" s="81"/>
      <c r="E3444" s="81"/>
      <c r="F3444" s="81"/>
      <c r="G3444" s="81"/>
      <c r="H3444" s="81"/>
      <c r="I3444" s="81"/>
      <c r="J3444" s="81"/>
      <c r="K3444" s="81"/>
      <c r="L3444" s="81"/>
      <c r="M3444" s="81"/>
      <c r="N3444" s="81"/>
    </row>
    <row r="3445" spans="1:14" ht="14.25" customHeight="1" x14ac:dyDescent="0.25">
      <c r="A3445" s="81"/>
      <c r="B3445" s="81"/>
      <c r="C3445" s="137"/>
      <c r="D3445" s="81"/>
      <c r="E3445" s="81"/>
      <c r="F3445" s="81"/>
      <c r="G3445" s="81"/>
      <c r="H3445" s="81"/>
      <c r="I3445" s="81"/>
      <c r="J3445" s="81"/>
      <c r="K3445" s="81"/>
      <c r="L3445" s="81"/>
      <c r="M3445" s="81"/>
      <c r="N3445" s="81"/>
    </row>
    <row r="3446" spans="1:14" ht="14.25" customHeight="1" x14ac:dyDescent="0.25">
      <c r="A3446" s="81"/>
      <c r="B3446" s="81"/>
      <c r="C3446" s="137"/>
      <c r="D3446" s="81"/>
      <c r="E3446" s="81"/>
      <c r="F3446" s="81"/>
      <c r="G3446" s="81"/>
      <c r="H3446" s="81"/>
      <c r="I3446" s="81"/>
      <c r="J3446" s="81"/>
      <c r="K3446" s="81"/>
      <c r="L3446" s="81"/>
      <c r="M3446" s="81"/>
      <c r="N3446" s="81"/>
    </row>
    <row r="3447" spans="1:14" ht="14.25" customHeight="1" x14ac:dyDescent="0.25">
      <c r="A3447" s="81"/>
      <c r="B3447" s="81"/>
      <c r="C3447" s="137"/>
      <c r="D3447" s="81"/>
      <c r="E3447" s="81"/>
      <c r="F3447" s="81"/>
      <c r="G3447" s="81"/>
      <c r="H3447" s="81"/>
      <c r="I3447" s="81"/>
      <c r="J3447" s="81"/>
      <c r="K3447" s="81"/>
      <c r="L3447" s="81"/>
      <c r="M3447" s="81"/>
      <c r="N3447" s="81"/>
    </row>
    <row r="3448" spans="1:14" ht="14.25" customHeight="1" x14ac:dyDescent="0.25">
      <c r="A3448" s="81"/>
      <c r="B3448" s="81"/>
      <c r="C3448" s="137"/>
      <c r="D3448" s="81"/>
      <c r="E3448" s="81"/>
      <c r="F3448" s="81"/>
      <c r="G3448" s="81"/>
      <c r="H3448" s="81"/>
      <c r="I3448" s="81"/>
      <c r="J3448" s="81"/>
      <c r="K3448" s="81"/>
      <c r="L3448" s="81"/>
      <c r="M3448" s="81"/>
      <c r="N3448" s="81"/>
    </row>
    <row r="3449" spans="1:14" ht="14.25" customHeight="1" x14ac:dyDescent="0.25">
      <c r="A3449" s="134"/>
      <c r="B3449" s="135"/>
      <c r="C3449" s="135"/>
      <c r="D3449" s="135"/>
      <c r="E3449" s="135"/>
      <c r="F3449" s="136"/>
      <c r="G3449" s="81"/>
      <c r="H3449" s="81"/>
      <c r="I3449" s="81"/>
      <c r="J3449" s="81"/>
      <c r="K3449" s="81"/>
      <c r="L3449" s="81"/>
      <c r="M3449" s="81"/>
      <c r="N3449" s="81"/>
    </row>
    <row r="3450" spans="1:14" ht="14.25" customHeight="1" x14ac:dyDescent="0.25">
      <c r="A3450" s="134"/>
      <c r="B3450" s="135"/>
      <c r="C3450" s="135"/>
      <c r="D3450" s="135"/>
      <c r="E3450" s="135"/>
      <c r="F3450" s="136"/>
      <c r="G3450" s="81"/>
      <c r="H3450" s="81"/>
      <c r="I3450" s="81"/>
      <c r="J3450" s="81"/>
      <c r="K3450" s="81"/>
      <c r="L3450" s="81"/>
      <c r="M3450" s="81"/>
      <c r="N3450" s="81"/>
    </row>
    <row r="3451" spans="1:14" ht="14.25" customHeight="1" x14ac:dyDescent="0.25">
      <c r="A3451" s="134"/>
      <c r="B3451" s="135"/>
      <c r="C3451" s="135"/>
      <c r="D3451" s="135"/>
      <c r="E3451" s="135"/>
      <c r="F3451" s="136"/>
      <c r="G3451" s="81"/>
      <c r="H3451" s="81"/>
      <c r="I3451" s="81"/>
      <c r="J3451" s="81"/>
      <c r="K3451" s="81"/>
      <c r="L3451" s="81"/>
      <c r="M3451" s="81"/>
      <c r="N3451" s="81"/>
    </row>
    <row r="3452" spans="1:14" ht="14.25" customHeight="1" thickBot="1" x14ac:dyDescent="0.3">
      <c r="A3452" s="81"/>
      <c r="B3452" s="81"/>
      <c r="C3452" s="81"/>
      <c r="D3452" s="81"/>
      <c r="E3452" s="81"/>
      <c r="F3452" s="81"/>
      <c r="G3452" s="81"/>
      <c r="H3452" s="81"/>
      <c r="I3452" s="81"/>
      <c r="J3452" s="81"/>
      <c r="K3452" s="81"/>
      <c r="L3452" s="81"/>
      <c r="M3452" s="81"/>
      <c r="N3452" s="81"/>
    </row>
    <row r="3453" spans="1:14" ht="14.25" customHeight="1" x14ac:dyDescent="0.25">
      <c r="A3453" s="83"/>
      <c r="B3453" s="84"/>
      <c r="C3453" s="85"/>
      <c r="D3453" s="86"/>
      <c r="E3453" s="86"/>
      <c r="F3453" s="87"/>
      <c r="G3453" s="81"/>
      <c r="H3453" s="81"/>
      <c r="I3453" s="81"/>
      <c r="J3453" s="81"/>
      <c r="K3453" s="81"/>
      <c r="L3453" s="81"/>
      <c r="M3453" s="81"/>
      <c r="N3453" s="81"/>
    </row>
    <row r="3454" spans="1:14" ht="14.25" customHeight="1" x14ac:dyDescent="0.25">
      <c r="A3454" s="599"/>
      <c r="B3454" s="600"/>
      <c r="C3454" s="600"/>
      <c r="D3454" s="600"/>
      <c r="E3454" s="600"/>
      <c r="F3454" s="601"/>
      <c r="G3454" s="81"/>
      <c r="H3454" s="81"/>
      <c r="I3454" s="81"/>
      <c r="J3454" s="81"/>
      <c r="K3454" s="81"/>
      <c r="L3454" s="81"/>
      <c r="M3454" s="81"/>
      <c r="N3454" s="81"/>
    </row>
    <row r="3455" spans="1:14" ht="14.25" customHeight="1" x14ac:dyDescent="0.25">
      <c r="A3455" s="602" t="s">
        <v>561</v>
      </c>
      <c r="B3455" s="600"/>
      <c r="C3455" s="600"/>
      <c r="D3455" s="600"/>
      <c r="E3455" s="600"/>
      <c r="F3455" s="601"/>
      <c r="G3455" s="81"/>
      <c r="H3455" s="81"/>
      <c r="I3455" s="81"/>
      <c r="J3455" s="81"/>
      <c r="K3455" s="81"/>
      <c r="L3455" s="81"/>
      <c r="M3455" s="81"/>
      <c r="N3455" s="81"/>
    </row>
    <row r="3456" spans="1:14" ht="14.25" customHeight="1" thickBot="1" x14ac:dyDescent="0.3">
      <c r="A3456" s="603"/>
      <c r="B3456" s="604"/>
      <c r="C3456" s="604"/>
      <c r="D3456" s="604"/>
      <c r="E3456" s="604"/>
      <c r="F3456" s="605"/>
      <c r="G3456" s="81"/>
      <c r="H3456" s="81"/>
      <c r="I3456" s="81"/>
      <c r="J3456" s="81"/>
      <c r="K3456" s="81"/>
      <c r="L3456" s="81"/>
      <c r="M3456" s="81"/>
      <c r="N3456" s="81"/>
    </row>
    <row r="3457" spans="1:14" ht="14.25" customHeight="1" x14ac:dyDescent="0.25">
      <c r="A3457" s="88"/>
      <c r="B3457" s="88"/>
      <c r="C3457" s="89"/>
      <c r="D3457" s="89"/>
      <c r="E3457" s="89"/>
      <c r="F3457" s="89"/>
      <c r="G3457" s="81"/>
      <c r="H3457" s="81"/>
      <c r="I3457" s="81"/>
      <c r="J3457" s="81"/>
      <c r="K3457" s="81"/>
      <c r="L3457" s="81"/>
      <c r="M3457" s="81"/>
      <c r="N3457" s="81"/>
    </row>
    <row r="3458" spans="1:14" ht="26.25" customHeight="1" x14ac:dyDescent="0.25">
      <c r="A3458" s="90" t="s">
        <v>47</v>
      </c>
      <c r="B3458" s="613" t="s">
        <v>175</v>
      </c>
      <c r="C3458" s="600"/>
      <c r="D3458" s="600"/>
      <c r="E3458" s="600"/>
      <c r="F3458" s="600"/>
      <c r="G3458" s="81"/>
      <c r="H3458" s="81"/>
      <c r="I3458" s="81"/>
      <c r="J3458" s="81"/>
      <c r="K3458" s="81"/>
      <c r="L3458" s="81"/>
      <c r="M3458" s="81"/>
      <c r="N3458" s="81"/>
    </row>
    <row r="3459" spans="1:14" ht="14.25" customHeight="1" x14ac:dyDescent="0.25">
      <c r="A3459" s="91"/>
      <c r="B3459" s="91"/>
      <c r="C3459" s="91"/>
      <c r="D3459" s="91"/>
      <c r="E3459" s="91"/>
      <c r="F3459" s="91"/>
      <c r="G3459" s="81"/>
      <c r="H3459" s="81"/>
      <c r="I3459" s="81"/>
      <c r="J3459" s="81"/>
      <c r="K3459" s="81"/>
      <c r="L3459" s="81"/>
      <c r="M3459" s="81"/>
      <c r="N3459" s="81"/>
    </row>
    <row r="3460" spans="1:14" ht="14.25" customHeight="1" x14ac:dyDescent="0.25">
      <c r="A3460" s="88" t="s">
        <v>49</v>
      </c>
      <c r="B3460" s="92" t="s">
        <v>56</v>
      </c>
      <c r="C3460" s="89"/>
      <c r="D3460" s="89"/>
      <c r="E3460" s="89"/>
      <c r="F3460" s="93"/>
      <c r="G3460" s="81"/>
      <c r="H3460" s="81"/>
      <c r="I3460" s="81"/>
      <c r="J3460" s="81"/>
      <c r="K3460" s="81"/>
      <c r="L3460" s="81"/>
      <c r="M3460" s="81"/>
      <c r="N3460" s="81"/>
    </row>
    <row r="3461" spans="1:14" ht="14.25" customHeight="1" x14ac:dyDescent="0.25">
      <c r="A3461" s="88"/>
      <c r="B3461" s="94"/>
      <c r="C3461" s="89"/>
      <c r="D3461" s="89"/>
      <c r="E3461" s="89"/>
      <c r="F3461" s="93"/>
      <c r="G3461" s="81"/>
      <c r="H3461" s="81"/>
      <c r="I3461" s="81"/>
      <c r="J3461" s="81"/>
      <c r="K3461" s="81"/>
      <c r="L3461" s="81"/>
      <c r="M3461" s="81"/>
      <c r="N3461" s="81"/>
    </row>
    <row r="3462" spans="1:14" ht="14.25" customHeight="1" x14ac:dyDescent="0.25">
      <c r="A3462" s="95" t="s">
        <v>562</v>
      </c>
      <c r="B3462" s="96"/>
      <c r="C3462" s="92"/>
      <c r="D3462" s="92"/>
      <c r="E3462" s="92"/>
      <c r="F3462" s="92"/>
      <c r="G3462" s="81"/>
      <c r="H3462" s="81"/>
      <c r="I3462" s="81"/>
      <c r="J3462" s="81"/>
      <c r="K3462" s="81"/>
      <c r="L3462" s="81"/>
      <c r="M3462" s="81"/>
      <c r="N3462" s="81"/>
    </row>
    <row r="3463" spans="1:14" ht="14.25" customHeight="1" x14ac:dyDescent="0.25">
      <c r="A3463" s="97" t="s">
        <v>563</v>
      </c>
      <c r="B3463" s="98" t="s">
        <v>564</v>
      </c>
      <c r="C3463" s="98" t="s">
        <v>565</v>
      </c>
      <c r="D3463" s="98" t="s">
        <v>566</v>
      </c>
      <c r="E3463" s="98" t="s">
        <v>567</v>
      </c>
      <c r="F3463" s="98" t="s">
        <v>568</v>
      </c>
      <c r="G3463" s="81"/>
      <c r="H3463" s="81"/>
      <c r="I3463" s="81"/>
      <c r="J3463" s="81"/>
      <c r="K3463" s="81"/>
      <c r="L3463" s="81"/>
      <c r="M3463" s="81"/>
      <c r="N3463" s="81"/>
    </row>
    <row r="3464" spans="1:14" ht="14.25" customHeight="1" x14ac:dyDescent="0.25">
      <c r="A3464" s="99" t="s">
        <v>706</v>
      </c>
      <c r="B3464" s="100" t="s">
        <v>56</v>
      </c>
      <c r="C3464" s="101">
        <v>89780</v>
      </c>
      <c r="D3464" s="149">
        <v>1</v>
      </c>
      <c r="E3464" s="102">
        <v>0.05</v>
      </c>
      <c r="F3464" s="101">
        <f t="shared" ref="F3464:F3467" si="188">C3464*(D3464+(D3464*E3464))</f>
        <v>94269</v>
      </c>
      <c r="G3464" s="81"/>
      <c r="H3464" s="81"/>
      <c r="I3464" s="81"/>
      <c r="J3464" s="81"/>
      <c r="K3464" s="81"/>
      <c r="L3464" s="81"/>
      <c r="M3464" s="81"/>
      <c r="N3464" s="81"/>
    </row>
    <row r="3465" spans="1:14" ht="14.25" customHeight="1" x14ac:dyDescent="0.25">
      <c r="A3465" s="99" t="s">
        <v>662</v>
      </c>
      <c r="B3465" s="100" t="s">
        <v>64</v>
      </c>
      <c r="C3465" s="101">
        <v>373380</v>
      </c>
      <c r="D3465" s="149">
        <v>7.0000000000000007E-2</v>
      </c>
      <c r="E3465" s="102">
        <v>0.05</v>
      </c>
      <c r="F3465" s="101">
        <f t="shared" si="188"/>
        <v>27443.430000000004</v>
      </c>
      <c r="G3465" s="81"/>
      <c r="H3465" s="81"/>
      <c r="I3465" s="81"/>
      <c r="J3465" s="81"/>
      <c r="K3465" s="81"/>
      <c r="L3465" s="81"/>
      <c r="M3465" s="81"/>
      <c r="N3465" s="81"/>
    </row>
    <row r="3466" spans="1:14" ht="14.25" customHeight="1" x14ac:dyDescent="0.25">
      <c r="A3466" s="99" t="s">
        <v>611</v>
      </c>
      <c r="B3466" s="100" t="s">
        <v>612</v>
      </c>
      <c r="C3466" s="101">
        <v>12</v>
      </c>
      <c r="D3466" s="104">
        <v>24</v>
      </c>
      <c r="E3466" s="102">
        <v>0.05</v>
      </c>
      <c r="F3466" s="101">
        <f t="shared" si="188"/>
        <v>302.39999999999998</v>
      </c>
      <c r="G3466" s="81"/>
      <c r="H3466" s="81"/>
      <c r="I3466" s="81"/>
      <c r="J3466" s="81"/>
      <c r="K3466" s="81"/>
      <c r="L3466" s="81"/>
      <c r="M3466" s="81"/>
      <c r="N3466" s="81"/>
    </row>
    <row r="3467" spans="1:14" ht="14.25" customHeight="1" x14ac:dyDescent="0.25">
      <c r="A3467" s="99"/>
      <c r="B3467" s="100"/>
      <c r="C3467" s="101"/>
      <c r="D3467" s="149"/>
      <c r="E3467" s="102"/>
      <c r="F3467" s="101">
        <f t="shared" si="188"/>
        <v>0</v>
      </c>
      <c r="G3467" s="81"/>
      <c r="H3467" s="81"/>
      <c r="I3467" s="81"/>
      <c r="J3467" s="81"/>
      <c r="K3467" s="81"/>
      <c r="L3467" s="81"/>
      <c r="M3467" s="81"/>
      <c r="N3467" s="81"/>
    </row>
    <row r="3468" spans="1:14" ht="14.25" customHeight="1" x14ac:dyDescent="0.25">
      <c r="A3468" s="99"/>
      <c r="B3468" s="100"/>
      <c r="C3468" s="106"/>
      <c r="D3468" s="107"/>
      <c r="E3468" s="108"/>
      <c r="F3468" s="106"/>
      <c r="G3468" s="81"/>
      <c r="H3468" s="81"/>
      <c r="I3468" s="81"/>
      <c r="J3468" s="81"/>
      <c r="K3468" s="81"/>
      <c r="L3468" s="81"/>
      <c r="M3468" s="81"/>
      <c r="N3468" s="81"/>
    </row>
    <row r="3469" spans="1:14" ht="14.25" customHeight="1" x14ac:dyDescent="0.25">
      <c r="A3469" s="97" t="s">
        <v>548</v>
      </c>
      <c r="B3469" s="97"/>
      <c r="C3469" s="109"/>
      <c r="D3469" s="110"/>
      <c r="E3469" s="111"/>
      <c r="F3469" s="112">
        <f>SUM(F3464:F3468)</f>
        <v>122014.83</v>
      </c>
      <c r="G3469" s="81"/>
      <c r="H3469" s="81"/>
      <c r="I3469" s="81"/>
      <c r="J3469" s="81"/>
      <c r="K3469" s="81"/>
      <c r="L3469" s="81"/>
      <c r="M3469" s="81"/>
      <c r="N3469" s="81"/>
    </row>
    <row r="3470" spans="1:14" ht="14.25" customHeight="1" x14ac:dyDescent="0.25">
      <c r="A3470" s="88"/>
      <c r="B3470" s="88"/>
      <c r="C3470" s="113"/>
      <c r="D3470" s="113"/>
      <c r="E3470" s="114"/>
      <c r="F3470" s="113"/>
      <c r="G3470" s="81"/>
      <c r="H3470" s="81"/>
      <c r="I3470" s="81"/>
      <c r="J3470" s="81"/>
      <c r="K3470" s="81"/>
      <c r="L3470" s="81"/>
      <c r="M3470" s="81"/>
      <c r="N3470" s="81"/>
    </row>
    <row r="3471" spans="1:14" ht="14.25" customHeight="1" x14ac:dyDescent="0.25">
      <c r="A3471" s="96" t="s">
        <v>573</v>
      </c>
      <c r="B3471" s="96"/>
      <c r="C3471" s="92"/>
      <c r="D3471" s="92"/>
      <c r="E3471" s="92"/>
      <c r="F3471" s="92"/>
      <c r="G3471" s="81"/>
      <c r="H3471" s="81"/>
      <c r="I3471" s="81"/>
      <c r="J3471" s="81"/>
      <c r="K3471" s="81"/>
      <c r="L3471" s="81"/>
      <c r="M3471" s="81"/>
      <c r="N3471" s="81"/>
    </row>
    <row r="3472" spans="1:14" ht="14.25" customHeight="1" x14ac:dyDescent="0.25">
      <c r="A3472" s="611" t="s">
        <v>563</v>
      </c>
      <c r="B3472" s="608"/>
      <c r="C3472" s="609"/>
      <c r="D3472" s="98" t="s">
        <v>574</v>
      </c>
      <c r="E3472" s="98" t="s">
        <v>575</v>
      </c>
      <c r="F3472" s="98" t="s">
        <v>568</v>
      </c>
      <c r="G3472" s="81"/>
      <c r="H3472" s="81"/>
      <c r="I3472" s="81"/>
      <c r="J3472" s="81"/>
      <c r="K3472" s="81"/>
      <c r="L3472" s="81"/>
      <c r="M3472" s="81"/>
      <c r="N3472" s="81"/>
    </row>
    <row r="3473" spans="1:14" ht="14.25" customHeight="1" x14ac:dyDescent="0.25">
      <c r="A3473" s="607" t="s">
        <v>577</v>
      </c>
      <c r="B3473" s="608"/>
      <c r="C3473" s="609"/>
      <c r="D3473" s="116"/>
      <c r="E3473" s="107"/>
      <c r="F3473" s="106">
        <v>1419</v>
      </c>
      <c r="G3473" s="81"/>
      <c r="H3473" s="81"/>
      <c r="I3473" s="81"/>
      <c r="J3473" s="81"/>
      <c r="K3473" s="81"/>
      <c r="L3473" s="81"/>
      <c r="M3473" s="81"/>
      <c r="N3473" s="81"/>
    </row>
    <row r="3474" spans="1:14" ht="14.25" customHeight="1" x14ac:dyDescent="0.25">
      <c r="A3474" s="607" t="s">
        <v>657</v>
      </c>
      <c r="B3474" s="608"/>
      <c r="C3474" s="609"/>
      <c r="D3474" s="142">
        <v>1850</v>
      </c>
      <c r="E3474" s="107">
        <v>0.4</v>
      </c>
      <c r="F3474" s="106">
        <f t="shared" ref="F3474:F3475" si="189">D3474/E3474</f>
        <v>4625</v>
      </c>
      <c r="G3474" s="81"/>
      <c r="H3474" s="81"/>
      <c r="I3474" s="81"/>
      <c r="J3474" s="81"/>
      <c r="K3474" s="81"/>
      <c r="L3474" s="81"/>
      <c r="M3474" s="81"/>
      <c r="N3474" s="81"/>
    </row>
    <row r="3475" spans="1:14" ht="14.25" customHeight="1" x14ac:dyDescent="0.25">
      <c r="A3475" s="607" t="s">
        <v>680</v>
      </c>
      <c r="B3475" s="608"/>
      <c r="C3475" s="609"/>
      <c r="D3475" s="142">
        <v>5250</v>
      </c>
      <c r="E3475" s="107">
        <v>1</v>
      </c>
      <c r="F3475" s="106">
        <f t="shared" si="189"/>
        <v>5250</v>
      </c>
      <c r="G3475" s="81"/>
      <c r="H3475" s="81"/>
      <c r="I3475" s="81"/>
      <c r="J3475" s="81"/>
      <c r="K3475" s="81"/>
      <c r="L3475" s="81"/>
      <c r="M3475" s="81"/>
      <c r="N3475" s="81"/>
    </row>
    <row r="3476" spans="1:14" ht="14.25" customHeight="1" x14ac:dyDescent="0.25">
      <c r="A3476" s="607"/>
      <c r="B3476" s="608"/>
      <c r="C3476" s="609"/>
      <c r="D3476" s="142"/>
      <c r="E3476" s="107"/>
      <c r="F3476" s="106"/>
      <c r="G3476" s="81"/>
      <c r="H3476" s="81"/>
      <c r="I3476" s="81"/>
      <c r="J3476" s="81"/>
      <c r="K3476" s="81"/>
      <c r="L3476" s="81"/>
      <c r="M3476" s="81"/>
      <c r="N3476" s="81"/>
    </row>
    <row r="3477" spans="1:14" ht="14.25" customHeight="1" x14ac:dyDescent="0.25">
      <c r="A3477" s="610"/>
      <c r="B3477" s="608"/>
      <c r="C3477" s="609"/>
      <c r="D3477" s="115"/>
      <c r="E3477" s="107"/>
      <c r="F3477" s="106"/>
      <c r="G3477" s="81"/>
      <c r="H3477" s="81"/>
      <c r="I3477" s="81"/>
      <c r="J3477" s="81"/>
      <c r="K3477" s="81"/>
      <c r="L3477" s="81"/>
      <c r="M3477" s="81"/>
      <c r="N3477" s="81"/>
    </row>
    <row r="3478" spans="1:14" ht="14.25" customHeight="1" x14ac:dyDescent="0.25">
      <c r="A3478" s="611" t="s">
        <v>548</v>
      </c>
      <c r="B3478" s="608"/>
      <c r="C3478" s="609"/>
      <c r="D3478" s="110"/>
      <c r="E3478" s="110"/>
      <c r="F3478" s="112">
        <f>SUM(F3473:F3476)</f>
        <v>11294</v>
      </c>
      <c r="G3478" s="81"/>
      <c r="H3478" s="81"/>
      <c r="I3478" s="81"/>
      <c r="J3478" s="81"/>
      <c r="K3478" s="81"/>
      <c r="L3478" s="81"/>
      <c r="M3478" s="81"/>
      <c r="N3478" s="81"/>
    </row>
    <row r="3479" spans="1:14" ht="14.25" customHeight="1" x14ac:dyDescent="0.25">
      <c r="A3479" s="88"/>
      <c r="B3479" s="88"/>
      <c r="C3479" s="89"/>
      <c r="D3479" s="113"/>
      <c r="E3479" s="113"/>
      <c r="F3479" s="113"/>
      <c r="G3479" s="81"/>
      <c r="H3479" s="81"/>
      <c r="I3479" s="81"/>
      <c r="J3479" s="81"/>
      <c r="K3479" s="81"/>
      <c r="L3479" s="81"/>
      <c r="M3479" s="81"/>
      <c r="N3479" s="81"/>
    </row>
    <row r="3480" spans="1:14" ht="14.25" customHeight="1" x14ac:dyDescent="0.25">
      <c r="A3480" s="96" t="s">
        <v>578</v>
      </c>
      <c r="B3480" s="96"/>
      <c r="C3480" s="92"/>
      <c r="D3480" s="118"/>
      <c r="E3480" s="118"/>
      <c r="F3480" s="118"/>
      <c r="G3480" s="81"/>
      <c r="H3480" s="81"/>
      <c r="I3480" s="81"/>
      <c r="J3480" s="81"/>
      <c r="K3480" s="81"/>
      <c r="L3480" s="81"/>
      <c r="M3480" s="81"/>
      <c r="N3480" s="81"/>
    </row>
    <row r="3481" spans="1:14" ht="14.25" customHeight="1" x14ac:dyDescent="0.25">
      <c r="A3481" s="119" t="s">
        <v>563</v>
      </c>
      <c r="B3481" s="120" t="s">
        <v>579</v>
      </c>
      <c r="C3481" s="120" t="s">
        <v>580</v>
      </c>
      <c r="D3481" s="121" t="s">
        <v>581</v>
      </c>
      <c r="E3481" s="121" t="s">
        <v>575</v>
      </c>
      <c r="F3481" s="121" t="s">
        <v>568</v>
      </c>
      <c r="G3481" s="81"/>
      <c r="H3481" s="81"/>
      <c r="I3481" s="81"/>
      <c r="J3481" s="81"/>
      <c r="K3481" s="81"/>
      <c r="L3481" s="81"/>
      <c r="M3481" s="81"/>
      <c r="N3481" s="81"/>
    </row>
    <row r="3482" spans="1:14" ht="14.25" customHeight="1" x14ac:dyDescent="0.25">
      <c r="A3482" s="122" t="s">
        <v>593</v>
      </c>
      <c r="B3482" s="127">
        <v>1</v>
      </c>
      <c r="C3482" s="101">
        <v>32688</v>
      </c>
      <c r="D3482" s="101">
        <f t="shared" ref="D3482:D3483" si="190">+C3482*1.7</f>
        <v>55569.599999999999</v>
      </c>
      <c r="E3482" s="107">
        <v>5</v>
      </c>
      <c r="F3482" s="106">
        <f t="shared" ref="F3482:F3483" si="191">+B3482*(D3482)/E3482</f>
        <v>11113.92</v>
      </c>
      <c r="G3482" s="81"/>
      <c r="H3482" s="81"/>
      <c r="I3482" s="81"/>
      <c r="J3482" s="81"/>
      <c r="K3482" s="81"/>
      <c r="L3482" s="81"/>
      <c r="M3482" s="81"/>
      <c r="N3482" s="81"/>
    </row>
    <row r="3483" spans="1:14" ht="14.25" customHeight="1" x14ac:dyDescent="0.25">
      <c r="A3483" s="122" t="s">
        <v>594</v>
      </c>
      <c r="B3483" s="127">
        <v>1</v>
      </c>
      <c r="C3483" s="101">
        <v>52538</v>
      </c>
      <c r="D3483" s="101">
        <f t="shared" si="190"/>
        <v>89314.599999999991</v>
      </c>
      <c r="E3483" s="107">
        <f>E3482</f>
        <v>5</v>
      </c>
      <c r="F3483" s="106">
        <f t="shared" si="191"/>
        <v>17862.919999999998</v>
      </c>
      <c r="G3483" s="81"/>
      <c r="H3483" s="81"/>
      <c r="I3483" s="81"/>
      <c r="J3483" s="81"/>
      <c r="K3483" s="81"/>
      <c r="L3483" s="81"/>
      <c r="M3483" s="81"/>
      <c r="N3483" s="81"/>
    </row>
    <row r="3484" spans="1:14" ht="14.25" customHeight="1" x14ac:dyDescent="0.25">
      <c r="A3484" s="122"/>
      <c r="B3484" s="127"/>
      <c r="C3484" s="101"/>
      <c r="D3484" s="101"/>
      <c r="E3484" s="105"/>
      <c r="F3484" s="106"/>
      <c r="G3484" s="81"/>
      <c r="H3484" s="81"/>
      <c r="I3484" s="81"/>
      <c r="J3484" s="81"/>
      <c r="K3484" s="81"/>
      <c r="L3484" s="81"/>
      <c r="M3484" s="81"/>
      <c r="N3484" s="81"/>
    </row>
    <row r="3485" spans="1:14" ht="14.25" customHeight="1" x14ac:dyDescent="0.25">
      <c r="A3485" s="122"/>
      <c r="B3485" s="127"/>
      <c r="C3485" s="101"/>
      <c r="D3485" s="101"/>
      <c r="E3485" s="125"/>
      <c r="F3485" s="106"/>
      <c r="G3485" s="81"/>
      <c r="H3485" s="81"/>
      <c r="I3485" s="81"/>
      <c r="J3485" s="81"/>
      <c r="K3485" s="81"/>
      <c r="L3485" s="81"/>
      <c r="M3485" s="81"/>
      <c r="N3485" s="81"/>
    </row>
    <row r="3486" spans="1:14" ht="14.25" customHeight="1" x14ac:dyDescent="0.25">
      <c r="A3486" s="97" t="s">
        <v>548</v>
      </c>
      <c r="B3486" s="128"/>
      <c r="C3486" s="110"/>
      <c r="D3486" s="110"/>
      <c r="E3486" s="110"/>
      <c r="F3486" s="112">
        <f>SUM(F3482:F3485)</f>
        <v>28976.839999999997</v>
      </c>
      <c r="G3486" s="81"/>
      <c r="H3486" s="81"/>
      <c r="I3486" s="81"/>
      <c r="J3486" s="81"/>
      <c r="K3486" s="81"/>
      <c r="L3486" s="81"/>
      <c r="M3486" s="81"/>
      <c r="N3486" s="81"/>
    </row>
    <row r="3487" spans="1:14" ht="14.25" customHeight="1" x14ac:dyDescent="0.25">
      <c r="A3487" s="96"/>
      <c r="B3487" s="129"/>
      <c r="C3487" s="118"/>
      <c r="D3487" s="118"/>
      <c r="E3487" s="118"/>
      <c r="F3487" s="118"/>
      <c r="G3487" s="81"/>
      <c r="H3487" s="81"/>
      <c r="I3487" s="81"/>
      <c r="J3487" s="81"/>
      <c r="K3487" s="81"/>
      <c r="L3487" s="81"/>
      <c r="M3487" s="81"/>
      <c r="N3487" s="81"/>
    </row>
    <row r="3488" spans="1:14" ht="14.25" customHeight="1" x14ac:dyDescent="0.25">
      <c r="A3488" s="95" t="s">
        <v>583</v>
      </c>
      <c r="B3488" s="96"/>
      <c r="C3488" s="92"/>
      <c r="D3488" s="92"/>
      <c r="E3488" s="92" t="s">
        <v>584</v>
      </c>
      <c r="F3488" s="92"/>
      <c r="G3488" s="81"/>
      <c r="H3488" s="81"/>
      <c r="I3488" s="81"/>
      <c r="J3488" s="81"/>
      <c r="K3488" s="81"/>
      <c r="L3488" s="81"/>
      <c r="M3488" s="81"/>
      <c r="N3488" s="81"/>
    </row>
    <row r="3489" spans="1:14" ht="25.5" x14ac:dyDescent="0.25">
      <c r="A3489" s="97" t="s">
        <v>563</v>
      </c>
      <c r="B3489" s="98" t="s">
        <v>564</v>
      </c>
      <c r="C3489" s="98" t="s">
        <v>585</v>
      </c>
      <c r="D3489" s="98" t="s">
        <v>586</v>
      </c>
      <c r="E3489" s="120" t="s">
        <v>587</v>
      </c>
      <c r="F3489" s="98" t="s">
        <v>568</v>
      </c>
      <c r="G3489" s="81"/>
      <c r="H3489" s="81"/>
      <c r="I3489" s="81"/>
      <c r="J3489" s="81"/>
      <c r="K3489" s="81"/>
      <c r="L3489" s="81"/>
      <c r="M3489" s="81"/>
      <c r="N3489" s="81"/>
    </row>
    <row r="3490" spans="1:14" ht="14.25" customHeight="1" x14ac:dyDescent="0.25">
      <c r="A3490" s="103" t="s">
        <v>604</v>
      </c>
      <c r="B3490" s="100" t="s">
        <v>605</v>
      </c>
      <c r="C3490" s="101">
        <v>1000</v>
      </c>
      <c r="D3490" s="140">
        <v>4</v>
      </c>
      <c r="E3490" s="107">
        <v>1</v>
      </c>
      <c r="F3490" s="109">
        <f>+C3490*D3490*E3490</f>
        <v>4000</v>
      </c>
      <c r="G3490" s="81"/>
      <c r="H3490" s="81"/>
      <c r="I3490" s="81"/>
      <c r="J3490" s="81"/>
      <c r="K3490" s="81"/>
      <c r="L3490" s="81"/>
      <c r="M3490" s="81"/>
      <c r="N3490" s="81"/>
    </row>
    <row r="3491" spans="1:14" ht="14.25" customHeight="1" x14ac:dyDescent="0.25">
      <c r="A3491" s="103"/>
      <c r="B3491" s="100"/>
      <c r="C3491" s="107"/>
      <c r="D3491" s="107"/>
      <c r="E3491" s="108"/>
      <c r="F3491" s="109"/>
      <c r="G3491" s="81"/>
      <c r="H3491" s="81"/>
      <c r="I3491" s="81"/>
      <c r="J3491" s="81"/>
      <c r="K3491" s="81"/>
      <c r="L3491" s="81"/>
      <c r="M3491" s="81"/>
      <c r="N3491" s="81"/>
    </row>
    <row r="3492" spans="1:14" ht="14.25" customHeight="1" x14ac:dyDescent="0.25">
      <c r="A3492" s="97" t="s">
        <v>548</v>
      </c>
      <c r="B3492" s="98"/>
      <c r="C3492" s="110"/>
      <c r="D3492" s="110"/>
      <c r="E3492" s="111"/>
      <c r="F3492" s="112">
        <f>SUM(F3490:F3491)</f>
        <v>4000</v>
      </c>
      <c r="G3492" s="81"/>
      <c r="H3492" s="81"/>
      <c r="I3492" s="81"/>
      <c r="J3492" s="81"/>
      <c r="K3492" s="81"/>
      <c r="L3492" s="81"/>
      <c r="M3492" s="81"/>
      <c r="N3492" s="81"/>
    </row>
    <row r="3493" spans="1:14" ht="14.25" customHeight="1" x14ac:dyDescent="0.25">
      <c r="A3493" s="88"/>
      <c r="B3493" s="89"/>
      <c r="C3493" s="113"/>
      <c r="D3493" s="113"/>
      <c r="E3493" s="114"/>
      <c r="F3493" s="113"/>
      <c r="G3493" s="81"/>
      <c r="H3493" s="81"/>
      <c r="I3493" s="81"/>
      <c r="J3493" s="81"/>
      <c r="K3493" s="81"/>
      <c r="L3493" s="81"/>
      <c r="M3493" s="81"/>
      <c r="N3493" s="81"/>
    </row>
    <row r="3494" spans="1:14" ht="14.25" customHeight="1" x14ac:dyDescent="0.25">
      <c r="A3494" s="88"/>
      <c r="B3494" s="89"/>
      <c r="C3494" s="113"/>
      <c r="D3494" s="113"/>
      <c r="E3494" s="114"/>
      <c r="F3494" s="113"/>
      <c r="G3494" s="81"/>
      <c r="H3494" s="81"/>
      <c r="I3494" s="81"/>
      <c r="J3494" s="81"/>
      <c r="K3494" s="81"/>
      <c r="L3494" s="81"/>
      <c r="M3494" s="81"/>
      <c r="N3494" s="81"/>
    </row>
    <row r="3495" spans="1:14" ht="14.25" customHeight="1" x14ac:dyDescent="0.25">
      <c r="A3495" s="612" t="s">
        <v>588</v>
      </c>
      <c r="B3495" s="608"/>
      <c r="C3495" s="608"/>
      <c r="D3495" s="608"/>
      <c r="E3495" s="609"/>
      <c r="F3495" s="131">
        <f>ROUND(F3469+F3478+F3486+F3492,0)</f>
        <v>166286</v>
      </c>
      <c r="G3495" s="81"/>
      <c r="H3495" s="117">
        <f>166286-F3495</f>
        <v>0</v>
      </c>
      <c r="I3495" s="81"/>
      <c r="J3495" s="81"/>
      <c r="K3495" s="81"/>
      <c r="L3495" s="81"/>
      <c r="M3495" s="81"/>
      <c r="N3495" s="81"/>
    </row>
    <row r="3496" spans="1:14" ht="14.25" customHeight="1" x14ac:dyDescent="0.25">
      <c r="A3496" s="612" t="s">
        <v>589</v>
      </c>
      <c r="B3496" s="608"/>
      <c r="C3496" s="608"/>
      <c r="D3496" s="608"/>
      <c r="E3496" s="609"/>
      <c r="F3496" s="132"/>
      <c r="G3496" s="81"/>
      <c r="H3496" s="81"/>
      <c r="I3496" s="81"/>
      <c r="J3496" s="81"/>
      <c r="K3496" s="81"/>
      <c r="L3496" s="81"/>
      <c r="M3496" s="81"/>
      <c r="N3496" s="81"/>
    </row>
    <row r="3497" spans="1:14" ht="14.25" customHeight="1" x14ac:dyDescent="0.25">
      <c r="A3497" s="146" t="s">
        <v>556</v>
      </c>
      <c r="B3497" s="147"/>
      <c r="C3497" s="147"/>
      <c r="D3497" s="147"/>
      <c r="E3497" s="148"/>
      <c r="F3497" s="133"/>
      <c r="G3497" s="81"/>
      <c r="H3497" s="81"/>
      <c r="I3497" s="81"/>
      <c r="J3497" s="81"/>
      <c r="K3497" s="81"/>
      <c r="L3497" s="81"/>
      <c r="M3497" s="81"/>
      <c r="N3497" s="81"/>
    </row>
    <row r="3498" spans="1:14" ht="14.25" customHeight="1" x14ac:dyDescent="0.25">
      <c r="A3498" s="134"/>
      <c r="B3498" s="135"/>
      <c r="C3498" s="135"/>
      <c r="D3498" s="135"/>
      <c r="E3498" s="135"/>
      <c r="F3498" s="136"/>
      <c r="G3498" s="81"/>
      <c r="H3498" s="81"/>
      <c r="I3498" s="81"/>
      <c r="J3498" s="81"/>
      <c r="K3498" s="81"/>
      <c r="L3498" s="81"/>
      <c r="M3498" s="81"/>
      <c r="N3498" s="81"/>
    </row>
    <row r="3499" spans="1:14" ht="14.25" customHeight="1" x14ac:dyDescent="0.25">
      <c r="A3499" s="81"/>
      <c r="B3499" s="81"/>
      <c r="C3499" s="137"/>
      <c r="D3499" s="81"/>
      <c r="E3499" s="81"/>
      <c r="F3499" s="81"/>
      <c r="G3499" s="81"/>
      <c r="H3499" s="81"/>
      <c r="I3499" s="81"/>
      <c r="J3499" s="81"/>
      <c r="K3499" s="81"/>
      <c r="L3499" s="81"/>
      <c r="M3499" s="81"/>
      <c r="N3499" s="81"/>
    </row>
    <row r="3500" spans="1:14" ht="14.25" customHeight="1" x14ac:dyDescent="0.25">
      <c r="A3500" s="81"/>
      <c r="B3500" s="81"/>
      <c r="C3500" s="137"/>
      <c r="D3500" s="81"/>
      <c r="E3500" s="81"/>
      <c r="F3500" s="81"/>
      <c r="G3500" s="81"/>
      <c r="H3500" s="81"/>
      <c r="I3500" s="81"/>
      <c r="J3500" s="81"/>
      <c r="K3500" s="81"/>
      <c r="L3500" s="81"/>
      <c r="M3500" s="81"/>
      <c r="N3500" s="81"/>
    </row>
    <row r="3501" spans="1:14" ht="14.25" customHeight="1" x14ac:dyDescent="0.25">
      <c r="A3501" s="81"/>
      <c r="B3501" s="81"/>
      <c r="C3501" s="137"/>
      <c r="D3501" s="81"/>
      <c r="E3501" s="81"/>
      <c r="F3501" s="81"/>
      <c r="G3501" s="81"/>
      <c r="H3501" s="81"/>
      <c r="I3501" s="81"/>
      <c r="J3501" s="81"/>
      <c r="K3501" s="81"/>
      <c r="L3501" s="81"/>
      <c r="M3501" s="81"/>
      <c r="N3501" s="81"/>
    </row>
    <row r="3502" spans="1:14" ht="14.25" customHeight="1" x14ac:dyDescent="0.25">
      <c r="A3502" s="81"/>
      <c r="B3502" s="81"/>
      <c r="C3502" s="137"/>
      <c r="D3502" s="81"/>
      <c r="E3502" s="81"/>
      <c r="F3502" s="81"/>
      <c r="G3502" s="81"/>
      <c r="H3502" s="81"/>
      <c r="I3502" s="81"/>
      <c r="J3502" s="81"/>
      <c r="K3502" s="81"/>
      <c r="L3502" s="81"/>
      <c r="M3502" s="81"/>
      <c r="N3502" s="81"/>
    </row>
    <row r="3503" spans="1:14" ht="14.25" customHeight="1" x14ac:dyDescent="0.25">
      <c r="A3503" s="81"/>
      <c r="B3503" s="81"/>
      <c r="C3503" s="137"/>
      <c r="D3503" s="81"/>
      <c r="E3503" s="81"/>
      <c r="F3503" s="81"/>
      <c r="G3503" s="81"/>
      <c r="H3503" s="81"/>
      <c r="I3503" s="81"/>
      <c r="J3503" s="81"/>
      <c r="K3503" s="81"/>
      <c r="L3503" s="81"/>
      <c r="M3503" s="81"/>
      <c r="N3503" s="81"/>
    </row>
    <row r="3504" spans="1:14" ht="14.25" customHeight="1" x14ac:dyDescent="0.25">
      <c r="A3504" s="134"/>
      <c r="B3504" s="135"/>
      <c r="C3504" s="135"/>
      <c r="D3504" s="135"/>
      <c r="E3504" s="135"/>
      <c r="F3504" s="136"/>
      <c r="G3504" s="81"/>
      <c r="H3504" s="81"/>
      <c r="I3504" s="81"/>
      <c r="J3504" s="81"/>
      <c r="K3504" s="81"/>
      <c r="L3504" s="81"/>
      <c r="M3504" s="81"/>
      <c r="N3504" s="81"/>
    </row>
    <row r="3505" spans="1:14" ht="14.25" customHeight="1" x14ac:dyDescent="0.25">
      <c r="A3505" s="134"/>
      <c r="B3505" s="135"/>
      <c r="C3505" s="135"/>
      <c r="D3505" s="135"/>
      <c r="E3505" s="135"/>
      <c r="F3505" s="136"/>
      <c r="G3505" s="81"/>
      <c r="H3505" s="81"/>
      <c r="I3505" s="81"/>
      <c r="J3505" s="81"/>
      <c r="K3505" s="81"/>
      <c r="L3505" s="81"/>
      <c r="M3505" s="81"/>
      <c r="N3505" s="81"/>
    </row>
    <row r="3506" spans="1:14" ht="14.25" customHeight="1" x14ac:dyDescent="0.25">
      <c r="A3506" s="134"/>
      <c r="B3506" s="135"/>
      <c r="C3506" s="135"/>
      <c r="D3506" s="135"/>
      <c r="E3506" s="135"/>
      <c r="F3506" s="136"/>
      <c r="G3506" s="81"/>
      <c r="H3506" s="81"/>
      <c r="I3506" s="81"/>
      <c r="J3506" s="81"/>
      <c r="K3506" s="81"/>
      <c r="L3506" s="81"/>
      <c r="M3506" s="81"/>
      <c r="N3506" s="81"/>
    </row>
    <row r="3507" spans="1:14" ht="14.25" customHeight="1" thickBot="1" x14ac:dyDescent="0.3">
      <c r="A3507" s="81"/>
      <c r="B3507" s="81"/>
      <c r="C3507" s="81"/>
      <c r="D3507" s="81"/>
      <c r="E3507" s="81"/>
      <c r="F3507" s="81"/>
      <c r="G3507" s="81"/>
      <c r="H3507" s="81"/>
      <c r="I3507" s="81"/>
      <c r="J3507" s="81"/>
      <c r="K3507" s="81"/>
      <c r="L3507" s="81"/>
      <c r="M3507" s="81"/>
      <c r="N3507" s="81"/>
    </row>
    <row r="3508" spans="1:14" ht="14.25" customHeight="1" x14ac:dyDescent="0.25">
      <c r="A3508" s="83"/>
      <c r="B3508" s="84"/>
      <c r="C3508" s="85"/>
      <c r="D3508" s="86"/>
      <c r="E3508" s="86"/>
      <c r="F3508" s="87"/>
      <c r="G3508" s="81"/>
      <c r="H3508" s="81"/>
      <c r="I3508" s="81"/>
      <c r="J3508" s="81"/>
      <c r="K3508" s="81"/>
      <c r="L3508" s="81"/>
      <c r="M3508" s="81"/>
      <c r="N3508" s="81"/>
    </row>
    <row r="3509" spans="1:14" ht="14.25" customHeight="1" x14ac:dyDescent="0.25">
      <c r="A3509" s="599"/>
      <c r="B3509" s="600"/>
      <c r="C3509" s="600"/>
      <c r="D3509" s="600"/>
      <c r="E3509" s="600"/>
      <c r="F3509" s="601"/>
      <c r="G3509" s="81"/>
      <c r="H3509" s="81"/>
      <c r="I3509" s="81"/>
      <c r="J3509" s="81"/>
      <c r="K3509" s="81"/>
      <c r="L3509" s="81"/>
      <c r="M3509" s="81"/>
      <c r="N3509" s="81"/>
    </row>
    <row r="3510" spans="1:14" ht="14.25" customHeight="1" x14ac:dyDescent="0.25">
      <c r="A3510" s="602" t="s">
        <v>561</v>
      </c>
      <c r="B3510" s="600"/>
      <c r="C3510" s="600"/>
      <c r="D3510" s="600"/>
      <c r="E3510" s="600"/>
      <c r="F3510" s="601"/>
      <c r="G3510" s="81"/>
      <c r="H3510" s="81"/>
      <c r="I3510" s="81"/>
      <c r="J3510" s="81"/>
      <c r="K3510" s="81"/>
      <c r="L3510" s="81"/>
      <c r="M3510" s="81"/>
      <c r="N3510" s="81"/>
    </row>
    <row r="3511" spans="1:14" ht="14.25" customHeight="1" thickBot="1" x14ac:dyDescent="0.3">
      <c r="A3511" s="603"/>
      <c r="B3511" s="604"/>
      <c r="C3511" s="604"/>
      <c r="D3511" s="604"/>
      <c r="E3511" s="604"/>
      <c r="F3511" s="605"/>
      <c r="G3511" s="81"/>
      <c r="H3511" s="81"/>
      <c r="I3511" s="81"/>
      <c r="J3511" s="81"/>
      <c r="K3511" s="81"/>
      <c r="L3511" s="81"/>
      <c r="M3511" s="81"/>
      <c r="N3511" s="81"/>
    </row>
    <row r="3512" spans="1:14" ht="14.25" customHeight="1" x14ac:dyDescent="0.25">
      <c r="A3512" s="88"/>
      <c r="B3512" s="88"/>
      <c r="C3512" s="89"/>
      <c r="D3512" s="89"/>
      <c r="E3512" s="89"/>
      <c r="F3512" s="89"/>
      <c r="G3512" s="81"/>
      <c r="H3512" s="81"/>
      <c r="I3512" s="81"/>
      <c r="J3512" s="81"/>
      <c r="K3512" s="81"/>
      <c r="L3512" s="81"/>
      <c r="M3512" s="81"/>
      <c r="N3512" s="81"/>
    </row>
    <row r="3513" spans="1:14" ht="14.25" customHeight="1" x14ac:dyDescent="0.25">
      <c r="A3513" s="90" t="s">
        <v>47</v>
      </c>
      <c r="B3513" s="613" t="s">
        <v>177</v>
      </c>
      <c r="C3513" s="600"/>
      <c r="D3513" s="600"/>
      <c r="E3513" s="600"/>
      <c r="F3513" s="600"/>
      <c r="G3513" s="81"/>
      <c r="H3513" s="81"/>
      <c r="I3513" s="81"/>
      <c r="J3513" s="81"/>
      <c r="K3513" s="81"/>
      <c r="L3513" s="81"/>
      <c r="M3513" s="81"/>
      <c r="N3513" s="81"/>
    </row>
    <row r="3514" spans="1:14" ht="14.25" customHeight="1" x14ac:dyDescent="0.25">
      <c r="A3514" s="91"/>
      <c r="B3514" s="91"/>
      <c r="C3514" s="91"/>
      <c r="D3514" s="91"/>
      <c r="E3514" s="91"/>
      <c r="F3514" s="91"/>
      <c r="G3514" s="81"/>
      <c r="H3514" s="81"/>
      <c r="I3514" s="81"/>
      <c r="J3514" s="81"/>
      <c r="K3514" s="81"/>
      <c r="L3514" s="81"/>
      <c r="M3514" s="81"/>
      <c r="N3514" s="81"/>
    </row>
    <row r="3515" spans="1:14" ht="14.25" customHeight="1" x14ac:dyDescent="0.25">
      <c r="A3515" s="88" t="s">
        <v>49</v>
      </c>
      <c r="B3515" s="92" t="s">
        <v>56</v>
      </c>
      <c r="C3515" s="89"/>
      <c r="D3515" s="89"/>
      <c r="E3515" s="89"/>
      <c r="F3515" s="93"/>
      <c r="G3515" s="81"/>
      <c r="H3515" s="81"/>
      <c r="I3515" s="81"/>
      <c r="J3515" s="81"/>
      <c r="K3515" s="81"/>
      <c r="L3515" s="81"/>
      <c r="M3515" s="81"/>
      <c r="N3515" s="81"/>
    </row>
    <row r="3516" spans="1:14" ht="14.25" customHeight="1" x14ac:dyDescent="0.25">
      <c r="A3516" s="88"/>
      <c r="B3516" s="94"/>
      <c r="C3516" s="89"/>
      <c r="D3516" s="89"/>
      <c r="E3516" s="89"/>
      <c r="F3516" s="93"/>
      <c r="G3516" s="81"/>
      <c r="H3516" s="81"/>
      <c r="I3516" s="81"/>
      <c r="J3516" s="81"/>
      <c r="K3516" s="81"/>
      <c r="L3516" s="81"/>
      <c r="M3516" s="81"/>
      <c r="N3516" s="81"/>
    </row>
    <row r="3517" spans="1:14" ht="14.25" customHeight="1" x14ac:dyDescent="0.25">
      <c r="A3517" s="95" t="s">
        <v>562</v>
      </c>
      <c r="B3517" s="96"/>
      <c r="C3517" s="92"/>
      <c r="D3517" s="92"/>
      <c r="E3517" s="92"/>
      <c r="F3517" s="92"/>
      <c r="G3517" s="81"/>
      <c r="H3517" s="81"/>
      <c r="I3517" s="81"/>
      <c r="J3517" s="81"/>
      <c r="K3517" s="81"/>
      <c r="L3517" s="81"/>
      <c r="M3517" s="81"/>
      <c r="N3517" s="81"/>
    </row>
    <row r="3518" spans="1:14" ht="14.25" customHeight="1" x14ac:dyDescent="0.25">
      <c r="A3518" s="97" t="s">
        <v>563</v>
      </c>
      <c r="B3518" s="98" t="s">
        <v>564</v>
      </c>
      <c r="C3518" s="98" t="s">
        <v>565</v>
      </c>
      <c r="D3518" s="98" t="s">
        <v>566</v>
      </c>
      <c r="E3518" s="98" t="s">
        <v>567</v>
      </c>
      <c r="F3518" s="98" t="s">
        <v>568</v>
      </c>
      <c r="G3518" s="81"/>
      <c r="H3518" s="81"/>
      <c r="I3518" s="81"/>
      <c r="J3518" s="81"/>
      <c r="K3518" s="81"/>
      <c r="L3518" s="81"/>
      <c r="M3518" s="81"/>
      <c r="N3518" s="81"/>
    </row>
    <row r="3519" spans="1:14" ht="14.25" customHeight="1" x14ac:dyDescent="0.25">
      <c r="A3519" s="99" t="s">
        <v>706</v>
      </c>
      <c r="B3519" s="100" t="s">
        <v>56</v>
      </c>
      <c r="C3519" s="101">
        <v>89780</v>
      </c>
      <c r="D3519" s="149">
        <v>0.2</v>
      </c>
      <c r="E3519" s="102">
        <v>0.05</v>
      </c>
      <c r="F3519" s="101">
        <f t="shared" ref="F3519:F3522" si="192">C3519*(D3519+(D3519*E3519))</f>
        <v>18853.800000000003</v>
      </c>
      <c r="G3519" s="81"/>
      <c r="H3519" s="81"/>
      <c r="I3519" s="81"/>
      <c r="J3519" s="81"/>
      <c r="K3519" s="81"/>
      <c r="L3519" s="81"/>
      <c r="M3519" s="81"/>
      <c r="N3519" s="81"/>
    </row>
    <row r="3520" spans="1:14" ht="14.25" customHeight="1" x14ac:dyDescent="0.25">
      <c r="A3520" s="99" t="s">
        <v>662</v>
      </c>
      <c r="B3520" s="100" t="s">
        <v>64</v>
      </c>
      <c r="C3520" s="101">
        <v>373380</v>
      </c>
      <c r="D3520" s="149">
        <v>0.02</v>
      </c>
      <c r="E3520" s="102">
        <v>0.05</v>
      </c>
      <c r="F3520" s="101">
        <f t="shared" si="192"/>
        <v>7840.9800000000005</v>
      </c>
      <c r="G3520" s="81"/>
      <c r="H3520" s="81"/>
      <c r="I3520" s="81"/>
      <c r="J3520" s="81"/>
      <c r="K3520" s="81"/>
      <c r="L3520" s="81"/>
      <c r="M3520" s="81"/>
      <c r="N3520" s="81"/>
    </row>
    <row r="3521" spans="1:14" ht="14.25" customHeight="1" x14ac:dyDescent="0.25">
      <c r="A3521" s="99" t="s">
        <v>611</v>
      </c>
      <c r="B3521" s="100" t="s">
        <v>612</v>
      </c>
      <c r="C3521" s="101">
        <v>12</v>
      </c>
      <c r="D3521" s="104">
        <v>34</v>
      </c>
      <c r="E3521" s="102">
        <v>0.05</v>
      </c>
      <c r="F3521" s="101">
        <f t="shared" si="192"/>
        <v>428.40000000000003</v>
      </c>
      <c r="G3521" s="81"/>
      <c r="H3521" s="81"/>
      <c r="I3521" s="81"/>
      <c r="J3521" s="81"/>
      <c r="K3521" s="81"/>
      <c r="L3521" s="81"/>
      <c r="M3521" s="81"/>
      <c r="N3521" s="81"/>
    </row>
    <row r="3522" spans="1:14" ht="14.25" customHeight="1" x14ac:dyDescent="0.25">
      <c r="A3522" s="99"/>
      <c r="B3522" s="100"/>
      <c r="C3522" s="101"/>
      <c r="D3522" s="149"/>
      <c r="E3522" s="102"/>
      <c r="F3522" s="101">
        <f t="shared" si="192"/>
        <v>0</v>
      </c>
      <c r="G3522" s="81"/>
      <c r="H3522" s="81"/>
      <c r="I3522" s="81"/>
      <c r="J3522" s="81"/>
      <c r="K3522" s="81"/>
      <c r="L3522" s="81"/>
      <c r="M3522" s="81"/>
      <c r="N3522" s="81"/>
    </row>
    <row r="3523" spans="1:14" ht="14.25" customHeight="1" x14ac:dyDescent="0.25">
      <c r="A3523" s="99"/>
      <c r="B3523" s="100"/>
      <c r="C3523" s="106"/>
      <c r="D3523" s="107"/>
      <c r="E3523" s="108"/>
      <c r="F3523" s="106"/>
      <c r="G3523" s="81"/>
      <c r="H3523" s="81"/>
      <c r="I3523" s="81"/>
      <c r="J3523" s="81"/>
      <c r="K3523" s="81"/>
      <c r="L3523" s="81"/>
      <c r="M3523" s="81"/>
      <c r="N3523" s="81"/>
    </row>
    <row r="3524" spans="1:14" ht="14.25" customHeight="1" x14ac:dyDescent="0.25">
      <c r="A3524" s="97" t="s">
        <v>548</v>
      </c>
      <c r="B3524" s="97"/>
      <c r="C3524" s="109"/>
      <c r="D3524" s="110"/>
      <c r="E3524" s="111"/>
      <c r="F3524" s="112">
        <f>SUM(F3519:F3523)</f>
        <v>27123.180000000004</v>
      </c>
      <c r="G3524" s="81"/>
      <c r="H3524" s="81"/>
      <c r="I3524" s="81"/>
      <c r="J3524" s="81"/>
      <c r="K3524" s="81"/>
      <c r="L3524" s="81"/>
      <c r="M3524" s="81"/>
      <c r="N3524" s="81"/>
    </row>
    <row r="3525" spans="1:14" ht="14.25" customHeight="1" x14ac:dyDescent="0.25">
      <c r="A3525" s="88"/>
      <c r="B3525" s="88"/>
      <c r="C3525" s="113"/>
      <c r="D3525" s="113"/>
      <c r="E3525" s="114"/>
      <c r="F3525" s="113"/>
      <c r="G3525" s="81"/>
      <c r="H3525" s="81"/>
      <c r="I3525" s="81"/>
      <c r="J3525" s="81"/>
      <c r="K3525" s="81"/>
      <c r="L3525" s="81"/>
      <c r="M3525" s="81"/>
      <c r="N3525" s="81"/>
    </row>
    <row r="3526" spans="1:14" ht="14.25" customHeight="1" x14ac:dyDescent="0.25">
      <c r="A3526" s="96" t="s">
        <v>573</v>
      </c>
      <c r="B3526" s="96"/>
      <c r="C3526" s="92"/>
      <c r="D3526" s="92"/>
      <c r="E3526" s="92"/>
      <c r="F3526" s="92"/>
      <c r="G3526" s="81"/>
      <c r="H3526" s="81"/>
      <c r="I3526" s="81"/>
      <c r="J3526" s="81"/>
      <c r="K3526" s="81"/>
      <c r="L3526" s="81"/>
      <c r="M3526" s="81"/>
      <c r="N3526" s="81"/>
    </row>
    <row r="3527" spans="1:14" ht="14.25" customHeight="1" x14ac:dyDescent="0.25">
      <c r="A3527" s="611" t="s">
        <v>563</v>
      </c>
      <c r="B3527" s="608"/>
      <c r="C3527" s="609"/>
      <c r="D3527" s="98" t="s">
        <v>574</v>
      </c>
      <c r="E3527" s="98" t="s">
        <v>575</v>
      </c>
      <c r="F3527" s="98" t="s">
        <v>568</v>
      </c>
      <c r="G3527" s="81"/>
      <c r="H3527" s="81"/>
      <c r="I3527" s="81"/>
      <c r="J3527" s="81"/>
      <c r="K3527" s="81"/>
      <c r="L3527" s="81"/>
      <c r="M3527" s="81"/>
      <c r="N3527" s="81"/>
    </row>
    <row r="3528" spans="1:14" ht="14.25" customHeight="1" x14ac:dyDescent="0.25">
      <c r="A3528" s="607" t="s">
        <v>577</v>
      </c>
      <c r="B3528" s="608"/>
      <c r="C3528" s="609"/>
      <c r="D3528" s="116"/>
      <c r="E3528" s="107"/>
      <c r="F3528" s="106">
        <f>+F3541*5%</f>
        <v>1289.0053380782917</v>
      </c>
      <c r="G3528" s="81"/>
      <c r="H3528" s="81"/>
      <c r="I3528" s="81"/>
      <c r="J3528" s="81"/>
      <c r="K3528" s="81"/>
      <c r="L3528" s="81"/>
      <c r="M3528" s="81"/>
      <c r="N3528" s="81"/>
    </row>
    <row r="3529" spans="1:14" ht="14.25" customHeight="1" x14ac:dyDescent="0.25">
      <c r="A3529" s="607" t="s">
        <v>657</v>
      </c>
      <c r="B3529" s="608"/>
      <c r="C3529" s="609"/>
      <c r="D3529" s="142">
        <v>1850</v>
      </c>
      <c r="E3529" s="107">
        <v>0.4</v>
      </c>
      <c r="F3529" s="106">
        <f t="shared" ref="F3529:F3530" si="193">D3529/E3529</f>
        <v>4625</v>
      </c>
      <c r="G3529" s="81"/>
      <c r="H3529" s="81"/>
      <c r="I3529" s="81"/>
      <c r="J3529" s="81"/>
      <c r="K3529" s="81"/>
      <c r="L3529" s="81"/>
      <c r="M3529" s="81"/>
      <c r="N3529" s="81"/>
    </row>
    <row r="3530" spans="1:14" ht="14.25" customHeight="1" x14ac:dyDescent="0.25">
      <c r="A3530" s="607" t="s">
        <v>680</v>
      </c>
      <c r="B3530" s="608"/>
      <c r="C3530" s="609"/>
      <c r="D3530" s="142">
        <v>5250</v>
      </c>
      <c r="E3530" s="107">
        <v>0.8</v>
      </c>
      <c r="F3530" s="106">
        <f t="shared" si="193"/>
        <v>6562.5</v>
      </c>
      <c r="G3530" s="81"/>
      <c r="H3530" s="81"/>
      <c r="I3530" s="81"/>
      <c r="J3530" s="81"/>
      <c r="K3530" s="81"/>
      <c r="L3530" s="81"/>
      <c r="M3530" s="81"/>
      <c r="N3530" s="81"/>
    </row>
    <row r="3531" spans="1:14" ht="14.25" customHeight="1" x14ac:dyDescent="0.25">
      <c r="A3531" s="607"/>
      <c r="B3531" s="608"/>
      <c r="C3531" s="609"/>
      <c r="D3531" s="142"/>
      <c r="E3531" s="107"/>
      <c r="F3531" s="106"/>
      <c r="G3531" s="81"/>
      <c r="H3531" s="81"/>
      <c r="I3531" s="81"/>
      <c r="J3531" s="81"/>
      <c r="K3531" s="81"/>
      <c r="L3531" s="81"/>
      <c r="M3531" s="81"/>
      <c r="N3531" s="81"/>
    </row>
    <row r="3532" spans="1:14" ht="14.25" customHeight="1" x14ac:dyDescent="0.25">
      <c r="A3532" s="610"/>
      <c r="B3532" s="608"/>
      <c r="C3532" s="609"/>
      <c r="D3532" s="115"/>
      <c r="E3532" s="107"/>
      <c r="F3532" s="106"/>
      <c r="G3532" s="81"/>
      <c r="H3532" s="81"/>
      <c r="I3532" s="81"/>
      <c r="J3532" s="81"/>
      <c r="K3532" s="81"/>
      <c r="L3532" s="81"/>
      <c r="M3532" s="81"/>
      <c r="N3532" s="81"/>
    </row>
    <row r="3533" spans="1:14" ht="14.25" customHeight="1" x14ac:dyDescent="0.25">
      <c r="A3533" s="611" t="s">
        <v>548</v>
      </c>
      <c r="B3533" s="608"/>
      <c r="C3533" s="609"/>
      <c r="D3533" s="110"/>
      <c r="E3533" s="110"/>
      <c r="F3533" s="112">
        <f>SUM(F3528:F3531)</f>
        <v>12476.505338078292</v>
      </c>
      <c r="G3533" s="81"/>
      <c r="H3533" s="81"/>
      <c r="I3533" s="81"/>
      <c r="J3533" s="81"/>
      <c r="K3533" s="81"/>
      <c r="L3533" s="81"/>
      <c r="M3533" s="81"/>
      <c r="N3533" s="81"/>
    </row>
    <row r="3534" spans="1:14" ht="14.25" customHeight="1" x14ac:dyDescent="0.25">
      <c r="A3534" s="88"/>
      <c r="B3534" s="88"/>
      <c r="C3534" s="89"/>
      <c r="D3534" s="113"/>
      <c r="E3534" s="113"/>
      <c r="F3534" s="113"/>
      <c r="G3534" s="81"/>
      <c r="H3534" s="81"/>
      <c r="I3534" s="81"/>
      <c r="J3534" s="81"/>
      <c r="K3534" s="81"/>
      <c r="L3534" s="81"/>
      <c r="M3534" s="81"/>
      <c r="N3534" s="81"/>
    </row>
    <row r="3535" spans="1:14" ht="14.25" customHeight="1" x14ac:dyDescent="0.25">
      <c r="A3535" s="96" t="s">
        <v>578</v>
      </c>
      <c r="B3535" s="96"/>
      <c r="C3535" s="92"/>
      <c r="D3535" s="118"/>
      <c r="E3535" s="118"/>
      <c r="F3535" s="118"/>
      <c r="G3535" s="81"/>
      <c r="H3535" s="81"/>
      <c r="I3535" s="81"/>
      <c r="J3535" s="81"/>
      <c r="K3535" s="81"/>
      <c r="L3535" s="81"/>
      <c r="M3535" s="81"/>
      <c r="N3535" s="81"/>
    </row>
    <row r="3536" spans="1:14" ht="14.25" customHeight="1" x14ac:dyDescent="0.25">
      <c r="A3536" s="119" t="s">
        <v>563</v>
      </c>
      <c r="B3536" s="120" t="s">
        <v>579</v>
      </c>
      <c r="C3536" s="120" t="s">
        <v>580</v>
      </c>
      <c r="D3536" s="121" t="s">
        <v>581</v>
      </c>
      <c r="E3536" s="121" t="s">
        <v>575</v>
      </c>
      <c r="F3536" s="121" t="s">
        <v>568</v>
      </c>
      <c r="G3536" s="81"/>
      <c r="H3536" s="81"/>
      <c r="I3536" s="81"/>
      <c r="J3536" s="81"/>
      <c r="K3536" s="81"/>
      <c r="L3536" s="81"/>
      <c r="M3536" s="81"/>
      <c r="N3536" s="81"/>
    </row>
    <row r="3537" spans="1:14" ht="14.25" customHeight="1" x14ac:dyDescent="0.25">
      <c r="A3537" s="122" t="s">
        <v>593</v>
      </c>
      <c r="B3537" s="127">
        <v>1</v>
      </c>
      <c r="C3537" s="101">
        <v>32688</v>
      </c>
      <c r="D3537" s="101">
        <f t="shared" ref="D3537:D3538" si="194">+C3537*1.7</f>
        <v>55569.599999999999</v>
      </c>
      <c r="E3537" s="107">
        <v>5.62</v>
      </c>
      <c r="F3537" s="106">
        <f t="shared" ref="F3537:F3538" si="195">+B3537*(D3537)/E3537</f>
        <v>9887.8291814946606</v>
      </c>
      <c r="G3537" s="81"/>
      <c r="H3537" s="81"/>
      <c r="I3537" s="81"/>
      <c r="J3537" s="81"/>
      <c r="K3537" s="81"/>
      <c r="L3537" s="81"/>
      <c r="M3537" s="81"/>
      <c r="N3537" s="81"/>
    </row>
    <row r="3538" spans="1:14" ht="14.25" customHeight="1" x14ac:dyDescent="0.25">
      <c r="A3538" s="122" t="s">
        <v>594</v>
      </c>
      <c r="B3538" s="127">
        <v>1</v>
      </c>
      <c r="C3538" s="101">
        <v>52538</v>
      </c>
      <c r="D3538" s="101">
        <f t="shared" si="194"/>
        <v>89314.599999999991</v>
      </c>
      <c r="E3538" s="107">
        <f>E3537</f>
        <v>5.62</v>
      </c>
      <c r="F3538" s="106">
        <f t="shared" si="195"/>
        <v>15892.277580071173</v>
      </c>
      <c r="G3538" s="81"/>
      <c r="H3538" s="81"/>
      <c r="I3538" s="81"/>
      <c r="J3538" s="81"/>
      <c r="K3538" s="81"/>
      <c r="L3538" s="81"/>
      <c r="M3538" s="81"/>
      <c r="N3538" s="81"/>
    </row>
    <row r="3539" spans="1:14" ht="14.25" customHeight="1" x14ac:dyDescent="0.25">
      <c r="A3539" s="122"/>
      <c r="B3539" s="127"/>
      <c r="C3539" s="101"/>
      <c r="D3539" s="101"/>
      <c r="E3539" s="105"/>
      <c r="F3539" s="106"/>
      <c r="G3539" s="81"/>
      <c r="H3539" s="81"/>
      <c r="I3539" s="81"/>
      <c r="J3539" s="81"/>
      <c r="K3539" s="81"/>
      <c r="L3539" s="81"/>
      <c r="M3539" s="81"/>
      <c r="N3539" s="81"/>
    </row>
    <row r="3540" spans="1:14" ht="14.25" customHeight="1" x14ac:dyDescent="0.25">
      <c r="A3540" s="122"/>
      <c r="B3540" s="127"/>
      <c r="C3540" s="101"/>
      <c r="D3540" s="101"/>
      <c r="E3540" s="125"/>
      <c r="F3540" s="106"/>
      <c r="G3540" s="81"/>
      <c r="H3540" s="81"/>
      <c r="I3540" s="81"/>
      <c r="J3540" s="81"/>
      <c r="K3540" s="81"/>
      <c r="L3540" s="81"/>
      <c r="M3540" s="81"/>
      <c r="N3540" s="81"/>
    </row>
    <row r="3541" spans="1:14" ht="14.25" customHeight="1" x14ac:dyDescent="0.25">
      <c r="A3541" s="97" t="s">
        <v>548</v>
      </c>
      <c r="B3541" s="128"/>
      <c r="C3541" s="110"/>
      <c r="D3541" s="110"/>
      <c r="E3541" s="110"/>
      <c r="F3541" s="112">
        <f>SUM(F3537:F3540)</f>
        <v>25780.106761565832</v>
      </c>
      <c r="G3541" s="81"/>
      <c r="H3541" s="81"/>
      <c r="I3541" s="81"/>
      <c r="J3541" s="81"/>
      <c r="K3541" s="81"/>
      <c r="L3541" s="81"/>
      <c r="M3541" s="81"/>
      <c r="N3541" s="81"/>
    </row>
    <row r="3542" spans="1:14" ht="14.25" customHeight="1" x14ac:dyDescent="0.25">
      <c r="A3542" s="96"/>
      <c r="B3542" s="129"/>
      <c r="C3542" s="118"/>
      <c r="D3542" s="118"/>
      <c r="E3542" s="118"/>
      <c r="F3542" s="118"/>
      <c r="G3542" s="81"/>
      <c r="H3542" s="81"/>
      <c r="I3542" s="81"/>
      <c r="J3542" s="81"/>
      <c r="K3542" s="81"/>
      <c r="L3542" s="81"/>
      <c r="M3542" s="81"/>
      <c r="N3542" s="81"/>
    </row>
    <row r="3543" spans="1:14" ht="14.25" customHeight="1" x14ac:dyDescent="0.25">
      <c r="A3543" s="95" t="s">
        <v>583</v>
      </c>
      <c r="B3543" s="96"/>
      <c r="C3543" s="92"/>
      <c r="D3543" s="92"/>
      <c r="E3543" s="92" t="s">
        <v>584</v>
      </c>
      <c r="F3543" s="92"/>
      <c r="G3543" s="81"/>
      <c r="H3543" s="81"/>
      <c r="I3543" s="81"/>
      <c r="J3543" s="81"/>
      <c r="K3543" s="81"/>
      <c r="L3543" s="81"/>
      <c r="M3543" s="81"/>
      <c r="N3543" s="81"/>
    </row>
    <row r="3544" spans="1:14" ht="14.25" customHeight="1" x14ac:dyDescent="0.25">
      <c r="A3544" s="97" t="s">
        <v>563</v>
      </c>
      <c r="B3544" s="98" t="s">
        <v>564</v>
      </c>
      <c r="C3544" s="98" t="s">
        <v>585</v>
      </c>
      <c r="D3544" s="98" t="s">
        <v>586</v>
      </c>
      <c r="E3544" s="120" t="s">
        <v>587</v>
      </c>
      <c r="F3544" s="98" t="s">
        <v>568</v>
      </c>
      <c r="G3544" s="81"/>
      <c r="H3544" s="81"/>
      <c r="I3544" s="81"/>
      <c r="J3544" s="81"/>
      <c r="K3544" s="81"/>
      <c r="L3544" s="81"/>
      <c r="M3544" s="81"/>
      <c r="N3544" s="81"/>
    </row>
    <row r="3545" spans="1:14" ht="14.25" customHeight="1" x14ac:dyDescent="0.25">
      <c r="A3545" s="103"/>
      <c r="B3545" s="100"/>
      <c r="C3545" s="101"/>
      <c r="D3545" s="140"/>
      <c r="E3545" s="107"/>
      <c r="F3545" s="109"/>
      <c r="G3545" s="81"/>
      <c r="H3545" s="81"/>
      <c r="I3545" s="81"/>
      <c r="J3545" s="81"/>
      <c r="K3545" s="81"/>
      <c r="L3545" s="81"/>
      <c r="M3545" s="81"/>
      <c r="N3545" s="81"/>
    </row>
    <row r="3546" spans="1:14" ht="14.25" customHeight="1" x14ac:dyDescent="0.25">
      <c r="A3546" s="103"/>
      <c r="B3546" s="100"/>
      <c r="C3546" s="107"/>
      <c r="D3546" s="107"/>
      <c r="E3546" s="108"/>
      <c r="F3546" s="109"/>
      <c r="G3546" s="81"/>
      <c r="H3546" s="81"/>
      <c r="I3546" s="81"/>
      <c r="J3546" s="81"/>
      <c r="K3546" s="81"/>
      <c r="L3546" s="81"/>
      <c r="M3546" s="81"/>
      <c r="N3546" s="81"/>
    </row>
    <row r="3547" spans="1:14" ht="14.25" customHeight="1" x14ac:dyDescent="0.25">
      <c r="A3547" s="97" t="s">
        <v>548</v>
      </c>
      <c r="B3547" s="98"/>
      <c r="C3547" s="110"/>
      <c r="D3547" s="110"/>
      <c r="E3547" s="111"/>
      <c r="F3547" s="112">
        <f>SUM(F3545:F3546)</f>
        <v>0</v>
      </c>
      <c r="G3547" s="81"/>
      <c r="H3547" s="81"/>
      <c r="I3547" s="81"/>
      <c r="J3547" s="81"/>
      <c r="K3547" s="81"/>
      <c r="L3547" s="81"/>
      <c r="M3547" s="81"/>
      <c r="N3547" s="81"/>
    </row>
    <row r="3548" spans="1:14" ht="14.25" customHeight="1" x14ac:dyDescent="0.25">
      <c r="A3548" s="88"/>
      <c r="B3548" s="89"/>
      <c r="C3548" s="113"/>
      <c r="D3548" s="113"/>
      <c r="E3548" s="114"/>
      <c r="F3548" s="113"/>
      <c r="G3548" s="81"/>
      <c r="H3548" s="81"/>
      <c r="I3548" s="81"/>
      <c r="J3548" s="81"/>
      <c r="K3548" s="81"/>
      <c r="L3548" s="81"/>
      <c r="M3548" s="81"/>
      <c r="N3548" s="81"/>
    </row>
    <row r="3549" spans="1:14" ht="14.25" customHeight="1" x14ac:dyDescent="0.25">
      <c r="A3549" s="88"/>
      <c r="B3549" s="89"/>
      <c r="C3549" s="113"/>
      <c r="D3549" s="113"/>
      <c r="E3549" s="114"/>
      <c r="F3549" s="113"/>
      <c r="G3549" s="81"/>
      <c r="H3549" s="81"/>
      <c r="I3549" s="81"/>
      <c r="J3549" s="81"/>
      <c r="K3549" s="81"/>
      <c r="L3549" s="81"/>
      <c r="M3549" s="81"/>
      <c r="N3549" s="81"/>
    </row>
    <row r="3550" spans="1:14" ht="14.25" customHeight="1" x14ac:dyDescent="0.25">
      <c r="A3550" s="612" t="s">
        <v>588</v>
      </c>
      <c r="B3550" s="608"/>
      <c r="C3550" s="608"/>
      <c r="D3550" s="608"/>
      <c r="E3550" s="609"/>
      <c r="F3550" s="131">
        <f>ROUND(F3524+F3533+F3541+F3547,0)</f>
        <v>65380</v>
      </c>
      <c r="G3550" s="81"/>
      <c r="H3550" s="117"/>
      <c r="I3550" s="81"/>
      <c r="J3550" s="81"/>
      <c r="K3550" s="81"/>
      <c r="L3550" s="81"/>
      <c r="M3550" s="81"/>
      <c r="N3550" s="81"/>
    </row>
    <row r="3551" spans="1:14" ht="14.25" customHeight="1" x14ac:dyDescent="0.25">
      <c r="A3551" s="612" t="s">
        <v>589</v>
      </c>
      <c r="B3551" s="608"/>
      <c r="C3551" s="608"/>
      <c r="D3551" s="608"/>
      <c r="E3551" s="609"/>
      <c r="F3551" s="132"/>
      <c r="G3551" s="81"/>
      <c r="H3551" s="81"/>
      <c r="I3551" s="81"/>
      <c r="J3551" s="81"/>
      <c r="K3551" s="81"/>
      <c r="L3551" s="81"/>
      <c r="M3551" s="81"/>
      <c r="N3551" s="81"/>
    </row>
    <row r="3552" spans="1:14" ht="14.25" customHeight="1" x14ac:dyDescent="0.25">
      <c r="A3552" s="146" t="s">
        <v>556</v>
      </c>
      <c r="B3552" s="147"/>
      <c r="C3552" s="147"/>
      <c r="D3552" s="147"/>
      <c r="E3552" s="148"/>
      <c r="F3552" s="133"/>
      <c r="G3552" s="81"/>
      <c r="H3552" s="81"/>
      <c r="I3552" s="81"/>
      <c r="J3552" s="81"/>
      <c r="K3552" s="81"/>
      <c r="L3552" s="81"/>
      <c r="M3552" s="81"/>
      <c r="N3552" s="81"/>
    </row>
    <row r="3553" spans="1:14" ht="14.25" customHeight="1" x14ac:dyDescent="0.25">
      <c r="A3553" s="134"/>
      <c r="B3553" s="135"/>
      <c r="C3553" s="135"/>
      <c r="D3553" s="135"/>
      <c r="E3553" s="135"/>
      <c r="F3553" s="136"/>
      <c r="G3553" s="81"/>
      <c r="H3553" s="81"/>
      <c r="I3553" s="81"/>
      <c r="J3553" s="81"/>
      <c r="K3553" s="81"/>
      <c r="L3553" s="81"/>
      <c r="M3553" s="81"/>
      <c r="N3553" s="81"/>
    </row>
    <row r="3554" spans="1:14" ht="14.25" customHeight="1" x14ac:dyDescent="0.25">
      <c r="A3554" s="81"/>
      <c r="B3554" s="81"/>
      <c r="C3554" s="137"/>
      <c r="D3554" s="81"/>
      <c r="E3554" s="81"/>
      <c r="F3554" s="81"/>
      <c r="G3554" s="81"/>
      <c r="H3554" s="81"/>
      <c r="I3554" s="81"/>
      <c r="J3554" s="81"/>
      <c r="K3554" s="81"/>
      <c r="L3554" s="81"/>
      <c r="M3554" s="81"/>
      <c r="N3554" s="81"/>
    </row>
    <row r="3555" spans="1:14" ht="14.25" customHeight="1" x14ac:dyDescent="0.25">
      <c r="A3555" s="81"/>
      <c r="B3555" s="81"/>
      <c r="C3555" s="137"/>
      <c r="D3555" s="81"/>
      <c r="E3555" s="81"/>
      <c r="F3555" s="81"/>
      <c r="G3555" s="81"/>
      <c r="H3555" s="81"/>
      <c r="I3555" s="81"/>
      <c r="J3555" s="81"/>
      <c r="K3555" s="81"/>
      <c r="L3555" s="81"/>
      <c r="M3555" s="81"/>
      <c r="N3555" s="81"/>
    </row>
    <row r="3556" spans="1:14" ht="14.25" customHeight="1" x14ac:dyDescent="0.25">
      <c r="A3556" s="81"/>
      <c r="B3556" s="81"/>
      <c r="C3556" s="137"/>
      <c r="D3556" s="81"/>
      <c r="E3556" s="81"/>
      <c r="F3556" s="81"/>
      <c r="G3556" s="81"/>
      <c r="H3556" s="81"/>
      <c r="I3556" s="81"/>
      <c r="J3556" s="81"/>
      <c r="K3556" s="81"/>
      <c r="L3556" s="81"/>
      <c r="M3556" s="81"/>
      <c r="N3556" s="81"/>
    </row>
    <row r="3557" spans="1:14" ht="14.25" customHeight="1" x14ac:dyDescent="0.25">
      <c r="A3557" s="81"/>
      <c r="B3557" s="81"/>
      <c r="C3557" s="137"/>
      <c r="D3557" s="81"/>
      <c r="E3557" s="81"/>
      <c r="F3557" s="81"/>
      <c r="G3557" s="81"/>
      <c r="H3557" s="81"/>
      <c r="I3557" s="81"/>
      <c r="J3557" s="81"/>
      <c r="K3557" s="81"/>
      <c r="L3557" s="81"/>
      <c r="M3557" s="81"/>
      <c r="N3557" s="81"/>
    </row>
    <row r="3558" spans="1:14" ht="14.25" customHeight="1" x14ac:dyDescent="0.25">
      <c r="A3558" s="81"/>
      <c r="B3558" s="81"/>
      <c r="C3558" s="137"/>
      <c r="D3558" s="81"/>
      <c r="E3558" s="81"/>
      <c r="F3558" s="81"/>
      <c r="G3558" s="81"/>
      <c r="H3558" s="81"/>
      <c r="I3558" s="81"/>
      <c r="J3558" s="81"/>
      <c r="K3558" s="81"/>
      <c r="L3558" s="81"/>
      <c r="M3558" s="81"/>
      <c r="N3558" s="81"/>
    </row>
    <row r="3559" spans="1:14" ht="14.25" customHeight="1" x14ac:dyDescent="0.25">
      <c r="A3559" s="134"/>
      <c r="B3559" s="135"/>
      <c r="C3559" s="135"/>
      <c r="D3559" s="135"/>
      <c r="E3559" s="135"/>
      <c r="F3559" s="136"/>
      <c r="G3559" s="81"/>
      <c r="H3559" s="81"/>
      <c r="I3559" s="81"/>
      <c r="J3559" s="81"/>
      <c r="K3559" s="81"/>
      <c r="L3559" s="81"/>
      <c r="M3559" s="81"/>
      <c r="N3559" s="81"/>
    </row>
    <row r="3560" spans="1:14" ht="14.25" customHeight="1" x14ac:dyDescent="0.25">
      <c r="A3560" s="134"/>
      <c r="B3560" s="135"/>
      <c r="C3560" s="135"/>
      <c r="D3560" s="135"/>
      <c r="E3560" s="135"/>
      <c r="F3560" s="136"/>
      <c r="G3560" s="81"/>
      <c r="H3560" s="81"/>
      <c r="I3560" s="81"/>
      <c r="J3560" s="81"/>
      <c r="K3560" s="81"/>
      <c r="L3560" s="81"/>
      <c r="M3560" s="81"/>
      <c r="N3560" s="81"/>
    </row>
    <row r="3561" spans="1:14" ht="14.25" customHeight="1" x14ac:dyDescent="0.25">
      <c r="A3561" s="134"/>
      <c r="B3561" s="135"/>
      <c r="C3561" s="135"/>
      <c r="D3561" s="135"/>
      <c r="E3561" s="135"/>
      <c r="F3561" s="136"/>
      <c r="G3561" s="81"/>
      <c r="H3561" s="81"/>
      <c r="I3561" s="81"/>
      <c r="J3561" s="81"/>
      <c r="K3561" s="81"/>
      <c r="L3561" s="81"/>
      <c r="M3561" s="81"/>
      <c r="N3561" s="81"/>
    </row>
    <row r="3562" spans="1:14" ht="14.25" customHeight="1" thickBot="1" x14ac:dyDescent="0.3">
      <c r="A3562" s="81"/>
      <c r="B3562" s="81"/>
      <c r="C3562" s="81"/>
      <c r="D3562" s="81"/>
      <c r="E3562" s="81"/>
      <c r="F3562" s="81"/>
      <c r="G3562" s="81"/>
      <c r="H3562" s="81"/>
      <c r="I3562" s="81"/>
      <c r="J3562" s="81"/>
      <c r="K3562" s="81"/>
      <c r="L3562" s="81"/>
      <c r="M3562" s="81"/>
      <c r="N3562" s="81"/>
    </row>
    <row r="3563" spans="1:14" ht="14.25" customHeight="1" x14ac:dyDescent="0.25">
      <c r="A3563" s="83"/>
      <c r="B3563" s="84"/>
      <c r="C3563" s="85"/>
      <c r="D3563" s="86"/>
      <c r="E3563" s="86"/>
      <c r="F3563" s="87"/>
      <c r="G3563" s="81"/>
      <c r="H3563" s="81"/>
      <c r="I3563" s="81"/>
      <c r="J3563" s="81"/>
      <c r="K3563" s="81"/>
      <c r="L3563" s="81"/>
      <c r="M3563" s="81"/>
      <c r="N3563" s="81"/>
    </row>
    <row r="3564" spans="1:14" ht="14.25" customHeight="1" x14ac:dyDescent="0.25">
      <c r="A3564" s="599"/>
      <c r="B3564" s="600"/>
      <c r="C3564" s="600"/>
      <c r="D3564" s="600"/>
      <c r="E3564" s="600"/>
      <c r="F3564" s="601"/>
      <c r="G3564" s="81"/>
      <c r="H3564" s="81"/>
      <c r="I3564" s="81"/>
      <c r="J3564" s="81"/>
      <c r="K3564" s="81"/>
      <c r="L3564" s="81"/>
      <c r="M3564" s="81"/>
      <c r="N3564" s="81"/>
    </row>
    <row r="3565" spans="1:14" ht="14.25" customHeight="1" x14ac:dyDescent="0.25">
      <c r="A3565" s="602" t="s">
        <v>561</v>
      </c>
      <c r="B3565" s="600"/>
      <c r="C3565" s="600"/>
      <c r="D3565" s="600"/>
      <c r="E3565" s="600"/>
      <c r="F3565" s="601"/>
      <c r="G3565" s="81"/>
      <c r="H3565" s="81"/>
      <c r="I3565" s="81"/>
      <c r="J3565" s="81"/>
      <c r="K3565" s="81"/>
      <c r="L3565" s="81"/>
      <c r="M3565" s="81"/>
      <c r="N3565" s="81"/>
    </row>
    <row r="3566" spans="1:14" ht="14.25" customHeight="1" thickBot="1" x14ac:dyDescent="0.3">
      <c r="A3566" s="603"/>
      <c r="B3566" s="604"/>
      <c r="C3566" s="604"/>
      <c r="D3566" s="604"/>
      <c r="E3566" s="604"/>
      <c r="F3566" s="605"/>
      <c r="G3566" s="81"/>
      <c r="H3566" s="81"/>
      <c r="I3566" s="81"/>
      <c r="J3566" s="81"/>
      <c r="K3566" s="81"/>
      <c r="L3566" s="81"/>
      <c r="M3566" s="81"/>
      <c r="N3566" s="81"/>
    </row>
    <row r="3567" spans="1:14" ht="14.25" customHeight="1" x14ac:dyDescent="0.25">
      <c r="A3567" s="88"/>
      <c r="B3567" s="88"/>
      <c r="C3567" s="89"/>
      <c r="D3567" s="89"/>
      <c r="E3567" s="89"/>
      <c r="F3567" s="89"/>
      <c r="G3567" s="81"/>
      <c r="H3567" s="81"/>
      <c r="I3567" s="81"/>
      <c r="J3567" s="81"/>
      <c r="K3567" s="81"/>
      <c r="L3567" s="81"/>
      <c r="M3567" s="81"/>
      <c r="N3567" s="81"/>
    </row>
    <row r="3568" spans="1:14" ht="14.25" customHeight="1" x14ac:dyDescent="0.25">
      <c r="A3568" s="90" t="s">
        <v>47</v>
      </c>
      <c r="B3568" s="613" t="s">
        <v>179</v>
      </c>
      <c r="C3568" s="600"/>
      <c r="D3568" s="600"/>
      <c r="E3568" s="600"/>
      <c r="F3568" s="600"/>
      <c r="G3568" s="81"/>
      <c r="H3568" s="81"/>
      <c r="I3568" s="81"/>
      <c r="J3568" s="81"/>
      <c r="K3568" s="81"/>
      <c r="L3568" s="81"/>
      <c r="M3568" s="81"/>
      <c r="N3568" s="81"/>
    </row>
    <row r="3569" spans="1:14" ht="14.25" customHeight="1" x14ac:dyDescent="0.25">
      <c r="A3569" s="91"/>
      <c r="B3569" s="91"/>
      <c r="C3569" s="91"/>
      <c r="D3569" s="91"/>
      <c r="E3569" s="91"/>
      <c r="F3569" s="91"/>
      <c r="G3569" s="81"/>
      <c r="H3569" s="81"/>
      <c r="I3569" s="81"/>
      <c r="J3569" s="81"/>
      <c r="K3569" s="81"/>
      <c r="L3569" s="81"/>
      <c r="M3569" s="81"/>
      <c r="N3569" s="81"/>
    </row>
    <row r="3570" spans="1:14" ht="14.25" customHeight="1" x14ac:dyDescent="0.25">
      <c r="A3570" s="88" t="s">
        <v>49</v>
      </c>
      <c r="B3570" s="92" t="s">
        <v>56</v>
      </c>
      <c r="C3570" s="89"/>
      <c r="D3570" s="89"/>
      <c r="E3570" s="89"/>
      <c r="F3570" s="93"/>
      <c r="G3570" s="81"/>
      <c r="H3570" s="81"/>
      <c r="I3570" s="81"/>
      <c r="J3570" s="81"/>
      <c r="K3570" s="81"/>
      <c r="L3570" s="81"/>
      <c r="M3570" s="81"/>
      <c r="N3570" s="81"/>
    </row>
    <row r="3571" spans="1:14" ht="14.25" customHeight="1" x14ac:dyDescent="0.25">
      <c r="A3571" s="88"/>
      <c r="B3571" s="94"/>
      <c r="C3571" s="89"/>
      <c r="D3571" s="89"/>
      <c r="E3571" s="89"/>
      <c r="F3571" s="93"/>
      <c r="G3571" s="81"/>
      <c r="H3571" s="81"/>
      <c r="I3571" s="81"/>
      <c r="J3571" s="81"/>
      <c r="K3571" s="81"/>
      <c r="L3571" s="81"/>
      <c r="M3571" s="81"/>
      <c r="N3571" s="81"/>
    </row>
    <row r="3572" spans="1:14" ht="14.25" customHeight="1" x14ac:dyDescent="0.25">
      <c r="A3572" s="95" t="s">
        <v>562</v>
      </c>
      <c r="B3572" s="96"/>
      <c r="C3572" s="92"/>
      <c r="D3572" s="92"/>
      <c r="E3572" s="92"/>
      <c r="F3572" s="92"/>
      <c r="G3572" s="81"/>
      <c r="H3572" s="81"/>
      <c r="I3572" s="81"/>
      <c r="J3572" s="81"/>
      <c r="K3572" s="81"/>
      <c r="L3572" s="81"/>
      <c r="M3572" s="81"/>
      <c r="N3572" s="81"/>
    </row>
    <row r="3573" spans="1:14" ht="14.25" customHeight="1" x14ac:dyDescent="0.25">
      <c r="A3573" s="97" t="s">
        <v>563</v>
      </c>
      <c r="B3573" s="98" t="s">
        <v>564</v>
      </c>
      <c r="C3573" s="98" t="s">
        <v>565</v>
      </c>
      <c r="D3573" s="98" t="s">
        <v>566</v>
      </c>
      <c r="E3573" s="98" t="s">
        <v>567</v>
      </c>
      <c r="F3573" s="98" t="s">
        <v>568</v>
      </c>
      <c r="G3573" s="81"/>
      <c r="H3573" s="81"/>
      <c r="I3573" s="81"/>
      <c r="J3573" s="81"/>
      <c r="K3573" s="81"/>
      <c r="L3573" s="81"/>
      <c r="M3573" s="81"/>
      <c r="N3573" s="81"/>
    </row>
    <row r="3574" spans="1:14" ht="14.25" customHeight="1" x14ac:dyDescent="0.25">
      <c r="A3574" s="99" t="s">
        <v>707</v>
      </c>
      <c r="B3574" s="100" t="s">
        <v>56</v>
      </c>
      <c r="C3574" s="101">
        <v>30150</v>
      </c>
      <c r="D3574" s="149">
        <v>1</v>
      </c>
      <c r="E3574" s="102">
        <v>0.05</v>
      </c>
      <c r="F3574" s="101">
        <f t="shared" ref="F3574:F3577" si="196">C3574*(D3574+(D3574*E3574))</f>
        <v>31657.5</v>
      </c>
      <c r="G3574" s="81"/>
      <c r="H3574" s="81"/>
      <c r="I3574" s="81"/>
      <c r="J3574" s="81"/>
      <c r="K3574" s="81"/>
      <c r="L3574" s="81"/>
      <c r="M3574" s="81"/>
      <c r="N3574" s="81"/>
    </row>
    <row r="3575" spans="1:14" ht="14.25" customHeight="1" x14ac:dyDescent="0.25">
      <c r="A3575" s="99" t="s">
        <v>662</v>
      </c>
      <c r="B3575" s="100" t="s">
        <v>64</v>
      </c>
      <c r="C3575" s="101">
        <v>373380</v>
      </c>
      <c r="D3575" s="149">
        <v>0.03</v>
      </c>
      <c r="E3575" s="102">
        <v>0.05</v>
      </c>
      <c r="F3575" s="101">
        <f t="shared" si="196"/>
        <v>11761.47</v>
      </c>
      <c r="G3575" s="81"/>
      <c r="H3575" s="81"/>
      <c r="I3575" s="81"/>
      <c r="J3575" s="81"/>
      <c r="K3575" s="81"/>
      <c r="L3575" s="81"/>
      <c r="M3575" s="81"/>
      <c r="N3575" s="81"/>
    </row>
    <row r="3576" spans="1:14" ht="14.25" customHeight="1" x14ac:dyDescent="0.25">
      <c r="A3576" s="99" t="s">
        <v>611</v>
      </c>
      <c r="B3576" s="100" t="s">
        <v>612</v>
      </c>
      <c r="C3576" s="101">
        <v>12</v>
      </c>
      <c r="D3576" s="104">
        <v>24</v>
      </c>
      <c r="E3576" s="102">
        <v>0.05</v>
      </c>
      <c r="F3576" s="101">
        <f t="shared" si="196"/>
        <v>302.39999999999998</v>
      </c>
      <c r="G3576" s="81"/>
      <c r="H3576" s="81"/>
      <c r="I3576" s="81"/>
      <c r="J3576" s="81"/>
      <c r="K3576" s="81"/>
      <c r="L3576" s="81"/>
      <c r="M3576" s="81"/>
      <c r="N3576" s="81"/>
    </row>
    <row r="3577" spans="1:14" ht="14.25" customHeight="1" x14ac:dyDescent="0.25">
      <c r="A3577" s="99"/>
      <c r="B3577" s="100"/>
      <c r="C3577" s="101"/>
      <c r="D3577" s="149"/>
      <c r="E3577" s="102"/>
      <c r="F3577" s="101">
        <f t="shared" si="196"/>
        <v>0</v>
      </c>
      <c r="G3577" s="81"/>
      <c r="H3577" s="81"/>
      <c r="I3577" s="81"/>
      <c r="J3577" s="81"/>
      <c r="K3577" s="81"/>
      <c r="L3577" s="81"/>
      <c r="M3577" s="81"/>
      <c r="N3577" s="81"/>
    </row>
    <row r="3578" spans="1:14" ht="14.25" customHeight="1" x14ac:dyDescent="0.25">
      <c r="A3578" s="99"/>
      <c r="B3578" s="100"/>
      <c r="C3578" s="106"/>
      <c r="D3578" s="107"/>
      <c r="E3578" s="108"/>
      <c r="F3578" s="106"/>
      <c r="G3578" s="81"/>
      <c r="H3578" s="81"/>
      <c r="I3578" s="81"/>
      <c r="J3578" s="81"/>
      <c r="K3578" s="81"/>
      <c r="L3578" s="81"/>
      <c r="M3578" s="81"/>
      <c r="N3578" s="81"/>
    </row>
    <row r="3579" spans="1:14" ht="14.25" customHeight="1" x14ac:dyDescent="0.25">
      <c r="A3579" s="97" t="s">
        <v>548</v>
      </c>
      <c r="B3579" s="97"/>
      <c r="C3579" s="109"/>
      <c r="D3579" s="110"/>
      <c r="E3579" s="111"/>
      <c r="F3579" s="112">
        <f>SUM(F3574:F3578)</f>
        <v>43721.37</v>
      </c>
      <c r="G3579" s="81"/>
      <c r="H3579" s="81"/>
      <c r="I3579" s="81"/>
      <c r="J3579" s="81"/>
      <c r="K3579" s="81"/>
      <c r="L3579" s="81"/>
      <c r="M3579" s="81"/>
      <c r="N3579" s="81"/>
    </row>
    <row r="3580" spans="1:14" ht="14.25" customHeight="1" x14ac:dyDescent="0.25">
      <c r="A3580" s="88"/>
      <c r="B3580" s="88"/>
      <c r="C3580" s="113"/>
      <c r="D3580" s="113"/>
      <c r="E3580" s="114"/>
      <c r="F3580" s="113"/>
      <c r="G3580" s="81"/>
      <c r="H3580" s="81"/>
      <c r="I3580" s="81"/>
      <c r="J3580" s="81"/>
      <c r="K3580" s="81"/>
      <c r="L3580" s="81"/>
      <c r="M3580" s="81"/>
      <c r="N3580" s="81"/>
    </row>
    <row r="3581" spans="1:14" ht="14.25" customHeight="1" x14ac:dyDescent="0.25">
      <c r="A3581" s="96" t="s">
        <v>573</v>
      </c>
      <c r="B3581" s="96"/>
      <c r="C3581" s="92"/>
      <c r="D3581" s="92"/>
      <c r="E3581" s="92"/>
      <c r="F3581" s="92"/>
      <c r="G3581" s="81"/>
      <c r="H3581" s="81"/>
      <c r="I3581" s="81"/>
      <c r="J3581" s="81"/>
      <c r="K3581" s="81"/>
      <c r="L3581" s="81"/>
      <c r="M3581" s="81"/>
      <c r="N3581" s="81"/>
    </row>
    <row r="3582" spans="1:14" ht="14.25" customHeight="1" x14ac:dyDescent="0.25">
      <c r="A3582" s="611" t="s">
        <v>563</v>
      </c>
      <c r="B3582" s="608"/>
      <c r="C3582" s="609"/>
      <c r="D3582" s="98" t="s">
        <v>574</v>
      </c>
      <c r="E3582" s="98" t="s">
        <v>575</v>
      </c>
      <c r="F3582" s="98" t="s">
        <v>568</v>
      </c>
      <c r="G3582" s="81"/>
      <c r="H3582" s="81"/>
      <c r="I3582" s="81"/>
      <c r="J3582" s="81"/>
      <c r="K3582" s="81"/>
      <c r="L3582" s="81"/>
      <c r="M3582" s="81"/>
      <c r="N3582" s="81"/>
    </row>
    <row r="3583" spans="1:14" ht="14.25" customHeight="1" x14ac:dyDescent="0.25">
      <c r="A3583" s="607" t="s">
        <v>577</v>
      </c>
      <c r="B3583" s="608"/>
      <c r="C3583" s="609"/>
      <c r="D3583" s="116"/>
      <c r="E3583" s="107"/>
      <c r="F3583" s="106">
        <v>886</v>
      </c>
      <c r="G3583" s="81"/>
      <c r="H3583" s="81"/>
      <c r="I3583" s="81"/>
      <c r="J3583" s="81"/>
      <c r="K3583" s="81"/>
      <c r="L3583" s="81"/>
      <c r="M3583" s="81"/>
      <c r="N3583" s="81"/>
    </row>
    <row r="3584" spans="1:14" ht="14.25" customHeight="1" x14ac:dyDescent="0.25">
      <c r="A3584" s="607" t="s">
        <v>657</v>
      </c>
      <c r="B3584" s="608"/>
      <c r="C3584" s="609"/>
      <c r="D3584" s="142">
        <v>1850</v>
      </c>
      <c r="E3584" s="107">
        <v>1</v>
      </c>
      <c r="F3584" s="106">
        <f t="shared" ref="F3584:F3585" si="197">D3584/E3584</f>
        <v>1850</v>
      </c>
      <c r="G3584" s="81"/>
      <c r="H3584" s="81"/>
      <c r="I3584" s="81"/>
      <c r="J3584" s="81"/>
      <c r="K3584" s="81"/>
      <c r="L3584" s="81"/>
      <c r="M3584" s="81"/>
      <c r="N3584" s="81"/>
    </row>
    <row r="3585" spans="1:14" ht="14.25" customHeight="1" x14ac:dyDescent="0.25">
      <c r="A3585" s="607" t="s">
        <v>680</v>
      </c>
      <c r="B3585" s="608"/>
      <c r="C3585" s="609"/>
      <c r="D3585" s="142">
        <v>5250</v>
      </c>
      <c r="E3585" s="107">
        <v>2.6</v>
      </c>
      <c r="F3585" s="106">
        <f t="shared" si="197"/>
        <v>2019.2307692307691</v>
      </c>
      <c r="G3585" s="81"/>
      <c r="H3585" s="81"/>
      <c r="I3585" s="81"/>
      <c r="J3585" s="81"/>
      <c r="K3585" s="81"/>
      <c r="L3585" s="81"/>
      <c r="M3585" s="81"/>
      <c r="N3585" s="81"/>
    </row>
    <row r="3586" spans="1:14" ht="14.25" customHeight="1" x14ac:dyDescent="0.25">
      <c r="A3586" s="607"/>
      <c r="B3586" s="608"/>
      <c r="C3586" s="609"/>
      <c r="D3586" s="142"/>
      <c r="E3586" s="107"/>
      <c r="F3586" s="106"/>
      <c r="G3586" s="81"/>
      <c r="H3586" s="81"/>
      <c r="I3586" s="81"/>
      <c r="J3586" s="81"/>
      <c r="K3586" s="81"/>
      <c r="L3586" s="81"/>
      <c r="M3586" s="81"/>
      <c r="N3586" s="81"/>
    </row>
    <row r="3587" spans="1:14" ht="14.25" customHeight="1" x14ac:dyDescent="0.25">
      <c r="A3587" s="610"/>
      <c r="B3587" s="608"/>
      <c r="C3587" s="609"/>
      <c r="D3587" s="115"/>
      <c r="E3587" s="107"/>
      <c r="F3587" s="106"/>
      <c r="G3587" s="81"/>
      <c r="H3587" s="81"/>
      <c r="I3587" s="81"/>
      <c r="J3587" s="81"/>
      <c r="K3587" s="81"/>
      <c r="L3587" s="81"/>
      <c r="M3587" s="81"/>
      <c r="N3587" s="81"/>
    </row>
    <row r="3588" spans="1:14" ht="14.25" customHeight="1" x14ac:dyDescent="0.25">
      <c r="A3588" s="611" t="s">
        <v>548</v>
      </c>
      <c r="B3588" s="608"/>
      <c r="C3588" s="609"/>
      <c r="D3588" s="110"/>
      <c r="E3588" s="110"/>
      <c r="F3588" s="112">
        <f>SUM(F3583:F3586)</f>
        <v>4755.2307692307695</v>
      </c>
      <c r="G3588" s="81"/>
      <c r="H3588" s="81"/>
      <c r="I3588" s="81"/>
      <c r="J3588" s="81"/>
      <c r="K3588" s="81"/>
      <c r="L3588" s="81"/>
      <c r="M3588" s="81"/>
      <c r="N3588" s="81"/>
    </row>
    <row r="3589" spans="1:14" ht="14.25" customHeight="1" x14ac:dyDescent="0.25">
      <c r="A3589" s="88"/>
      <c r="B3589" s="88"/>
      <c r="C3589" s="89"/>
      <c r="D3589" s="113"/>
      <c r="E3589" s="113"/>
      <c r="F3589" s="113"/>
      <c r="G3589" s="81"/>
      <c r="H3589" s="81"/>
      <c r="I3589" s="81"/>
      <c r="J3589" s="81"/>
      <c r="K3589" s="81"/>
      <c r="L3589" s="81"/>
      <c r="M3589" s="81"/>
      <c r="N3589" s="81"/>
    </row>
    <row r="3590" spans="1:14" ht="14.25" customHeight="1" x14ac:dyDescent="0.25">
      <c r="A3590" s="96" t="s">
        <v>578</v>
      </c>
      <c r="B3590" s="96"/>
      <c r="C3590" s="92"/>
      <c r="D3590" s="118"/>
      <c r="E3590" s="118"/>
      <c r="F3590" s="118"/>
      <c r="G3590" s="81"/>
      <c r="H3590" s="81"/>
      <c r="I3590" s="81"/>
      <c r="J3590" s="81"/>
      <c r="K3590" s="81"/>
      <c r="L3590" s="81"/>
      <c r="M3590" s="81"/>
      <c r="N3590" s="81"/>
    </row>
    <row r="3591" spans="1:14" ht="14.25" customHeight="1" x14ac:dyDescent="0.25">
      <c r="A3591" s="119" t="s">
        <v>563</v>
      </c>
      <c r="B3591" s="120" t="s">
        <v>579</v>
      </c>
      <c r="C3591" s="120" t="s">
        <v>580</v>
      </c>
      <c r="D3591" s="121" t="s">
        <v>581</v>
      </c>
      <c r="E3591" s="121" t="s">
        <v>575</v>
      </c>
      <c r="F3591" s="121" t="s">
        <v>568</v>
      </c>
      <c r="G3591" s="81"/>
      <c r="H3591" s="81"/>
      <c r="I3591" s="81"/>
      <c r="J3591" s="81"/>
      <c r="K3591" s="81"/>
      <c r="L3591" s="81"/>
      <c r="M3591" s="81"/>
      <c r="N3591" s="81"/>
    </row>
    <row r="3592" spans="1:14" ht="14.25" customHeight="1" x14ac:dyDescent="0.25">
      <c r="A3592" s="122" t="s">
        <v>593</v>
      </c>
      <c r="B3592" s="127">
        <v>1</v>
      </c>
      <c r="C3592" s="101">
        <v>32688</v>
      </c>
      <c r="D3592" s="101">
        <f t="shared" ref="D3592:D3593" si="198">+C3592*1.7</f>
        <v>55569.599999999999</v>
      </c>
      <c r="E3592" s="107">
        <v>10</v>
      </c>
      <c r="F3592" s="106">
        <f t="shared" ref="F3592:F3593" si="199">+B3592*(D3592)/E3592</f>
        <v>5556.96</v>
      </c>
      <c r="G3592" s="81"/>
      <c r="H3592" s="81"/>
      <c r="I3592" s="81"/>
      <c r="J3592" s="81"/>
      <c r="K3592" s="81"/>
      <c r="L3592" s="81"/>
      <c r="M3592" s="81"/>
      <c r="N3592" s="81"/>
    </row>
    <row r="3593" spans="1:14" ht="14.25" customHeight="1" x14ac:dyDescent="0.25">
      <c r="A3593" s="122" t="s">
        <v>594</v>
      </c>
      <c r="B3593" s="127">
        <v>1</v>
      </c>
      <c r="C3593" s="101">
        <v>52538</v>
      </c>
      <c r="D3593" s="101">
        <f t="shared" si="198"/>
        <v>89314.599999999991</v>
      </c>
      <c r="E3593" s="107">
        <f>E3592</f>
        <v>10</v>
      </c>
      <c r="F3593" s="106">
        <f t="shared" si="199"/>
        <v>8931.4599999999991</v>
      </c>
      <c r="G3593" s="81"/>
      <c r="H3593" s="81"/>
      <c r="I3593" s="81"/>
      <c r="J3593" s="81"/>
      <c r="K3593" s="81"/>
      <c r="L3593" s="81"/>
      <c r="M3593" s="81"/>
      <c r="N3593" s="81"/>
    </row>
    <row r="3594" spans="1:14" ht="14.25" customHeight="1" x14ac:dyDescent="0.25">
      <c r="A3594" s="122"/>
      <c r="B3594" s="127"/>
      <c r="C3594" s="101"/>
      <c r="D3594" s="101"/>
      <c r="E3594" s="105"/>
      <c r="F3594" s="106"/>
      <c r="G3594" s="81"/>
      <c r="H3594" s="81"/>
      <c r="I3594" s="81"/>
      <c r="J3594" s="81"/>
      <c r="K3594" s="81"/>
      <c r="L3594" s="81"/>
      <c r="M3594" s="81"/>
      <c r="N3594" s="81"/>
    </row>
    <row r="3595" spans="1:14" ht="14.25" customHeight="1" x14ac:dyDescent="0.25">
      <c r="A3595" s="122"/>
      <c r="B3595" s="127"/>
      <c r="C3595" s="101"/>
      <c r="D3595" s="101"/>
      <c r="E3595" s="125"/>
      <c r="F3595" s="106"/>
      <c r="G3595" s="81"/>
      <c r="H3595" s="81"/>
      <c r="I3595" s="81"/>
      <c r="J3595" s="81"/>
      <c r="K3595" s="81"/>
      <c r="L3595" s="81"/>
      <c r="M3595" s="81"/>
      <c r="N3595" s="81"/>
    </row>
    <row r="3596" spans="1:14" ht="14.25" customHeight="1" x14ac:dyDescent="0.25">
      <c r="A3596" s="97" t="s">
        <v>548</v>
      </c>
      <c r="B3596" s="128"/>
      <c r="C3596" s="110"/>
      <c r="D3596" s="110"/>
      <c r="E3596" s="110"/>
      <c r="F3596" s="112">
        <f>SUM(F3592:F3595)</f>
        <v>14488.419999999998</v>
      </c>
      <c r="G3596" s="81"/>
      <c r="H3596" s="81"/>
      <c r="I3596" s="81"/>
      <c r="J3596" s="81"/>
      <c r="K3596" s="81"/>
      <c r="L3596" s="81"/>
      <c r="M3596" s="81"/>
      <c r="N3596" s="81"/>
    </row>
    <row r="3597" spans="1:14" ht="14.25" customHeight="1" x14ac:dyDescent="0.25">
      <c r="A3597" s="96"/>
      <c r="B3597" s="129"/>
      <c r="C3597" s="118"/>
      <c r="D3597" s="118"/>
      <c r="E3597" s="118"/>
      <c r="F3597" s="118"/>
      <c r="G3597" s="81"/>
      <c r="H3597" s="81"/>
      <c r="I3597" s="81"/>
      <c r="J3597" s="81"/>
      <c r="K3597" s="81"/>
      <c r="L3597" s="81"/>
      <c r="M3597" s="81"/>
      <c r="N3597" s="81"/>
    </row>
    <row r="3598" spans="1:14" ht="14.25" customHeight="1" x14ac:dyDescent="0.25">
      <c r="A3598" s="95" t="s">
        <v>583</v>
      </c>
      <c r="B3598" s="96"/>
      <c r="C3598" s="92"/>
      <c r="D3598" s="92"/>
      <c r="E3598" s="92" t="s">
        <v>584</v>
      </c>
      <c r="F3598" s="92"/>
      <c r="G3598" s="81"/>
      <c r="H3598" s="81"/>
      <c r="I3598" s="81"/>
      <c r="J3598" s="81"/>
      <c r="K3598" s="81"/>
      <c r="L3598" s="81"/>
      <c r="M3598" s="81"/>
      <c r="N3598" s="81"/>
    </row>
    <row r="3599" spans="1:14" ht="14.25" customHeight="1" x14ac:dyDescent="0.25">
      <c r="A3599" s="97" t="s">
        <v>563</v>
      </c>
      <c r="B3599" s="98" t="s">
        <v>564</v>
      </c>
      <c r="C3599" s="98" t="s">
        <v>585</v>
      </c>
      <c r="D3599" s="98" t="s">
        <v>586</v>
      </c>
      <c r="E3599" s="120" t="s">
        <v>587</v>
      </c>
      <c r="F3599" s="98" t="s">
        <v>568</v>
      </c>
      <c r="G3599" s="81"/>
      <c r="H3599" s="81"/>
      <c r="I3599" s="81"/>
      <c r="J3599" s="81"/>
      <c r="K3599" s="81"/>
      <c r="L3599" s="81"/>
      <c r="M3599" s="81"/>
      <c r="N3599" s="81"/>
    </row>
    <row r="3600" spans="1:14" ht="14.25" customHeight="1" x14ac:dyDescent="0.25">
      <c r="A3600" s="103"/>
      <c r="B3600" s="100"/>
      <c r="C3600" s="101"/>
      <c r="D3600" s="140"/>
      <c r="E3600" s="107"/>
      <c r="F3600" s="109"/>
      <c r="G3600" s="81"/>
      <c r="H3600" s="81"/>
      <c r="I3600" s="81"/>
      <c r="J3600" s="81"/>
      <c r="K3600" s="81"/>
      <c r="L3600" s="81"/>
      <c r="M3600" s="81"/>
      <c r="N3600" s="81"/>
    </row>
    <row r="3601" spans="1:14" ht="14.25" customHeight="1" x14ac:dyDescent="0.25">
      <c r="A3601" s="103"/>
      <c r="B3601" s="100"/>
      <c r="C3601" s="107"/>
      <c r="D3601" s="107"/>
      <c r="E3601" s="108"/>
      <c r="F3601" s="109"/>
      <c r="G3601" s="81"/>
      <c r="H3601" s="81"/>
      <c r="I3601" s="81"/>
      <c r="J3601" s="81"/>
      <c r="K3601" s="81"/>
      <c r="L3601" s="81"/>
      <c r="M3601" s="81"/>
      <c r="N3601" s="81"/>
    </row>
    <row r="3602" spans="1:14" ht="14.25" customHeight="1" x14ac:dyDescent="0.25">
      <c r="A3602" s="97" t="s">
        <v>548</v>
      </c>
      <c r="B3602" s="98"/>
      <c r="C3602" s="110"/>
      <c r="D3602" s="110"/>
      <c r="E3602" s="111"/>
      <c r="F3602" s="112">
        <f>SUM(F3600:F3601)</f>
        <v>0</v>
      </c>
      <c r="G3602" s="81"/>
      <c r="H3602" s="81"/>
      <c r="I3602" s="81"/>
      <c r="J3602" s="81"/>
      <c r="K3602" s="81"/>
      <c r="L3602" s="81"/>
      <c r="M3602" s="81"/>
      <c r="N3602" s="81"/>
    </row>
    <row r="3603" spans="1:14" ht="14.25" customHeight="1" x14ac:dyDescent="0.25">
      <c r="A3603" s="88"/>
      <c r="B3603" s="89"/>
      <c r="C3603" s="113"/>
      <c r="D3603" s="113"/>
      <c r="E3603" s="114"/>
      <c r="F3603" s="113"/>
      <c r="G3603" s="81"/>
      <c r="H3603" s="81"/>
      <c r="I3603" s="81"/>
      <c r="J3603" s="81"/>
      <c r="K3603" s="81"/>
      <c r="L3603" s="81"/>
      <c r="M3603" s="81"/>
      <c r="N3603" s="81"/>
    </row>
    <row r="3604" spans="1:14" ht="14.25" customHeight="1" x14ac:dyDescent="0.25">
      <c r="A3604" s="88"/>
      <c r="B3604" s="89"/>
      <c r="C3604" s="113"/>
      <c r="D3604" s="113"/>
      <c r="E3604" s="114"/>
      <c r="F3604" s="113"/>
      <c r="G3604" s="81"/>
      <c r="H3604" s="81"/>
      <c r="I3604" s="81"/>
      <c r="J3604" s="81"/>
      <c r="K3604" s="81"/>
      <c r="L3604" s="81"/>
      <c r="M3604" s="81"/>
      <c r="N3604" s="81"/>
    </row>
    <row r="3605" spans="1:14" ht="14.25" customHeight="1" x14ac:dyDescent="0.25">
      <c r="A3605" s="612" t="s">
        <v>588</v>
      </c>
      <c r="B3605" s="608"/>
      <c r="C3605" s="608"/>
      <c r="D3605" s="608"/>
      <c r="E3605" s="609"/>
      <c r="F3605" s="131">
        <f>ROUND(F3579+F3588+F3596+F3602,0)</f>
        <v>62965</v>
      </c>
      <c r="G3605" s="81"/>
      <c r="H3605" s="117">
        <f>62965-F3605</f>
        <v>0</v>
      </c>
      <c r="I3605" s="81"/>
      <c r="J3605" s="81"/>
      <c r="K3605" s="81"/>
      <c r="L3605" s="81"/>
      <c r="M3605" s="81"/>
      <c r="N3605" s="81"/>
    </row>
    <row r="3606" spans="1:14" ht="14.25" customHeight="1" x14ac:dyDescent="0.25">
      <c r="A3606" s="612" t="s">
        <v>589</v>
      </c>
      <c r="B3606" s="608"/>
      <c r="C3606" s="608"/>
      <c r="D3606" s="608"/>
      <c r="E3606" s="609"/>
      <c r="F3606" s="132"/>
      <c r="G3606" s="81"/>
      <c r="H3606" s="81"/>
      <c r="I3606" s="81"/>
      <c r="J3606" s="81"/>
      <c r="K3606" s="81"/>
      <c r="L3606" s="81"/>
      <c r="M3606" s="81"/>
      <c r="N3606" s="81"/>
    </row>
    <row r="3607" spans="1:14" ht="14.25" customHeight="1" x14ac:dyDescent="0.25">
      <c r="A3607" s="146" t="s">
        <v>556</v>
      </c>
      <c r="B3607" s="147"/>
      <c r="C3607" s="147"/>
      <c r="D3607" s="147"/>
      <c r="E3607" s="148"/>
      <c r="F3607" s="133"/>
      <c r="G3607" s="81"/>
      <c r="H3607" s="81"/>
      <c r="I3607" s="81"/>
      <c r="J3607" s="81"/>
      <c r="K3607" s="81"/>
      <c r="L3607" s="81"/>
      <c r="M3607" s="81"/>
      <c r="N3607" s="81"/>
    </row>
    <row r="3608" spans="1:14" ht="14.25" customHeight="1" x14ac:dyDescent="0.25">
      <c r="A3608" s="134"/>
      <c r="B3608" s="135"/>
      <c r="C3608" s="135"/>
      <c r="D3608" s="135"/>
      <c r="E3608" s="135"/>
      <c r="F3608" s="136"/>
      <c r="G3608" s="81"/>
      <c r="H3608" s="81"/>
      <c r="I3608" s="81"/>
      <c r="J3608" s="81"/>
      <c r="K3608" s="81"/>
      <c r="L3608" s="81"/>
      <c r="M3608" s="81"/>
      <c r="N3608" s="81"/>
    </row>
    <row r="3609" spans="1:14" ht="14.25" customHeight="1" x14ac:dyDescent="0.25">
      <c r="A3609" s="81"/>
      <c r="B3609" s="81"/>
      <c r="C3609" s="137"/>
      <c r="D3609" s="81"/>
      <c r="E3609" s="81"/>
      <c r="F3609" s="81"/>
      <c r="G3609" s="81"/>
      <c r="H3609" s="81"/>
      <c r="I3609" s="81"/>
      <c r="J3609" s="81"/>
      <c r="K3609" s="81"/>
      <c r="L3609" s="81"/>
      <c r="M3609" s="81"/>
      <c r="N3609" s="81"/>
    </row>
    <row r="3610" spans="1:14" ht="14.25" customHeight="1" x14ac:dyDescent="0.25">
      <c r="A3610" s="81"/>
      <c r="B3610" s="81"/>
      <c r="C3610" s="137"/>
      <c r="D3610" s="81"/>
      <c r="E3610" s="81"/>
      <c r="F3610" s="81"/>
      <c r="G3610" s="81"/>
      <c r="H3610" s="81"/>
      <c r="I3610" s="81"/>
      <c r="J3610" s="81"/>
      <c r="K3610" s="81"/>
      <c r="L3610" s="81"/>
      <c r="M3610" s="81"/>
      <c r="N3610" s="81"/>
    </row>
    <row r="3611" spans="1:14" ht="14.25" customHeight="1" x14ac:dyDescent="0.25">
      <c r="A3611" s="81"/>
      <c r="B3611" s="81"/>
      <c r="C3611" s="137"/>
      <c r="D3611" s="81"/>
      <c r="E3611" s="81"/>
      <c r="F3611" s="81"/>
      <c r="G3611" s="81"/>
      <c r="H3611" s="81"/>
      <c r="I3611" s="81"/>
      <c r="J3611" s="81"/>
      <c r="K3611" s="81"/>
      <c r="L3611" s="81"/>
      <c r="M3611" s="81"/>
      <c r="N3611" s="81"/>
    </row>
    <row r="3612" spans="1:14" ht="14.25" customHeight="1" x14ac:dyDescent="0.25">
      <c r="A3612" s="81"/>
      <c r="B3612" s="81"/>
      <c r="C3612" s="137"/>
      <c r="D3612" s="81"/>
      <c r="E3612" s="81"/>
      <c r="F3612" s="81"/>
      <c r="G3612" s="81"/>
      <c r="H3612" s="81"/>
      <c r="I3612" s="81"/>
      <c r="J3612" s="81"/>
      <c r="K3612" s="81"/>
      <c r="L3612" s="81"/>
      <c r="M3612" s="81"/>
      <c r="N3612" s="81"/>
    </row>
    <row r="3613" spans="1:14" ht="14.25" customHeight="1" x14ac:dyDescent="0.25">
      <c r="A3613" s="81"/>
      <c r="B3613" s="81"/>
      <c r="C3613" s="137"/>
      <c r="D3613" s="81"/>
      <c r="E3613" s="81"/>
      <c r="F3613" s="81"/>
      <c r="G3613" s="81"/>
      <c r="H3613" s="81"/>
      <c r="I3613" s="81"/>
      <c r="J3613" s="81"/>
      <c r="K3613" s="81"/>
      <c r="L3613" s="81"/>
      <c r="M3613" s="81"/>
      <c r="N3613" s="81"/>
    </row>
    <row r="3614" spans="1:14" ht="14.25" customHeight="1" x14ac:dyDescent="0.25">
      <c r="A3614" s="134"/>
      <c r="B3614" s="135"/>
      <c r="C3614" s="135"/>
      <c r="D3614" s="135"/>
      <c r="E3614" s="135"/>
      <c r="F3614" s="136"/>
      <c r="G3614" s="81"/>
      <c r="H3614" s="81"/>
      <c r="I3614" s="81"/>
      <c r="J3614" s="81"/>
      <c r="K3614" s="81"/>
      <c r="L3614" s="81"/>
      <c r="M3614" s="81"/>
      <c r="N3614" s="81"/>
    </row>
    <row r="3615" spans="1:14" ht="14.25" customHeight="1" x14ac:dyDescent="0.25">
      <c r="A3615" s="134"/>
      <c r="B3615" s="135"/>
      <c r="C3615" s="135"/>
      <c r="D3615" s="135"/>
      <c r="E3615" s="135"/>
      <c r="F3615" s="136"/>
      <c r="G3615" s="81"/>
      <c r="H3615" s="81"/>
      <c r="I3615" s="81"/>
      <c r="J3615" s="81"/>
      <c r="K3615" s="81"/>
      <c r="L3615" s="81"/>
      <c r="M3615" s="81"/>
      <c r="N3615" s="81"/>
    </row>
    <row r="3616" spans="1:14" ht="14.25" customHeight="1" x14ac:dyDescent="0.25">
      <c r="A3616" s="134"/>
      <c r="B3616" s="135"/>
      <c r="C3616" s="135"/>
      <c r="D3616" s="135"/>
      <c r="E3616" s="135"/>
      <c r="F3616" s="136"/>
      <c r="G3616" s="81"/>
      <c r="H3616" s="81"/>
      <c r="I3616" s="81"/>
      <c r="J3616" s="81"/>
      <c r="K3616" s="81"/>
      <c r="L3616" s="81"/>
      <c r="M3616" s="81"/>
      <c r="N3616" s="81"/>
    </row>
    <row r="3617" spans="1:14" ht="14.25" customHeight="1" thickBot="1" x14ac:dyDescent="0.3">
      <c r="A3617" s="81"/>
      <c r="B3617" s="81"/>
      <c r="C3617" s="81"/>
      <c r="D3617" s="81"/>
      <c r="E3617" s="81"/>
      <c r="F3617" s="81"/>
      <c r="G3617" s="81"/>
      <c r="H3617" s="81"/>
      <c r="I3617" s="81"/>
      <c r="J3617" s="81"/>
      <c r="K3617" s="81"/>
      <c r="L3617" s="81"/>
      <c r="M3617" s="81"/>
      <c r="N3617" s="81"/>
    </row>
    <row r="3618" spans="1:14" ht="14.25" customHeight="1" x14ac:dyDescent="0.25">
      <c r="A3618" s="83"/>
      <c r="B3618" s="84"/>
      <c r="C3618" s="85"/>
      <c r="D3618" s="86"/>
      <c r="E3618" s="86"/>
      <c r="F3618" s="87"/>
      <c r="G3618" s="81"/>
      <c r="H3618" s="81"/>
      <c r="I3618" s="81"/>
      <c r="J3618" s="81"/>
      <c r="K3618" s="81"/>
      <c r="L3618" s="81"/>
      <c r="M3618" s="81"/>
      <c r="N3618" s="81"/>
    </row>
    <row r="3619" spans="1:14" ht="14.25" customHeight="1" x14ac:dyDescent="0.25">
      <c r="A3619" s="599"/>
      <c r="B3619" s="600"/>
      <c r="C3619" s="600"/>
      <c r="D3619" s="600"/>
      <c r="E3619" s="600"/>
      <c r="F3619" s="601"/>
      <c r="G3619" s="81"/>
      <c r="H3619" s="81"/>
      <c r="I3619" s="81"/>
      <c r="J3619" s="81"/>
      <c r="K3619" s="81"/>
      <c r="L3619" s="81"/>
      <c r="M3619" s="81"/>
      <c r="N3619" s="81"/>
    </row>
    <row r="3620" spans="1:14" ht="14.25" customHeight="1" x14ac:dyDescent="0.25">
      <c r="A3620" s="602" t="s">
        <v>561</v>
      </c>
      <c r="B3620" s="600"/>
      <c r="C3620" s="600"/>
      <c r="D3620" s="600"/>
      <c r="E3620" s="600"/>
      <c r="F3620" s="601"/>
      <c r="G3620" s="81"/>
      <c r="H3620" s="81"/>
      <c r="I3620" s="81"/>
      <c r="J3620" s="81"/>
      <c r="K3620" s="81"/>
      <c r="L3620" s="81"/>
      <c r="M3620" s="81"/>
      <c r="N3620" s="81"/>
    </row>
    <row r="3621" spans="1:14" ht="14.25" customHeight="1" thickBot="1" x14ac:dyDescent="0.3">
      <c r="A3621" s="603"/>
      <c r="B3621" s="604"/>
      <c r="C3621" s="604"/>
      <c r="D3621" s="604"/>
      <c r="E3621" s="604"/>
      <c r="F3621" s="605"/>
      <c r="G3621" s="81"/>
      <c r="H3621" s="81"/>
      <c r="I3621" s="81"/>
      <c r="J3621" s="81"/>
      <c r="K3621" s="81"/>
      <c r="L3621" s="81"/>
      <c r="M3621" s="81"/>
      <c r="N3621" s="81"/>
    </row>
    <row r="3622" spans="1:14" ht="14.25" customHeight="1" x14ac:dyDescent="0.25">
      <c r="A3622" s="88"/>
      <c r="B3622" s="88"/>
      <c r="C3622" s="89"/>
      <c r="D3622" s="89"/>
      <c r="E3622" s="89"/>
      <c r="F3622" s="89"/>
      <c r="G3622" s="81"/>
      <c r="H3622" s="81"/>
      <c r="I3622" s="81"/>
      <c r="J3622" s="81"/>
      <c r="K3622" s="81"/>
      <c r="L3622" s="81"/>
      <c r="M3622" s="81"/>
      <c r="N3622" s="81"/>
    </row>
    <row r="3623" spans="1:14" ht="30.75" customHeight="1" x14ac:dyDescent="0.25">
      <c r="A3623" s="90" t="s">
        <v>47</v>
      </c>
      <c r="B3623" s="613" t="s">
        <v>708</v>
      </c>
      <c r="C3623" s="600"/>
      <c r="D3623" s="600"/>
      <c r="E3623" s="600"/>
      <c r="F3623" s="600"/>
      <c r="G3623" s="81"/>
      <c r="H3623" s="81"/>
      <c r="I3623" s="81"/>
      <c r="J3623" s="81"/>
      <c r="K3623" s="81"/>
      <c r="L3623" s="81"/>
      <c r="M3623" s="81"/>
      <c r="N3623" s="81"/>
    </row>
    <row r="3624" spans="1:14" ht="14.25" customHeight="1" x14ac:dyDescent="0.25">
      <c r="A3624" s="91"/>
      <c r="B3624" s="91"/>
      <c r="C3624" s="91"/>
      <c r="D3624" s="91"/>
      <c r="E3624" s="91"/>
      <c r="F3624" s="91"/>
      <c r="G3624" s="81"/>
      <c r="H3624" s="81"/>
      <c r="I3624" s="81"/>
      <c r="J3624" s="81"/>
      <c r="K3624" s="81"/>
      <c r="L3624" s="81"/>
      <c r="M3624" s="81"/>
      <c r="N3624" s="81"/>
    </row>
    <row r="3625" spans="1:14" ht="14.25" customHeight="1" x14ac:dyDescent="0.25">
      <c r="A3625" s="88" t="s">
        <v>49</v>
      </c>
      <c r="B3625" s="92" t="s">
        <v>56</v>
      </c>
      <c r="C3625" s="89"/>
      <c r="D3625" s="89"/>
      <c r="E3625" s="89"/>
      <c r="F3625" s="93"/>
      <c r="G3625" s="81"/>
      <c r="H3625" s="81"/>
      <c r="I3625" s="81"/>
      <c r="J3625" s="81"/>
      <c r="K3625" s="81"/>
      <c r="L3625" s="81"/>
      <c r="M3625" s="81"/>
      <c r="N3625" s="81"/>
    </row>
    <row r="3626" spans="1:14" ht="14.25" customHeight="1" x14ac:dyDescent="0.25">
      <c r="A3626" s="88"/>
      <c r="B3626" s="94"/>
      <c r="C3626" s="89"/>
      <c r="D3626" s="89"/>
      <c r="E3626" s="89"/>
      <c r="F3626" s="93"/>
      <c r="G3626" s="81"/>
      <c r="H3626" s="81"/>
      <c r="I3626" s="81"/>
      <c r="J3626" s="81"/>
      <c r="K3626" s="81"/>
      <c r="L3626" s="81"/>
      <c r="M3626" s="81"/>
      <c r="N3626" s="81"/>
    </row>
    <row r="3627" spans="1:14" ht="14.25" customHeight="1" x14ac:dyDescent="0.25">
      <c r="A3627" s="95" t="s">
        <v>562</v>
      </c>
      <c r="B3627" s="96"/>
      <c r="C3627" s="92"/>
      <c r="D3627" s="92"/>
      <c r="E3627" s="92"/>
      <c r="F3627" s="92"/>
      <c r="G3627" s="81"/>
      <c r="H3627" s="81"/>
      <c r="I3627" s="81"/>
      <c r="J3627" s="81"/>
      <c r="K3627" s="81"/>
      <c r="L3627" s="81"/>
      <c r="M3627" s="81"/>
      <c r="N3627" s="81"/>
    </row>
    <row r="3628" spans="1:14" ht="14.25" customHeight="1" x14ac:dyDescent="0.25">
      <c r="A3628" s="97" t="s">
        <v>563</v>
      </c>
      <c r="B3628" s="98" t="s">
        <v>564</v>
      </c>
      <c r="C3628" s="98" t="s">
        <v>565</v>
      </c>
      <c r="D3628" s="98" t="s">
        <v>566</v>
      </c>
      <c r="E3628" s="98" t="s">
        <v>567</v>
      </c>
      <c r="F3628" s="98" t="s">
        <v>568</v>
      </c>
      <c r="G3628" s="81"/>
      <c r="H3628" s="81"/>
      <c r="I3628" s="81"/>
      <c r="J3628" s="81"/>
      <c r="K3628" s="81"/>
      <c r="L3628" s="81"/>
      <c r="M3628" s="81"/>
      <c r="N3628" s="81"/>
    </row>
    <row r="3629" spans="1:14" ht="14.25" customHeight="1" x14ac:dyDescent="0.25">
      <c r="A3629" s="99" t="s">
        <v>709</v>
      </c>
      <c r="B3629" s="100" t="s">
        <v>651</v>
      </c>
      <c r="C3629" s="101">
        <v>225250</v>
      </c>
      <c r="D3629" s="149">
        <v>0.16</v>
      </c>
      <c r="E3629" s="102">
        <v>0.05</v>
      </c>
      <c r="F3629" s="101">
        <f t="shared" ref="F3629:F3632" si="200">C3629*(D3629+(D3629*E3629))</f>
        <v>37842</v>
      </c>
      <c r="G3629" s="81"/>
      <c r="H3629" s="81"/>
      <c r="I3629" s="81"/>
      <c r="J3629" s="81"/>
      <c r="K3629" s="81"/>
      <c r="L3629" s="81"/>
      <c r="M3629" s="81"/>
      <c r="N3629" s="81"/>
    </row>
    <row r="3630" spans="1:14" ht="14.25" customHeight="1" x14ac:dyDescent="0.25">
      <c r="A3630" s="99" t="s">
        <v>662</v>
      </c>
      <c r="B3630" s="100" t="s">
        <v>64</v>
      </c>
      <c r="C3630" s="101">
        <v>373380</v>
      </c>
      <c r="D3630" s="149">
        <v>0.1</v>
      </c>
      <c r="E3630" s="102">
        <v>0.05</v>
      </c>
      <c r="F3630" s="101">
        <f t="shared" si="200"/>
        <v>39204.9</v>
      </c>
      <c r="G3630" s="81"/>
      <c r="H3630" s="81"/>
      <c r="I3630" s="81"/>
      <c r="J3630" s="81"/>
      <c r="K3630" s="81"/>
      <c r="L3630" s="81"/>
      <c r="M3630" s="81"/>
      <c r="N3630" s="81"/>
    </row>
    <row r="3631" spans="1:14" ht="14.25" customHeight="1" x14ac:dyDescent="0.25">
      <c r="A3631" s="99" t="s">
        <v>710</v>
      </c>
      <c r="B3631" s="100" t="s">
        <v>64</v>
      </c>
      <c r="C3631" s="101">
        <v>87350</v>
      </c>
      <c r="D3631" s="149">
        <v>0.13</v>
      </c>
      <c r="E3631" s="102">
        <v>0.05</v>
      </c>
      <c r="F3631" s="101">
        <f t="shared" si="200"/>
        <v>11923.275000000001</v>
      </c>
      <c r="G3631" s="81"/>
      <c r="H3631" s="81"/>
      <c r="I3631" s="81"/>
      <c r="J3631" s="81"/>
      <c r="K3631" s="81"/>
      <c r="L3631" s="81"/>
      <c r="M3631" s="81"/>
      <c r="N3631" s="81"/>
    </row>
    <row r="3632" spans="1:14" ht="14.25" customHeight="1" x14ac:dyDescent="0.25">
      <c r="A3632" s="99"/>
      <c r="B3632" s="100"/>
      <c r="C3632" s="101"/>
      <c r="D3632" s="149"/>
      <c r="E3632" s="102"/>
      <c r="F3632" s="101">
        <f t="shared" si="200"/>
        <v>0</v>
      </c>
      <c r="G3632" s="81"/>
      <c r="H3632" s="81"/>
      <c r="I3632" s="81"/>
      <c r="J3632" s="81"/>
      <c r="K3632" s="81"/>
      <c r="L3632" s="81"/>
      <c r="M3632" s="81"/>
      <c r="N3632" s="81"/>
    </row>
    <row r="3633" spans="1:14" ht="14.25" customHeight="1" x14ac:dyDescent="0.25">
      <c r="A3633" s="99"/>
      <c r="B3633" s="100"/>
      <c r="C3633" s="106"/>
      <c r="D3633" s="107"/>
      <c r="E3633" s="108"/>
      <c r="F3633" s="106"/>
      <c r="G3633" s="81"/>
      <c r="H3633" s="81"/>
      <c r="I3633" s="81"/>
      <c r="J3633" s="81"/>
      <c r="K3633" s="81"/>
      <c r="L3633" s="81"/>
      <c r="M3633" s="81"/>
      <c r="N3633" s="81"/>
    </row>
    <row r="3634" spans="1:14" ht="14.25" customHeight="1" x14ac:dyDescent="0.25">
      <c r="A3634" s="97" t="s">
        <v>548</v>
      </c>
      <c r="B3634" s="97"/>
      <c r="C3634" s="109"/>
      <c r="D3634" s="110"/>
      <c r="E3634" s="111"/>
      <c r="F3634" s="112">
        <f>SUM(F3629:F3633)</f>
        <v>88970.174999999988</v>
      </c>
      <c r="G3634" s="81"/>
      <c r="H3634" s="81"/>
      <c r="I3634" s="81"/>
      <c r="J3634" s="81"/>
      <c r="K3634" s="81"/>
      <c r="L3634" s="81"/>
      <c r="M3634" s="81"/>
      <c r="N3634" s="81"/>
    </row>
    <row r="3635" spans="1:14" ht="14.25" customHeight="1" x14ac:dyDescent="0.25">
      <c r="A3635" s="88"/>
      <c r="B3635" s="88"/>
      <c r="C3635" s="113"/>
      <c r="D3635" s="113"/>
      <c r="E3635" s="114"/>
      <c r="F3635" s="113"/>
      <c r="G3635" s="81"/>
      <c r="H3635" s="81"/>
      <c r="I3635" s="81"/>
      <c r="J3635" s="81"/>
      <c r="K3635" s="81"/>
      <c r="L3635" s="81"/>
      <c r="M3635" s="81"/>
      <c r="N3635" s="81"/>
    </row>
    <row r="3636" spans="1:14" ht="14.25" customHeight="1" x14ac:dyDescent="0.25">
      <c r="A3636" s="96" t="s">
        <v>573</v>
      </c>
      <c r="B3636" s="96"/>
      <c r="C3636" s="92"/>
      <c r="D3636" s="92"/>
      <c r="E3636" s="92"/>
      <c r="F3636" s="92"/>
      <c r="G3636" s="81"/>
      <c r="H3636" s="81"/>
      <c r="I3636" s="81"/>
      <c r="J3636" s="81"/>
      <c r="K3636" s="81"/>
      <c r="L3636" s="81"/>
      <c r="M3636" s="81"/>
      <c r="N3636" s="81"/>
    </row>
    <row r="3637" spans="1:14" ht="14.25" customHeight="1" x14ac:dyDescent="0.25">
      <c r="A3637" s="611" t="s">
        <v>563</v>
      </c>
      <c r="B3637" s="608"/>
      <c r="C3637" s="609"/>
      <c r="D3637" s="98" t="s">
        <v>574</v>
      </c>
      <c r="E3637" s="98" t="s">
        <v>575</v>
      </c>
      <c r="F3637" s="98" t="s">
        <v>568</v>
      </c>
      <c r="G3637" s="81"/>
      <c r="H3637" s="81"/>
      <c r="I3637" s="81"/>
      <c r="J3637" s="81"/>
      <c r="K3637" s="81"/>
      <c r="L3637" s="81"/>
      <c r="M3637" s="81"/>
      <c r="N3637" s="81"/>
    </row>
    <row r="3638" spans="1:14" ht="14.25" customHeight="1" x14ac:dyDescent="0.25">
      <c r="A3638" s="607" t="s">
        <v>577</v>
      </c>
      <c r="B3638" s="608"/>
      <c r="C3638" s="609"/>
      <c r="D3638" s="116"/>
      <c r="E3638" s="107"/>
      <c r="F3638" s="106">
        <f>+F3651*5%</f>
        <v>1494.2677392739276</v>
      </c>
      <c r="G3638" s="81"/>
      <c r="H3638" s="81"/>
      <c r="I3638" s="81"/>
      <c r="J3638" s="81"/>
      <c r="K3638" s="81"/>
      <c r="L3638" s="81"/>
      <c r="M3638" s="81"/>
      <c r="N3638" s="81"/>
    </row>
    <row r="3639" spans="1:14" ht="14.25" customHeight="1" x14ac:dyDescent="0.25">
      <c r="A3639" s="607"/>
      <c r="B3639" s="608"/>
      <c r="C3639" s="609"/>
      <c r="D3639" s="142"/>
      <c r="E3639" s="107"/>
      <c r="F3639" s="106"/>
      <c r="G3639" s="81"/>
      <c r="H3639" s="81"/>
      <c r="I3639" s="81"/>
      <c r="J3639" s="81"/>
      <c r="K3639" s="81"/>
      <c r="L3639" s="81"/>
      <c r="M3639" s="81"/>
      <c r="N3639" s="81"/>
    </row>
    <row r="3640" spans="1:14" ht="14.25" customHeight="1" x14ac:dyDescent="0.25">
      <c r="A3640" s="607"/>
      <c r="B3640" s="608"/>
      <c r="C3640" s="609"/>
      <c r="D3640" s="142"/>
      <c r="E3640" s="107"/>
      <c r="F3640" s="106"/>
      <c r="G3640" s="81"/>
      <c r="H3640" s="81"/>
      <c r="I3640" s="81"/>
      <c r="J3640" s="81"/>
      <c r="K3640" s="81"/>
      <c r="L3640" s="81"/>
      <c r="M3640" s="81"/>
      <c r="N3640" s="81"/>
    </row>
    <row r="3641" spans="1:14" ht="14.25" customHeight="1" x14ac:dyDescent="0.25">
      <c r="A3641" s="607"/>
      <c r="B3641" s="608"/>
      <c r="C3641" s="609"/>
      <c r="D3641" s="142"/>
      <c r="E3641" s="107"/>
      <c r="F3641" s="106"/>
      <c r="G3641" s="81"/>
      <c r="H3641" s="81"/>
      <c r="I3641" s="81"/>
      <c r="J3641" s="81"/>
      <c r="K3641" s="81"/>
      <c r="L3641" s="81"/>
      <c r="M3641" s="81"/>
      <c r="N3641" s="81"/>
    </row>
    <row r="3642" spans="1:14" ht="14.25" customHeight="1" x14ac:dyDescent="0.25">
      <c r="A3642" s="610"/>
      <c r="B3642" s="608"/>
      <c r="C3642" s="609"/>
      <c r="D3642" s="115"/>
      <c r="E3642" s="107"/>
      <c r="F3642" s="106"/>
      <c r="G3642" s="81"/>
      <c r="H3642" s="81"/>
      <c r="I3642" s="81"/>
      <c r="J3642" s="81"/>
      <c r="K3642" s="81"/>
      <c r="L3642" s="81"/>
      <c r="M3642" s="81"/>
      <c r="N3642" s="81"/>
    </row>
    <row r="3643" spans="1:14" ht="14.25" customHeight="1" x14ac:dyDescent="0.25">
      <c r="A3643" s="611" t="s">
        <v>548</v>
      </c>
      <c r="B3643" s="608"/>
      <c r="C3643" s="609"/>
      <c r="D3643" s="110"/>
      <c r="E3643" s="110"/>
      <c r="F3643" s="112">
        <f>SUM(F3638:F3641)</f>
        <v>1494.2677392739276</v>
      </c>
      <c r="G3643" s="81"/>
      <c r="H3643" s="81"/>
      <c r="I3643" s="81"/>
      <c r="J3643" s="81"/>
      <c r="K3643" s="81"/>
      <c r="L3643" s="81"/>
      <c r="M3643" s="81"/>
      <c r="N3643" s="81"/>
    </row>
    <row r="3644" spans="1:14" ht="14.25" customHeight="1" x14ac:dyDescent="0.25">
      <c r="A3644" s="88"/>
      <c r="B3644" s="88"/>
      <c r="C3644" s="89"/>
      <c r="D3644" s="113"/>
      <c r="E3644" s="113"/>
      <c r="F3644" s="113"/>
      <c r="G3644" s="81"/>
      <c r="H3644" s="81"/>
      <c r="I3644" s="81"/>
      <c r="J3644" s="81"/>
      <c r="K3644" s="81"/>
      <c r="L3644" s="81"/>
      <c r="M3644" s="81"/>
      <c r="N3644" s="81"/>
    </row>
    <row r="3645" spans="1:14" ht="14.25" customHeight="1" x14ac:dyDescent="0.25">
      <c r="A3645" s="96" t="s">
        <v>578</v>
      </c>
      <c r="B3645" s="96"/>
      <c r="C3645" s="92"/>
      <c r="D3645" s="118"/>
      <c r="E3645" s="118"/>
      <c r="F3645" s="118"/>
      <c r="G3645" s="81"/>
      <c r="H3645" s="81"/>
      <c r="I3645" s="81"/>
      <c r="J3645" s="81"/>
      <c r="K3645" s="81"/>
      <c r="L3645" s="81"/>
      <c r="M3645" s="81"/>
      <c r="N3645" s="81"/>
    </row>
    <row r="3646" spans="1:14" ht="14.25" customHeight="1" x14ac:dyDescent="0.25">
      <c r="A3646" s="119" t="s">
        <v>563</v>
      </c>
      <c r="B3646" s="120" t="s">
        <v>579</v>
      </c>
      <c r="C3646" s="120" t="s">
        <v>580</v>
      </c>
      <c r="D3646" s="121" t="s">
        <v>581</v>
      </c>
      <c r="E3646" s="121" t="s">
        <v>575</v>
      </c>
      <c r="F3646" s="121" t="s">
        <v>568</v>
      </c>
      <c r="G3646" s="81"/>
      <c r="H3646" s="81"/>
      <c r="I3646" s="81"/>
      <c r="J3646" s="81"/>
      <c r="K3646" s="81"/>
      <c r="L3646" s="81"/>
      <c r="M3646" s="81"/>
      <c r="N3646" s="81"/>
    </row>
    <row r="3647" spans="1:14" ht="14.25" customHeight="1" x14ac:dyDescent="0.25">
      <c r="A3647" s="122" t="s">
        <v>593</v>
      </c>
      <c r="B3647" s="127">
        <v>1</v>
      </c>
      <c r="C3647" s="101">
        <v>32688</v>
      </c>
      <c r="D3647" s="101">
        <f t="shared" ref="D3647:D3648" si="201">+C3647*1.7</f>
        <v>55569.599999999999</v>
      </c>
      <c r="E3647" s="107">
        <v>4.8479999999999999</v>
      </c>
      <c r="F3647" s="106">
        <f t="shared" ref="F3647:F3648" si="202">+B3647*(D3647)/E3647</f>
        <v>11462.376237623763</v>
      </c>
      <c r="G3647" s="81"/>
      <c r="H3647" s="81"/>
      <c r="I3647" s="81"/>
      <c r="J3647" s="81"/>
      <c r="K3647" s="81"/>
      <c r="L3647" s="81"/>
      <c r="M3647" s="81"/>
      <c r="N3647" s="81"/>
    </row>
    <row r="3648" spans="1:14" ht="14.25" customHeight="1" x14ac:dyDescent="0.25">
      <c r="A3648" s="122" t="s">
        <v>594</v>
      </c>
      <c r="B3648" s="127">
        <v>1</v>
      </c>
      <c r="C3648" s="101">
        <v>52538</v>
      </c>
      <c r="D3648" s="101">
        <f t="shared" si="201"/>
        <v>89314.599999999991</v>
      </c>
      <c r="E3648" s="107">
        <f>E3647</f>
        <v>4.8479999999999999</v>
      </c>
      <c r="F3648" s="106">
        <f t="shared" si="202"/>
        <v>18422.978547854786</v>
      </c>
      <c r="G3648" s="81"/>
      <c r="H3648" s="81"/>
      <c r="I3648" s="81"/>
      <c r="J3648" s="81"/>
      <c r="K3648" s="81"/>
      <c r="L3648" s="81"/>
      <c r="M3648" s="81"/>
      <c r="N3648" s="81"/>
    </row>
    <row r="3649" spans="1:14" ht="14.25" customHeight="1" x14ac:dyDescent="0.25">
      <c r="A3649" s="122"/>
      <c r="B3649" s="127"/>
      <c r="C3649" s="101"/>
      <c r="D3649" s="101"/>
      <c r="E3649" s="105"/>
      <c r="F3649" s="106"/>
      <c r="G3649" s="81"/>
      <c r="H3649" s="81"/>
      <c r="I3649" s="81"/>
      <c r="J3649" s="81"/>
      <c r="K3649" s="81"/>
      <c r="L3649" s="81"/>
      <c r="M3649" s="81"/>
      <c r="N3649" s="81"/>
    </row>
    <row r="3650" spans="1:14" ht="14.25" customHeight="1" x14ac:dyDescent="0.25">
      <c r="A3650" s="122"/>
      <c r="B3650" s="127"/>
      <c r="C3650" s="101"/>
      <c r="D3650" s="101"/>
      <c r="E3650" s="125"/>
      <c r="F3650" s="106"/>
      <c r="G3650" s="81"/>
      <c r="H3650" s="81"/>
      <c r="I3650" s="81"/>
      <c r="J3650" s="81"/>
      <c r="K3650" s="81"/>
      <c r="L3650" s="81"/>
      <c r="M3650" s="81"/>
      <c r="N3650" s="81"/>
    </row>
    <row r="3651" spans="1:14" ht="14.25" customHeight="1" x14ac:dyDescent="0.25">
      <c r="A3651" s="97" t="s">
        <v>548</v>
      </c>
      <c r="B3651" s="128"/>
      <c r="C3651" s="110"/>
      <c r="D3651" s="110"/>
      <c r="E3651" s="110"/>
      <c r="F3651" s="112">
        <f>SUM(F3647:F3650)</f>
        <v>29885.35478547855</v>
      </c>
      <c r="G3651" s="81"/>
      <c r="H3651" s="81"/>
      <c r="I3651" s="81"/>
      <c r="J3651" s="81"/>
      <c r="K3651" s="81"/>
      <c r="L3651" s="81"/>
      <c r="M3651" s="81"/>
      <c r="N3651" s="81"/>
    </row>
    <row r="3652" spans="1:14" ht="14.25" customHeight="1" x14ac:dyDescent="0.25">
      <c r="A3652" s="96"/>
      <c r="B3652" s="129"/>
      <c r="C3652" s="118"/>
      <c r="D3652" s="118"/>
      <c r="E3652" s="118"/>
      <c r="F3652" s="118"/>
      <c r="G3652" s="81"/>
      <c r="H3652" s="81"/>
      <c r="I3652" s="81"/>
      <c r="J3652" s="81"/>
      <c r="K3652" s="81"/>
      <c r="L3652" s="81"/>
      <c r="M3652" s="81"/>
      <c r="N3652" s="81"/>
    </row>
    <row r="3653" spans="1:14" ht="14.25" customHeight="1" x14ac:dyDescent="0.25">
      <c r="A3653" s="95" t="s">
        <v>583</v>
      </c>
      <c r="B3653" s="96"/>
      <c r="C3653" s="92"/>
      <c r="D3653" s="92"/>
      <c r="E3653" s="92" t="s">
        <v>584</v>
      </c>
      <c r="F3653" s="92"/>
      <c r="G3653" s="81"/>
      <c r="H3653" s="81"/>
      <c r="I3653" s="81"/>
      <c r="J3653" s="81"/>
      <c r="K3653" s="81"/>
      <c r="L3653" s="81"/>
      <c r="M3653" s="81"/>
      <c r="N3653" s="81"/>
    </row>
    <row r="3654" spans="1:14" ht="14.25" customHeight="1" x14ac:dyDescent="0.25">
      <c r="A3654" s="97" t="s">
        <v>563</v>
      </c>
      <c r="B3654" s="98" t="s">
        <v>564</v>
      </c>
      <c r="C3654" s="98" t="s">
        <v>585</v>
      </c>
      <c r="D3654" s="98" t="s">
        <v>586</v>
      </c>
      <c r="E3654" s="120" t="s">
        <v>587</v>
      </c>
      <c r="F3654" s="98" t="s">
        <v>568</v>
      </c>
      <c r="G3654" s="81"/>
      <c r="H3654" s="81"/>
      <c r="I3654" s="81"/>
      <c r="J3654" s="81"/>
      <c r="K3654" s="81"/>
      <c r="L3654" s="81"/>
      <c r="M3654" s="81"/>
      <c r="N3654" s="81"/>
    </row>
    <row r="3655" spans="1:14" ht="14.25" customHeight="1" x14ac:dyDescent="0.25">
      <c r="A3655" s="103"/>
      <c r="B3655" s="100"/>
      <c r="C3655" s="101"/>
      <c r="D3655" s="140"/>
      <c r="E3655" s="107"/>
      <c r="F3655" s="109"/>
      <c r="G3655" s="81"/>
      <c r="H3655" s="81"/>
      <c r="I3655" s="81"/>
      <c r="J3655" s="81"/>
      <c r="K3655" s="81"/>
      <c r="L3655" s="81"/>
      <c r="M3655" s="81"/>
      <c r="N3655" s="81"/>
    </row>
    <row r="3656" spans="1:14" ht="14.25" customHeight="1" x14ac:dyDescent="0.25">
      <c r="A3656" s="103"/>
      <c r="B3656" s="100"/>
      <c r="C3656" s="107"/>
      <c r="D3656" s="107"/>
      <c r="E3656" s="108"/>
      <c r="F3656" s="109"/>
      <c r="G3656" s="81"/>
      <c r="H3656" s="81"/>
      <c r="I3656" s="81"/>
      <c r="J3656" s="81"/>
      <c r="K3656" s="81"/>
      <c r="L3656" s="81"/>
      <c r="M3656" s="81"/>
      <c r="N3656" s="81"/>
    </row>
    <row r="3657" spans="1:14" ht="14.25" customHeight="1" x14ac:dyDescent="0.25">
      <c r="A3657" s="97" t="s">
        <v>548</v>
      </c>
      <c r="B3657" s="98"/>
      <c r="C3657" s="110"/>
      <c r="D3657" s="110"/>
      <c r="E3657" s="111"/>
      <c r="F3657" s="112">
        <f>SUM(F3655:F3656)</f>
        <v>0</v>
      </c>
      <c r="G3657" s="81"/>
      <c r="H3657" s="81"/>
      <c r="I3657" s="81"/>
      <c r="J3657" s="81"/>
      <c r="K3657" s="81"/>
      <c r="L3657" s="81"/>
      <c r="M3657" s="81"/>
      <c r="N3657" s="81"/>
    </row>
    <row r="3658" spans="1:14" ht="14.25" customHeight="1" x14ac:dyDescent="0.25">
      <c r="A3658" s="88"/>
      <c r="B3658" s="89"/>
      <c r="C3658" s="113"/>
      <c r="D3658" s="113"/>
      <c r="E3658" s="114"/>
      <c r="F3658" s="113"/>
      <c r="G3658" s="81"/>
      <c r="H3658" s="81"/>
      <c r="I3658" s="81"/>
      <c r="J3658" s="81"/>
      <c r="K3658" s="81"/>
      <c r="L3658" s="81"/>
      <c r="M3658" s="81"/>
      <c r="N3658" s="81"/>
    </row>
    <row r="3659" spans="1:14" ht="14.25" customHeight="1" x14ac:dyDescent="0.25">
      <c r="A3659" s="88"/>
      <c r="B3659" s="89"/>
      <c r="C3659" s="113"/>
      <c r="D3659" s="113"/>
      <c r="E3659" s="114"/>
      <c r="F3659" s="113"/>
      <c r="G3659" s="81"/>
      <c r="H3659" s="81"/>
      <c r="I3659" s="81"/>
      <c r="J3659" s="81"/>
      <c r="K3659" s="81"/>
      <c r="L3659" s="81"/>
      <c r="M3659" s="81"/>
      <c r="N3659" s="81"/>
    </row>
    <row r="3660" spans="1:14" ht="14.25" customHeight="1" x14ac:dyDescent="0.25">
      <c r="A3660" s="612" t="s">
        <v>588</v>
      </c>
      <c r="B3660" s="608"/>
      <c r="C3660" s="608"/>
      <c r="D3660" s="608"/>
      <c r="E3660" s="609"/>
      <c r="F3660" s="131">
        <f>ROUND(F3634+F3643+F3651+F3657,0)</f>
        <v>120350</v>
      </c>
      <c r="G3660" s="81"/>
      <c r="H3660" s="117"/>
      <c r="I3660" s="81"/>
      <c r="J3660" s="81"/>
      <c r="K3660" s="81"/>
      <c r="L3660" s="81"/>
      <c r="M3660" s="81"/>
      <c r="N3660" s="81"/>
    </row>
    <row r="3661" spans="1:14" ht="14.25" customHeight="1" x14ac:dyDescent="0.25">
      <c r="A3661" s="612" t="s">
        <v>589</v>
      </c>
      <c r="B3661" s="608"/>
      <c r="C3661" s="608"/>
      <c r="D3661" s="608"/>
      <c r="E3661" s="609"/>
      <c r="F3661" s="132"/>
      <c r="G3661" s="81"/>
      <c r="H3661" s="81"/>
      <c r="I3661" s="81"/>
      <c r="J3661" s="81"/>
      <c r="K3661" s="81"/>
      <c r="L3661" s="81"/>
      <c r="M3661" s="81"/>
      <c r="N3661" s="81"/>
    </row>
    <row r="3662" spans="1:14" ht="14.25" customHeight="1" x14ac:dyDescent="0.25">
      <c r="A3662" s="146" t="s">
        <v>556</v>
      </c>
      <c r="B3662" s="147"/>
      <c r="C3662" s="147"/>
      <c r="D3662" s="147"/>
      <c r="E3662" s="148"/>
      <c r="F3662" s="133"/>
      <c r="G3662" s="81"/>
      <c r="H3662" s="81"/>
      <c r="I3662" s="81"/>
      <c r="J3662" s="81"/>
      <c r="K3662" s="81"/>
      <c r="L3662" s="81"/>
      <c r="M3662" s="81"/>
      <c r="N3662" s="81"/>
    </row>
    <row r="3663" spans="1:14" ht="14.25" customHeight="1" x14ac:dyDescent="0.25">
      <c r="A3663" s="134"/>
      <c r="B3663" s="135"/>
      <c r="C3663" s="135"/>
      <c r="D3663" s="135"/>
      <c r="E3663" s="135"/>
      <c r="F3663" s="136"/>
      <c r="G3663" s="81"/>
      <c r="H3663" s="81"/>
      <c r="I3663" s="81"/>
      <c r="J3663" s="81"/>
      <c r="K3663" s="81"/>
      <c r="L3663" s="81"/>
      <c r="M3663" s="81"/>
      <c r="N3663" s="81"/>
    </row>
    <row r="3664" spans="1:14" ht="14.25" customHeight="1" x14ac:dyDescent="0.25">
      <c r="A3664" s="81"/>
      <c r="B3664" s="81"/>
      <c r="C3664" s="137"/>
      <c r="D3664" s="81"/>
      <c r="E3664" s="81"/>
      <c r="F3664" s="81"/>
      <c r="G3664" s="81"/>
      <c r="H3664" s="81"/>
      <c r="I3664" s="81"/>
      <c r="J3664" s="81"/>
      <c r="K3664" s="81"/>
      <c r="L3664" s="81"/>
      <c r="M3664" s="81"/>
      <c r="N3664" s="81"/>
    </row>
    <row r="3665" spans="1:14" ht="14.25" customHeight="1" x14ac:dyDescent="0.25">
      <c r="A3665" s="81"/>
      <c r="B3665" s="81"/>
      <c r="C3665" s="137"/>
      <c r="D3665" s="81"/>
      <c r="E3665" s="81"/>
      <c r="F3665" s="81"/>
      <c r="G3665" s="81"/>
      <c r="H3665" s="81"/>
      <c r="I3665" s="81"/>
      <c r="J3665" s="81"/>
      <c r="K3665" s="81"/>
      <c r="L3665" s="81"/>
      <c r="M3665" s="81"/>
      <c r="N3665" s="81"/>
    </row>
    <row r="3666" spans="1:14" ht="14.25" customHeight="1" x14ac:dyDescent="0.25">
      <c r="A3666" s="81"/>
      <c r="B3666" s="81"/>
      <c r="C3666" s="137"/>
      <c r="D3666" s="81"/>
      <c r="E3666" s="81"/>
      <c r="F3666" s="81"/>
      <c r="G3666" s="81"/>
      <c r="H3666" s="81"/>
      <c r="I3666" s="81"/>
      <c r="J3666" s="81"/>
      <c r="K3666" s="81"/>
      <c r="L3666" s="81"/>
      <c r="M3666" s="81"/>
      <c r="N3666" s="81"/>
    </row>
    <row r="3667" spans="1:14" ht="14.25" customHeight="1" x14ac:dyDescent="0.25">
      <c r="A3667" s="81"/>
      <c r="B3667" s="81"/>
      <c r="C3667" s="137"/>
      <c r="D3667" s="81"/>
      <c r="E3667" s="81"/>
      <c r="F3667" s="81"/>
      <c r="G3667" s="81"/>
      <c r="H3667" s="81"/>
      <c r="I3667" s="81"/>
      <c r="J3667" s="81"/>
      <c r="K3667" s="81"/>
      <c r="L3667" s="81"/>
      <c r="M3667" s="81"/>
      <c r="N3667" s="81"/>
    </row>
    <row r="3668" spans="1:14" ht="14.25" customHeight="1" x14ac:dyDescent="0.25">
      <c r="A3668" s="81"/>
      <c r="B3668" s="81"/>
      <c r="C3668" s="137"/>
      <c r="D3668" s="81"/>
      <c r="E3668" s="81"/>
      <c r="F3668" s="81"/>
      <c r="G3668" s="81"/>
      <c r="H3668" s="81"/>
      <c r="I3668" s="81"/>
      <c r="J3668" s="81"/>
      <c r="K3668" s="81"/>
      <c r="L3668" s="81"/>
      <c r="M3668" s="81"/>
      <c r="N3668" s="81"/>
    </row>
    <row r="3669" spans="1:14" ht="14.25" customHeight="1" x14ac:dyDescent="0.25">
      <c r="A3669" s="81"/>
      <c r="B3669" s="81"/>
      <c r="C3669" s="137"/>
      <c r="D3669" s="81"/>
      <c r="E3669" s="81"/>
      <c r="F3669" s="81"/>
      <c r="G3669" s="81"/>
      <c r="H3669" s="81"/>
      <c r="I3669" s="81"/>
      <c r="J3669" s="81"/>
      <c r="K3669" s="81"/>
      <c r="L3669" s="81"/>
      <c r="M3669" s="81"/>
      <c r="N3669" s="81"/>
    </row>
    <row r="3670" spans="1:14" ht="14.25" customHeight="1" x14ac:dyDescent="0.25">
      <c r="A3670" s="134"/>
      <c r="B3670" s="135"/>
      <c r="C3670" s="135"/>
      <c r="D3670" s="135"/>
      <c r="E3670" s="135"/>
      <c r="F3670" s="136"/>
      <c r="G3670" s="81"/>
      <c r="H3670" s="81"/>
      <c r="I3670" s="81"/>
      <c r="J3670" s="81"/>
      <c r="K3670" s="81"/>
      <c r="L3670" s="81"/>
      <c r="M3670" s="81"/>
      <c r="N3670" s="81"/>
    </row>
    <row r="3671" spans="1:14" ht="14.25" customHeight="1" x14ac:dyDescent="0.25">
      <c r="A3671" s="134"/>
      <c r="B3671" s="135"/>
      <c r="C3671" s="135"/>
      <c r="D3671" s="135"/>
      <c r="E3671" s="135"/>
      <c r="F3671" s="136"/>
      <c r="G3671" s="81"/>
      <c r="H3671" s="81"/>
      <c r="I3671" s="81"/>
      <c r="J3671" s="81"/>
      <c r="K3671" s="81"/>
      <c r="L3671" s="81"/>
      <c r="M3671" s="81"/>
      <c r="N3671" s="81"/>
    </row>
    <row r="3672" spans="1:14" ht="14.25" customHeight="1" x14ac:dyDescent="0.25">
      <c r="A3672" s="134"/>
      <c r="B3672" s="135"/>
      <c r="C3672" s="135"/>
      <c r="D3672" s="135"/>
      <c r="E3672" s="135"/>
      <c r="F3672" s="136"/>
      <c r="G3672" s="81"/>
      <c r="H3672" s="81"/>
      <c r="I3672" s="81"/>
      <c r="J3672" s="81"/>
      <c r="K3672" s="81"/>
      <c r="L3672" s="81"/>
      <c r="M3672" s="81"/>
      <c r="N3672" s="81"/>
    </row>
    <row r="3673" spans="1:14" ht="14.25" customHeight="1" thickBot="1" x14ac:dyDescent="0.3">
      <c r="A3673" s="81"/>
      <c r="B3673" s="81"/>
      <c r="C3673" s="81"/>
      <c r="D3673" s="81"/>
      <c r="E3673" s="81"/>
      <c r="F3673" s="81"/>
      <c r="G3673" s="81"/>
      <c r="H3673" s="81"/>
      <c r="I3673" s="81"/>
      <c r="J3673" s="81"/>
      <c r="K3673" s="81"/>
      <c r="L3673" s="81"/>
      <c r="M3673" s="81"/>
      <c r="N3673" s="81"/>
    </row>
    <row r="3674" spans="1:14" ht="14.25" customHeight="1" x14ac:dyDescent="0.25">
      <c r="A3674" s="83"/>
      <c r="B3674" s="84"/>
      <c r="C3674" s="85"/>
      <c r="D3674" s="86"/>
      <c r="E3674" s="86"/>
      <c r="F3674" s="87"/>
      <c r="G3674" s="81"/>
      <c r="H3674" s="81"/>
      <c r="I3674" s="81"/>
      <c r="J3674" s="81"/>
      <c r="K3674" s="81"/>
      <c r="L3674" s="81"/>
      <c r="M3674" s="81"/>
      <c r="N3674" s="81"/>
    </row>
    <row r="3675" spans="1:14" ht="14.25" customHeight="1" x14ac:dyDescent="0.25">
      <c r="A3675" s="599"/>
      <c r="B3675" s="600"/>
      <c r="C3675" s="600"/>
      <c r="D3675" s="600"/>
      <c r="E3675" s="600"/>
      <c r="F3675" s="601"/>
      <c r="G3675" s="81"/>
      <c r="H3675" s="81"/>
      <c r="I3675" s="81"/>
      <c r="J3675" s="81"/>
      <c r="K3675" s="81"/>
      <c r="L3675" s="81"/>
      <c r="M3675" s="81"/>
      <c r="N3675" s="81"/>
    </row>
    <row r="3676" spans="1:14" ht="14.25" customHeight="1" x14ac:dyDescent="0.25">
      <c r="A3676" s="602" t="s">
        <v>561</v>
      </c>
      <c r="B3676" s="600"/>
      <c r="C3676" s="600"/>
      <c r="D3676" s="600"/>
      <c r="E3676" s="600"/>
      <c r="F3676" s="601"/>
      <c r="G3676" s="81"/>
      <c r="H3676" s="81"/>
      <c r="I3676" s="81"/>
      <c r="J3676" s="81"/>
      <c r="K3676" s="81"/>
      <c r="L3676" s="81"/>
      <c r="M3676" s="81"/>
      <c r="N3676" s="81"/>
    </row>
    <row r="3677" spans="1:14" ht="14.25" customHeight="1" thickBot="1" x14ac:dyDescent="0.3">
      <c r="A3677" s="603"/>
      <c r="B3677" s="604"/>
      <c r="C3677" s="604"/>
      <c r="D3677" s="604"/>
      <c r="E3677" s="604"/>
      <c r="F3677" s="605"/>
      <c r="G3677" s="81"/>
      <c r="H3677" s="81"/>
      <c r="I3677" s="81"/>
      <c r="J3677" s="81"/>
      <c r="K3677" s="81"/>
      <c r="L3677" s="81"/>
      <c r="M3677" s="81"/>
      <c r="N3677" s="81"/>
    </row>
    <row r="3678" spans="1:14" ht="14.25" customHeight="1" x14ac:dyDescent="0.25">
      <c r="A3678" s="88"/>
      <c r="B3678" s="88"/>
      <c r="C3678" s="89"/>
      <c r="D3678" s="89"/>
      <c r="E3678" s="89"/>
      <c r="F3678" s="89"/>
      <c r="G3678" s="81"/>
      <c r="H3678" s="81"/>
      <c r="I3678" s="81"/>
      <c r="J3678" s="81"/>
      <c r="K3678" s="81"/>
      <c r="L3678" s="81"/>
      <c r="M3678" s="81"/>
      <c r="N3678" s="81"/>
    </row>
    <row r="3679" spans="1:14" ht="30" customHeight="1" x14ac:dyDescent="0.25">
      <c r="A3679" s="90" t="s">
        <v>47</v>
      </c>
      <c r="B3679" s="613" t="s">
        <v>182</v>
      </c>
      <c r="C3679" s="600"/>
      <c r="D3679" s="600"/>
      <c r="E3679" s="600"/>
      <c r="F3679" s="600"/>
      <c r="G3679" s="81"/>
      <c r="H3679" s="81"/>
      <c r="I3679" s="81"/>
      <c r="J3679" s="81"/>
      <c r="K3679" s="81"/>
      <c r="L3679" s="81"/>
      <c r="M3679" s="81"/>
      <c r="N3679" s="81"/>
    </row>
    <row r="3680" spans="1:14" ht="14.25" customHeight="1" x14ac:dyDescent="0.25">
      <c r="A3680" s="91"/>
      <c r="B3680" s="91"/>
      <c r="C3680" s="91"/>
      <c r="D3680" s="91"/>
      <c r="E3680" s="91"/>
      <c r="F3680" s="91"/>
      <c r="G3680" s="81"/>
      <c r="H3680" s="81"/>
      <c r="I3680" s="81"/>
      <c r="J3680" s="81"/>
      <c r="K3680" s="81"/>
      <c r="L3680" s="81"/>
      <c r="M3680" s="81"/>
      <c r="N3680" s="81"/>
    </row>
    <row r="3681" spans="1:14" ht="14.25" customHeight="1" x14ac:dyDescent="0.25">
      <c r="A3681" s="88" t="s">
        <v>49</v>
      </c>
      <c r="B3681" s="92" t="s">
        <v>59</v>
      </c>
      <c r="C3681" s="89"/>
      <c r="D3681" s="89"/>
      <c r="E3681" s="89"/>
      <c r="F3681" s="93"/>
      <c r="G3681" s="81"/>
      <c r="H3681" s="81"/>
      <c r="I3681" s="81"/>
      <c r="J3681" s="81"/>
      <c r="K3681" s="81"/>
      <c r="L3681" s="81"/>
      <c r="M3681" s="81"/>
      <c r="N3681" s="81"/>
    </row>
    <row r="3682" spans="1:14" ht="14.25" customHeight="1" x14ac:dyDescent="0.25">
      <c r="A3682" s="88"/>
      <c r="B3682" s="94"/>
      <c r="C3682" s="89"/>
      <c r="D3682" s="89"/>
      <c r="E3682" s="89"/>
      <c r="F3682" s="93"/>
      <c r="G3682" s="81"/>
      <c r="H3682" s="81"/>
      <c r="I3682" s="81"/>
      <c r="J3682" s="81"/>
      <c r="K3682" s="81"/>
      <c r="L3682" s="81"/>
      <c r="M3682" s="81"/>
      <c r="N3682" s="81"/>
    </row>
    <row r="3683" spans="1:14" ht="14.25" customHeight="1" x14ac:dyDescent="0.25">
      <c r="A3683" s="95" t="s">
        <v>562</v>
      </c>
      <c r="B3683" s="96"/>
      <c r="C3683" s="92"/>
      <c r="D3683" s="92"/>
      <c r="E3683" s="92"/>
      <c r="F3683" s="92"/>
      <c r="G3683" s="81"/>
      <c r="H3683" s="81"/>
      <c r="I3683" s="81"/>
      <c r="J3683" s="81"/>
      <c r="K3683" s="81"/>
      <c r="L3683" s="81"/>
      <c r="M3683" s="81"/>
      <c r="N3683" s="81"/>
    </row>
    <row r="3684" spans="1:14" ht="14.25" customHeight="1" x14ac:dyDescent="0.25">
      <c r="A3684" s="97" t="s">
        <v>563</v>
      </c>
      <c r="B3684" s="98" t="s">
        <v>564</v>
      </c>
      <c r="C3684" s="98" t="s">
        <v>565</v>
      </c>
      <c r="D3684" s="98" t="s">
        <v>566</v>
      </c>
      <c r="E3684" s="98" t="s">
        <v>567</v>
      </c>
      <c r="F3684" s="98" t="s">
        <v>568</v>
      </c>
      <c r="G3684" s="81"/>
      <c r="H3684" s="81"/>
      <c r="I3684" s="81"/>
      <c r="J3684" s="81"/>
      <c r="K3684" s="81"/>
      <c r="L3684" s="81"/>
      <c r="M3684" s="81"/>
      <c r="N3684" s="81"/>
    </row>
    <row r="3685" spans="1:14" ht="14.25" customHeight="1" x14ac:dyDescent="0.25">
      <c r="A3685" s="99" t="s">
        <v>711</v>
      </c>
      <c r="B3685" s="100" t="s">
        <v>651</v>
      </c>
      <c r="C3685" s="101">
        <v>247950</v>
      </c>
      <c r="D3685" s="149">
        <v>0.05</v>
      </c>
      <c r="E3685" s="102">
        <v>0.05</v>
      </c>
      <c r="F3685" s="101">
        <f t="shared" ref="F3685:F3686" si="203">C3685*(D3685+(D3685*E3685))</f>
        <v>13017.375000000002</v>
      </c>
      <c r="G3685" s="81"/>
      <c r="H3685" s="81"/>
      <c r="I3685" s="81"/>
      <c r="J3685" s="81"/>
      <c r="K3685" s="81"/>
      <c r="L3685" s="81"/>
      <c r="M3685" s="81"/>
      <c r="N3685" s="81"/>
    </row>
    <row r="3686" spans="1:14" ht="14.25" customHeight="1" x14ac:dyDescent="0.25">
      <c r="A3686" s="99" t="s">
        <v>662</v>
      </c>
      <c r="B3686" s="100" t="s">
        <v>64</v>
      </c>
      <c r="C3686" s="101">
        <v>373380</v>
      </c>
      <c r="D3686" s="149">
        <v>3.5000000000000003E-2</v>
      </c>
      <c r="E3686" s="102">
        <v>0.05</v>
      </c>
      <c r="F3686" s="101">
        <f t="shared" si="203"/>
        <v>13721.715000000002</v>
      </c>
      <c r="G3686" s="81"/>
      <c r="H3686" s="81"/>
      <c r="I3686" s="81"/>
      <c r="J3686" s="81"/>
      <c r="K3686" s="81"/>
      <c r="L3686" s="81"/>
      <c r="M3686" s="81"/>
      <c r="N3686" s="81"/>
    </row>
    <row r="3687" spans="1:14" ht="14.25" customHeight="1" x14ac:dyDescent="0.25">
      <c r="A3687" s="99"/>
      <c r="B3687" s="100"/>
      <c r="C3687" s="101"/>
      <c r="D3687" s="104"/>
      <c r="E3687" s="102"/>
      <c r="F3687" s="101"/>
      <c r="G3687" s="81"/>
      <c r="H3687" s="81"/>
      <c r="I3687" s="81"/>
      <c r="J3687" s="81"/>
      <c r="K3687" s="81"/>
      <c r="L3687" s="81"/>
      <c r="M3687" s="81"/>
      <c r="N3687" s="81"/>
    </row>
    <row r="3688" spans="1:14" ht="14.25" customHeight="1" x14ac:dyDescent="0.25">
      <c r="A3688" s="99"/>
      <c r="B3688" s="100"/>
      <c r="C3688" s="101"/>
      <c r="D3688" s="149"/>
      <c r="E3688" s="102"/>
      <c r="F3688" s="101"/>
      <c r="G3688" s="81"/>
      <c r="H3688" s="81"/>
      <c r="I3688" s="81"/>
      <c r="J3688" s="81"/>
      <c r="K3688" s="81"/>
      <c r="L3688" s="81"/>
      <c r="M3688" s="81"/>
      <c r="N3688" s="81"/>
    </row>
    <row r="3689" spans="1:14" ht="14.25" customHeight="1" x14ac:dyDescent="0.25">
      <c r="A3689" s="99"/>
      <c r="B3689" s="100"/>
      <c r="C3689" s="106"/>
      <c r="D3689" s="107"/>
      <c r="E3689" s="108"/>
      <c r="F3689" s="106"/>
      <c r="G3689" s="81"/>
      <c r="H3689" s="81"/>
      <c r="I3689" s="81"/>
      <c r="J3689" s="81"/>
      <c r="K3689" s="81"/>
      <c r="L3689" s="81"/>
      <c r="M3689" s="81"/>
      <c r="N3689" s="81"/>
    </row>
    <row r="3690" spans="1:14" ht="14.25" customHeight="1" x14ac:dyDescent="0.25">
      <c r="A3690" s="97" t="s">
        <v>548</v>
      </c>
      <c r="B3690" s="97"/>
      <c r="C3690" s="109"/>
      <c r="D3690" s="110"/>
      <c r="E3690" s="111"/>
      <c r="F3690" s="112">
        <f>SUM(F3685:F3689)</f>
        <v>26739.090000000004</v>
      </c>
      <c r="G3690" s="81"/>
      <c r="H3690" s="81"/>
      <c r="I3690" s="81"/>
      <c r="J3690" s="81"/>
      <c r="K3690" s="81"/>
      <c r="L3690" s="81"/>
      <c r="M3690" s="81"/>
      <c r="N3690" s="81"/>
    </row>
    <row r="3691" spans="1:14" ht="14.25" customHeight="1" x14ac:dyDescent="0.25">
      <c r="A3691" s="88"/>
      <c r="B3691" s="88"/>
      <c r="C3691" s="113"/>
      <c r="D3691" s="113"/>
      <c r="E3691" s="114"/>
      <c r="F3691" s="113"/>
      <c r="G3691" s="81"/>
      <c r="H3691" s="81"/>
      <c r="I3691" s="81"/>
      <c r="J3691" s="81"/>
      <c r="K3691" s="81"/>
      <c r="L3691" s="81"/>
      <c r="M3691" s="81"/>
      <c r="N3691" s="81"/>
    </row>
    <row r="3692" spans="1:14" ht="14.25" customHeight="1" x14ac:dyDescent="0.25">
      <c r="A3692" s="96" t="s">
        <v>573</v>
      </c>
      <c r="B3692" s="96"/>
      <c r="C3692" s="92"/>
      <c r="D3692" s="92"/>
      <c r="E3692" s="92"/>
      <c r="F3692" s="92"/>
      <c r="G3692" s="81"/>
      <c r="H3692" s="81"/>
      <c r="I3692" s="81"/>
      <c r="J3692" s="81"/>
      <c r="K3692" s="81"/>
      <c r="L3692" s="81"/>
      <c r="M3692" s="81"/>
      <c r="N3692" s="81"/>
    </row>
    <row r="3693" spans="1:14" ht="14.25" customHeight="1" x14ac:dyDescent="0.25">
      <c r="A3693" s="611" t="s">
        <v>563</v>
      </c>
      <c r="B3693" s="608"/>
      <c r="C3693" s="609"/>
      <c r="D3693" s="98" t="s">
        <v>574</v>
      </c>
      <c r="E3693" s="98" t="s">
        <v>575</v>
      </c>
      <c r="F3693" s="98" t="s">
        <v>568</v>
      </c>
      <c r="G3693" s="81"/>
      <c r="H3693" s="81"/>
      <c r="I3693" s="81"/>
      <c r="J3693" s="81"/>
      <c r="K3693" s="81"/>
      <c r="L3693" s="81"/>
      <c r="M3693" s="81"/>
      <c r="N3693" s="81"/>
    </row>
    <row r="3694" spans="1:14" ht="14.25" customHeight="1" x14ac:dyDescent="0.25">
      <c r="A3694" s="607" t="s">
        <v>577</v>
      </c>
      <c r="B3694" s="608"/>
      <c r="C3694" s="609"/>
      <c r="D3694" s="116"/>
      <c r="E3694" s="107"/>
      <c r="F3694" s="106">
        <f>+F3707*5%</f>
        <v>801.92727071456238</v>
      </c>
      <c r="G3694" s="81"/>
      <c r="H3694" s="81"/>
      <c r="I3694" s="81"/>
      <c r="J3694" s="81"/>
      <c r="K3694" s="81"/>
      <c r="L3694" s="81"/>
      <c r="M3694" s="81"/>
      <c r="N3694" s="81"/>
    </row>
    <row r="3695" spans="1:14" ht="14.25" customHeight="1" x14ac:dyDescent="0.25">
      <c r="A3695" s="607"/>
      <c r="B3695" s="608"/>
      <c r="C3695" s="609"/>
      <c r="D3695" s="142"/>
      <c r="E3695" s="107"/>
      <c r="F3695" s="106"/>
      <c r="G3695" s="81"/>
      <c r="H3695" s="81"/>
      <c r="I3695" s="81"/>
      <c r="J3695" s="81"/>
      <c r="K3695" s="81"/>
      <c r="L3695" s="81"/>
      <c r="M3695" s="81"/>
      <c r="N3695" s="81"/>
    </row>
    <row r="3696" spans="1:14" ht="14.25" customHeight="1" x14ac:dyDescent="0.25">
      <c r="A3696" s="607"/>
      <c r="B3696" s="608"/>
      <c r="C3696" s="609"/>
      <c r="D3696" s="142"/>
      <c r="E3696" s="107"/>
      <c r="F3696" s="106"/>
      <c r="G3696" s="81"/>
      <c r="H3696" s="81"/>
      <c r="I3696" s="81"/>
      <c r="J3696" s="81"/>
      <c r="K3696" s="81"/>
      <c r="L3696" s="81"/>
      <c r="M3696" s="81"/>
      <c r="N3696" s="81"/>
    </row>
    <row r="3697" spans="1:14" ht="14.25" customHeight="1" x14ac:dyDescent="0.25">
      <c r="A3697" s="607"/>
      <c r="B3697" s="608"/>
      <c r="C3697" s="609"/>
      <c r="D3697" s="142"/>
      <c r="E3697" s="107"/>
      <c r="F3697" s="106"/>
      <c r="G3697" s="81"/>
      <c r="H3697" s="81"/>
      <c r="I3697" s="81"/>
      <c r="J3697" s="81"/>
      <c r="K3697" s="81"/>
      <c r="L3697" s="81"/>
      <c r="M3697" s="81"/>
      <c r="N3697" s="81"/>
    </row>
    <row r="3698" spans="1:14" ht="14.25" customHeight="1" x14ac:dyDescent="0.25">
      <c r="A3698" s="610"/>
      <c r="B3698" s="608"/>
      <c r="C3698" s="609"/>
      <c r="D3698" s="115"/>
      <c r="E3698" s="107"/>
      <c r="F3698" s="106"/>
      <c r="G3698" s="81"/>
      <c r="H3698" s="81"/>
      <c r="I3698" s="81"/>
      <c r="J3698" s="81"/>
      <c r="K3698" s="81"/>
      <c r="L3698" s="81"/>
      <c r="M3698" s="81"/>
      <c r="N3698" s="81"/>
    </row>
    <row r="3699" spans="1:14" ht="14.25" customHeight="1" x14ac:dyDescent="0.25">
      <c r="A3699" s="611" t="s">
        <v>548</v>
      </c>
      <c r="B3699" s="608"/>
      <c r="C3699" s="609"/>
      <c r="D3699" s="110"/>
      <c r="E3699" s="110"/>
      <c r="F3699" s="112">
        <f>SUM(F3694:F3697)</f>
        <v>801.92727071456238</v>
      </c>
      <c r="G3699" s="81"/>
      <c r="H3699" s="81"/>
      <c r="I3699" s="81"/>
      <c r="J3699" s="81"/>
      <c r="K3699" s="81"/>
      <c r="L3699" s="81"/>
      <c r="M3699" s="81"/>
      <c r="N3699" s="81"/>
    </row>
    <row r="3700" spans="1:14" ht="14.25" customHeight="1" x14ac:dyDescent="0.25">
      <c r="A3700" s="88"/>
      <c r="B3700" s="88"/>
      <c r="C3700" s="89"/>
      <c r="D3700" s="113"/>
      <c r="E3700" s="113"/>
      <c r="F3700" s="113"/>
      <c r="G3700" s="81"/>
      <c r="H3700" s="81"/>
      <c r="I3700" s="81"/>
      <c r="J3700" s="81"/>
      <c r="K3700" s="81"/>
      <c r="L3700" s="81"/>
      <c r="M3700" s="81"/>
      <c r="N3700" s="81"/>
    </row>
    <row r="3701" spans="1:14" ht="14.25" customHeight="1" x14ac:dyDescent="0.25">
      <c r="A3701" s="96" t="s">
        <v>578</v>
      </c>
      <c r="B3701" s="96"/>
      <c r="C3701" s="92"/>
      <c r="D3701" s="118"/>
      <c r="E3701" s="118"/>
      <c r="F3701" s="118"/>
      <c r="G3701" s="81"/>
      <c r="H3701" s="81"/>
      <c r="I3701" s="81"/>
      <c r="J3701" s="81"/>
      <c r="K3701" s="81"/>
      <c r="L3701" s="81"/>
      <c r="M3701" s="81"/>
      <c r="N3701" s="81"/>
    </row>
    <row r="3702" spans="1:14" ht="14.25" customHeight="1" x14ac:dyDescent="0.25">
      <c r="A3702" s="119" t="s">
        <v>563</v>
      </c>
      <c r="B3702" s="120" t="s">
        <v>579</v>
      </c>
      <c r="C3702" s="120" t="s">
        <v>580</v>
      </c>
      <c r="D3702" s="121" t="s">
        <v>581</v>
      </c>
      <c r="E3702" s="121" t="s">
        <v>575</v>
      </c>
      <c r="F3702" s="121" t="s">
        <v>568</v>
      </c>
      <c r="G3702" s="81"/>
      <c r="H3702" s="81"/>
      <c r="I3702" s="81"/>
      <c r="J3702" s="81"/>
      <c r="K3702" s="81"/>
      <c r="L3702" s="81"/>
      <c r="M3702" s="81"/>
      <c r="N3702" s="81"/>
    </row>
    <row r="3703" spans="1:14" ht="14.25" customHeight="1" x14ac:dyDescent="0.25">
      <c r="A3703" s="122" t="s">
        <v>593</v>
      </c>
      <c r="B3703" s="127">
        <v>1</v>
      </c>
      <c r="C3703" s="101">
        <v>32688</v>
      </c>
      <c r="D3703" s="101">
        <f t="shared" ref="D3703:D3704" si="204">+C3703*1.7</f>
        <v>55569.599999999999</v>
      </c>
      <c r="E3703" s="107">
        <v>9.0335000000000001</v>
      </c>
      <c r="F3703" s="106">
        <f t="shared" ref="F3703:F3704" si="205">+B3703*(D3703)/E3703</f>
        <v>6151.5027398018483</v>
      </c>
      <c r="G3703" s="81"/>
      <c r="H3703" s="81"/>
      <c r="I3703" s="81"/>
      <c r="J3703" s="81"/>
      <c r="K3703" s="81"/>
      <c r="L3703" s="81"/>
      <c r="M3703" s="81"/>
      <c r="N3703" s="81"/>
    </row>
    <row r="3704" spans="1:14" ht="14.25" customHeight="1" x14ac:dyDescent="0.25">
      <c r="A3704" s="122" t="s">
        <v>594</v>
      </c>
      <c r="B3704" s="127">
        <v>1</v>
      </c>
      <c r="C3704" s="101">
        <v>52538</v>
      </c>
      <c r="D3704" s="101">
        <f t="shared" si="204"/>
        <v>89314.599999999991</v>
      </c>
      <c r="E3704" s="107">
        <f>E3703</f>
        <v>9.0335000000000001</v>
      </c>
      <c r="F3704" s="106">
        <f t="shared" si="205"/>
        <v>9887.0426744893994</v>
      </c>
      <c r="G3704" s="81"/>
      <c r="H3704" s="81"/>
      <c r="I3704" s="81"/>
      <c r="J3704" s="81"/>
      <c r="K3704" s="81"/>
      <c r="L3704" s="81"/>
      <c r="M3704" s="81"/>
      <c r="N3704" s="81"/>
    </row>
    <row r="3705" spans="1:14" ht="14.25" customHeight="1" x14ac:dyDescent="0.25">
      <c r="A3705" s="122"/>
      <c r="B3705" s="127"/>
      <c r="C3705" s="101"/>
      <c r="D3705" s="101"/>
      <c r="E3705" s="105"/>
      <c r="F3705" s="106"/>
      <c r="G3705" s="81"/>
      <c r="H3705" s="81"/>
      <c r="I3705" s="81"/>
      <c r="J3705" s="81"/>
      <c r="K3705" s="81"/>
      <c r="L3705" s="81"/>
      <c r="M3705" s="81"/>
      <c r="N3705" s="81"/>
    </row>
    <row r="3706" spans="1:14" ht="14.25" customHeight="1" x14ac:dyDescent="0.25">
      <c r="A3706" s="122"/>
      <c r="B3706" s="127"/>
      <c r="C3706" s="101"/>
      <c r="D3706" s="101"/>
      <c r="E3706" s="125"/>
      <c r="F3706" s="106"/>
      <c r="G3706" s="81"/>
      <c r="H3706" s="81"/>
      <c r="I3706" s="81"/>
      <c r="J3706" s="81"/>
      <c r="K3706" s="81"/>
      <c r="L3706" s="81"/>
      <c r="M3706" s="81"/>
      <c r="N3706" s="81"/>
    </row>
    <row r="3707" spans="1:14" ht="14.25" customHeight="1" x14ac:dyDescent="0.25">
      <c r="A3707" s="97" t="s">
        <v>548</v>
      </c>
      <c r="B3707" s="128"/>
      <c r="C3707" s="110"/>
      <c r="D3707" s="110"/>
      <c r="E3707" s="110"/>
      <c r="F3707" s="112">
        <f>SUM(F3703:F3706)</f>
        <v>16038.545414291248</v>
      </c>
      <c r="G3707" s="81"/>
      <c r="H3707" s="81"/>
      <c r="I3707" s="81"/>
      <c r="J3707" s="81"/>
      <c r="K3707" s="81"/>
      <c r="L3707" s="81"/>
      <c r="M3707" s="81"/>
      <c r="N3707" s="81"/>
    </row>
    <row r="3708" spans="1:14" ht="14.25" customHeight="1" x14ac:dyDescent="0.25">
      <c r="A3708" s="96"/>
      <c r="B3708" s="129"/>
      <c r="C3708" s="118"/>
      <c r="D3708" s="118"/>
      <c r="E3708" s="118"/>
      <c r="F3708" s="118"/>
      <c r="G3708" s="81"/>
      <c r="H3708" s="81"/>
      <c r="I3708" s="81"/>
      <c r="J3708" s="81"/>
      <c r="K3708" s="81"/>
      <c r="L3708" s="81"/>
      <c r="M3708" s="81"/>
      <c r="N3708" s="81"/>
    </row>
    <row r="3709" spans="1:14" ht="14.25" customHeight="1" x14ac:dyDescent="0.25">
      <c r="A3709" s="95" t="s">
        <v>583</v>
      </c>
      <c r="B3709" s="96"/>
      <c r="C3709" s="92"/>
      <c r="D3709" s="92"/>
      <c r="E3709" s="92" t="s">
        <v>584</v>
      </c>
      <c r="F3709" s="92"/>
      <c r="G3709" s="81"/>
      <c r="H3709" s="81"/>
      <c r="I3709" s="81"/>
      <c r="J3709" s="81"/>
      <c r="K3709" s="81"/>
      <c r="L3709" s="81"/>
      <c r="M3709" s="81"/>
      <c r="N3709" s="81"/>
    </row>
    <row r="3710" spans="1:14" ht="14.25" customHeight="1" x14ac:dyDescent="0.25">
      <c r="A3710" s="97" t="s">
        <v>563</v>
      </c>
      <c r="B3710" s="98" t="s">
        <v>564</v>
      </c>
      <c r="C3710" s="98" t="s">
        <v>585</v>
      </c>
      <c r="D3710" s="98" t="s">
        <v>586</v>
      </c>
      <c r="E3710" s="120" t="s">
        <v>587</v>
      </c>
      <c r="F3710" s="98" t="s">
        <v>568</v>
      </c>
      <c r="G3710" s="81"/>
      <c r="H3710" s="81"/>
      <c r="I3710" s="81"/>
      <c r="J3710" s="81"/>
      <c r="K3710" s="81"/>
      <c r="L3710" s="81"/>
      <c r="M3710" s="81"/>
      <c r="N3710" s="81"/>
    </row>
    <row r="3711" spans="1:14" ht="14.25" customHeight="1" x14ac:dyDescent="0.25">
      <c r="A3711" s="103"/>
      <c r="B3711" s="100"/>
      <c r="C3711" s="101"/>
      <c r="D3711" s="140"/>
      <c r="E3711" s="107"/>
      <c r="F3711" s="109"/>
      <c r="G3711" s="81"/>
      <c r="H3711" s="81"/>
      <c r="I3711" s="81"/>
      <c r="J3711" s="81"/>
      <c r="K3711" s="81"/>
      <c r="L3711" s="81"/>
      <c r="M3711" s="81"/>
      <c r="N3711" s="81"/>
    </row>
    <row r="3712" spans="1:14" ht="14.25" customHeight="1" x14ac:dyDescent="0.25">
      <c r="A3712" s="103"/>
      <c r="B3712" s="100"/>
      <c r="C3712" s="107"/>
      <c r="D3712" s="107"/>
      <c r="E3712" s="108"/>
      <c r="F3712" s="109"/>
      <c r="G3712" s="81"/>
      <c r="H3712" s="81"/>
      <c r="I3712" s="81"/>
      <c r="J3712" s="81"/>
      <c r="K3712" s="81"/>
      <c r="L3712" s="81"/>
      <c r="M3712" s="81"/>
      <c r="N3712" s="81"/>
    </row>
    <row r="3713" spans="1:14" ht="14.25" customHeight="1" x14ac:dyDescent="0.25">
      <c r="A3713" s="97" t="s">
        <v>548</v>
      </c>
      <c r="B3713" s="98"/>
      <c r="C3713" s="110"/>
      <c r="D3713" s="110"/>
      <c r="E3713" s="111"/>
      <c r="F3713" s="112">
        <f>SUM(F3711:F3712)</f>
        <v>0</v>
      </c>
      <c r="G3713" s="81"/>
      <c r="H3713" s="81"/>
      <c r="I3713" s="81"/>
      <c r="J3713" s="81"/>
      <c r="K3713" s="81"/>
      <c r="L3713" s="81"/>
      <c r="M3713" s="81"/>
      <c r="N3713" s="81"/>
    </row>
    <row r="3714" spans="1:14" ht="14.25" customHeight="1" x14ac:dyDescent="0.25">
      <c r="A3714" s="88"/>
      <c r="B3714" s="89"/>
      <c r="C3714" s="113"/>
      <c r="D3714" s="113"/>
      <c r="E3714" s="114"/>
      <c r="F3714" s="113"/>
      <c r="G3714" s="81"/>
      <c r="H3714" s="81"/>
      <c r="I3714" s="81"/>
      <c r="J3714" s="81"/>
      <c r="K3714" s="81"/>
      <c r="L3714" s="81"/>
      <c r="M3714" s="81"/>
      <c r="N3714" s="81"/>
    </row>
    <row r="3715" spans="1:14" ht="14.25" customHeight="1" x14ac:dyDescent="0.25">
      <c r="A3715" s="88"/>
      <c r="B3715" s="89"/>
      <c r="C3715" s="113"/>
      <c r="D3715" s="113"/>
      <c r="E3715" s="114"/>
      <c r="F3715" s="113"/>
      <c r="G3715" s="81"/>
      <c r="H3715" s="81"/>
      <c r="I3715" s="81"/>
      <c r="J3715" s="81"/>
      <c r="K3715" s="81"/>
      <c r="L3715" s="81"/>
      <c r="M3715" s="81"/>
      <c r="N3715" s="81"/>
    </row>
    <row r="3716" spans="1:14" ht="14.25" customHeight="1" x14ac:dyDescent="0.25">
      <c r="A3716" s="612" t="s">
        <v>588</v>
      </c>
      <c r="B3716" s="608"/>
      <c r="C3716" s="608"/>
      <c r="D3716" s="608"/>
      <c r="E3716" s="609"/>
      <c r="F3716" s="131">
        <f>ROUND(F3690+F3699+F3707+F3713,0)</f>
        <v>43580</v>
      </c>
      <c r="G3716" s="81"/>
      <c r="H3716" s="117"/>
      <c r="I3716" s="81"/>
      <c r="J3716" s="81"/>
      <c r="K3716" s="81"/>
      <c r="L3716" s="81"/>
      <c r="M3716" s="81"/>
      <c r="N3716" s="81"/>
    </row>
    <row r="3717" spans="1:14" ht="14.25" customHeight="1" x14ac:dyDescent="0.25">
      <c r="A3717" s="612" t="s">
        <v>589</v>
      </c>
      <c r="B3717" s="608"/>
      <c r="C3717" s="608"/>
      <c r="D3717" s="608"/>
      <c r="E3717" s="609"/>
      <c r="F3717" s="132"/>
      <c r="G3717" s="81"/>
      <c r="H3717" s="81"/>
      <c r="I3717" s="81"/>
      <c r="J3717" s="81"/>
      <c r="K3717" s="81"/>
      <c r="L3717" s="81"/>
      <c r="M3717" s="81"/>
      <c r="N3717" s="81"/>
    </row>
    <row r="3718" spans="1:14" ht="14.25" customHeight="1" x14ac:dyDescent="0.25">
      <c r="A3718" s="146" t="s">
        <v>556</v>
      </c>
      <c r="B3718" s="147"/>
      <c r="C3718" s="147"/>
      <c r="D3718" s="147"/>
      <c r="E3718" s="148"/>
      <c r="F3718" s="133"/>
      <c r="G3718" s="81"/>
      <c r="H3718" s="81"/>
      <c r="I3718" s="81"/>
      <c r="J3718" s="81"/>
      <c r="K3718" s="81"/>
      <c r="L3718" s="81"/>
      <c r="M3718" s="81"/>
      <c r="N3718" s="81"/>
    </row>
    <row r="3719" spans="1:14" ht="14.25" customHeight="1" x14ac:dyDescent="0.25">
      <c r="A3719" s="134"/>
      <c r="B3719" s="135"/>
      <c r="C3719" s="135"/>
      <c r="D3719" s="135"/>
      <c r="E3719" s="135"/>
      <c r="F3719" s="136"/>
      <c r="G3719" s="81"/>
      <c r="H3719" s="81"/>
      <c r="I3719" s="81"/>
      <c r="J3719" s="81"/>
      <c r="K3719" s="81"/>
      <c r="L3719" s="81"/>
      <c r="M3719" s="81"/>
      <c r="N3719" s="81"/>
    </row>
    <row r="3720" spans="1:14" ht="14.25" customHeight="1" x14ac:dyDescent="0.25">
      <c r="A3720" s="81"/>
      <c r="B3720" s="81"/>
      <c r="C3720" s="137"/>
      <c r="D3720" s="81"/>
      <c r="E3720" s="81"/>
      <c r="F3720" s="81"/>
      <c r="G3720" s="81"/>
      <c r="H3720" s="81"/>
      <c r="I3720" s="81"/>
      <c r="J3720" s="81"/>
      <c r="K3720" s="81"/>
      <c r="L3720" s="81"/>
      <c r="M3720" s="81"/>
      <c r="N3720" s="81"/>
    </row>
    <row r="3721" spans="1:14" ht="14.25" customHeight="1" x14ac:dyDescent="0.25">
      <c r="A3721" s="81"/>
      <c r="B3721" s="81"/>
      <c r="C3721" s="137"/>
      <c r="D3721" s="81"/>
      <c r="E3721" s="81"/>
      <c r="F3721" s="81"/>
      <c r="G3721" s="81"/>
      <c r="H3721" s="81"/>
      <c r="I3721" s="81"/>
      <c r="J3721" s="81"/>
      <c r="K3721" s="81"/>
      <c r="L3721" s="81"/>
      <c r="M3721" s="81"/>
      <c r="N3721" s="81"/>
    </row>
    <row r="3722" spans="1:14" ht="14.25" customHeight="1" x14ac:dyDescent="0.25">
      <c r="A3722" s="81"/>
      <c r="B3722" s="81"/>
      <c r="C3722" s="137"/>
      <c r="D3722" s="81"/>
      <c r="E3722" s="81"/>
      <c r="F3722" s="81"/>
      <c r="G3722" s="81"/>
      <c r="H3722" s="81"/>
      <c r="I3722" s="81"/>
      <c r="J3722" s="81"/>
      <c r="K3722" s="81"/>
      <c r="L3722" s="81"/>
      <c r="M3722" s="81"/>
      <c r="N3722" s="81"/>
    </row>
    <row r="3723" spans="1:14" ht="14.25" customHeight="1" x14ac:dyDescent="0.25">
      <c r="A3723" s="81"/>
      <c r="B3723" s="81"/>
      <c r="C3723" s="137"/>
      <c r="D3723" s="81"/>
      <c r="E3723" s="81"/>
      <c r="F3723" s="81"/>
      <c r="G3723" s="81"/>
      <c r="H3723" s="81"/>
      <c r="I3723" s="81"/>
      <c r="J3723" s="81"/>
      <c r="K3723" s="81"/>
      <c r="L3723" s="81"/>
      <c r="M3723" s="81"/>
      <c r="N3723" s="81"/>
    </row>
    <row r="3724" spans="1:14" ht="14.25" customHeight="1" x14ac:dyDescent="0.25">
      <c r="A3724" s="81"/>
      <c r="B3724" s="81"/>
      <c r="C3724" s="137"/>
      <c r="D3724" s="81"/>
      <c r="E3724" s="81"/>
      <c r="F3724" s="81"/>
      <c r="G3724" s="81"/>
      <c r="H3724" s="81"/>
      <c r="I3724" s="81"/>
      <c r="J3724" s="81"/>
      <c r="K3724" s="81"/>
      <c r="L3724" s="81"/>
      <c r="M3724" s="81"/>
      <c r="N3724" s="81"/>
    </row>
    <row r="3725" spans="1:14" ht="14.25" customHeight="1" x14ac:dyDescent="0.25">
      <c r="A3725" s="81"/>
      <c r="B3725" s="81"/>
      <c r="C3725" s="137"/>
      <c r="D3725" s="81"/>
      <c r="E3725" s="81"/>
      <c r="F3725" s="81"/>
      <c r="G3725" s="81"/>
      <c r="H3725" s="81"/>
      <c r="I3725" s="81"/>
      <c r="J3725" s="81"/>
      <c r="K3725" s="81"/>
      <c r="L3725" s="81"/>
      <c r="M3725" s="81"/>
      <c r="N3725" s="81"/>
    </row>
    <row r="3726" spans="1:14" ht="14.25" customHeight="1" x14ac:dyDescent="0.25">
      <c r="A3726" s="81"/>
      <c r="B3726" s="81"/>
      <c r="C3726" s="137"/>
      <c r="D3726" s="81"/>
      <c r="E3726" s="81"/>
      <c r="F3726" s="81"/>
      <c r="G3726" s="81"/>
      <c r="H3726" s="81"/>
      <c r="I3726" s="81"/>
      <c r="J3726" s="81"/>
      <c r="K3726" s="81"/>
      <c r="L3726" s="81"/>
      <c r="M3726" s="81"/>
      <c r="N3726" s="81"/>
    </row>
    <row r="3727" spans="1:14" ht="14.25" customHeight="1" x14ac:dyDescent="0.25">
      <c r="A3727" s="134"/>
      <c r="B3727" s="135"/>
      <c r="C3727" s="135"/>
      <c r="D3727" s="135"/>
      <c r="E3727" s="135"/>
      <c r="F3727" s="136"/>
      <c r="G3727" s="81"/>
      <c r="H3727" s="81"/>
      <c r="I3727" s="81"/>
      <c r="J3727" s="81"/>
      <c r="K3727" s="81"/>
      <c r="L3727" s="81"/>
      <c r="M3727" s="81"/>
      <c r="N3727" s="81"/>
    </row>
    <row r="3728" spans="1:14" ht="14.25" customHeight="1" x14ac:dyDescent="0.25">
      <c r="A3728" s="134"/>
      <c r="B3728" s="135"/>
      <c r="C3728" s="135"/>
      <c r="D3728" s="135"/>
      <c r="E3728" s="135"/>
      <c r="F3728" s="136"/>
      <c r="G3728" s="81"/>
      <c r="H3728" s="81"/>
      <c r="I3728" s="81"/>
      <c r="J3728" s="81"/>
      <c r="K3728" s="81"/>
      <c r="L3728" s="81"/>
      <c r="M3728" s="81"/>
      <c r="N3728" s="81"/>
    </row>
    <row r="3729" spans="1:14" ht="14.25" customHeight="1" x14ac:dyDescent="0.25">
      <c r="A3729" s="134"/>
      <c r="B3729" s="135"/>
      <c r="C3729" s="135"/>
      <c r="D3729" s="135"/>
      <c r="E3729" s="135"/>
      <c r="F3729" s="136"/>
      <c r="G3729" s="81"/>
      <c r="H3729" s="81"/>
      <c r="I3729" s="81"/>
      <c r="J3729" s="81"/>
      <c r="K3729" s="81"/>
      <c r="L3729" s="81"/>
      <c r="M3729" s="81"/>
      <c r="N3729" s="81"/>
    </row>
    <row r="3730" spans="1:14" ht="14.25" customHeight="1" thickBot="1" x14ac:dyDescent="0.3">
      <c r="A3730" s="81"/>
      <c r="B3730" s="81"/>
      <c r="C3730" s="81"/>
      <c r="D3730" s="81"/>
      <c r="E3730" s="81"/>
      <c r="F3730" s="81"/>
      <c r="G3730" s="81"/>
      <c r="H3730" s="81"/>
      <c r="I3730" s="81"/>
      <c r="J3730" s="81"/>
      <c r="K3730" s="81"/>
      <c r="L3730" s="81"/>
      <c r="M3730" s="81"/>
      <c r="N3730" s="81"/>
    </row>
    <row r="3731" spans="1:14" ht="14.25" customHeight="1" x14ac:dyDescent="0.25">
      <c r="A3731" s="83"/>
      <c r="B3731" s="84"/>
      <c r="C3731" s="85"/>
      <c r="D3731" s="86"/>
      <c r="E3731" s="86"/>
      <c r="F3731" s="87"/>
      <c r="G3731" s="81"/>
      <c r="H3731" s="81"/>
      <c r="I3731" s="81"/>
      <c r="J3731" s="81"/>
      <c r="K3731" s="81"/>
      <c r="L3731" s="81"/>
      <c r="M3731" s="81"/>
      <c r="N3731" s="81"/>
    </row>
    <row r="3732" spans="1:14" ht="14.25" customHeight="1" x14ac:dyDescent="0.25">
      <c r="A3732" s="599"/>
      <c r="B3732" s="600"/>
      <c r="C3732" s="600"/>
      <c r="D3732" s="600"/>
      <c r="E3732" s="600"/>
      <c r="F3732" s="601"/>
      <c r="G3732" s="81"/>
      <c r="H3732" s="81"/>
      <c r="I3732" s="81"/>
      <c r="J3732" s="81"/>
      <c r="K3732" s="81"/>
      <c r="L3732" s="81"/>
      <c r="M3732" s="81"/>
      <c r="N3732" s="81"/>
    </row>
    <row r="3733" spans="1:14" ht="14.25" customHeight="1" x14ac:dyDescent="0.25">
      <c r="A3733" s="602" t="s">
        <v>561</v>
      </c>
      <c r="B3733" s="600"/>
      <c r="C3733" s="600"/>
      <c r="D3733" s="600"/>
      <c r="E3733" s="600"/>
      <c r="F3733" s="601"/>
      <c r="G3733" s="81"/>
      <c r="H3733" s="81"/>
      <c r="I3733" s="81"/>
      <c r="J3733" s="81"/>
      <c r="K3733" s="81"/>
      <c r="L3733" s="81"/>
      <c r="M3733" s="81"/>
      <c r="N3733" s="81"/>
    </row>
    <row r="3734" spans="1:14" ht="14.25" customHeight="1" thickBot="1" x14ac:dyDescent="0.3">
      <c r="A3734" s="603"/>
      <c r="B3734" s="604"/>
      <c r="C3734" s="604"/>
      <c r="D3734" s="604"/>
      <c r="E3734" s="604"/>
      <c r="F3734" s="605"/>
      <c r="G3734" s="81"/>
      <c r="H3734" s="81"/>
      <c r="I3734" s="81"/>
      <c r="J3734" s="81"/>
      <c r="K3734" s="81"/>
      <c r="L3734" s="81"/>
      <c r="M3734" s="81"/>
      <c r="N3734" s="81"/>
    </row>
    <row r="3735" spans="1:14" ht="14.25" customHeight="1" x14ac:dyDescent="0.25">
      <c r="A3735" s="88"/>
      <c r="B3735" s="88"/>
      <c r="C3735" s="89"/>
      <c r="D3735" s="89"/>
      <c r="E3735" s="89"/>
      <c r="F3735" s="89"/>
      <c r="G3735" s="81"/>
      <c r="H3735" s="81"/>
      <c r="I3735" s="81"/>
      <c r="J3735" s="81"/>
      <c r="K3735" s="81"/>
      <c r="L3735" s="81"/>
      <c r="M3735" s="81"/>
      <c r="N3735" s="81"/>
    </row>
    <row r="3736" spans="1:14" ht="14.25" customHeight="1" x14ac:dyDescent="0.25">
      <c r="A3736" s="90" t="s">
        <v>47</v>
      </c>
      <c r="B3736" s="613" t="s">
        <v>712</v>
      </c>
      <c r="C3736" s="600"/>
      <c r="D3736" s="600"/>
      <c r="E3736" s="600"/>
      <c r="F3736" s="600"/>
      <c r="G3736" s="81"/>
      <c r="H3736" s="81"/>
      <c r="I3736" s="81"/>
      <c r="J3736" s="81"/>
      <c r="K3736" s="81"/>
      <c r="L3736" s="81"/>
      <c r="M3736" s="81"/>
      <c r="N3736" s="81"/>
    </row>
    <row r="3737" spans="1:14" ht="14.25" customHeight="1" x14ac:dyDescent="0.25">
      <c r="A3737" s="91"/>
      <c r="B3737" s="91"/>
      <c r="C3737" s="91"/>
      <c r="D3737" s="91"/>
      <c r="E3737" s="91"/>
      <c r="F3737" s="91"/>
      <c r="G3737" s="81"/>
      <c r="H3737" s="81"/>
      <c r="I3737" s="81"/>
      <c r="J3737" s="81"/>
      <c r="K3737" s="81"/>
      <c r="L3737" s="81"/>
      <c r="M3737" s="81"/>
      <c r="N3737" s="81"/>
    </row>
    <row r="3738" spans="1:14" ht="14.25" customHeight="1" x14ac:dyDescent="0.25">
      <c r="A3738" s="88" t="s">
        <v>49</v>
      </c>
      <c r="B3738" s="92" t="s">
        <v>56</v>
      </c>
      <c r="C3738" s="89"/>
      <c r="D3738" s="89"/>
      <c r="E3738" s="89"/>
      <c r="F3738" s="93"/>
      <c r="G3738" s="81"/>
      <c r="H3738" s="81"/>
      <c r="I3738" s="81"/>
      <c r="J3738" s="81"/>
      <c r="K3738" s="81"/>
      <c r="L3738" s="81"/>
      <c r="M3738" s="81"/>
      <c r="N3738" s="81"/>
    </row>
    <row r="3739" spans="1:14" ht="14.25" customHeight="1" x14ac:dyDescent="0.25">
      <c r="A3739" s="88"/>
      <c r="B3739" s="94"/>
      <c r="C3739" s="89"/>
      <c r="D3739" s="89"/>
      <c r="E3739" s="89"/>
      <c r="F3739" s="93"/>
      <c r="G3739" s="81"/>
      <c r="H3739" s="81"/>
      <c r="I3739" s="81"/>
      <c r="J3739" s="81"/>
      <c r="K3739" s="81"/>
      <c r="L3739" s="81"/>
      <c r="M3739" s="81"/>
      <c r="N3739" s="81"/>
    </row>
    <row r="3740" spans="1:14" ht="14.25" customHeight="1" x14ac:dyDescent="0.25">
      <c r="A3740" s="95" t="s">
        <v>562</v>
      </c>
      <c r="B3740" s="96"/>
      <c r="C3740" s="92"/>
      <c r="D3740" s="92"/>
      <c r="E3740" s="92"/>
      <c r="F3740" s="92"/>
      <c r="G3740" s="81"/>
      <c r="H3740" s="81"/>
      <c r="I3740" s="81"/>
      <c r="J3740" s="81"/>
      <c r="K3740" s="81"/>
      <c r="L3740" s="81"/>
      <c r="M3740" s="81"/>
      <c r="N3740" s="81"/>
    </row>
    <row r="3741" spans="1:14" ht="14.25" customHeight="1" x14ac:dyDescent="0.25">
      <c r="A3741" s="97" t="s">
        <v>563</v>
      </c>
      <c r="B3741" s="98" t="s">
        <v>564</v>
      </c>
      <c r="C3741" s="98" t="s">
        <v>565</v>
      </c>
      <c r="D3741" s="98" t="s">
        <v>566</v>
      </c>
      <c r="E3741" s="98" t="s">
        <v>567</v>
      </c>
      <c r="F3741" s="98" t="s">
        <v>568</v>
      </c>
      <c r="G3741" s="81"/>
      <c r="H3741" s="81"/>
      <c r="I3741" s="81"/>
      <c r="J3741" s="81"/>
      <c r="K3741" s="81"/>
      <c r="L3741" s="81"/>
      <c r="M3741" s="81"/>
      <c r="N3741" s="81"/>
    </row>
    <row r="3742" spans="1:14" ht="25.5" x14ac:dyDescent="0.25">
      <c r="A3742" s="99" t="s">
        <v>644</v>
      </c>
      <c r="B3742" s="100" t="s">
        <v>64</v>
      </c>
      <c r="C3742" s="101">
        <v>408050</v>
      </c>
      <c r="D3742" s="149">
        <v>0.1</v>
      </c>
      <c r="E3742" s="102">
        <v>0.05</v>
      </c>
      <c r="F3742" s="101">
        <f t="shared" ref="F3742:F3743" si="206">C3742*(D3742+(D3742*E3742))</f>
        <v>42845.250000000007</v>
      </c>
      <c r="G3742" s="81"/>
      <c r="H3742" s="81"/>
      <c r="I3742" s="81"/>
      <c r="J3742" s="81"/>
      <c r="K3742" s="81"/>
      <c r="L3742" s="81"/>
      <c r="M3742" s="81"/>
      <c r="N3742" s="81"/>
    </row>
    <row r="3743" spans="1:14" ht="25.5" x14ac:dyDescent="0.25">
      <c r="A3743" s="99" t="s">
        <v>713</v>
      </c>
      <c r="B3743" s="100" t="s">
        <v>99</v>
      </c>
      <c r="C3743" s="101">
        <v>26735</v>
      </c>
      <c r="D3743" s="149">
        <v>1</v>
      </c>
      <c r="E3743" s="102">
        <v>0.05</v>
      </c>
      <c r="F3743" s="101">
        <f t="shared" si="206"/>
        <v>28071.75</v>
      </c>
      <c r="G3743" s="81"/>
      <c r="H3743" s="151"/>
      <c r="I3743" s="81"/>
      <c r="J3743" s="81"/>
      <c r="K3743" s="81"/>
      <c r="L3743" s="81"/>
      <c r="M3743" s="81"/>
      <c r="N3743" s="81"/>
    </row>
    <row r="3744" spans="1:14" ht="14.25" customHeight="1" x14ac:dyDescent="0.25">
      <c r="A3744" s="99"/>
      <c r="B3744" s="100"/>
      <c r="C3744" s="101"/>
      <c r="D3744" s="104"/>
      <c r="E3744" s="102"/>
      <c r="F3744" s="101"/>
      <c r="G3744" s="81"/>
      <c r="H3744" s="81"/>
      <c r="I3744" s="81"/>
      <c r="J3744" s="81"/>
      <c r="K3744" s="81"/>
      <c r="L3744" s="81"/>
      <c r="M3744" s="81"/>
      <c r="N3744" s="81"/>
    </row>
    <row r="3745" spans="1:14" ht="14.25" customHeight="1" x14ac:dyDescent="0.25">
      <c r="A3745" s="99"/>
      <c r="B3745" s="100"/>
      <c r="C3745" s="101"/>
      <c r="D3745" s="149"/>
      <c r="E3745" s="102"/>
      <c r="F3745" s="101"/>
      <c r="G3745" s="81"/>
      <c r="H3745" s="81"/>
      <c r="I3745" s="81"/>
      <c r="J3745" s="81"/>
      <c r="K3745" s="81"/>
      <c r="L3745" s="81"/>
      <c r="M3745" s="81"/>
      <c r="N3745" s="81"/>
    </row>
    <row r="3746" spans="1:14" ht="14.25" customHeight="1" x14ac:dyDescent="0.25">
      <c r="A3746" s="99"/>
      <c r="B3746" s="100"/>
      <c r="C3746" s="106"/>
      <c r="D3746" s="107"/>
      <c r="E3746" s="108"/>
      <c r="F3746" s="106"/>
      <c r="G3746" s="81"/>
      <c r="H3746" s="81"/>
      <c r="I3746" s="81"/>
      <c r="J3746" s="81"/>
      <c r="K3746" s="81"/>
      <c r="L3746" s="81"/>
      <c r="M3746" s="81"/>
      <c r="N3746" s="81"/>
    </row>
    <row r="3747" spans="1:14" ht="14.25" customHeight="1" x14ac:dyDescent="0.25">
      <c r="A3747" s="97" t="s">
        <v>548</v>
      </c>
      <c r="B3747" s="97"/>
      <c r="C3747" s="109"/>
      <c r="D3747" s="110"/>
      <c r="E3747" s="111"/>
      <c r="F3747" s="112">
        <f>SUM(F3742:F3746)</f>
        <v>70917</v>
      </c>
      <c r="G3747" s="81"/>
      <c r="H3747" s="81"/>
      <c r="I3747" s="81"/>
      <c r="J3747" s="81"/>
      <c r="K3747" s="81"/>
      <c r="L3747" s="81"/>
      <c r="M3747" s="81"/>
      <c r="N3747" s="81"/>
    </row>
    <row r="3748" spans="1:14" ht="14.25" customHeight="1" x14ac:dyDescent="0.25">
      <c r="A3748" s="88"/>
      <c r="B3748" s="88"/>
      <c r="C3748" s="113"/>
      <c r="D3748" s="113"/>
      <c r="E3748" s="114"/>
      <c r="F3748" s="113"/>
      <c r="G3748" s="81"/>
      <c r="H3748" s="81"/>
      <c r="I3748" s="81"/>
      <c r="J3748" s="81"/>
      <c r="K3748" s="81"/>
      <c r="L3748" s="81"/>
      <c r="M3748" s="81"/>
      <c r="N3748" s="81"/>
    </row>
    <row r="3749" spans="1:14" ht="14.25" customHeight="1" x14ac:dyDescent="0.25">
      <c r="A3749" s="96" t="s">
        <v>573</v>
      </c>
      <c r="B3749" s="96"/>
      <c r="C3749" s="92"/>
      <c r="D3749" s="92"/>
      <c r="E3749" s="92"/>
      <c r="F3749" s="92"/>
      <c r="G3749" s="81"/>
      <c r="H3749" s="81"/>
      <c r="I3749" s="81"/>
      <c r="J3749" s="81"/>
      <c r="K3749" s="81"/>
      <c r="L3749" s="81"/>
      <c r="M3749" s="81"/>
      <c r="N3749" s="81"/>
    </row>
    <row r="3750" spans="1:14" ht="14.25" customHeight="1" x14ac:dyDescent="0.25">
      <c r="A3750" s="611" t="s">
        <v>563</v>
      </c>
      <c r="B3750" s="608"/>
      <c r="C3750" s="609"/>
      <c r="D3750" s="98" t="s">
        <v>574</v>
      </c>
      <c r="E3750" s="98" t="s">
        <v>575</v>
      </c>
      <c r="F3750" s="98" t="s">
        <v>568</v>
      </c>
      <c r="G3750" s="81"/>
      <c r="H3750" s="81"/>
      <c r="I3750" s="81"/>
      <c r="J3750" s="81"/>
      <c r="K3750" s="81"/>
      <c r="L3750" s="81"/>
      <c r="M3750" s="81"/>
      <c r="N3750" s="81"/>
    </row>
    <row r="3751" spans="1:14" ht="14.25" customHeight="1" x14ac:dyDescent="0.25">
      <c r="A3751" s="607" t="s">
        <v>577</v>
      </c>
      <c r="B3751" s="608"/>
      <c r="C3751" s="609"/>
      <c r="D3751" s="116"/>
      <c r="E3751" s="107"/>
      <c r="F3751" s="106">
        <v>841</v>
      </c>
      <c r="G3751" s="81"/>
      <c r="H3751" s="81"/>
      <c r="I3751" s="81"/>
      <c r="J3751" s="81"/>
      <c r="K3751" s="81"/>
      <c r="L3751" s="81"/>
      <c r="M3751" s="81"/>
      <c r="N3751" s="81"/>
    </row>
    <row r="3752" spans="1:14" ht="14.25" customHeight="1" x14ac:dyDescent="0.25">
      <c r="A3752" s="607"/>
      <c r="B3752" s="608"/>
      <c r="C3752" s="609"/>
      <c r="D3752" s="142"/>
      <c r="E3752" s="107"/>
      <c r="F3752" s="106"/>
      <c r="G3752" s="81"/>
      <c r="H3752" s="81"/>
      <c r="I3752" s="81"/>
      <c r="J3752" s="81"/>
      <c r="K3752" s="81"/>
      <c r="L3752" s="81"/>
      <c r="M3752" s="81"/>
      <c r="N3752" s="81"/>
    </row>
    <row r="3753" spans="1:14" ht="14.25" customHeight="1" x14ac:dyDescent="0.25">
      <c r="A3753" s="607"/>
      <c r="B3753" s="608"/>
      <c r="C3753" s="609"/>
      <c r="D3753" s="142"/>
      <c r="E3753" s="107"/>
      <c r="F3753" s="106"/>
      <c r="G3753" s="81"/>
      <c r="H3753" s="81"/>
      <c r="I3753" s="81"/>
      <c r="J3753" s="81"/>
      <c r="K3753" s="81"/>
      <c r="L3753" s="81"/>
      <c r="M3753" s="81"/>
      <c r="N3753" s="81"/>
    </row>
    <row r="3754" spans="1:14" ht="14.25" customHeight="1" x14ac:dyDescent="0.25">
      <c r="A3754" s="607"/>
      <c r="B3754" s="608"/>
      <c r="C3754" s="609"/>
      <c r="D3754" s="142"/>
      <c r="E3754" s="107"/>
      <c r="F3754" s="106"/>
      <c r="G3754" s="81"/>
      <c r="H3754" s="81"/>
      <c r="I3754" s="81"/>
      <c r="J3754" s="81"/>
      <c r="K3754" s="81"/>
      <c r="L3754" s="81"/>
      <c r="M3754" s="81"/>
      <c r="N3754" s="81"/>
    </row>
    <row r="3755" spans="1:14" ht="14.25" customHeight="1" x14ac:dyDescent="0.25">
      <c r="A3755" s="610"/>
      <c r="B3755" s="608"/>
      <c r="C3755" s="609"/>
      <c r="D3755" s="115"/>
      <c r="E3755" s="107"/>
      <c r="F3755" s="106"/>
      <c r="G3755" s="81"/>
      <c r="H3755" s="81"/>
      <c r="I3755" s="81"/>
      <c r="J3755" s="81"/>
      <c r="K3755" s="81"/>
      <c r="L3755" s="81"/>
      <c r="M3755" s="81"/>
      <c r="N3755" s="81"/>
    </row>
    <row r="3756" spans="1:14" ht="14.25" customHeight="1" x14ac:dyDescent="0.25">
      <c r="A3756" s="611" t="s">
        <v>548</v>
      </c>
      <c r="B3756" s="608"/>
      <c r="C3756" s="609"/>
      <c r="D3756" s="110"/>
      <c r="E3756" s="110"/>
      <c r="F3756" s="112">
        <f>SUM(F3751:F3754)</f>
        <v>841</v>
      </c>
      <c r="G3756" s="81"/>
      <c r="H3756" s="81"/>
      <c r="I3756" s="81"/>
      <c r="J3756" s="81"/>
      <c r="K3756" s="81"/>
      <c r="L3756" s="81"/>
      <c r="M3756" s="81"/>
      <c r="N3756" s="81"/>
    </row>
    <row r="3757" spans="1:14" ht="14.25" customHeight="1" x14ac:dyDescent="0.25">
      <c r="A3757" s="88"/>
      <c r="B3757" s="88"/>
      <c r="C3757" s="89"/>
      <c r="D3757" s="113"/>
      <c r="E3757" s="113"/>
      <c r="F3757" s="113"/>
      <c r="G3757" s="81"/>
      <c r="H3757" s="81"/>
      <c r="I3757" s="81"/>
      <c r="J3757" s="81"/>
      <c r="K3757" s="81"/>
      <c r="L3757" s="81"/>
      <c r="M3757" s="81"/>
      <c r="N3757" s="81"/>
    </row>
    <row r="3758" spans="1:14" ht="14.25" customHeight="1" x14ac:dyDescent="0.25">
      <c r="A3758" s="96" t="s">
        <v>578</v>
      </c>
      <c r="B3758" s="96"/>
      <c r="C3758" s="92"/>
      <c r="D3758" s="118"/>
      <c r="E3758" s="118"/>
      <c r="F3758" s="118"/>
      <c r="G3758" s="81"/>
      <c r="H3758" s="81"/>
      <c r="I3758" s="81"/>
      <c r="J3758" s="81"/>
      <c r="K3758" s="81"/>
      <c r="L3758" s="81"/>
      <c r="M3758" s="81"/>
      <c r="N3758" s="81"/>
    </row>
    <row r="3759" spans="1:14" ht="14.25" customHeight="1" x14ac:dyDescent="0.25">
      <c r="A3759" s="119" t="s">
        <v>563</v>
      </c>
      <c r="B3759" s="120" t="s">
        <v>579</v>
      </c>
      <c r="C3759" s="120" t="s">
        <v>580</v>
      </c>
      <c r="D3759" s="121" t="s">
        <v>581</v>
      </c>
      <c r="E3759" s="121" t="s">
        <v>575</v>
      </c>
      <c r="F3759" s="121" t="s">
        <v>568</v>
      </c>
      <c r="G3759" s="81"/>
      <c r="H3759" s="81"/>
      <c r="I3759" s="81"/>
      <c r="J3759" s="81"/>
      <c r="K3759" s="81"/>
      <c r="L3759" s="81"/>
      <c r="M3759" s="81"/>
      <c r="N3759" s="81"/>
    </row>
    <row r="3760" spans="1:14" ht="14.25" customHeight="1" x14ac:dyDescent="0.25">
      <c r="A3760" s="122" t="s">
        <v>593</v>
      </c>
      <c r="B3760" s="127">
        <v>5</v>
      </c>
      <c r="C3760" s="101">
        <v>32688</v>
      </c>
      <c r="D3760" s="101">
        <f t="shared" ref="D3760:D3761" si="207">+C3760*1.7</f>
        <v>55569.599999999999</v>
      </c>
      <c r="E3760" s="107">
        <v>10</v>
      </c>
      <c r="F3760" s="106">
        <f t="shared" ref="F3760:F3761" si="208">+B3760*(D3760)/E3760</f>
        <v>27784.799999999999</v>
      </c>
      <c r="G3760" s="81"/>
      <c r="H3760" s="81"/>
      <c r="I3760" s="81"/>
      <c r="J3760" s="81"/>
      <c r="K3760" s="81"/>
      <c r="L3760" s="81"/>
      <c r="M3760" s="81"/>
      <c r="N3760" s="81"/>
    </row>
    <row r="3761" spans="1:14" ht="14.25" customHeight="1" x14ac:dyDescent="0.25">
      <c r="A3761" s="122" t="s">
        <v>594</v>
      </c>
      <c r="B3761" s="127">
        <v>3</v>
      </c>
      <c r="C3761" s="101">
        <v>52538</v>
      </c>
      <c r="D3761" s="101">
        <f t="shared" si="207"/>
        <v>89314.599999999991</v>
      </c>
      <c r="E3761" s="107">
        <f>E3760</f>
        <v>10</v>
      </c>
      <c r="F3761" s="106">
        <f t="shared" si="208"/>
        <v>26794.379999999997</v>
      </c>
      <c r="G3761" s="81"/>
      <c r="H3761" s="81"/>
      <c r="I3761" s="81"/>
      <c r="J3761" s="81"/>
      <c r="K3761" s="81"/>
      <c r="L3761" s="81"/>
      <c r="M3761" s="81"/>
      <c r="N3761" s="81"/>
    </row>
    <row r="3762" spans="1:14" ht="14.25" customHeight="1" x14ac:dyDescent="0.25">
      <c r="A3762" s="122"/>
      <c r="B3762" s="127"/>
      <c r="C3762" s="101"/>
      <c r="D3762" s="101"/>
      <c r="E3762" s="105"/>
      <c r="F3762" s="106"/>
      <c r="G3762" s="81"/>
      <c r="H3762" s="81"/>
      <c r="I3762" s="81"/>
      <c r="J3762" s="81"/>
      <c r="K3762" s="81"/>
      <c r="L3762" s="81"/>
      <c r="M3762" s="81"/>
      <c r="N3762" s="81"/>
    </row>
    <row r="3763" spans="1:14" ht="14.25" customHeight="1" x14ac:dyDescent="0.25">
      <c r="A3763" s="122"/>
      <c r="B3763" s="127"/>
      <c r="C3763" s="101"/>
      <c r="D3763" s="101"/>
      <c r="E3763" s="125"/>
      <c r="F3763" s="106"/>
      <c r="G3763" s="81"/>
      <c r="H3763" s="81"/>
      <c r="I3763" s="81"/>
      <c r="J3763" s="81"/>
      <c r="K3763" s="81"/>
      <c r="L3763" s="81"/>
      <c r="M3763" s="81"/>
      <c r="N3763" s="81"/>
    </row>
    <row r="3764" spans="1:14" ht="14.25" customHeight="1" x14ac:dyDescent="0.25">
      <c r="A3764" s="97" t="s">
        <v>548</v>
      </c>
      <c r="B3764" s="128"/>
      <c r="C3764" s="110"/>
      <c r="D3764" s="110"/>
      <c r="E3764" s="110"/>
      <c r="F3764" s="112">
        <f>SUM(F3760:F3763)</f>
        <v>54579.179999999993</v>
      </c>
      <c r="G3764" s="81"/>
      <c r="H3764" s="81"/>
      <c r="I3764" s="81"/>
      <c r="J3764" s="81"/>
      <c r="K3764" s="81"/>
      <c r="L3764" s="81"/>
      <c r="M3764" s="81"/>
      <c r="N3764" s="81"/>
    </row>
    <row r="3765" spans="1:14" ht="14.25" customHeight="1" x14ac:dyDescent="0.25">
      <c r="A3765" s="96"/>
      <c r="B3765" s="129"/>
      <c r="C3765" s="118"/>
      <c r="D3765" s="118"/>
      <c r="E3765" s="118"/>
      <c r="F3765" s="118"/>
      <c r="G3765" s="81"/>
      <c r="H3765" s="81"/>
      <c r="I3765" s="81"/>
      <c r="J3765" s="81"/>
      <c r="K3765" s="81"/>
      <c r="L3765" s="81"/>
      <c r="M3765" s="81"/>
      <c r="N3765" s="81"/>
    </row>
    <row r="3766" spans="1:14" ht="14.25" customHeight="1" x14ac:dyDescent="0.25">
      <c r="A3766" s="95" t="s">
        <v>583</v>
      </c>
      <c r="B3766" s="96"/>
      <c r="C3766" s="92"/>
      <c r="D3766" s="92"/>
      <c r="E3766" s="92" t="s">
        <v>584</v>
      </c>
      <c r="F3766" s="92"/>
      <c r="G3766" s="81"/>
      <c r="H3766" s="81"/>
      <c r="I3766" s="81"/>
      <c r="J3766" s="81"/>
      <c r="K3766" s="81"/>
      <c r="L3766" s="81"/>
      <c r="M3766" s="81"/>
      <c r="N3766" s="81"/>
    </row>
    <row r="3767" spans="1:14" ht="25.5" x14ac:dyDescent="0.25">
      <c r="A3767" s="97" t="s">
        <v>563</v>
      </c>
      <c r="B3767" s="98" t="s">
        <v>564</v>
      </c>
      <c r="C3767" s="98" t="s">
        <v>585</v>
      </c>
      <c r="D3767" s="98" t="s">
        <v>586</v>
      </c>
      <c r="E3767" s="120" t="s">
        <v>587</v>
      </c>
      <c r="F3767" s="98" t="s">
        <v>568</v>
      </c>
      <c r="G3767" s="81"/>
      <c r="H3767" s="81"/>
      <c r="I3767" s="81"/>
      <c r="J3767" s="81"/>
      <c r="K3767" s="81"/>
      <c r="L3767" s="81"/>
      <c r="M3767" s="81"/>
      <c r="N3767" s="81"/>
    </row>
    <row r="3768" spans="1:14" ht="14.25" customHeight="1" x14ac:dyDescent="0.25">
      <c r="A3768" s="103"/>
      <c r="B3768" s="100"/>
      <c r="C3768" s="101"/>
      <c r="D3768" s="140"/>
      <c r="E3768" s="107"/>
      <c r="F3768" s="109"/>
      <c r="G3768" s="81"/>
      <c r="H3768" s="81"/>
      <c r="I3768" s="81"/>
      <c r="J3768" s="81"/>
      <c r="K3768" s="81"/>
      <c r="L3768" s="81"/>
      <c r="M3768" s="81"/>
      <c r="N3768" s="81"/>
    </row>
    <row r="3769" spans="1:14" ht="14.25" customHeight="1" x14ac:dyDescent="0.25">
      <c r="A3769" s="103"/>
      <c r="B3769" s="100"/>
      <c r="C3769" s="107"/>
      <c r="D3769" s="107"/>
      <c r="E3769" s="108"/>
      <c r="F3769" s="109"/>
      <c r="G3769" s="81"/>
      <c r="H3769" s="81"/>
      <c r="I3769" s="81"/>
      <c r="J3769" s="81"/>
      <c r="K3769" s="81"/>
      <c r="L3769" s="81"/>
      <c r="M3769" s="81"/>
      <c r="N3769" s="81"/>
    </row>
    <row r="3770" spans="1:14" ht="14.25" customHeight="1" x14ac:dyDescent="0.25">
      <c r="A3770" s="97" t="s">
        <v>548</v>
      </c>
      <c r="B3770" s="98"/>
      <c r="C3770" s="110"/>
      <c r="D3770" s="110"/>
      <c r="E3770" s="111"/>
      <c r="F3770" s="112">
        <f>SUM(F3768:F3769)</f>
        <v>0</v>
      </c>
      <c r="G3770" s="81"/>
      <c r="H3770" s="81"/>
      <c r="I3770" s="81"/>
      <c r="J3770" s="81"/>
      <c r="K3770" s="81"/>
      <c r="L3770" s="81"/>
      <c r="M3770" s="81"/>
      <c r="N3770" s="81"/>
    </row>
    <row r="3771" spans="1:14" ht="14.25" customHeight="1" x14ac:dyDescent="0.25">
      <c r="A3771" s="88"/>
      <c r="B3771" s="89"/>
      <c r="C3771" s="113"/>
      <c r="D3771" s="113"/>
      <c r="E3771" s="114"/>
      <c r="F3771" s="113"/>
      <c r="G3771" s="81"/>
      <c r="H3771" s="81"/>
      <c r="I3771" s="81"/>
      <c r="J3771" s="81"/>
      <c r="K3771" s="81"/>
      <c r="L3771" s="81"/>
      <c r="M3771" s="81"/>
      <c r="N3771" s="81"/>
    </row>
    <row r="3772" spans="1:14" ht="14.25" customHeight="1" x14ac:dyDescent="0.25">
      <c r="A3772" s="88"/>
      <c r="B3772" s="89"/>
      <c r="C3772" s="113"/>
      <c r="D3772" s="113"/>
      <c r="E3772" s="114"/>
      <c r="F3772" s="113"/>
      <c r="G3772" s="81"/>
      <c r="H3772" s="81"/>
      <c r="I3772" s="81"/>
      <c r="J3772" s="81"/>
      <c r="K3772" s="81"/>
      <c r="L3772" s="81"/>
      <c r="M3772" s="81"/>
      <c r="N3772" s="81"/>
    </row>
    <row r="3773" spans="1:14" ht="14.25" customHeight="1" x14ac:dyDescent="0.25">
      <c r="A3773" s="612" t="s">
        <v>588</v>
      </c>
      <c r="B3773" s="608"/>
      <c r="C3773" s="608"/>
      <c r="D3773" s="608"/>
      <c r="E3773" s="609"/>
      <c r="F3773" s="131">
        <f>ROUND(F3747+F3756+F3764+F3770,0)</f>
        <v>126337</v>
      </c>
      <c r="G3773" s="81"/>
      <c r="H3773" s="117">
        <f>126337-F3773</f>
        <v>0</v>
      </c>
      <c r="I3773" s="81"/>
      <c r="J3773" s="81"/>
      <c r="K3773" s="81"/>
      <c r="L3773" s="81"/>
      <c r="M3773" s="81"/>
      <c r="N3773" s="81"/>
    </row>
    <row r="3774" spans="1:14" ht="14.25" customHeight="1" x14ac:dyDescent="0.25">
      <c r="A3774" s="612" t="s">
        <v>589</v>
      </c>
      <c r="B3774" s="608"/>
      <c r="C3774" s="608"/>
      <c r="D3774" s="608"/>
      <c r="E3774" s="609"/>
      <c r="F3774" s="132"/>
      <c r="G3774" s="81"/>
      <c r="H3774" s="81"/>
      <c r="I3774" s="81"/>
      <c r="J3774" s="81"/>
      <c r="K3774" s="81"/>
      <c r="L3774" s="81"/>
      <c r="M3774" s="81"/>
      <c r="N3774" s="81"/>
    </row>
    <row r="3775" spans="1:14" ht="14.25" customHeight="1" x14ac:dyDescent="0.25">
      <c r="A3775" s="146" t="s">
        <v>556</v>
      </c>
      <c r="B3775" s="147"/>
      <c r="C3775" s="147"/>
      <c r="D3775" s="147"/>
      <c r="E3775" s="148"/>
      <c r="F3775" s="133"/>
      <c r="G3775" s="81"/>
      <c r="H3775" s="81"/>
      <c r="I3775" s="81"/>
      <c r="J3775" s="81"/>
      <c r="K3775" s="81"/>
      <c r="L3775" s="81"/>
      <c r="M3775" s="81"/>
      <c r="N3775" s="81"/>
    </row>
    <row r="3776" spans="1:14" ht="14.25" customHeight="1" x14ac:dyDescent="0.25">
      <c r="A3776" s="134"/>
      <c r="B3776" s="135"/>
      <c r="C3776" s="135"/>
      <c r="D3776" s="135"/>
      <c r="E3776" s="135"/>
      <c r="F3776" s="136"/>
      <c r="G3776" s="81"/>
      <c r="H3776" s="81"/>
      <c r="I3776" s="81"/>
      <c r="J3776" s="81"/>
      <c r="K3776" s="81"/>
      <c r="L3776" s="81"/>
      <c r="M3776" s="81"/>
      <c r="N3776" s="81"/>
    </row>
    <row r="3777" spans="1:14" ht="14.25" customHeight="1" x14ac:dyDescent="0.25">
      <c r="A3777" s="81"/>
      <c r="B3777" s="81"/>
      <c r="C3777" s="137"/>
      <c r="D3777" s="81"/>
      <c r="E3777" s="81"/>
      <c r="F3777" s="81"/>
      <c r="G3777" s="81"/>
      <c r="H3777" s="81"/>
      <c r="I3777" s="81"/>
      <c r="J3777" s="81"/>
      <c r="K3777" s="81"/>
      <c r="L3777" s="81"/>
      <c r="M3777" s="81"/>
      <c r="N3777" s="81"/>
    </row>
    <row r="3778" spans="1:14" ht="14.25" customHeight="1" x14ac:dyDescent="0.25">
      <c r="A3778" s="81"/>
      <c r="B3778" s="81"/>
      <c r="C3778" s="137"/>
      <c r="D3778" s="81"/>
      <c r="E3778" s="81"/>
      <c r="F3778" s="81"/>
      <c r="G3778" s="81"/>
      <c r="H3778" s="81"/>
      <c r="I3778" s="81"/>
      <c r="J3778" s="81"/>
      <c r="K3778" s="81"/>
      <c r="L3778" s="81"/>
      <c r="M3778" s="81"/>
      <c r="N3778" s="81"/>
    </row>
    <row r="3779" spans="1:14" ht="14.25" customHeight="1" x14ac:dyDescent="0.25">
      <c r="A3779" s="81"/>
      <c r="B3779" s="81"/>
      <c r="C3779" s="137"/>
      <c r="D3779" s="81"/>
      <c r="E3779" s="81"/>
      <c r="F3779" s="81"/>
      <c r="G3779" s="81"/>
      <c r="H3779" s="81"/>
      <c r="I3779" s="81"/>
      <c r="J3779" s="81"/>
      <c r="K3779" s="81"/>
      <c r="L3779" s="81"/>
      <c r="M3779" s="81"/>
      <c r="N3779" s="81"/>
    </row>
    <row r="3780" spans="1:14" ht="14.25" customHeight="1" x14ac:dyDescent="0.25">
      <c r="A3780" s="81"/>
      <c r="B3780" s="81"/>
      <c r="C3780" s="137"/>
      <c r="D3780" s="81"/>
      <c r="E3780" s="81"/>
      <c r="F3780" s="81"/>
      <c r="G3780" s="81"/>
      <c r="H3780" s="81"/>
      <c r="I3780" s="81"/>
      <c r="J3780" s="81"/>
      <c r="K3780" s="81"/>
      <c r="L3780" s="81"/>
      <c r="M3780" s="81"/>
      <c r="N3780" s="81"/>
    </row>
    <row r="3781" spans="1:14" ht="14.25" customHeight="1" x14ac:dyDescent="0.25">
      <c r="A3781" s="81"/>
      <c r="B3781" s="81"/>
      <c r="C3781" s="137"/>
      <c r="D3781" s="81"/>
      <c r="E3781" s="81"/>
      <c r="F3781" s="81"/>
      <c r="G3781" s="81"/>
      <c r="H3781" s="81"/>
      <c r="I3781" s="81"/>
      <c r="J3781" s="81"/>
      <c r="K3781" s="81"/>
      <c r="L3781" s="81"/>
      <c r="M3781" s="81"/>
      <c r="N3781" s="81"/>
    </row>
    <row r="3782" spans="1:14" ht="14.25" customHeight="1" x14ac:dyDescent="0.25">
      <c r="A3782" s="81"/>
      <c r="B3782" s="81"/>
      <c r="C3782" s="137"/>
      <c r="D3782" s="81"/>
      <c r="E3782" s="81"/>
      <c r="F3782" s="81"/>
      <c r="G3782" s="81"/>
      <c r="H3782" s="81"/>
      <c r="I3782" s="81"/>
      <c r="J3782" s="81"/>
      <c r="K3782" s="81"/>
      <c r="L3782" s="81"/>
      <c r="M3782" s="81"/>
      <c r="N3782" s="81"/>
    </row>
    <row r="3783" spans="1:14" ht="14.25" customHeight="1" x14ac:dyDescent="0.25">
      <c r="A3783" s="81"/>
      <c r="B3783" s="81"/>
      <c r="C3783" s="137"/>
      <c r="D3783" s="81"/>
      <c r="E3783" s="81"/>
      <c r="F3783" s="81"/>
      <c r="G3783" s="81"/>
      <c r="H3783" s="81"/>
      <c r="I3783" s="81"/>
      <c r="J3783" s="81"/>
      <c r="K3783" s="81"/>
      <c r="L3783" s="81"/>
      <c r="M3783" s="81"/>
      <c r="N3783" s="81"/>
    </row>
    <row r="3784" spans="1:14" ht="14.25" customHeight="1" x14ac:dyDescent="0.25">
      <c r="A3784" s="134"/>
      <c r="B3784" s="135"/>
      <c r="C3784" s="135"/>
      <c r="D3784" s="135"/>
      <c r="E3784" s="135"/>
      <c r="F3784" s="136"/>
      <c r="G3784" s="81"/>
      <c r="H3784" s="81"/>
      <c r="I3784" s="81"/>
      <c r="J3784" s="81"/>
      <c r="K3784" s="81"/>
      <c r="L3784" s="81"/>
      <c r="M3784" s="81"/>
      <c r="N3784" s="81"/>
    </row>
    <row r="3785" spans="1:14" ht="14.25" customHeight="1" x14ac:dyDescent="0.25">
      <c r="A3785" s="134"/>
      <c r="B3785" s="135"/>
      <c r="C3785" s="135"/>
      <c r="D3785" s="135"/>
      <c r="E3785" s="135"/>
      <c r="F3785" s="136"/>
      <c r="G3785" s="81"/>
      <c r="H3785" s="81"/>
      <c r="I3785" s="81"/>
      <c r="J3785" s="81"/>
      <c r="K3785" s="81"/>
      <c r="L3785" s="81"/>
      <c r="M3785" s="81"/>
      <c r="N3785" s="81"/>
    </row>
    <row r="3786" spans="1:14" ht="14.25" customHeight="1" x14ac:dyDescent="0.25">
      <c r="A3786" s="134"/>
      <c r="B3786" s="135"/>
      <c r="C3786" s="135"/>
      <c r="D3786" s="135"/>
      <c r="E3786" s="135"/>
      <c r="F3786" s="136"/>
      <c r="G3786" s="81"/>
      <c r="H3786" s="81"/>
      <c r="I3786" s="81"/>
      <c r="J3786" s="81"/>
      <c r="K3786" s="81"/>
      <c r="L3786" s="81"/>
      <c r="M3786" s="81"/>
      <c r="N3786" s="81"/>
    </row>
    <row r="3787" spans="1:14" ht="14.25" customHeight="1" thickBot="1" x14ac:dyDescent="0.3">
      <c r="A3787" s="81"/>
      <c r="B3787" s="81"/>
      <c r="C3787" s="81"/>
      <c r="D3787" s="81"/>
      <c r="E3787" s="81"/>
      <c r="F3787" s="81"/>
      <c r="G3787" s="81"/>
      <c r="H3787" s="81"/>
      <c r="I3787" s="81"/>
      <c r="J3787" s="81"/>
      <c r="K3787" s="81"/>
      <c r="L3787" s="81"/>
      <c r="M3787" s="81"/>
      <c r="N3787" s="81"/>
    </row>
    <row r="3788" spans="1:14" ht="14.25" customHeight="1" x14ac:dyDescent="0.25">
      <c r="A3788" s="83"/>
      <c r="B3788" s="84"/>
      <c r="C3788" s="85"/>
      <c r="D3788" s="86"/>
      <c r="E3788" s="86"/>
      <c r="F3788" s="87"/>
      <c r="G3788" s="81"/>
      <c r="H3788" s="81"/>
      <c r="I3788" s="81"/>
      <c r="J3788" s="81"/>
      <c r="K3788" s="81"/>
      <c r="L3788" s="81"/>
      <c r="M3788" s="81"/>
      <c r="N3788" s="81"/>
    </row>
    <row r="3789" spans="1:14" ht="14.25" customHeight="1" x14ac:dyDescent="0.25">
      <c r="A3789" s="599"/>
      <c r="B3789" s="600"/>
      <c r="C3789" s="600"/>
      <c r="D3789" s="600"/>
      <c r="E3789" s="600"/>
      <c r="F3789" s="601"/>
      <c r="G3789" s="81"/>
      <c r="H3789" s="81"/>
      <c r="I3789" s="81"/>
      <c r="J3789" s="81"/>
      <c r="K3789" s="81"/>
      <c r="L3789" s="81"/>
      <c r="M3789" s="81"/>
      <c r="N3789" s="81"/>
    </row>
    <row r="3790" spans="1:14" ht="14.25" customHeight="1" x14ac:dyDescent="0.25">
      <c r="A3790" s="602" t="s">
        <v>561</v>
      </c>
      <c r="B3790" s="600"/>
      <c r="C3790" s="600"/>
      <c r="D3790" s="600"/>
      <c r="E3790" s="600"/>
      <c r="F3790" s="601"/>
      <c r="G3790" s="81"/>
      <c r="H3790" s="81"/>
      <c r="I3790" s="81"/>
      <c r="J3790" s="81"/>
      <c r="K3790" s="81"/>
      <c r="L3790" s="81"/>
      <c r="M3790" s="81"/>
      <c r="N3790" s="81"/>
    </row>
    <row r="3791" spans="1:14" ht="14.25" customHeight="1" thickBot="1" x14ac:dyDescent="0.3">
      <c r="A3791" s="603"/>
      <c r="B3791" s="604"/>
      <c r="C3791" s="604"/>
      <c r="D3791" s="604"/>
      <c r="E3791" s="604"/>
      <c r="F3791" s="605"/>
      <c r="G3791" s="81"/>
      <c r="H3791" s="81"/>
      <c r="I3791" s="81"/>
      <c r="J3791" s="81"/>
      <c r="K3791" s="81"/>
      <c r="L3791" s="81"/>
      <c r="M3791" s="81"/>
      <c r="N3791" s="81"/>
    </row>
    <row r="3792" spans="1:14" ht="14.25" customHeight="1" x14ac:dyDescent="0.25">
      <c r="A3792" s="88"/>
      <c r="B3792" s="88"/>
      <c r="C3792" s="89"/>
      <c r="D3792" s="89"/>
      <c r="E3792" s="89"/>
      <c r="F3792" s="89"/>
      <c r="G3792" s="81"/>
      <c r="H3792" s="81"/>
      <c r="I3792" s="81"/>
      <c r="J3792" s="81"/>
      <c r="K3792" s="81"/>
      <c r="L3792" s="81"/>
      <c r="M3792" s="81"/>
      <c r="N3792" s="81"/>
    </row>
    <row r="3793" spans="1:14" ht="14.25" customHeight="1" x14ac:dyDescent="0.25">
      <c r="A3793" s="90" t="s">
        <v>47</v>
      </c>
      <c r="B3793" s="613" t="s">
        <v>185</v>
      </c>
      <c r="C3793" s="600"/>
      <c r="D3793" s="600"/>
      <c r="E3793" s="600"/>
      <c r="F3793" s="600"/>
      <c r="G3793" s="81"/>
      <c r="H3793" s="81"/>
      <c r="I3793" s="81"/>
      <c r="J3793" s="81"/>
      <c r="K3793" s="81"/>
      <c r="L3793" s="81"/>
      <c r="M3793" s="81"/>
      <c r="N3793" s="81"/>
    </row>
    <row r="3794" spans="1:14" ht="14.25" customHeight="1" x14ac:dyDescent="0.25">
      <c r="A3794" s="91"/>
      <c r="B3794" s="91"/>
      <c r="C3794" s="91"/>
      <c r="D3794" s="91"/>
      <c r="E3794" s="91"/>
      <c r="F3794" s="91"/>
      <c r="G3794" s="81"/>
      <c r="H3794" s="81"/>
      <c r="I3794" s="81"/>
      <c r="J3794" s="81"/>
      <c r="K3794" s="81"/>
      <c r="L3794" s="81"/>
      <c r="M3794" s="81"/>
      <c r="N3794" s="81"/>
    </row>
    <row r="3795" spans="1:14" ht="14.25" customHeight="1" x14ac:dyDescent="0.25">
      <c r="A3795" s="88" t="s">
        <v>49</v>
      </c>
      <c r="B3795" s="92" t="s">
        <v>56</v>
      </c>
      <c r="C3795" s="89"/>
      <c r="D3795" s="89"/>
      <c r="E3795" s="89"/>
      <c r="F3795" s="93"/>
      <c r="G3795" s="81"/>
      <c r="H3795" s="81"/>
      <c r="I3795" s="81"/>
      <c r="J3795" s="81"/>
      <c r="K3795" s="81"/>
      <c r="L3795" s="81"/>
      <c r="M3795" s="81"/>
      <c r="N3795" s="81"/>
    </row>
    <row r="3796" spans="1:14" ht="14.25" customHeight="1" x14ac:dyDescent="0.25">
      <c r="A3796" s="88"/>
      <c r="B3796" s="94"/>
      <c r="C3796" s="89"/>
      <c r="D3796" s="89"/>
      <c r="E3796" s="89"/>
      <c r="F3796" s="93"/>
      <c r="G3796" s="81"/>
      <c r="H3796" s="81"/>
      <c r="I3796" s="81"/>
      <c r="J3796" s="81"/>
      <c r="K3796" s="81"/>
      <c r="L3796" s="81"/>
      <c r="M3796" s="81"/>
      <c r="N3796" s="81"/>
    </row>
    <row r="3797" spans="1:14" ht="14.25" customHeight="1" x14ac:dyDescent="0.25">
      <c r="A3797" s="95" t="s">
        <v>562</v>
      </c>
      <c r="B3797" s="96"/>
      <c r="C3797" s="92"/>
      <c r="D3797" s="92"/>
      <c r="E3797" s="92"/>
      <c r="F3797" s="92"/>
      <c r="G3797" s="81"/>
      <c r="H3797" s="81"/>
      <c r="I3797" s="81"/>
      <c r="J3797" s="81"/>
      <c r="K3797" s="81"/>
      <c r="L3797" s="81"/>
      <c r="M3797" s="81"/>
      <c r="N3797" s="81"/>
    </row>
    <row r="3798" spans="1:14" ht="14.25" customHeight="1" x14ac:dyDescent="0.25">
      <c r="A3798" s="97" t="s">
        <v>563</v>
      </c>
      <c r="B3798" s="98" t="s">
        <v>564</v>
      </c>
      <c r="C3798" s="98" t="s">
        <v>565</v>
      </c>
      <c r="D3798" s="98" t="s">
        <v>566</v>
      </c>
      <c r="E3798" s="98" t="s">
        <v>567</v>
      </c>
      <c r="F3798" s="98" t="s">
        <v>568</v>
      </c>
      <c r="G3798" s="81"/>
      <c r="H3798" s="81"/>
      <c r="I3798" s="81"/>
      <c r="J3798" s="81"/>
      <c r="K3798" s="81"/>
      <c r="L3798" s="81"/>
      <c r="M3798" s="81"/>
      <c r="N3798" s="81"/>
    </row>
    <row r="3799" spans="1:14" ht="14.25" customHeight="1" x14ac:dyDescent="0.25">
      <c r="A3799" s="99" t="s">
        <v>714</v>
      </c>
      <c r="B3799" s="100" t="s">
        <v>56</v>
      </c>
      <c r="C3799" s="101">
        <v>51750</v>
      </c>
      <c r="D3799" s="149">
        <v>1</v>
      </c>
      <c r="E3799" s="102">
        <v>0.05</v>
      </c>
      <c r="F3799" s="101">
        <f t="shared" ref="F3799:F3802" si="209">C3799*(D3799+(D3799*E3799))</f>
        <v>54337.5</v>
      </c>
      <c r="G3799" s="81"/>
      <c r="H3799" s="81"/>
      <c r="I3799" s="81"/>
      <c r="J3799" s="81"/>
      <c r="K3799" s="81"/>
      <c r="L3799" s="81"/>
      <c r="M3799" s="81"/>
      <c r="N3799" s="81"/>
    </row>
    <row r="3800" spans="1:14" ht="14.25" customHeight="1" x14ac:dyDescent="0.25">
      <c r="A3800" s="99" t="s">
        <v>662</v>
      </c>
      <c r="B3800" s="100" t="s">
        <v>64</v>
      </c>
      <c r="C3800" s="101">
        <v>373380</v>
      </c>
      <c r="D3800" s="149">
        <v>0.04</v>
      </c>
      <c r="E3800" s="102">
        <v>0.05</v>
      </c>
      <c r="F3800" s="101">
        <f t="shared" si="209"/>
        <v>15681.960000000001</v>
      </c>
      <c r="G3800" s="81"/>
      <c r="H3800" s="81"/>
      <c r="I3800" s="81"/>
      <c r="J3800" s="81"/>
      <c r="K3800" s="81"/>
      <c r="L3800" s="81"/>
      <c r="M3800" s="81"/>
      <c r="N3800" s="81"/>
    </row>
    <row r="3801" spans="1:14" ht="14.25" customHeight="1" x14ac:dyDescent="0.25">
      <c r="A3801" s="99" t="s">
        <v>715</v>
      </c>
      <c r="B3801" s="100" t="s">
        <v>117</v>
      </c>
      <c r="C3801" s="101">
        <v>2350</v>
      </c>
      <c r="D3801" s="104">
        <v>0.5</v>
      </c>
      <c r="E3801" s="102">
        <v>0.05</v>
      </c>
      <c r="F3801" s="101">
        <f t="shared" si="209"/>
        <v>1233.75</v>
      </c>
      <c r="G3801" s="81"/>
      <c r="H3801" s="81"/>
      <c r="I3801" s="81"/>
      <c r="J3801" s="81"/>
      <c r="K3801" s="81"/>
      <c r="L3801" s="81"/>
      <c r="M3801" s="81"/>
      <c r="N3801" s="81"/>
    </row>
    <row r="3802" spans="1:14" ht="14.25" customHeight="1" x14ac:dyDescent="0.25">
      <c r="A3802" s="99" t="s">
        <v>716</v>
      </c>
      <c r="B3802" s="100" t="s">
        <v>651</v>
      </c>
      <c r="C3802" s="101">
        <v>25000</v>
      </c>
      <c r="D3802" s="104">
        <v>0.05</v>
      </c>
      <c r="E3802" s="102">
        <v>0.05</v>
      </c>
      <c r="F3802" s="101">
        <f t="shared" si="209"/>
        <v>1312.5000000000002</v>
      </c>
      <c r="G3802" s="81"/>
      <c r="H3802" s="81"/>
      <c r="I3802" s="81"/>
      <c r="J3802" s="81"/>
      <c r="K3802" s="81"/>
      <c r="L3802" s="81"/>
      <c r="M3802" s="81"/>
      <c r="N3802" s="81"/>
    </row>
    <row r="3803" spans="1:14" ht="14.25" customHeight="1" x14ac:dyDescent="0.25">
      <c r="A3803" s="99"/>
      <c r="B3803" s="100"/>
      <c r="C3803" s="101"/>
      <c r="D3803" s="149"/>
      <c r="E3803" s="102"/>
      <c r="F3803" s="101"/>
      <c r="G3803" s="81"/>
      <c r="H3803" s="81"/>
      <c r="I3803" s="81"/>
      <c r="J3803" s="81"/>
      <c r="K3803" s="81"/>
      <c r="L3803" s="81"/>
      <c r="M3803" s="81"/>
      <c r="N3803" s="81"/>
    </row>
    <row r="3804" spans="1:14" ht="14.25" customHeight="1" x14ac:dyDescent="0.25">
      <c r="A3804" s="99"/>
      <c r="B3804" s="100"/>
      <c r="C3804" s="106"/>
      <c r="D3804" s="107"/>
      <c r="E3804" s="108"/>
      <c r="F3804" s="106"/>
      <c r="G3804" s="81"/>
      <c r="H3804" s="81"/>
      <c r="I3804" s="81"/>
      <c r="J3804" s="81"/>
      <c r="K3804" s="81"/>
      <c r="L3804" s="81"/>
      <c r="M3804" s="81"/>
      <c r="N3804" s="81"/>
    </row>
    <row r="3805" spans="1:14" ht="14.25" customHeight="1" x14ac:dyDescent="0.25">
      <c r="A3805" s="97" t="s">
        <v>548</v>
      </c>
      <c r="B3805" s="97"/>
      <c r="C3805" s="109"/>
      <c r="D3805" s="110"/>
      <c r="E3805" s="111"/>
      <c r="F3805" s="112">
        <f>SUM(F3799:F3804)</f>
        <v>72565.710000000006</v>
      </c>
      <c r="G3805" s="81"/>
      <c r="H3805" s="81"/>
      <c r="I3805" s="81"/>
      <c r="J3805" s="81"/>
      <c r="K3805" s="81"/>
      <c r="L3805" s="81"/>
      <c r="M3805" s="81"/>
      <c r="N3805" s="81"/>
    </row>
    <row r="3806" spans="1:14" ht="14.25" customHeight="1" x14ac:dyDescent="0.25">
      <c r="A3806" s="88"/>
      <c r="B3806" s="88"/>
      <c r="C3806" s="113"/>
      <c r="D3806" s="113"/>
      <c r="E3806" s="114"/>
      <c r="F3806" s="113"/>
      <c r="G3806" s="81"/>
      <c r="H3806" s="81"/>
      <c r="I3806" s="81"/>
      <c r="J3806" s="81"/>
      <c r="K3806" s="81"/>
      <c r="L3806" s="81"/>
      <c r="M3806" s="81"/>
      <c r="N3806" s="81"/>
    </row>
    <row r="3807" spans="1:14" ht="14.25" customHeight="1" x14ac:dyDescent="0.25">
      <c r="A3807" s="96" t="s">
        <v>573</v>
      </c>
      <c r="B3807" s="96"/>
      <c r="C3807" s="92"/>
      <c r="D3807" s="92"/>
      <c r="E3807" s="92"/>
      <c r="F3807" s="92"/>
      <c r="G3807" s="81"/>
      <c r="H3807" s="81"/>
      <c r="I3807" s="81"/>
      <c r="J3807" s="81"/>
      <c r="K3807" s="81"/>
      <c r="L3807" s="81"/>
      <c r="M3807" s="81"/>
      <c r="N3807" s="81"/>
    </row>
    <row r="3808" spans="1:14" ht="14.25" customHeight="1" x14ac:dyDescent="0.25">
      <c r="A3808" s="611" t="s">
        <v>563</v>
      </c>
      <c r="B3808" s="608"/>
      <c r="C3808" s="609"/>
      <c r="D3808" s="98" t="s">
        <v>574</v>
      </c>
      <c r="E3808" s="98" t="s">
        <v>575</v>
      </c>
      <c r="F3808" s="98" t="s">
        <v>568</v>
      </c>
      <c r="G3808" s="81"/>
      <c r="H3808" s="81"/>
      <c r="I3808" s="81"/>
      <c r="J3808" s="81"/>
      <c r="K3808" s="81"/>
      <c r="L3808" s="81"/>
      <c r="M3808" s="81"/>
      <c r="N3808" s="81"/>
    </row>
    <row r="3809" spans="1:14" ht="14.25" customHeight="1" x14ac:dyDescent="0.25">
      <c r="A3809" s="607" t="s">
        <v>577</v>
      </c>
      <c r="B3809" s="608"/>
      <c r="C3809" s="609"/>
      <c r="D3809" s="116"/>
      <c r="E3809" s="107"/>
      <c r="F3809" s="106">
        <f>+F3822*5%</f>
        <v>1409.516489930927</v>
      </c>
      <c r="G3809" s="81"/>
      <c r="H3809" s="81"/>
      <c r="I3809" s="81"/>
      <c r="J3809" s="81"/>
      <c r="K3809" s="81"/>
      <c r="L3809" s="81"/>
      <c r="M3809" s="81"/>
      <c r="N3809" s="81"/>
    </row>
    <row r="3810" spans="1:14" ht="14.25" customHeight="1" x14ac:dyDescent="0.25">
      <c r="A3810" s="607" t="s">
        <v>639</v>
      </c>
      <c r="B3810" s="608"/>
      <c r="C3810" s="609"/>
      <c r="D3810" s="142">
        <v>5150</v>
      </c>
      <c r="E3810" s="107">
        <v>8</v>
      </c>
      <c r="F3810" s="106">
        <f t="shared" ref="F3810:F3812" si="210">D3810/E3810</f>
        <v>643.75</v>
      </c>
      <c r="G3810" s="81"/>
      <c r="H3810" s="81"/>
      <c r="I3810" s="81"/>
      <c r="J3810" s="81"/>
      <c r="K3810" s="81"/>
      <c r="L3810" s="81"/>
      <c r="M3810" s="81"/>
      <c r="N3810" s="81"/>
    </row>
    <row r="3811" spans="1:14" ht="14.25" customHeight="1" x14ac:dyDescent="0.25">
      <c r="A3811" s="607" t="s">
        <v>717</v>
      </c>
      <c r="B3811" s="608"/>
      <c r="C3811" s="609"/>
      <c r="D3811" s="142">
        <v>11250</v>
      </c>
      <c r="E3811" s="107">
        <v>9</v>
      </c>
      <c r="F3811" s="106">
        <f t="shared" si="210"/>
        <v>1250</v>
      </c>
      <c r="G3811" s="81"/>
      <c r="H3811" s="81"/>
      <c r="I3811" s="81"/>
      <c r="J3811" s="81"/>
      <c r="K3811" s="81"/>
      <c r="L3811" s="81"/>
      <c r="M3811" s="81"/>
      <c r="N3811" s="81"/>
    </row>
    <row r="3812" spans="1:14" ht="14.25" customHeight="1" x14ac:dyDescent="0.25">
      <c r="A3812" s="607" t="s">
        <v>718</v>
      </c>
      <c r="B3812" s="608"/>
      <c r="C3812" s="609"/>
      <c r="D3812" s="142">
        <v>10350</v>
      </c>
      <c r="E3812" s="107">
        <v>11</v>
      </c>
      <c r="F3812" s="106">
        <f t="shared" si="210"/>
        <v>940.90909090909088</v>
      </c>
      <c r="G3812" s="81"/>
      <c r="H3812" s="81"/>
      <c r="I3812" s="81"/>
      <c r="J3812" s="81"/>
      <c r="K3812" s="81"/>
      <c r="L3812" s="81"/>
      <c r="M3812" s="81"/>
      <c r="N3812" s="81"/>
    </row>
    <row r="3813" spans="1:14" ht="14.25" customHeight="1" x14ac:dyDescent="0.25">
      <c r="A3813" s="610"/>
      <c r="B3813" s="608"/>
      <c r="C3813" s="609"/>
      <c r="D3813" s="115"/>
      <c r="E3813" s="107"/>
      <c r="F3813" s="106"/>
      <c r="G3813" s="81"/>
      <c r="H3813" s="81"/>
      <c r="I3813" s="81"/>
      <c r="J3813" s="81"/>
      <c r="K3813" s="81"/>
      <c r="L3813" s="81"/>
      <c r="M3813" s="81"/>
      <c r="N3813" s="81"/>
    </row>
    <row r="3814" spans="1:14" ht="14.25" customHeight="1" x14ac:dyDescent="0.25">
      <c r="A3814" s="611" t="s">
        <v>548</v>
      </c>
      <c r="B3814" s="608"/>
      <c r="C3814" s="609"/>
      <c r="D3814" s="110"/>
      <c r="E3814" s="110"/>
      <c r="F3814" s="112">
        <f>SUM(F3809:F3812)</f>
        <v>4244.1755808400176</v>
      </c>
      <c r="G3814" s="81"/>
      <c r="H3814" s="81"/>
      <c r="I3814" s="81"/>
      <c r="J3814" s="81"/>
      <c r="K3814" s="81"/>
      <c r="L3814" s="81"/>
      <c r="M3814" s="81"/>
      <c r="N3814" s="81"/>
    </row>
    <row r="3815" spans="1:14" ht="14.25" customHeight="1" x14ac:dyDescent="0.25">
      <c r="A3815" s="88"/>
      <c r="B3815" s="88"/>
      <c r="C3815" s="89"/>
      <c r="D3815" s="113"/>
      <c r="E3815" s="113"/>
      <c r="F3815" s="113"/>
      <c r="G3815" s="81"/>
      <c r="H3815" s="81"/>
      <c r="I3815" s="81"/>
      <c r="J3815" s="81"/>
      <c r="K3815" s="81"/>
      <c r="L3815" s="81"/>
      <c r="M3815" s="81"/>
      <c r="N3815" s="81"/>
    </row>
    <row r="3816" spans="1:14" ht="14.25" customHeight="1" x14ac:dyDescent="0.25">
      <c r="A3816" s="96" t="s">
        <v>578</v>
      </c>
      <c r="B3816" s="96"/>
      <c r="C3816" s="92"/>
      <c r="D3816" s="118"/>
      <c r="E3816" s="118"/>
      <c r="F3816" s="118"/>
      <c r="G3816" s="81"/>
      <c r="H3816" s="81"/>
      <c r="I3816" s="81"/>
      <c r="J3816" s="81"/>
      <c r="K3816" s="81"/>
      <c r="L3816" s="81"/>
      <c r="M3816" s="81"/>
      <c r="N3816" s="81"/>
    </row>
    <row r="3817" spans="1:14" ht="14.25" customHeight="1" x14ac:dyDescent="0.25">
      <c r="A3817" s="119" t="s">
        <v>563</v>
      </c>
      <c r="B3817" s="120" t="s">
        <v>579</v>
      </c>
      <c r="C3817" s="120" t="s">
        <v>580</v>
      </c>
      <c r="D3817" s="121" t="s">
        <v>581</v>
      </c>
      <c r="E3817" s="121" t="s">
        <v>575</v>
      </c>
      <c r="F3817" s="121" t="s">
        <v>568</v>
      </c>
      <c r="G3817" s="81"/>
      <c r="H3817" s="81"/>
      <c r="I3817" s="81"/>
      <c r="J3817" s="81"/>
      <c r="K3817" s="81"/>
      <c r="L3817" s="81"/>
      <c r="M3817" s="81"/>
      <c r="N3817" s="81"/>
    </row>
    <row r="3818" spans="1:14" ht="14.25" customHeight="1" x14ac:dyDescent="0.25">
      <c r="A3818" s="122" t="s">
        <v>593</v>
      </c>
      <c r="B3818" s="127">
        <v>1</v>
      </c>
      <c r="C3818" s="101">
        <v>32688</v>
      </c>
      <c r="D3818" s="101">
        <f t="shared" ref="D3818:D3819" si="211">+C3818*1.7</f>
        <v>55569.599999999999</v>
      </c>
      <c r="E3818" s="107">
        <v>5.1395</v>
      </c>
      <c r="F3818" s="106">
        <f t="shared" ref="F3818:F3819" si="212">+B3818*(D3818)/E3818</f>
        <v>10812.258001751143</v>
      </c>
      <c r="G3818" s="81"/>
      <c r="H3818" s="81"/>
      <c r="I3818" s="81"/>
      <c r="J3818" s="81"/>
      <c r="K3818" s="81"/>
      <c r="L3818" s="81"/>
      <c r="M3818" s="81"/>
      <c r="N3818" s="81"/>
    </row>
    <row r="3819" spans="1:14" ht="14.25" customHeight="1" x14ac:dyDescent="0.25">
      <c r="A3819" s="122" t="s">
        <v>594</v>
      </c>
      <c r="B3819" s="127">
        <v>1</v>
      </c>
      <c r="C3819" s="101">
        <v>52538</v>
      </c>
      <c r="D3819" s="101">
        <f t="shared" si="211"/>
        <v>89314.599999999991</v>
      </c>
      <c r="E3819" s="107">
        <f>E3818</f>
        <v>5.1395</v>
      </c>
      <c r="F3819" s="106">
        <f t="shared" si="212"/>
        <v>17378.071796867396</v>
      </c>
      <c r="G3819" s="81"/>
      <c r="H3819" s="81"/>
      <c r="I3819" s="81"/>
      <c r="J3819" s="81"/>
      <c r="K3819" s="81"/>
      <c r="L3819" s="81"/>
      <c r="M3819" s="81"/>
      <c r="N3819" s="81"/>
    </row>
    <row r="3820" spans="1:14" ht="14.25" customHeight="1" x14ac:dyDescent="0.25">
      <c r="A3820" s="122"/>
      <c r="B3820" s="127"/>
      <c r="C3820" s="101"/>
      <c r="D3820" s="101"/>
      <c r="E3820" s="105"/>
      <c r="F3820" s="106"/>
      <c r="G3820" s="81"/>
      <c r="H3820" s="81"/>
      <c r="I3820" s="81"/>
      <c r="J3820" s="81"/>
      <c r="K3820" s="81"/>
      <c r="L3820" s="81"/>
      <c r="M3820" s="81"/>
      <c r="N3820" s="81"/>
    </row>
    <row r="3821" spans="1:14" ht="14.25" customHeight="1" x14ac:dyDescent="0.25">
      <c r="A3821" s="122"/>
      <c r="B3821" s="127"/>
      <c r="C3821" s="101"/>
      <c r="D3821" s="101"/>
      <c r="E3821" s="125"/>
      <c r="F3821" s="106"/>
      <c r="G3821" s="81"/>
      <c r="H3821" s="81"/>
      <c r="I3821" s="81"/>
      <c r="J3821" s="81"/>
      <c r="K3821" s="81"/>
      <c r="L3821" s="81"/>
      <c r="M3821" s="81"/>
      <c r="N3821" s="81"/>
    </row>
    <row r="3822" spans="1:14" ht="14.25" customHeight="1" x14ac:dyDescent="0.25">
      <c r="A3822" s="97" t="s">
        <v>548</v>
      </c>
      <c r="B3822" s="128"/>
      <c r="C3822" s="110"/>
      <c r="D3822" s="110"/>
      <c r="E3822" s="110"/>
      <c r="F3822" s="112">
        <f>SUM(F3818:F3821)</f>
        <v>28190.329798618539</v>
      </c>
      <c r="G3822" s="81"/>
      <c r="H3822" s="81"/>
      <c r="I3822" s="81"/>
      <c r="J3822" s="81"/>
      <c r="K3822" s="81"/>
      <c r="L3822" s="81"/>
      <c r="M3822" s="81"/>
      <c r="N3822" s="81"/>
    </row>
    <row r="3823" spans="1:14" ht="14.25" customHeight="1" x14ac:dyDescent="0.25">
      <c r="A3823" s="96"/>
      <c r="B3823" s="129"/>
      <c r="C3823" s="118"/>
      <c r="D3823" s="118"/>
      <c r="E3823" s="118"/>
      <c r="F3823" s="118"/>
      <c r="G3823" s="81"/>
      <c r="H3823" s="81"/>
      <c r="I3823" s="81"/>
      <c r="J3823" s="81"/>
      <c r="K3823" s="81"/>
      <c r="L3823" s="81"/>
      <c r="M3823" s="81"/>
      <c r="N3823" s="81"/>
    </row>
    <row r="3824" spans="1:14" ht="14.25" customHeight="1" x14ac:dyDescent="0.25">
      <c r="A3824" s="95" t="s">
        <v>583</v>
      </c>
      <c r="B3824" s="96"/>
      <c r="C3824" s="92"/>
      <c r="D3824" s="92"/>
      <c r="E3824" s="92" t="s">
        <v>584</v>
      </c>
      <c r="F3824" s="92"/>
      <c r="G3824" s="81"/>
      <c r="H3824" s="81"/>
      <c r="I3824" s="81"/>
      <c r="J3824" s="81"/>
      <c r="K3824" s="81"/>
      <c r="L3824" s="81"/>
      <c r="M3824" s="81"/>
      <c r="N3824" s="81"/>
    </row>
    <row r="3825" spans="1:14" ht="14.25" customHeight="1" x14ac:dyDescent="0.25">
      <c r="A3825" s="97" t="s">
        <v>563</v>
      </c>
      <c r="B3825" s="98" t="s">
        <v>564</v>
      </c>
      <c r="C3825" s="98" t="s">
        <v>585</v>
      </c>
      <c r="D3825" s="98" t="s">
        <v>586</v>
      </c>
      <c r="E3825" s="120" t="s">
        <v>587</v>
      </c>
      <c r="F3825" s="98" t="s">
        <v>568</v>
      </c>
      <c r="G3825" s="81"/>
      <c r="H3825" s="81"/>
      <c r="I3825" s="81"/>
      <c r="J3825" s="81"/>
      <c r="K3825" s="81"/>
      <c r="L3825" s="81"/>
      <c r="M3825" s="81"/>
      <c r="N3825" s="81"/>
    </row>
    <row r="3826" spans="1:14" ht="14.25" customHeight="1" x14ac:dyDescent="0.25">
      <c r="A3826" s="103"/>
      <c r="B3826" s="100"/>
      <c r="C3826" s="101"/>
      <c r="D3826" s="140"/>
      <c r="E3826" s="107"/>
      <c r="F3826" s="109"/>
      <c r="G3826" s="81"/>
      <c r="H3826" s="81"/>
      <c r="I3826" s="81"/>
      <c r="J3826" s="81"/>
      <c r="K3826" s="81"/>
      <c r="L3826" s="81"/>
      <c r="M3826" s="81"/>
      <c r="N3826" s="81"/>
    </row>
    <row r="3827" spans="1:14" ht="14.25" customHeight="1" x14ac:dyDescent="0.25">
      <c r="A3827" s="103"/>
      <c r="B3827" s="100"/>
      <c r="C3827" s="107"/>
      <c r="D3827" s="107"/>
      <c r="E3827" s="108"/>
      <c r="F3827" s="109"/>
      <c r="G3827" s="81"/>
      <c r="H3827" s="81"/>
      <c r="I3827" s="81"/>
      <c r="J3827" s="81"/>
      <c r="K3827" s="81"/>
      <c r="L3827" s="81"/>
      <c r="M3827" s="81"/>
      <c r="N3827" s="81"/>
    </row>
    <row r="3828" spans="1:14" ht="14.25" customHeight="1" x14ac:dyDescent="0.25">
      <c r="A3828" s="97" t="s">
        <v>548</v>
      </c>
      <c r="B3828" s="98"/>
      <c r="C3828" s="110"/>
      <c r="D3828" s="110"/>
      <c r="E3828" s="111"/>
      <c r="F3828" s="112">
        <f>SUM(F3826:F3827)</f>
        <v>0</v>
      </c>
      <c r="G3828" s="81"/>
      <c r="H3828" s="81"/>
      <c r="I3828" s="81"/>
      <c r="J3828" s="81"/>
      <c r="K3828" s="81"/>
      <c r="L3828" s="81"/>
      <c r="M3828" s="81"/>
      <c r="N3828" s="81"/>
    </row>
    <row r="3829" spans="1:14" ht="14.25" customHeight="1" x14ac:dyDescent="0.25">
      <c r="A3829" s="88"/>
      <c r="B3829" s="89"/>
      <c r="C3829" s="113"/>
      <c r="D3829" s="113"/>
      <c r="E3829" s="114"/>
      <c r="F3829" s="113"/>
      <c r="G3829" s="81"/>
      <c r="H3829" s="81"/>
      <c r="I3829" s="81"/>
      <c r="J3829" s="81"/>
      <c r="K3829" s="81"/>
      <c r="L3829" s="81"/>
      <c r="M3829" s="81"/>
      <c r="N3829" s="81"/>
    </row>
    <row r="3830" spans="1:14" ht="14.25" customHeight="1" x14ac:dyDescent="0.25">
      <c r="A3830" s="88"/>
      <c r="B3830" s="89"/>
      <c r="C3830" s="113"/>
      <c r="D3830" s="113"/>
      <c r="E3830" s="114"/>
      <c r="F3830" s="113"/>
      <c r="G3830" s="81"/>
      <c r="H3830" s="81"/>
      <c r="I3830" s="81"/>
      <c r="J3830" s="81"/>
      <c r="K3830" s="81"/>
      <c r="L3830" s="81"/>
      <c r="M3830" s="81"/>
      <c r="N3830" s="81"/>
    </row>
    <row r="3831" spans="1:14" ht="14.25" customHeight="1" x14ac:dyDescent="0.25">
      <c r="A3831" s="612" t="s">
        <v>588</v>
      </c>
      <c r="B3831" s="608"/>
      <c r="C3831" s="608"/>
      <c r="D3831" s="608"/>
      <c r="E3831" s="609"/>
      <c r="F3831" s="131">
        <f>ROUND(F3805+F3814+F3822+F3828,0)</f>
        <v>105000</v>
      </c>
      <c r="G3831" s="81"/>
      <c r="H3831" s="117"/>
      <c r="I3831" s="81"/>
      <c r="J3831" s="81"/>
      <c r="K3831" s="81"/>
      <c r="L3831" s="81"/>
      <c r="M3831" s="81"/>
      <c r="N3831" s="81"/>
    </row>
    <row r="3832" spans="1:14" ht="14.25" customHeight="1" x14ac:dyDescent="0.25">
      <c r="A3832" s="612" t="s">
        <v>589</v>
      </c>
      <c r="B3832" s="608"/>
      <c r="C3832" s="608"/>
      <c r="D3832" s="608"/>
      <c r="E3832" s="609"/>
      <c r="F3832" s="132"/>
      <c r="G3832" s="81"/>
      <c r="H3832" s="81"/>
      <c r="I3832" s="81"/>
      <c r="J3832" s="81"/>
      <c r="K3832" s="81"/>
      <c r="L3832" s="81"/>
      <c r="M3832" s="81"/>
      <c r="N3832" s="81"/>
    </row>
    <row r="3833" spans="1:14" ht="14.25" customHeight="1" x14ac:dyDescent="0.25">
      <c r="A3833" s="146" t="s">
        <v>556</v>
      </c>
      <c r="B3833" s="147"/>
      <c r="C3833" s="147"/>
      <c r="D3833" s="147"/>
      <c r="E3833" s="148"/>
      <c r="F3833" s="133"/>
      <c r="G3833" s="81"/>
      <c r="H3833" s="81"/>
      <c r="I3833" s="81"/>
      <c r="J3833" s="81"/>
      <c r="K3833" s="81"/>
      <c r="L3833" s="81"/>
      <c r="M3833" s="81"/>
      <c r="N3833" s="81"/>
    </row>
    <row r="3834" spans="1:14" ht="14.25" customHeight="1" x14ac:dyDescent="0.25">
      <c r="A3834" s="134"/>
      <c r="B3834" s="135"/>
      <c r="C3834" s="135"/>
      <c r="D3834" s="135"/>
      <c r="E3834" s="135"/>
      <c r="F3834" s="136"/>
      <c r="G3834" s="81"/>
      <c r="H3834" s="81"/>
      <c r="I3834" s="81"/>
      <c r="J3834" s="81"/>
      <c r="K3834" s="81"/>
      <c r="L3834" s="81"/>
      <c r="M3834" s="81"/>
      <c r="N3834" s="81"/>
    </row>
    <row r="3835" spans="1:14" ht="14.25" customHeight="1" x14ac:dyDescent="0.25">
      <c r="A3835" s="81"/>
      <c r="B3835" s="81"/>
      <c r="C3835" s="137"/>
      <c r="D3835" s="81"/>
      <c r="E3835" s="81"/>
      <c r="F3835" s="81"/>
      <c r="G3835" s="81"/>
      <c r="H3835" s="81"/>
      <c r="I3835" s="81"/>
      <c r="J3835" s="81"/>
      <c r="K3835" s="81"/>
      <c r="L3835" s="81"/>
      <c r="M3835" s="81"/>
      <c r="N3835" s="81"/>
    </row>
    <row r="3836" spans="1:14" ht="14.25" customHeight="1" x14ac:dyDescent="0.25">
      <c r="A3836" s="81"/>
      <c r="B3836" s="81"/>
      <c r="C3836" s="137"/>
      <c r="D3836" s="81"/>
      <c r="E3836" s="81"/>
      <c r="F3836" s="81"/>
      <c r="G3836" s="81"/>
      <c r="H3836" s="81"/>
      <c r="I3836" s="81"/>
      <c r="J3836" s="81"/>
      <c r="K3836" s="81"/>
      <c r="L3836" s="81"/>
      <c r="M3836" s="81"/>
      <c r="N3836" s="81"/>
    </row>
    <row r="3837" spans="1:14" ht="14.25" customHeight="1" x14ac:dyDescent="0.25">
      <c r="A3837" s="81"/>
      <c r="B3837" s="81"/>
      <c r="C3837" s="137"/>
      <c r="D3837" s="81"/>
      <c r="E3837" s="81"/>
      <c r="F3837" s="81"/>
      <c r="G3837" s="81"/>
      <c r="H3837" s="81"/>
      <c r="I3837" s="81"/>
      <c r="J3837" s="81"/>
      <c r="K3837" s="81"/>
      <c r="L3837" s="81"/>
      <c r="M3837" s="81"/>
      <c r="N3837" s="81"/>
    </row>
    <row r="3838" spans="1:14" ht="14.25" customHeight="1" x14ac:dyDescent="0.25">
      <c r="A3838" s="81"/>
      <c r="B3838" s="81"/>
      <c r="C3838" s="137"/>
      <c r="D3838" s="81"/>
      <c r="E3838" s="81"/>
      <c r="F3838" s="81"/>
      <c r="G3838" s="81"/>
      <c r="H3838" s="81"/>
      <c r="I3838" s="81"/>
      <c r="J3838" s="81"/>
      <c r="K3838" s="81"/>
      <c r="L3838" s="81"/>
      <c r="M3838" s="81"/>
      <c r="N3838" s="81"/>
    </row>
    <row r="3839" spans="1:14" ht="14.25" customHeight="1" x14ac:dyDescent="0.25">
      <c r="A3839" s="81"/>
      <c r="B3839" s="81"/>
      <c r="C3839" s="137"/>
      <c r="D3839" s="81"/>
      <c r="E3839" s="81"/>
      <c r="F3839" s="81"/>
      <c r="G3839" s="81"/>
      <c r="H3839" s="81"/>
      <c r="I3839" s="81"/>
      <c r="J3839" s="81"/>
      <c r="K3839" s="81"/>
      <c r="L3839" s="81"/>
      <c r="M3839" s="81"/>
      <c r="N3839" s="81"/>
    </row>
    <row r="3840" spans="1:14" ht="14.25" customHeight="1" x14ac:dyDescent="0.25">
      <c r="A3840" s="81"/>
      <c r="B3840" s="81"/>
      <c r="C3840" s="137"/>
      <c r="D3840" s="81"/>
      <c r="E3840" s="81"/>
      <c r="F3840" s="81"/>
      <c r="G3840" s="81"/>
      <c r="H3840" s="81"/>
      <c r="I3840" s="81"/>
      <c r="J3840" s="81"/>
      <c r="K3840" s="81"/>
      <c r="L3840" s="81"/>
      <c r="M3840" s="81"/>
      <c r="N3840" s="81"/>
    </row>
    <row r="3841" spans="1:14" ht="14.25" customHeight="1" x14ac:dyDescent="0.25">
      <c r="A3841" s="134"/>
      <c r="B3841" s="135"/>
      <c r="C3841" s="135"/>
      <c r="D3841" s="135"/>
      <c r="E3841" s="135"/>
      <c r="F3841" s="136"/>
      <c r="G3841" s="81"/>
      <c r="H3841" s="81"/>
      <c r="I3841" s="81"/>
      <c r="J3841" s="81"/>
      <c r="K3841" s="81"/>
      <c r="L3841" s="81"/>
      <c r="M3841" s="81"/>
      <c r="N3841" s="81"/>
    </row>
    <row r="3842" spans="1:14" ht="14.25" customHeight="1" x14ac:dyDescent="0.25">
      <c r="A3842" s="134"/>
      <c r="B3842" s="135"/>
      <c r="C3842" s="135"/>
      <c r="D3842" s="135"/>
      <c r="E3842" s="135"/>
      <c r="F3842" s="136"/>
      <c r="G3842" s="81"/>
      <c r="H3842" s="81"/>
      <c r="I3842" s="81"/>
      <c r="J3842" s="81"/>
      <c r="K3842" s="81"/>
      <c r="L3842" s="81"/>
      <c r="M3842" s="81"/>
      <c r="N3842" s="81"/>
    </row>
    <row r="3843" spans="1:14" ht="14.25" customHeight="1" x14ac:dyDescent="0.25">
      <c r="A3843" s="134"/>
      <c r="B3843" s="135"/>
      <c r="C3843" s="135"/>
      <c r="D3843" s="135"/>
      <c r="E3843" s="135"/>
      <c r="F3843" s="136"/>
      <c r="G3843" s="81"/>
      <c r="H3843" s="81"/>
      <c r="I3843" s="81"/>
      <c r="J3843" s="81"/>
      <c r="K3843" s="81"/>
      <c r="L3843" s="81"/>
      <c r="M3843" s="81"/>
      <c r="N3843" s="81"/>
    </row>
    <row r="3844" spans="1:14" ht="14.25" customHeight="1" thickBot="1" x14ac:dyDescent="0.3">
      <c r="A3844" s="81"/>
      <c r="B3844" s="81"/>
      <c r="C3844" s="81"/>
      <c r="D3844" s="81"/>
      <c r="E3844" s="81"/>
      <c r="F3844" s="81"/>
      <c r="G3844" s="81"/>
      <c r="H3844" s="81"/>
      <c r="I3844" s="81"/>
      <c r="J3844" s="81"/>
      <c r="K3844" s="81"/>
      <c r="L3844" s="81"/>
      <c r="M3844" s="81"/>
      <c r="N3844" s="81"/>
    </row>
    <row r="3845" spans="1:14" ht="14.25" customHeight="1" x14ac:dyDescent="0.25">
      <c r="A3845" s="83"/>
      <c r="B3845" s="84"/>
      <c r="C3845" s="85"/>
      <c r="D3845" s="86"/>
      <c r="E3845" s="86"/>
      <c r="F3845" s="87"/>
      <c r="G3845" s="81"/>
      <c r="H3845" s="81"/>
      <c r="I3845" s="81"/>
      <c r="J3845" s="81"/>
      <c r="K3845" s="81"/>
      <c r="L3845" s="81"/>
      <c r="M3845" s="81"/>
      <c r="N3845" s="81"/>
    </row>
    <row r="3846" spans="1:14" ht="14.25" customHeight="1" x14ac:dyDescent="0.25">
      <c r="A3846" s="599"/>
      <c r="B3846" s="600"/>
      <c r="C3846" s="600"/>
      <c r="D3846" s="600"/>
      <c r="E3846" s="600"/>
      <c r="F3846" s="601"/>
      <c r="G3846" s="81"/>
      <c r="H3846" s="81"/>
      <c r="I3846" s="81"/>
      <c r="J3846" s="81"/>
      <c r="K3846" s="81"/>
      <c r="L3846" s="81"/>
      <c r="M3846" s="81"/>
      <c r="N3846" s="81"/>
    </row>
    <row r="3847" spans="1:14" ht="14.25" customHeight="1" x14ac:dyDescent="0.25">
      <c r="A3847" s="602" t="s">
        <v>561</v>
      </c>
      <c r="B3847" s="600"/>
      <c r="C3847" s="600"/>
      <c r="D3847" s="600"/>
      <c r="E3847" s="600"/>
      <c r="F3847" s="601"/>
      <c r="G3847" s="81"/>
      <c r="H3847" s="81"/>
      <c r="I3847" s="81"/>
      <c r="J3847" s="81"/>
      <c r="K3847" s="81"/>
      <c r="L3847" s="81"/>
      <c r="M3847" s="81"/>
      <c r="N3847" s="81"/>
    </row>
    <row r="3848" spans="1:14" ht="14.25" customHeight="1" thickBot="1" x14ac:dyDescent="0.3">
      <c r="A3848" s="603"/>
      <c r="B3848" s="604"/>
      <c r="C3848" s="604"/>
      <c r="D3848" s="604"/>
      <c r="E3848" s="604"/>
      <c r="F3848" s="605"/>
      <c r="G3848" s="81"/>
      <c r="H3848" s="81"/>
      <c r="I3848" s="81"/>
      <c r="J3848" s="81"/>
      <c r="K3848" s="81"/>
      <c r="L3848" s="81"/>
      <c r="M3848" s="81"/>
      <c r="N3848" s="81"/>
    </row>
    <row r="3849" spans="1:14" ht="14.25" customHeight="1" x14ac:dyDescent="0.25">
      <c r="A3849" s="88"/>
      <c r="B3849" s="88"/>
      <c r="C3849" s="89"/>
      <c r="D3849" s="89"/>
      <c r="E3849" s="89"/>
      <c r="F3849" s="89"/>
      <c r="G3849" s="81"/>
      <c r="H3849" s="81"/>
      <c r="I3849" s="81"/>
      <c r="J3849" s="81"/>
      <c r="K3849" s="81"/>
      <c r="L3849" s="81"/>
      <c r="M3849" s="81"/>
      <c r="N3849" s="81"/>
    </row>
    <row r="3850" spans="1:14" ht="28.5" customHeight="1" x14ac:dyDescent="0.25">
      <c r="A3850" s="90" t="s">
        <v>47</v>
      </c>
      <c r="B3850" s="613" t="s">
        <v>719</v>
      </c>
      <c r="C3850" s="600"/>
      <c r="D3850" s="600"/>
      <c r="E3850" s="600"/>
      <c r="F3850" s="600"/>
      <c r="G3850" s="81"/>
      <c r="H3850" s="81"/>
      <c r="I3850" s="81"/>
      <c r="J3850" s="81"/>
      <c r="K3850" s="81"/>
      <c r="L3850" s="81"/>
      <c r="M3850" s="81"/>
      <c r="N3850" s="81"/>
    </row>
    <row r="3851" spans="1:14" ht="14.25" customHeight="1" x14ac:dyDescent="0.25">
      <c r="A3851" s="91"/>
      <c r="B3851" s="91"/>
      <c r="C3851" s="91"/>
      <c r="D3851" s="91"/>
      <c r="E3851" s="91"/>
      <c r="F3851" s="91"/>
      <c r="G3851" s="81"/>
      <c r="H3851" s="81"/>
      <c r="I3851" s="81"/>
      <c r="J3851" s="81"/>
      <c r="K3851" s="81"/>
      <c r="L3851" s="81"/>
      <c r="M3851" s="81"/>
      <c r="N3851" s="81"/>
    </row>
    <row r="3852" spans="1:14" ht="14.25" customHeight="1" x14ac:dyDescent="0.25">
      <c r="A3852" s="88" t="s">
        <v>49</v>
      </c>
      <c r="B3852" s="92" t="s">
        <v>56</v>
      </c>
      <c r="C3852" s="89"/>
      <c r="D3852" s="89"/>
      <c r="E3852" s="89"/>
      <c r="F3852" s="93"/>
      <c r="G3852" s="81"/>
      <c r="H3852" s="81"/>
      <c r="I3852" s="81"/>
      <c r="J3852" s="81"/>
      <c r="K3852" s="81"/>
      <c r="L3852" s="81"/>
      <c r="M3852" s="81"/>
      <c r="N3852" s="81"/>
    </row>
    <row r="3853" spans="1:14" ht="14.25" customHeight="1" x14ac:dyDescent="0.25">
      <c r="A3853" s="88"/>
      <c r="B3853" s="94"/>
      <c r="C3853" s="89"/>
      <c r="D3853" s="89"/>
      <c r="E3853" s="89"/>
      <c r="F3853" s="93"/>
      <c r="G3853" s="81"/>
      <c r="H3853" s="81"/>
      <c r="I3853" s="81"/>
      <c r="J3853" s="81"/>
      <c r="K3853" s="81"/>
      <c r="L3853" s="81"/>
      <c r="M3853" s="81"/>
      <c r="N3853" s="81"/>
    </row>
    <row r="3854" spans="1:14" ht="14.25" customHeight="1" x14ac:dyDescent="0.25">
      <c r="A3854" s="95" t="s">
        <v>562</v>
      </c>
      <c r="B3854" s="96"/>
      <c r="C3854" s="92"/>
      <c r="D3854" s="92"/>
      <c r="E3854" s="92"/>
      <c r="F3854" s="92"/>
      <c r="G3854" s="81"/>
      <c r="H3854" s="81"/>
      <c r="I3854" s="81"/>
      <c r="J3854" s="81"/>
      <c r="K3854" s="81"/>
      <c r="L3854" s="81"/>
      <c r="M3854" s="81"/>
      <c r="N3854" s="81"/>
    </row>
    <row r="3855" spans="1:14" ht="14.25" customHeight="1" x14ac:dyDescent="0.25">
      <c r="A3855" s="97" t="s">
        <v>563</v>
      </c>
      <c r="B3855" s="98" t="s">
        <v>564</v>
      </c>
      <c r="C3855" s="98" t="s">
        <v>565</v>
      </c>
      <c r="D3855" s="98" t="s">
        <v>566</v>
      </c>
      <c r="E3855" s="98" t="s">
        <v>567</v>
      </c>
      <c r="F3855" s="98" t="s">
        <v>568</v>
      </c>
      <c r="G3855" s="81"/>
      <c r="H3855" s="81"/>
      <c r="I3855" s="81"/>
      <c r="J3855" s="81"/>
      <c r="K3855" s="81"/>
      <c r="L3855" s="81"/>
      <c r="M3855" s="81"/>
      <c r="N3855" s="81"/>
    </row>
    <row r="3856" spans="1:14" ht="14.25" customHeight="1" x14ac:dyDescent="0.25">
      <c r="A3856" s="99" t="s">
        <v>720</v>
      </c>
      <c r="B3856" s="100" t="s">
        <v>56</v>
      </c>
      <c r="C3856" s="101">
        <v>50850</v>
      </c>
      <c r="D3856" s="149">
        <v>1</v>
      </c>
      <c r="E3856" s="102">
        <v>0.05</v>
      </c>
      <c r="F3856" s="101">
        <f t="shared" ref="F3856:F3858" si="213">C3856*(D3856+(D3856*E3856))</f>
        <v>53392.5</v>
      </c>
      <c r="G3856" s="81"/>
      <c r="H3856" s="81"/>
      <c r="I3856" s="81"/>
      <c r="J3856" s="81"/>
      <c r="K3856" s="81"/>
      <c r="L3856" s="81"/>
      <c r="M3856" s="81"/>
      <c r="N3856" s="81"/>
    </row>
    <row r="3857" spans="1:14" ht="14.25" customHeight="1" x14ac:dyDescent="0.25">
      <c r="A3857" s="99" t="s">
        <v>721</v>
      </c>
      <c r="B3857" s="100" t="s">
        <v>117</v>
      </c>
      <c r="C3857" s="101">
        <v>2085</v>
      </c>
      <c r="D3857" s="149">
        <v>3</v>
      </c>
      <c r="E3857" s="102">
        <v>0.05</v>
      </c>
      <c r="F3857" s="101">
        <f t="shared" si="213"/>
        <v>6567.75</v>
      </c>
      <c r="G3857" s="81"/>
      <c r="H3857" s="81"/>
      <c r="I3857" s="81"/>
      <c r="J3857" s="81"/>
      <c r="K3857" s="81"/>
      <c r="L3857" s="81"/>
      <c r="M3857" s="81"/>
      <c r="N3857" s="81"/>
    </row>
    <row r="3858" spans="1:14" ht="14.25" customHeight="1" x14ac:dyDescent="0.25">
      <c r="A3858" s="99" t="s">
        <v>722</v>
      </c>
      <c r="B3858" s="100" t="s">
        <v>117</v>
      </c>
      <c r="C3858" s="101">
        <v>2350</v>
      </c>
      <c r="D3858" s="149">
        <v>0.75</v>
      </c>
      <c r="E3858" s="102">
        <v>0.05</v>
      </c>
      <c r="F3858" s="101">
        <f t="shared" si="213"/>
        <v>1850.625</v>
      </c>
      <c r="G3858" s="81"/>
      <c r="H3858" s="81"/>
      <c r="I3858" s="81"/>
      <c r="J3858" s="81"/>
      <c r="K3858" s="81"/>
      <c r="L3858" s="81"/>
      <c r="M3858" s="81"/>
      <c r="N3858" s="81"/>
    </row>
    <row r="3859" spans="1:14" ht="14.25" customHeight="1" x14ac:dyDescent="0.25">
      <c r="A3859" s="99"/>
      <c r="B3859" s="100"/>
      <c r="C3859" s="101"/>
      <c r="D3859" s="104"/>
      <c r="E3859" s="102"/>
      <c r="F3859" s="101"/>
      <c r="G3859" s="81"/>
      <c r="H3859" s="81"/>
      <c r="I3859" s="81"/>
      <c r="J3859" s="81"/>
      <c r="K3859" s="81"/>
      <c r="L3859" s="81"/>
      <c r="M3859" s="81"/>
      <c r="N3859" s="81"/>
    </row>
    <row r="3860" spans="1:14" ht="14.25" customHeight="1" x14ac:dyDescent="0.25">
      <c r="A3860" s="99"/>
      <c r="B3860" s="100"/>
      <c r="C3860" s="101"/>
      <c r="D3860" s="149"/>
      <c r="E3860" s="102"/>
      <c r="F3860" s="101"/>
      <c r="G3860" s="81"/>
      <c r="H3860" s="81"/>
      <c r="I3860" s="81"/>
      <c r="J3860" s="81"/>
      <c r="K3860" s="81"/>
      <c r="L3860" s="81"/>
      <c r="M3860" s="81"/>
      <c r="N3860" s="81"/>
    </row>
    <row r="3861" spans="1:14" ht="14.25" customHeight="1" x14ac:dyDescent="0.25">
      <c r="A3861" s="99"/>
      <c r="B3861" s="100"/>
      <c r="C3861" s="106"/>
      <c r="D3861" s="107"/>
      <c r="E3861" s="108"/>
      <c r="F3861" s="106"/>
      <c r="G3861" s="81"/>
      <c r="H3861" s="81"/>
      <c r="I3861" s="81"/>
      <c r="J3861" s="81"/>
      <c r="K3861" s="81"/>
      <c r="L3861" s="81"/>
      <c r="M3861" s="81"/>
      <c r="N3861" s="81"/>
    </row>
    <row r="3862" spans="1:14" ht="14.25" customHeight="1" x14ac:dyDescent="0.25">
      <c r="A3862" s="97" t="s">
        <v>548</v>
      </c>
      <c r="B3862" s="97"/>
      <c r="C3862" s="109"/>
      <c r="D3862" s="110"/>
      <c r="E3862" s="111"/>
      <c r="F3862" s="112">
        <f>SUM(F3856:F3861)</f>
        <v>61810.875</v>
      </c>
      <c r="G3862" s="81"/>
      <c r="H3862" s="81"/>
      <c r="I3862" s="81"/>
      <c r="J3862" s="81"/>
      <c r="K3862" s="81"/>
      <c r="L3862" s="81"/>
      <c r="M3862" s="81"/>
      <c r="N3862" s="81"/>
    </row>
    <row r="3863" spans="1:14" ht="14.25" customHeight="1" x14ac:dyDescent="0.25">
      <c r="A3863" s="88"/>
      <c r="B3863" s="88"/>
      <c r="C3863" s="113"/>
      <c r="D3863" s="113"/>
      <c r="E3863" s="114"/>
      <c r="F3863" s="113"/>
      <c r="G3863" s="81"/>
      <c r="H3863" s="81"/>
      <c r="I3863" s="81"/>
      <c r="J3863" s="81"/>
      <c r="K3863" s="81"/>
      <c r="L3863" s="81"/>
      <c r="M3863" s="81"/>
      <c r="N3863" s="81"/>
    </row>
    <row r="3864" spans="1:14" ht="14.25" customHeight="1" x14ac:dyDescent="0.25">
      <c r="A3864" s="96" t="s">
        <v>573</v>
      </c>
      <c r="B3864" s="96"/>
      <c r="C3864" s="92"/>
      <c r="D3864" s="92"/>
      <c r="E3864" s="92"/>
      <c r="F3864" s="92"/>
      <c r="G3864" s="81"/>
      <c r="H3864" s="81"/>
      <c r="I3864" s="81"/>
      <c r="J3864" s="81"/>
      <c r="K3864" s="81"/>
      <c r="L3864" s="81"/>
      <c r="M3864" s="81"/>
      <c r="N3864" s="81"/>
    </row>
    <row r="3865" spans="1:14" ht="14.25" customHeight="1" x14ac:dyDescent="0.25">
      <c r="A3865" s="611" t="s">
        <v>563</v>
      </c>
      <c r="B3865" s="608"/>
      <c r="C3865" s="609"/>
      <c r="D3865" s="98" t="s">
        <v>574</v>
      </c>
      <c r="E3865" s="98" t="s">
        <v>575</v>
      </c>
      <c r="F3865" s="98" t="s">
        <v>568</v>
      </c>
      <c r="G3865" s="81"/>
      <c r="H3865" s="81"/>
      <c r="I3865" s="81"/>
      <c r="J3865" s="81"/>
      <c r="K3865" s="81"/>
      <c r="L3865" s="81"/>
      <c r="M3865" s="81"/>
      <c r="N3865" s="81"/>
    </row>
    <row r="3866" spans="1:14" ht="14.25" customHeight="1" x14ac:dyDescent="0.25">
      <c r="A3866" s="607" t="s">
        <v>577</v>
      </c>
      <c r="B3866" s="608"/>
      <c r="C3866" s="609"/>
      <c r="D3866" s="116"/>
      <c r="E3866" s="107"/>
      <c r="F3866" s="106">
        <v>410</v>
      </c>
      <c r="G3866" s="81"/>
      <c r="H3866" s="81"/>
      <c r="I3866" s="81"/>
      <c r="J3866" s="81"/>
      <c r="K3866" s="81"/>
      <c r="L3866" s="81"/>
      <c r="M3866" s="81"/>
      <c r="N3866" s="81"/>
    </row>
    <row r="3867" spans="1:14" ht="14.25" customHeight="1" x14ac:dyDescent="0.25">
      <c r="A3867" s="607"/>
      <c r="B3867" s="608"/>
      <c r="C3867" s="609"/>
      <c r="D3867" s="142"/>
      <c r="E3867" s="107"/>
      <c r="F3867" s="106"/>
      <c r="G3867" s="81"/>
      <c r="H3867" s="81"/>
      <c r="I3867" s="81"/>
      <c r="J3867" s="81"/>
      <c r="K3867" s="81"/>
      <c r="L3867" s="81"/>
      <c r="M3867" s="81"/>
      <c r="N3867" s="81"/>
    </row>
    <row r="3868" spans="1:14" ht="14.25" customHeight="1" x14ac:dyDescent="0.25">
      <c r="A3868" s="607"/>
      <c r="B3868" s="608"/>
      <c r="C3868" s="609"/>
      <c r="D3868" s="142"/>
      <c r="E3868" s="107"/>
      <c r="F3868" s="106"/>
      <c r="G3868" s="81"/>
      <c r="H3868" s="81"/>
      <c r="I3868" s="81"/>
      <c r="J3868" s="81"/>
      <c r="K3868" s="81"/>
      <c r="L3868" s="81"/>
      <c r="M3868" s="81"/>
      <c r="N3868" s="81"/>
    </row>
    <row r="3869" spans="1:14" ht="14.25" customHeight="1" x14ac:dyDescent="0.25">
      <c r="A3869" s="607"/>
      <c r="B3869" s="608"/>
      <c r="C3869" s="609"/>
      <c r="D3869" s="142"/>
      <c r="E3869" s="107"/>
      <c r="F3869" s="106"/>
      <c r="G3869" s="81"/>
      <c r="H3869" s="81"/>
      <c r="I3869" s="81"/>
      <c r="J3869" s="81"/>
      <c r="K3869" s="81"/>
      <c r="L3869" s="81"/>
      <c r="M3869" s="81"/>
      <c r="N3869" s="81"/>
    </row>
    <row r="3870" spans="1:14" ht="14.25" customHeight="1" x14ac:dyDescent="0.25">
      <c r="A3870" s="610"/>
      <c r="B3870" s="608"/>
      <c r="C3870" s="609"/>
      <c r="D3870" s="115"/>
      <c r="E3870" s="107"/>
      <c r="F3870" s="106"/>
      <c r="G3870" s="81"/>
      <c r="H3870" s="81"/>
      <c r="I3870" s="81"/>
      <c r="J3870" s="81"/>
      <c r="K3870" s="81"/>
      <c r="L3870" s="81"/>
      <c r="M3870" s="81"/>
      <c r="N3870" s="81"/>
    </row>
    <row r="3871" spans="1:14" ht="14.25" customHeight="1" x14ac:dyDescent="0.25">
      <c r="A3871" s="611" t="s">
        <v>548</v>
      </c>
      <c r="B3871" s="608"/>
      <c r="C3871" s="609"/>
      <c r="D3871" s="110"/>
      <c r="E3871" s="110"/>
      <c r="F3871" s="112">
        <f>SUM(F3866:F3869)</f>
        <v>410</v>
      </c>
      <c r="G3871" s="81"/>
      <c r="H3871" s="81"/>
      <c r="I3871" s="81"/>
      <c r="J3871" s="81"/>
      <c r="K3871" s="81"/>
      <c r="L3871" s="81"/>
      <c r="M3871" s="81"/>
      <c r="N3871" s="81"/>
    </row>
    <row r="3872" spans="1:14" ht="14.25" customHeight="1" x14ac:dyDescent="0.25">
      <c r="A3872" s="88"/>
      <c r="B3872" s="88"/>
      <c r="C3872" s="89"/>
      <c r="D3872" s="113"/>
      <c r="E3872" s="113"/>
      <c r="F3872" s="113"/>
      <c r="G3872" s="81"/>
      <c r="H3872" s="81"/>
      <c r="I3872" s="81"/>
      <c r="J3872" s="81"/>
      <c r="K3872" s="81"/>
      <c r="L3872" s="81"/>
      <c r="M3872" s="81"/>
      <c r="N3872" s="81"/>
    </row>
    <row r="3873" spans="1:14" ht="14.25" customHeight="1" x14ac:dyDescent="0.25">
      <c r="A3873" s="96" t="s">
        <v>578</v>
      </c>
      <c r="B3873" s="96"/>
      <c r="C3873" s="92"/>
      <c r="D3873" s="118"/>
      <c r="E3873" s="118"/>
      <c r="F3873" s="118"/>
      <c r="G3873" s="81"/>
      <c r="H3873" s="81"/>
      <c r="I3873" s="81"/>
      <c r="J3873" s="81"/>
      <c r="K3873" s="81"/>
      <c r="L3873" s="81"/>
      <c r="M3873" s="81"/>
      <c r="N3873" s="81"/>
    </row>
    <row r="3874" spans="1:14" ht="14.25" customHeight="1" x14ac:dyDescent="0.25">
      <c r="A3874" s="119" t="s">
        <v>563</v>
      </c>
      <c r="B3874" s="120" t="s">
        <v>579</v>
      </c>
      <c r="C3874" s="120" t="s">
        <v>580</v>
      </c>
      <c r="D3874" s="121" t="s">
        <v>581</v>
      </c>
      <c r="E3874" s="121" t="s">
        <v>575</v>
      </c>
      <c r="F3874" s="121" t="s">
        <v>568</v>
      </c>
      <c r="G3874" s="81"/>
      <c r="H3874" s="81"/>
      <c r="I3874" s="81"/>
      <c r="J3874" s="81"/>
      <c r="K3874" s="81"/>
      <c r="L3874" s="81"/>
      <c r="M3874" s="81"/>
      <c r="N3874" s="81"/>
    </row>
    <row r="3875" spans="1:14" ht="14.25" customHeight="1" x14ac:dyDescent="0.25">
      <c r="A3875" s="122" t="s">
        <v>593</v>
      </c>
      <c r="B3875" s="127">
        <v>1</v>
      </c>
      <c r="C3875" s="101">
        <v>32688</v>
      </c>
      <c r="D3875" s="101">
        <f t="shared" ref="D3875:D3876" si="214">+C3875*1.7</f>
        <v>55569.599999999999</v>
      </c>
      <c r="E3875" s="107">
        <v>10</v>
      </c>
      <c r="F3875" s="106">
        <f t="shared" ref="F3875:F3876" si="215">+B3875*(D3875)/E3875</f>
        <v>5556.96</v>
      </c>
      <c r="G3875" s="81"/>
      <c r="H3875" s="81"/>
      <c r="I3875" s="81"/>
      <c r="J3875" s="81"/>
      <c r="K3875" s="81"/>
      <c r="L3875" s="81"/>
      <c r="M3875" s="81"/>
      <c r="N3875" s="81"/>
    </row>
    <row r="3876" spans="1:14" ht="14.25" customHeight="1" x14ac:dyDescent="0.25">
      <c r="A3876" s="122" t="s">
        <v>594</v>
      </c>
      <c r="B3876" s="127">
        <v>1</v>
      </c>
      <c r="C3876" s="101">
        <v>52538</v>
      </c>
      <c r="D3876" s="101">
        <f t="shared" si="214"/>
        <v>89314.599999999991</v>
      </c>
      <c r="E3876" s="107">
        <f>E3875</f>
        <v>10</v>
      </c>
      <c r="F3876" s="106">
        <f t="shared" si="215"/>
        <v>8931.4599999999991</v>
      </c>
      <c r="G3876" s="81"/>
      <c r="H3876" s="81"/>
      <c r="I3876" s="81"/>
      <c r="J3876" s="81"/>
      <c r="K3876" s="81"/>
      <c r="L3876" s="81"/>
      <c r="M3876" s="81"/>
      <c r="N3876" s="81"/>
    </row>
    <row r="3877" spans="1:14" ht="14.25" customHeight="1" x14ac:dyDescent="0.25">
      <c r="A3877" s="122"/>
      <c r="B3877" s="127"/>
      <c r="C3877" s="101"/>
      <c r="D3877" s="101"/>
      <c r="E3877" s="105"/>
      <c r="F3877" s="106"/>
      <c r="G3877" s="81"/>
      <c r="H3877" s="81"/>
      <c r="I3877" s="81"/>
      <c r="J3877" s="81"/>
      <c r="K3877" s="81"/>
      <c r="L3877" s="81"/>
      <c r="M3877" s="81"/>
      <c r="N3877" s="81"/>
    </row>
    <row r="3878" spans="1:14" ht="14.25" customHeight="1" x14ac:dyDescent="0.25">
      <c r="A3878" s="122"/>
      <c r="B3878" s="127"/>
      <c r="C3878" s="101"/>
      <c r="D3878" s="101"/>
      <c r="E3878" s="125"/>
      <c r="F3878" s="106"/>
      <c r="G3878" s="81"/>
      <c r="H3878" s="81"/>
      <c r="I3878" s="81"/>
      <c r="J3878" s="81"/>
      <c r="K3878" s="81"/>
      <c r="L3878" s="81"/>
      <c r="M3878" s="81"/>
      <c r="N3878" s="81"/>
    </row>
    <row r="3879" spans="1:14" ht="14.25" customHeight="1" x14ac:dyDescent="0.25">
      <c r="A3879" s="97" t="s">
        <v>548</v>
      </c>
      <c r="B3879" s="128"/>
      <c r="C3879" s="110"/>
      <c r="D3879" s="110"/>
      <c r="E3879" s="110"/>
      <c r="F3879" s="112">
        <f>SUM(F3875:F3878)</f>
        <v>14488.419999999998</v>
      </c>
      <c r="G3879" s="81"/>
      <c r="H3879" s="81"/>
      <c r="I3879" s="81"/>
      <c r="J3879" s="81"/>
      <c r="K3879" s="81"/>
      <c r="L3879" s="81"/>
      <c r="M3879" s="81"/>
      <c r="N3879" s="81"/>
    </row>
    <row r="3880" spans="1:14" ht="14.25" customHeight="1" x14ac:dyDescent="0.25">
      <c r="A3880" s="96"/>
      <c r="B3880" s="129"/>
      <c r="C3880" s="118"/>
      <c r="D3880" s="118"/>
      <c r="E3880" s="118"/>
      <c r="F3880" s="118"/>
      <c r="G3880" s="81"/>
      <c r="H3880" s="81"/>
      <c r="I3880" s="81"/>
      <c r="J3880" s="81"/>
      <c r="K3880" s="81"/>
      <c r="L3880" s="81"/>
      <c r="M3880" s="81"/>
      <c r="N3880" s="81"/>
    </row>
    <row r="3881" spans="1:14" ht="14.25" customHeight="1" x14ac:dyDescent="0.25">
      <c r="A3881" s="95" t="s">
        <v>583</v>
      </c>
      <c r="B3881" s="96"/>
      <c r="C3881" s="92"/>
      <c r="D3881" s="92"/>
      <c r="E3881" s="92" t="s">
        <v>584</v>
      </c>
      <c r="F3881" s="92"/>
      <c r="G3881" s="81"/>
      <c r="H3881" s="81"/>
      <c r="I3881" s="81"/>
      <c r="J3881" s="81"/>
      <c r="K3881" s="81"/>
      <c r="L3881" s="81"/>
      <c r="M3881" s="81"/>
      <c r="N3881" s="81"/>
    </row>
    <row r="3882" spans="1:14" ht="14.25" customHeight="1" x14ac:dyDescent="0.25">
      <c r="A3882" s="97" t="s">
        <v>563</v>
      </c>
      <c r="B3882" s="98" t="s">
        <v>564</v>
      </c>
      <c r="C3882" s="98" t="s">
        <v>585</v>
      </c>
      <c r="D3882" s="98" t="s">
        <v>586</v>
      </c>
      <c r="E3882" s="120" t="s">
        <v>587</v>
      </c>
      <c r="F3882" s="98" t="s">
        <v>568</v>
      </c>
      <c r="G3882" s="81"/>
      <c r="H3882" s="81"/>
      <c r="I3882" s="81"/>
      <c r="J3882" s="81"/>
      <c r="K3882" s="81"/>
      <c r="L3882" s="81"/>
      <c r="M3882" s="81"/>
      <c r="N3882" s="81"/>
    </row>
    <row r="3883" spans="1:14" ht="14.25" customHeight="1" x14ac:dyDescent="0.25">
      <c r="A3883" s="103"/>
      <c r="B3883" s="100"/>
      <c r="C3883" s="101"/>
      <c r="D3883" s="140"/>
      <c r="E3883" s="107"/>
      <c r="F3883" s="109"/>
      <c r="G3883" s="81"/>
      <c r="H3883" s="81"/>
      <c r="I3883" s="81"/>
      <c r="J3883" s="81"/>
      <c r="K3883" s="81"/>
      <c r="L3883" s="81"/>
      <c r="M3883" s="81"/>
      <c r="N3883" s="81"/>
    </row>
    <row r="3884" spans="1:14" ht="14.25" customHeight="1" x14ac:dyDescent="0.25">
      <c r="A3884" s="103"/>
      <c r="B3884" s="100"/>
      <c r="C3884" s="107"/>
      <c r="D3884" s="107"/>
      <c r="E3884" s="108"/>
      <c r="F3884" s="109"/>
      <c r="G3884" s="81"/>
      <c r="H3884" s="81"/>
      <c r="I3884" s="81"/>
      <c r="J3884" s="81"/>
      <c r="K3884" s="81"/>
      <c r="L3884" s="81"/>
      <c r="M3884" s="81"/>
      <c r="N3884" s="81"/>
    </row>
    <row r="3885" spans="1:14" ht="14.25" customHeight="1" x14ac:dyDescent="0.25">
      <c r="A3885" s="97" t="s">
        <v>548</v>
      </c>
      <c r="B3885" s="98"/>
      <c r="C3885" s="110"/>
      <c r="D3885" s="110"/>
      <c r="E3885" s="111"/>
      <c r="F3885" s="112">
        <f>SUM(F3883:F3884)</f>
        <v>0</v>
      </c>
      <c r="G3885" s="81"/>
      <c r="H3885" s="81"/>
      <c r="I3885" s="81"/>
      <c r="J3885" s="81"/>
      <c r="K3885" s="81"/>
      <c r="L3885" s="81"/>
      <c r="M3885" s="81"/>
      <c r="N3885" s="81"/>
    </row>
    <row r="3886" spans="1:14" ht="14.25" customHeight="1" x14ac:dyDescent="0.25">
      <c r="A3886" s="88"/>
      <c r="B3886" s="89"/>
      <c r="C3886" s="113"/>
      <c r="D3886" s="113"/>
      <c r="E3886" s="114"/>
      <c r="F3886" s="113"/>
      <c r="G3886" s="81"/>
      <c r="H3886" s="81"/>
      <c r="I3886" s="81"/>
      <c r="J3886" s="81"/>
      <c r="K3886" s="81"/>
      <c r="L3886" s="81"/>
      <c r="M3886" s="81"/>
      <c r="N3886" s="81"/>
    </row>
    <row r="3887" spans="1:14" ht="14.25" customHeight="1" x14ac:dyDescent="0.25">
      <c r="A3887" s="88"/>
      <c r="B3887" s="89"/>
      <c r="C3887" s="113"/>
      <c r="D3887" s="113"/>
      <c r="E3887" s="114"/>
      <c r="F3887" s="113"/>
      <c r="G3887" s="81"/>
      <c r="H3887" s="81"/>
      <c r="I3887" s="81"/>
      <c r="J3887" s="81"/>
      <c r="K3887" s="81"/>
      <c r="L3887" s="81"/>
      <c r="M3887" s="81"/>
      <c r="N3887" s="81"/>
    </row>
    <row r="3888" spans="1:14" ht="14.25" customHeight="1" x14ac:dyDescent="0.25">
      <c r="A3888" s="612" t="s">
        <v>588</v>
      </c>
      <c r="B3888" s="608"/>
      <c r="C3888" s="608"/>
      <c r="D3888" s="608"/>
      <c r="E3888" s="609"/>
      <c r="F3888" s="131">
        <f>ROUND(F3862+F3871+F3879+F3885,0)</f>
        <v>76709</v>
      </c>
      <c r="G3888" s="81"/>
      <c r="H3888" s="117">
        <f>76709-F3888</f>
        <v>0</v>
      </c>
      <c r="I3888" s="81"/>
      <c r="J3888" s="81"/>
      <c r="K3888" s="81"/>
      <c r="L3888" s="81"/>
      <c r="M3888" s="81"/>
      <c r="N3888" s="81"/>
    </row>
    <row r="3889" spans="1:14" ht="14.25" customHeight="1" x14ac:dyDescent="0.25">
      <c r="A3889" s="612" t="s">
        <v>589</v>
      </c>
      <c r="B3889" s="608"/>
      <c r="C3889" s="608"/>
      <c r="D3889" s="608"/>
      <c r="E3889" s="609"/>
      <c r="F3889" s="132"/>
      <c r="G3889" s="81"/>
      <c r="H3889" s="81"/>
      <c r="I3889" s="81"/>
      <c r="J3889" s="81"/>
      <c r="K3889" s="81"/>
      <c r="L3889" s="81"/>
      <c r="M3889" s="81"/>
      <c r="N3889" s="81"/>
    </row>
    <row r="3890" spans="1:14" ht="14.25" customHeight="1" x14ac:dyDescent="0.25">
      <c r="A3890" s="146" t="s">
        <v>556</v>
      </c>
      <c r="B3890" s="147"/>
      <c r="C3890" s="147"/>
      <c r="D3890" s="147"/>
      <c r="E3890" s="148"/>
      <c r="F3890" s="133"/>
      <c r="G3890" s="81"/>
      <c r="H3890" s="81"/>
      <c r="I3890" s="81"/>
      <c r="J3890" s="81"/>
      <c r="K3890" s="81"/>
      <c r="L3890" s="81"/>
      <c r="M3890" s="81"/>
      <c r="N3890" s="81"/>
    </row>
    <row r="3891" spans="1:14" ht="14.25" customHeight="1" x14ac:dyDescent="0.25">
      <c r="A3891" s="134"/>
      <c r="B3891" s="135"/>
      <c r="C3891" s="135"/>
      <c r="D3891" s="135"/>
      <c r="E3891" s="135"/>
      <c r="F3891" s="136"/>
      <c r="G3891" s="81"/>
      <c r="H3891" s="81"/>
      <c r="I3891" s="81"/>
      <c r="J3891" s="81"/>
      <c r="K3891" s="81"/>
      <c r="L3891" s="81"/>
      <c r="M3891" s="81"/>
      <c r="N3891" s="81"/>
    </row>
    <row r="3892" spans="1:14" ht="14.25" customHeight="1" x14ac:dyDescent="0.25">
      <c r="A3892" s="81"/>
      <c r="B3892" s="81"/>
      <c r="C3892" s="137"/>
      <c r="D3892" s="81"/>
      <c r="E3892" s="81"/>
      <c r="F3892" s="81"/>
      <c r="G3892" s="81"/>
      <c r="H3892" s="81"/>
      <c r="I3892" s="81"/>
      <c r="J3892" s="81"/>
      <c r="K3892" s="81"/>
      <c r="L3892" s="81"/>
      <c r="M3892" s="81"/>
      <c r="N3892" s="81"/>
    </row>
    <row r="3893" spans="1:14" ht="14.25" customHeight="1" x14ac:dyDescent="0.25">
      <c r="A3893" s="81"/>
      <c r="B3893" s="81"/>
      <c r="C3893" s="137"/>
      <c r="D3893" s="81"/>
      <c r="E3893" s="81"/>
      <c r="F3893" s="81"/>
      <c r="G3893" s="81"/>
      <c r="H3893" s="81"/>
      <c r="I3893" s="81"/>
      <c r="J3893" s="81"/>
      <c r="K3893" s="81"/>
      <c r="L3893" s="81"/>
      <c r="M3893" s="81"/>
      <c r="N3893" s="81"/>
    </row>
    <row r="3894" spans="1:14" ht="14.25" customHeight="1" x14ac:dyDescent="0.25">
      <c r="A3894" s="81"/>
      <c r="B3894" s="81"/>
      <c r="C3894" s="137"/>
      <c r="D3894" s="81"/>
      <c r="E3894" s="81"/>
      <c r="F3894" s="81"/>
      <c r="G3894" s="81"/>
      <c r="H3894" s="81"/>
      <c r="I3894" s="81"/>
      <c r="J3894" s="81"/>
      <c r="K3894" s="81"/>
      <c r="L3894" s="81"/>
      <c r="M3894" s="81"/>
      <c r="N3894" s="81"/>
    </row>
    <row r="3895" spans="1:14" ht="14.25" customHeight="1" x14ac:dyDescent="0.25">
      <c r="A3895" s="81"/>
      <c r="B3895" s="81"/>
      <c r="C3895" s="137"/>
      <c r="D3895" s="81"/>
      <c r="E3895" s="81"/>
      <c r="F3895" s="81"/>
      <c r="G3895" s="81"/>
      <c r="H3895" s="81"/>
      <c r="I3895" s="81"/>
      <c r="J3895" s="81"/>
      <c r="K3895" s="81"/>
      <c r="L3895" s="81"/>
      <c r="M3895" s="81"/>
      <c r="N3895" s="81"/>
    </row>
    <row r="3896" spans="1:14" ht="14.25" customHeight="1" x14ac:dyDescent="0.25">
      <c r="A3896" s="81"/>
      <c r="B3896" s="81"/>
      <c r="C3896" s="137"/>
      <c r="D3896" s="81"/>
      <c r="E3896" s="81"/>
      <c r="F3896" s="81"/>
      <c r="G3896" s="81"/>
      <c r="H3896" s="81"/>
      <c r="I3896" s="81"/>
      <c r="J3896" s="81"/>
      <c r="K3896" s="81"/>
      <c r="L3896" s="81"/>
      <c r="M3896" s="81"/>
      <c r="N3896" s="81"/>
    </row>
    <row r="3897" spans="1:14" ht="14.25" customHeight="1" x14ac:dyDescent="0.25">
      <c r="A3897" s="81"/>
      <c r="B3897" s="81"/>
      <c r="C3897" s="137"/>
      <c r="D3897" s="81"/>
      <c r="E3897" s="81"/>
      <c r="F3897" s="81"/>
      <c r="G3897" s="81"/>
      <c r="H3897" s="81"/>
      <c r="I3897" s="81"/>
      <c r="J3897" s="81"/>
      <c r="K3897" s="81"/>
      <c r="L3897" s="81"/>
      <c r="M3897" s="81"/>
      <c r="N3897" s="81"/>
    </row>
    <row r="3898" spans="1:14" ht="14.25" customHeight="1" x14ac:dyDescent="0.25">
      <c r="A3898" s="134"/>
      <c r="B3898" s="135"/>
      <c r="C3898" s="135"/>
      <c r="D3898" s="135"/>
      <c r="E3898" s="135"/>
      <c r="F3898" s="136"/>
      <c r="G3898" s="81"/>
      <c r="H3898" s="81"/>
      <c r="I3898" s="81"/>
      <c r="J3898" s="81"/>
      <c r="K3898" s="81"/>
      <c r="L3898" s="81"/>
      <c r="M3898" s="81"/>
      <c r="N3898" s="81"/>
    </row>
    <row r="3899" spans="1:14" ht="14.25" customHeight="1" x14ac:dyDescent="0.25">
      <c r="A3899" s="134"/>
      <c r="B3899" s="135"/>
      <c r="C3899" s="135"/>
      <c r="D3899" s="135"/>
      <c r="E3899" s="135"/>
      <c r="F3899" s="136"/>
      <c r="G3899" s="81"/>
      <c r="H3899" s="81"/>
      <c r="I3899" s="81"/>
      <c r="J3899" s="81"/>
      <c r="K3899" s="81"/>
      <c r="L3899" s="81"/>
      <c r="M3899" s="81"/>
      <c r="N3899" s="81"/>
    </row>
    <row r="3900" spans="1:14" ht="14.25" customHeight="1" x14ac:dyDescent="0.25">
      <c r="A3900" s="134"/>
      <c r="B3900" s="135"/>
      <c r="C3900" s="135"/>
      <c r="D3900" s="135"/>
      <c r="E3900" s="135"/>
      <c r="F3900" s="136"/>
      <c r="G3900" s="81"/>
      <c r="H3900" s="81"/>
      <c r="I3900" s="81"/>
      <c r="J3900" s="81"/>
      <c r="K3900" s="81"/>
      <c r="L3900" s="81"/>
      <c r="M3900" s="81"/>
      <c r="N3900" s="81"/>
    </row>
    <row r="3901" spans="1:14" ht="14.25" customHeight="1" thickBot="1" x14ac:dyDescent="0.3">
      <c r="A3901" s="81"/>
      <c r="B3901" s="81"/>
      <c r="C3901" s="81"/>
      <c r="D3901" s="81"/>
      <c r="E3901" s="81"/>
      <c r="F3901" s="81"/>
      <c r="G3901" s="81"/>
      <c r="H3901" s="81"/>
      <c r="I3901" s="81"/>
      <c r="J3901" s="81"/>
      <c r="K3901" s="81"/>
      <c r="L3901" s="81"/>
      <c r="M3901" s="81"/>
      <c r="N3901" s="81"/>
    </row>
    <row r="3902" spans="1:14" ht="14.25" customHeight="1" x14ac:dyDescent="0.25">
      <c r="A3902" s="83"/>
      <c r="B3902" s="84"/>
      <c r="C3902" s="85"/>
      <c r="D3902" s="86"/>
      <c r="E3902" s="86"/>
      <c r="F3902" s="87"/>
      <c r="G3902" s="81"/>
      <c r="H3902" s="81"/>
      <c r="I3902" s="81"/>
      <c r="J3902" s="81"/>
      <c r="K3902" s="81"/>
      <c r="L3902" s="81"/>
      <c r="M3902" s="81"/>
      <c r="N3902" s="81"/>
    </row>
    <row r="3903" spans="1:14" ht="14.25" customHeight="1" x14ac:dyDescent="0.25">
      <c r="A3903" s="599"/>
      <c r="B3903" s="600"/>
      <c r="C3903" s="600"/>
      <c r="D3903" s="600"/>
      <c r="E3903" s="600"/>
      <c r="F3903" s="601"/>
      <c r="G3903" s="81"/>
      <c r="H3903" s="81"/>
      <c r="I3903" s="81"/>
      <c r="J3903" s="81"/>
      <c r="K3903" s="81"/>
      <c r="L3903" s="81"/>
      <c r="M3903" s="81"/>
      <c r="N3903" s="81"/>
    </row>
    <row r="3904" spans="1:14" ht="14.25" customHeight="1" x14ac:dyDescent="0.25">
      <c r="A3904" s="602" t="s">
        <v>561</v>
      </c>
      <c r="B3904" s="600"/>
      <c r="C3904" s="600"/>
      <c r="D3904" s="600"/>
      <c r="E3904" s="600"/>
      <c r="F3904" s="601"/>
      <c r="G3904" s="81"/>
      <c r="H3904" s="81"/>
      <c r="I3904" s="81"/>
      <c r="J3904" s="81"/>
      <c r="K3904" s="81"/>
      <c r="L3904" s="81"/>
      <c r="M3904" s="81"/>
      <c r="N3904" s="81"/>
    </row>
    <row r="3905" spans="1:14" ht="14.25" customHeight="1" thickBot="1" x14ac:dyDescent="0.3">
      <c r="A3905" s="603"/>
      <c r="B3905" s="604"/>
      <c r="C3905" s="604"/>
      <c r="D3905" s="604"/>
      <c r="E3905" s="604"/>
      <c r="F3905" s="605"/>
      <c r="G3905" s="81"/>
      <c r="H3905" s="81"/>
      <c r="I3905" s="81"/>
      <c r="J3905" s="81"/>
      <c r="K3905" s="81"/>
      <c r="L3905" s="81"/>
      <c r="M3905" s="81"/>
      <c r="N3905" s="81"/>
    </row>
    <row r="3906" spans="1:14" ht="14.25" customHeight="1" x14ac:dyDescent="0.25">
      <c r="A3906" s="88"/>
      <c r="B3906" s="88"/>
      <c r="C3906" s="89"/>
      <c r="D3906" s="89"/>
      <c r="E3906" s="89"/>
      <c r="F3906" s="89"/>
      <c r="G3906" s="81"/>
      <c r="H3906" s="81"/>
      <c r="I3906" s="81"/>
      <c r="J3906" s="81"/>
      <c r="K3906" s="81"/>
      <c r="L3906" s="81"/>
      <c r="M3906" s="81"/>
      <c r="N3906" s="81"/>
    </row>
    <row r="3907" spans="1:14" ht="23.25" customHeight="1" x14ac:dyDescent="0.25">
      <c r="A3907" s="90" t="s">
        <v>47</v>
      </c>
      <c r="B3907" s="613" t="s">
        <v>187</v>
      </c>
      <c r="C3907" s="600"/>
      <c r="D3907" s="600"/>
      <c r="E3907" s="600"/>
      <c r="F3907" s="600"/>
      <c r="G3907" s="81"/>
      <c r="H3907" s="81"/>
      <c r="I3907" s="81"/>
      <c r="J3907" s="81"/>
      <c r="K3907" s="81"/>
      <c r="L3907" s="81"/>
      <c r="M3907" s="81"/>
      <c r="N3907" s="81"/>
    </row>
    <row r="3908" spans="1:14" ht="14.25" customHeight="1" x14ac:dyDescent="0.25">
      <c r="A3908" s="91"/>
      <c r="B3908" s="91"/>
      <c r="C3908" s="91"/>
      <c r="D3908" s="91"/>
      <c r="E3908" s="91"/>
      <c r="F3908" s="91"/>
      <c r="G3908" s="81"/>
      <c r="H3908" s="81"/>
      <c r="I3908" s="81"/>
      <c r="J3908" s="81"/>
      <c r="K3908" s="81"/>
      <c r="L3908" s="81"/>
      <c r="M3908" s="81"/>
      <c r="N3908" s="81"/>
    </row>
    <row r="3909" spans="1:14" ht="14.25" customHeight="1" x14ac:dyDescent="0.25">
      <c r="A3909" s="88" t="s">
        <v>49</v>
      </c>
      <c r="B3909" s="92" t="s">
        <v>56</v>
      </c>
      <c r="C3909" s="89"/>
      <c r="D3909" s="89"/>
      <c r="E3909" s="89"/>
      <c r="F3909" s="93"/>
      <c r="G3909" s="81"/>
      <c r="H3909" s="81"/>
      <c r="I3909" s="81"/>
      <c r="J3909" s="81"/>
      <c r="K3909" s="81"/>
      <c r="L3909" s="81"/>
      <c r="M3909" s="81"/>
      <c r="N3909" s="81"/>
    </row>
    <row r="3910" spans="1:14" ht="14.25" customHeight="1" x14ac:dyDescent="0.25">
      <c r="A3910" s="88"/>
      <c r="B3910" s="94"/>
      <c r="C3910" s="89"/>
      <c r="D3910" s="89"/>
      <c r="E3910" s="89"/>
      <c r="F3910" s="93"/>
      <c r="G3910" s="81"/>
      <c r="H3910" s="81"/>
      <c r="I3910" s="81"/>
      <c r="J3910" s="81"/>
      <c r="K3910" s="81"/>
      <c r="L3910" s="81"/>
      <c r="M3910" s="81"/>
      <c r="N3910" s="81"/>
    </row>
    <row r="3911" spans="1:14" ht="14.25" customHeight="1" x14ac:dyDescent="0.25">
      <c r="A3911" s="95" t="s">
        <v>562</v>
      </c>
      <c r="B3911" s="96"/>
      <c r="C3911" s="92"/>
      <c r="D3911" s="92"/>
      <c r="E3911" s="92"/>
      <c r="F3911" s="92"/>
      <c r="G3911" s="81"/>
      <c r="H3911" s="81"/>
      <c r="I3911" s="81"/>
      <c r="J3911" s="81"/>
      <c r="K3911" s="81"/>
      <c r="L3911" s="81"/>
      <c r="M3911" s="81"/>
      <c r="N3911" s="81"/>
    </row>
    <row r="3912" spans="1:14" ht="14.25" customHeight="1" x14ac:dyDescent="0.25">
      <c r="A3912" s="97" t="s">
        <v>563</v>
      </c>
      <c r="B3912" s="98" t="s">
        <v>564</v>
      </c>
      <c r="C3912" s="98" t="s">
        <v>565</v>
      </c>
      <c r="D3912" s="98" t="s">
        <v>566</v>
      </c>
      <c r="E3912" s="98" t="s">
        <v>567</v>
      </c>
      <c r="F3912" s="98" t="s">
        <v>568</v>
      </c>
      <c r="G3912" s="81"/>
      <c r="H3912" s="81"/>
      <c r="I3912" s="81"/>
      <c r="J3912" s="81"/>
      <c r="K3912" s="81"/>
      <c r="L3912" s="81"/>
      <c r="M3912" s="81"/>
      <c r="N3912" s="81"/>
    </row>
    <row r="3913" spans="1:14" ht="14.25" customHeight="1" x14ac:dyDescent="0.25">
      <c r="A3913" s="99" t="s">
        <v>723</v>
      </c>
      <c r="B3913" s="100" t="s">
        <v>56</v>
      </c>
      <c r="C3913" s="101">
        <v>49635</v>
      </c>
      <c r="D3913" s="149">
        <v>1</v>
      </c>
      <c r="E3913" s="102">
        <v>0.05</v>
      </c>
      <c r="F3913" s="101">
        <f t="shared" ref="F3913:F3915" si="216">C3913*(D3913+(D3913*E3913))</f>
        <v>52116.75</v>
      </c>
      <c r="G3913" s="81"/>
      <c r="H3913" s="81"/>
      <c r="I3913" s="81"/>
      <c r="J3913" s="81"/>
      <c r="K3913" s="81"/>
      <c r="L3913" s="81"/>
      <c r="M3913" s="81"/>
      <c r="N3913" s="81"/>
    </row>
    <row r="3914" spans="1:14" ht="14.25" customHeight="1" x14ac:dyDescent="0.25">
      <c r="A3914" s="99" t="s">
        <v>721</v>
      </c>
      <c r="B3914" s="100" t="s">
        <v>117</v>
      </c>
      <c r="C3914" s="101">
        <v>2085</v>
      </c>
      <c r="D3914" s="149">
        <v>3</v>
      </c>
      <c r="E3914" s="102">
        <v>0.05</v>
      </c>
      <c r="F3914" s="101">
        <f t="shared" si="216"/>
        <v>6567.75</v>
      </c>
      <c r="G3914" s="81"/>
      <c r="H3914" s="143"/>
      <c r="I3914" s="81"/>
      <c r="J3914" s="81"/>
      <c r="K3914" s="81"/>
      <c r="L3914" s="81"/>
      <c r="M3914" s="81"/>
      <c r="N3914" s="81"/>
    </row>
    <row r="3915" spans="1:14" ht="14.25" customHeight="1" x14ac:dyDescent="0.25">
      <c r="A3915" s="99" t="s">
        <v>722</v>
      </c>
      <c r="B3915" s="100" t="s">
        <v>117</v>
      </c>
      <c r="C3915" s="101">
        <v>2350</v>
      </c>
      <c r="D3915" s="149">
        <v>0.75</v>
      </c>
      <c r="E3915" s="102">
        <v>0.05</v>
      </c>
      <c r="F3915" s="101">
        <f t="shared" si="216"/>
        <v>1850.625</v>
      </c>
      <c r="G3915" s="81"/>
      <c r="H3915" s="143"/>
      <c r="I3915" s="81"/>
      <c r="J3915" s="81"/>
      <c r="K3915" s="81"/>
      <c r="L3915" s="81"/>
      <c r="M3915" s="81"/>
      <c r="N3915" s="81"/>
    </row>
    <row r="3916" spans="1:14" ht="14.25" customHeight="1" x14ac:dyDescent="0.25">
      <c r="A3916" s="99"/>
      <c r="B3916" s="100"/>
      <c r="C3916" s="101"/>
      <c r="D3916" s="104"/>
      <c r="E3916" s="102"/>
      <c r="F3916" s="101"/>
      <c r="G3916" s="81"/>
      <c r="H3916" s="81"/>
      <c r="I3916" s="81"/>
      <c r="J3916" s="81"/>
      <c r="K3916" s="81"/>
      <c r="L3916" s="81"/>
      <c r="M3916" s="81"/>
      <c r="N3916" s="81"/>
    </row>
    <row r="3917" spans="1:14" ht="14.25" customHeight="1" x14ac:dyDescent="0.25">
      <c r="A3917" s="99"/>
      <c r="B3917" s="100"/>
      <c r="C3917" s="101"/>
      <c r="D3917" s="149"/>
      <c r="E3917" s="102"/>
      <c r="F3917" s="101"/>
      <c r="G3917" s="81"/>
      <c r="H3917" s="81"/>
      <c r="I3917" s="81"/>
      <c r="J3917" s="81"/>
      <c r="K3917" s="81"/>
      <c r="L3917" s="81"/>
      <c r="M3917" s="81"/>
      <c r="N3917" s="81"/>
    </row>
    <row r="3918" spans="1:14" ht="14.25" customHeight="1" x14ac:dyDescent="0.25">
      <c r="A3918" s="99"/>
      <c r="B3918" s="100"/>
      <c r="C3918" s="106"/>
      <c r="D3918" s="107"/>
      <c r="E3918" s="108"/>
      <c r="F3918" s="106"/>
      <c r="G3918" s="81"/>
      <c r="H3918" s="81"/>
      <c r="I3918" s="81"/>
      <c r="J3918" s="81"/>
      <c r="K3918" s="81"/>
      <c r="L3918" s="81"/>
      <c r="M3918" s="81"/>
      <c r="N3918" s="81"/>
    </row>
    <row r="3919" spans="1:14" ht="14.25" customHeight="1" x14ac:dyDescent="0.25">
      <c r="A3919" s="97" t="s">
        <v>548</v>
      </c>
      <c r="B3919" s="97"/>
      <c r="C3919" s="109"/>
      <c r="D3919" s="110"/>
      <c r="E3919" s="111"/>
      <c r="F3919" s="112">
        <f>SUM(F3913:F3918)</f>
        <v>60535.125</v>
      </c>
      <c r="G3919" s="81"/>
      <c r="H3919" s="81"/>
      <c r="I3919" s="81"/>
      <c r="J3919" s="81"/>
      <c r="K3919" s="81"/>
      <c r="L3919" s="81"/>
      <c r="M3919" s="81"/>
      <c r="N3919" s="81"/>
    </row>
    <row r="3920" spans="1:14" ht="14.25" customHeight="1" x14ac:dyDescent="0.25">
      <c r="A3920" s="88"/>
      <c r="B3920" s="88"/>
      <c r="C3920" s="113"/>
      <c r="D3920" s="113"/>
      <c r="E3920" s="114"/>
      <c r="F3920" s="113"/>
      <c r="G3920" s="81"/>
      <c r="H3920" s="81"/>
      <c r="I3920" s="81"/>
      <c r="J3920" s="81"/>
      <c r="K3920" s="81"/>
      <c r="L3920" s="81"/>
      <c r="M3920" s="81"/>
      <c r="N3920" s="81"/>
    </row>
    <row r="3921" spans="1:14" ht="14.25" customHeight="1" x14ac:dyDescent="0.25">
      <c r="A3921" s="96" t="s">
        <v>573</v>
      </c>
      <c r="B3921" s="96"/>
      <c r="C3921" s="92"/>
      <c r="D3921" s="92"/>
      <c r="E3921" s="92"/>
      <c r="F3921" s="92"/>
      <c r="G3921" s="81"/>
      <c r="H3921" s="81"/>
      <c r="I3921" s="81"/>
      <c r="J3921" s="81"/>
      <c r="K3921" s="81"/>
      <c r="L3921" s="81"/>
      <c r="M3921" s="81"/>
      <c r="N3921" s="81"/>
    </row>
    <row r="3922" spans="1:14" ht="14.25" customHeight="1" x14ac:dyDescent="0.25">
      <c r="A3922" s="611" t="s">
        <v>563</v>
      </c>
      <c r="B3922" s="608"/>
      <c r="C3922" s="609"/>
      <c r="D3922" s="98" t="s">
        <v>574</v>
      </c>
      <c r="E3922" s="98" t="s">
        <v>575</v>
      </c>
      <c r="F3922" s="98" t="s">
        <v>568</v>
      </c>
      <c r="G3922" s="81"/>
      <c r="H3922" s="81"/>
      <c r="I3922" s="81"/>
      <c r="J3922" s="81"/>
      <c r="K3922" s="81"/>
      <c r="L3922" s="81"/>
      <c r="M3922" s="81"/>
      <c r="N3922" s="81"/>
    </row>
    <row r="3923" spans="1:14" ht="14.25" customHeight="1" x14ac:dyDescent="0.25">
      <c r="A3923" s="607" t="s">
        <v>577</v>
      </c>
      <c r="B3923" s="608"/>
      <c r="C3923" s="609"/>
      <c r="D3923" s="116"/>
      <c r="E3923" s="107"/>
      <c r="F3923" s="106">
        <v>410</v>
      </c>
      <c r="G3923" s="81"/>
      <c r="H3923" s="81"/>
      <c r="I3923" s="81"/>
      <c r="J3923" s="81"/>
      <c r="K3923" s="81"/>
      <c r="L3923" s="81"/>
      <c r="M3923" s="81"/>
      <c r="N3923" s="81"/>
    </row>
    <row r="3924" spans="1:14" ht="14.25" customHeight="1" x14ac:dyDescent="0.25">
      <c r="A3924" s="607"/>
      <c r="B3924" s="608"/>
      <c r="C3924" s="609"/>
      <c r="D3924" s="142"/>
      <c r="E3924" s="107"/>
      <c r="F3924" s="106"/>
      <c r="G3924" s="81"/>
      <c r="H3924" s="81"/>
      <c r="I3924" s="81"/>
      <c r="J3924" s="81"/>
      <c r="K3924" s="81"/>
      <c r="L3924" s="81"/>
      <c r="M3924" s="81"/>
      <c r="N3924" s="81"/>
    </row>
    <row r="3925" spans="1:14" ht="14.25" customHeight="1" x14ac:dyDescent="0.25">
      <c r="A3925" s="607"/>
      <c r="B3925" s="608"/>
      <c r="C3925" s="609"/>
      <c r="D3925" s="142"/>
      <c r="E3925" s="107"/>
      <c r="F3925" s="106"/>
      <c r="G3925" s="81"/>
      <c r="H3925" s="81"/>
      <c r="I3925" s="81"/>
      <c r="J3925" s="81"/>
      <c r="K3925" s="81"/>
      <c r="L3925" s="81"/>
      <c r="M3925" s="81"/>
      <c r="N3925" s="81"/>
    </row>
    <row r="3926" spans="1:14" ht="14.25" customHeight="1" x14ac:dyDescent="0.25">
      <c r="A3926" s="607"/>
      <c r="B3926" s="608"/>
      <c r="C3926" s="609"/>
      <c r="D3926" s="142"/>
      <c r="E3926" s="107"/>
      <c r="F3926" s="106"/>
      <c r="G3926" s="81"/>
      <c r="H3926" s="81"/>
      <c r="I3926" s="81"/>
      <c r="J3926" s="81"/>
      <c r="K3926" s="81"/>
      <c r="L3926" s="81"/>
      <c r="M3926" s="81"/>
      <c r="N3926" s="81"/>
    </row>
    <row r="3927" spans="1:14" ht="14.25" customHeight="1" x14ac:dyDescent="0.25">
      <c r="A3927" s="610"/>
      <c r="B3927" s="608"/>
      <c r="C3927" s="609"/>
      <c r="D3927" s="115"/>
      <c r="E3927" s="107"/>
      <c r="F3927" s="106"/>
      <c r="G3927" s="81"/>
      <c r="H3927" s="81"/>
      <c r="I3927" s="81"/>
      <c r="J3927" s="81"/>
      <c r="K3927" s="81"/>
      <c r="L3927" s="81"/>
      <c r="M3927" s="81"/>
      <c r="N3927" s="81"/>
    </row>
    <row r="3928" spans="1:14" ht="14.25" customHeight="1" x14ac:dyDescent="0.25">
      <c r="A3928" s="611" t="s">
        <v>548</v>
      </c>
      <c r="B3928" s="608"/>
      <c r="C3928" s="609"/>
      <c r="D3928" s="110"/>
      <c r="E3928" s="110"/>
      <c r="F3928" s="112">
        <f>SUM(F3923:F3926)</f>
        <v>410</v>
      </c>
      <c r="G3928" s="81"/>
      <c r="H3928" s="81"/>
      <c r="I3928" s="81"/>
      <c r="J3928" s="81"/>
      <c r="K3928" s="81"/>
      <c r="L3928" s="81"/>
      <c r="M3928" s="81"/>
      <c r="N3928" s="81"/>
    </row>
    <row r="3929" spans="1:14" ht="14.25" customHeight="1" x14ac:dyDescent="0.25">
      <c r="A3929" s="88"/>
      <c r="B3929" s="88"/>
      <c r="C3929" s="89"/>
      <c r="D3929" s="113"/>
      <c r="E3929" s="113"/>
      <c r="F3929" s="113"/>
      <c r="G3929" s="81"/>
      <c r="H3929" s="81"/>
      <c r="I3929" s="81"/>
      <c r="J3929" s="81"/>
      <c r="K3929" s="81"/>
      <c r="L3929" s="81"/>
      <c r="M3929" s="81"/>
      <c r="N3929" s="81"/>
    </row>
    <row r="3930" spans="1:14" ht="14.25" customHeight="1" x14ac:dyDescent="0.25">
      <c r="A3930" s="96" t="s">
        <v>578</v>
      </c>
      <c r="B3930" s="96"/>
      <c r="C3930" s="92"/>
      <c r="D3930" s="118"/>
      <c r="E3930" s="118"/>
      <c r="F3930" s="118"/>
      <c r="G3930" s="81"/>
      <c r="H3930" s="81"/>
      <c r="I3930" s="81"/>
      <c r="J3930" s="81"/>
      <c r="K3930" s="81"/>
      <c r="L3930" s="81"/>
      <c r="M3930" s="81"/>
      <c r="N3930" s="81"/>
    </row>
    <row r="3931" spans="1:14" ht="14.25" customHeight="1" x14ac:dyDescent="0.25">
      <c r="A3931" s="119" t="s">
        <v>563</v>
      </c>
      <c r="B3931" s="120" t="s">
        <v>579</v>
      </c>
      <c r="C3931" s="120" t="s">
        <v>580</v>
      </c>
      <c r="D3931" s="121" t="s">
        <v>581</v>
      </c>
      <c r="E3931" s="121" t="s">
        <v>575</v>
      </c>
      <c r="F3931" s="121" t="s">
        <v>568</v>
      </c>
      <c r="G3931" s="81"/>
      <c r="H3931" s="81"/>
      <c r="I3931" s="81"/>
      <c r="J3931" s="81"/>
      <c r="K3931" s="81"/>
      <c r="L3931" s="81"/>
      <c r="M3931" s="81"/>
      <c r="N3931" s="81"/>
    </row>
    <row r="3932" spans="1:14" ht="14.25" customHeight="1" x14ac:dyDescent="0.25">
      <c r="A3932" s="122" t="s">
        <v>593</v>
      </c>
      <c r="B3932" s="127">
        <v>1</v>
      </c>
      <c r="C3932" s="101">
        <v>32688</v>
      </c>
      <c r="D3932" s="101">
        <f t="shared" ref="D3932:D3933" si="217">+C3932*1.7</f>
        <v>55569.599999999999</v>
      </c>
      <c r="E3932" s="107">
        <v>10</v>
      </c>
      <c r="F3932" s="106">
        <f t="shared" ref="F3932:F3933" si="218">+B3932*(D3932)/E3932</f>
        <v>5556.96</v>
      </c>
      <c r="G3932" s="81"/>
      <c r="H3932" s="81"/>
      <c r="I3932" s="81"/>
      <c r="J3932" s="81"/>
      <c r="K3932" s="81"/>
      <c r="L3932" s="81"/>
      <c r="M3932" s="81"/>
      <c r="N3932" s="81"/>
    </row>
    <row r="3933" spans="1:14" ht="14.25" customHeight="1" x14ac:dyDescent="0.25">
      <c r="A3933" s="122" t="s">
        <v>594</v>
      </c>
      <c r="B3933" s="127">
        <v>1</v>
      </c>
      <c r="C3933" s="101">
        <v>52538</v>
      </c>
      <c r="D3933" s="101">
        <f t="shared" si="217"/>
        <v>89314.599999999991</v>
      </c>
      <c r="E3933" s="107">
        <f>E3932</f>
        <v>10</v>
      </c>
      <c r="F3933" s="106">
        <f t="shared" si="218"/>
        <v>8931.4599999999991</v>
      </c>
      <c r="G3933" s="81"/>
      <c r="H3933" s="81"/>
      <c r="I3933" s="81"/>
      <c r="J3933" s="81"/>
      <c r="K3933" s="81"/>
      <c r="L3933" s="81"/>
      <c r="M3933" s="81"/>
      <c r="N3933" s="81"/>
    </row>
    <row r="3934" spans="1:14" ht="14.25" customHeight="1" x14ac:dyDescent="0.25">
      <c r="A3934" s="122"/>
      <c r="B3934" s="127"/>
      <c r="C3934" s="101"/>
      <c r="D3934" s="101"/>
      <c r="E3934" s="105"/>
      <c r="F3934" s="106"/>
      <c r="G3934" s="81"/>
      <c r="H3934" s="81"/>
      <c r="I3934" s="81"/>
      <c r="J3934" s="81"/>
      <c r="K3934" s="81"/>
      <c r="L3934" s="81"/>
      <c r="M3934" s="81"/>
      <c r="N3934" s="81"/>
    </row>
    <row r="3935" spans="1:14" ht="14.25" customHeight="1" x14ac:dyDescent="0.25">
      <c r="A3935" s="122"/>
      <c r="B3935" s="127"/>
      <c r="C3935" s="101"/>
      <c r="D3935" s="101"/>
      <c r="E3935" s="125"/>
      <c r="F3935" s="106"/>
      <c r="G3935" s="81"/>
      <c r="H3935" s="81"/>
      <c r="I3935" s="81"/>
      <c r="J3935" s="81"/>
      <c r="K3935" s="81"/>
      <c r="L3935" s="81"/>
      <c r="M3935" s="81"/>
      <c r="N3935" s="81"/>
    </row>
    <row r="3936" spans="1:14" ht="14.25" customHeight="1" x14ac:dyDescent="0.25">
      <c r="A3936" s="97" t="s">
        <v>548</v>
      </c>
      <c r="B3936" s="128"/>
      <c r="C3936" s="110"/>
      <c r="D3936" s="110"/>
      <c r="E3936" s="110"/>
      <c r="F3936" s="112">
        <f>SUM(F3932:F3935)</f>
        <v>14488.419999999998</v>
      </c>
      <c r="G3936" s="81"/>
      <c r="H3936" s="81"/>
      <c r="I3936" s="81"/>
      <c r="J3936" s="81"/>
      <c r="K3936" s="81"/>
      <c r="L3936" s="81"/>
      <c r="M3936" s="81"/>
      <c r="N3936" s="81"/>
    </row>
    <row r="3937" spans="1:14" ht="14.25" customHeight="1" x14ac:dyDescent="0.25">
      <c r="A3937" s="96"/>
      <c r="B3937" s="129"/>
      <c r="C3937" s="118"/>
      <c r="D3937" s="118"/>
      <c r="E3937" s="118"/>
      <c r="F3937" s="118"/>
      <c r="G3937" s="81"/>
      <c r="H3937" s="81"/>
      <c r="I3937" s="81"/>
      <c r="J3937" s="81"/>
      <c r="K3937" s="81"/>
      <c r="L3937" s="81"/>
      <c r="M3937" s="81"/>
      <c r="N3937" s="81"/>
    </row>
    <row r="3938" spans="1:14" ht="14.25" customHeight="1" x14ac:dyDescent="0.25">
      <c r="A3938" s="95" t="s">
        <v>583</v>
      </c>
      <c r="B3938" s="96"/>
      <c r="C3938" s="92"/>
      <c r="D3938" s="92"/>
      <c r="E3938" s="92" t="s">
        <v>584</v>
      </c>
      <c r="F3938" s="92"/>
      <c r="G3938" s="81"/>
      <c r="H3938" s="81"/>
      <c r="I3938" s="81"/>
      <c r="J3938" s="81"/>
      <c r="K3938" s="81"/>
      <c r="L3938" s="81"/>
      <c r="M3938" s="81"/>
      <c r="N3938" s="81"/>
    </row>
    <row r="3939" spans="1:14" ht="14.25" customHeight="1" x14ac:dyDescent="0.25">
      <c r="A3939" s="97" t="s">
        <v>563</v>
      </c>
      <c r="B3939" s="98" t="s">
        <v>564</v>
      </c>
      <c r="C3939" s="98" t="s">
        <v>585</v>
      </c>
      <c r="D3939" s="98" t="s">
        <v>586</v>
      </c>
      <c r="E3939" s="120" t="s">
        <v>587</v>
      </c>
      <c r="F3939" s="98" t="s">
        <v>568</v>
      </c>
      <c r="G3939" s="81"/>
      <c r="H3939" s="81"/>
      <c r="I3939" s="81"/>
      <c r="J3939" s="81"/>
      <c r="K3939" s="81"/>
      <c r="L3939" s="81"/>
      <c r="M3939" s="81"/>
      <c r="N3939" s="81"/>
    </row>
    <row r="3940" spans="1:14" ht="14.25" customHeight="1" x14ac:dyDescent="0.25">
      <c r="A3940" s="103"/>
      <c r="B3940" s="100"/>
      <c r="C3940" s="101"/>
      <c r="D3940" s="140"/>
      <c r="E3940" s="107"/>
      <c r="F3940" s="109"/>
      <c r="G3940" s="81"/>
      <c r="H3940" s="81"/>
      <c r="I3940" s="81"/>
      <c r="J3940" s="81"/>
      <c r="K3940" s="81"/>
      <c r="L3940" s="81"/>
      <c r="M3940" s="81"/>
      <c r="N3940" s="81"/>
    </row>
    <row r="3941" spans="1:14" ht="14.25" customHeight="1" x14ac:dyDescent="0.25">
      <c r="A3941" s="103"/>
      <c r="B3941" s="100"/>
      <c r="C3941" s="107"/>
      <c r="D3941" s="107"/>
      <c r="E3941" s="108"/>
      <c r="F3941" s="109"/>
      <c r="G3941" s="81"/>
      <c r="H3941" s="81"/>
      <c r="I3941" s="81"/>
      <c r="J3941" s="81"/>
      <c r="K3941" s="81"/>
      <c r="L3941" s="81"/>
      <c r="M3941" s="81"/>
      <c r="N3941" s="81"/>
    </row>
    <row r="3942" spans="1:14" ht="14.25" customHeight="1" x14ac:dyDescent="0.25">
      <c r="A3942" s="97" t="s">
        <v>548</v>
      </c>
      <c r="B3942" s="98"/>
      <c r="C3942" s="110"/>
      <c r="D3942" s="110"/>
      <c r="E3942" s="111"/>
      <c r="F3942" s="112">
        <f>SUM(F3940:F3941)</f>
        <v>0</v>
      </c>
      <c r="G3942" s="81"/>
      <c r="H3942" s="81"/>
      <c r="I3942" s="81"/>
      <c r="J3942" s="81"/>
      <c r="K3942" s="81"/>
      <c r="L3942" s="81"/>
      <c r="M3942" s="81"/>
      <c r="N3942" s="81"/>
    </row>
    <row r="3943" spans="1:14" ht="14.25" customHeight="1" x14ac:dyDescent="0.25">
      <c r="A3943" s="88"/>
      <c r="B3943" s="89"/>
      <c r="C3943" s="113"/>
      <c r="D3943" s="113"/>
      <c r="E3943" s="114"/>
      <c r="F3943" s="113"/>
      <c r="G3943" s="81"/>
      <c r="H3943" s="81"/>
      <c r="I3943" s="81"/>
      <c r="J3943" s="81"/>
      <c r="K3943" s="81"/>
      <c r="L3943" s="81"/>
      <c r="M3943" s="81"/>
      <c r="N3943" s="81"/>
    </row>
    <row r="3944" spans="1:14" ht="14.25" customHeight="1" x14ac:dyDescent="0.25">
      <c r="A3944" s="88"/>
      <c r="B3944" s="89"/>
      <c r="C3944" s="113"/>
      <c r="D3944" s="113"/>
      <c r="E3944" s="114"/>
      <c r="F3944" s="113"/>
      <c r="G3944" s="81"/>
      <c r="H3944" s="81"/>
      <c r="I3944" s="81"/>
      <c r="J3944" s="81"/>
      <c r="K3944" s="81"/>
      <c r="L3944" s="81"/>
      <c r="M3944" s="81"/>
      <c r="N3944" s="81"/>
    </row>
    <row r="3945" spans="1:14" ht="14.25" customHeight="1" x14ac:dyDescent="0.25">
      <c r="A3945" s="612" t="s">
        <v>588</v>
      </c>
      <c r="B3945" s="608"/>
      <c r="C3945" s="608"/>
      <c r="D3945" s="608"/>
      <c r="E3945" s="609"/>
      <c r="F3945" s="131">
        <f>ROUND(F3919+F3928+F3936+F3942,0)</f>
        <v>75434</v>
      </c>
      <c r="G3945" s="81"/>
      <c r="H3945" s="117">
        <f>75434-F3945</f>
        <v>0</v>
      </c>
      <c r="I3945" s="81"/>
      <c r="J3945" s="81"/>
      <c r="K3945" s="81"/>
      <c r="L3945" s="81"/>
      <c r="M3945" s="81"/>
      <c r="N3945" s="81"/>
    </row>
    <row r="3946" spans="1:14" ht="14.25" customHeight="1" x14ac:dyDescent="0.25">
      <c r="A3946" s="612" t="s">
        <v>589</v>
      </c>
      <c r="B3946" s="608"/>
      <c r="C3946" s="608"/>
      <c r="D3946" s="608"/>
      <c r="E3946" s="609"/>
      <c r="F3946" s="132"/>
      <c r="G3946" s="81"/>
      <c r="H3946" s="81"/>
      <c r="I3946" s="81"/>
      <c r="J3946" s="81"/>
      <c r="K3946" s="81"/>
      <c r="L3946" s="81"/>
      <c r="M3946" s="81"/>
      <c r="N3946" s="81"/>
    </row>
    <row r="3947" spans="1:14" ht="14.25" customHeight="1" x14ac:dyDescent="0.25">
      <c r="A3947" s="146" t="s">
        <v>556</v>
      </c>
      <c r="B3947" s="147"/>
      <c r="C3947" s="147"/>
      <c r="D3947" s="147"/>
      <c r="E3947" s="148"/>
      <c r="F3947" s="133"/>
      <c r="G3947" s="81"/>
      <c r="H3947" s="81"/>
      <c r="I3947" s="81"/>
      <c r="J3947" s="81"/>
      <c r="K3947" s="81"/>
      <c r="L3947" s="81"/>
      <c r="M3947" s="81"/>
      <c r="N3947" s="81"/>
    </row>
    <row r="3948" spans="1:14" ht="14.25" customHeight="1" x14ac:dyDescent="0.25">
      <c r="A3948" s="134"/>
      <c r="B3948" s="135"/>
      <c r="C3948" s="135"/>
      <c r="D3948" s="135"/>
      <c r="E3948" s="135"/>
      <c r="F3948" s="136"/>
      <c r="G3948" s="81"/>
      <c r="H3948" s="143"/>
      <c r="I3948" s="81"/>
      <c r="J3948" s="81"/>
      <c r="K3948" s="81"/>
      <c r="L3948" s="81"/>
      <c r="M3948" s="81"/>
      <c r="N3948" s="81"/>
    </row>
    <row r="3949" spans="1:14" ht="14.25" customHeight="1" x14ac:dyDescent="0.25">
      <c r="A3949" s="81"/>
      <c r="B3949" s="81"/>
      <c r="C3949" s="137"/>
      <c r="D3949" s="81"/>
      <c r="E3949" s="81"/>
      <c r="F3949" s="81"/>
      <c r="G3949" s="81"/>
      <c r="H3949" s="81"/>
      <c r="I3949" s="81"/>
      <c r="J3949" s="81"/>
      <c r="K3949" s="81"/>
      <c r="L3949" s="81"/>
      <c r="M3949" s="81"/>
      <c r="N3949" s="81"/>
    </row>
    <row r="3950" spans="1:14" ht="14.25" customHeight="1" x14ac:dyDescent="0.25">
      <c r="A3950" s="81"/>
      <c r="B3950" s="81"/>
      <c r="C3950" s="137"/>
      <c r="D3950" s="81"/>
      <c r="E3950" s="81"/>
      <c r="F3950" s="81"/>
      <c r="G3950" s="81"/>
      <c r="H3950" s="81"/>
      <c r="I3950" s="81"/>
      <c r="J3950" s="81"/>
      <c r="K3950" s="81"/>
      <c r="L3950" s="81"/>
      <c r="M3950" s="81"/>
      <c r="N3950" s="81"/>
    </row>
    <row r="3951" spans="1:14" ht="14.25" customHeight="1" x14ac:dyDescent="0.25">
      <c r="A3951" s="81"/>
      <c r="B3951" s="81"/>
      <c r="C3951" s="137"/>
      <c r="D3951" s="81"/>
      <c r="E3951" s="81"/>
      <c r="F3951" s="81"/>
      <c r="G3951" s="81"/>
      <c r="H3951" s="81"/>
      <c r="I3951" s="81"/>
      <c r="J3951" s="81"/>
      <c r="K3951" s="81"/>
      <c r="L3951" s="81"/>
      <c r="M3951" s="81"/>
      <c r="N3951" s="81"/>
    </row>
    <row r="3952" spans="1:14" ht="14.25" customHeight="1" x14ac:dyDescent="0.25">
      <c r="A3952" s="81"/>
      <c r="B3952" s="81"/>
      <c r="C3952" s="137"/>
      <c r="D3952" s="81"/>
      <c r="E3952" s="81"/>
      <c r="F3952" s="81"/>
      <c r="G3952" s="81"/>
      <c r="H3952" s="81"/>
      <c r="I3952" s="81"/>
      <c r="J3952" s="81"/>
      <c r="K3952" s="81"/>
      <c r="L3952" s="81"/>
      <c r="M3952" s="81"/>
      <c r="N3952" s="81"/>
    </row>
    <row r="3953" spans="1:14" ht="14.25" customHeight="1" x14ac:dyDescent="0.25">
      <c r="A3953" s="81"/>
      <c r="B3953" s="81"/>
      <c r="C3953" s="137"/>
      <c r="D3953" s="81"/>
      <c r="E3953" s="81"/>
      <c r="F3953" s="81"/>
      <c r="G3953" s="81"/>
      <c r="H3953" s="81"/>
      <c r="I3953" s="81"/>
      <c r="J3953" s="81"/>
      <c r="K3953" s="81"/>
      <c r="L3953" s="81"/>
      <c r="M3953" s="81"/>
      <c r="N3953" s="81"/>
    </row>
    <row r="3954" spans="1:14" ht="14.25" customHeight="1" x14ac:dyDescent="0.25">
      <c r="A3954" s="81"/>
      <c r="B3954" s="81"/>
      <c r="C3954" s="137"/>
      <c r="D3954" s="81"/>
      <c r="E3954" s="81"/>
      <c r="F3954" s="81"/>
      <c r="G3954" s="81"/>
      <c r="H3954" s="81"/>
      <c r="I3954" s="81"/>
      <c r="J3954" s="81"/>
      <c r="K3954" s="81"/>
      <c r="L3954" s="81"/>
      <c r="M3954" s="81"/>
      <c r="N3954" s="81"/>
    </row>
    <row r="3955" spans="1:14" ht="14.25" customHeight="1" x14ac:dyDescent="0.25">
      <c r="A3955" s="81"/>
      <c r="B3955" s="81"/>
      <c r="C3955" s="137"/>
      <c r="D3955" s="81"/>
      <c r="E3955" s="81"/>
      <c r="F3955" s="81"/>
      <c r="G3955" s="81"/>
      <c r="H3955" s="81"/>
      <c r="I3955" s="81"/>
      <c r="J3955" s="81"/>
      <c r="K3955" s="81"/>
      <c r="L3955" s="81"/>
      <c r="M3955" s="81"/>
      <c r="N3955" s="81"/>
    </row>
    <row r="3956" spans="1:14" ht="14.25" customHeight="1" thickBot="1" x14ac:dyDescent="0.3">
      <c r="A3956" s="81"/>
      <c r="B3956" s="81"/>
      <c r="C3956" s="81"/>
      <c r="D3956" s="81"/>
      <c r="E3956" s="81"/>
      <c r="F3956" s="81"/>
      <c r="G3956" s="81"/>
      <c r="H3956" s="81"/>
      <c r="I3956" s="81"/>
      <c r="J3956" s="81"/>
      <c r="K3956" s="81"/>
      <c r="L3956" s="81"/>
      <c r="M3956" s="81"/>
      <c r="N3956" s="81"/>
    </row>
    <row r="3957" spans="1:14" ht="14.25" customHeight="1" x14ac:dyDescent="0.25">
      <c r="A3957" s="83"/>
      <c r="B3957" s="84"/>
      <c r="C3957" s="85"/>
      <c r="D3957" s="86"/>
      <c r="E3957" s="86"/>
      <c r="F3957" s="87"/>
      <c r="G3957" s="81"/>
      <c r="H3957" s="81"/>
      <c r="I3957" s="81"/>
      <c r="J3957" s="81"/>
      <c r="K3957" s="81"/>
      <c r="L3957" s="81"/>
      <c r="M3957" s="81"/>
      <c r="N3957" s="81"/>
    </row>
    <row r="3958" spans="1:14" ht="14.25" customHeight="1" x14ac:dyDescent="0.25">
      <c r="A3958" s="599"/>
      <c r="B3958" s="600"/>
      <c r="C3958" s="600"/>
      <c r="D3958" s="600"/>
      <c r="E3958" s="600"/>
      <c r="F3958" s="601"/>
      <c r="G3958" s="81"/>
      <c r="H3958" s="81"/>
      <c r="I3958" s="81"/>
      <c r="J3958" s="81"/>
      <c r="K3958" s="81"/>
      <c r="L3958" s="81"/>
      <c r="M3958" s="81"/>
      <c r="N3958" s="81"/>
    </row>
    <row r="3959" spans="1:14" ht="14.25" customHeight="1" x14ac:dyDescent="0.25">
      <c r="A3959" s="602" t="s">
        <v>561</v>
      </c>
      <c r="B3959" s="600"/>
      <c r="C3959" s="600"/>
      <c r="D3959" s="600"/>
      <c r="E3959" s="600"/>
      <c r="F3959" s="601"/>
      <c r="G3959" s="81"/>
      <c r="H3959" s="81"/>
      <c r="I3959" s="81"/>
      <c r="J3959" s="81"/>
      <c r="K3959" s="81"/>
      <c r="L3959" s="81"/>
      <c r="M3959" s="81"/>
      <c r="N3959" s="81"/>
    </row>
    <row r="3960" spans="1:14" ht="14.25" customHeight="1" thickBot="1" x14ac:dyDescent="0.3">
      <c r="A3960" s="603"/>
      <c r="B3960" s="604"/>
      <c r="C3960" s="604"/>
      <c r="D3960" s="604"/>
      <c r="E3960" s="604"/>
      <c r="F3960" s="605"/>
      <c r="G3960" s="81"/>
      <c r="H3960" s="81"/>
      <c r="I3960" s="81"/>
      <c r="J3960" s="81"/>
      <c r="K3960" s="81"/>
      <c r="L3960" s="81"/>
      <c r="M3960" s="81"/>
      <c r="N3960" s="81"/>
    </row>
    <row r="3961" spans="1:14" ht="14.25" customHeight="1" x14ac:dyDescent="0.25">
      <c r="A3961" s="88"/>
      <c r="B3961" s="88"/>
      <c r="C3961" s="89"/>
      <c r="D3961" s="89"/>
      <c r="E3961" s="89"/>
      <c r="F3961" s="89"/>
      <c r="G3961" s="81"/>
      <c r="H3961" s="81"/>
      <c r="I3961" s="81"/>
      <c r="J3961" s="81"/>
      <c r="K3961" s="81"/>
      <c r="L3961" s="81"/>
      <c r="M3961" s="81"/>
      <c r="N3961" s="81"/>
    </row>
    <row r="3962" spans="1:14" ht="14.25" customHeight="1" x14ac:dyDescent="0.25">
      <c r="A3962" s="90" t="s">
        <v>47</v>
      </c>
      <c r="B3962" s="613" t="s">
        <v>193</v>
      </c>
      <c r="C3962" s="600"/>
      <c r="D3962" s="600"/>
      <c r="E3962" s="600"/>
      <c r="F3962" s="600"/>
      <c r="G3962" s="81"/>
      <c r="H3962" s="81"/>
      <c r="I3962" s="81"/>
      <c r="J3962" s="81"/>
      <c r="K3962" s="81"/>
      <c r="L3962" s="81"/>
      <c r="M3962" s="81"/>
      <c r="N3962" s="81"/>
    </row>
    <row r="3963" spans="1:14" ht="14.25" customHeight="1" x14ac:dyDescent="0.25">
      <c r="A3963" s="91"/>
      <c r="B3963" s="91"/>
      <c r="C3963" s="91"/>
      <c r="D3963" s="91"/>
      <c r="E3963" s="91"/>
      <c r="F3963" s="91"/>
      <c r="G3963" s="81"/>
      <c r="H3963" s="81"/>
      <c r="I3963" s="81"/>
      <c r="J3963" s="81"/>
      <c r="K3963" s="81"/>
      <c r="L3963" s="81"/>
      <c r="M3963" s="81"/>
      <c r="N3963" s="81"/>
    </row>
    <row r="3964" spans="1:14" ht="14.25" customHeight="1" x14ac:dyDescent="0.25">
      <c r="A3964" s="88" t="s">
        <v>49</v>
      </c>
      <c r="B3964" s="92" t="s">
        <v>59</v>
      </c>
      <c r="C3964" s="89"/>
      <c r="D3964" s="89"/>
      <c r="E3964" s="89"/>
      <c r="F3964" s="93"/>
      <c r="G3964" s="81"/>
      <c r="H3964" s="81"/>
      <c r="I3964" s="81"/>
      <c r="J3964" s="81"/>
      <c r="K3964" s="81"/>
      <c r="L3964" s="81"/>
      <c r="M3964" s="81"/>
      <c r="N3964" s="81"/>
    </row>
    <row r="3965" spans="1:14" ht="14.25" customHeight="1" x14ac:dyDescent="0.25">
      <c r="A3965" s="88"/>
      <c r="B3965" s="94"/>
      <c r="C3965" s="89"/>
      <c r="D3965" s="89"/>
      <c r="E3965" s="89"/>
      <c r="F3965" s="93"/>
      <c r="G3965" s="81"/>
      <c r="H3965" s="81"/>
      <c r="I3965" s="81"/>
      <c r="J3965" s="81"/>
      <c r="K3965" s="81"/>
      <c r="L3965" s="81"/>
      <c r="M3965" s="81"/>
      <c r="N3965" s="81"/>
    </row>
    <row r="3966" spans="1:14" ht="14.25" customHeight="1" x14ac:dyDescent="0.25">
      <c r="A3966" s="95" t="s">
        <v>562</v>
      </c>
      <c r="B3966" s="96"/>
      <c r="C3966" s="92"/>
      <c r="D3966" s="92"/>
      <c r="E3966" s="92"/>
      <c r="F3966" s="92"/>
      <c r="G3966" s="81"/>
      <c r="H3966" s="81"/>
      <c r="I3966" s="81"/>
      <c r="J3966" s="81"/>
      <c r="K3966" s="81"/>
      <c r="L3966" s="81"/>
      <c r="M3966" s="81"/>
      <c r="N3966" s="81"/>
    </row>
    <row r="3967" spans="1:14" ht="14.25" customHeight="1" x14ac:dyDescent="0.25">
      <c r="A3967" s="97" t="s">
        <v>563</v>
      </c>
      <c r="B3967" s="98" t="s">
        <v>564</v>
      </c>
      <c r="C3967" s="98" t="s">
        <v>565</v>
      </c>
      <c r="D3967" s="98" t="s">
        <v>566</v>
      </c>
      <c r="E3967" s="98" t="s">
        <v>567</v>
      </c>
      <c r="F3967" s="98" t="s">
        <v>568</v>
      </c>
      <c r="G3967" s="81"/>
      <c r="H3967" s="81"/>
      <c r="I3967" s="81"/>
      <c r="J3967" s="81"/>
      <c r="K3967" s="81"/>
      <c r="L3967" s="81"/>
      <c r="M3967" s="81"/>
      <c r="N3967" s="81"/>
    </row>
    <row r="3968" spans="1:14" ht="25.5" x14ac:dyDescent="0.25">
      <c r="A3968" s="99" t="s">
        <v>569</v>
      </c>
      <c r="B3968" s="100" t="s">
        <v>99</v>
      </c>
      <c r="C3968" s="101">
        <v>18000</v>
      </c>
      <c r="D3968" s="100">
        <v>0.02</v>
      </c>
      <c r="E3968" s="102">
        <v>0.05</v>
      </c>
      <c r="F3968" s="101">
        <f t="shared" ref="F3968:F3970" si="219">C3968*(D3968+(D3968*E3968))</f>
        <v>378</v>
      </c>
      <c r="G3968" s="81"/>
      <c r="H3968" s="81"/>
      <c r="I3968" s="81"/>
      <c r="J3968" s="81"/>
      <c r="K3968" s="81"/>
      <c r="L3968" s="81"/>
      <c r="M3968" s="81"/>
      <c r="N3968" s="81"/>
    </row>
    <row r="3969" spans="1:14" ht="14.25" customHeight="1" x14ac:dyDescent="0.25">
      <c r="A3969" s="103" t="s">
        <v>570</v>
      </c>
      <c r="B3969" s="100" t="s">
        <v>571</v>
      </c>
      <c r="C3969" s="101">
        <v>3800</v>
      </c>
      <c r="D3969" s="104">
        <v>0.01</v>
      </c>
      <c r="E3969" s="102">
        <v>0.05</v>
      </c>
      <c r="F3969" s="101">
        <f t="shared" si="219"/>
        <v>39.900000000000006</v>
      </c>
      <c r="G3969" s="81"/>
      <c r="H3969" s="81"/>
      <c r="I3969" s="81"/>
      <c r="J3969" s="81"/>
      <c r="K3969" s="81"/>
      <c r="L3969" s="81"/>
      <c r="M3969" s="81"/>
      <c r="N3969" s="81"/>
    </row>
    <row r="3970" spans="1:14" ht="14.25" customHeight="1" x14ac:dyDescent="0.25">
      <c r="A3970" s="103" t="s">
        <v>572</v>
      </c>
      <c r="B3970" s="100" t="s">
        <v>99</v>
      </c>
      <c r="C3970" s="101">
        <v>20000</v>
      </c>
      <c r="D3970" s="104">
        <v>0.02</v>
      </c>
      <c r="E3970" s="102">
        <v>0.05</v>
      </c>
      <c r="F3970" s="101">
        <f t="shared" si="219"/>
        <v>420</v>
      </c>
      <c r="G3970" s="81"/>
      <c r="H3970" s="81"/>
      <c r="I3970" s="81"/>
      <c r="J3970" s="81"/>
      <c r="K3970" s="81"/>
      <c r="L3970" s="81"/>
      <c r="M3970" s="81"/>
      <c r="N3970" s="81"/>
    </row>
    <row r="3971" spans="1:14" ht="14.25" customHeight="1" x14ac:dyDescent="0.25">
      <c r="A3971" s="103"/>
      <c r="B3971" s="100"/>
      <c r="C3971" s="101"/>
      <c r="D3971" s="104"/>
      <c r="E3971" s="102"/>
      <c r="F3971" s="101"/>
      <c r="G3971" s="81"/>
      <c r="H3971" s="81"/>
      <c r="I3971" s="81"/>
      <c r="J3971" s="81"/>
      <c r="K3971" s="81"/>
      <c r="L3971" s="81"/>
      <c r="M3971" s="81"/>
      <c r="N3971" s="81"/>
    </row>
    <row r="3972" spans="1:14" ht="14.25" customHeight="1" x14ac:dyDescent="0.25">
      <c r="A3972" s="103"/>
      <c r="B3972" s="100"/>
      <c r="C3972" s="101"/>
      <c r="D3972" s="105"/>
      <c r="E3972" s="102"/>
      <c r="F3972" s="101"/>
      <c r="G3972" s="81"/>
      <c r="H3972" s="81"/>
      <c r="I3972" s="81"/>
      <c r="J3972" s="81"/>
      <c r="K3972" s="81"/>
      <c r="L3972" s="81"/>
      <c r="M3972" s="81"/>
      <c r="N3972" s="81"/>
    </row>
    <row r="3973" spans="1:14" ht="14.25" customHeight="1" x14ac:dyDescent="0.25">
      <c r="A3973" s="99"/>
      <c r="B3973" s="100"/>
      <c r="C3973" s="106"/>
      <c r="D3973" s="107"/>
      <c r="E3973" s="108"/>
      <c r="F3973" s="106"/>
      <c r="G3973" s="81"/>
      <c r="H3973" s="81"/>
      <c r="I3973" s="81"/>
      <c r="J3973" s="81"/>
      <c r="K3973" s="81"/>
      <c r="L3973" s="81"/>
      <c r="M3973" s="81"/>
      <c r="N3973" s="81"/>
    </row>
    <row r="3974" spans="1:14" ht="14.25" customHeight="1" x14ac:dyDescent="0.25">
      <c r="A3974" s="97" t="s">
        <v>548</v>
      </c>
      <c r="B3974" s="97"/>
      <c r="C3974" s="109"/>
      <c r="D3974" s="110"/>
      <c r="E3974" s="111"/>
      <c r="F3974" s="112">
        <f>SUM(F3968:F3973)</f>
        <v>837.9</v>
      </c>
      <c r="G3974" s="81"/>
      <c r="H3974" s="81"/>
      <c r="I3974" s="81"/>
      <c r="J3974" s="81"/>
      <c r="K3974" s="81"/>
      <c r="L3974" s="81"/>
      <c r="M3974" s="81"/>
      <c r="N3974" s="81"/>
    </row>
    <row r="3975" spans="1:14" ht="14.25" customHeight="1" x14ac:dyDescent="0.25">
      <c r="A3975" s="88"/>
      <c r="B3975" s="88"/>
      <c r="C3975" s="113"/>
      <c r="D3975" s="113"/>
      <c r="E3975" s="114"/>
      <c r="F3975" s="113"/>
      <c r="G3975" s="81"/>
      <c r="H3975" s="81"/>
      <c r="I3975" s="81"/>
      <c r="J3975" s="81"/>
      <c r="K3975" s="81"/>
      <c r="L3975" s="81"/>
      <c r="M3975" s="81"/>
      <c r="N3975" s="81"/>
    </row>
    <row r="3976" spans="1:14" ht="14.25" customHeight="1" x14ac:dyDescent="0.25">
      <c r="A3976" s="96" t="s">
        <v>573</v>
      </c>
      <c r="B3976" s="96"/>
      <c r="C3976" s="92"/>
      <c r="D3976" s="92"/>
      <c r="E3976" s="92"/>
      <c r="F3976" s="92"/>
      <c r="G3976" s="81"/>
      <c r="H3976" s="81"/>
      <c r="I3976" s="81"/>
      <c r="J3976" s="81"/>
      <c r="K3976" s="81"/>
      <c r="L3976" s="81"/>
      <c r="M3976" s="81"/>
      <c r="N3976" s="81"/>
    </row>
    <row r="3977" spans="1:14" ht="14.25" customHeight="1" x14ac:dyDescent="0.25">
      <c r="A3977" s="611" t="s">
        <v>563</v>
      </c>
      <c r="B3977" s="608"/>
      <c r="C3977" s="609"/>
      <c r="D3977" s="98" t="s">
        <v>574</v>
      </c>
      <c r="E3977" s="98" t="s">
        <v>575</v>
      </c>
      <c r="F3977" s="98" t="s">
        <v>568</v>
      </c>
      <c r="G3977" s="81"/>
      <c r="H3977" s="81"/>
      <c r="I3977" s="81"/>
      <c r="J3977" s="81"/>
      <c r="K3977" s="81"/>
      <c r="L3977" s="81"/>
      <c r="M3977" s="81"/>
      <c r="N3977" s="81"/>
    </row>
    <row r="3978" spans="1:14" ht="14.25" customHeight="1" x14ac:dyDescent="0.25">
      <c r="A3978" s="607" t="s">
        <v>576</v>
      </c>
      <c r="B3978" s="608"/>
      <c r="C3978" s="609"/>
      <c r="D3978" s="115">
        <v>18500</v>
      </c>
      <c r="E3978" s="107">
        <v>40</v>
      </c>
      <c r="F3978" s="106">
        <f>D3978/E3978</f>
        <v>462.5</v>
      </c>
      <c r="G3978" s="81"/>
      <c r="H3978" s="81"/>
      <c r="I3978" s="81"/>
      <c r="J3978" s="81"/>
      <c r="K3978" s="81"/>
      <c r="L3978" s="81"/>
      <c r="M3978" s="81"/>
      <c r="N3978" s="81"/>
    </row>
    <row r="3979" spans="1:14" ht="14.25" customHeight="1" x14ac:dyDescent="0.25">
      <c r="A3979" s="607" t="s">
        <v>577</v>
      </c>
      <c r="B3979" s="608"/>
      <c r="C3979" s="609"/>
      <c r="D3979" s="116"/>
      <c r="E3979" s="107"/>
      <c r="F3979" s="106">
        <f>+F3989*5%</f>
        <v>57.45929018789144</v>
      </c>
      <c r="G3979" s="81"/>
      <c r="H3979" s="81"/>
      <c r="I3979" s="81"/>
      <c r="J3979" s="81"/>
      <c r="K3979" s="81"/>
      <c r="L3979" s="81"/>
      <c r="M3979" s="81"/>
      <c r="N3979" s="81"/>
    </row>
    <row r="3980" spans="1:14" ht="14.25" customHeight="1" x14ac:dyDescent="0.25">
      <c r="A3980" s="610"/>
      <c r="B3980" s="608"/>
      <c r="C3980" s="609"/>
      <c r="D3980" s="115"/>
      <c r="E3980" s="107"/>
      <c r="F3980" s="106"/>
      <c r="G3980" s="81"/>
      <c r="H3980" s="81"/>
      <c r="I3980" s="81"/>
      <c r="J3980" s="81"/>
      <c r="K3980" s="81"/>
      <c r="L3980" s="81"/>
      <c r="M3980" s="81"/>
      <c r="N3980" s="81"/>
    </row>
    <row r="3981" spans="1:14" ht="14.25" customHeight="1" x14ac:dyDescent="0.25">
      <c r="A3981" s="611" t="s">
        <v>548</v>
      </c>
      <c r="B3981" s="608"/>
      <c r="C3981" s="609"/>
      <c r="D3981" s="110"/>
      <c r="E3981" s="110"/>
      <c r="F3981" s="112">
        <f>SUM(F3978)</f>
        <v>462.5</v>
      </c>
      <c r="G3981" s="81"/>
      <c r="H3981" s="81"/>
      <c r="I3981" s="81"/>
      <c r="J3981" s="81"/>
      <c r="K3981" s="81"/>
      <c r="L3981" s="81"/>
      <c r="M3981" s="81"/>
      <c r="N3981" s="81"/>
    </row>
    <row r="3982" spans="1:14" ht="14.25" customHeight="1" x14ac:dyDescent="0.25">
      <c r="A3982" s="88"/>
      <c r="B3982" s="88"/>
      <c r="C3982" s="89"/>
      <c r="D3982" s="113"/>
      <c r="E3982" s="113"/>
      <c r="F3982" s="113"/>
      <c r="G3982" s="81"/>
      <c r="H3982" s="81"/>
      <c r="I3982" s="81"/>
      <c r="J3982" s="81"/>
      <c r="K3982" s="81"/>
      <c r="L3982" s="81"/>
      <c r="M3982" s="81"/>
      <c r="N3982" s="81"/>
    </row>
    <row r="3983" spans="1:14" ht="14.25" customHeight="1" x14ac:dyDescent="0.25">
      <c r="A3983" s="96" t="s">
        <v>578</v>
      </c>
      <c r="B3983" s="96"/>
      <c r="C3983" s="92"/>
      <c r="D3983" s="118"/>
      <c r="E3983" s="118"/>
      <c r="F3983" s="118"/>
      <c r="G3983" s="81"/>
      <c r="H3983" s="81"/>
      <c r="I3983" s="81"/>
      <c r="J3983" s="81"/>
      <c r="K3983" s="81"/>
      <c r="L3983" s="81"/>
      <c r="M3983" s="81"/>
      <c r="N3983" s="81"/>
    </row>
    <row r="3984" spans="1:14" ht="14.25" customHeight="1" x14ac:dyDescent="0.25">
      <c r="A3984" s="119" t="s">
        <v>563</v>
      </c>
      <c r="B3984" s="120" t="s">
        <v>579</v>
      </c>
      <c r="C3984" s="120" t="s">
        <v>580</v>
      </c>
      <c r="D3984" s="121" t="s">
        <v>581</v>
      </c>
      <c r="E3984" s="121" t="s">
        <v>575</v>
      </c>
      <c r="F3984" s="121" t="s">
        <v>568</v>
      </c>
      <c r="G3984" s="81"/>
      <c r="H3984" s="81"/>
      <c r="I3984" s="81"/>
      <c r="J3984" s="81"/>
      <c r="K3984" s="81"/>
      <c r="L3984" s="81"/>
      <c r="M3984" s="81"/>
      <c r="N3984" s="81"/>
    </row>
    <row r="3985" spans="1:14" ht="14.25" customHeight="1" x14ac:dyDescent="0.25">
      <c r="A3985" s="122" t="s">
        <v>582</v>
      </c>
      <c r="B3985" s="100">
        <v>1</v>
      </c>
      <c r="C3985" s="123">
        <v>485700</v>
      </c>
      <c r="D3985" s="124">
        <f>+C3985*B3985*1.7</f>
        <v>825690</v>
      </c>
      <c r="E3985" s="125">
        <v>718.5</v>
      </c>
      <c r="F3985" s="106">
        <f>+D3985/E3985</f>
        <v>1149.1858037578288</v>
      </c>
      <c r="G3985" s="81"/>
      <c r="H3985" s="81"/>
      <c r="I3985" s="81"/>
      <c r="J3985" s="81"/>
      <c r="K3985" s="81"/>
      <c r="L3985" s="81"/>
      <c r="M3985" s="81"/>
      <c r="N3985" s="81"/>
    </row>
    <row r="3986" spans="1:14" ht="14.25" customHeight="1" x14ac:dyDescent="0.25">
      <c r="A3986" s="122"/>
      <c r="B3986" s="126"/>
      <c r="C3986" s="123"/>
      <c r="D3986" s="124"/>
      <c r="E3986" s="125"/>
      <c r="F3986" s="106"/>
      <c r="G3986" s="81"/>
      <c r="H3986" s="81"/>
      <c r="I3986" s="81"/>
      <c r="J3986" s="81"/>
      <c r="K3986" s="81"/>
      <c r="L3986" s="81"/>
      <c r="M3986" s="81"/>
      <c r="N3986" s="81"/>
    </row>
    <row r="3987" spans="1:14" ht="14.25" customHeight="1" x14ac:dyDescent="0.25">
      <c r="A3987" s="122"/>
      <c r="B3987" s="127"/>
      <c r="C3987" s="101"/>
      <c r="D3987" s="101"/>
      <c r="E3987" s="107"/>
      <c r="F3987" s="106"/>
      <c r="G3987" s="81"/>
      <c r="H3987" s="81"/>
      <c r="I3987" s="81"/>
      <c r="J3987" s="81"/>
      <c r="K3987" s="81"/>
      <c r="L3987" s="81"/>
      <c r="M3987" s="81"/>
      <c r="N3987" s="81"/>
    </row>
    <row r="3988" spans="1:14" ht="14.25" customHeight="1" x14ac:dyDescent="0.25">
      <c r="A3988" s="122"/>
      <c r="B3988" s="127"/>
      <c r="C3988" s="101"/>
      <c r="D3988" s="101"/>
      <c r="E3988" s="125"/>
      <c r="F3988" s="106"/>
      <c r="G3988" s="81"/>
      <c r="H3988" s="81"/>
      <c r="I3988" s="81"/>
      <c r="J3988" s="81"/>
      <c r="K3988" s="81"/>
      <c r="L3988" s="81"/>
      <c r="M3988" s="81"/>
      <c r="N3988" s="81"/>
    </row>
    <row r="3989" spans="1:14" ht="14.25" customHeight="1" x14ac:dyDescent="0.25">
      <c r="A3989" s="97" t="s">
        <v>548</v>
      </c>
      <c r="B3989" s="128"/>
      <c r="C3989" s="110"/>
      <c r="D3989" s="110"/>
      <c r="E3989" s="110"/>
      <c r="F3989" s="112">
        <f>SUM(F3985:F3988)</f>
        <v>1149.1858037578288</v>
      </c>
      <c r="G3989" s="81"/>
      <c r="H3989" s="81"/>
      <c r="I3989" s="81"/>
      <c r="J3989" s="81"/>
      <c r="K3989" s="81"/>
      <c r="L3989" s="81"/>
      <c r="M3989" s="81"/>
      <c r="N3989" s="81"/>
    </row>
    <row r="3990" spans="1:14" ht="14.25" customHeight="1" x14ac:dyDescent="0.25">
      <c r="A3990" s="96"/>
      <c r="B3990" s="129"/>
      <c r="C3990" s="118"/>
      <c r="D3990" s="118"/>
      <c r="E3990" s="118"/>
      <c r="F3990" s="118"/>
      <c r="G3990" s="81"/>
      <c r="H3990" s="81"/>
      <c r="I3990" s="81"/>
      <c r="J3990" s="81"/>
      <c r="K3990" s="81"/>
      <c r="L3990" s="81"/>
      <c r="M3990" s="81"/>
      <c r="N3990" s="81"/>
    </row>
    <row r="3991" spans="1:14" ht="14.25" customHeight="1" x14ac:dyDescent="0.25">
      <c r="A3991" s="95" t="s">
        <v>583</v>
      </c>
      <c r="B3991" s="96"/>
      <c r="C3991" s="92"/>
      <c r="D3991" s="92"/>
      <c r="E3991" s="92" t="s">
        <v>584</v>
      </c>
      <c r="F3991" s="92"/>
      <c r="G3991" s="81"/>
      <c r="H3991" s="81"/>
      <c r="I3991" s="81"/>
      <c r="J3991" s="81"/>
      <c r="K3991" s="81"/>
      <c r="L3991" s="81"/>
      <c r="M3991" s="81"/>
      <c r="N3991" s="81"/>
    </row>
    <row r="3992" spans="1:14" ht="14.25" customHeight="1" x14ac:dyDescent="0.25">
      <c r="A3992" s="97" t="s">
        <v>563</v>
      </c>
      <c r="B3992" s="98" t="s">
        <v>564</v>
      </c>
      <c r="C3992" s="98" t="s">
        <v>585</v>
      </c>
      <c r="D3992" s="98" t="s">
        <v>586</v>
      </c>
      <c r="E3992" s="120" t="s">
        <v>587</v>
      </c>
      <c r="F3992" s="98" t="s">
        <v>568</v>
      </c>
      <c r="G3992" s="81"/>
      <c r="H3992" s="81"/>
      <c r="I3992" s="81"/>
      <c r="J3992" s="81"/>
      <c r="K3992" s="81"/>
      <c r="L3992" s="81"/>
      <c r="M3992" s="81"/>
      <c r="N3992" s="81"/>
    </row>
    <row r="3993" spans="1:14" ht="14.25" customHeight="1" x14ac:dyDescent="0.25">
      <c r="A3993" s="103"/>
      <c r="B3993" s="100"/>
      <c r="C3993" s="101"/>
      <c r="D3993" s="130"/>
      <c r="E3993" s="107"/>
      <c r="F3993" s="109">
        <f>+C3993*D3993*E3993</f>
        <v>0</v>
      </c>
      <c r="G3993" s="81"/>
      <c r="H3993" s="81"/>
      <c r="I3993" s="81"/>
      <c r="J3993" s="81"/>
      <c r="K3993" s="81"/>
      <c r="L3993" s="81"/>
      <c r="M3993" s="81"/>
      <c r="N3993" s="81"/>
    </row>
    <row r="3994" spans="1:14" ht="14.25" customHeight="1" x14ac:dyDescent="0.25">
      <c r="A3994" s="103"/>
      <c r="B3994" s="100"/>
      <c r="C3994" s="107"/>
      <c r="D3994" s="107"/>
      <c r="E3994" s="108"/>
      <c r="F3994" s="109"/>
      <c r="G3994" s="81"/>
      <c r="H3994" s="81"/>
      <c r="I3994" s="81"/>
      <c r="J3994" s="81"/>
      <c r="K3994" s="81"/>
      <c r="L3994" s="81"/>
      <c r="M3994" s="81"/>
      <c r="N3994" s="81"/>
    </row>
    <row r="3995" spans="1:14" ht="14.25" customHeight="1" x14ac:dyDescent="0.25">
      <c r="A3995" s="97" t="s">
        <v>548</v>
      </c>
      <c r="B3995" s="98"/>
      <c r="C3995" s="110"/>
      <c r="D3995" s="110"/>
      <c r="E3995" s="111"/>
      <c r="F3995" s="112">
        <f>SUM(F3993:F3994)</f>
        <v>0</v>
      </c>
      <c r="G3995" s="81"/>
      <c r="H3995" s="81"/>
      <c r="I3995" s="81"/>
      <c r="J3995" s="81"/>
      <c r="K3995" s="81"/>
      <c r="L3995" s="81"/>
      <c r="M3995" s="81"/>
      <c r="N3995" s="81"/>
    </row>
    <row r="3996" spans="1:14" ht="14.25" customHeight="1" x14ac:dyDescent="0.25">
      <c r="A3996" s="88"/>
      <c r="B3996" s="89"/>
      <c r="C3996" s="113"/>
      <c r="D3996" s="113"/>
      <c r="E3996" s="114"/>
      <c r="F3996" s="113"/>
      <c r="G3996" s="81"/>
      <c r="H3996" s="81"/>
      <c r="I3996" s="81"/>
      <c r="J3996" s="81"/>
      <c r="K3996" s="81"/>
      <c r="L3996" s="81"/>
      <c r="M3996" s="81"/>
      <c r="N3996" s="81"/>
    </row>
    <row r="3997" spans="1:14" ht="14.25" customHeight="1" x14ac:dyDescent="0.25">
      <c r="A3997" s="88"/>
      <c r="B3997" s="89"/>
      <c r="C3997" s="113"/>
      <c r="D3997" s="113"/>
      <c r="E3997" s="114"/>
      <c r="F3997" s="113"/>
      <c r="G3997" s="81"/>
      <c r="H3997" s="81"/>
      <c r="I3997" s="81"/>
      <c r="J3997" s="81"/>
      <c r="K3997" s="81"/>
      <c r="L3997" s="81"/>
      <c r="M3997" s="81"/>
      <c r="N3997" s="81"/>
    </row>
    <row r="3998" spans="1:14" ht="14.25" customHeight="1" x14ac:dyDescent="0.25">
      <c r="A3998" s="612" t="s">
        <v>588</v>
      </c>
      <c r="B3998" s="608"/>
      <c r="C3998" s="608"/>
      <c r="D3998" s="608"/>
      <c r="E3998" s="609"/>
      <c r="F3998" s="131">
        <f>ROUND(F3974+F3981+F3989+F3995,0)</f>
        <v>2450</v>
      </c>
      <c r="G3998" s="81"/>
      <c r="H3998" s="117"/>
      <c r="I3998" s="81"/>
      <c r="J3998" s="81"/>
      <c r="K3998" s="81"/>
      <c r="L3998" s="81"/>
      <c r="M3998" s="81"/>
      <c r="N3998" s="81"/>
    </row>
    <row r="3999" spans="1:14" ht="14.25" customHeight="1" x14ac:dyDescent="0.25">
      <c r="A3999" s="612" t="s">
        <v>589</v>
      </c>
      <c r="B3999" s="608"/>
      <c r="C3999" s="608"/>
      <c r="D3999" s="608"/>
      <c r="E3999" s="609"/>
      <c r="F3999" s="132"/>
      <c r="G3999" s="81"/>
      <c r="H3999" s="81"/>
      <c r="I3999" s="81"/>
      <c r="J3999" s="81"/>
      <c r="K3999" s="81"/>
      <c r="L3999" s="81"/>
      <c r="M3999" s="81"/>
      <c r="N3999" s="81"/>
    </row>
    <row r="4000" spans="1:14" ht="14.25" customHeight="1" x14ac:dyDescent="0.25">
      <c r="A4000" s="612" t="s">
        <v>556</v>
      </c>
      <c r="B4000" s="608"/>
      <c r="C4000" s="608"/>
      <c r="D4000" s="608"/>
      <c r="E4000" s="609"/>
      <c r="F4000" s="133"/>
      <c r="G4000" s="81"/>
      <c r="H4000" s="81"/>
      <c r="I4000" s="81"/>
      <c r="J4000" s="81"/>
      <c r="K4000" s="81"/>
      <c r="L4000" s="81"/>
      <c r="M4000" s="81"/>
      <c r="N4000" s="81"/>
    </row>
    <row r="4001" spans="1:14" ht="14.25" customHeight="1" x14ac:dyDescent="0.25">
      <c r="A4001" s="134"/>
      <c r="B4001" s="135"/>
      <c r="C4001" s="135"/>
      <c r="D4001" s="135"/>
      <c r="E4001" s="135"/>
      <c r="F4001" s="136"/>
      <c r="G4001" s="81"/>
      <c r="H4001" s="81"/>
      <c r="I4001" s="81"/>
      <c r="J4001" s="81"/>
      <c r="K4001" s="81"/>
      <c r="L4001" s="81"/>
      <c r="M4001" s="81"/>
      <c r="N4001" s="81"/>
    </row>
    <row r="4002" spans="1:14" ht="14.25" customHeight="1" x14ac:dyDescent="0.25">
      <c r="A4002" s="134"/>
      <c r="B4002" s="135"/>
      <c r="C4002" s="135"/>
      <c r="D4002" s="135"/>
      <c r="E4002" s="135"/>
      <c r="F4002" s="136"/>
      <c r="G4002" s="81"/>
      <c r="H4002" s="81"/>
      <c r="I4002" s="81"/>
      <c r="J4002" s="81"/>
      <c r="K4002" s="81"/>
      <c r="L4002" s="81"/>
      <c r="M4002" s="81"/>
      <c r="N4002" s="81"/>
    </row>
    <row r="4003" spans="1:14" ht="14.25" customHeight="1" x14ac:dyDescent="0.25">
      <c r="A4003" s="134"/>
      <c r="B4003" s="135"/>
      <c r="C4003" s="135"/>
      <c r="D4003" s="135"/>
      <c r="E4003" s="135"/>
      <c r="F4003" s="136"/>
      <c r="G4003" s="81"/>
      <c r="H4003" s="81"/>
      <c r="I4003" s="81"/>
      <c r="J4003" s="81"/>
      <c r="K4003" s="81"/>
      <c r="L4003" s="81"/>
      <c r="M4003" s="81"/>
      <c r="N4003" s="81"/>
    </row>
    <row r="4004" spans="1:14" ht="14.25" customHeight="1" x14ac:dyDescent="0.25">
      <c r="A4004" s="134"/>
      <c r="B4004" s="135"/>
      <c r="C4004" s="135"/>
      <c r="D4004" s="135"/>
      <c r="E4004" s="135"/>
      <c r="F4004" s="136"/>
      <c r="G4004" s="81"/>
      <c r="H4004" s="81"/>
      <c r="I4004" s="81"/>
      <c r="J4004" s="81"/>
      <c r="K4004" s="81"/>
      <c r="L4004" s="81"/>
      <c r="M4004" s="81"/>
      <c r="N4004" s="81"/>
    </row>
    <row r="4005" spans="1:14" ht="14.25" customHeight="1" x14ac:dyDescent="0.25">
      <c r="A4005" s="134"/>
      <c r="B4005" s="135"/>
      <c r="C4005" s="135"/>
      <c r="D4005" s="135"/>
      <c r="E4005" s="135"/>
      <c r="F4005" s="136"/>
      <c r="G4005" s="81"/>
      <c r="H4005" s="81"/>
      <c r="I4005" s="81"/>
      <c r="J4005" s="81"/>
      <c r="K4005" s="81"/>
      <c r="L4005" s="81"/>
      <c r="M4005" s="81"/>
      <c r="N4005" s="81"/>
    </row>
    <row r="4006" spans="1:14" ht="14.25" customHeight="1" x14ac:dyDescent="0.25">
      <c r="A4006" s="81"/>
      <c r="B4006" s="81"/>
      <c r="C4006" s="137"/>
      <c r="D4006" s="81"/>
      <c r="E4006" s="81"/>
      <c r="F4006" s="81"/>
      <c r="G4006" s="81"/>
      <c r="H4006" s="81"/>
      <c r="I4006" s="81"/>
      <c r="J4006" s="81"/>
      <c r="K4006" s="81"/>
      <c r="L4006" s="81"/>
      <c r="M4006" s="81"/>
      <c r="N4006" s="81"/>
    </row>
    <row r="4007" spans="1:14" ht="14.25" customHeight="1" x14ac:dyDescent="0.25">
      <c r="A4007" s="81"/>
      <c r="B4007" s="81"/>
      <c r="C4007" s="137"/>
      <c r="D4007" s="81"/>
      <c r="E4007" s="81"/>
      <c r="F4007" s="81"/>
      <c r="G4007" s="81"/>
      <c r="H4007" s="81"/>
      <c r="I4007" s="81"/>
      <c r="J4007" s="81"/>
      <c r="K4007" s="81"/>
      <c r="L4007" s="81"/>
      <c r="M4007" s="81"/>
      <c r="N4007" s="81"/>
    </row>
    <row r="4008" spans="1:14" ht="14.25" customHeight="1" x14ac:dyDescent="0.25">
      <c r="A4008" s="81"/>
      <c r="B4008" s="81"/>
      <c r="C4008" s="137"/>
      <c r="D4008" s="81"/>
      <c r="E4008" s="81"/>
      <c r="F4008" s="81"/>
      <c r="G4008" s="81"/>
      <c r="H4008" s="81"/>
      <c r="I4008" s="81"/>
      <c r="J4008" s="81"/>
      <c r="K4008" s="81"/>
      <c r="L4008" s="81"/>
      <c r="M4008" s="81"/>
      <c r="N4008" s="81"/>
    </row>
    <row r="4009" spans="1:14" ht="14.25" customHeight="1" x14ac:dyDescent="0.25">
      <c r="A4009" s="81"/>
      <c r="B4009" s="81"/>
      <c r="C4009" s="137"/>
      <c r="D4009" s="81"/>
      <c r="E4009" s="81"/>
      <c r="F4009" s="81"/>
      <c r="G4009" s="81"/>
      <c r="H4009" s="81"/>
      <c r="I4009" s="81"/>
      <c r="J4009" s="81"/>
      <c r="K4009" s="81"/>
      <c r="L4009" s="81"/>
      <c r="M4009" s="81"/>
      <c r="N4009" s="81"/>
    </row>
    <row r="4010" spans="1:14" ht="14.25" customHeight="1" thickBot="1" x14ac:dyDescent="0.3">
      <c r="A4010" s="81"/>
      <c r="B4010" s="81"/>
      <c r="C4010" s="81"/>
      <c r="D4010" s="81"/>
      <c r="E4010" s="81"/>
      <c r="F4010" s="81"/>
      <c r="G4010" s="81"/>
      <c r="H4010" s="81"/>
      <c r="I4010" s="81"/>
      <c r="J4010" s="81"/>
      <c r="K4010" s="81"/>
      <c r="L4010" s="81"/>
      <c r="M4010" s="81"/>
      <c r="N4010" s="81"/>
    </row>
    <row r="4011" spans="1:14" ht="14.25" customHeight="1" x14ac:dyDescent="0.25">
      <c r="A4011" s="83"/>
      <c r="B4011" s="84"/>
      <c r="C4011" s="85"/>
      <c r="D4011" s="86"/>
      <c r="E4011" s="86"/>
      <c r="F4011" s="87"/>
      <c r="G4011" s="81"/>
      <c r="H4011" s="81"/>
      <c r="I4011" s="81"/>
      <c r="J4011" s="81"/>
      <c r="K4011" s="81"/>
      <c r="L4011" s="81"/>
      <c r="M4011" s="81"/>
      <c r="N4011" s="81"/>
    </row>
    <row r="4012" spans="1:14" ht="14.25" customHeight="1" x14ac:dyDescent="0.25">
      <c r="A4012" s="599"/>
      <c r="B4012" s="600"/>
      <c r="C4012" s="600"/>
      <c r="D4012" s="600"/>
      <c r="E4012" s="600"/>
      <c r="F4012" s="601"/>
      <c r="G4012" s="81"/>
      <c r="H4012" s="81"/>
      <c r="I4012" s="81"/>
      <c r="J4012" s="81"/>
      <c r="K4012" s="81"/>
      <c r="L4012" s="81"/>
      <c r="M4012" s="81"/>
      <c r="N4012" s="81"/>
    </row>
    <row r="4013" spans="1:14" ht="14.25" customHeight="1" x14ac:dyDescent="0.25">
      <c r="A4013" s="602" t="s">
        <v>561</v>
      </c>
      <c r="B4013" s="600"/>
      <c r="C4013" s="600"/>
      <c r="D4013" s="600"/>
      <c r="E4013" s="600"/>
      <c r="F4013" s="601"/>
      <c r="G4013" s="81"/>
      <c r="H4013" s="81"/>
      <c r="I4013" s="81"/>
      <c r="J4013" s="81"/>
      <c r="K4013" s="81"/>
      <c r="L4013" s="81"/>
      <c r="M4013" s="81"/>
      <c r="N4013" s="81"/>
    </row>
    <row r="4014" spans="1:14" ht="14.25" customHeight="1" thickBot="1" x14ac:dyDescent="0.3">
      <c r="A4014" s="603"/>
      <c r="B4014" s="604"/>
      <c r="C4014" s="604"/>
      <c r="D4014" s="604"/>
      <c r="E4014" s="604"/>
      <c r="F4014" s="605"/>
      <c r="G4014" s="81"/>
      <c r="H4014" s="81"/>
      <c r="I4014" s="81"/>
      <c r="J4014" s="81"/>
      <c r="K4014" s="81"/>
      <c r="L4014" s="81"/>
      <c r="M4014" s="81"/>
      <c r="N4014" s="81"/>
    </row>
    <row r="4015" spans="1:14" ht="14.25" customHeight="1" x14ac:dyDescent="0.25">
      <c r="A4015" s="88"/>
      <c r="B4015" s="88"/>
      <c r="C4015" s="89"/>
      <c r="D4015" s="89"/>
      <c r="E4015" s="89"/>
      <c r="F4015" s="89"/>
      <c r="G4015" s="81"/>
      <c r="H4015" s="81"/>
      <c r="I4015" s="81"/>
      <c r="J4015" s="81"/>
      <c r="K4015" s="81"/>
      <c r="L4015" s="81"/>
      <c r="M4015" s="81"/>
      <c r="N4015" s="81"/>
    </row>
    <row r="4016" spans="1:14" ht="14.25" customHeight="1" x14ac:dyDescent="0.25">
      <c r="A4016" s="90" t="s">
        <v>47</v>
      </c>
      <c r="B4016" s="613" t="s">
        <v>197</v>
      </c>
      <c r="C4016" s="600"/>
      <c r="D4016" s="600"/>
      <c r="E4016" s="600"/>
      <c r="F4016" s="600"/>
      <c r="G4016" s="81"/>
      <c r="H4016" s="81"/>
      <c r="I4016" s="81"/>
      <c r="J4016" s="81"/>
      <c r="K4016" s="81"/>
      <c r="L4016" s="81"/>
      <c r="M4016" s="81"/>
      <c r="N4016" s="81"/>
    </row>
    <row r="4017" spans="1:14" ht="14.25" customHeight="1" x14ac:dyDescent="0.25">
      <c r="A4017" s="91"/>
      <c r="B4017" s="91"/>
      <c r="C4017" s="91"/>
      <c r="D4017" s="91"/>
      <c r="E4017" s="91"/>
      <c r="F4017" s="91"/>
      <c r="G4017" s="81"/>
      <c r="H4017" s="81"/>
      <c r="I4017" s="81"/>
      <c r="J4017" s="81"/>
      <c r="K4017" s="81"/>
      <c r="L4017" s="81"/>
      <c r="M4017" s="81"/>
      <c r="N4017" s="81"/>
    </row>
    <row r="4018" spans="1:14" ht="14.25" customHeight="1" x14ac:dyDescent="0.25">
      <c r="A4018" s="88" t="s">
        <v>49</v>
      </c>
      <c r="B4018" s="92" t="s">
        <v>59</v>
      </c>
      <c r="C4018" s="89"/>
      <c r="D4018" s="89"/>
      <c r="E4018" s="89"/>
      <c r="F4018" s="93"/>
      <c r="G4018" s="81"/>
      <c r="H4018" s="81"/>
      <c r="I4018" s="81"/>
      <c r="J4018" s="81"/>
      <c r="K4018" s="81"/>
      <c r="L4018" s="81"/>
      <c r="M4018" s="81"/>
      <c r="N4018" s="81"/>
    </row>
    <row r="4019" spans="1:14" ht="14.25" customHeight="1" x14ac:dyDescent="0.25">
      <c r="A4019" s="88"/>
      <c r="B4019" s="94"/>
      <c r="C4019" s="89"/>
      <c r="D4019" s="89"/>
      <c r="E4019" s="89"/>
      <c r="F4019" s="93"/>
      <c r="G4019" s="81"/>
      <c r="H4019" s="81"/>
      <c r="I4019" s="81"/>
      <c r="J4019" s="81"/>
      <c r="K4019" s="81"/>
      <c r="L4019" s="81"/>
      <c r="M4019" s="81"/>
      <c r="N4019" s="81"/>
    </row>
    <row r="4020" spans="1:14" ht="14.25" customHeight="1" x14ac:dyDescent="0.25">
      <c r="A4020" s="95" t="s">
        <v>562</v>
      </c>
      <c r="B4020" s="96"/>
      <c r="C4020" s="92"/>
      <c r="D4020" s="92"/>
      <c r="E4020" s="92"/>
      <c r="F4020" s="92"/>
      <c r="G4020" s="81"/>
      <c r="H4020" s="81"/>
      <c r="I4020" s="81"/>
      <c r="J4020" s="81"/>
      <c r="K4020" s="81"/>
      <c r="L4020" s="81"/>
      <c r="M4020" s="81"/>
      <c r="N4020" s="81"/>
    </row>
    <row r="4021" spans="1:14" ht="14.25" customHeight="1" x14ac:dyDescent="0.25">
      <c r="A4021" s="97" t="s">
        <v>563</v>
      </c>
      <c r="B4021" s="98" t="s">
        <v>564</v>
      </c>
      <c r="C4021" s="98" t="s">
        <v>565</v>
      </c>
      <c r="D4021" s="98" t="s">
        <v>566</v>
      </c>
      <c r="E4021" s="98" t="s">
        <v>567</v>
      </c>
      <c r="F4021" s="98" t="s">
        <v>568</v>
      </c>
      <c r="G4021" s="81"/>
      <c r="H4021" s="81"/>
      <c r="I4021" s="81"/>
      <c r="J4021" s="81"/>
      <c r="K4021" s="81"/>
      <c r="L4021" s="81"/>
      <c r="M4021" s="81"/>
      <c r="N4021" s="81"/>
    </row>
    <row r="4022" spans="1:14" ht="14.25" customHeight="1" x14ac:dyDescent="0.25">
      <c r="A4022" s="99" t="s">
        <v>621</v>
      </c>
      <c r="B4022" s="100" t="s">
        <v>59</v>
      </c>
      <c r="C4022" s="101">
        <v>17500</v>
      </c>
      <c r="D4022" s="149">
        <v>1</v>
      </c>
      <c r="E4022" s="102">
        <v>0.05</v>
      </c>
      <c r="F4022" s="101">
        <f t="shared" ref="F4022:F4025" si="220">C4022*(D4022+(D4022*E4022))</f>
        <v>18375</v>
      </c>
      <c r="G4022" s="81"/>
      <c r="H4022" s="81"/>
      <c r="I4022" s="81"/>
      <c r="J4022" s="81"/>
      <c r="K4022" s="81"/>
      <c r="L4022" s="81"/>
      <c r="M4022" s="81"/>
      <c r="N4022" s="81"/>
    </row>
    <row r="4023" spans="1:14" ht="14.25" customHeight="1" x14ac:dyDescent="0.25">
      <c r="A4023" s="99" t="s">
        <v>625</v>
      </c>
      <c r="B4023" s="100" t="s">
        <v>99</v>
      </c>
      <c r="C4023" s="101">
        <v>3300</v>
      </c>
      <c r="D4023" s="149">
        <v>0.25</v>
      </c>
      <c r="E4023" s="102"/>
      <c r="F4023" s="101">
        <f t="shared" si="220"/>
        <v>825</v>
      </c>
      <c r="G4023" s="81"/>
      <c r="H4023" s="81"/>
      <c r="I4023" s="81"/>
      <c r="J4023" s="81"/>
      <c r="K4023" s="81"/>
      <c r="L4023" s="81"/>
      <c r="M4023" s="81"/>
      <c r="N4023" s="81"/>
    </row>
    <row r="4024" spans="1:14" ht="14.25" customHeight="1" x14ac:dyDescent="0.25">
      <c r="A4024" s="99" t="s">
        <v>622</v>
      </c>
      <c r="B4024" s="100" t="s">
        <v>99</v>
      </c>
      <c r="C4024" s="101">
        <v>85900</v>
      </c>
      <c r="D4024" s="149">
        <v>3.5000000000000003E-2</v>
      </c>
      <c r="E4024" s="102">
        <v>0.05</v>
      </c>
      <c r="F4024" s="101">
        <f t="shared" si="220"/>
        <v>3156.8250000000003</v>
      </c>
      <c r="G4024" s="81"/>
      <c r="H4024" s="81"/>
      <c r="I4024" s="81"/>
      <c r="J4024" s="81"/>
      <c r="K4024" s="81"/>
      <c r="L4024" s="81"/>
      <c r="M4024" s="81"/>
      <c r="N4024" s="81"/>
    </row>
    <row r="4025" spans="1:14" ht="14.25" customHeight="1" x14ac:dyDescent="0.25">
      <c r="A4025" s="103" t="s">
        <v>632</v>
      </c>
      <c r="B4025" s="100" t="s">
        <v>99</v>
      </c>
      <c r="C4025" s="101">
        <v>35000</v>
      </c>
      <c r="D4025" s="149">
        <v>0.02</v>
      </c>
      <c r="E4025" s="102">
        <v>0.05</v>
      </c>
      <c r="F4025" s="101">
        <f t="shared" si="220"/>
        <v>735</v>
      </c>
      <c r="G4025" s="81"/>
      <c r="H4025" s="81"/>
      <c r="I4025" s="81"/>
      <c r="J4025" s="81"/>
      <c r="K4025" s="81"/>
      <c r="L4025" s="81"/>
      <c r="M4025" s="81"/>
      <c r="N4025" s="81"/>
    </row>
    <row r="4026" spans="1:14" ht="14.25" customHeight="1" x14ac:dyDescent="0.25">
      <c r="A4026" s="103"/>
      <c r="B4026" s="100"/>
      <c r="C4026" s="101"/>
      <c r="D4026" s="105"/>
      <c r="E4026" s="102"/>
      <c r="F4026" s="101"/>
      <c r="G4026" s="81"/>
      <c r="H4026" s="81"/>
      <c r="I4026" s="81"/>
      <c r="J4026" s="81"/>
      <c r="K4026" s="81"/>
      <c r="L4026" s="81"/>
      <c r="M4026" s="81"/>
      <c r="N4026" s="81"/>
    </row>
    <row r="4027" spans="1:14" ht="14.25" customHeight="1" x14ac:dyDescent="0.25">
      <c r="A4027" s="99"/>
      <c r="B4027" s="100"/>
      <c r="C4027" s="106"/>
      <c r="D4027" s="107"/>
      <c r="E4027" s="108"/>
      <c r="F4027" s="106"/>
      <c r="G4027" s="81"/>
      <c r="H4027" s="81"/>
      <c r="I4027" s="81"/>
      <c r="J4027" s="81"/>
      <c r="K4027" s="81"/>
      <c r="L4027" s="81"/>
      <c r="M4027" s="81"/>
      <c r="N4027" s="81"/>
    </row>
    <row r="4028" spans="1:14" ht="14.25" customHeight="1" x14ac:dyDescent="0.25">
      <c r="A4028" s="97" t="s">
        <v>548</v>
      </c>
      <c r="B4028" s="97"/>
      <c r="C4028" s="109"/>
      <c r="D4028" s="110"/>
      <c r="E4028" s="111"/>
      <c r="F4028" s="112">
        <f>SUM(F4022:F4027)</f>
        <v>23091.825000000001</v>
      </c>
      <c r="G4028" s="81"/>
      <c r="H4028" s="81"/>
      <c r="I4028" s="81"/>
      <c r="J4028" s="81"/>
      <c r="K4028" s="81"/>
      <c r="L4028" s="81"/>
      <c r="M4028" s="81"/>
      <c r="N4028" s="81"/>
    </row>
    <row r="4029" spans="1:14" ht="14.25" customHeight="1" x14ac:dyDescent="0.25">
      <c r="A4029" s="88"/>
      <c r="B4029" s="88"/>
      <c r="C4029" s="113"/>
      <c r="D4029" s="113"/>
      <c r="E4029" s="114"/>
      <c r="F4029" s="113"/>
      <c r="G4029" s="81"/>
      <c r="H4029" s="81"/>
      <c r="I4029" s="81"/>
      <c r="J4029" s="81"/>
      <c r="K4029" s="81"/>
      <c r="L4029" s="81"/>
      <c r="M4029" s="81"/>
      <c r="N4029" s="81"/>
    </row>
    <row r="4030" spans="1:14" ht="14.25" customHeight="1" x14ac:dyDescent="0.25">
      <c r="A4030" s="96" t="s">
        <v>573</v>
      </c>
      <c r="B4030" s="96"/>
      <c r="C4030" s="92"/>
      <c r="D4030" s="92"/>
      <c r="E4030" s="92"/>
      <c r="F4030" s="92"/>
      <c r="G4030" s="81"/>
      <c r="H4030" s="81"/>
      <c r="I4030" s="81"/>
      <c r="J4030" s="81"/>
      <c r="K4030" s="81"/>
      <c r="L4030" s="81"/>
      <c r="M4030" s="81"/>
      <c r="N4030" s="81"/>
    </row>
    <row r="4031" spans="1:14" ht="14.25" customHeight="1" x14ac:dyDescent="0.25">
      <c r="A4031" s="611" t="s">
        <v>563</v>
      </c>
      <c r="B4031" s="608"/>
      <c r="C4031" s="609"/>
      <c r="D4031" s="98" t="s">
        <v>574</v>
      </c>
      <c r="E4031" s="98" t="s">
        <v>575</v>
      </c>
      <c r="F4031" s="98" t="s">
        <v>568</v>
      </c>
      <c r="G4031" s="81"/>
      <c r="H4031" s="81"/>
      <c r="I4031" s="81"/>
      <c r="J4031" s="81"/>
      <c r="K4031" s="81"/>
      <c r="L4031" s="81"/>
      <c r="M4031" s="81"/>
      <c r="N4031" s="81"/>
    </row>
    <row r="4032" spans="1:14" ht="14.25" customHeight="1" x14ac:dyDescent="0.25">
      <c r="A4032" s="607" t="s">
        <v>577</v>
      </c>
      <c r="B4032" s="608"/>
      <c r="C4032" s="609"/>
      <c r="D4032" s="116"/>
      <c r="E4032" s="107"/>
      <c r="F4032" s="106">
        <f>+F4043*5%</f>
        <v>487.03845636681456</v>
      </c>
      <c r="G4032" s="81"/>
      <c r="H4032" s="81"/>
      <c r="I4032" s="81"/>
      <c r="J4032" s="81"/>
      <c r="K4032" s="81"/>
      <c r="L4032" s="81"/>
      <c r="M4032" s="81"/>
      <c r="N4032" s="81"/>
    </row>
    <row r="4033" spans="1:14" ht="14.25" customHeight="1" x14ac:dyDescent="0.25">
      <c r="A4033" s="607"/>
      <c r="B4033" s="608"/>
      <c r="C4033" s="609"/>
      <c r="D4033" s="116"/>
      <c r="E4033" s="107"/>
      <c r="F4033" s="106"/>
      <c r="G4033" s="81"/>
      <c r="H4033" s="81"/>
      <c r="I4033" s="81"/>
      <c r="J4033" s="81"/>
      <c r="K4033" s="81"/>
      <c r="L4033" s="81"/>
      <c r="M4033" s="81"/>
      <c r="N4033" s="81"/>
    </row>
    <row r="4034" spans="1:14" ht="14.25" customHeight="1" x14ac:dyDescent="0.25">
      <c r="A4034" s="610"/>
      <c r="B4034" s="608"/>
      <c r="C4034" s="609"/>
      <c r="D4034" s="115"/>
      <c r="E4034" s="107"/>
      <c r="F4034" s="106"/>
      <c r="G4034" s="81"/>
      <c r="H4034" s="81"/>
      <c r="I4034" s="81"/>
      <c r="J4034" s="81"/>
      <c r="K4034" s="81"/>
      <c r="L4034" s="81"/>
      <c r="M4034" s="81"/>
      <c r="N4034" s="81"/>
    </row>
    <row r="4035" spans="1:14" ht="14.25" customHeight="1" x14ac:dyDescent="0.25">
      <c r="A4035" s="611" t="s">
        <v>548</v>
      </c>
      <c r="B4035" s="608"/>
      <c r="C4035" s="609"/>
      <c r="D4035" s="110"/>
      <c r="E4035" s="110"/>
      <c r="F4035" s="112">
        <f>SUM(F4032)</f>
        <v>487.03845636681456</v>
      </c>
      <c r="G4035" s="81"/>
      <c r="H4035" s="81"/>
      <c r="I4035" s="81"/>
      <c r="J4035" s="81"/>
      <c r="K4035" s="81"/>
      <c r="L4035" s="81"/>
      <c r="M4035" s="81"/>
      <c r="N4035" s="81"/>
    </row>
    <row r="4036" spans="1:14" ht="14.25" customHeight="1" x14ac:dyDescent="0.25">
      <c r="A4036" s="88"/>
      <c r="B4036" s="88"/>
      <c r="C4036" s="89"/>
      <c r="D4036" s="113"/>
      <c r="E4036" s="113"/>
      <c r="F4036" s="113"/>
      <c r="G4036" s="81"/>
      <c r="H4036" s="81"/>
      <c r="I4036" s="81"/>
      <c r="J4036" s="81"/>
      <c r="K4036" s="81"/>
      <c r="L4036" s="81"/>
      <c r="M4036" s="81"/>
      <c r="N4036" s="81"/>
    </row>
    <row r="4037" spans="1:14" ht="14.25" customHeight="1" x14ac:dyDescent="0.25">
      <c r="A4037" s="96" t="s">
        <v>578</v>
      </c>
      <c r="B4037" s="96"/>
      <c r="C4037" s="92"/>
      <c r="D4037" s="118"/>
      <c r="E4037" s="118"/>
      <c r="F4037" s="118"/>
      <c r="G4037" s="81"/>
      <c r="H4037" s="81"/>
      <c r="I4037" s="81"/>
      <c r="J4037" s="81"/>
      <c r="K4037" s="81"/>
      <c r="L4037" s="81"/>
      <c r="M4037" s="81"/>
      <c r="N4037" s="81"/>
    </row>
    <row r="4038" spans="1:14" ht="14.25" customHeight="1" x14ac:dyDescent="0.25">
      <c r="A4038" s="119" t="s">
        <v>563</v>
      </c>
      <c r="B4038" s="120" t="s">
        <v>579</v>
      </c>
      <c r="C4038" s="120" t="s">
        <v>580</v>
      </c>
      <c r="D4038" s="121" t="s">
        <v>581</v>
      </c>
      <c r="E4038" s="121" t="s">
        <v>575</v>
      </c>
      <c r="F4038" s="121" t="s">
        <v>568</v>
      </c>
      <c r="G4038" s="81"/>
      <c r="H4038" s="81"/>
      <c r="I4038" s="81"/>
      <c r="J4038" s="81"/>
      <c r="K4038" s="81"/>
      <c r="L4038" s="81"/>
      <c r="M4038" s="81"/>
      <c r="N4038" s="81"/>
    </row>
    <row r="4039" spans="1:14" ht="14.25" customHeight="1" x14ac:dyDescent="0.25">
      <c r="A4039" s="122" t="s">
        <v>593</v>
      </c>
      <c r="B4039" s="127">
        <v>1</v>
      </c>
      <c r="C4039" s="101">
        <v>32688</v>
      </c>
      <c r="D4039" s="101">
        <f t="shared" ref="D4039:D4040" si="221">+C4039*1.7</f>
        <v>55569.599999999999</v>
      </c>
      <c r="E4039" s="107">
        <v>14.874000000000001</v>
      </c>
      <c r="F4039" s="106">
        <f t="shared" ref="F4039:F4040" si="222">+B4039*(D4039)/E4039</f>
        <v>3736.0225897539326</v>
      </c>
      <c r="G4039" s="81"/>
      <c r="H4039" s="81"/>
      <c r="I4039" s="81"/>
      <c r="J4039" s="81"/>
      <c r="K4039" s="81"/>
      <c r="L4039" s="81"/>
      <c r="M4039" s="81"/>
      <c r="N4039" s="81"/>
    </row>
    <row r="4040" spans="1:14" ht="14.25" customHeight="1" x14ac:dyDescent="0.25">
      <c r="A4040" s="122" t="s">
        <v>594</v>
      </c>
      <c r="B4040" s="127">
        <v>1</v>
      </c>
      <c r="C4040" s="101">
        <v>52538</v>
      </c>
      <c r="D4040" s="101">
        <f t="shared" si="221"/>
        <v>89314.599999999991</v>
      </c>
      <c r="E4040" s="107">
        <f>E4039</f>
        <v>14.874000000000001</v>
      </c>
      <c r="F4040" s="106">
        <f t="shared" si="222"/>
        <v>6004.7465375823576</v>
      </c>
      <c r="G4040" s="81"/>
      <c r="H4040" s="81"/>
      <c r="I4040" s="81"/>
      <c r="J4040" s="81"/>
      <c r="K4040" s="81"/>
      <c r="L4040" s="81"/>
      <c r="M4040" s="81"/>
      <c r="N4040" s="81"/>
    </row>
    <row r="4041" spans="1:14" ht="14.25" customHeight="1" x14ac:dyDescent="0.25">
      <c r="A4041" s="122"/>
      <c r="B4041" s="127"/>
      <c r="C4041" s="101"/>
      <c r="D4041" s="101"/>
      <c r="E4041" s="107"/>
      <c r="F4041" s="106"/>
      <c r="G4041" s="81"/>
      <c r="H4041" s="81"/>
      <c r="I4041" s="81"/>
      <c r="J4041" s="81"/>
      <c r="K4041" s="81"/>
      <c r="L4041" s="81"/>
      <c r="M4041" s="81"/>
      <c r="N4041" s="81"/>
    </row>
    <row r="4042" spans="1:14" ht="14.25" customHeight="1" x14ac:dyDescent="0.25">
      <c r="A4042" s="122"/>
      <c r="B4042" s="127"/>
      <c r="C4042" s="101"/>
      <c r="D4042" s="101"/>
      <c r="E4042" s="125"/>
      <c r="F4042" s="106"/>
      <c r="G4042" s="81"/>
      <c r="H4042" s="81"/>
      <c r="I4042" s="81"/>
      <c r="J4042" s="81"/>
      <c r="K4042" s="81"/>
      <c r="L4042" s="81"/>
      <c r="M4042" s="81"/>
      <c r="N4042" s="81"/>
    </row>
    <row r="4043" spans="1:14" ht="14.25" customHeight="1" x14ac:dyDescent="0.25">
      <c r="A4043" s="97" t="s">
        <v>548</v>
      </c>
      <c r="B4043" s="128"/>
      <c r="C4043" s="110"/>
      <c r="D4043" s="110"/>
      <c r="E4043" s="110"/>
      <c r="F4043" s="112">
        <f>SUM(F4039:F4042)</f>
        <v>9740.7691273362907</v>
      </c>
      <c r="G4043" s="81"/>
      <c r="H4043" s="81"/>
      <c r="I4043" s="81"/>
      <c r="J4043" s="81"/>
      <c r="K4043" s="81"/>
      <c r="L4043" s="81"/>
      <c r="M4043" s="81"/>
      <c r="N4043" s="81"/>
    </row>
    <row r="4044" spans="1:14" ht="14.25" customHeight="1" x14ac:dyDescent="0.25">
      <c r="A4044" s="96"/>
      <c r="B4044" s="129"/>
      <c r="C4044" s="118"/>
      <c r="D4044" s="118"/>
      <c r="E4044" s="118"/>
      <c r="F4044" s="118"/>
      <c r="G4044" s="81"/>
      <c r="H4044" s="81"/>
      <c r="I4044" s="81"/>
      <c r="J4044" s="81"/>
      <c r="K4044" s="81"/>
      <c r="L4044" s="81"/>
      <c r="M4044" s="81"/>
      <c r="N4044" s="81"/>
    </row>
    <row r="4045" spans="1:14" ht="14.25" customHeight="1" x14ac:dyDescent="0.25">
      <c r="A4045" s="95" t="s">
        <v>583</v>
      </c>
      <c r="B4045" s="96"/>
      <c r="C4045" s="92"/>
      <c r="D4045" s="92"/>
      <c r="E4045" s="92" t="s">
        <v>584</v>
      </c>
      <c r="F4045" s="92"/>
      <c r="G4045" s="81"/>
      <c r="H4045" s="81"/>
      <c r="I4045" s="81"/>
      <c r="J4045" s="81"/>
      <c r="K4045" s="81"/>
      <c r="L4045" s="81"/>
      <c r="M4045" s="81"/>
      <c r="N4045" s="81"/>
    </row>
    <row r="4046" spans="1:14" ht="14.25" customHeight="1" x14ac:dyDescent="0.25">
      <c r="A4046" s="97" t="s">
        <v>563</v>
      </c>
      <c r="B4046" s="98" t="s">
        <v>564</v>
      </c>
      <c r="C4046" s="98" t="s">
        <v>585</v>
      </c>
      <c r="D4046" s="98" t="s">
        <v>586</v>
      </c>
      <c r="E4046" s="120" t="s">
        <v>587</v>
      </c>
      <c r="F4046" s="98" t="s">
        <v>568</v>
      </c>
      <c r="G4046" s="81"/>
      <c r="H4046" s="81"/>
      <c r="I4046" s="81"/>
      <c r="J4046" s="81"/>
      <c r="K4046" s="81"/>
      <c r="L4046" s="81"/>
      <c r="M4046" s="81"/>
      <c r="N4046" s="81"/>
    </row>
    <row r="4047" spans="1:14" ht="14.25" customHeight="1" x14ac:dyDescent="0.25">
      <c r="A4047" s="103"/>
      <c r="B4047" s="100"/>
      <c r="C4047" s="101"/>
      <c r="D4047" s="130"/>
      <c r="E4047" s="107"/>
      <c r="F4047" s="109">
        <f>+C4047*D4047*E4047</f>
        <v>0</v>
      </c>
      <c r="G4047" s="81"/>
      <c r="H4047" s="81"/>
      <c r="I4047" s="81"/>
      <c r="J4047" s="81"/>
      <c r="K4047" s="81"/>
      <c r="L4047" s="81"/>
      <c r="M4047" s="81"/>
      <c r="N4047" s="81"/>
    </row>
    <row r="4048" spans="1:14" ht="14.25" customHeight="1" x14ac:dyDescent="0.25">
      <c r="A4048" s="103"/>
      <c r="B4048" s="100"/>
      <c r="C4048" s="107"/>
      <c r="D4048" s="107"/>
      <c r="E4048" s="108"/>
      <c r="F4048" s="109"/>
      <c r="G4048" s="81"/>
      <c r="H4048" s="81"/>
      <c r="I4048" s="81"/>
      <c r="J4048" s="81"/>
      <c r="K4048" s="81"/>
      <c r="L4048" s="81"/>
      <c r="M4048" s="81"/>
      <c r="N4048" s="81"/>
    </row>
    <row r="4049" spans="1:14" ht="14.25" customHeight="1" x14ac:dyDescent="0.25">
      <c r="A4049" s="97" t="s">
        <v>548</v>
      </c>
      <c r="B4049" s="98"/>
      <c r="C4049" s="110"/>
      <c r="D4049" s="110"/>
      <c r="E4049" s="111"/>
      <c r="F4049" s="112">
        <f>SUM(F4047:F4048)</f>
        <v>0</v>
      </c>
      <c r="G4049" s="81"/>
      <c r="H4049" s="81"/>
      <c r="I4049" s="81"/>
      <c r="J4049" s="81"/>
      <c r="K4049" s="81"/>
      <c r="L4049" s="81"/>
      <c r="M4049" s="81"/>
      <c r="N4049" s="81"/>
    </row>
    <row r="4050" spans="1:14" ht="14.25" customHeight="1" x14ac:dyDescent="0.25">
      <c r="A4050" s="88"/>
      <c r="B4050" s="89"/>
      <c r="C4050" s="113"/>
      <c r="D4050" s="113"/>
      <c r="E4050" s="114"/>
      <c r="F4050" s="113"/>
      <c r="G4050" s="81"/>
      <c r="H4050" s="81"/>
      <c r="I4050" s="81"/>
      <c r="J4050" s="81"/>
      <c r="K4050" s="81"/>
      <c r="L4050" s="81"/>
      <c r="M4050" s="81"/>
      <c r="N4050" s="81"/>
    </row>
    <row r="4051" spans="1:14" ht="14.25" customHeight="1" x14ac:dyDescent="0.25">
      <c r="A4051" s="88"/>
      <c r="B4051" s="89"/>
      <c r="C4051" s="113"/>
      <c r="D4051" s="113"/>
      <c r="E4051" s="114"/>
      <c r="F4051" s="113"/>
      <c r="G4051" s="81"/>
      <c r="H4051" s="81"/>
      <c r="I4051" s="81"/>
      <c r="J4051" s="81"/>
      <c r="K4051" s="81"/>
      <c r="L4051" s="81"/>
      <c r="M4051" s="81"/>
      <c r="N4051" s="81"/>
    </row>
    <row r="4052" spans="1:14" ht="14.25" customHeight="1" x14ac:dyDescent="0.25">
      <c r="A4052" s="612" t="s">
        <v>588</v>
      </c>
      <c r="B4052" s="608"/>
      <c r="C4052" s="608"/>
      <c r="D4052" s="608"/>
      <c r="E4052" s="609"/>
      <c r="F4052" s="131">
        <f>ROUND(F4028+F4035+F4043+F4049,0)</f>
        <v>33320</v>
      </c>
      <c r="G4052" s="81"/>
      <c r="H4052" s="117"/>
      <c r="I4052" s="81"/>
      <c r="J4052" s="81"/>
      <c r="K4052" s="81"/>
      <c r="L4052" s="81"/>
      <c r="M4052" s="81"/>
      <c r="N4052" s="81"/>
    </row>
    <row r="4053" spans="1:14" ht="14.25" customHeight="1" x14ac:dyDescent="0.25">
      <c r="A4053" s="612" t="s">
        <v>589</v>
      </c>
      <c r="B4053" s="608"/>
      <c r="C4053" s="608"/>
      <c r="D4053" s="608"/>
      <c r="E4053" s="609"/>
      <c r="F4053" s="132"/>
      <c r="G4053" s="81"/>
      <c r="H4053" s="81"/>
      <c r="I4053" s="81"/>
      <c r="J4053" s="81"/>
      <c r="K4053" s="81"/>
      <c r="L4053" s="81"/>
      <c r="M4053" s="81"/>
      <c r="N4053" s="81"/>
    </row>
    <row r="4054" spans="1:14" ht="14.25" customHeight="1" x14ac:dyDescent="0.25">
      <c r="A4054" s="612" t="s">
        <v>556</v>
      </c>
      <c r="B4054" s="608"/>
      <c r="C4054" s="608"/>
      <c r="D4054" s="608"/>
      <c r="E4054" s="609"/>
      <c r="F4054" s="133"/>
      <c r="G4054" s="81"/>
      <c r="H4054" s="81"/>
      <c r="I4054" s="81"/>
      <c r="J4054" s="81"/>
      <c r="K4054" s="81"/>
      <c r="L4054" s="81"/>
      <c r="M4054" s="81"/>
      <c r="N4054" s="81"/>
    </row>
    <row r="4055" spans="1:14" ht="14.25" customHeight="1" x14ac:dyDescent="0.25">
      <c r="A4055" s="134"/>
      <c r="B4055" s="135"/>
      <c r="C4055" s="135"/>
      <c r="D4055" s="135"/>
      <c r="E4055" s="135"/>
      <c r="F4055" s="136"/>
      <c r="G4055" s="81"/>
      <c r="H4055" s="81"/>
      <c r="I4055" s="81"/>
      <c r="J4055" s="81"/>
      <c r="K4055" s="81"/>
      <c r="L4055" s="81"/>
      <c r="M4055" s="81"/>
      <c r="N4055" s="81"/>
    </row>
    <row r="4056" spans="1:14" ht="14.25" customHeight="1" x14ac:dyDescent="0.25">
      <c r="A4056" s="134"/>
      <c r="B4056" s="135"/>
      <c r="C4056" s="135"/>
      <c r="D4056" s="135"/>
      <c r="E4056" s="135"/>
      <c r="F4056" s="136"/>
      <c r="G4056" s="81"/>
      <c r="H4056" s="81"/>
      <c r="I4056" s="81"/>
      <c r="J4056" s="81"/>
      <c r="K4056" s="81"/>
      <c r="L4056" s="81"/>
      <c r="M4056" s="81"/>
      <c r="N4056" s="81"/>
    </row>
    <row r="4057" spans="1:14" ht="14.25" customHeight="1" x14ac:dyDescent="0.25">
      <c r="A4057" s="134"/>
      <c r="B4057" s="135"/>
      <c r="C4057" s="135"/>
      <c r="D4057" s="135"/>
      <c r="E4057" s="135"/>
      <c r="F4057" s="136"/>
      <c r="G4057" s="81"/>
      <c r="H4057" s="81"/>
      <c r="I4057" s="81"/>
      <c r="J4057" s="81"/>
      <c r="K4057" s="81"/>
      <c r="L4057" s="81"/>
      <c r="M4057" s="81"/>
      <c r="N4057" s="81"/>
    </row>
    <row r="4058" spans="1:14" ht="14.25" customHeight="1" x14ac:dyDescent="0.25">
      <c r="A4058" s="134"/>
      <c r="B4058" s="135"/>
      <c r="C4058" s="135"/>
      <c r="D4058" s="135"/>
      <c r="E4058" s="135"/>
      <c r="F4058" s="136"/>
      <c r="G4058" s="81"/>
      <c r="H4058" s="81"/>
      <c r="I4058" s="81"/>
      <c r="J4058" s="81"/>
      <c r="K4058" s="81"/>
      <c r="L4058" s="81"/>
      <c r="M4058" s="81"/>
      <c r="N4058" s="81"/>
    </row>
    <row r="4059" spans="1:14" ht="14.25" customHeight="1" x14ac:dyDescent="0.25">
      <c r="A4059" s="134"/>
      <c r="B4059" s="135"/>
      <c r="C4059" s="135"/>
      <c r="D4059" s="135"/>
      <c r="E4059" s="135"/>
      <c r="F4059" s="136"/>
      <c r="G4059" s="81"/>
      <c r="H4059" s="81"/>
      <c r="I4059" s="81"/>
      <c r="J4059" s="81"/>
      <c r="K4059" s="81"/>
      <c r="L4059" s="81"/>
      <c r="M4059" s="81"/>
      <c r="N4059" s="81"/>
    </row>
    <row r="4060" spans="1:14" ht="14.25" customHeight="1" x14ac:dyDescent="0.25">
      <c r="A4060" s="134"/>
      <c r="B4060" s="135"/>
      <c r="C4060" s="135"/>
      <c r="D4060" s="135"/>
      <c r="E4060" s="135"/>
      <c r="F4060" s="136"/>
      <c r="G4060" s="81"/>
      <c r="H4060" s="81"/>
      <c r="I4060" s="81"/>
      <c r="J4060" s="81"/>
      <c r="K4060" s="81"/>
      <c r="L4060" s="81"/>
      <c r="M4060" s="81"/>
      <c r="N4060" s="81"/>
    </row>
    <row r="4061" spans="1:14" ht="14.25" customHeight="1" x14ac:dyDescent="0.25">
      <c r="A4061" s="81"/>
      <c r="B4061" s="81"/>
      <c r="C4061" s="137"/>
      <c r="D4061" s="81"/>
      <c r="E4061" s="81"/>
      <c r="F4061" s="81"/>
      <c r="G4061" s="81"/>
      <c r="H4061" s="81"/>
      <c r="I4061" s="81"/>
      <c r="J4061" s="81"/>
      <c r="K4061" s="81"/>
      <c r="L4061" s="81"/>
      <c r="M4061" s="81"/>
      <c r="N4061" s="81"/>
    </row>
    <row r="4062" spans="1:14" ht="14.25" customHeight="1" x14ac:dyDescent="0.25">
      <c r="A4062" s="81"/>
      <c r="B4062" s="81"/>
      <c r="C4062" s="137"/>
      <c r="D4062" s="81"/>
      <c r="E4062" s="81"/>
      <c r="F4062" s="81"/>
      <c r="G4062" s="81"/>
      <c r="H4062" s="81"/>
      <c r="I4062" s="81"/>
      <c r="J4062" s="81"/>
      <c r="K4062" s="81"/>
      <c r="L4062" s="81"/>
      <c r="M4062" s="81"/>
      <c r="N4062" s="81"/>
    </row>
    <row r="4063" spans="1:14" ht="14.25" customHeight="1" x14ac:dyDescent="0.25">
      <c r="A4063" s="81"/>
      <c r="B4063" s="81"/>
      <c r="C4063" s="137"/>
      <c r="D4063" s="81"/>
      <c r="E4063" s="81"/>
      <c r="F4063" s="81"/>
      <c r="G4063" s="81"/>
      <c r="H4063" s="81"/>
      <c r="I4063" s="81"/>
      <c r="J4063" s="81"/>
      <c r="K4063" s="81"/>
      <c r="L4063" s="81"/>
      <c r="M4063" s="81"/>
      <c r="N4063" s="81"/>
    </row>
    <row r="4064" spans="1:14" ht="14.25" customHeight="1" x14ac:dyDescent="0.25">
      <c r="A4064" s="81"/>
      <c r="B4064" s="81"/>
      <c r="C4064" s="137"/>
      <c r="D4064" s="81"/>
      <c r="E4064" s="81"/>
      <c r="F4064" s="81"/>
      <c r="G4064" s="81"/>
      <c r="H4064" s="81"/>
      <c r="I4064" s="81"/>
      <c r="J4064" s="81"/>
      <c r="K4064" s="81"/>
      <c r="L4064" s="81"/>
      <c r="M4064" s="81"/>
      <c r="N4064" s="81"/>
    </row>
    <row r="4065" spans="1:14" ht="14.25" customHeight="1" thickBot="1" x14ac:dyDescent="0.3">
      <c r="A4065" s="81"/>
      <c r="B4065" s="81"/>
      <c r="C4065" s="81"/>
      <c r="D4065" s="81"/>
      <c r="E4065" s="81"/>
      <c r="F4065" s="81"/>
      <c r="G4065" s="81"/>
      <c r="H4065" s="81"/>
      <c r="I4065" s="81"/>
      <c r="J4065" s="81"/>
      <c r="K4065" s="81"/>
      <c r="L4065" s="81"/>
      <c r="M4065" s="81"/>
      <c r="N4065" s="81"/>
    </row>
    <row r="4066" spans="1:14" ht="14.25" customHeight="1" x14ac:dyDescent="0.25">
      <c r="A4066" s="83"/>
      <c r="B4066" s="84"/>
      <c r="C4066" s="85"/>
      <c r="D4066" s="86"/>
      <c r="E4066" s="86"/>
      <c r="F4066" s="87"/>
      <c r="G4066" s="81"/>
      <c r="H4066" s="81"/>
      <c r="I4066" s="81"/>
      <c r="J4066" s="81"/>
      <c r="K4066" s="81"/>
      <c r="L4066" s="81"/>
      <c r="M4066" s="81"/>
      <c r="N4066" s="81"/>
    </row>
    <row r="4067" spans="1:14" ht="14.25" customHeight="1" x14ac:dyDescent="0.25">
      <c r="A4067" s="599"/>
      <c r="B4067" s="600"/>
      <c r="C4067" s="600"/>
      <c r="D4067" s="600"/>
      <c r="E4067" s="600"/>
      <c r="F4067" s="601"/>
      <c r="G4067" s="81"/>
      <c r="H4067" s="81"/>
      <c r="I4067" s="81"/>
      <c r="J4067" s="81"/>
      <c r="K4067" s="81"/>
      <c r="L4067" s="81"/>
      <c r="M4067" s="81"/>
      <c r="N4067" s="81"/>
    </row>
    <row r="4068" spans="1:14" ht="14.25" customHeight="1" x14ac:dyDescent="0.25">
      <c r="A4068" s="602" t="s">
        <v>561</v>
      </c>
      <c r="B4068" s="600"/>
      <c r="C4068" s="600"/>
      <c r="D4068" s="600"/>
      <c r="E4068" s="600"/>
      <c r="F4068" s="601"/>
      <c r="G4068" s="81"/>
      <c r="H4068" s="81"/>
      <c r="I4068" s="81"/>
      <c r="J4068" s="81"/>
      <c r="K4068" s="81"/>
      <c r="L4068" s="81"/>
      <c r="M4068" s="81"/>
      <c r="N4068" s="81"/>
    </row>
    <row r="4069" spans="1:14" ht="14.25" customHeight="1" thickBot="1" x14ac:dyDescent="0.3">
      <c r="A4069" s="603"/>
      <c r="B4069" s="604"/>
      <c r="C4069" s="604"/>
      <c r="D4069" s="604"/>
      <c r="E4069" s="604"/>
      <c r="F4069" s="605"/>
      <c r="G4069" s="81"/>
      <c r="H4069" s="81"/>
      <c r="I4069" s="81"/>
      <c r="J4069" s="81"/>
      <c r="K4069" s="81"/>
      <c r="L4069" s="81"/>
      <c r="M4069" s="81"/>
      <c r="N4069" s="81"/>
    </row>
    <row r="4070" spans="1:14" ht="14.25" customHeight="1" x14ac:dyDescent="0.25">
      <c r="A4070" s="88"/>
      <c r="B4070" s="88"/>
      <c r="C4070" s="89"/>
      <c r="D4070" s="89"/>
      <c r="E4070" s="89"/>
      <c r="F4070" s="89"/>
      <c r="G4070" s="81"/>
      <c r="H4070" s="81"/>
      <c r="I4070" s="81"/>
      <c r="J4070" s="81"/>
      <c r="K4070" s="81"/>
      <c r="L4070" s="81"/>
      <c r="M4070" s="81"/>
      <c r="N4070" s="81"/>
    </row>
    <row r="4071" spans="1:14" ht="14.25" customHeight="1" x14ac:dyDescent="0.25">
      <c r="A4071" s="90" t="s">
        <v>47</v>
      </c>
      <c r="B4071" s="613" t="s">
        <v>199</v>
      </c>
      <c r="C4071" s="600"/>
      <c r="D4071" s="600"/>
      <c r="E4071" s="600"/>
      <c r="F4071" s="600"/>
      <c r="G4071" s="81"/>
      <c r="H4071" s="81"/>
      <c r="I4071" s="81"/>
      <c r="J4071" s="81"/>
      <c r="K4071" s="81"/>
      <c r="L4071" s="81"/>
      <c r="M4071" s="81"/>
      <c r="N4071" s="81"/>
    </row>
    <row r="4072" spans="1:14" ht="14.25" customHeight="1" x14ac:dyDescent="0.25">
      <c r="A4072" s="91"/>
      <c r="B4072" s="91"/>
      <c r="C4072" s="91"/>
      <c r="D4072" s="91"/>
      <c r="E4072" s="91"/>
      <c r="F4072" s="91"/>
      <c r="G4072" s="81"/>
      <c r="H4072" s="81"/>
      <c r="I4072" s="81"/>
      <c r="J4072" s="81"/>
      <c r="K4072" s="81"/>
      <c r="L4072" s="81"/>
      <c r="M4072" s="81"/>
      <c r="N4072" s="81"/>
    </row>
    <row r="4073" spans="1:14" ht="14.25" customHeight="1" x14ac:dyDescent="0.25">
      <c r="A4073" s="88" t="s">
        <v>49</v>
      </c>
      <c r="B4073" s="92" t="s">
        <v>59</v>
      </c>
      <c r="C4073" s="89"/>
      <c r="D4073" s="89"/>
      <c r="E4073" s="89"/>
      <c r="F4073" s="93"/>
      <c r="G4073" s="81"/>
      <c r="H4073" s="81"/>
      <c r="I4073" s="81"/>
      <c r="J4073" s="81"/>
      <c r="K4073" s="81"/>
      <c r="L4073" s="81"/>
      <c r="M4073" s="81"/>
      <c r="N4073" s="81"/>
    </row>
    <row r="4074" spans="1:14" ht="14.25" customHeight="1" x14ac:dyDescent="0.25">
      <c r="A4074" s="88"/>
      <c r="B4074" s="94"/>
      <c r="C4074" s="89"/>
      <c r="D4074" s="89"/>
      <c r="E4074" s="89"/>
      <c r="F4074" s="93"/>
      <c r="G4074" s="81"/>
      <c r="H4074" s="81"/>
      <c r="I4074" s="81"/>
      <c r="J4074" s="81"/>
      <c r="K4074" s="81"/>
      <c r="L4074" s="81"/>
      <c r="M4074" s="81"/>
      <c r="N4074" s="81"/>
    </row>
    <row r="4075" spans="1:14" ht="14.25" customHeight="1" x14ac:dyDescent="0.25">
      <c r="A4075" s="95" t="s">
        <v>562</v>
      </c>
      <c r="B4075" s="96"/>
      <c r="C4075" s="92"/>
      <c r="D4075" s="92"/>
      <c r="E4075" s="92"/>
      <c r="F4075" s="92"/>
      <c r="G4075" s="81"/>
      <c r="H4075" s="81"/>
      <c r="I4075" s="81"/>
      <c r="J4075" s="81"/>
      <c r="K4075" s="81"/>
      <c r="L4075" s="81"/>
      <c r="M4075" s="81"/>
      <c r="N4075" s="81"/>
    </row>
    <row r="4076" spans="1:14" ht="14.25" customHeight="1" x14ac:dyDescent="0.25">
      <c r="A4076" s="97" t="s">
        <v>563</v>
      </c>
      <c r="B4076" s="98" t="s">
        <v>564</v>
      </c>
      <c r="C4076" s="98" t="s">
        <v>565</v>
      </c>
      <c r="D4076" s="98" t="s">
        <v>566</v>
      </c>
      <c r="E4076" s="98" t="s">
        <v>567</v>
      </c>
      <c r="F4076" s="98" t="s">
        <v>568</v>
      </c>
      <c r="G4076" s="81"/>
      <c r="H4076" s="81"/>
      <c r="I4076" s="81"/>
      <c r="J4076" s="81"/>
      <c r="K4076" s="81"/>
      <c r="L4076" s="81"/>
      <c r="M4076" s="81"/>
      <c r="N4076" s="81"/>
    </row>
    <row r="4077" spans="1:14" ht="14.25" customHeight="1" x14ac:dyDescent="0.25">
      <c r="A4077" s="99" t="s">
        <v>724</v>
      </c>
      <c r="B4077" s="100" t="s">
        <v>59</v>
      </c>
      <c r="C4077" s="101">
        <v>10200</v>
      </c>
      <c r="D4077" s="149">
        <v>1</v>
      </c>
      <c r="E4077" s="102">
        <v>0.05</v>
      </c>
      <c r="F4077" s="101">
        <f t="shared" ref="F4077:F4080" si="223">C4077*(D4077+(D4077*E4077))</f>
        <v>10710</v>
      </c>
      <c r="G4077" s="81"/>
      <c r="H4077" s="81"/>
      <c r="I4077" s="81"/>
      <c r="J4077" s="81"/>
      <c r="K4077" s="81"/>
      <c r="L4077" s="81"/>
      <c r="M4077" s="81"/>
      <c r="N4077" s="81"/>
    </row>
    <row r="4078" spans="1:14" ht="14.25" customHeight="1" x14ac:dyDescent="0.25">
      <c r="A4078" s="99" t="s">
        <v>725</v>
      </c>
      <c r="B4078" s="100" t="s">
        <v>99</v>
      </c>
      <c r="C4078" s="101">
        <v>2450</v>
      </c>
      <c r="D4078" s="149">
        <v>0.25</v>
      </c>
      <c r="E4078" s="102"/>
      <c r="F4078" s="101">
        <f t="shared" si="223"/>
        <v>612.5</v>
      </c>
      <c r="G4078" s="81"/>
      <c r="H4078" s="81"/>
      <c r="I4078" s="81"/>
      <c r="J4078" s="81"/>
      <c r="K4078" s="81"/>
      <c r="L4078" s="81"/>
      <c r="M4078" s="81"/>
      <c r="N4078" s="81"/>
    </row>
    <row r="4079" spans="1:14" ht="14.25" customHeight="1" x14ac:dyDescent="0.25">
      <c r="A4079" s="99" t="s">
        <v>622</v>
      </c>
      <c r="B4079" s="100" t="s">
        <v>99</v>
      </c>
      <c r="C4079" s="101">
        <v>85900</v>
      </c>
      <c r="D4079" s="149">
        <v>3.2000000000000001E-2</v>
      </c>
      <c r="E4079" s="102">
        <v>0.05</v>
      </c>
      <c r="F4079" s="101">
        <f t="shared" si="223"/>
        <v>2886.24</v>
      </c>
      <c r="G4079" s="81"/>
      <c r="H4079" s="81"/>
      <c r="I4079" s="81"/>
      <c r="J4079" s="81"/>
      <c r="K4079" s="81"/>
      <c r="L4079" s="81"/>
      <c r="M4079" s="81"/>
      <c r="N4079" s="81"/>
    </row>
    <row r="4080" spans="1:14" ht="14.25" customHeight="1" x14ac:dyDescent="0.25">
      <c r="A4080" s="103" t="s">
        <v>632</v>
      </c>
      <c r="B4080" s="100" t="s">
        <v>99</v>
      </c>
      <c r="C4080" s="101">
        <v>35000</v>
      </c>
      <c r="D4080" s="149">
        <v>1.7999999999999999E-2</v>
      </c>
      <c r="E4080" s="102">
        <v>0.05</v>
      </c>
      <c r="F4080" s="101">
        <f t="shared" si="223"/>
        <v>661.5</v>
      </c>
      <c r="G4080" s="81"/>
      <c r="H4080" s="81"/>
      <c r="I4080" s="81"/>
      <c r="J4080" s="81"/>
      <c r="K4080" s="81"/>
      <c r="L4080" s="81"/>
      <c r="M4080" s="81"/>
      <c r="N4080" s="81"/>
    </row>
    <row r="4081" spans="1:14" ht="14.25" customHeight="1" x14ac:dyDescent="0.25">
      <c r="A4081" s="103"/>
      <c r="B4081" s="100"/>
      <c r="C4081" s="101"/>
      <c r="D4081" s="105"/>
      <c r="E4081" s="102"/>
      <c r="F4081" s="101"/>
      <c r="G4081" s="81"/>
      <c r="H4081" s="81"/>
      <c r="I4081" s="81"/>
      <c r="J4081" s="81"/>
      <c r="K4081" s="81"/>
      <c r="L4081" s="81"/>
      <c r="M4081" s="81"/>
      <c r="N4081" s="81"/>
    </row>
    <row r="4082" spans="1:14" ht="14.25" customHeight="1" x14ac:dyDescent="0.25">
      <c r="A4082" s="99"/>
      <c r="B4082" s="100"/>
      <c r="C4082" s="106"/>
      <c r="D4082" s="107"/>
      <c r="E4082" s="108"/>
      <c r="F4082" s="106"/>
      <c r="G4082" s="81"/>
      <c r="H4082" s="81"/>
      <c r="I4082" s="81"/>
      <c r="J4082" s="81"/>
      <c r="K4082" s="81"/>
      <c r="L4082" s="81"/>
      <c r="M4082" s="81"/>
      <c r="N4082" s="81"/>
    </row>
    <row r="4083" spans="1:14" ht="14.25" customHeight="1" x14ac:dyDescent="0.25">
      <c r="A4083" s="97" t="s">
        <v>548</v>
      </c>
      <c r="B4083" s="97"/>
      <c r="C4083" s="109"/>
      <c r="D4083" s="110"/>
      <c r="E4083" s="111"/>
      <c r="F4083" s="112">
        <f>SUM(F4077:F4082)</f>
        <v>14870.24</v>
      </c>
      <c r="G4083" s="81"/>
      <c r="H4083" s="81"/>
      <c r="I4083" s="81"/>
      <c r="J4083" s="81"/>
      <c r="K4083" s="81"/>
      <c r="L4083" s="81"/>
      <c r="M4083" s="81"/>
      <c r="N4083" s="81"/>
    </row>
    <row r="4084" spans="1:14" ht="14.25" customHeight="1" x14ac:dyDescent="0.25">
      <c r="A4084" s="88"/>
      <c r="B4084" s="88"/>
      <c r="C4084" s="113"/>
      <c r="D4084" s="113"/>
      <c r="E4084" s="114"/>
      <c r="F4084" s="113"/>
      <c r="G4084" s="81"/>
      <c r="H4084" s="81"/>
      <c r="I4084" s="81"/>
      <c r="J4084" s="81"/>
      <c r="K4084" s="81"/>
      <c r="L4084" s="81"/>
      <c r="M4084" s="81"/>
      <c r="N4084" s="81"/>
    </row>
    <row r="4085" spans="1:14" ht="14.25" customHeight="1" x14ac:dyDescent="0.25">
      <c r="A4085" s="96" t="s">
        <v>573</v>
      </c>
      <c r="B4085" s="96"/>
      <c r="C4085" s="92"/>
      <c r="D4085" s="92"/>
      <c r="E4085" s="92"/>
      <c r="F4085" s="92"/>
      <c r="G4085" s="81"/>
      <c r="H4085" s="81"/>
      <c r="I4085" s="81"/>
      <c r="J4085" s="81"/>
      <c r="K4085" s="81"/>
      <c r="L4085" s="81"/>
      <c r="M4085" s="81"/>
      <c r="N4085" s="81"/>
    </row>
    <row r="4086" spans="1:14" ht="14.25" customHeight="1" x14ac:dyDescent="0.25">
      <c r="A4086" s="611" t="s">
        <v>563</v>
      </c>
      <c r="B4086" s="608"/>
      <c r="C4086" s="609"/>
      <c r="D4086" s="98" t="s">
        <v>574</v>
      </c>
      <c r="E4086" s="98" t="s">
        <v>575</v>
      </c>
      <c r="F4086" s="98" t="s">
        <v>568</v>
      </c>
      <c r="G4086" s="81"/>
      <c r="H4086" s="81"/>
      <c r="I4086" s="81"/>
      <c r="J4086" s="81"/>
      <c r="K4086" s="81"/>
      <c r="L4086" s="81"/>
      <c r="M4086" s="81"/>
      <c r="N4086" s="81"/>
    </row>
    <row r="4087" spans="1:14" ht="14.25" customHeight="1" x14ac:dyDescent="0.25">
      <c r="A4087" s="607" t="s">
        <v>577</v>
      </c>
      <c r="B4087" s="608"/>
      <c r="C4087" s="609"/>
      <c r="D4087" s="116"/>
      <c r="E4087" s="107"/>
      <c r="F4087" s="106">
        <f>+F4098*5%</f>
        <v>369.77234444387727</v>
      </c>
      <c r="G4087" s="81"/>
      <c r="H4087" s="81"/>
      <c r="I4087" s="81"/>
      <c r="J4087" s="81"/>
      <c r="K4087" s="81"/>
      <c r="L4087" s="81"/>
      <c r="M4087" s="81"/>
      <c r="N4087" s="81"/>
    </row>
    <row r="4088" spans="1:14" ht="14.25" customHeight="1" x14ac:dyDescent="0.25">
      <c r="A4088" s="607"/>
      <c r="B4088" s="608"/>
      <c r="C4088" s="609"/>
      <c r="D4088" s="116"/>
      <c r="E4088" s="107"/>
      <c r="F4088" s="106"/>
      <c r="G4088" s="81"/>
      <c r="H4088" s="81"/>
      <c r="I4088" s="81"/>
      <c r="J4088" s="81"/>
      <c r="K4088" s="81"/>
      <c r="L4088" s="81"/>
      <c r="M4088" s="81"/>
      <c r="N4088" s="81"/>
    </row>
    <row r="4089" spans="1:14" ht="14.25" customHeight="1" x14ac:dyDescent="0.25">
      <c r="A4089" s="610"/>
      <c r="B4089" s="608"/>
      <c r="C4089" s="609"/>
      <c r="D4089" s="115"/>
      <c r="E4089" s="107"/>
      <c r="F4089" s="106"/>
      <c r="G4089" s="81"/>
      <c r="H4089" s="81"/>
      <c r="I4089" s="81"/>
      <c r="J4089" s="81"/>
      <c r="K4089" s="81"/>
      <c r="L4089" s="81"/>
      <c r="M4089" s="81"/>
      <c r="N4089" s="81"/>
    </row>
    <row r="4090" spans="1:14" ht="14.25" customHeight="1" x14ac:dyDescent="0.25">
      <c r="A4090" s="611" t="s">
        <v>548</v>
      </c>
      <c r="B4090" s="608"/>
      <c r="C4090" s="609"/>
      <c r="D4090" s="110"/>
      <c r="E4090" s="110"/>
      <c r="F4090" s="112">
        <f>SUM(F4087)</f>
        <v>369.77234444387727</v>
      </c>
      <c r="G4090" s="81"/>
      <c r="H4090" s="81"/>
      <c r="I4090" s="81"/>
      <c r="J4090" s="81"/>
      <c r="K4090" s="81"/>
      <c r="L4090" s="81"/>
      <c r="M4090" s="81"/>
      <c r="N4090" s="81"/>
    </row>
    <row r="4091" spans="1:14" ht="14.25" customHeight="1" x14ac:dyDescent="0.25">
      <c r="A4091" s="88"/>
      <c r="B4091" s="88"/>
      <c r="C4091" s="89"/>
      <c r="D4091" s="113"/>
      <c r="E4091" s="113"/>
      <c r="F4091" s="113"/>
      <c r="G4091" s="81"/>
      <c r="H4091" s="81"/>
      <c r="I4091" s="81"/>
      <c r="J4091" s="81"/>
      <c r="K4091" s="81"/>
      <c r="L4091" s="81"/>
      <c r="M4091" s="81"/>
      <c r="N4091" s="81"/>
    </row>
    <row r="4092" spans="1:14" ht="14.25" customHeight="1" x14ac:dyDescent="0.25">
      <c r="A4092" s="96" t="s">
        <v>578</v>
      </c>
      <c r="B4092" s="96"/>
      <c r="C4092" s="92"/>
      <c r="D4092" s="118"/>
      <c r="E4092" s="118"/>
      <c r="F4092" s="118"/>
      <c r="G4092" s="81"/>
      <c r="H4092" s="81"/>
      <c r="I4092" s="81"/>
      <c r="J4092" s="81"/>
      <c r="K4092" s="81"/>
      <c r="L4092" s="81"/>
      <c r="M4092" s="81"/>
      <c r="N4092" s="81"/>
    </row>
    <row r="4093" spans="1:14" ht="14.25" customHeight="1" x14ac:dyDescent="0.25">
      <c r="A4093" s="119" t="s">
        <v>563</v>
      </c>
      <c r="B4093" s="120" t="s">
        <v>579</v>
      </c>
      <c r="C4093" s="120" t="s">
        <v>580</v>
      </c>
      <c r="D4093" s="121" t="s">
        <v>581</v>
      </c>
      <c r="E4093" s="121" t="s">
        <v>575</v>
      </c>
      <c r="F4093" s="121" t="s">
        <v>568</v>
      </c>
      <c r="G4093" s="81"/>
      <c r="H4093" s="81"/>
      <c r="I4093" s="81"/>
      <c r="J4093" s="81"/>
      <c r="K4093" s="81"/>
      <c r="L4093" s="81"/>
      <c r="M4093" s="81"/>
      <c r="N4093" s="81"/>
    </row>
    <row r="4094" spans="1:14" ht="14.25" customHeight="1" x14ac:dyDescent="0.25">
      <c r="A4094" s="122" t="s">
        <v>593</v>
      </c>
      <c r="B4094" s="127">
        <v>1</v>
      </c>
      <c r="C4094" s="101">
        <v>32688</v>
      </c>
      <c r="D4094" s="101">
        <f t="shared" ref="D4094:D4095" si="224">+C4094*1.7</f>
        <v>55569.599999999999</v>
      </c>
      <c r="E4094" s="107">
        <v>19.591000000000001</v>
      </c>
      <c r="F4094" s="106">
        <f t="shared" ref="F4094:F4095" si="225">+B4094*(D4094)/E4094</f>
        <v>2836.4861415956302</v>
      </c>
      <c r="G4094" s="81"/>
      <c r="H4094" s="81"/>
      <c r="I4094" s="81"/>
      <c r="J4094" s="81"/>
      <c r="K4094" s="81"/>
      <c r="L4094" s="81"/>
      <c r="M4094" s="81"/>
      <c r="N4094" s="81"/>
    </row>
    <row r="4095" spans="1:14" ht="14.25" customHeight="1" x14ac:dyDescent="0.25">
      <c r="A4095" s="122" t="s">
        <v>594</v>
      </c>
      <c r="B4095" s="127">
        <v>1</v>
      </c>
      <c r="C4095" s="101">
        <v>52538</v>
      </c>
      <c r="D4095" s="101">
        <f t="shared" si="224"/>
        <v>89314.599999999991</v>
      </c>
      <c r="E4095" s="107">
        <f>E4094</f>
        <v>19.591000000000001</v>
      </c>
      <c r="F4095" s="106">
        <f t="shared" si="225"/>
        <v>4558.9607472819143</v>
      </c>
      <c r="G4095" s="81"/>
      <c r="H4095" s="81"/>
      <c r="I4095" s="81"/>
      <c r="J4095" s="81"/>
      <c r="K4095" s="81"/>
      <c r="L4095" s="81"/>
      <c r="M4095" s="81"/>
      <c r="N4095" s="81"/>
    </row>
    <row r="4096" spans="1:14" ht="14.25" customHeight="1" x14ac:dyDescent="0.25">
      <c r="A4096" s="122"/>
      <c r="B4096" s="127"/>
      <c r="C4096" s="101"/>
      <c r="D4096" s="101"/>
      <c r="E4096" s="107"/>
      <c r="F4096" s="106"/>
      <c r="G4096" s="81"/>
      <c r="H4096" s="81"/>
      <c r="I4096" s="81"/>
      <c r="J4096" s="81"/>
      <c r="K4096" s="81"/>
      <c r="L4096" s="81"/>
      <c r="M4096" s="81"/>
      <c r="N4096" s="81"/>
    </row>
    <row r="4097" spans="1:14" ht="14.25" customHeight="1" x14ac:dyDescent="0.25">
      <c r="A4097" s="122"/>
      <c r="B4097" s="127"/>
      <c r="C4097" s="101"/>
      <c r="D4097" s="101"/>
      <c r="E4097" s="125"/>
      <c r="F4097" s="106"/>
      <c r="G4097" s="81"/>
      <c r="H4097" s="81"/>
      <c r="I4097" s="81"/>
      <c r="J4097" s="81"/>
      <c r="K4097" s="81"/>
      <c r="L4097" s="81"/>
      <c r="M4097" s="81"/>
      <c r="N4097" s="81"/>
    </row>
    <row r="4098" spans="1:14" ht="14.25" customHeight="1" x14ac:dyDescent="0.25">
      <c r="A4098" s="97" t="s">
        <v>548</v>
      </c>
      <c r="B4098" s="128"/>
      <c r="C4098" s="110"/>
      <c r="D4098" s="110"/>
      <c r="E4098" s="110"/>
      <c r="F4098" s="112">
        <f>SUM(F4094:F4097)</f>
        <v>7395.4468888775446</v>
      </c>
      <c r="G4098" s="81"/>
      <c r="H4098" s="81"/>
      <c r="I4098" s="81"/>
      <c r="J4098" s="81"/>
      <c r="K4098" s="81"/>
      <c r="L4098" s="81"/>
      <c r="M4098" s="81"/>
      <c r="N4098" s="81"/>
    </row>
    <row r="4099" spans="1:14" ht="14.25" customHeight="1" x14ac:dyDescent="0.25">
      <c r="A4099" s="96"/>
      <c r="B4099" s="129"/>
      <c r="C4099" s="118"/>
      <c r="D4099" s="118"/>
      <c r="E4099" s="118"/>
      <c r="F4099" s="118"/>
      <c r="G4099" s="81"/>
      <c r="H4099" s="81"/>
      <c r="I4099" s="81"/>
      <c r="J4099" s="81"/>
      <c r="K4099" s="81"/>
      <c r="L4099" s="81"/>
      <c r="M4099" s="81"/>
      <c r="N4099" s="81"/>
    </row>
    <row r="4100" spans="1:14" ht="14.25" customHeight="1" x14ac:dyDescent="0.25">
      <c r="A4100" s="95" t="s">
        <v>583</v>
      </c>
      <c r="B4100" s="96"/>
      <c r="C4100" s="92"/>
      <c r="D4100" s="92"/>
      <c r="E4100" s="92" t="s">
        <v>584</v>
      </c>
      <c r="F4100" s="92"/>
      <c r="G4100" s="81"/>
      <c r="H4100" s="81"/>
      <c r="I4100" s="81"/>
      <c r="J4100" s="81"/>
      <c r="K4100" s="81"/>
      <c r="L4100" s="81"/>
      <c r="M4100" s="81"/>
      <c r="N4100" s="81"/>
    </row>
    <row r="4101" spans="1:14" ht="14.25" customHeight="1" x14ac:dyDescent="0.25">
      <c r="A4101" s="97" t="s">
        <v>563</v>
      </c>
      <c r="B4101" s="98" t="s">
        <v>564</v>
      </c>
      <c r="C4101" s="98" t="s">
        <v>585</v>
      </c>
      <c r="D4101" s="98" t="s">
        <v>586</v>
      </c>
      <c r="E4101" s="120" t="s">
        <v>587</v>
      </c>
      <c r="F4101" s="98" t="s">
        <v>568</v>
      </c>
      <c r="G4101" s="81"/>
      <c r="H4101" s="81"/>
      <c r="I4101" s="81"/>
      <c r="J4101" s="81"/>
      <c r="K4101" s="81"/>
      <c r="L4101" s="81"/>
      <c r="M4101" s="81"/>
      <c r="N4101" s="81"/>
    </row>
    <row r="4102" spans="1:14" ht="14.25" customHeight="1" x14ac:dyDescent="0.25">
      <c r="A4102" s="103"/>
      <c r="B4102" s="100"/>
      <c r="C4102" s="101"/>
      <c r="D4102" s="130"/>
      <c r="E4102" s="107"/>
      <c r="F4102" s="109">
        <f>+C4102*D4102*E4102</f>
        <v>0</v>
      </c>
      <c r="G4102" s="81"/>
      <c r="H4102" s="81"/>
      <c r="I4102" s="81"/>
      <c r="J4102" s="81"/>
      <c r="K4102" s="81"/>
      <c r="L4102" s="81"/>
      <c r="M4102" s="81"/>
      <c r="N4102" s="81"/>
    </row>
    <row r="4103" spans="1:14" ht="14.25" customHeight="1" x14ac:dyDescent="0.25">
      <c r="A4103" s="103"/>
      <c r="B4103" s="100"/>
      <c r="C4103" s="107"/>
      <c r="D4103" s="107"/>
      <c r="E4103" s="108"/>
      <c r="F4103" s="109"/>
      <c r="G4103" s="81"/>
      <c r="H4103" s="81"/>
      <c r="I4103" s="81"/>
      <c r="J4103" s="81"/>
      <c r="K4103" s="81"/>
      <c r="L4103" s="81"/>
      <c r="M4103" s="81"/>
      <c r="N4103" s="81"/>
    </row>
    <row r="4104" spans="1:14" ht="14.25" customHeight="1" x14ac:dyDescent="0.25">
      <c r="A4104" s="97" t="s">
        <v>548</v>
      </c>
      <c r="B4104" s="98"/>
      <c r="C4104" s="110"/>
      <c r="D4104" s="110"/>
      <c r="E4104" s="111"/>
      <c r="F4104" s="112">
        <f>SUM(F4102:F4103)</f>
        <v>0</v>
      </c>
      <c r="G4104" s="81"/>
      <c r="H4104" s="81"/>
      <c r="I4104" s="81"/>
      <c r="J4104" s="81"/>
      <c r="K4104" s="81"/>
      <c r="L4104" s="81"/>
      <c r="M4104" s="81"/>
      <c r="N4104" s="81"/>
    </row>
    <row r="4105" spans="1:14" ht="14.25" customHeight="1" x14ac:dyDescent="0.25">
      <c r="A4105" s="88"/>
      <c r="B4105" s="89"/>
      <c r="C4105" s="113"/>
      <c r="D4105" s="113"/>
      <c r="E4105" s="114"/>
      <c r="F4105" s="113"/>
      <c r="G4105" s="81"/>
      <c r="H4105" s="81"/>
      <c r="I4105" s="81"/>
      <c r="J4105" s="81"/>
      <c r="K4105" s="81"/>
      <c r="L4105" s="81"/>
      <c r="M4105" s="81"/>
      <c r="N4105" s="81"/>
    </row>
    <row r="4106" spans="1:14" ht="14.25" customHeight="1" x14ac:dyDescent="0.25">
      <c r="A4106" s="88"/>
      <c r="B4106" s="89"/>
      <c r="C4106" s="113"/>
      <c r="D4106" s="113"/>
      <c r="E4106" s="114"/>
      <c r="F4106" s="113"/>
      <c r="G4106" s="81"/>
      <c r="H4106" s="81"/>
      <c r="I4106" s="81"/>
      <c r="J4106" s="81"/>
      <c r="K4106" s="81"/>
      <c r="L4106" s="81"/>
      <c r="M4106" s="81"/>
      <c r="N4106" s="81"/>
    </row>
    <row r="4107" spans="1:14" ht="14.25" customHeight="1" x14ac:dyDescent="0.25">
      <c r="A4107" s="612" t="s">
        <v>588</v>
      </c>
      <c r="B4107" s="608"/>
      <c r="C4107" s="608"/>
      <c r="D4107" s="608"/>
      <c r="E4107" s="609"/>
      <c r="F4107" s="131">
        <f>ROUND(F4083+F4090+F4098+F4104,0)</f>
        <v>22635</v>
      </c>
      <c r="G4107" s="81"/>
      <c r="H4107" s="117"/>
      <c r="I4107" s="81"/>
      <c r="J4107" s="81"/>
      <c r="K4107" s="81"/>
      <c r="L4107" s="81"/>
      <c r="M4107" s="81"/>
      <c r="N4107" s="81"/>
    </row>
    <row r="4108" spans="1:14" ht="14.25" customHeight="1" x14ac:dyDescent="0.25">
      <c r="A4108" s="612" t="s">
        <v>589</v>
      </c>
      <c r="B4108" s="608"/>
      <c r="C4108" s="608"/>
      <c r="D4108" s="608"/>
      <c r="E4108" s="609"/>
      <c r="F4108" s="132"/>
      <c r="G4108" s="81"/>
      <c r="H4108" s="81"/>
      <c r="I4108" s="81"/>
      <c r="J4108" s="81"/>
      <c r="K4108" s="81"/>
      <c r="L4108" s="81"/>
      <c r="M4108" s="81"/>
      <c r="N4108" s="81"/>
    </row>
    <row r="4109" spans="1:14" ht="14.25" customHeight="1" x14ac:dyDescent="0.25">
      <c r="A4109" s="612" t="s">
        <v>556</v>
      </c>
      <c r="B4109" s="608"/>
      <c r="C4109" s="608"/>
      <c r="D4109" s="608"/>
      <c r="E4109" s="609"/>
      <c r="F4109" s="133"/>
      <c r="G4109" s="81"/>
      <c r="H4109" s="81"/>
      <c r="I4109" s="81"/>
      <c r="J4109" s="81"/>
      <c r="K4109" s="81"/>
      <c r="L4109" s="81"/>
      <c r="M4109" s="81"/>
      <c r="N4109" s="81"/>
    </row>
    <row r="4110" spans="1:14" ht="14.25" customHeight="1" x14ac:dyDescent="0.25">
      <c r="A4110" s="134"/>
      <c r="B4110" s="135"/>
      <c r="C4110" s="135"/>
      <c r="D4110" s="135"/>
      <c r="E4110" s="135"/>
      <c r="F4110" s="136"/>
      <c r="G4110" s="81"/>
      <c r="H4110" s="81"/>
      <c r="I4110" s="81"/>
      <c r="J4110" s="81"/>
      <c r="K4110" s="81"/>
      <c r="L4110" s="81"/>
      <c r="M4110" s="81"/>
      <c r="N4110" s="81"/>
    </row>
    <row r="4111" spans="1:14" ht="14.25" customHeight="1" x14ac:dyDescent="0.25">
      <c r="A4111" s="134"/>
      <c r="B4111" s="135"/>
      <c r="C4111" s="135"/>
      <c r="D4111" s="135"/>
      <c r="E4111" s="135"/>
      <c r="F4111" s="136"/>
      <c r="G4111" s="81"/>
      <c r="H4111" s="81"/>
      <c r="I4111" s="81"/>
      <c r="J4111" s="81"/>
      <c r="K4111" s="81"/>
      <c r="L4111" s="81"/>
      <c r="M4111" s="81"/>
      <c r="N4111" s="81"/>
    </row>
    <row r="4112" spans="1:14" ht="14.25" customHeight="1" x14ac:dyDescent="0.25">
      <c r="A4112" s="134"/>
      <c r="B4112" s="135"/>
      <c r="C4112" s="135"/>
      <c r="D4112" s="135"/>
      <c r="E4112" s="135"/>
      <c r="F4112" s="136"/>
      <c r="G4112" s="81"/>
      <c r="H4112" s="81"/>
      <c r="I4112" s="81"/>
      <c r="J4112" s="81"/>
      <c r="K4112" s="81"/>
      <c r="L4112" s="81"/>
      <c r="M4112" s="81"/>
      <c r="N4112" s="81"/>
    </row>
    <row r="4113" spans="1:14" ht="14.25" customHeight="1" x14ac:dyDescent="0.25">
      <c r="A4113" s="134"/>
      <c r="B4113" s="135"/>
      <c r="C4113" s="135"/>
      <c r="D4113" s="135"/>
      <c r="E4113" s="135"/>
      <c r="F4113" s="136"/>
      <c r="G4113" s="81"/>
      <c r="H4113" s="81"/>
      <c r="I4113" s="81"/>
      <c r="J4113" s="81"/>
      <c r="K4113" s="81"/>
      <c r="L4113" s="81"/>
      <c r="M4113" s="81"/>
      <c r="N4113" s="81"/>
    </row>
    <row r="4114" spans="1:14" ht="14.25" customHeight="1" x14ac:dyDescent="0.25">
      <c r="A4114" s="134"/>
      <c r="B4114" s="135"/>
      <c r="C4114" s="135"/>
      <c r="D4114" s="135"/>
      <c r="E4114" s="135"/>
      <c r="F4114" s="136"/>
      <c r="G4114" s="81"/>
      <c r="H4114" s="81"/>
      <c r="I4114" s="81"/>
      <c r="J4114" s="81"/>
      <c r="K4114" s="81"/>
      <c r="L4114" s="81"/>
      <c r="M4114" s="81"/>
      <c r="N4114" s="81"/>
    </row>
    <row r="4115" spans="1:14" ht="14.25" customHeight="1" x14ac:dyDescent="0.25">
      <c r="A4115" s="134"/>
      <c r="B4115" s="135"/>
      <c r="C4115" s="135"/>
      <c r="D4115" s="135"/>
      <c r="E4115" s="135"/>
      <c r="F4115" s="136"/>
      <c r="G4115" s="81"/>
      <c r="H4115" s="81"/>
      <c r="I4115" s="81"/>
      <c r="J4115" s="81"/>
      <c r="K4115" s="81"/>
      <c r="L4115" s="81"/>
      <c r="M4115" s="81"/>
      <c r="N4115" s="81"/>
    </row>
    <row r="4116" spans="1:14" ht="14.25" customHeight="1" x14ac:dyDescent="0.25">
      <c r="A4116" s="81"/>
      <c r="B4116" s="81"/>
      <c r="C4116" s="137"/>
      <c r="D4116" s="81"/>
      <c r="E4116" s="81"/>
      <c r="F4116" s="81"/>
      <c r="G4116" s="81"/>
      <c r="H4116" s="81"/>
      <c r="I4116" s="81"/>
      <c r="J4116" s="81"/>
      <c r="K4116" s="81"/>
      <c r="L4116" s="81"/>
      <c r="M4116" s="81"/>
      <c r="N4116" s="81"/>
    </row>
    <row r="4117" spans="1:14" ht="14.25" customHeight="1" x14ac:dyDescent="0.25">
      <c r="A4117" s="81"/>
      <c r="B4117" s="81"/>
      <c r="C4117" s="137"/>
      <c r="D4117" s="81"/>
      <c r="E4117" s="81"/>
      <c r="F4117" s="81"/>
      <c r="G4117" s="81"/>
      <c r="H4117" s="81"/>
      <c r="I4117" s="81"/>
      <c r="J4117" s="81"/>
      <c r="K4117" s="81"/>
      <c r="L4117" s="81"/>
      <c r="M4117" s="81"/>
      <c r="N4117" s="81"/>
    </row>
    <row r="4118" spans="1:14" ht="14.25" customHeight="1" x14ac:dyDescent="0.25">
      <c r="A4118" s="81"/>
      <c r="B4118" s="81"/>
      <c r="C4118" s="137"/>
      <c r="D4118" s="81"/>
      <c r="E4118" s="81"/>
      <c r="F4118" s="81"/>
      <c r="G4118" s="81"/>
      <c r="H4118" s="81"/>
      <c r="I4118" s="81"/>
      <c r="J4118" s="81"/>
      <c r="K4118" s="81"/>
      <c r="L4118" s="81"/>
      <c r="M4118" s="81"/>
      <c r="N4118" s="81"/>
    </row>
    <row r="4119" spans="1:14" ht="14.25" customHeight="1" x14ac:dyDescent="0.25">
      <c r="A4119" s="81"/>
      <c r="B4119" s="81"/>
      <c r="C4119" s="137"/>
      <c r="D4119" s="81"/>
      <c r="E4119" s="81"/>
      <c r="F4119" s="81"/>
      <c r="G4119" s="81"/>
      <c r="H4119" s="81"/>
      <c r="I4119" s="81"/>
      <c r="J4119" s="81"/>
      <c r="K4119" s="81"/>
      <c r="L4119" s="81"/>
      <c r="M4119" s="81"/>
      <c r="N4119" s="81"/>
    </row>
    <row r="4120" spans="1:14" ht="14.25" customHeight="1" thickBot="1" x14ac:dyDescent="0.3">
      <c r="A4120" s="81"/>
      <c r="B4120" s="81"/>
      <c r="C4120" s="81"/>
      <c r="D4120" s="81"/>
      <c r="E4120" s="81"/>
      <c r="F4120" s="81"/>
      <c r="G4120" s="81"/>
      <c r="H4120" s="81"/>
      <c r="I4120" s="81"/>
      <c r="J4120" s="81"/>
      <c r="K4120" s="81"/>
      <c r="L4120" s="81"/>
      <c r="M4120" s="81"/>
      <c r="N4120" s="81"/>
    </row>
    <row r="4121" spans="1:14" ht="14.25" customHeight="1" x14ac:dyDescent="0.25">
      <c r="A4121" s="83"/>
      <c r="B4121" s="84"/>
      <c r="C4121" s="85"/>
      <c r="D4121" s="86"/>
      <c r="E4121" s="86"/>
      <c r="F4121" s="87"/>
      <c r="G4121" s="81"/>
      <c r="H4121" s="81"/>
      <c r="I4121" s="81"/>
      <c r="J4121" s="81"/>
      <c r="K4121" s="81"/>
      <c r="L4121" s="81"/>
      <c r="M4121" s="81"/>
      <c r="N4121" s="81"/>
    </row>
    <row r="4122" spans="1:14" ht="14.25" customHeight="1" x14ac:dyDescent="0.25">
      <c r="A4122" s="599"/>
      <c r="B4122" s="600"/>
      <c r="C4122" s="600"/>
      <c r="D4122" s="600"/>
      <c r="E4122" s="600"/>
      <c r="F4122" s="601"/>
      <c r="G4122" s="81"/>
      <c r="H4122" s="81"/>
      <c r="I4122" s="81"/>
      <c r="J4122" s="81"/>
      <c r="K4122" s="81"/>
      <c r="L4122" s="81"/>
      <c r="M4122" s="81"/>
      <c r="N4122" s="81"/>
    </row>
    <row r="4123" spans="1:14" ht="14.25" customHeight="1" x14ac:dyDescent="0.25">
      <c r="A4123" s="602" t="s">
        <v>561</v>
      </c>
      <c r="B4123" s="600"/>
      <c r="C4123" s="600"/>
      <c r="D4123" s="600"/>
      <c r="E4123" s="600"/>
      <c r="F4123" s="601"/>
      <c r="G4123" s="81"/>
      <c r="H4123" s="81"/>
      <c r="I4123" s="81"/>
      <c r="J4123" s="81"/>
      <c r="K4123" s="81"/>
      <c r="L4123" s="81"/>
      <c r="M4123" s="81"/>
      <c r="N4123" s="81"/>
    </row>
    <row r="4124" spans="1:14" ht="14.25" customHeight="1" thickBot="1" x14ac:dyDescent="0.3">
      <c r="A4124" s="603"/>
      <c r="B4124" s="604"/>
      <c r="C4124" s="604"/>
      <c r="D4124" s="604"/>
      <c r="E4124" s="604"/>
      <c r="F4124" s="605"/>
      <c r="G4124" s="81"/>
      <c r="H4124" s="81"/>
      <c r="I4124" s="81"/>
      <c r="J4124" s="81"/>
      <c r="K4124" s="81"/>
      <c r="L4124" s="81"/>
      <c r="M4124" s="81"/>
      <c r="N4124" s="81"/>
    </row>
    <row r="4125" spans="1:14" ht="14.25" customHeight="1" x14ac:dyDescent="0.25">
      <c r="A4125" s="88"/>
      <c r="B4125" s="88"/>
      <c r="C4125" s="89"/>
      <c r="D4125" s="89"/>
      <c r="E4125" s="89"/>
      <c r="F4125" s="89"/>
      <c r="G4125" s="81"/>
      <c r="H4125" s="81"/>
      <c r="I4125" s="81"/>
      <c r="J4125" s="81"/>
      <c r="K4125" s="81"/>
      <c r="L4125" s="81"/>
      <c r="M4125" s="81"/>
      <c r="N4125" s="81"/>
    </row>
    <row r="4126" spans="1:14" ht="14.25" customHeight="1" x14ac:dyDescent="0.25">
      <c r="A4126" s="90" t="s">
        <v>47</v>
      </c>
      <c r="B4126" s="613" t="s">
        <v>201</v>
      </c>
      <c r="C4126" s="600"/>
      <c r="D4126" s="600"/>
      <c r="E4126" s="600"/>
      <c r="F4126" s="600"/>
      <c r="G4126" s="81"/>
      <c r="H4126" s="81"/>
      <c r="I4126" s="81"/>
      <c r="J4126" s="81"/>
      <c r="K4126" s="81"/>
      <c r="L4126" s="81"/>
      <c r="M4126" s="81"/>
      <c r="N4126" s="81"/>
    </row>
    <row r="4127" spans="1:14" ht="14.25" customHeight="1" x14ac:dyDescent="0.25">
      <c r="A4127" s="91"/>
      <c r="B4127" s="91"/>
      <c r="C4127" s="91"/>
      <c r="D4127" s="91"/>
      <c r="E4127" s="91"/>
      <c r="F4127" s="91"/>
      <c r="G4127" s="81"/>
      <c r="H4127" s="81"/>
      <c r="I4127" s="81"/>
      <c r="J4127" s="81"/>
      <c r="K4127" s="81"/>
      <c r="L4127" s="81"/>
      <c r="M4127" s="81"/>
      <c r="N4127" s="81"/>
    </row>
    <row r="4128" spans="1:14" ht="14.25" customHeight="1" x14ac:dyDescent="0.25">
      <c r="A4128" s="88" t="s">
        <v>49</v>
      </c>
      <c r="B4128" s="92" t="s">
        <v>59</v>
      </c>
      <c r="C4128" s="89"/>
      <c r="D4128" s="89"/>
      <c r="E4128" s="89"/>
      <c r="F4128" s="93"/>
      <c r="G4128" s="81"/>
      <c r="H4128" s="81"/>
      <c r="I4128" s="81"/>
      <c r="J4128" s="81"/>
      <c r="K4128" s="81"/>
      <c r="L4128" s="81"/>
      <c r="M4128" s="81"/>
      <c r="N4128" s="81"/>
    </row>
    <row r="4129" spans="1:14" ht="14.25" customHeight="1" x14ac:dyDescent="0.25">
      <c r="A4129" s="88"/>
      <c r="B4129" s="94"/>
      <c r="C4129" s="89"/>
      <c r="D4129" s="89"/>
      <c r="E4129" s="89"/>
      <c r="F4129" s="93"/>
      <c r="G4129" s="81"/>
      <c r="H4129" s="81"/>
      <c r="I4129" s="81"/>
      <c r="J4129" s="81"/>
      <c r="K4129" s="81"/>
      <c r="L4129" s="81"/>
      <c r="M4129" s="81"/>
      <c r="N4129" s="81"/>
    </row>
    <row r="4130" spans="1:14" ht="14.25" customHeight="1" x14ac:dyDescent="0.25">
      <c r="A4130" s="95" t="s">
        <v>562</v>
      </c>
      <c r="B4130" s="96"/>
      <c r="C4130" s="92"/>
      <c r="D4130" s="92"/>
      <c r="E4130" s="92"/>
      <c r="F4130" s="92"/>
      <c r="G4130" s="81"/>
      <c r="H4130" s="81"/>
      <c r="I4130" s="81"/>
      <c r="J4130" s="81"/>
      <c r="K4130" s="81"/>
      <c r="L4130" s="81"/>
      <c r="M4130" s="81"/>
      <c r="N4130" s="81"/>
    </row>
    <row r="4131" spans="1:14" ht="14.25" customHeight="1" x14ac:dyDescent="0.25">
      <c r="A4131" s="97" t="s">
        <v>563</v>
      </c>
      <c r="B4131" s="98" t="s">
        <v>564</v>
      </c>
      <c r="C4131" s="98" t="s">
        <v>565</v>
      </c>
      <c r="D4131" s="98" t="s">
        <v>566</v>
      </c>
      <c r="E4131" s="98" t="s">
        <v>567</v>
      </c>
      <c r="F4131" s="98" t="s">
        <v>568</v>
      </c>
      <c r="G4131" s="81"/>
      <c r="H4131" s="81"/>
      <c r="I4131" s="81"/>
      <c r="J4131" s="81"/>
      <c r="K4131" s="81"/>
      <c r="L4131" s="81"/>
      <c r="M4131" s="81"/>
      <c r="N4131" s="81"/>
    </row>
    <row r="4132" spans="1:14" ht="14.25" customHeight="1" x14ac:dyDescent="0.25">
      <c r="A4132" s="99" t="s">
        <v>726</v>
      </c>
      <c r="B4132" s="100" t="s">
        <v>59</v>
      </c>
      <c r="C4132" s="101">
        <v>8550</v>
      </c>
      <c r="D4132" s="149">
        <v>1</v>
      </c>
      <c r="E4132" s="102">
        <v>0.05</v>
      </c>
      <c r="F4132" s="101">
        <f t="shared" ref="F4132:F4135" si="226">C4132*(D4132+(D4132*E4132))</f>
        <v>8977.5</v>
      </c>
      <c r="G4132" s="81"/>
      <c r="H4132" s="81"/>
      <c r="I4132" s="81"/>
      <c r="J4132" s="81"/>
      <c r="K4132" s="81"/>
      <c r="L4132" s="81"/>
      <c r="M4132" s="81"/>
      <c r="N4132" s="81"/>
    </row>
    <row r="4133" spans="1:14" ht="14.25" customHeight="1" x14ac:dyDescent="0.25">
      <c r="A4133" s="99" t="s">
        <v>727</v>
      </c>
      <c r="B4133" s="100" t="s">
        <v>99</v>
      </c>
      <c r="C4133" s="101">
        <v>1850</v>
      </c>
      <c r="D4133" s="149">
        <v>0.25</v>
      </c>
      <c r="E4133" s="102"/>
      <c r="F4133" s="101">
        <f t="shared" si="226"/>
        <v>462.5</v>
      </c>
      <c r="G4133" s="81"/>
      <c r="H4133" s="81"/>
      <c r="I4133" s="81"/>
      <c r="J4133" s="81"/>
      <c r="K4133" s="81"/>
      <c r="L4133" s="81"/>
      <c r="M4133" s="81"/>
      <c r="N4133" s="81"/>
    </row>
    <row r="4134" spans="1:14" ht="14.25" customHeight="1" x14ac:dyDescent="0.25">
      <c r="A4134" s="99" t="s">
        <v>622</v>
      </c>
      <c r="B4134" s="100" t="s">
        <v>99</v>
      </c>
      <c r="C4134" s="101">
        <v>85900</v>
      </c>
      <c r="D4134" s="149">
        <v>3.1E-2</v>
      </c>
      <c r="E4134" s="102">
        <v>0.05</v>
      </c>
      <c r="F4134" s="101">
        <f t="shared" si="226"/>
        <v>2796.0450000000001</v>
      </c>
      <c r="G4134" s="81"/>
      <c r="H4134" s="81"/>
      <c r="I4134" s="81"/>
      <c r="J4134" s="81"/>
      <c r="K4134" s="81"/>
      <c r="L4134" s="81"/>
      <c r="M4134" s="81"/>
      <c r="N4134" s="81"/>
    </row>
    <row r="4135" spans="1:14" ht="14.25" customHeight="1" x14ac:dyDescent="0.25">
      <c r="A4135" s="103" t="s">
        <v>632</v>
      </c>
      <c r="B4135" s="100" t="s">
        <v>99</v>
      </c>
      <c r="C4135" s="101">
        <v>35000</v>
      </c>
      <c r="D4135" s="149">
        <v>1.7000000000000001E-2</v>
      </c>
      <c r="E4135" s="102">
        <v>0.05</v>
      </c>
      <c r="F4135" s="101">
        <f t="shared" si="226"/>
        <v>624.75</v>
      </c>
      <c r="G4135" s="81"/>
      <c r="H4135" s="81"/>
      <c r="I4135" s="81"/>
      <c r="J4135" s="81"/>
      <c r="K4135" s="81"/>
      <c r="L4135" s="81"/>
      <c r="M4135" s="81"/>
      <c r="N4135" s="81"/>
    </row>
    <row r="4136" spans="1:14" ht="14.25" customHeight="1" x14ac:dyDescent="0.25">
      <c r="A4136" s="103"/>
      <c r="B4136" s="100"/>
      <c r="C4136" s="101"/>
      <c r="D4136" s="105"/>
      <c r="E4136" s="102"/>
      <c r="F4136" s="101"/>
      <c r="G4136" s="81"/>
      <c r="H4136" s="81"/>
      <c r="I4136" s="81"/>
      <c r="J4136" s="81"/>
      <c r="K4136" s="81"/>
      <c r="L4136" s="81"/>
      <c r="M4136" s="81"/>
      <c r="N4136" s="81"/>
    </row>
    <row r="4137" spans="1:14" ht="14.25" customHeight="1" x14ac:dyDescent="0.25">
      <c r="A4137" s="99"/>
      <c r="B4137" s="100"/>
      <c r="C4137" s="106"/>
      <c r="D4137" s="107"/>
      <c r="E4137" s="108"/>
      <c r="F4137" s="106"/>
      <c r="G4137" s="81"/>
      <c r="H4137" s="81"/>
      <c r="I4137" s="81"/>
      <c r="J4137" s="81"/>
      <c r="K4137" s="81"/>
      <c r="L4137" s="81"/>
      <c r="M4137" s="81"/>
      <c r="N4137" s="81"/>
    </row>
    <row r="4138" spans="1:14" ht="14.25" customHeight="1" x14ac:dyDescent="0.25">
      <c r="A4138" s="97" t="s">
        <v>548</v>
      </c>
      <c r="B4138" s="97"/>
      <c r="C4138" s="109"/>
      <c r="D4138" s="110"/>
      <c r="E4138" s="111"/>
      <c r="F4138" s="112">
        <f>SUM(F4132:F4137)</f>
        <v>12860.795</v>
      </c>
      <c r="G4138" s="81"/>
      <c r="H4138" s="81"/>
      <c r="I4138" s="81"/>
      <c r="J4138" s="81"/>
      <c r="K4138" s="81"/>
      <c r="L4138" s="81"/>
      <c r="M4138" s="81"/>
      <c r="N4138" s="81"/>
    </row>
    <row r="4139" spans="1:14" ht="14.25" customHeight="1" x14ac:dyDescent="0.25">
      <c r="A4139" s="88"/>
      <c r="B4139" s="88"/>
      <c r="C4139" s="113"/>
      <c r="D4139" s="113"/>
      <c r="E4139" s="114"/>
      <c r="F4139" s="113"/>
      <c r="G4139" s="81"/>
      <c r="H4139" s="81"/>
      <c r="I4139" s="81"/>
      <c r="J4139" s="81"/>
      <c r="K4139" s="81"/>
      <c r="L4139" s="81"/>
      <c r="M4139" s="81"/>
      <c r="N4139" s="81"/>
    </row>
    <row r="4140" spans="1:14" ht="14.25" customHeight="1" x14ac:dyDescent="0.25">
      <c r="A4140" s="96" t="s">
        <v>573</v>
      </c>
      <c r="B4140" s="96"/>
      <c r="C4140" s="92"/>
      <c r="D4140" s="92"/>
      <c r="E4140" s="92"/>
      <c r="F4140" s="92"/>
      <c r="G4140" s="81"/>
      <c r="H4140" s="81"/>
      <c r="I4140" s="81"/>
      <c r="J4140" s="81"/>
      <c r="K4140" s="81"/>
      <c r="L4140" s="81"/>
      <c r="M4140" s="81"/>
      <c r="N4140" s="81"/>
    </row>
    <row r="4141" spans="1:14" ht="14.25" customHeight="1" x14ac:dyDescent="0.25">
      <c r="A4141" s="611" t="s">
        <v>563</v>
      </c>
      <c r="B4141" s="608"/>
      <c r="C4141" s="609"/>
      <c r="D4141" s="98" t="s">
        <v>574</v>
      </c>
      <c r="E4141" s="98" t="s">
        <v>575</v>
      </c>
      <c r="F4141" s="98" t="s">
        <v>568</v>
      </c>
      <c r="G4141" s="81"/>
      <c r="H4141" s="81"/>
      <c r="I4141" s="81"/>
      <c r="J4141" s="81"/>
      <c r="K4141" s="81"/>
      <c r="L4141" s="81"/>
      <c r="M4141" s="81"/>
      <c r="N4141" s="81"/>
    </row>
    <row r="4142" spans="1:14" ht="14.25" customHeight="1" x14ac:dyDescent="0.25">
      <c r="A4142" s="607" t="s">
        <v>577</v>
      </c>
      <c r="B4142" s="608"/>
      <c r="C4142" s="609"/>
      <c r="D4142" s="116"/>
      <c r="E4142" s="107"/>
      <c r="F4142" s="106">
        <f>+F4153*5%</f>
        <v>328.07436257415878</v>
      </c>
      <c r="G4142" s="81"/>
      <c r="H4142" s="81"/>
      <c r="I4142" s="81"/>
      <c r="J4142" s="81"/>
      <c r="K4142" s="81"/>
      <c r="L4142" s="81"/>
      <c r="M4142" s="81"/>
      <c r="N4142" s="81"/>
    </row>
    <row r="4143" spans="1:14" ht="14.25" customHeight="1" x14ac:dyDescent="0.25">
      <c r="A4143" s="607"/>
      <c r="B4143" s="608"/>
      <c r="C4143" s="609"/>
      <c r="D4143" s="116"/>
      <c r="E4143" s="107"/>
      <c r="F4143" s="106"/>
      <c r="G4143" s="81"/>
      <c r="H4143" s="81"/>
      <c r="I4143" s="81"/>
      <c r="J4143" s="81"/>
      <c r="K4143" s="81"/>
      <c r="L4143" s="81"/>
      <c r="M4143" s="81"/>
      <c r="N4143" s="81"/>
    </row>
    <row r="4144" spans="1:14" ht="14.25" customHeight="1" x14ac:dyDescent="0.25">
      <c r="A4144" s="610"/>
      <c r="B4144" s="608"/>
      <c r="C4144" s="609"/>
      <c r="D4144" s="115"/>
      <c r="E4144" s="107"/>
      <c r="F4144" s="106"/>
      <c r="G4144" s="81"/>
      <c r="H4144" s="81"/>
      <c r="I4144" s="81"/>
      <c r="J4144" s="81"/>
      <c r="K4144" s="81"/>
      <c r="L4144" s="81"/>
      <c r="M4144" s="81"/>
      <c r="N4144" s="81"/>
    </row>
    <row r="4145" spans="1:14" ht="14.25" customHeight="1" x14ac:dyDescent="0.25">
      <c r="A4145" s="611" t="s">
        <v>548</v>
      </c>
      <c r="B4145" s="608"/>
      <c r="C4145" s="609"/>
      <c r="D4145" s="110"/>
      <c r="E4145" s="110"/>
      <c r="F4145" s="112">
        <f>SUM(F4142)</f>
        <v>328.07436257415878</v>
      </c>
      <c r="G4145" s="81"/>
      <c r="H4145" s="81"/>
      <c r="I4145" s="81"/>
      <c r="J4145" s="81"/>
      <c r="K4145" s="81"/>
      <c r="L4145" s="81"/>
      <c r="M4145" s="81"/>
      <c r="N4145" s="81"/>
    </row>
    <row r="4146" spans="1:14" ht="14.25" customHeight="1" x14ac:dyDescent="0.25">
      <c r="A4146" s="88"/>
      <c r="B4146" s="88"/>
      <c r="C4146" s="89"/>
      <c r="D4146" s="113"/>
      <c r="E4146" s="113"/>
      <c r="F4146" s="113"/>
      <c r="G4146" s="81"/>
      <c r="H4146" s="81"/>
      <c r="I4146" s="81"/>
      <c r="J4146" s="81"/>
      <c r="K4146" s="81"/>
      <c r="L4146" s="81"/>
      <c r="M4146" s="81"/>
      <c r="N4146" s="81"/>
    </row>
    <row r="4147" spans="1:14" ht="14.25" customHeight="1" x14ac:dyDescent="0.25">
      <c r="A4147" s="96" t="s">
        <v>578</v>
      </c>
      <c r="B4147" s="96"/>
      <c r="C4147" s="92"/>
      <c r="D4147" s="118"/>
      <c r="E4147" s="118"/>
      <c r="F4147" s="118"/>
      <c r="G4147" s="81"/>
      <c r="H4147" s="81"/>
      <c r="I4147" s="81"/>
      <c r="J4147" s="81"/>
      <c r="K4147" s="81"/>
      <c r="L4147" s="81"/>
      <c r="M4147" s="81"/>
      <c r="N4147" s="81"/>
    </row>
    <row r="4148" spans="1:14" ht="14.25" customHeight="1" x14ac:dyDescent="0.25">
      <c r="A4148" s="119" t="s">
        <v>563</v>
      </c>
      <c r="B4148" s="120" t="s">
        <v>579</v>
      </c>
      <c r="C4148" s="120" t="s">
        <v>580</v>
      </c>
      <c r="D4148" s="121" t="s">
        <v>581</v>
      </c>
      <c r="E4148" s="121" t="s">
        <v>575</v>
      </c>
      <c r="F4148" s="121" t="s">
        <v>568</v>
      </c>
      <c r="G4148" s="81"/>
      <c r="H4148" s="81"/>
      <c r="I4148" s="81"/>
      <c r="J4148" s="81"/>
      <c r="K4148" s="81"/>
      <c r="L4148" s="81"/>
      <c r="M4148" s="81"/>
      <c r="N4148" s="81"/>
    </row>
    <row r="4149" spans="1:14" ht="14.25" customHeight="1" x14ac:dyDescent="0.25">
      <c r="A4149" s="122" t="s">
        <v>593</v>
      </c>
      <c r="B4149" s="127">
        <v>1</v>
      </c>
      <c r="C4149" s="101">
        <v>32688</v>
      </c>
      <c r="D4149" s="101">
        <f t="shared" ref="D4149:D4150" si="227">+C4149*1.7</f>
        <v>55569.599999999999</v>
      </c>
      <c r="E4149" s="107">
        <v>22.081</v>
      </c>
      <c r="F4149" s="106">
        <f t="shared" ref="F4149:F4150" si="228">+B4149*(D4149)/E4149</f>
        <v>2516.6251528463386</v>
      </c>
      <c r="G4149" s="81"/>
      <c r="H4149" s="81"/>
      <c r="I4149" s="81"/>
      <c r="J4149" s="81"/>
      <c r="K4149" s="81"/>
      <c r="L4149" s="81"/>
      <c r="M4149" s="81"/>
      <c r="N4149" s="81"/>
    </row>
    <row r="4150" spans="1:14" ht="14.25" customHeight="1" x14ac:dyDescent="0.25">
      <c r="A4150" s="122" t="s">
        <v>594</v>
      </c>
      <c r="B4150" s="127">
        <v>1</v>
      </c>
      <c r="C4150" s="101">
        <v>52538</v>
      </c>
      <c r="D4150" s="101">
        <f t="shared" si="227"/>
        <v>89314.599999999991</v>
      </c>
      <c r="E4150" s="107">
        <f>E4149</f>
        <v>22.081</v>
      </c>
      <c r="F4150" s="106">
        <f t="shared" si="228"/>
        <v>4044.8620986368369</v>
      </c>
      <c r="G4150" s="81"/>
      <c r="H4150" s="81"/>
      <c r="I4150" s="81"/>
      <c r="J4150" s="81"/>
      <c r="K4150" s="81"/>
      <c r="L4150" s="81"/>
      <c r="M4150" s="81"/>
      <c r="N4150" s="81"/>
    </row>
    <row r="4151" spans="1:14" ht="14.25" customHeight="1" x14ac:dyDescent="0.25">
      <c r="A4151" s="122"/>
      <c r="B4151" s="127"/>
      <c r="C4151" s="101"/>
      <c r="D4151" s="101"/>
      <c r="E4151" s="107"/>
      <c r="F4151" s="106"/>
      <c r="G4151" s="81"/>
      <c r="H4151" s="81"/>
      <c r="I4151" s="81"/>
      <c r="J4151" s="81"/>
      <c r="K4151" s="81"/>
      <c r="L4151" s="81"/>
      <c r="M4151" s="81"/>
      <c r="N4151" s="81"/>
    </row>
    <row r="4152" spans="1:14" ht="14.25" customHeight="1" x14ac:dyDescent="0.25">
      <c r="A4152" s="122"/>
      <c r="B4152" s="127"/>
      <c r="C4152" s="101"/>
      <c r="D4152" s="101"/>
      <c r="E4152" s="125"/>
      <c r="F4152" s="106"/>
      <c r="G4152" s="81"/>
      <c r="H4152" s="81"/>
      <c r="I4152" s="81"/>
      <c r="J4152" s="81"/>
      <c r="K4152" s="81"/>
      <c r="L4152" s="81"/>
      <c r="M4152" s="81"/>
      <c r="N4152" s="81"/>
    </row>
    <row r="4153" spans="1:14" ht="14.25" customHeight="1" x14ac:dyDescent="0.25">
      <c r="A4153" s="97" t="s">
        <v>548</v>
      </c>
      <c r="B4153" s="128"/>
      <c r="C4153" s="110"/>
      <c r="D4153" s="110"/>
      <c r="E4153" s="110"/>
      <c r="F4153" s="112">
        <f>SUM(F4149:F4152)</f>
        <v>6561.487251483175</v>
      </c>
      <c r="G4153" s="81"/>
      <c r="H4153" s="81"/>
      <c r="I4153" s="81"/>
      <c r="J4153" s="81"/>
      <c r="K4153" s="81"/>
      <c r="L4153" s="81"/>
      <c r="M4153" s="81"/>
      <c r="N4153" s="81"/>
    </row>
    <row r="4154" spans="1:14" ht="14.25" customHeight="1" x14ac:dyDescent="0.25">
      <c r="A4154" s="96"/>
      <c r="B4154" s="129"/>
      <c r="C4154" s="118"/>
      <c r="D4154" s="118"/>
      <c r="E4154" s="118"/>
      <c r="F4154" s="118"/>
      <c r="G4154" s="81"/>
      <c r="H4154" s="81"/>
      <c r="I4154" s="81"/>
      <c r="J4154" s="81"/>
      <c r="K4154" s="81"/>
      <c r="L4154" s="81"/>
      <c r="M4154" s="81"/>
      <c r="N4154" s="81"/>
    </row>
    <row r="4155" spans="1:14" ht="14.25" customHeight="1" x14ac:dyDescent="0.25">
      <c r="A4155" s="95" t="s">
        <v>583</v>
      </c>
      <c r="B4155" s="96"/>
      <c r="C4155" s="92"/>
      <c r="D4155" s="92"/>
      <c r="E4155" s="92" t="s">
        <v>584</v>
      </c>
      <c r="F4155" s="92"/>
      <c r="G4155" s="81"/>
      <c r="H4155" s="81"/>
      <c r="I4155" s="81"/>
      <c r="J4155" s="81"/>
      <c r="K4155" s="81"/>
      <c r="L4155" s="81"/>
      <c r="M4155" s="81"/>
      <c r="N4155" s="81"/>
    </row>
    <row r="4156" spans="1:14" ht="14.25" customHeight="1" x14ac:dyDescent="0.25">
      <c r="A4156" s="97" t="s">
        <v>563</v>
      </c>
      <c r="B4156" s="98" t="s">
        <v>564</v>
      </c>
      <c r="C4156" s="98" t="s">
        <v>585</v>
      </c>
      <c r="D4156" s="98" t="s">
        <v>586</v>
      </c>
      <c r="E4156" s="120" t="s">
        <v>587</v>
      </c>
      <c r="F4156" s="98" t="s">
        <v>568</v>
      </c>
      <c r="G4156" s="81"/>
      <c r="H4156" s="81"/>
      <c r="I4156" s="81"/>
      <c r="J4156" s="81"/>
      <c r="K4156" s="81"/>
      <c r="L4156" s="81"/>
      <c r="M4156" s="81"/>
      <c r="N4156" s="81"/>
    </row>
    <row r="4157" spans="1:14" ht="14.25" customHeight="1" x14ac:dyDescent="0.25">
      <c r="A4157" s="103"/>
      <c r="B4157" s="100"/>
      <c r="C4157" s="101"/>
      <c r="D4157" s="130"/>
      <c r="E4157" s="107"/>
      <c r="F4157" s="109">
        <f>+C4157*D4157*E4157</f>
        <v>0</v>
      </c>
      <c r="G4157" s="81"/>
      <c r="H4157" s="81"/>
      <c r="I4157" s="81"/>
      <c r="J4157" s="81"/>
      <c r="K4157" s="81"/>
      <c r="L4157" s="81"/>
      <c r="M4157" s="81"/>
      <c r="N4157" s="81"/>
    </row>
    <row r="4158" spans="1:14" ht="14.25" customHeight="1" x14ac:dyDescent="0.25">
      <c r="A4158" s="103"/>
      <c r="B4158" s="100"/>
      <c r="C4158" s="107"/>
      <c r="D4158" s="107"/>
      <c r="E4158" s="108"/>
      <c r="F4158" s="109"/>
      <c r="G4158" s="81"/>
      <c r="H4158" s="81"/>
      <c r="I4158" s="81"/>
      <c r="J4158" s="81"/>
      <c r="K4158" s="81"/>
      <c r="L4158" s="81"/>
      <c r="M4158" s="81"/>
      <c r="N4158" s="81"/>
    </row>
    <row r="4159" spans="1:14" ht="14.25" customHeight="1" x14ac:dyDescent="0.25">
      <c r="A4159" s="97" t="s">
        <v>548</v>
      </c>
      <c r="B4159" s="98"/>
      <c r="C4159" s="110"/>
      <c r="D4159" s="110"/>
      <c r="E4159" s="111"/>
      <c r="F4159" s="112">
        <f>SUM(F4157:F4158)</f>
        <v>0</v>
      </c>
      <c r="G4159" s="81"/>
      <c r="H4159" s="81"/>
      <c r="I4159" s="81"/>
      <c r="J4159" s="81"/>
      <c r="K4159" s="81"/>
      <c r="L4159" s="81"/>
      <c r="M4159" s="81"/>
      <c r="N4159" s="81"/>
    </row>
    <row r="4160" spans="1:14" ht="14.25" customHeight="1" x14ac:dyDescent="0.25">
      <c r="A4160" s="88"/>
      <c r="B4160" s="89"/>
      <c r="C4160" s="113"/>
      <c r="D4160" s="113"/>
      <c r="E4160" s="114"/>
      <c r="F4160" s="113"/>
      <c r="G4160" s="81"/>
      <c r="H4160" s="81"/>
      <c r="I4160" s="81"/>
      <c r="J4160" s="81"/>
      <c r="K4160" s="81"/>
      <c r="L4160" s="81"/>
      <c r="M4160" s="81"/>
      <c r="N4160" s="81"/>
    </row>
    <row r="4161" spans="1:14" ht="14.25" customHeight="1" x14ac:dyDescent="0.25">
      <c r="A4161" s="88"/>
      <c r="B4161" s="89"/>
      <c r="C4161" s="113"/>
      <c r="D4161" s="113"/>
      <c r="E4161" s="114"/>
      <c r="F4161" s="113"/>
      <c r="G4161" s="81"/>
      <c r="H4161" s="81"/>
      <c r="I4161" s="81"/>
      <c r="J4161" s="81"/>
      <c r="K4161" s="81"/>
      <c r="L4161" s="81"/>
      <c r="M4161" s="81"/>
      <c r="N4161" s="81"/>
    </row>
    <row r="4162" spans="1:14" ht="14.25" customHeight="1" x14ac:dyDescent="0.25">
      <c r="A4162" s="612" t="s">
        <v>588</v>
      </c>
      <c r="B4162" s="608"/>
      <c r="C4162" s="608"/>
      <c r="D4162" s="608"/>
      <c r="E4162" s="609"/>
      <c r="F4162" s="131">
        <f>ROUND(F4138+F4145+F4153+F4159,0)</f>
        <v>19750</v>
      </c>
      <c r="G4162" s="81"/>
      <c r="H4162" s="117"/>
      <c r="I4162" s="81"/>
      <c r="J4162" s="81"/>
      <c r="K4162" s="81"/>
      <c r="L4162" s="81"/>
      <c r="M4162" s="81"/>
      <c r="N4162" s="81"/>
    </row>
    <row r="4163" spans="1:14" ht="14.25" customHeight="1" x14ac:dyDescent="0.25">
      <c r="A4163" s="612" t="s">
        <v>589</v>
      </c>
      <c r="B4163" s="608"/>
      <c r="C4163" s="608"/>
      <c r="D4163" s="608"/>
      <c r="E4163" s="609"/>
      <c r="F4163" s="132"/>
      <c r="G4163" s="81"/>
      <c r="H4163" s="81"/>
      <c r="I4163" s="81"/>
      <c r="J4163" s="81"/>
      <c r="K4163" s="81"/>
      <c r="L4163" s="81"/>
      <c r="M4163" s="81"/>
      <c r="N4163" s="81"/>
    </row>
    <row r="4164" spans="1:14" ht="14.25" customHeight="1" x14ac:dyDescent="0.25">
      <c r="A4164" s="612" t="s">
        <v>556</v>
      </c>
      <c r="B4164" s="608"/>
      <c r="C4164" s="608"/>
      <c r="D4164" s="608"/>
      <c r="E4164" s="609"/>
      <c r="F4164" s="133"/>
      <c r="G4164" s="81"/>
      <c r="H4164" s="81"/>
      <c r="I4164" s="81"/>
      <c r="J4164" s="81"/>
      <c r="K4164" s="81"/>
      <c r="L4164" s="81"/>
      <c r="M4164" s="81"/>
      <c r="N4164" s="81"/>
    </row>
    <row r="4165" spans="1:14" ht="14.25" customHeight="1" x14ac:dyDescent="0.25">
      <c r="A4165" s="134"/>
      <c r="B4165" s="135"/>
      <c r="C4165" s="135"/>
      <c r="D4165" s="135"/>
      <c r="E4165" s="135"/>
      <c r="F4165" s="136"/>
      <c r="G4165" s="81"/>
      <c r="H4165" s="81"/>
      <c r="I4165" s="81"/>
      <c r="J4165" s="81"/>
      <c r="K4165" s="81"/>
      <c r="L4165" s="81"/>
      <c r="M4165" s="81"/>
      <c r="N4165" s="81"/>
    </row>
    <row r="4166" spans="1:14" ht="14.25" customHeight="1" x14ac:dyDescent="0.25">
      <c r="A4166" s="134"/>
      <c r="B4166" s="135"/>
      <c r="C4166" s="135"/>
      <c r="D4166" s="135"/>
      <c r="E4166" s="135"/>
      <c r="F4166" s="136"/>
      <c r="G4166" s="81"/>
      <c r="H4166" s="81"/>
      <c r="I4166" s="81"/>
      <c r="J4166" s="81"/>
      <c r="K4166" s="81"/>
      <c r="L4166" s="81"/>
      <c r="M4166" s="81"/>
      <c r="N4166" s="81"/>
    </row>
    <row r="4167" spans="1:14" ht="14.25" customHeight="1" x14ac:dyDescent="0.25">
      <c r="A4167" s="134"/>
      <c r="B4167" s="135"/>
      <c r="C4167" s="135"/>
      <c r="D4167" s="135"/>
      <c r="E4167" s="135"/>
      <c r="F4167" s="136"/>
      <c r="G4167" s="81"/>
      <c r="H4167" s="81"/>
      <c r="I4167" s="81"/>
      <c r="J4167" s="81"/>
      <c r="K4167" s="81"/>
      <c r="L4167" s="81"/>
      <c r="M4167" s="81"/>
      <c r="N4167" s="81"/>
    </row>
    <row r="4168" spans="1:14" ht="14.25" customHeight="1" x14ac:dyDescent="0.25">
      <c r="A4168" s="134"/>
      <c r="B4168" s="135"/>
      <c r="C4168" s="135"/>
      <c r="D4168" s="135"/>
      <c r="E4168" s="135"/>
      <c r="F4168" s="136"/>
      <c r="G4168" s="81"/>
      <c r="H4168" s="81"/>
      <c r="I4168" s="81"/>
      <c r="J4168" s="81"/>
      <c r="K4168" s="81"/>
      <c r="L4168" s="81"/>
      <c r="M4168" s="81"/>
      <c r="N4168" s="81"/>
    </row>
    <row r="4169" spans="1:14" ht="14.25" customHeight="1" x14ac:dyDescent="0.25">
      <c r="A4169" s="134"/>
      <c r="B4169" s="135"/>
      <c r="C4169" s="135"/>
      <c r="D4169" s="135"/>
      <c r="E4169" s="135"/>
      <c r="F4169" s="136"/>
      <c r="G4169" s="81"/>
      <c r="H4169" s="81"/>
      <c r="I4169" s="81"/>
      <c r="J4169" s="81"/>
      <c r="K4169" s="81"/>
      <c r="L4169" s="81"/>
      <c r="M4169" s="81"/>
      <c r="N4169" s="81"/>
    </row>
    <row r="4170" spans="1:14" ht="14.25" customHeight="1" x14ac:dyDescent="0.25">
      <c r="A4170" s="134"/>
      <c r="B4170" s="135"/>
      <c r="C4170" s="135"/>
      <c r="D4170" s="135"/>
      <c r="E4170" s="135"/>
      <c r="F4170" s="136"/>
      <c r="G4170" s="81"/>
      <c r="H4170" s="81"/>
      <c r="I4170" s="81"/>
      <c r="J4170" s="81"/>
      <c r="K4170" s="81"/>
      <c r="L4170" s="81"/>
      <c r="M4170" s="81"/>
      <c r="N4170" s="81"/>
    </row>
    <row r="4171" spans="1:14" ht="14.25" customHeight="1" x14ac:dyDescent="0.25">
      <c r="A4171" s="81"/>
      <c r="B4171" s="81"/>
      <c r="C4171" s="137"/>
      <c r="D4171" s="81"/>
      <c r="E4171" s="81"/>
      <c r="F4171" s="81"/>
      <c r="G4171" s="81"/>
      <c r="H4171" s="81"/>
      <c r="I4171" s="81"/>
      <c r="J4171" s="81"/>
      <c r="K4171" s="81"/>
      <c r="L4171" s="81"/>
      <c r="M4171" s="81"/>
      <c r="N4171" s="81"/>
    </row>
    <row r="4172" spans="1:14" ht="14.25" customHeight="1" x14ac:dyDescent="0.25">
      <c r="A4172" s="81"/>
      <c r="B4172" s="81"/>
      <c r="C4172" s="137"/>
      <c r="D4172" s="81"/>
      <c r="E4172" s="81"/>
      <c r="F4172" s="81"/>
      <c r="G4172" s="81"/>
      <c r="H4172" s="81"/>
      <c r="I4172" s="81"/>
      <c r="J4172" s="81"/>
      <c r="K4172" s="81"/>
      <c r="L4172" s="81"/>
      <c r="M4172" s="81"/>
      <c r="N4172" s="81"/>
    </row>
    <row r="4173" spans="1:14" ht="14.25" customHeight="1" x14ac:dyDescent="0.25">
      <c r="A4173" s="81"/>
      <c r="B4173" s="81"/>
      <c r="C4173" s="137"/>
      <c r="D4173" s="81"/>
      <c r="E4173" s="81"/>
      <c r="F4173" s="81"/>
      <c r="G4173" s="81"/>
      <c r="H4173" s="81"/>
      <c r="I4173" s="81"/>
      <c r="J4173" s="81"/>
      <c r="K4173" s="81"/>
      <c r="L4173" s="81"/>
      <c r="M4173" s="81"/>
      <c r="N4173" s="81"/>
    </row>
    <row r="4174" spans="1:14" ht="14.25" customHeight="1" x14ac:dyDescent="0.25">
      <c r="A4174" s="81"/>
      <c r="B4174" s="81"/>
      <c r="C4174" s="137"/>
      <c r="D4174" s="81"/>
      <c r="E4174" s="81"/>
      <c r="F4174" s="81"/>
      <c r="G4174" s="81"/>
      <c r="H4174" s="81"/>
      <c r="I4174" s="81"/>
      <c r="J4174" s="81"/>
      <c r="K4174" s="81"/>
      <c r="L4174" s="81"/>
      <c r="M4174" s="81"/>
      <c r="N4174" s="81"/>
    </row>
    <row r="4175" spans="1:14" ht="14.25" customHeight="1" thickBot="1" x14ac:dyDescent="0.3">
      <c r="A4175" s="81"/>
      <c r="B4175" s="81"/>
      <c r="C4175" s="81"/>
      <c r="D4175" s="81"/>
      <c r="E4175" s="81"/>
      <c r="F4175" s="81"/>
      <c r="G4175" s="81"/>
      <c r="H4175" s="81"/>
      <c r="I4175" s="81"/>
      <c r="J4175" s="81"/>
      <c r="K4175" s="81"/>
      <c r="L4175" s="81"/>
      <c r="M4175" s="81"/>
      <c r="N4175" s="81"/>
    </row>
    <row r="4176" spans="1:14" ht="14.25" customHeight="1" x14ac:dyDescent="0.25">
      <c r="A4176" s="83"/>
      <c r="B4176" s="84"/>
      <c r="C4176" s="85"/>
      <c r="D4176" s="86"/>
      <c r="E4176" s="86"/>
      <c r="F4176" s="87"/>
      <c r="G4176" s="81"/>
      <c r="H4176" s="81"/>
      <c r="I4176" s="81"/>
      <c r="J4176" s="81"/>
      <c r="K4176" s="81"/>
      <c r="L4176" s="81"/>
      <c r="M4176" s="81"/>
      <c r="N4176" s="81"/>
    </row>
    <row r="4177" spans="1:14" ht="14.25" customHeight="1" x14ac:dyDescent="0.25">
      <c r="A4177" s="599"/>
      <c r="B4177" s="600"/>
      <c r="C4177" s="600"/>
      <c r="D4177" s="600"/>
      <c r="E4177" s="600"/>
      <c r="F4177" s="601"/>
      <c r="G4177" s="81"/>
      <c r="H4177" s="81"/>
      <c r="I4177" s="81"/>
      <c r="J4177" s="81"/>
      <c r="K4177" s="81"/>
      <c r="L4177" s="81"/>
      <c r="M4177" s="81"/>
      <c r="N4177" s="81"/>
    </row>
    <row r="4178" spans="1:14" ht="14.25" customHeight="1" x14ac:dyDescent="0.25">
      <c r="A4178" s="602" t="s">
        <v>561</v>
      </c>
      <c r="B4178" s="600"/>
      <c r="C4178" s="600"/>
      <c r="D4178" s="600"/>
      <c r="E4178" s="600"/>
      <c r="F4178" s="601"/>
      <c r="G4178" s="81"/>
      <c r="H4178" s="81"/>
      <c r="I4178" s="81"/>
      <c r="J4178" s="81"/>
      <c r="K4178" s="81"/>
      <c r="L4178" s="81"/>
      <c r="M4178" s="81"/>
      <c r="N4178" s="81"/>
    </row>
    <row r="4179" spans="1:14" ht="14.25" customHeight="1" thickBot="1" x14ac:dyDescent="0.3">
      <c r="A4179" s="603"/>
      <c r="B4179" s="604"/>
      <c r="C4179" s="604"/>
      <c r="D4179" s="604"/>
      <c r="E4179" s="604"/>
      <c r="F4179" s="605"/>
      <c r="G4179" s="81"/>
      <c r="H4179" s="81"/>
      <c r="I4179" s="81"/>
      <c r="J4179" s="81"/>
      <c r="K4179" s="81"/>
      <c r="L4179" s="81"/>
      <c r="M4179" s="81"/>
      <c r="N4179" s="81"/>
    </row>
    <row r="4180" spans="1:14" ht="14.25" customHeight="1" x14ac:dyDescent="0.25">
      <c r="A4180" s="88"/>
      <c r="B4180" s="88"/>
      <c r="C4180" s="89"/>
      <c r="D4180" s="89"/>
      <c r="E4180" s="89"/>
      <c r="F4180" s="89"/>
      <c r="G4180" s="81"/>
      <c r="H4180" s="81"/>
      <c r="I4180" s="81"/>
      <c r="J4180" s="81"/>
      <c r="K4180" s="81"/>
      <c r="L4180" s="81"/>
      <c r="M4180" s="81"/>
      <c r="N4180" s="81"/>
    </row>
    <row r="4181" spans="1:14" ht="14.25" customHeight="1" x14ac:dyDescent="0.25">
      <c r="A4181" s="90" t="s">
        <v>47</v>
      </c>
      <c r="B4181" s="613" t="s">
        <v>728</v>
      </c>
      <c r="C4181" s="600"/>
      <c r="D4181" s="600"/>
      <c r="E4181" s="600"/>
      <c r="F4181" s="600"/>
      <c r="G4181" s="81"/>
      <c r="H4181" s="81"/>
      <c r="I4181" s="81"/>
      <c r="J4181" s="81"/>
      <c r="K4181" s="81"/>
      <c r="L4181" s="81"/>
      <c r="M4181" s="81"/>
      <c r="N4181" s="81"/>
    </row>
    <row r="4182" spans="1:14" ht="14.25" customHeight="1" x14ac:dyDescent="0.25">
      <c r="A4182" s="91"/>
      <c r="B4182" s="91"/>
      <c r="C4182" s="91"/>
      <c r="D4182" s="91"/>
      <c r="E4182" s="91"/>
      <c r="F4182" s="91"/>
      <c r="G4182" s="81"/>
      <c r="H4182" s="81"/>
      <c r="I4182" s="81"/>
      <c r="J4182" s="81"/>
      <c r="K4182" s="81"/>
      <c r="L4182" s="81"/>
      <c r="M4182" s="81"/>
      <c r="N4182" s="81"/>
    </row>
    <row r="4183" spans="1:14" ht="14.25" customHeight="1" x14ac:dyDescent="0.25">
      <c r="A4183" s="88" t="s">
        <v>49</v>
      </c>
      <c r="B4183" s="92" t="s">
        <v>59</v>
      </c>
      <c r="C4183" s="89"/>
      <c r="D4183" s="89"/>
      <c r="E4183" s="89"/>
      <c r="F4183" s="93"/>
      <c r="G4183" s="81"/>
      <c r="H4183" s="81"/>
      <c r="I4183" s="81"/>
      <c r="J4183" s="81"/>
      <c r="K4183" s="81"/>
      <c r="L4183" s="81"/>
      <c r="M4183" s="81"/>
      <c r="N4183" s="81"/>
    </row>
    <row r="4184" spans="1:14" ht="14.25" customHeight="1" x14ac:dyDescent="0.25">
      <c r="A4184" s="88"/>
      <c r="B4184" s="94"/>
      <c r="C4184" s="89"/>
      <c r="D4184" s="89"/>
      <c r="E4184" s="89"/>
      <c r="F4184" s="93"/>
      <c r="G4184" s="81"/>
      <c r="H4184" s="81"/>
      <c r="I4184" s="81"/>
      <c r="J4184" s="81"/>
      <c r="K4184" s="81"/>
      <c r="L4184" s="81"/>
      <c r="M4184" s="81"/>
      <c r="N4184" s="81"/>
    </row>
    <row r="4185" spans="1:14" ht="14.25" customHeight="1" x14ac:dyDescent="0.25">
      <c r="A4185" s="95" t="s">
        <v>562</v>
      </c>
      <c r="B4185" s="96"/>
      <c r="C4185" s="92"/>
      <c r="D4185" s="92"/>
      <c r="E4185" s="92"/>
      <c r="F4185" s="92"/>
      <c r="G4185" s="81"/>
      <c r="H4185" s="81"/>
      <c r="I4185" s="81"/>
      <c r="J4185" s="81"/>
      <c r="K4185" s="81"/>
      <c r="L4185" s="81"/>
      <c r="M4185" s="81"/>
      <c r="N4185" s="81"/>
    </row>
    <row r="4186" spans="1:14" ht="14.25" customHeight="1" x14ac:dyDescent="0.25">
      <c r="A4186" s="97" t="s">
        <v>563</v>
      </c>
      <c r="B4186" s="98" t="s">
        <v>564</v>
      </c>
      <c r="C4186" s="98" t="s">
        <v>565</v>
      </c>
      <c r="D4186" s="98" t="s">
        <v>566</v>
      </c>
      <c r="E4186" s="98" t="s">
        <v>567</v>
      </c>
      <c r="F4186" s="98" t="s">
        <v>568</v>
      </c>
      <c r="G4186" s="81"/>
      <c r="H4186" s="81"/>
      <c r="I4186" s="81"/>
      <c r="J4186" s="81"/>
      <c r="K4186" s="81"/>
      <c r="L4186" s="81"/>
      <c r="M4186" s="81"/>
      <c r="N4186" s="81"/>
    </row>
    <row r="4187" spans="1:14" ht="14.25" customHeight="1" x14ac:dyDescent="0.25">
      <c r="A4187" s="99" t="s">
        <v>628</v>
      </c>
      <c r="B4187" s="100" t="s">
        <v>59</v>
      </c>
      <c r="C4187" s="101">
        <v>5980</v>
      </c>
      <c r="D4187" s="149">
        <v>1</v>
      </c>
      <c r="E4187" s="102">
        <v>0.05</v>
      </c>
      <c r="F4187" s="101">
        <f t="shared" ref="F4187:F4190" si="229">C4187*(D4187+(D4187*E4187))</f>
        <v>6279</v>
      </c>
      <c r="G4187" s="81"/>
      <c r="H4187" s="81"/>
      <c r="I4187" s="81"/>
      <c r="J4187" s="81"/>
      <c r="K4187" s="81"/>
      <c r="L4187" s="81"/>
      <c r="M4187" s="81"/>
      <c r="N4187" s="81"/>
    </row>
    <row r="4188" spans="1:14" ht="14.25" customHeight="1" x14ac:dyDescent="0.25">
      <c r="A4188" s="99" t="s">
        <v>729</v>
      </c>
      <c r="B4188" s="100" t="s">
        <v>99</v>
      </c>
      <c r="C4188" s="101">
        <v>1380</v>
      </c>
      <c r="D4188" s="149">
        <v>0.25</v>
      </c>
      <c r="E4188" s="102"/>
      <c r="F4188" s="101">
        <f t="shared" si="229"/>
        <v>345</v>
      </c>
      <c r="G4188" s="81"/>
      <c r="H4188" s="81"/>
      <c r="I4188" s="81"/>
      <c r="J4188" s="81"/>
      <c r="K4188" s="81"/>
      <c r="L4188" s="81"/>
      <c r="M4188" s="81"/>
      <c r="N4188" s="81"/>
    </row>
    <row r="4189" spans="1:14" ht="14.25" customHeight="1" x14ac:dyDescent="0.25">
      <c r="A4189" s="99" t="s">
        <v>622</v>
      </c>
      <c r="B4189" s="100" t="s">
        <v>99</v>
      </c>
      <c r="C4189" s="101">
        <v>85900</v>
      </c>
      <c r="D4189" s="149">
        <v>0.03</v>
      </c>
      <c r="E4189" s="102">
        <v>0.05</v>
      </c>
      <c r="F4189" s="101">
        <f t="shared" si="229"/>
        <v>2705.85</v>
      </c>
      <c r="G4189" s="81"/>
      <c r="H4189" s="81"/>
      <c r="I4189" s="81"/>
      <c r="J4189" s="81"/>
      <c r="K4189" s="81"/>
      <c r="L4189" s="81"/>
      <c r="M4189" s="81"/>
      <c r="N4189" s="81"/>
    </row>
    <row r="4190" spans="1:14" ht="14.25" customHeight="1" x14ac:dyDescent="0.25">
      <c r="A4190" s="103" t="s">
        <v>632</v>
      </c>
      <c r="B4190" s="100" t="s">
        <v>99</v>
      </c>
      <c r="C4190" s="101">
        <v>35000</v>
      </c>
      <c r="D4190" s="149">
        <v>1.4999999999999999E-2</v>
      </c>
      <c r="E4190" s="102">
        <v>0.05</v>
      </c>
      <c r="F4190" s="101">
        <f t="shared" si="229"/>
        <v>551.25</v>
      </c>
      <c r="G4190" s="81"/>
      <c r="H4190" s="81"/>
      <c r="I4190" s="81"/>
      <c r="J4190" s="81"/>
      <c r="K4190" s="81"/>
      <c r="L4190" s="81"/>
      <c r="M4190" s="81"/>
      <c r="N4190" s="81"/>
    </row>
    <row r="4191" spans="1:14" ht="14.25" customHeight="1" x14ac:dyDescent="0.25">
      <c r="A4191" s="103"/>
      <c r="B4191" s="100"/>
      <c r="C4191" s="101"/>
      <c r="D4191" s="105"/>
      <c r="E4191" s="102"/>
      <c r="F4191" s="101"/>
      <c r="G4191" s="81"/>
      <c r="H4191" s="81"/>
      <c r="I4191" s="81"/>
      <c r="J4191" s="81"/>
      <c r="K4191" s="81"/>
      <c r="L4191" s="81"/>
      <c r="M4191" s="81"/>
      <c r="N4191" s="81"/>
    </row>
    <row r="4192" spans="1:14" ht="14.25" customHeight="1" x14ac:dyDescent="0.25">
      <c r="A4192" s="99"/>
      <c r="B4192" s="100"/>
      <c r="C4192" s="106"/>
      <c r="D4192" s="107"/>
      <c r="E4192" s="108"/>
      <c r="F4192" s="106"/>
      <c r="G4192" s="81"/>
      <c r="H4192" s="81"/>
      <c r="I4192" s="81"/>
      <c r="J4192" s="81"/>
      <c r="K4192" s="81"/>
      <c r="L4192" s="81"/>
      <c r="M4192" s="81"/>
      <c r="N4192" s="81"/>
    </row>
    <row r="4193" spans="1:14" ht="14.25" customHeight="1" x14ac:dyDescent="0.25">
      <c r="A4193" s="97" t="s">
        <v>548</v>
      </c>
      <c r="B4193" s="97"/>
      <c r="C4193" s="109"/>
      <c r="D4193" s="110"/>
      <c r="E4193" s="111"/>
      <c r="F4193" s="112">
        <f>SUM(F4187:F4192)</f>
        <v>9881.1</v>
      </c>
      <c r="G4193" s="81"/>
      <c r="H4193" s="81"/>
      <c r="I4193" s="81"/>
      <c r="J4193" s="81"/>
      <c r="K4193" s="81"/>
      <c r="L4193" s="81"/>
      <c r="M4193" s="81"/>
      <c r="N4193" s="81"/>
    </row>
    <row r="4194" spans="1:14" ht="14.25" customHeight="1" x14ac:dyDescent="0.25">
      <c r="A4194" s="88"/>
      <c r="B4194" s="88"/>
      <c r="C4194" s="113"/>
      <c r="D4194" s="113"/>
      <c r="E4194" s="114"/>
      <c r="F4194" s="113"/>
      <c r="G4194" s="81"/>
      <c r="H4194" s="81"/>
      <c r="I4194" s="81"/>
      <c r="J4194" s="81"/>
      <c r="K4194" s="81"/>
      <c r="L4194" s="81"/>
      <c r="M4194" s="81"/>
      <c r="N4194" s="81"/>
    </row>
    <row r="4195" spans="1:14" ht="14.25" customHeight="1" x14ac:dyDescent="0.25">
      <c r="A4195" s="96" t="s">
        <v>573</v>
      </c>
      <c r="B4195" s="96"/>
      <c r="C4195" s="92"/>
      <c r="D4195" s="92"/>
      <c r="E4195" s="92"/>
      <c r="F4195" s="92"/>
      <c r="G4195" s="81"/>
      <c r="H4195" s="81"/>
      <c r="I4195" s="81"/>
      <c r="J4195" s="81"/>
      <c r="K4195" s="81"/>
      <c r="L4195" s="81"/>
      <c r="M4195" s="81"/>
      <c r="N4195" s="81"/>
    </row>
    <row r="4196" spans="1:14" ht="14.25" customHeight="1" x14ac:dyDescent="0.25">
      <c r="A4196" s="611" t="s">
        <v>563</v>
      </c>
      <c r="B4196" s="608"/>
      <c r="C4196" s="609"/>
      <c r="D4196" s="98" t="s">
        <v>574</v>
      </c>
      <c r="E4196" s="98" t="s">
        <v>575</v>
      </c>
      <c r="F4196" s="98" t="s">
        <v>568</v>
      </c>
      <c r="G4196" s="81"/>
      <c r="H4196" s="81"/>
      <c r="I4196" s="81"/>
      <c r="J4196" s="81"/>
      <c r="K4196" s="81"/>
      <c r="L4196" s="81"/>
      <c r="M4196" s="81"/>
      <c r="N4196" s="81"/>
    </row>
    <row r="4197" spans="1:14" ht="14.25" customHeight="1" x14ac:dyDescent="0.25">
      <c r="A4197" s="607" t="s">
        <v>577</v>
      </c>
      <c r="B4197" s="608"/>
      <c r="C4197" s="609"/>
      <c r="D4197" s="116"/>
      <c r="E4197" s="107"/>
      <c r="F4197" s="106">
        <f>+F4208*5%</f>
        <v>315.1849112426035</v>
      </c>
      <c r="G4197" s="81"/>
      <c r="H4197" s="81"/>
      <c r="I4197" s="81"/>
      <c r="J4197" s="81"/>
      <c r="K4197" s="81"/>
      <c r="L4197" s="81"/>
      <c r="M4197" s="81"/>
      <c r="N4197" s="81"/>
    </row>
    <row r="4198" spans="1:14" ht="14.25" customHeight="1" x14ac:dyDescent="0.25">
      <c r="A4198" s="607"/>
      <c r="B4198" s="608"/>
      <c r="C4198" s="609"/>
      <c r="D4198" s="116"/>
      <c r="E4198" s="107"/>
      <c r="F4198" s="106"/>
      <c r="G4198" s="81"/>
      <c r="H4198" s="81"/>
      <c r="I4198" s="81"/>
      <c r="J4198" s="81"/>
      <c r="K4198" s="81"/>
      <c r="L4198" s="81"/>
      <c r="M4198" s="81"/>
      <c r="N4198" s="81"/>
    </row>
    <row r="4199" spans="1:14" ht="14.25" customHeight="1" x14ac:dyDescent="0.25">
      <c r="A4199" s="610"/>
      <c r="B4199" s="608"/>
      <c r="C4199" s="609"/>
      <c r="D4199" s="115"/>
      <c r="E4199" s="107"/>
      <c r="F4199" s="106"/>
      <c r="G4199" s="81"/>
      <c r="H4199" s="81"/>
      <c r="I4199" s="81"/>
      <c r="J4199" s="81"/>
      <c r="K4199" s="81"/>
      <c r="L4199" s="81"/>
      <c r="M4199" s="81"/>
      <c r="N4199" s="81"/>
    </row>
    <row r="4200" spans="1:14" ht="14.25" customHeight="1" x14ac:dyDescent="0.25">
      <c r="A4200" s="611" t="s">
        <v>548</v>
      </c>
      <c r="B4200" s="608"/>
      <c r="C4200" s="609"/>
      <c r="D4200" s="110"/>
      <c r="E4200" s="110"/>
      <c r="F4200" s="112">
        <f>SUM(F4197)</f>
        <v>315.1849112426035</v>
      </c>
      <c r="G4200" s="81"/>
      <c r="H4200" s="81"/>
      <c r="I4200" s="81"/>
      <c r="J4200" s="81"/>
      <c r="K4200" s="81"/>
      <c r="L4200" s="81"/>
      <c r="M4200" s="81"/>
      <c r="N4200" s="81"/>
    </row>
    <row r="4201" spans="1:14" ht="14.25" customHeight="1" x14ac:dyDescent="0.25">
      <c r="A4201" s="88"/>
      <c r="B4201" s="88"/>
      <c r="C4201" s="89"/>
      <c r="D4201" s="113"/>
      <c r="E4201" s="113"/>
      <c r="F4201" s="113"/>
      <c r="G4201" s="81"/>
      <c r="H4201" s="81"/>
      <c r="I4201" s="81"/>
      <c r="J4201" s="81"/>
      <c r="K4201" s="81"/>
      <c r="L4201" s="81"/>
      <c r="M4201" s="81"/>
      <c r="N4201" s="81"/>
    </row>
    <row r="4202" spans="1:14" ht="14.25" customHeight="1" x14ac:dyDescent="0.25">
      <c r="A4202" s="96" t="s">
        <v>578</v>
      </c>
      <c r="B4202" s="96"/>
      <c r="C4202" s="92"/>
      <c r="D4202" s="118"/>
      <c r="E4202" s="118"/>
      <c r="F4202" s="118"/>
      <c r="G4202" s="81"/>
      <c r="H4202" s="81"/>
      <c r="I4202" s="81"/>
      <c r="J4202" s="81"/>
      <c r="K4202" s="81"/>
      <c r="L4202" s="81"/>
      <c r="M4202" s="81"/>
      <c r="N4202" s="81"/>
    </row>
    <row r="4203" spans="1:14" ht="14.25" customHeight="1" x14ac:dyDescent="0.25">
      <c r="A4203" s="119" t="s">
        <v>563</v>
      </c>
      <c r="B4203" s="120" t="s">
        <v>579</v>
      </c>
      <c r="C4203" s="120" t="s">
        <v>580</v>
      </c>
      <c r="D4203" s="121" t="s">
        <v>581</v>
      </c>
      <c r="E4203" s="121" t="s">
        <v>575</v>
      </c>
      <c r="F4203" s="121" t="s">
        <v>568</v>
      </c>
      <c r="G4203" s="81"/>
      <c r="H4203" s="81"/>
      <c r="I4203" s="81"/>
      <c r="J4203" s="81"/>
      <c r="K4203" s="81"/>
      <c r="L4203" s="81"/>
      <c r="M4203" s="81"/>
      <c r="N4203" s="81"/>
    </row>
    <row r="4204" spans="1:14" ht="14.25" customHeight="1" x14ac:dyDescent="0.25">
      <c r="A4204" s="122" t="s">
        <v>593</v>
      </c>
      <c r="B4204" s="127">
        <v>1</v>
      </c>
      <c r="C4204" s="101">
        <v>32688</v>
      </c>
      <c r="D4204" s="101">
        <f t="shared" ref="D4204:D4205" si="230">+C4204*1.7</f>
        <v>55569.599999999999</v>
      </c>
      <c r="E4204" s="107">
        <v>22.984000000000002</v>
      </c>
      <c r="F4204" s="106">
        <f t="shared" ref="F4204:F4205" si="231">+B4204*(D4204)/E4204</f>
        <v>2417.7514792899406</v>
      </c>
      <c r="G4204" s="81"/>
      <c r="H4204" s="81"/>
      <c r="I4204" s="81"/>
      <c r="J4204" s="81"/>
      <c r="K4204" s="81"/>
      <c r="L4204" s="81"/>
      <c r="M4204" s="81"/>
      <c r="N4204" s="81"/>
    </row>
    <row r="4205" spans="1:14" ht="14.25" customHeight="1" x14ac:dyDescent="0.25">
      <c r="A4205" s="122" t="s">
        <v>594</v>
      </c>
      <c r="B4205" s="127">
        <v>1</v>
      </c>
      <c r="C4205" s="101">
        <v>52538</v>
      </c>
      <c r="D4205" s="101">
        <f t="shared" si="230"/>
        <v>89314.599999999991</v>
      </c>
      <c r="E4205" s="107">
        <f>E4204</f>
        <v>22.984000000000002</v>
      </c>
      <c r="F4205" s="106">
        <f t="shared" si="231"/>
        <v>3885.9467455621293</v>
      </c>
      <c r="G4205" s="81"/>
      <c r="H4205" s="81"/>
      <c r="I4205" s="81"/>
      <c r="J4205" s="81"/>
      <c r="K4205" s="81"/>
      <c r="L4205" s="81"/>
      <c r="M4205" s="81"/>
      <c r="N4205" s="81"/>
    </row>
    <row r="4206" spans="1:14" ht="14.25" customHeight="1" x14ac:dyDescent="0.25">
      <c r="A4206" s="122"/>
      <c r="B4206" s="127"/>
      <c r="C4206" s="101"/>
      <c r="D4206" s="101"/>
      <c r="E4206" s="107"/>
      <c r="F4206" s="106"/>
      <c r="G4206" s="81"/>
      <c r="H4206" s="81"/>
      <c r="I4206" s="81"/>
      <c r="J4206" s="81"/>
      <c r="K4206" s="81"/>
      <c r="L4206" s="81"/>
      <c r="M4206" s="81"/>
      <c r="N4206" s="81"/>
    </row>
    <row r="4207" spans="1:14" ht="14.25" customHeight="1" x14ac:dyDescent="0.25">
      <c r="A4207" s="122"/>
      <c r="B4207" s="127"/>
      <c r="C4207" s="101"/>
      <c r="D4207" s="101"/>
      <c r="E4207" s="125"/>
      <c r="F4207" s="106"/>
      <c r="G4207" s="81"/>
      <c r="H4207" s="81"/>
      <c r="I4207" s="81"/>
      <c r="J4207" s="81"/>
      <c r="K4207" s="81"/>
      <c r="L4207" s="81"/>
      <c r="M4207" s="81"/>
      <c r="N4207" s="81"/>
    </row>
    <row r="4208" spans="1:14" ht="14.25" customHeight="1" x14ac:dyDescent="0.25">
      <c r="A4208" s="97" t="s">
        <v>548</v>
      </c>
      <c r="B4208" s="128"/>
      <c r="C4208" s="110"/>
      <c r="D4208" s="110"/>
      <c r="E4208" s="110"/>
      <c r="F4208" s="112">
        <f>SUM(F4204:F4207)</f>
        <v>6303.6982248520699</v>
      </c>
      <c r="G4208" s="81"/>
      <c r="H4208" s="81"/>
      <c r="I4208" s="81"/>
      <c r="J4208" s="81"/>
      <c r="K4208" s="81"/>
      <c r="L4208" s="81"/>
      <c r="M4208" s="81"/>
      <c r="N4208" s="81"/>
    </row>
    <row r="4209" spans="1:14" ht="14.25" customHeight="1" x14ac:dyDescent="0.25">
      <c r="A4209" s="96"/>
      <c r="B4209" s="129"/>
      <c r="C4209" s="118"/>
      <c r="D4209" s="118"/>
      <c r="E4209" s="118"/>
      <c r="F4209" s="118"/>
      <c r="G4209" s="81"/>
      <c r="H4209" s="81"/>
      <c r="I4209" s="81"/>
      <c r="J4209" s="81"/>
      <c r="K4209" s="81"/>
      <c r="L4209" s="81"/>
      <c r="M4209" s="81"/>
      <c r="N4209" s="81"/>
    </row>
    <row r="4210" spans="1:14" ht="14.25" customHeight="1" x14ac:dyDescent="0.25">
      <c r="A4210" s="95" t="s">
        <v>583</v>
      </c>
      <c r="B4210" s="96"/>
      <c r="C4210" s="92"/>
      <c r="D4210" s="92"/>
      <c r="E4210" s="92" t="s">
        <v>584</v>
      </c>
      <c r="F4210" s="92"/>
      <c r="G4210" s="81"/>
      <c r="H4210" s="81"/>
      <c r="I4210" s="81"/>
      <c r="J4210" s="81"/>
      <c r="K4210" s="81"/>
      <c r="L4210" s="81"/>
      <c r="M4210" s="81"/>
      <c r="N4210" s="81"/>
    </row>
    <row r="4211" spans="1:14" ht="14.25" customHeight="1" x14ac:dyDescent="0.25">
      <c r="A4211" s="97" t="s">
        <v>563</v>
      </c>
      <c r="B4211" s="98" t="s">
        <v>564</v>
      </c>
      <c r="C4211" s="98" t="s">
        <v>585</v>
      </c>
      <c r="D4211" s="98" t="s">
        <v>586</v>
      </c>
      <c r="E4211" s="120" t="s">
        <v>587</v>
      </c>
      <c r="F4211" s="98" t="s">
        <v>568</v>
      </c>
      <c r="G4211" s="81"/>
      <c r="H4211" s="81"/>
      <c r="I4211" s="81"/>
      <c r="J4211" s="81"/>
      <c r="K4211" s="81"/>
      <c r="L4211" s="81"/>
      <c r="M4211" s="81"/>
      <c r="N4211" s="81"/>
    </row>
    <row r="4212" spans="1:14" ht="14.25" customHeight="1" x14ac:dyDescent="0.25">
      <c r="A4212" s="103"/>
      <c r="B4212" s="100"/>
      <c r="C4212" s="101"/>
      <c r="D4212" s="130"/>
      <c r="E4212" s="107"/>
      <c r="F4212" s="109">
        <f>+C4212*D4212*E4212</f>
        <v>0</v>
      </c>
      <c r="G4212" s="81"/>
      <c r="H4212" s="81"/>
      <c r="I4212" s="81"/>
      <c r="J4212" s="81"/>
      <c r="K4212" s="81"/>
      <c r="L4212" s="81"/>
      <c r="M4212" s="81"/>
      <c r="N4212" s="81"/>
    </row>
    <row r="4213" spans="1:14" ht="14.25" customHeight="1" x14ac:dyDescent="0.25">
      <c r="A4213" s="103"/>
      <c r="B4213" s="100"/>
      <c r="C4213" s="107"/>
      <c r="D4213" s="107"/>
      <c r="E4213" s="108"/>
      <c r="F4213" s="109"/>
      <c r="G4213" s="81"/>
      <c r="H4213" s="81"/>
      <c r="I4213" s="81"/>
      <c r="J4213" s="81"/>
      <c r="K4213" s="81"/>
      <c r="L4213" s="81"/>
      <c r="M4213" s="81"/>
      <c r="N4213" s="81"/>
    </row>
    <row r="4214" spans="1:14" ht="14.25" customHeight="1" x14ac:dyDescent="0.25">
      <c r="A4214" s="97" t="s">
        <v>548</v>
      </c>
      <c r="B4214" s="98"/>
      <c r="C4214" s="110"/>
      <c r="D4214" s="110"/>
      <c r="E4214" s="111"/>
      <c r="F4214" s="112">
        <f>SUM(F4212:F4213)</f>
        <v>0</v>
      </c>
      <c r="G4214" s="81"/>
      <c r="H4214" s="81"/>
      <c r="I4214" s="81"/>
      <c r="J4214" s="81"/>
      <c r="K4214" s="81"/>
      <c r="L4214" s="81"/>
      <c r="M4214" s="81"/>
      <c r="N4214" s="81"/>
    </row>
    <row r="4215" spans="1:14" ht="14.25" customHeight="1" x14ac:dyDescent="0.25">
      <c r="A4215" s="88"/>
      <c r="B4215" s="89"/>
      <c r="C4215" s="113"/>
      <c r="D4215" s="113"/>
      <c r="E4215" s="114"/>
      <c r="F4215" s="113"/>
      <c r="G4215" s="81"/>
      <c r="H4215" s="81"/>
      <c r="I4215" s="81"/>
      <c r="J4215" s="81"/>
      <c r="K4215" s="81"/>
      <c r="L4215" s="81"/>
      <c r="M4215" s="81"/>
      <c r="N4215" s="81"/>
    </row>
    <row r="4216" spans="1:14" ht="14.25" customHeight="1" x14ac:dyDescent="0.25">
      <c r="A4216" s="88"/>
      <c r="B4216" s="89"/>
      <c r="C4216" s="113"/>
      <c r="D4216" s="113"/>
      <c r="E4216" s="114"/>
      <c r="F4216" s="113"/>
      <c r="G4216" s="81"/>
      <c r="H4216" s="81"/>
      <c r="I4216" s="81"/>
      <c r="J4216" s="81"/>
      <c r="K4216" s="81"/>
      <c r="L4216" s="81"/>
      <c r="M4216" s="81"/>
      <c r="N4216" s="81"/>
    </row>
    <row r="4217" spans="1:14" ht="14.25" customHeight="1" x14ac:dyDescent="0.25">
      <c r="A4217" s="612" t="s">
        <v>588</v>
      </c>
      <c r="B4217" s="608"/>
      <c r="C4217" s="608"/>
      <c r="D4217" s="608"/>
      <c r="E4217" s="609"/>
      <c r="F4217" s="131">
        <f>ROUND(F4193+F4200+F4208+F4214,0)</f>
        <v>16500</v>
      </c>
      <c r="G4217" s="81"/>
      <c r="H4217" s="117"/>
      <c r="I4217" s="81"/>
      <c r="J4217" s="81"/>
      <c r="K4217" s="81"/>
      <c r="L4217" s="81"/>
      <c r="M4217" s="81"/>
      <c r="N4217" s="81"/>
    </row>
    <row r="4218" spans="1:14" ht="14.25" customHeight="1" x14ac:dyDescent="0.25">
      <c r="A4218" s="612" t="s">
        <v>589</v>
      </c>
      <c r="B4218" s="608"/>
      <c r="C4218" s="608"/>
      <c r="D4218" s="608"/>
      <c r="E4218" s="609"/>
      <c r="F4218" s="132"/>
      <c r="G4218" s="81"/>
      <c r="H4218" s="81"/>
      <c r="I4218" s="81"/>
      <c r="J4218" s="81"/>
      <c r="K4218" s="81"/>
      <c r="L4218" s="81"/>
      <c r="M4218" s="81"/>
      <c r="N4218" s="81"/>
    </row>
    <row r="4219" spans="1:14" ht="14.25" customHeight="1" x14ac:dyDescent="0.25">
      <c r="A4219" s="612" t="s">
        <v>556</v>
      </c>
      <c r="B4219" s="608"/>
      <c r="C4219" s="608"/>
      <c r="D4219" s="608"/>
      <c r="E4219" s="609"/>
      <c r="F4219" s="133"/>
      <c r="G4219" s="81"/>
      <c r="H4219" s="81"/>
      <c r="I4219" s="81"/>
      <c r="J4219" s="81"/>
      <c r="K4219" s="81"/>
      <c r="L4219" s="81"/>
      <c r="M4219" s="81"/>
      <c r="N4219" s="81"/>
    </row>
    <row r="4220" spans="1:14" ht="14.25" customHeight="1" x14ac:dyDescent="0.25">
      <c r="A4220" s="134"/>
      <c r="B4220" s="135"/>
      <c r="C4220" s="135"/>
      <c r="D4220" s="135"/>
      <c r="E4220" s="135"/>
      <c r="F4220" s="136"/>
      <c r="G4220" s="81"/>
      <c r="H4220" s="81"/>
      <c r="I4220" s="81"/>
      <c r="J4220" s="81"/>
      <c r="K4220" s="81"/>
      <c r="L4220" s="81"/>
      <c r="M4220" s="81"/>
      <c r="N4220" s="81"/>
    </row>
    <row r="4221" spans="1:14" ht="14.25" customHeight="1" x14ac:dyDescent="0.25">
      <c r="A4221" s="134"/>
      <c r="B4221" s="135"/>
      <c r="C4221" s="135"/>
      <c r="D4221" s="135"/>
      <c r="E4221" s="135"/>
      <c r="F4221" s="136"/>
      <c r="G4221" s="81"/>
      <c r="H4221" s="81"/>
      <c r="I4221" s="81"/>
      <c r="J4221" s="81"/>
      <c r="K4221" s="81"/>
      <c r="L4221" s="81"/>
      <c r="M4221" s="81"/>
      <c r="N4221" s="81"/>
    </row>
    <row r="4222" spans="1:14" ht="14.25" customHeight="1" x14ac:dyDescent="0.25">
      <c r="A4222" s="134"/>
      <c r="B4222" s="135"/>
      <c r="C4222" s="135"/>
      <c r="D4222" s="135"/>
      <c r="E4222" s="135"/>
      <c r="F4222" s="136"/>
      <c r="G4222" s="81"/>
      <c r="H4222" s="81"/>
      <c r="I4222" s="81"/>
      <c r="J4222" s="81"/>
      <c r="K4222" s="81"/>
      <c r="L4222" s="81"/>
      <c r="M4222" s="81"/>
      <c r="N4222" s="81"/>
    </row>
    <row r="4223" spans="1:14" ht="14.25" customHeight="1" x14ac:dyDescent="0.25">
      <c r="A4223" s="134"/>
      <c r="B4223" s="135"/>
      <c r="C4223" s="135"/>
      <c r="D4223" s="135"/>
      <c r="E4223" s="135"/>
      <c r="F4223" s="136"/>
      <c r="G4223" s="81"/>
      <c r="H4223" s="81"/>
      <c r="I4223" s="81"/>
      <c r="J4223" s="81"/>
      <c r="K4223" s="81"/>
      <c r="L4223" s="81"/>
      <c r="M4223" s="81"/>
      <c r="N4223" s="81"/>
    </row>
    <row r="4224" spans="1:14" ht="14.25" customHeight="1" x14ac:dyDescent="0.25">
      <c r="A4224" s="134"/>
      <c r="B4224" s="135"/>
      <c r="C4224" s="135"/>
      <c r="D4224" s="135"/>
      <c r="E4224" s="135"/>
      <c r="F4224" s="136"/>
      <c r="G4224" s="81"/>
      <c r="H4224" s="81"/>
      <c r="I4224" s="81"/>
      <c r="J4224" s="81"/>
      <c r="K4224" s="81"/>
      <c r="L4224" s="81"/>
      <c r="M4224" s="81"/>
      <c r="N4224" s="81"/>
    </row>
    <row r="4225" spans="1:14" ht="14.25" customHeight="1" x14ac:dyDescent="0.25">
      <c r="A4225" s="134"/>
      <c r="B4225" s="135"/>
      <c r="C4225" s="135"/>
      <c r="D4225" s="135"/>
      <c r="E4225" s="135"/>
      <c r="F4225" s="136"/>
      <c r="G4225" s="81"/>
      <c r="H4225" s="81"/>
      <c r="I4225" s="81"/>
      <c r="J4225" s="81"/>
      <c r="K4225" s="81"/>
      <c r="L4225" s="81"/>
      <c r="M4225" s="81"/>
      <c r="N4225" s="81"/>
    </row>
    <row r="4226" spans="1:14" ht="14.25" customHeight="1" x14ac:dyDescent="0.25">
      <c r="A4226" s="81"/>
      <c r="B4226" s="81"/>
      <c r="C4226" s="137"/>
      <c r="D4226" s="81"/>
      <c r="E4226" s="81"/>
      <c r="F4226" s="81"/>
      <c r="G4226" s="81"/>
      <c r="H4226" s="81"/>
      <c r="I4226" s="81"/>
      <c r="J4226" s="81"/>
      <c r="K4226" s="81"/>
      <c r="L4226" s="81"/>
      <c r="M4226" s="81"/>
      <c r="N4226" s="81"/>
    </row>
    <row r="4227" spans="1:14" ht="14.25" customHeight="1" x14ac:dyDescent="0.25">
      <c r="A4227" s="81"/>
      <c r="B4227" s="81"/>
      <c r="C4227" s="137"/>
      <c r="D4227" s="81"/>
      <c r="E4227" s="81"/>
      <c r="F4227" s="81"/>
      <c r="G4227" s="81"/>
      <c r="H4227" s="81"/>
      <c r="I4227" s="81"/>
      <c r="J4227" s="81"/>
      <c r="K4227" s="81"/>
      <c r="L4227" s="81"/>
      <c r="M4227" s="81"/>
      <c r="N4227" s="81"/>
    </row>
    <row r="4228" spans="1:14" ht="14.25" customHeight="1" x14ac:dyDescent="0.25">
      <c r="A4228" s="81"/>
      <c r="B4228" s="81"/>
      <c r="C4228" s="137"/>
      <c r="D4228" s="81"/>
      <c r="E4228" s="81"/>
      <c r="F4228" s="81"/>
      <c r="G4228" s="81"/>
      <c r="H4228" s="81"/>
      <c r="I4228" s="81"/>
      <c r="J4228" s="81"/>
      <c r="K4228" s="81"/>
      <c r="L4228" s="81"/>
      <c r="M4228" s="81"/>
      <c r="N4228" s="81"/>
    </row>
    <row r="4229" spans="1:14" ht="14.25" customHeight="1" x14ac:dyDescent="0.25">
      <c r="A4229" s="81"/>
      <c r="B4229" s="81"/>
      <c r="C4229" s="137"/>
      <c r="D4229" s="81"/>
      <c r="E4229" s="81"/>
      <c r="F4229" s="81"/>
      <c r="G4229" s="81"/>
      <c r="H4229" s="81"/>
      <c r="I4229" s="81"/>
      <c r="J4229" s="81"/>
      <c r="K4229" s="81"/>
      <c r="L4229" s="81"/>
      <c r="M4229" s="81"/>
      <c r="N4229" s="81"/>
    </row>
    <row r="4230" spans="1:14" ht="14.25" customHeight="1" thickBot="1" x14ac:dyDescent="0.3">
      <c r="A4230" s="81"/>
      <c r="B4230" s="81"/>
      <c r="C4230" s="81"/>
      <c r="D4230" s="81"/>
      <c r="E4230" s="81"/>
      <c r="F4230" s="81"/>
      <c r="G4230" s="81"/>
      <c r="H4230" s="81"/>
      <c r="I4230" s="81"/>
      <c r="J4230" s="81"/>
      <c r="K4230" s="81"/>
      <c r="L4230" s="81"/>
      <c r="M4230" s="81"/>
      <c r="N4230" s="81"/>
    </row>
    <row r="4231" spans="1:14" ht="14.25" customHeight="1" x14ac:dyDescent="0.25">
      <c r="A4231" s="83"/>
      <c r="B4231" s="84"/>
      <c r="C4231" s="85"/>
      <c r="D4231" s="86"/>
      <c r="E4231" s="86"/>
      <c r="F4231" s="87"/>
      <c r="G4231" s="81"/>
      <c r="H4231" s="81"/>
      <c r="I4231" s="81"/>
      <c r="J4231" s="81"/>
      <c r="K4231" s="81"/>
      <c r="L4231" s="81"/>
      <c r="M4231" s="81"/>
      <c r="N4231" s="81"/>
    </row>
    <row r="4232" spans="1:14" ht="14.25" customHeight="1" x14ac:dyDescent="0.25">
      <c r="A4232" s="599"/>
      <c r="B4232" s="600"/>
      <c r="C4232" s="600"/>
      <c r="D4232" s="600"/>
      <c r="E4232" s="600"/>
      <c r="F4232" s="601"/>
      <c r="G4232" s="81"/>
      <c r="H4232" s="81"/>
      <c r="I4232" s="81"/>
      <c r="J4232" s="81"/>
      <c r="K4232" s="81"/>
      <c r="L4232" s="81"/>
      <c r="M4232" s="81"/>
      <c r="N4232" s="81"/>
    </row>
    <row r="4233" spans="1:14" ht="14.25" customHeight="1" x14ac:dyDescent="0.25">
      <c r="A4233" s="602" t="s">
        <v>561</v>
      </c>
      <c r="B4233" s="600"/>
      <c r="C4233" s="600"/>
      <c r="D4233" s="600"/>
      <c r="E4233" s="600"/>
      <c r="F4233" s="601"/>
      <c r="G4233" s="81"/>
      <c r="H4233" s="81"/>
      <c r="I4233" s="81"/>
      <c r="J4233" s="81"/>
      <c r="K4233" s="81"/>
      <c r="L4233" s="81"/>
      <c r="M4233" s="81"/>
      <c r="N4233" s="81"/>
    </row>
    <row r="4234" spans="1:14" ht="14.25" customHeight="1" thickBot="1" x14ac:dyDescent="0.3">
      <c r="A4234" s="603"/>
      <c r="B4234" s="604"/>
      <c r="C4234" s="604"/>
      <c r="D4234" s="604"/>
      <c r="E4234" s="604"/>
      <c r="F4234" s="605"/>
      <c r="G4234" s="81"/>
      <c r="H4234" s="81"/>
      <c r="I4234" s="81"/>
      <c r="J4234" s="81"/>
      <c r="K4234" s="81"/>
      <c r="L4234" s="81"/>
      <c r="M4234" s="81"/>
      <c r="N4234" s="81"/>
    </row>
    <row r="4235" spans="1:14" ht="14.25" customHeight="1" x14ac:dyDescent="0.25">
      <c r="A4235" s="88"/>
      <c r="B4235" s="88"/>
      <c r="C4235" s="89"/>
      <c r="D4235" s="89"/>
      <c r="E4235" s="89"/>
      <c r="F4235" s="89"/>
      <c r="G4235" s="81"/>
      <c r="H4235" s="81"/>
      <c r="I4235" s="81"/>
      <c r="J4235" s="81"/>
      <c r="K4235" s="81"/>
      <c r="L4235" s="81"/>
      <c r="M4235" s="81"/>
      <c r="N4235" s="81"/>
    </row>
    <row r="4236" spans="1:14" ht="14.25" customHeight="1" x14ac:dyDescent="0.25">
      <c r="A4236" s="90" t="s">
        <v>47</v>
      </c>
      <c r="B4236" s="613" t="s">
        <v>730</v>
      </c>
      <c r="C4236" s="600"/>
      <c r="D4236" s="600"/>
      <c r="E4236" s="600"/>
      <c r="F4236" s="600"/>
      <c r="G4236" s="81"/>
      <c r="H4236" s="81"/>
      <c r="I4236" s="81"/>
      <c r="J4236" s="81"/>
      <c r="K4236" s="81"/>
      <c r="L4236" s="81"/>
      <c r="M4236" s="81"/>
      <c r="N4236" s="81"/>
    </row>
    <row r="4237" spans="1:14" ht="14.25" customHeight="1" x14ac:dyDescent="0.25">
      <c r="A4237" s="91"/>
      <c r="B4237" s="91"/>
      <c r="C4237" s="91"/>
      <c r="D4237" s="91"/>
      <c r="E4237" s="91"/>
      <c r="F4237" s="91"/>
      <c r="G4237" s="81"/>
      <c r="H4237" s="81"/>
      <c r="I4237" s="81"/>
      <c r="J4237" s="81"/>
      <c r="K4237" s="81"/>
      <c r="L4237" s="81"/>
      <c r="M4237" s="81"/>
      <c r="N4237" s="81"/>
    </row>
    <row r="4238" spans="1:14" ht="14.25" customHeight="1" x14ac:dyDescent="0.25">
      <c r="A4238" s="88" t="s">
        <v>49</v>
      </c>
      <c r="B4238" s="92" t="s">
        <v>59</v>
      </c>
      <c r="C4238" s="89"/>
      <c r="D4238" s="89"/>
      <c r="E4238" s="89"/>
      <c r="F4238" s="93"/>
      <c r="G4238" s="81"/>
      <c r="H4238" s="81"/>
      <c r="I4238" s="81"/>
      <c r="J4238" s="81"/>
      <c r="K4238" s="81"/>
      <c r="L4238" s="81"/>
      <c r="M4238" s="81"/>
      <c r="N4238" s="81"/>
    </row>
    <row r="4239" spans="1:14" ht="14.25" customHeight="1" x14ac:dyDescent="0.25">
      <c r="A4239" s="88"/>
      <c r="B4239" s="94"/>
      <c r="C4239" s="89"/>
      <c r="D4239" s="89"/>
      <c r="E4239" s="89"/>
      <c r="F4239" s="93"/>
      <c r="G4239" s="81"/>
      <c r="H4239" s="81"/>
      <c r="I4239" s="81"/>
      <c r="J4239" s="81"/>
      <c r="K4239" s="81"/>
      <c r="L4239" s="81"/>
      <c r="M4239" s="81"/>
      <c r="N4239" s="81"/>
    </row>
    <row r="4240" spans="1:14" ht="14.25" customHeight="1" x14ac:dyDescent="0.25">
      <c r="A4240" s="95" t="s">
        <v>562</v>
      </c>
      <c r="B4240" s="96"/>
      <c r="C4240" s="92"/>
      <c r="D4240" s="92"/>
      <c r="E4240" s="92"/>
      <c r="F4240" s="92"/>
      <c r="G4240" s="81"/>
      <c r="H4240" s="81"/>
      <c r="I4240" s="81"/>
      <c r="J4240" s="81"/>
      <c r="K4240" s="81"/>
      <c r="L4240" s="81"/>
      <c r="M4240" s="81"/>
      <c r="N4240" s="81"/>
    </row>
    <row r="4241" spans="1:14" ht="14.25" customHeight="1" x14ac:dyDescent="0.25">
      <c r="A4241" s="97" t="s">
        <v>563</v>
      </c>
      <c r="B4241" s="98" t="s">
        <v>564</v>
      </c>
      <c r="C4241" s="98" t="s">
        <v>565</v>
      </c>
      <c r="D4241" s="98" t="s">
        <v>566</v>
      </c>
      <c r="E4241" s="98" t="s">
        <v>567</v>
      </c>
      <c r="F4241" s="98" t="s">
        <v>568</v>
      </c>
      <c r="G4241" s="81"/>
      <c r="H4241" s="81"/>
      <c r="I4241" s="81"/>
      <c r="J4241" s="81"/>
      <c r="K4241" s="81"/>
      <c r="L4241" s="81"/>
      <c r="M4241" s="81"/>
      <c r="N4241" s="81"/>
    </row>
    <row r="4242" spans="1:14" ht="14.25" customHeight="1" x14ac:dyDescent="0.25">
      <c r="A4242" s="99" t="s">
        <v>731</v>
      </c>
      <c r="B4242" s="100" t="s">
        <v>59</v>
      </c>
      <c r="C4242" s="101">
        <v>3480</v>
      </c>
      <c r="D4242" s="149">
        <v>1</v>
      </c>
      <c r="E4242" s="102">
        <v>0.05</v>
      </c>
      <c r="F4242" s="101">
        <f t="shared" ref="F4242:F4245" si="232">C4242*(D4242+(D4242*E4242))</f>
        <v>3654</v>
      </c>
      <c r="G4242" s="81"/>
      <c r="H4242" s="81"/>
      <c r="I4242" s="81"/>
      <c r="J4242" s="81"/>
      <c r="K4242" s="81"/>
      <c r="L4242" s="81"/>
      <c r="M4242" s="81"/>
      <c r="N4242" s="81"/>
    </row>
    <row r="4243" spans="1:14" ht="14.25" customHeight="1" x14ac:dyDescent="0.25">
      <c r="A4243" s="99" t="s">
        <v>732</v>
      </c>
      <c r="B4243" s="100" t="s">
        <v>99</v>
      </c>
      <c r="C4243" s="101">
        <v>650</v>
      </c>
      <c r="D4243" s="149">
        <v>0.25</v>
      </c>
      <c r="E4243" s="102"/>
      <c r="F4243" s="101">
        <f t="shared" si="232"/>
        <v>162.5</v>
      </c>
      <c r="G4243" s="81"/>
      <c r="H4243" s="81"/>
      <c r="I4243" s="81"/>
      <c r="J4243" s="81"/>
      <c r="K4243" s="81"/>
      <c r="L4243" s="81"/>
      <c r="M4243" s="81"/>
      <c r="N4243" s="81"/>
    </row>
    <row r="4244" spans="1:14" ht="14.25" customHeight="1" x14ac:dyDescent="0.25">
      <c r="A4244" s="99" t="s">
        <v>622</v>
      </c>
      <c r="B4244" s="100" t="s">
        <v>99</v>
      </c>
      <c r="C4244" s="101">
        <v>85900</v>
      </c>
      <c r="D4244" s="149">
        <v>0.02</v>
      </c>
      <c r="E4244" s="102">
        <v>0.05</v>
      </c>
      <c r="F4244" s="101">
        <f t="shared" si="232"/>
        <v>1803.9</v>
      </c>
      <c r="G4244" s="81"/>
      <c r="H4244" s="81"/>
      <c r="I4244" s="81"/>
      <c r="J4244" s="81"/>
      <c r="K4244" s="81"/>
      <c r="L4244" s="81"/>
      <c r="M4244" s="81"/>
      <c r="N4244" s="81"/>
    </row>
    <row r="4245" spans="1:14" ht="14.25" customHeight="1" x14ac:dyDescent="0.25">
      <c r="A4245" s="103" t="s">
        <v>632</v>
      </c>
      <c r="B4245" s="100" t="s">
        <v>99</v>
      </c>
      <c r="C4245" s="101">
        <v>35000</v>
      </c>
      <c r="D4245" s="149">
        <v>1.2E-2</v>
      </c>
      <c r="E4245" s="102">
        <v>0.05</v>
      </c>
      <c r="F4245" s="101">
        <f t="shared" si="232"/>
        <v>441</v>
      </c>
      <c r="G4245" s="81"/>
      <c r="H4245" s="81"/>
      <c r="I4245" s="81"/>
      <c r="J4245" s="81"/>
      <c r="K4245" s="81"/>
      <c r="L4245" s="81"/>
      <c r="M4245" s="81"/>
      <c r="N4245" s="81"/>
    </row>
    <row r="4246" spans="1:14" ht="14.25" customHeight="1" x14ac:dyDescent="0.25">
      <c r="A4246" s="103"/>
      <c r="B4246" s="100"/>
      <c r="C4246" s="101"/>
      <c r="D4246" s="105"/>
      <c r="E4246" s="102"/>
      <c r="F4246" s="101"/>
      <c r="G4246" s="81"/>
      <c r="H4246" s="81"/>
      <c r="I4246" s="81"/>
      <c r="J4246" s="81"/>
      <c r="K4246" s="81"/>
      <c r="L4246" s="81"/>
      <c r="M4246" s="81"/>
      <c r="N4246" s="81"/>
    </row>
    <row r="4247" spans="1:14" ht="14.25" customHeight="1" x14ac:dyDescent="0.25">
      <c r="A4247" s="99"/>
      <c r="B4247" s="100"/>
      <c r="C4247" s="106"/>
      <c r="D4247" s="107"/>
      <c r="E4247" s="108"/>
      <c r="F4247" s="106"/>
      <c r="G4247" s="81"/>
      <c r="H4247" s="81"/>
      <c r="I4247" s="81"/>
      <c r="J4247" s="81"/>
      <c r="K4247" s="81"/>
      <c r="L4247" s="81"/>
      <c r="M4247" s="81"/>
      <c r="N4247" s="81"/>
    </row>
    <row r="4248" spans="1:14" ht="14.25" customHeight="1" x14ac:dyDescent="0.25">
      <c r="A4248" s="97" t="s">
        <v>548</v>
      </c>
      <c r="B4248" s="97"/>
      <c r="C4248" s="109"/>
      <c r="D4248" s="110"/>
      <c r="E4248" s="111"/>
      <c r="F4248" s="112">
        <f>SUM(F4242:F4247)</f>
        <v>6061.4</v>
      </c>
      <c r="G4248" s="81"/>
      <c r="H4248" s="81"/>
      <c r="I4248" s="81"/>
      <c r="J4248" s="81"/>
      <c r="K4248" s="81"/>
      <c r="L4248" s="81"/>
      <c r="M4248" s="81"/>
      <c r="N4248" s="81"/>
    </row>
    <row r="4249" spans="1:14" ht="14.25" customHeight="1" x14ac:dyDescent="0.25">
      <c r="A4249" s="88"/>
      <c r="B4249" s="88"/>
      <c r="C4249" s="113"/>
      <c r="D4249" s="113"/>
      <c r="E4249" s="114"/>
      <c r="F4249" s="113"/>
      <c r="G4249" s="81"/>
      <c r="H4249" s="81"/>
      <c r="I4249" s="81"/>
      <c r="J4249" s="81"/>
      <c r="K4249" s="81"/>
      <c r="L4249" s="81"/>
      <c r="M4249" s="81"/>
      <c r="N4249" s="81"/>
    </row>
    <row r="4250" spans="1:14" ht="14.25" customHeight="1" x14ac:dyDescent="0.25">
      <c r="A4250" s="96" t="s">
        <v>573</v>
      </c>
      <c r="B4250" s="96"/>
      <c r="C4250" s="92"/>
      <c r="D4250" s="92"/>
      <c r="E4250" s="92"/>
      <c r="F4250" s="92"/>
      <c r="G4250" s="81"/>
      <c r="H4250" s="81"/>
      <c r="I4250" s="81"/>
      <c r="J4250" s="81"/>
      <c r="K4250" s="81"/>
      <c r="L4250" s="81"/>
      <c r="M4250" s="81"/>
      <c r="N4250" s="81"/>
    </row>
    <row r="4251" spans="1:14" ht="14.25" customHeight="1" x14ac:dyDescent="0.25">
      <c r="A4251" s="611" t="s">
        <v>563</v>
      </c>
      <c r="B4251" s="608"/>
      <c r="C4251" s="609"/>
      <c r="D4251" s="98" t="s">
        <v>574</v>
      </c>
      <c r="E4251" s="98" t="s">
        <v>575</v>
      </c>
      <c r="F4251" s="98" t="s">
        <v>568</v>
      </c>
      <c r="G4251" s="81"/>
      <c r="H4251" s="81"/>
      <c r="I4251" s="81"/>
      <c r="J4251" s="81"/>
      <c r="K4251" s="81"/>
      <c r="L4251" s="81"/>
      <c r="M4251" s="81"/>
      <c r="N4251" s="81"/>
    </row>
    <row r="4252" spans="1:14" ht="14.25" customHeight="1" x14ac:dyDescent="0.25">
      <c r="A4252" s="607" t="s">
        <v>577</v>
      </c>
      <c r="B4252" s="608"/>
      <c r="C4252" s="609"/>
      <c r="D4252" s="116"/>
      <c r="E4252" s="107"/>
      <c r="F4252" s="106">
        <f>+F4263*5%</f>
        <v>250.66470588235293</v>
      </c>
      <c r="G4252" s="81"/>
      <c r="H4252" s="81"/>
      <c r="I4252" s="81"/>
      <c r="J4252" s="81"/>
      <c r="K4252" s="81"/>
      <c r="L4252" s="81"/>
      <c r="M4252" s="81"/>
      <c r="N4252" s="81"/>
    </row>
    <row r="4253" spans="1:14" ht="14.25" customHeight="1" x14ac:dyDescent="0.25">
      <c r="A4253" s="607"/>
      <c r="B4253" s="608"/>
      <c r="C4253" s="609"/>
      <c r="D4253" s="116"/>
      <c r="E4253" s="107"/>
      <c r="F4253" s="106"/>
      <c r="G4253" s="81"/>
      <c r="H4253" s="81"/>
      <c r="I4253" s="81"/>
      <c r="J4253" s="81"/>
      <c r="K4253" s="81"/>
      <c r="L4253" s="81"/>
      <c r="M4253" s="81"/>
      <c r="N4253" s="81"/>
    </row>
    <row r="4254" spans="1:14" ht="14.25" customHeight="1" x14ac:dyDescent="0.25">
      <c r="A4254" s="610"/>
      <c r="B4254" s="608"/>
      <c r="C4254" s="609"/>
      <c r="D4254" s="115"/>
      <c r="E4254" s="107"/>
      <c r="F4254" s="106"/>
      <c r="G4254" s="81"/>
      <c r="H4254" s="81"/>
      <c r="I4254" s="81"/>
      <c r="J4254" s="81"/>
      <c r="K4254" s="81"/>
      <c r="L4254" s="81"/>
      <c r="M4254" s="81"/>
      <c r="N4254" s="81"/>
    </row>
    <row r="4255" spans="1:14" ht="14.25" customHeight="1" x14ac:dyDescent="0.25">
      <c r="A4255" s="611" t="s">
        <v>548</v>
      </c>
      <c r="B4255" s="608"/>
      <c r="C4255" s="609"/>
      <c r="D4255" s="110"/>
      <c r="E4255" s="110"/>
      <c r="F4255" s="112">
        <f>SUM(F4252)</f>
        <v>250.66470588235293</v>
      </c>
      <c r="G4255" s="81"/>
      <c r="H4255" s="81"/>
      <c r="I4255" s="81"/>
      <c r="J4255" s="81"/>
      <c r="K4255" s="81"/>
      <c r="L4255" s="81"/>
      <c r="M4255" s="81"/>
      <c r="N4255" s="81"/>
    </row>
    <row r="4256" spans="1:14" ht="14.25" customHeight="1" x14ac:dyDescent="0.25">
      <c r="A4256" s="88"/>
      <c r="B4256" s="88"/>
      <c r="C4256" s="89"/>
      <c r="D4256" s="113"/>
      <c r="E4256" s="113"/>
      <c r="F4256" s="113"/>
      <c r="G4256" s="81"/>
      <c r="H4256" s="81"/>
      <c r="I4256" s="81"/>
      <c r="J4256" s="81"/>
      <c r="K4256" s="81"/>
      <c r="L4256" s="81"/>
      <c r="M4256" s="81"/>
      <c r="N4256" s="81"/>
    </row>
    <row r="4257" spans="1:14" ht="14.25" customHeight="1" x14ac:dyDescent="0.25">
      <c r="A4257" s="96" t="s">
        <v>578</v>
      </c>
      <c r="B4257" s="96"/>
      <c r="C4257" s="92"/>
      <c r="D4257" s="118"/>
      <c r="E4257" s="118"/>
      <c r="F4257" s="118"/>
      <c r="G4257" s="81"/>
      <c r="H4257" s="81"/>
      <c r="I4257" s="81"/>
      <c r="J4257" s="81"/>
      <c r="K4257" s="81"/>
      <c r="L4257" s="81"/>
      <c r="M4257" s="81"/>
      <c r="N4257" s="81"/>
    </row>
    <row r="4258" spans="1:14" ht="14.25" customHeight="1" x14ac:dyDescent="0.25">
      <c r="A4258" s="119" t="s">
        <v>563</v>
      </c>
      <c r="B4258" s="120" t="s">
        <v>579</v>
      </c>
      <c r="C4258" s="120" t="s">
        <v>580</v>
      </c>
      <c r="D4258" s="121" t="s">
        <v>581</v>
      </c>
      <c r="E4258" s="121" t="s">
        <v>575</v>
      </c>
      <c r="F4258" s="121" t="s">
        <v>568</v>
      </c>
      <c r="G4258" s="81"/>
      <c r="H4258" s="81"/>
      <c r="I4258" s="81"/>
      <c r="J4258" s="81"/>
      <c r="K4258" s="81"/>
      <c r="L4258" s="81"/>
      <c r="M4258" s="81"/>
      <c r="N4258" s="81"/>
    </row>
    <row r="4259" spans="1:14" ht="14.25" customHeight="1" x14ac:dyDescent="0.25">
      <c r="A4259" s="122" t="s">
        <v>593</v>
      </c>
      <c r="B4259" s="127">
        <v>1</v>
      </c>
      <c r="C4259" s="101">
        <v>32688</v>
      </c>
      <c r="D4259" s="101">
        <f t="shared" ref="D4259:D4260" si="233">+C4259*1.7</f>
        <v>55569.599999999999</v>
      </c>
      <c r="E4259" s="107">
        <v>28.9</v>
      </c>
      <c r="F4259" s="106">
        <f t="shared" ref="F4259:F4260" si="234">+B4259*(D4259)/E4259</f>
        <v>1922.8235294117646</v>
      </c>
      <c r="G4259" s="81"/>
      <c r="H4259" s="81"/>
      <c r="I4259" s="81"/>
      <c r="J4259" s="81"/>
      <c r="K4259" s="81"/>
      <c r="L4259" s="81"/>
      <c r="M4259" s="81"/>
      <c r="N4259" s="81"/>
    </row>
    <row r="4260" spans="1:14" ht="14.25" customHeight="1" x14ac:dyDescent="0.25">
      <c r="A4260" s="122" t="s">
        <v>594</v>
      </c>
      <c r="B4260" s="127">
        <v>1</v>
      </c>
      <c r="C4260" s="101">
        <v>52538</v>
      </c>
      <c r="D4260" s="101">
        <f t="shared" si="233"/>
        <v>89314.599999999991</v>
      </c>
      <c r="E4260" s="107">
        <f>E4259</f>
        <v>28.9</v>
      </c>
      <c r="F4260" s="106">
        <f t="shared" si="234"/>
        <v>3090.4705882352941</v>
      </c>
      <c r="G4260" s="81"/>
      <c r="H4260" s="81"/>
      <c r="I4260" s="81"/>
      <c r="J4260" s="81"/>
      <c r="K4260" s="81"/>
      <c r="L4260" s="81"/>
      <c r="M4260" s="81"/>
      <c r="N4260" s="81"/>
    </row>
    <row r="4261" spans="1:14" ht="14.25" customHeight="1" x14ac:dyDescent="0.25">
      <c r="A4261" s="122"/>
      <c r="B4261" s="127"/>
      <c r="C4261" s="101"/>
      <c r="D4261" s="101"/>
      <c r="E4261" s="107"/>
      <c r="F4261" s="106"/>
      <c r="G4261" s="81"/>
      <c r="H4261" s="81"/>
      <c r="I4261" s="81"/>
      <c r="J4261" s="81"/>
      <c r="K4261" s="81"/>
      <c r="L4261" s="81"/>
      <c r="M4261" s="81"/>
      <c r="N4261" s="81"/>
    </row>
    <row r="4262" spans="1:14" ht="14.25" customHeight="1" x14ac:dyDescent="0.25">
      <c r="A4262" s="122"/>
      <c r="B4262" s="127"/>
      <c r="C4262" s="101"/>
      <c r="D4262" s="101"/>
      <c r="E4262" s="125"/>
      <c r="F4262" s="106"/>
      <c r="G4262" s="81"/>
      <c r="H4262" s="81"/>
      <c r="I4262" s="81"/>
      <c r="J4262" s="81"/>
      <c r="K4262" s="81"/>
      <c r="L4262" s="81"/>
      <c r="M4262" s="81"/>
      <c r="N4262" s="81"/>
    </row>
    <row r="4263" spans="1:14" ht="14.25" customHeight="1" x14ac:dyDescent="0.25">
      <c r="A4263" s="97" t="s">
        <v>548</v>
      </c>
      <c r="B4263" s="128"/>
      <c r="C4263" s="110"/>
      <c r="D4263" s="110"/>
      <c r="E4263" s="110"/>
      <c r="F4263" s="112">
        <f>SUM(F4259:F4262)</f>
        <v>5013.2941176470586</v>
      </c>
      <c r="G4263" s="81"/>
      <c r="H4263" s="81"/>
      <c r="I4263" s="81"/>
      <c r="J4263" s="81"/>
      <c r="K4263" s="81"/>
      <c r="L4263" s="81"/>
      <c r="M4263" s="81"/>
      <c r="N4263" s="81"/>
    </row>
    <row r="4264" spans="1:14" ht="14.25" customHeight="1" x14ac:dyDescent="0.25">
      <c r="A4264" s="96"/>
      <c r="B4264" s="129"/>
      <c r="C4264" s="118"/>
      <c r="D4264" s="118"/>
      <c r="E4264" s="118"/>
      <c r="F4264" s="118"/>
      <c r="G4264" s="81"/>
      <c r="H4264" s="81"/>
      <c r="I4264" s="81"/>
      <c r="J4264" s="81"/>
      <c r="K4264" s="81"/>
      <c r="L4264" s="81"/>
      <c r="M4264" s="81"/>
      <c r="N4264" s="81"/>
    </row>
    <row r="4265" spans="1:14" ht="14.25" customHeight="1" x14ac:dyDescent="0.25">
      <c r="A4265" s="95" t="s">
        <v>583</v>
      </c>
      <c r="B4265" s="96"/>
      <c r="C4265" s="92"/>
      <c r="D4265" s="92"/>
      <c r="E4265" s="92" t="s">
        <v>584</v>
      </c>
      <c r="F4265" s="92"/>
      <c r="G4265" s="81"/>
      <c r="H4265" s="81"/>
      <c r="I4265" s="81"/>
      <c r="J4265" s="81"/>
      <c r="K4265" s="81"/>
      <c r="L4265" s="81"/>
      <c r="M4265" s="81"/>
      <c r="N4265" s="81"/>
    </row>
    <row r="4266" spans="1:14" ht="14.25" customHeight="1" x14ac:dyDescent="0.25">
      <c r="A4266" s="97" t="s">
        <v>563</v>
      </c>
      <c r="B4266" s="98" t="s">
        <v>564</v>
      </c>
      <c r="C4266" s="98" t="s">
        <v>585</v>
      </c>
      <c r="D4266" s="98" t="s">
        <v>586</v>
      </c>
      <c r="E4266" s="120" t="s">
        <v>587</v>
      </c>
      <c r="F4266" s="98" t="s">
        <v>568</v>
      </c>
      <c r="G4266" s="81"/>
      <c r="H4266" s="81"/>
      <c r="I4266" s="81"/>
      <c r="J4266" s="81"/>
      <c r="K4266" s="81"/>
      <c r="L4266" s="81"/>
      <c r="M4266" s="81"/>
      <c r="N4266" s="81"/>
    </row>
    <row r="4267" spans="1:14" ht="14.25" customHeight="1" x14ac:dyDescent="0.25">
      <c r="A4267" s="103"/>
      <c r="B4267" s="100"/>
      <c r="C4267" s="101"/>
      <c r="D4267" s="130"/>
      <c r="E4267" s="107"/>
      <c r="F4267" s="109"/>
      <c r="G4267" s="81"/>
      <c r="H4267" s="81"/>
      <c r="I4267" s="81"/>
      <c r="J4267" s="81"/>
      <c r="K4267" s="81"/>
      <c r="L4267" s="81"/>
      <c r="M4267" s="81"/>
      <c r="N4267" s="81"/>
    </row>
    <row r="4268" spans="1:14" ht="14.25" customHeight="1" x14ac:dyDescent="0.25">
      <c r="A4268" s="103"/>
      <c r="B4268" s="100"/>
      <c r="C4268" s="107"/>
      <c r="D4268" s="107"/>
      <c r="E4268" s="108"/>
      <c r="F4268" s="109"/>
      <c r="G4268" s="81"/>
      <c r="H4268" s="81"/>
      <c r="I4268" s="81"/>
      <c r="J4268" s="81"/>
      <c r="K4268" s="81"/>
      <c r="L4268" s="81"/>
      <c r="M4268" s="81"/>
      <c r="N4268" s="81"/>
    </row>
    <row r="4269" spans="1:14" ht="14.25" customHeight="1" x14ac:dyDescent="0.25">
      <c r="A4269" s="97" t="s">
        <v>548</v>
      </c>
      <c r="B4269" s="98"/>
      <c r="C4269" s="110"/>
      <c r="D4269" s="110"/>
      <c r="E4269" s="111"/>
      <c r="F4269" s="112">
        <f>SUM(F4267:F4268)</f>
        <v>0</v>
      </c>
      <c r="G4269" s="81"/>
      <c r="H4269" s="81"/>
      <c r="I4269" s="81"/>
      <c r="J4269" s="81"/>
      <c r="K4269" s="81"/>
      <c r="L4269" s="81"/>
      <c r="M4269" s="81"/>
      <c r="N4269" s="81"/>
    </row>
    <row r="4270" spans="1:14" ht="14.25" customHeight="1" x14ac:dyDescent="0.25">
      <c r="A4270" s="88"/>
      <c r="B4270" s="89"/>
      <c r="C4270" s="113"/>
      <c r="D4270" s="113"/>
      <c r="E4270" s="114"/>
      <c r="F4270" s="113"/>
      <c r="G4270" s="81"/>
      <c r="H4270" s="81"/>
      <c r="I4270" s="81"/>
      <c r="J4270" s="81"/>
      <c r="K4270" s="81"/>
      <c r="L4270" s="81"/>
      <c r="M4270" s="81"/>
      <c r="N4270" s="81"/>
    </row>
    <row r="4271" spans="1:14" ht="14.25" customHeight="1" x14ac:dyDescent="0.25">
      <c r="A4271" s="88"/>
      <c r="B4271" s="89"/>
      <c r="C4271" s="113"/>
      <c r="D4271" s="113"/>
      <c r="E4271" s="114"/>
      <c r="F4271" s="113"/>
      <c r="G4271" s="81"/>
      <c r="H4271" s="81"/>
      <c r="I4271" s="81"/>
      <c r="J4271" s="81"/>
      <c r="K4271" s="81"/>
      <c r="L4271" s="81"/>
      <c r="M4271" s="81"/>
      <c r="N4271" s="81"/>
    </row>
    <row r="4272" spans="1:14" ht="14.25" customHeight="1" x14ac:dyDescent="0.25">
      <c r="A4272" s="612" t="s">
        <v>588</v>
      </c>
      <c r="B4272" s="608"/>
      <c r="C4272" s="608"/>
      <c r="D4272" s="608"/>
      <c r="E4272" s="609"/>
      <c r="F4272" s="131">
        <f>ROUND(F4248+F4255+F4263+F4269,0)</f>
        <v>11325</v>
      </c>
      <c r="G4272" s="81"/>
      <c r="H4272" s="117"/>
      <c r="I4272" s="81"/>
      <c r="J4272" s="81"/>
      <c r="K4272" s="81"/>
      <c r="L4272" s="81"/>
      <c r="M4272" s="81"/>
      <c r="N4272" s="81"/>
    </row>
    <row r="4273" spans="1:14" ht="14.25" customHeight="1" x14ac:dyDescent="0.25">
      <c r="A4273" s="612" t="s">
        <v>589</v>
      </c>
      <c r="B4273" s="608"/>
      <c r="C4273" s="608"/>
      <c r="D4273" s="608"/>
      <c r="E4273" s="609"/>
      <c r="F4273" s="132"/>
      <c r="G4273" s="81"/>
      <c r="H4273" s="81"/>
      <c r="I4273" s="81"/>
      <c r="J4273" s="81"/>
      <c r="K4273" s="81"/>
      <c r="L4273" s="81"/>
      <c r="M4273" s="81"/>
      <c r="N4273" s="81"/>
    </row>
    <row r="4274" spans="1:14" ht="14.25" customHeight="1" x14ac:dyDescent="0.25">
      <c r="A4274" s="612" t="s">
        <v>556</v>
      </c>
      <c r="B4274" s="608"/>
      <c r="C4274" s="608"/>
      <c r="D4274" s="608"/>
      <c r="E4274" s="609"/>
      <c r="F4274" s="133"/>
      <c r="G4274" s="81"/>
      <c r="H4274" s="81"/>
      <c r="I4274" s="81"/>
      <c r="J4274" s="81"/>
      <c r="K4274" s="81"/>
      <c r="L4274" s="81"/>
      <c r="M4274" s="81"/>
      <c r="N4274" s="81"/>
    </row>
    <row r="4275" spans="1:14" ht="14.25" customHeight="1" x14ac:dyDescent="0.25">
      <c r="A4275" s="134"/>
      <c r="B4275" s="135"/>
      <c r="C4275" s="135"/>
      <c r="D4275" s="135"/>
      <c r="E4275" s="135"/>
      <c r="F4275" s="136"/>
      <c r="G4275" s="81"/>
      <c r="H4275" s="81"/>
      <c r="I4275" s="81"/>
      <c r="J4275" s="81"/>
      <c r="K4275" s="81"/>
      <c r="L4275" s="81"/>
      <c r="M4275" s="81"/>
      <c r="N4275" s="81"/>
    </row>
    <row r="4276" spans="1:14" ht="14.25" customHeight="1" x14ac:dyDescent="0.25">
      <c r="A4276" s="134"/>
      <c r="B4276" s="135"/>
      <c r="C4276" s="135"/>
      <c r="D4276" s="135"/>
      <c r="E4276" s="135"/>
      <c r="F4276" s="136"/>
      <c r="G4276" s="81"/>
      <c r="H4276" s="81"/>
      <c r="I4276" s="81"/>
      <c r="J4276" s="81"/>
      <c r="K4276" s="81"/>
      <c r="L4276" s="81"/>
      <c r="M4276" s="81"/>
      <c r="N4276" s="81"/>
    </row>
    <row r="4277" spans="1:14" ht="14.25" customHeight="1" x14ac:dyDescent="0.25">
      <c r="A4277" s="134"/>
      <c r="B4277" s="135"/>
      <c r="C4277" s="135"/>
      <c r="D4277" s="135"/>
      <c r="E4277" s="135"/>
      <c r="F4277" s="136"/>
      <c r="G4277" s="81"/>
      <c r="H4277" s="81"/>
      <c r="I4277" s="81"/>
      <c r="J4277" s="81"/>
      <c r="K4277" s="81"/>
      <c r="L4277" s="81"/>
      <c r="M4277" s="81"/>
      <c r="N4277" s="81"/>
    </row>
    <row r="4278" spans="1:14" ht="14.25" customHeight="1" x14ac:dyDescent="0.25">
      <c r="A4278" s="134"/>
      <c r="B4278" s="135"/>
      <c r="C4278" s="135"/>
      <c r="D4278" s="135"/>
      <c r="E4278" s="135"/>
      <c r="F4278" s="136"/>
      <c r="G4278" s="81"/>
      <c r="H4278" s="81"/>
      <c r="I4278" s="81"/>
      <c r="J4278" s="81"/>
      <c r="K4278" s="81"/>
      <c r="L4278" s="81"/>
      <c r="M4278" s="81"/>
      <c r="N4278" s="81"/>
    </row>
    <row r="4279" spans="1:14" ht="14.25" customHeight="1" x14ac:dyDescent="0.25">
      <c r="A4279" s="134"/>
      <c r="B4279" s="135"/>
      <c r="C4279" s="135"/>
      <c r="D4279" s="135"/>
      <c r="E4279" s="135"/>
      <c r="F4279" s="136"/>
      <c r="G4279" s="81"/>
      <c r="H4279" s="81"/>
      <c r="I4279" s="81"/>
      <c r="J4279" s="81"/>
      <c r="K4279" s="81"/>
      <c r="L4279" s="81"/>
      <c r="M4279" s="81"/>
      <c r="N4279" s="81"/>
    </row>
    <row r="4280" spans="1:14" ht="14.25" customHeight="1" x14ac:dyDescent="0.25">
      <c r="A4280" s="81"/>
      <c r="B4280" s="81"/>
      <c r="C4280" s="137"/>
      <c r="D4280" s="81"/>
      <c r="E4280" s="81"/>
      <c r="F4280" s="81"/>
      <c r="G4280" s="81"/>
      <c r="H4280" s="81"/>
      <c r="I4280" s="81"/>
      <c r="J4280" s="81"/>
      <c r="K4280" s="81"/>
      <c r="L4280" s="81"/>
      <c r="M4280" s="81"/>
      <c r="N4280" s="81"/>
    </row>
    <row r="4281" spans="1:14" ht="14.25" customHeight="1" x14ac:dyDescent="0.25">
      <c r="A4281" s="81"/>
      <c r="B4281" s="81"/>
      <c r="C4281" s="137"/>
      <c r="D4281" s="81"/>
      <c r="E4281" s="81"/>
      <c r="F4281" s="81"/>
      <c r="G4281" s="81"/>
      <c r="H4281" s="81"/>
      <c r="I4281" s="81"/>
      <c r="J4281" s="81"/>
      <c r="K4281" s="81"/>
      <c r="L4281" s="81"/>
      <c r="M4281" s="81"/>
      <c r="N4281" s="81"/>
    </row>
    <row r="4282" spans="1:14" ht="14.25" customHeight="1" x14ac:dyDescent="0.25">
      <c r="A4282" s="81"/>
      <c r="B4282" s="81"/>
      <c r="C4282" s="137"/>
      <c r="D4282" s="81"/>
      <c r="E4282" s="81"/>
      <c r="F4282" s="81"/>
      <c r="G4282" s="81"/>
      <c r="H4282" s="81"/>
      <c r="I4282" s="81"/>
      <c r="J4282" s="81"/>
      <c r="K4282" s="81"/>
      <c r="L4282" s="81"/>
      <c r="M4282" s="81"/>
      <c r="N4282" s="81"/>
    </row>
    <row r="4283" spans="1:14" ht="14.25" customHeight="1" x14ac:dyDescent="0.25">
      <c r="A4283" s="81"/>
      <c r="B4283" s="81"/>
      <c r="C4283" s="137"/>
      <c r="D4283" s="81"/>
      <c r="E4283" s="81"/>
      <c r="F4283" s="81"/>
      <c r="G4283" s="81"/>
      <c r="H4283" s="81"/>
      <c r="I4283" s="81"/>
      <c r="J4283" s="81"/>
      <c r="K4283" s="81"/>
      <c r="L4283" s="81"/>
      <c r="M4283" s="81"/>
      <c r="N4283" s="81"/>
    </row>
    <row r="4284" spans="1:14" ht="14.25" customHeight="1" thickBot="1" x14ac:dyDescent="0.3">
      <c r="A4284" s="81"/>
      <c r="B4284" s="81"/>
      <c r="C4284" s="81"/>
      <c r="D4284" s="81"/>
      <c r="E4284" s="81"/>
      <c r="F4284" s="81"/>
      <c r="G4284" s="81"/>
      <c r="H4284" s="81"/>
      <c r="I4284" s="81"/>
      <c r="J4284" s="81"/>
      <c r="K4284" s="81"/>
      <c r="L4284" s="81"/>
      <c r="M4284" s="81"/>
      <c r="N4284" s="81"/>
    </row>
    <row r="4285" spans="1:14" ht="14.25" customHeight="1" x14ac:dyDescent="0.25">
      <c r="A4285" s="83"/>
      <c r="B4285" s="84"/>
      <c r="C4285" s="85"/>
      <c r="D4285" s="86"/>
      <c r="E4285" s="86"/>
      <c r="F4285" s="87"/>
      <c r="G4285" s="81"/>
      <c r="H4285" s="81"/>
      <c r="I4285" s="81"/>
      <c r="J4285" s="81"/>
      <c r="K4285" s="81"/>
      <c r="L4285" s="81"/>
      <c r="M4285" s="81"/>
      <c r="N4285" s="81"/>
    </row>
    <row r="4286" spans="1:14" ht="14.25" customHeight="1" x14ac:dyDescent="0.25">
      <c r="A4286" s="599"/>
      <c r="B4286" s="600"/>
      <c r="C4286" s="600"/>
      <c r="D4286" s="600"/>
      <c r="E4286" s="600"/>
      <c r="F4286" s="601"/>
      <c r="G4286" s="81"/>
      <c r="H4286" s="81"/>
      <c r="I4286" s="81"/>
      <c r="J4286" s="81"/>
      <c r="K4286" s="81"/>
      <c r="L4286" s="81"/>
      <c r="M4286" s="81"/>
      <c r="N4286" s="81"/>
    </row>
    <row r="4287" spans="1:14" ht="14.25" customHeight="1" x14ac:dyDescent="0.25">
      <c r="A4287" s="602" t="s">
        <v>561</v>
      </c>
      <c r="B4287" s="600"/>
      <c r="C4287" s="600"/>
      <c r="D4287" s="600"/>
      <c r="E4287" s="600"/>
      <c r="F4287" s="601"/>
      <c r="G4287" s="81"/>
      <c r="H4287" s="81"/>
      <c r="I4287" s="81"/>
      <c r="J4287" s="81"/>
      <c r="K4287" s="81"/>
      <c r="L4287" s="81"/>
      <c r="M4287" s="81"/>
      <c r="N4287" s="81"/>
    </row>
    <row r="4288" spans="1:14" ht="14.25" customHeight="1" thickBot="1" x14ac:dyDescent="0.3">
      <c r="A4288" s="603"/>
      <c r="B4288" s="604"/>
      <c r="C4288" s="604"/>
      <c r="D4288" s="604"/>
      <c r="E4288" s="604"/>
      <c r="F4288" s="605"/>
      <c r="G4288" s="81"/>
      <c r="H4288" s="81"/>
      <c r="I4288" s="81"/>
      <c r="J4288" s="81"/>
      <c r="K4288" s="81"/>
      <c r="L4288" s="81"/>
      <c r="M4288" s="81"/>
      <c r="N4288" s="81"/>
    </row>
    <row r="4289" spans="1:14" ht="14.25" customHeight="1" x14ac:dyDescent="0.25">
      <c r="A4289" s="88"/>
      <c r="B4289" s="88"/>
      <c r="C4289" s="89"/>
      <c r="D4289" s="89"/>
      <c r="E4289" s="89"/>
      <c r="F4289" s="89"/>
      <c r="G4289" s="81"/>
      <c r="H4289" s="81"/>
      <c r="I4289" s="81"/>
      <c r="J4289" s="81"/>
      <c r="K4289" s="81"/>
      <c r="L4289" s="81"/>
      <c r="M4289" s="81"/>
      <c r="N4289" s="81"/>
    </row>
    <row r="4290" spans="1:14" ht="14.25" customHeight="1" x14ac:dyDescent="0.25">
      <c r="A4290" s="90" t="s">
        <v>47</v>
      </c>
      <c r="B4290" s="613" t="s">
        <v>205</v>
      </c>
      <c r="C4290" s="600"/>
      <c r="D4290" s="600"/>
      <c r="E4290" s="600"/>
      <c r="F4290" s="600"/>
      <c r="G4290" s="81"/>
      <c r="H4290" s="81"/>
      <c r="I4290" s="81"/>
      <c r="J4290" s="81"/>
      <c r="K4290" s="81"/>
      <c r="L4290" s="81"/>
      <c r="M4290" s="81"/>
      <c r="N4290" s="81"/>
    </row>
    <row r="4291" spans="1:14" ht="14.25" customHeight="1" x14ac:dyDescent="0.25">
      <c r="A4291" s="91"/>
      <c r="B4291" s="91"/>
      <c r="C4291" s="91"/>
      <c r="D4291" s="91"/>
      <c r="E4291" s="91"/>
      <c r="F4291" s="91"/>
      <c r="G4291" s="81"/>
      <c r="H4291" s="81"/>
      <c r="I4291" s="81"/>
      <c r="J4291" s="81"/>
      <c r="K4291" s="81"/>
      <c r="L4291" s="81"/>
      <c r="M4291" s="81"/>
      <c r="N4291" s="81"/>
    </row>
    <row r="4292" spans="1:14" ht="14.25" customHeight="1" x14ac:dyDescent="0.25">
      <c r="A4292" s="88" t="s">
        <v>49</v>
      </c>
      <c r="B4292" s="92" t="s">
        <v>59</v>
      </c>
      <c r="C4292" s="89"/>
      <c r="D4292" s="89"/>
      <c r="E4292" s="89"/>
      <c r="F4292" s="93"/>
      <c r="G4292" s="81"/>
      <c r="H4292" s="81"/>
      <c r="I4292" s="81"/>
      <c r="J4292" s="81"/>
      <c r="K4292" s="81"/>
      <c r="L4292" s="81"/>
      <c r="M4292" s="81"/>
      <c r="N4292" s="81"/>
    </row>
    <row r="4293" spans="1:14" ht="14.25" customHeight="1" x14ac:dyDescent="0.25">
      <c r="A4293" s="88"/>
      <c r="B4293" s="94"/>
      <c r="C4293" s="89"/>
      <c r="D4293" s="89"/>
      <c r="E4293" s="89"/>
      <c r="F4293" s="93"/>
      <c r="G4293" s="81"/>
      <c r="H4293" s="81"/>
      <c r="I4293" s="81"/>
      <c r="J4293" s="81"/>
      <c r="K4293" s="81"/>
      <c r="L4293" s="81"/>
      <c r="M4293" s="81"/>
      <c r="N4293" s="81"/>
    </row>
    <row r="4294" spans="1:14" ht="14.25" customHeight="1" x14ac:dyDescent="0.25">
      <c r="A4294" s="95" t="s">
        <v>562</v>
      </c>
      <c r="B4294" s="96"/>
      <c r="C4294" s="92"/>
      <c r="D4294" s="92"/>
      <c r="E4294" s="92"/>
      <c r="F4294" s="92"/>
      <c r="G4294" s="81"/>
      <c r="H4294" s="81"/>
      <c r="I4294" s="81"/>
      <c r="J4294" s="81"/>
      <c r="K4294" s="81"/>
      <c r="L4294" s="81"/>
      <c r="M4294" s="81"/>
      <c r="N4294" s="81"/>
    </row>
    <row r="4295" spans="1:14" ht="14.25" customHeight="1" x14ac:dyDescent="0.25">
      <c r="A4295" s="97" t="s">
        <v>563</v>
      </c>
      <c r="B4295" s="98" t="s">
        <v>564</v>
      </c>
      <c r="C4295" s="98" t="s">
        <v>565</v>
      </c>
      <c r="D4295" s="98" t="s">
        <v>566</v>
      </c>
      <c r="E4295" s="98" t="s">
        <v>567</v>
      </c>
      <c r="F4295" s="98" t="s">
        <v>568</v>
      </c>
      <c r="G4295" s="81"/>
      <c r="H4295" s="81"/>
      <c r="I4295" s="81"/>
      <c r="J4295" s="81"/>
      <c r="K4295" s="81"/>
      <c r="L4295" s="81"/>
      <c r="M4295" s="81"/>
      <c r="N4295" s="81"/>
    </row>
    <row r="4296" spans="1:14" ht="14.25" customHeight="1" x14ac:dyDescent="0.25">
      <c r="A4296" s="99" t="s">
        <v>733</v>
      </c>
      <c r="B4296" s="100" t="s">
        <v>59</v>
      </c>
      <c r="C4296" s="101">
        <v>2800</v>
      </c>
      <c r="D4296" s="149">
        <v>1</v>
      </c>
      <c r="E4296" s="102">
        <v>0.05</v>
      </c>
      <c r="F4296" s="101">
        <f t="shared" ref="F4296:F4299" si="235">C4296*(D4296+(D4296*E4296))</f>
        <v>2940</v>
      </c>
      <c r="G4296" s="81"/>
      <c r="H4296" s="81"/>
      <c r="I4296" s="81"/>
      <c r="J4296" s="81"/>
      <c r="K4296" s="81"/>
      <c r="L4296" s="81"/>
      <c r="M4296" s="81"/>
      <c r="N4296" s="81"/>
    </row>
    <row r="4297" spans="1:14" ht="14.25" customHeight="1" x14ac:dyDescent="0.25">
      <c r="A4297" s="99" t="s">
        <v>734</v>
      </c>
      <c r="B4297" s="100" t="s">
        <v>99</v>
      </c>
      <c r="C4297" s="101">
        <v>530</v>
      </c>
      <c r="D4297" s="149">
        <v>0.25</v>
      </c>
      <c r="E4297" s="102"/>
      <c r="F4297" s="101">
        <f t="shared" si="235"/>
        <v>132.5</v>
      </c>
      <c r="G4297" s="81"/>
      <c r="H4297" s="81"/>
      <c r="I4297" s="81"/>
      <c r="J4297" s="81"/>
      <c r="K4297" s="81"/>
      <c r="L4297" s="81"/>
      <c r="M4297" s="81"/>
      <c r="N4297" s="81"/>
    </row>
    <row r="4298" spans="1:14" ht="14.25" customHeight="1" x14ac:dyDescent="0.25">
      <c r="A4298" s="99" t="s">
        <v>622</v>
      </c>
      <c r="B4298" s="100" t="s">
        <v>99</v>
      </c>
      <c r="C4298" s="101">
        <v>85900</v>
      </c>
      <c r="D4298" s="149">
        <v>1.2E-2</v>
      </c>
      <c r="E4298" s="102">
        <v>0.05</v>
      </c>
      <c r="F4298" s="101">
        <f t="shared" si="235"/>
        <v>1082.3399999999999</v>
      </c>
      <c r="G4298" s="81"/>
      <c r="H4298" s="81"/>
      <c r="I4298" s="81"/>
      <c r="J4298" s="81"/>
      <c r="K4298" s="81"/>
      <c r="L4298" s="81"/>
      <c r="M4298" s="81"/>
      <c r="N4298" s="81"/>
    </row>
    <row r="4299" spans="1:14" ht="14.25" customHeight="1" x14ac:dyDescent="0.25">
      <c r="A4299" s="103" t="s">
        <v>632</v>
      </c>
      <c r="B4299" s="100" t="s">
        <v>99</v>
      </c>
      <c r="C4299" s="101">
        <v>35000</v>
      </c>
      <c r="D4299" s="149">
        <v>0.01</v>
      </c>
      <c r="E4299" s="102">
        <v>0.05</v>
      </c>
      <c r="F4299" s="101">
        <f t="shared" si="235"/>
        <v>367.5</v>
      </c>
      <c r="G4299" s="81"/>
      <c r="H4299" s="81"/>
      <c r="I4299" s="81"/>
      <c r="J4299" s="81"/>
      <c r="K4299" s="81"/>
      <c r="L4299" s="81"/>
      <c r="M4299" s="81"/>
      <c r="N4299" s="81"/>
    </row>
    <row r="4300" spans="1:14" ht="14.25" customHeight="1" x14ac:dyDescent="0.25">
      <c r="A4300" s="103"/>
      <c r="B4300" s="100"/>
      <c r="C4300" s="101"/>
      <c r="D4300" s="105"/>
      <c r="E4300" s="102"/>
      <c r="F4300" s="101"/>
      <c r="G4300" s="81"/>
      <c r="H4300" s="81"/>
      <c r="I4300" s="81"/>
      <c r="J4300" s="81"/>
      <c r="K4300" s="81"/>
      <c r="L4300" s="81"/>
      <c r="M4300" s="81"/>
      <c r="N4300" s="81"/>
    </row>
    <row r="4301" spans="1:14" ht="14.25" customHeight="1" x14ac:dyDescent="0.25">
      <c r="A4301" s="99"/>
      <c r="B4301" s="100"/>
      <c r="C4301" s="106"/>
      <c r="D4301" s="107"/>
      <c r="E4301" s="108"/>
      <c r="F4301" s="106"/>
      <c r="G4301" s="81"/>
      <c r="H4301" s="81"/>
      <c r="I4301" s="81"/>
      <c r="J4301" s="81"/>
      <c r="K4301" s="81"/>
      <c r="L4301" s="81"/>
      <c r="M4301" s="81"/>
      <c r="N4301" s="81"/>
    </row>
    <row r="4302" spans="1:14" ht="14.25" customHeight="1" x14ac:dyDescent="0.25">
      <c r="A4302" s="97" t="s">
        <v>548</v>
      </c>
      <c r="B4302" s="97"/>
      <c r="C4302" s="109"/>
      <c r="D4302" s="110"/>
      <c r="E4302" s="111"/>
      <c r="F4302" s="112">
        <f>SUM(F4296:F4301)</f>
        <v>4522.34</v>
      </c>
      <c r="G4302" s="81"/>
      <c r="H4302" s="81"/>
      <c r="I4302" s="81"/>
      <c r="J4302" s="81"/>
      <c r="K4302" s="81"/>
      <c r="L4302" s="81"/>
      <c r="M4302" s="81"/>
      <c r="N4302" s="81"/>
    </row>
    <row r="4303" spans="1:14" ht="14.25" customHeight="1" x14ac:dyDescent="0.25">
      <c r="A4303" s="88"/>
      <c r="B4303" s="88"/>
      <c r="C4303" s="113"/>
      <c r="D4303" s="113"/>
      <c r="E4303" s="114"/>
      <c r="F4303" s="113"/>
      <c r="G4303" s="81"/>
      <c r="H4303" s="81"/>
      <c r="I4303" s="81"/>
      <c r="J4303" s="81"/>
      <c r="K4303" s="81"/>
      <c r="L4303" s="81"/>
      <c r="M4303" s="81"/>
      <c r="N4303" s="81"/>
    </row>
    <row r="4304" spans="1:14" ht="14.25" customHeight="1" x14ac:dyDescent="0.25">
      <c r="A4304" s="96" t="s">
        <v>573</v>
      </c>
      <c r="B4304" s="96"/>
      <c r="C4304" s="92"/>
      <c r="D4304" s="92"/>
      <c r="E4304" s="92"/>
      <c r="F4304" s="92"/>
      <c r="G4304" s="81"/>
      <c r="H4304" s="81"/>
      <c r="I4304" s="81"/>
      <c r="J4304" s="81"/>
      <c r="K4304" s="81"/>
      <c r="L4304" s="81"/>
      <c r="M4304" s="81"/>
      <c r="N4304" s="81"/>
    </row>
    <row r="4305" spans="1:14" ht="14.25" customHeight="1" x14ac:dyDescent="0.25">
      <c r="A4305" s="611" t="s">
        <v>563</v>
      </c>
      <c r="B4305" s="608"/>
      <c r="C4305" s="609"/>
      <c r="D4305" s="98" t="s">
        <v>574</v>
      </c>
      <c r="E4305" s="98" t="s">
        <v>575</v>
      </c>
      <c r="F4305" s="98" t="s">
        <v>568</v>
      </c>
      <c r="G4305" s="81"/>
      <c r="H4305" s="81"/>
      <c r="I4305" s="81"/>
      <c r="J4305" s="81"/>
      <c r="K4305" s="81"/>
      <c r="L4305" s="81"/>
      <c r="M4305" s="81"/>
      <c r="N4305" s="81"/>
    </row>
    <row r="4306" spans="1:14" ht="14.25" customHeight="1" x14ac:dyDescent="0.25">
      <c r="A4306" s="607" t="s">
        <v>577</v>
      </c>
      <c r="B4306" s="608"/>
      <c r="C4306" s="609"/>
      <c r="D4306" s="116"/>
      <c r="E4306" s="107"/>
      <c r="F4306" s="106">
        <f>+F4317*5%</f>
        <v>201.33991106170095</v>
      </c>
      <c r="G4306" s="81"/>
      <c r="H4306" s="81"/>
      <c r="I4306" s="81"/>
      <c r="J4306" s="81"/>
      <c r="K4306" s="81"/>
      <c r="L4306" s="81"/>
      <c r="M4306" s="81"/>
      <c r="N4306" s="81"/>
    </row>
    <row r="4307" spans="1:14" ht="14.25" customHeight="1" x14ac:dyDescent="0.25">
      <c r="A4307" s="607"/>
      <c r="B4307" s="608"/>
      <c r="C4307" s="609"/>
      <c r="D4307" s="116"/>
      <c r="E4307" s="107"/>
      <c r="F4307" s="106"/>
      <c r="G4307" s="81"/>
      <c r="H4307" s="81"/>
      <c r="I4307" s="81"/>
      <c r="J4307" s="81"/>
      <c r="K4307" s="81"/>
      <c r="L4307" s="81"/>
      <c r="M4307" s="81"/>
      <c r="N4307" s="81"/>
    </row>
    <row r="4308" spans="1:14" ht="14.25" customHeight="1" x14ac:dyDescent="0.25">
      <c r="A4308" s="610"/>
      <c r="B4308" s="608"/>
      <c r="C4308" s="609"/>
      <c r="D4308" s="115"/>
      <c r="E4308" s="107"/>
      <c r="F4308" s="106"/>
      <c r="G4308" s="81"/>
      <c r="H4308" s="81"/>
      <c r="I4308" s="81"/>
      <c r="J4308" s="81"/>
      <c r="K4308" s="81"/>
      <c r="L4308" s="81"/>
      <c r="M4308" s="81"/>
      <c r="N4308" s="81"/>
    </row>
    <row r="4309" spans="1:14" ht="14.25" customHeight="1" x14ac:dyDescent="0.25">
      <c r="A4309" s="611" t="s">
        <v>548</v>
      </c>
      <c r="B4309" s="608"/>
      <c r="C4309" s="609"/>
      <c r="D4309" s="110"/>
      <c r="E4309" s="110"/>
      <c r="F4309" s="112">
        <f>SUM(F4306)</f>
        <v>201.33991106170095</v>
      </c>
      <c r="G4309" s="81"/>
      <c r="H4309" s="81"/>
      <c r="I4309" s="81"/>
      <c r="J4309" s="81"/>
      <c r="K4309" s="81"/>
      <c r="L4309" s="81"/>
      <c r="M4309" s="81"/>
      <c r="N4309" s="81"/>
    </row>
    <row r="4310" spans="1:14" ht="14.25" customHeight="1" x14ac:dyDescent="0.25">
      <c r="A4310" s="88"/>
      <c r="B4310" s="88"/>
      <c r="C4310" s="89"/>
      <c r="D4310" s="113"/>
      <c r="E4310" s="113"/>
      <c r="F4310" s="113"/>
      <c r="G4310" s="81"/>
      <c r="H4310" s="81"/>
      <c r="I4310" s="81"/>
      <c r="J4310" s="81"/>
      <c r="K4310" s="81"/>
      <c r="L4310" s="81"/>
      <c r="M4310" s="81"/>
      <c r="N4310" s="81"/>
    </row>
    <row r="4311" spans="1:14" ht="14.25" customHeight="1" x14ac:dyDescent="0.25">
      <c r="A4311" s="96" t="s">
        <v>578</v>
      </c>
      <c r="B4311" s="96"/>
      <c r="C4311" s="92"/>
      <c r="D4311" s="118"/>
      <c r="E4311" s="118"/>
      <c r="F4311" s="118"/>
      <c r="G4311" s="81"/>
      <c r="H4311" s="81"/>
      <c r="I4311" s="81"/>
      <c r="J4311" s="81"/>
      <c r="K4311" s="81"/>
      <c r="L4311" s="81"/>
      <c r="M4311" s="81"/>
      <c r="N4311" s="81"/>
    </row>
    <row r="4312" spans="1:14" ht="14.25" customHeight="1" x14ac:dyDescent="0.25">
      <c r="A4312" s="119" t="s">
        <v>563</v>
      </c>
      <c r="B4312" s="120" t="s">
        <v>579</v>
      </c>
      <c r="C4312" s="120" t="s">
        <v>580</v>
      </c>
      <c r="D4312" s="121" t="s">
        <v>581</v>
      </c>
      <c r="E4312" s="121" t="s">
        <v>575</v>
      </c>
      <c r="F4312" s="121" t="s">
        <v>568</v>
      </c>
      <c r="G4312" s="81"/>
      <c r="H4312" s="81"/>
      <c r="I4312" s="81"/>
      <c r="J4312" s="81"/>
      <c r="K4312" s="81"/>
      <c r="L4312" s="81"/>
      <c r="M4312" s="81"/>
      <c r="N4312" s="81"/>
    </row>
    <row r="4313" spans="1:14" ht="14.25" customHeight="1" x14ac:dyDescent="0.25">
      <c r="A4313" s="122" t="s">
        <v>593</v>
      </c>
      <c r="B4313" s="127">
        <v>1</v>
      </c>
      <c r="C4313" s="101">
        <v>32688</v>
      </c>
      <c r="D4313" s="101">
        <f t="shared" ref="D4313:D4314" si="236">+C4313*1.7</f>
        <v>55569.599999999999</v>
      </c>
      <c r="E4313" s="107">
        <v>35.979999999999997</v>
      </c>
      <c r="F4313" s="106">
        <f t="shared" ref="F4313:F4314" si="237">+B4313*(D4313)/E4313</f>
        <v>1544.4580322401334</v>
      </c>
      <c r="G4313" s="81"/>
      <c r="H4313" s="81"/>
      <c r="I4313" s="81"/>
      <c r="J4313" s="81"/>
      <c r="K4313" s="81"/>
      <c r="L4313" s="81"/>
      <c r="M4313" s="81"/>
      <c r="N4313" s="81"/>
    </row>
    <row r="4314" spans="1:14" ht="14.25" customHeight="1" x14ac:dyDescent="0.25">
      <c r="A4314" s="122" t="s">
        <v>594</v>
      </c>
      <c r="B4314" s="127">
        <v>1</v>
      </c>
      <c r="C4314" s="101">
        <v>52538</v>
      </c>
      <c r="D4314" s="101">
        <f t="shared" si="236"/>
        <v>89314.599999999991</v>
      </c>
      <c r="E4314" s="107">
        <f>E4313</f>
        <v>35.979999999999997</v>
      </c>
      <c r="F4314" s="106">
        <f t="shared" si="237"/>
        <v>2482.3401889938855</v>
      </c>
      <c r="G4314" s="81"/>
      <c r="H4314" s="81"/>
      <c r="I4314" s="81"/>
      <c r="J4314" s="81"/>
      <c r="K4314" s="81"/>
      <c r="L4314" s="81"/>
      <c r="M4314" s="81"/>
      <c r="N4314" s="81"/>
    </row>
    <row r="4315" spans="1:14" ht="14.25" customHeight="1" x14ac:dyDescent="0.25">
      <c r="A4315" s="122"/>
      <c r="B4315" s="127"/>
      <c r="C4315" s="101"/>
      <c r="D4315" s="101"/>
      <c r="E4315" s="107"/>
      <c r="F4315" s="106"/>
      <c r="G4315" s="81"/>
      <c r="H4315" s="81"/>
      <c r="I4315" s="81"/>
      <c r="J4315" s="81"/>
      <c r="K4315" s="81"/>
      <c r="L4315" s="81"/>
      <c r="M4315" s="81"/>
      <c r="N4315" s="81"/>
    </row>
    <row r="4316" spans="1:14" ht="14.25" customHeight="1" x14ac:dyDescent="0.25">
      <c r="A4316" s="122"/>
      <c r="B4316" s="127"/>
      <c r="C4316" s="101"/>
      <c r="D4316" s="101"/>
      <c r="E4316" s="125"/>
      <c r="F4316" s="106"/>
      <c r="G4316" s="81"/>
      <c r="H4316" s="81"/>
      <c r="I4316" s="81"/>
      <c r="J4316" s="81"/>
      <c r="K4316" s="81"/>
      <c r="L4316" s="81"/>
      <c r="M4316" s="81"/>
      <c r="N4316" s="81"/>
    </row>
    <row r="4317" spans="1:14" ht="14.25" customHeight="1" x14ac:dyDescent="0.25">
      <c r="A4317" s="97" t="s">
        <v>548</v>
      </c>
      <c r="B4317" s="128"/>
      <c r="C4317" s="110"/>
      <c r="D4317" s="110"/>
      <c r="E4317" s="110"/>
      <c r="F4317" s="112">
        <f>SUM(F4313:F4316)</f>
        <v>4026.7982212340189</v>
      </c>
      <c r="G4317" s="81"/>
      <c r="H4317" s="81"/>
      <c r="I4317" s="81"/>
      <c r="J4317" s="81"/>
      <c r="K4317" s="81"/>
      <c r="L4317" s="81"/>
      <c r="M4317" s="81"/>
      <c r="N4317" s="81"/>
    </row>
    <row r="4318" spans="1:14" ht="14.25" customHeight="1" x14ac:dyDescent="0.25">
      <c r="A4318" s="96"/>
      <c r="B4318" s="129"/>
      <c r="C4318" s="118"/>
      <c r="D4318" s="118"/>
      <c r="E4318" s="118"/>
      <c r="F4318" s="118"/>
      <c r="G4318" s="81"/>
      <c r="H4318" s="81"/>
      <c r="I4318" s="81"/>
      <c r="J4318" s="81"/>
      <c r="K4318" s="81"/>
      <c r="L4318" s="81"/>
      <c r="M4318" s="81"/>
      <c r="N4318" s="81"/>
    </row>
    <row r="4319" spans="1:14" ht="14.25" customHeight="1" x14ac:dyDescent="0.25">
      <c r="A4319" s="95" t="s">
        <v>583</v>
      </c>
      <c r="B4319" s="96"/>
      <c r="C4319" s="92"/>
      <c r="D4319" s="92"/>
      <c r="E4319" s="92" t="s">
        <v>584</v>
      </c>
      <c r="F4319" s="92"/>
      <c r="G4319" s="81"/>
      <c r="H4319" s="81"/>
      <c r="I4319" s="81"/>
      <c r="J4319" s="81"/>
      <c r="K4319" s="81"/>
      <c r="L4319" s="81"/>
      <c r="M4319" s="81"/>
      <c r="N4319" s="81"/>
    </row>
    <row r="4320" spans="1:14" ht="14.25" customHeight="1" x14ac:dyDescent="0.25">
      <c r="A4320" s="97" t="s">
        <v>563</v>
      </c>
      <c r="B4320" s="98" t="s">
        <v>564</v>
      </c>
      <c r="C4320" s="98" t="s">
        <v>585</v>
      </c>
      <c r="D4320" s="98" t="s">
        <v>586</v>
      </c>
      <c r="E4320" s="120" t="s">
        <v>587</v>
      </c>
      <c r="F4320" s="98" t="s">
        <v>568</v>
      </c>
      <c r="G4320" s="81"/>
      <c r="H4320" s="81"/>
      <c r="I4320" s="81"/>
      <c r="J4320" s="81"/>
      <c r="K4320" s="81"/>
      <c r="L4320" s="81"/>
      <c r="M4320" s="81"/>
      <c r="N4320" s="81"/>
    </row>
    <row r="4321" spans="1:14" ht="14.25" customHeight="1" x14ac:dyDescent="0.25">
      <c r="A4321" s="103"/>
      <c r="B4321" s="100"/>
      <c r="C4321" s="101"/>
      <c r="D4321" s="130"/>
      <c r="E4321" s="107"/>
      <c r="F4321" s="109"/>
      <c r="G4321" s="81"/>
      <c r="H4321" s="81"/>
      <c r="I4321" s="81"/>
      <c r="J4321" s="81"/>
      <c r="K4321" s="81"/>
      <c r="L4321" s="81"/>
      <c r="M4321" s="81"/>
      <c r="N4321" s="81"/>
    </row>
    <row r="4322" spans="1:14" ht="14.25" customHeight="1" x14ac:dyDescent="0.25">
      <c r="A4322" s="103"/>
      <c r="B4322" s="100"/>
      <c r="C4322" s="107"/>
      <c r="D4322" s="107"/>
      <c r="E4322" s="108"/>
      <c r="F4322" s="109"/>
      <c r="G4322" s="81"/>
      <c r="H4322" s="81"/>
      <c r="I4322" s="81"/>
      <c r="J4322" s="81"/>
      <c r="K4322" s="81"/>
      <c r="L4322" s="81"/>
      <c r="M4322" s="81"/>
      <c r="N4322" s="81"/>
    </row>
    <row r="4323" spans="1:14" ht="14.25" customHeight="1" x14ac:dyDescent="0.25">
      <c r="A4323" s="97" t="s">
        <v>548</v>
      </c>
      <c r="B4323" s="98"/>
      <c r="C4323" s="110"/>
      <c r="D4323" s="110"/>
      <c r="E4323" s="111"/>
      <c r="F4323" s="112">
        <f>SUM(F4321:F4322)</f>
        <v>0</v>
      </c>
      <c r="G4323" s="81"/>
      <c r="H4323" s="81"/>
      <c r="I4323" s="81"/>
      <c r="J4323" s="81"/>
      <c r="K4323" s="81"/>
      <c r="L4323" s="81"/>
      <c r="M4323" s="81"/>
      <c r="N4323" s="81"/>
    </row>
    <row r="4324" spans="1:14" ht="14.25" customHeight="1" x14ac:dyDescent="0.25">
      <c r="A4324" s="88"/>
      <c r="B4324" s="89"/>
      <c r="C4324" s="113"/>
      <c r="D4324" s="113"/>
      <c r="E4324" s="114"/>
      <c r="F4324" s="113"/>
      <c r="G4324" s="81"/>
      <c r="H4324" s="81"/>
      <c r="I4324" s="81"/>
      <c r="J4324" s="81"/>
      <c r="K4324" s="81"/>
      <c r="L4324" s="81"/>
      <c r="M4324" s="81"/>
      <c r="N4324" s="81"/>
    </row>
    <row r="4325" spans="1:14" ht="14.25" customHeight="1" x14ac:dyDescent="0.25">
      <c r="A4325" s="88"/>
      <c r="B4325" s="89"/>
      <c r="C4325" s="113"/>
      <c r="D4325" s="113"/>
      <c r="E4325" s="114"/>
      <c r="F4325" s="113"/>
      <c r="G4325" s="81"/>
      <c r="H4325" s="81"/>
      <c r="I4325" s="81"/>
      <c r="J4325" s="81"/>
      <c r="K4325" s="81"/>
      <c r="L4325" s="81"/>
      <c r="M4325" s="81"/>
      <c r="N4325" s="81"/>
    </row>
    <row r="4326" spans="1:14" ht="14.25" customHeight="1" x14ac:dyDescent="0.25">
      <c r="A4326" s="612" t="s">
        <v>588</v>
      </c>
      <c r="B4326" s="608"/>
      <c r="C4326" s="608"/>
      <c r="D4326" s="608"/>
      <c r="E4326" s="609"/>
      <c r="F4326" s="131">
        <f>ROUND(F4302+F4309+F4317+F4323,0)</f>
        <v>8750</v>
      </c>
      <c r="G4326" s="81"/>
      <c r="H4326" s="117"/>
      <c r="I4326" s="81"/>
      <c r="J4326" s="81"/>
      <c r="K4326" s="81"/>
      <c r="L4326" s="81"/>
      <c r="M4326" s="81"/>
      <c r="N4326" s="81"/>
    </row>
    <row r="4327" spans="1:14" ht="14.25" customHeight="1" x14ac:dyDescent="0.25">
      <c r="A4327" s="612" t="s">
        <v>589</v>
      </c>
      <c r="B4327" s="608"/>
      <c r="C4327" s="608"/>
      <c r="D4327" s="608"/>
      <c r="E4327" s="609"/>
      <c r="F4327" s="132"/>
      <c r="G4327" s="81"/>
      <c r="H4327" s="81"/>
      <c r="I4327" s="81"/>
      <c r="J4327" s="81"/>
      <c r="K4327" s="81"/>
      <c r="L4327" s="81"/>
      <c r="M4327" s="81"/>
      <c r="N4327" s="81"/>
    </row>
    <row r="4328" spans="1:14" ht="14.25" customHeight="1" x14ac:dyDescent="0.25">
      <c r="A4328" s="612" t="s">
        <v>556</v>
      </c>
      <c r="B4328" s="608"/>
      <c r="C4328" s="608"/>
      <c r="D4328" s="608"/>
      <c r="E4328" s="609"/>
      <c r="F4328" s="133"/>
      <c r="G4328" s="81"/>
      <c r="H4328" s="81"/>
      <c r="I4328" s="81"/>
      <c r="J4328" s="81"/>
      <c r="K4328" s="81"/>
      <c r="L4328" s="81"/>
      <c r="M4328" s="81"/>
      <c r="N4328" s="81"/>
    </row>
    <row r="4329" spans="1:14" ht="14.25" customHeight="1" x14ac:dyDescent="0.25">
      <c r="A4329" s="134"/>
      <c r="B4329" s="135"/>
      <c r="C4329" s="135"/>
      <c r="D4329" s="135"/>
      <c r="E4329" s="135"/>
      <c r="F4329" s="136"/>
      <c r="G4329" s="81"/>
      <c r="H4329" s="81"/>
      <c r="I4329" s="81"/>
      <c r="J4329" s="81"/>
      <c r="K4329" s="81"/>
      <c r="L4329" s="81"/>
      <c r="M4329" s="81"/>
      <c r="N4329" s="81"/>
    </row>
    <row r="4330" spans="1:14" ht="14.25" customHeight="1" x14ac:dyDescent="0.25">
      <c r="A4330" s="134"/>
      <c r="B4330" s="135"/>
      <c r="C4330" s="135"/>
      <c r="D4330" s="135"/>
      <c r="E4330" s="135"/>
      <c r="F4330" s="136"/>
      <c r="G4330" s="81"/>
      <c r="H4330" s="81"/>
      <c r="I4330" s="81"/>
      <c r="J4330" s="81"/>
      <c r="K4330" s="81"/>
      <c r="L4330" s="81"/>
      <c r="M4330" s="81"/>
      <c r="N4330" s="81"/>
    </row>
    <row r="4331" spans="1:14" ht="14.25" customHeight="1" x14ac:dyDescent="0.25">
      <c r="A4331" s="134"/>
      <c r="B4331" s="135"/>
      <c r="C4331" s="135"/>
      <c r="D4331" s="135"/>
      <c r="E4331" s="135"/>
      <c r="F4331" s="136"/>
      <c r="G4331" s="81"/>
      <c r="H4331" s="81"/>
      <c r="I4331" s="81"/>
      <c r="J4331" s="81"/>
      <c r="K4331" s="81"/>
      <c r="L4331" s="81"/>
      <c r="M4331" s="81"/>
      <c r="N4331" s="81"/>
    </row>
    <row r="4332" spans="1:14" ht="14.25" customHeight="1" x14ac:dyDescent="0.25">
      <c r="A4332" s="134"/>
      <c r="B4332" s="135"/>
      <c r="C4332" s="135"/>
      <c r="D4332" s="135"/>
      <c r="E4332" s="135"/>
      <c r="F4332" s="136"/>
      <c r="G4332" s="81"/>
      <c r="H4332" s="81"/>
      <c r="I4332" s="81"/>
      <c r="J4332" s="81"/>
      <c r="K4332" s="81"/>
      <c r="L4332" s="81"/>
      <c r="M4332" s="81"/>
      <c r="N4332" s="81"/>
    </row>
    <row r="4333" spans="1:14" ht="14.25" customHeight="1" x14ac:dyDescent="0.25">
      <c r="A4333" s="134"/>
      <c r="B4333" s="135"/>
      <c r="C4333" s="135"/>
      <c r="D4333" s="135"/>
      <c r="E4333" s="135"/>
      <c r="F4333" s="136"/>
      <c r="G4333" s="81"/>
      <c r="H4333" s="81"/>
      <c r="I4333" s="81"/>
      <c r="J4333" s="81"/>
      <c r="K4333" s="81"/>
      <c r="L4333" s="81"/>
      <c r="M4333" s="81"/>
      <c r="N4333" s="81"/>
    </row>
    <row r="4334" spans="1:14" ht="14.25" customHeight="1" x14ac:dyDescent="0.25">
      <c r="A4334" s="134"/>
      <c r="B4334" s="135"/>
      <c r="C4334" s="135"/>
      <c r="D4334" s="135"/>
      <c r="E4334" s="135"/>
      <c r="F4334" s="136"/>
      <c r="G4334" s="81"/>
      <c r="H4334" s="81"/>
      <c r="I4334" s="81"/>
      <c r="J4334" s="81"/>
      <c r="K4334" s="81"/>
      <c r="L4334" s="81"/>
      <c r="M4334" s="81"/>
      <c r="N4334" s="81"/>
    </row>
    <row r="4335" spans="1:14" ht="14.25" customHeight="1" x14ac:dyDescent="0.25">
      <c r="A4335" s="81"/>
      <c r="B4335" s="81"/>
      <c r="C4335" s="137"/>
      <c r="D4335" s="81"/>
      <c r="E4335" s="81"/>
      <c r="F4335" s="81"/>
      <c r="G4335" s="81"/>
      <c r="H4335" s="81"/>
      <c r="I4335" s="81"/>
      <c r="J4335" s="81"/>
      <c r="K4335" s="81"/>
      <c r="L4335" s="81"/>
      <c r="M4335" s="81"/>
      <c r="N4335" s="81"/>
    </row>
    <row r="4336" spans="1:14" ht="14.25" customHeight="1" x14ac:dyDescent="0.25">
      <c r="A4336" s="81"/>
      <c r="B4336" s="81"/>
      <c r="C4336" s="137"/>
      <c r="D4336" s="81"/>
      <c r="E4336" s="81"/>
      <c r="F4336" s="81"/>
      <c r="G4336" s="81"/>
      <c r="H4336" s="81"/>
      <c r="I4336" s="81"/>
      <c r="J4336" s="81"/>
      <c r="K4336" s="81"/>
      <c r="L4336" s="81"/>
      <c r="M4336" s="81"/>
      <c r="N4336" s="81"/>
    </row>
    <row r="4337" spans="1:14" ht="14.25" customHeight="1" x14ac:dyDescent="0.25">
      <c r="A4337" s="81"/>
      <c r="B4337" s="81"/>
      <c r="C4337" s="137"/>
      <c r="D4337" s="81"/>
      <c r="E4337" s="81"/>
      <c r="F4337" s="81"/>
      <c r="G4337" s="81"/>
      <c r="H4337" s="81"/>
      <c r="I4337" s="81"/>
      <c r="J4337" s="81"/>
      <c r="K4337" s="81"/>
      <c r="L4337" s="81"/>
      <c r="M4337" s="81"/>
      <c r="N4337" s="81"/>
    </row>
    <row r="4338" spans="1:14" ht="14.25" customHeight="1" x14ac:dyDescent="0.25">
      <c r="A4338" s="81"/>
      <c r="B4338" s="81"/>
      <c r="C4338" s="137"/>
      <c r="D4338" s="81"/>
      <c r="E4338" s="81"/>
      <c r="F4338" s="81"/>
      <c r="G4338" s="81"/>
      <c r="H4338" s="81"/>
      <c r="I4338" s="81"/>
      <c r="J4338" s="81"/>
      <c r="K4338" s="81"/>
      <c r="L4338" s="81"/>
      <c r="M4338" s="81"/>
      <c r="N4338" s="81"/>
    </row>
    <row r="4339" spans="1:14" ht="14.25" customHeight="1" thickBot="1" x14ac:dyDescent="0.3">
      <c r="A4339" s="81"/>
      <c r="B4339" s="81"/>
      <c r="C4339" s="81"/>
      <c r="D4339" s="81"/>
      <c r="E4339" s="81"/>
      <c r="F4339" s="81"/>
      <c r="G4339" s="81"/>
      <c r="H4339" s="81"/>
      <c r="I4339" s="81"/>
      <c r="J4339" s="81"/>
      <c r="K4339" s="81"/>
      <c r="L4339" s="81"/>
      <c r="M4339" s="81"/>
      <c r="N4339" s="81"/>
    </row>
    <row r="4340" spans="1:14" ht="14.25" customHeight="1" x14ac:dyDescent="0.25">
      <c r="A4340" s="83"/>
      <c r="B4340" s="84"/>
      <c r="C4340" s="85"/>
      <c r="D4340" s="86"/>
      <c r="E4340" s="86"/>
      <c r="F4340" s="87"/>
      <c r="G4340" s="81"/>
      <c r="H4340" s="81"/>
      <c r="I4340" s="81"/>
      <c r="J4340" s="81"/>
      <c r="K4340" s="81"/>
      <c r="L4340" s="81"/>
      <c r="M4340" s="81"/>
      <c r="N4340" s="81"/>
    </row>
    <row r="4341" spans="1:14" ht="14.25" customHeight="1" x14ac:dyDescent="0.25">
      <c r="A4341" s="599"/>
      <c r="B4341" s="600"/>
      <c r="C4341" s="600"/>
      <c r="D4341" s="600"/>
      <c r="E4341" s="600"/>
      <c r="F4341" s="601"/>
      <c r="G4341" s="81"/>
      <c r="H4341" s="81"/>
      <c r="I4341" s="81"/>
      <c r="J4341" s="81"/>
      <c r="K4341" s="81"/>
      <c r="L4341" s="81"/>
      <c r="M4341" s="81"/>
      <c r="N4341" s="81"/>
    </row>
    <row r="4342" spans="1:14" ht="14.25" customHeight="1" x14ac:dyDescent="0.25">
      <c r="A4342" s="602" t="s">
        <v>561</v>
      </c>
      <c r="B4342" s="600"/>
      <c r="C4342" s="600"/>
      <c r="D4342" s="600"/>
      <c r="E4342" s="600"/>
      <c r="F4342" s="601"/>
      <c r="G4342" s="81"/>
      <c r="H4342" s="81"/>
      <c r="I4342" s="81"/>
      <c r="J4342" s="81"/>
      <c r="K4342" s="81"/>
      <c r="L4342" s="81"/>
      <c r="M4342" s="81"/>
      <c r="N4342" s="81"/>
    </row>
    <row r="4343" spans="1:14" ht="14.25" customHeight="1" thickBot="1" x14ac:dyDescent="0.3">
      <c r="A4343" s="603"/>
      <c r="B4343" s="604"/>
      <c r="C4343" s="604"/>
      <c r="D4343" s="604"/>
      <c r="E4343" s="604"/>
      <c r="F4343" s="605"/>
      <c r="G4343" s="81"/>
      <c r="H4343" s="81"/>
      <c r="I4343" s="81"/>
      <c r="J4343" s="81"/>
      <c r="K4343" s="81"/>
      <c r="L4343" s="81"/>
      <c r="M4343" s="81"/>
      <c r="N4343" s="81"/>
    </row>
    <row r="4344" spans="1:14" ht="14.25" customHeight="1" x14ac:dyDescent="0.25">
      <c r="A4344" s="88"/>
      <c r="B4344" s="88"/>
      <c r="C4344" s="89"/>
      <c r="D4344" s="89"/>
      <c r="E4344" s="89"/>
      <c r="F4344" s="89"/>
      <c r="G4344" s="81"/>
      <c r="H4344" s="81"/>
      <c r="I4344" s="81"/>
      <c r="J4344" s="81"/>
      <c r="K4344" s="81"/>
      <c r="L4344" s="81"/>
      <c r="M4344" s="81"/>
      <c r="N4344" s="81"/>
    </row>
    <row r="4345" spans="1:14" ht="16.5" customHeight="1" x14ac:dyDescent="0.25">
      <c r="A4345" s="90" t="s">
        <v>47</v>
      </c>
      <c r="B4345" s="613" t="s">
        <v>207</v>
      </c>
      <c r="C4345" s="600"/>
      <c r="D4345" s="600"/>
      <c r="E4345" s="600"/>
      <c r="F4345" s="600"/>
      <c r="G4345" s="81"/>
      <c r="H4345" s="81"/>
      <c r="I4345" s="81"/>
      <c r="J4345" s="81"/>
      <c r="K4345" s="81"/>
      <c r="L4345" s="81"/>
      <c r="M4345" s="81"/>
      <c r="N4345" s="81"/>
    </row>
    <row r="4346" spans="1:14" ht="14.25" customHeight="1" x14ac:dyDescent="0.25">
      <c r="A4346" s="91"/>
      <c r="B4346" s="91"/>
      <c r="C4346" s="91"/>
      <c r="D4346" s="91"/>
      <c r="E4346" s="91"/>
      <c r="F4346" s="91"/>
      <c r="G4346" s="81"/>
      <c r="H4346" s="81"/>
      <c r="I4346" s="81"/>
      <c r="J4346" s="81"/>
      <c r="K4346" s="81"/>
      <c r="L4346" s="81"/>
      <c r="M4346" s="81"/>
      <c r="N4346" s="81"/>
    </row>
    <row r="4347" spans="1:14" ht="14.25" customHeight="1" x14ac:dyDescent="0.25">
      <c r="A4347" s="88" t="s">
        <v>49</v>
      </c>
      <c r="B4347" s="92" t="s">
        <v>99</v>
      </c>
      <c r="C4347" s="89"/>
      <c r="D4347" s="89"/>
      <c r="E4347" s="89"/>
      <c r="F4347" s="93"/>
      <c r="G4347" s="81"/>
      <c r="H4347" s="81"/>
      <c r="I4347" s="81"/>
      <c r="J4347" s="81"/>
      <c r="K4347" s="81"/>
      <c r="L4347" s="81"/>
      <c r="M4347" s="81"/>
      <c r="N4347" s="81"/>
    </row>
    <row r="4348" spans="1:14" ht="14.25" customHeight="1" x14ac:dyDescent="0.25">
      <c r="A4348" s="88"/>
      <c r="B4348" s="94"/>
      <c r="C4348" s="89"/>
      <c r="D4348" s="89"/>
      <c r="E4348" s="89"/>
      <c r="F4348" s="93"/>
      <c r="G4348" s="81"/>
      <c r="H4348" s="81"/>
      <c r="I4348" s="81"/>
      <c r="J4348" s="81"/>
      <c r="K4348" s="81"/>
      <c r="L4348" s="81"/>
      <c r="M4348" s="81"/>
      <c r="N4348" s="81"/>
    </row>
    <row r="4349" spans="1:14" ht="14.25" customHeight="1" x14ac:dyDescent="0.25">
      <c r="A4349" s="95" t="s">
        <v>562</v>
      </c>
      <c r="B4349" s="96"/>
      <c r="C4349" s="92"/>
      <c r="D4349" s="92"/>
      <c r="E4349" s="92"/>
      <c r="F4349" s="92"/>
      <c r="G4349" s="81"/>
      <c r="H4349" s="81"/>
      <c r="I4349" s="81"/>
      <c r="J4349" s="81"/>
      <c r="K4349" s="81"/>
      <c r="L4349" s="81"/>
      <c r="M4349" s="81"/>
      <c r="N4349" s="81"/>
    </row>
    <row r="4350" spans="1:14" ht="14.25" customHeight="1" x14ac:dyDescent="0.25">
      <c r="A4350" s="97" t="s">
        <v>563</v>
      </c>
      <c r="B4350" s="98" t="s">
        <v>564</v>
      </c>
      <c r="C4350" s="98" t="s">
        <v>565</v>
      </c>
      <c r="D4350" s="98" t="s">
        <v>566</v>
      </c>
      <c r="E4350" s="98" t="s">
        <v>567</v>
      </c>
      <c r="F4350" s="98" t="s">
        <v>568</v>
      </c>
      <c r="G4350" s="81"/>
      <c r="H4350" s="81"/>
      <c r="I4350" s="81"/>
      <c r="J4350" s="81"/>
      <c r="K4350" s="81"/>
      <c r="L4350" s="81"/>
      <c r="M4350" s="81"/>
      <c r="N4350" s="81"/>
    </row>
    <row r="4351" spans="1:14" ht="14.25" customHeight="1" x14ac:dyDescent="0.25">
      <c r="A4351" s="99" t="s">
        <v>735</v>
      </c>
      <c r="B4351" s="100" t="s">
        <v>99</v>
      </c>
      <c r="C4351" s="101">
        <v>60500</v>
      </c>
      <c r="D4351" s="149">
        <v>1</v>
      </c>
      <c r="E4351" s="102"/>
      <c r="F4351" s="101">
        <f t="shared" ref="F4351:F4354" si="238">C4351*(D4351+(D4351*E4351))</f>
        <v>60500</v>
      </c>
      <c r="G4351" s="81"/>
      <c r="H4351" s="81"/>
      <c r="I4351" s="81"/>
      <c r="J4351" s="81"/>
      <c r="K4351" s="81"/>
      <c r="L4351" s="81"/>
      <c r="M4351" s="81"/>
      <c r="N4351" s="81"/>
    </row>
    <row r="4352" spans="1:14" ht="14.25" customHeight="1" x14ac:dyDescent="0.25">
      <c r="A4352" s="103" t="s">
        <v>633</v>
      </c>
      <c r="B4352" s="100" t="s">
        <v>634</v>
      </c>
      <c r="C4352" s="101">
        <v>8900</v>
      </c>
      <c r="D4352" s="105">
        <v>7.0000000000000007E-2</v>
      </c>
      <c r="E4352" s="102">
        <v>0.05</v>
      </c>
      <c r="F4352" s="101">
        <f t="shared" si="238"/>
        <v>654.15000000000009</v>
      </c>
      <c r="G4352" s="81"/>
      <c r="H4352" s="81"/>
      <c r="I4352" s="81"/>
      <c r="J4352" s="81"/>
      <c r="K4352" s="81"/>
      <c r="L4352" s="81"/>
      <c r="M4352" s="81"/>
      <c r="N4352" s="81"/>
    </row>
    <row r="4353" spans="1:14" ht="14.25" customHeight="1" x14ac:dyDescent="0.25">
      <c r="A4353" s="99" t="s">
        <v>622</v>
      </c>
      <c r="B4353" s="100" t="s">
        <v>99</v>
      </c>
      <c r="C4353" s="101">
        <v>85900</v>
      </c>
      <c r="D4353" s="149">
        <v>0.01</v>
      </c>
      <c r="E4353" s="102">
        <v>0.05</v>
      </c>
      <c r="F4353" s="101">
        <f t="shared" si="238"/>
        <v>901.95</v>
      </c>
      <c r="G4353" s="81"/>
      <c r="H4353" s="81"/>
      <c r="I4353" s="81"/>
      <c r="J4353" s="81"/>
      <c r="K4353" s="81"/>
      <c r="L4353" s="81"/>
      <c r="M4353" s="81"/>
      <c r="N4353" s="81"/>
    </row>
    <row r="4354" spans="1:14" ht="14.25" customHeight="1" x14ac:dyDescent="0.25">
      <c r="A4354" s="103" t="s">
        <v>632</v>
      </c>
      <c r="B4354" s="100" t="s">
        <v>99</v>
      </c>
      <c r="C4354" s="101">
        <v>35000</v>
      </c>
      <c r="D4354" s="149">
        <v>8.0000000000000002E-3</v>
      </c>
      <c r="E4354" s="102">
        <v>0.05</v>
      </c>
      <c r="F4354" s="101">
        <f t="shared" si="238"/>
        <v>294</v>
      </c>
      <c r="G4354" s="81"/>
      <c r="H4354" s="81"/>
      <c r="I4354" s="81"/>
      <c r="J4354" s="81"/>
      <c r="K4354" s="81"/>
      <c r="L4354" s="81"/>
      <c r="M4354" s="81"/>
      <c r="N4354" s="81"/>
    </row>
    <row r="4355" spans="1:14" ht="14.25" customHeight="1" x14ac:dyDescent="0.25">
      <c r="A4355" s="103"/>
      <c r="B4355" s="100"/>
      <c r="C4355" s="101"/>
      <c r="D4355" s="105"/>
      <c r="E4355" s="102"/>
      <c r="F4355" s="101"/>
      <c r="G4355" s="81"/>
      <c r="H4355" s="81"/>
      <c r="I4355" s="81"/>
      <c r="J4355" s="81"/>
      <c r="K4355" s="81"/>
      <c r="L4355" s="81"/>
      <c r="M4355" s="81"/>
      <c r="N4355" s="81"/>
    </row>
    <row r="4356" spans="1:14" ht="14.25" customHeight="1" x14ac:dyDescent="0.25">
      <c r="A4356" s="99"/>
      <c r="B4356" s="100"/>
      <c r="C4356" s="106"/>
      <c r="D4356" s="107"/>
      <c r="E4356" s="108"/>
      <c r="F4356" s="106"/>
      <c r="G4356" s="81"/>
      <c r="H4356" s="81"/>
      <c r="I4356" s="81"/>
      <c r="J4356" s="81"/>
      <c r="K4356" s="81"/>
      <c r="L4356" s="81"/>
      <c r="M4356" s="81"/>
      <c r="N4356" s="81"/>
    </row>
    <row r="4357" spans="1:14" ht="14.25" customHeight="1" x14ac:dyDescent="0.25">
      <c r="A4357" s="97" t="s">
        <v>548</v>
      </c>
      <c r="B4357" s="97"/>
      <c r="C4357" s="109"/>
      <c r="D4357" s="110"/>
      <c r="E4357" s="111"/>
      <c r="F4357" s="112">
        <f>SUM(F4351:F4356)</f>
        <v>62350.1</v>
      </c>
      <c r="G4357" s="81"/>
      <c r="H4357" s="81"/>
      <c r="I4357" s="81"/>
      <c r="J4357" s="81"/>
      <c r="K4357" s="81"/>
      <c r="L4357" s="81"/>
      <c r="M4357" s="81"/>
      <c r="N4357" s="81"/>
    </row>
    <row r="4358" spans="1:14" ht="14.25" customHeight="1" x14ac:dyDescent="0.25">
      <c r="A4358" s="88"/>
      <c r="B4358" s="88"/>
      <c r="C4358" s="113"/>
      <c r="D4358" s="113"/>
      <c r="E4358" s="114"/>
      <c r="F4358" s="113"/>
      <c r="G4358" s="81"/>
      <c r="H4358" s="81"/>
      <c r="I4358" s="81"/>
      <c r="J4358" s="81"/>
      <c r="K4358" s="81"/>
      <c r="L4358" s="81"/>
      <c r="M4358" s="81"/>
      <c r="N4358" s="81"/>
    </row>
    <row r="4359" spans="1:14" ht="14.25" customHeight="1" x14ac:dyDescent="0.25">
      <c r="A4359" s="96" t="s">
        <v>573</v>
      </c>
      <c r="B4359" s="96"/>
      <c r="C4359" s="92"/>
      <c r="D4359" s="92"/>
      <c r="E4359" s="92"/>
      <c r="F4359" s="92"/>
      <c r="G4359" s="81"/>
      <c r="H4359" s="81"/>
      <c r="I4359" s="81"/>
      <c r="J4359" s="81"/>
      <c r="K4359" s="81"/>
      <c r="L4359" s="81"/>
      <c r="M4359" s="81"/>
      <c r="N4359" s="81"/>
    </row>
    <row r="4360" spans="1:14" ht="14.25" customHeight="1" x14ac:dyDescent="0.25">
      <c r="A4360" s="611" t="s">
        <v>563</v>
      </c>
      <c r="B4360" s="608"/>
      <c r="C4360" s="609"/>
      <c r="D4360" s="98" t="s">
        <v>574</v>
      </c>
      <c r="E4360" s="98" t="s">
        <v>575</v>
      </c>
      <c r="F4360" s="98" t="s">
        <v>568</v>
      </c>
      <c r="G4360" s="81"/>
      <c r="H4360" s="81"/>
      <c r="I4360" s="81"/>
      <c r="J4360" s="81"/>
      <c r="K4360" s="81"/>
      <c r="L4360" s="81"/>
      <c r="M4360" s="81"/>
      <c r="N4360" s="81"/>
    </row>
    <row r="4361" spans="1:14" ht="14.25" customHeight="1" x14ac:dyDescent="0.25">
      <c r="A4361" s="607" t="s">
        <v>577</v>
      </c>
      <c r="B4361" s="608"/>
      <c r="C4361" s="609"/>
      <c r="D4361" s="116"/>
      <c r="E4361" s="107"/>
      <c r="F4361" s="106">
        <f>+F4372*5%</f>
        <v>1124.0220949898369</v>
      </c>
      <c r="G4361" s="81"/>
      <c r="H4361" s="81"/>
      <c r="I4361" s="81"/>
      <c r="J4361" s="81"/>
      <c r="K4361" s="81"/>
      <c r="L4361" s="81"/>
      <c r="M4361" s="81"/>
      <c r="N4361" s="81"/>
    </row>
    <row r="4362" spans="1:14" ht="14.25" customHeight="1" x14ac:dyDescent="0.25">
      <c r="A4362" s="607"/>
      <c r="B4362" s="608"/>
      <c r="C4362" s="609"/>
      <c r="D4362" s="116"/>
      <c r="E4362" s="107"/>
      <c r="F4362" s="106"/>
      <c r="G4362" s="81"/>
      <c r="H4362" s="81"/>
      <c r="I4362" s="81"/>
      <c r="J4362" s="81"/>
      <c r="K4362" s="81"/>
      <c r="L4362" s="81"/>
      <c r="M4362" s="81"/>
      <c r="N4362" s="81"/>
    </row>
    <row r="4363" spans="1:14" ht="14.25" customHeight="1" x14ac:dyDescent="0.25">
      <c r="A4363" s="610"/>
      <c r="B4363" s="608"/>
      <c r="C4363" s="609"/>
      <c r="D4363" s="115"/>
      <c r="E4363" s="107"/>
      <c r="F4363" s="106"/>
      <c r="G4363" s="81"/>
      <c r="H4363" s="81"/>
      <c r="I4363" s="81"/>
      <c r="J4363" s="81"/>
      <c r="K4363" s="81"/>
      <c r="L4363" s="81"/>
      <c r="M4363" s="81"/>
      <c r="N4363" s="81"/>
    </row>
    <row r="4364" spans="1:14" ht="14.25" customHeight="1" x14ac:dyDescent="0.25">
      <c r="A4364" s="611" t="s">
        <v>548</v>
      </c>
      <c r="B4364" s="608"/>
      <c r="C4364" s="609"/>
      <c r="D4364" s="110"/>
      <c r="E4364" s="110"/>
      <c r="F4364" s="112">
        <f>SUM(F4361)</f>
        <v>1124.0220949898369</v>
      </c>
      <c r="G4364" s="81"/>
      <c r="H4364" s="81"/>
      <c r="I4364" s="81"/>
      <c r="J4364" s="81"/>
      <c r="K4364" s="81"/>
      <c r="L4364" s="81"/>
      <c r="M4364" s="81"/>
      <c r="N4364" s="81"/>
    </row>
    <row r="4365" spans="1:14" ht="14.25" customHeight="1" x14ac:dyDescent="0.25">
      <c r="A4365" s="88"/>
      <c r="B4365" s="88"/>
      <c r="C4365" s="89"/>
      <c r="D4365" s="113"/>
      <c r="E4365" s="113"/>
      <c r="F4365" s="113"/>
      <c r="G4365" s="81"/>
      <c r="H4365" s="81"/>
      <c r="I4365" s="81"/>
      <c r="J4365" s="81"/>
      <c r="K4365" s="81"/>
      <c r="L4365" s="81"/>
      <c r="M4365" s="81"/>
      <c r="N4365" s="81"/>
    </row>
    <row r="4366" spans="1:14" ht="14.25" customHeight="1" x14ac:dyDescent="0.25">
      <c r="A4366" s="96" t="s">
        <v>578</v>
      </c>
      <c r="B4366" s="96"/>
      <c r="C4366" s="92"/>
      <c r="D4366" s="118"/>
      <c r="E4366" s="118"/>
      <c r="F4366" s="118"/>
      <c r="G4366" s="81"/>
      <c r="H4366" s="81"/>
      <c r="I4366" s="81"/>
      <c r="J4366" s="81"/>
      <c r="K4366" s="81"/>
      <c r="L4366" s="81"/>
      <c r="M4366" s="81"/>
      <c r="N4366" s="81"/>
    </row>
    <row r="4367" spans="1:14" ht="14.25" customHeight="1" x14ac:dyDescent="0.25">
      <c r="A4367" s="119" t="s">
        <v>563</v>
      </c>
      <c r="B4367" s="120" t="s">
        <v>579</v>
      </c>
      <c r="C4367" s="120" t="s">
        <v>580</v>
      </c>
      <c r="D4367" s="121" t="s">
        <v>581</v>
      </c>
      <c r="E4367" s="121" t="s">
        <v>575</v>
      </c>
      <c r="F4367" s="121" t="s">
        <v>568</v>
      </c>
      <c r="G4367" s="81"/>
      <c r="H4367" s="81"/>
      <c r="I4367" s="81"/>
      <c r="J4367" s="81"/>
      <c r="K4367" s="81"/>
      <c r="L4367" s="81"/>
      <c r="M4367" s="81"/>
      <c r="N4367" s="81"/>
    </row>
    <row r="4368" spans="1:14" ht="14.25" customHeight="1" x14ac:dyDescent="0.25">
      <c r="A4368" s="122" t="s">
        <v>593</v>
      </c>
      <c r="B4368" s="127">
        <v>1</v>
      </c>
      <c r="C4368" s="101">
        <v>32688</v>
      </c>
      <c r="D4368" s="101">
        <f t="shared" ref="D4368:D4369" si="239">+C4368*1.7</f>
        <v>55569.599999999999</v>
      </c>
      <c r="E4368" s="107">
        <v>6.4448999999999996</v>
      </c>
      <c r="F4368" s="106">
        <f t="shared" ref="F4368:F4369" si="240">+B4368*(D4368)/E4368</f>
        <v>8622.2594609691387</v>
      </c>
      <c r="G4368" s="81"/>
      <c r="H4368" s="117"/>
      <c r="I4368" s="81"/>
      <c r="J4368" s="81"/>
      <c r="K4368" s="81"/>
      <c r="L4368" s="81"/>
      <c r="M4368" s="81"/>
      <c r="N4368" s="81"/>
    </row>
    <row r="4369" spans="1:14" ht="14.25" customHeight="1" x14ac:dyDescent="0.25">
      <c r="A4369" s="122" t="s">
        <v>594</v>
      </c>
      <c r="B4369" s="127">
        <v>1</v>
      </c>
      <c r="C4369" s="101">
        <v>52538</v>
      </c>
      <c r="D4369" s="101">
        <f t="shared" si="239"/>
        <v>89314.599999999991</v>
      </c>
      <c r="E4369" s="107">
        <f>E4368</f>
        <v>6.4448999999999996</v>
      </c>
      <c r="F4369" s="106">
        <f t="shared" si="240"/>
        <v>13858.1824388276</v>
      </c>
      <c r="G4369" s="81"/>
      <c r="H4369" s="81"/>
      <c r="I4369" s="81"/>
      <c r="J4369" s="81"/>
      <c r="K4369" s="81"/>
      <c r="L4369" s="81"/>
      <c r="M4369" s="81"/>
      <c r="N4369" s="81"/>
    </row>
    <row r="4370" spans="1:14" ht="14.25" customHeight="1" x14ac:dyDescent="0.25">
      <c r="A4370" s="122"/>
      <c r="B4370" s="127"/>
      <c r="C4370" s="101"/>
      <c r="D4370" s="101"/>
      <c r="E4370" s="107"/>
      <c r="F4370" s="106"/>
      <c r="G4370" s="81"/>
      <c r="H4370" s="81"/>
      <c r="I4370" s="81"/>
      <c r="J4370" s="81"/>
      <c r="K4370" s="81"/>
      <c r="L4370" s="81"/>
      <c r="M4370" s="81"/>
      <c r="N4370" s="81"/>
    </row>
    <row r="4371" spans="1:14" ht="14.25" customHeight="1" x14ac:dyDescent="0.25">
      <c r="A4371" s="122"/>
      <c r="B4371" s="127"/>
      <c r="C4371" s="101"/>
      <c r="D4371" s="101"/>
      <c r="E4371" s="125"/>
      <c r="F4371" s="106"/>
      <c r="G4371" s="81"/>
      <c r="H4371" s="117"/>
      <c r="I4371" s="81"/>
      <c r="J4371" s="81"/>
      <c r="K4371" s="81"/>
      <c r="L4371" s="81"/>
      <c r="M4371" s="81"/>
      <c r="N4371" s="81"/>
    </row>
    <row r="4372" spans="1:14" ht="14.25" customHeight="1" x14ac:dyDescent="0.25">
      <c r="A4372" s="97" t="s">
        <v>548</v>
      </c>
      <c r="B4372" s="128"/>
      <c r="C4372" s="110"/>
      <c r="D4372" s="110"/>
      <c r="E4372" s="110"/>
      <c r="F4372" s="112">
        <f>SUM(F4368:F4371)</f>
        <v>22480.441899796737</v>
      </c>
      <c r="G4372" s="81"/>
      <c r="H4372" s="81"/>
      <c r="I4372" s="81"/>
      <c r="J4372" s="81"/>
      <c r="K4372" s="81"/>
      <c r="L4372" s="81"/>
      <c r="M4372" s="81"/>
      <c r="N4372" s="81"/>
    </row>
    <row r="4373" spans="1:14" ht="14.25" customHeight="1" x14ac:dyDescent="0.25">
      <c r="A4373" s="96"/>
      <c r="B4373" s="129"/>
      <c r="C4373" s="118"/>
      <c r="D4373" s="118"/>
      <c r="E4373" s="118"/>
      <c r="F4373" s="118"/>
      <c r="G4373" s="81"/>
      <c r="H4373" s="81"/>
      <c r="I4373" s="81"/>
      <c r="J4373" s="81"/>
      <c r="K4373" s="81"/>
      <c r="L4373" s="81"/>
      <c r="M4373" s="81"/>
      <c r="N4373" s="81"/>
    </row>
    <row r="4374" spans="1:14" ht="14.25" customHeight="1" x14ac:dyDescent="0.25">
      <c r="A4374" s="95" t="s">
        <v>583</v>
      </c>
      <c r="B4374" s="96"/>
      <c r="C4374" s="92"/>
      <c r="D4374" s="92"/>
      <c r="E4374" s="92" t="s">
        <v>584</v>
      </c>
      <c r="F4374" s="92"/>
      <c r="G4374" s="81"/>
      <c r="H4374" s="81"/>
      <c r="I4374" s="81"/>
      <c r="J4374" s="81"/>
      <c r="K4374" s="81"/>
      <c r="L4374" s="81"/>
      <c r="M4374" s="81"/>
      <c r="N4374" s="81"/>
    </row>
    <row r="4375" spans="1:14" ht="14.25" customHeight="1" x14ac:dyDescent="0.25">
      <c r="A4375" s="97" t="s">
        <v>563</v>
      </c>
      <c r="B4375" s="98" t="s">
        <v>564</v>
      </c>
      <c r="C4375" s="98" t="s">
        <v>585</v>
      </c>
      <c r="D4375" s="98" t="s">
        <v>586</v>
      </c>
      <c r="E4375" s="120" t="s">
        <v>587</v>
      </c>
      <c r="F4375" s="98" t="s">
        <v>568</v>
      </c>
      <c r="G4375" s="81"/>
      <c r="H4375" s="81"/>
      <c r="I4375" s="81"/>
      <c r="J4375" s="81"/>
      <c r="K4375" s="81"/>
      <c r="L4375" s="81"/>
      <c r="M4375" s="81"/>
      <c r="N4375" s="81"/>
    </row>
    <row r="4376" spans="1:14" ht="14.25" customHeight="1" x14ac:dyDescent="0.25">
      <c r="A4376" s="103"/>
      <c r="B4376" s="100"/>
      <c r="C4376" s="101"/>
      <c r="D4376" s="130"/>
      <c r="E4376" s="107"/>
      <c r="F4376" s="109"/>
      <c r="G4376" s="81"/>
      <c r="H4376" s="81"/>
      <c r="I4376" s="81"/>
      <c r="J4376" s="81"/>
      <c r="K4376" s="81"/>
      <c r="L4376" s="81"/>
      <c r="M4376" s="81"/>
      <c r="N4376" s="81"/>
    </row>
    <row r="4377" spans="1:14" ht="14.25" customHeight="1" x14ac:dyDescent="0.25">
      <c r="A4377" s="103"/>
      <c r="B4377" s="100"/>
      <c r="C4377" s="107"/>
      <c r="D4377" s="107"/>
      <c r="E4377" s="108"/>
      <c r="F4377" s="109"/>
      <c r="G4377" s="81"/>
      <c r="H4377" s="81"/>
      <c r="I4377" s="81"/>
      <c r="J4377" s="81"/>
      <c r="K4377" s="81"/>
      <c r="L4377" s="81"/>
      <c r="M4377" s="81"/>
      <c r="N4377" s="81"/>
    </row>
    <row r="4378" spans="1:14" ht="14.25" customHeight="1" x14ac:dyDescent="0.25">
      <c r="A4378" s="97" t="s">
        <v>548</v>
      </c>
      <c r="B4378" s="98"/>
      <c r="C4378" s="110"/>
      <c r="D4378" s="110"/>
      <c r="E4378" s="111"/>
      <c r="F4378" s="112">
        <f>SUM(F4376:F4377)</f>
        <v>0</v>
      </c>
      <c r="G4378" s="81"/>
      <c r="H4378" s="81"/>
      <c r="I4378" s="81"/>
      <c r="J4378" s="81"/>
      <c r="K4378" s="81"/>
      <c r="L4378" s="81"/>
      <c r="M4378" s="81"/>
      <c r="N4378" s="81"/>
    </row>
    <row r="4379" spans="1:14" ht="14.25" customHeight="1" x14ac:dyDescent="0.25">
      <c r="A4379" s="88"/>
      <c r="B4379" s="89"/>
      <c r="C4379" s="113"/>
      <c r="D4379" s="113"/>
      <c r="E4379" s="114"/>
      <c r="F4379" s="113"/>
      <c r="G4379" s="81"/>
      <c r="H4379" s="81"/>
      <c r="I4379" s="81"/>
      <c r="J4379" s="81"/>
      <c r="K4379" s="81"/>
      <c r="L4379" s="81"/>
      <c r="M4379" s="81"/>
      <c r="N4379" s="81"/>
    </row>
    <row r="4380" spans="1:14" ht="14.25" customHeight="1" x14ac:dyDescent="0.25">
      <c r="A4380" s="88"/>
      <c r="B4380" s="89"/>
      <c r="C4380" s="113"/>
      <c r="D4380" s="113"/>
      <c r="E4380" s="114"/>
      <c r="F4380" s="113"/>
      <c r="G4380" s="81"/>
      <c r="H4380" s="81"/>
      <c r="I4380" s="81"/>
      <c r="J4380" s="81"/>
      <c r="K4380" s="81"/>
      <c r="L4380" s="81"/>
      <c r="M4380" s="81"/>
      <c r="N4380" s="81"/>
    </row>
    <row r="4381" spans="1:14" ht="14.25" customHeight="1" x14ac:dyDescent="0.25">
      <c r="A4381" s="612" t="s">
        <v>588</v>
      </c>
      <c r="B4381" s="608"/>
      <c r="C4381" s="608"/>
      <c r="D4381" s="608"/>
      <c r="E4381" s="609"/>
      <c r="F4381" s="131">
        <f>ROUND(F4357+F4364+F4372+F4378,0)</f>
        <v>85955</v>
      </c>
      <c r="G4381" s="81"/>
      <c r="H4381" s="117"/>
      <c r="I4381" s="81"/>
      <c r="J4381" s="81"/>
      <c r="K4381" s="81"/>
      <c r="L4381" s="81"/>
      <c r="M4381" s="81"/>
      <c r="N4381" s="81"/>
    </row>
    <row r="4382" spans="1:14" ht="14.25" customHeight="1" x14ac:dyDescent="0.25">
      <c r="A4382" s="612" t="s">
        <v>589</v>
      </c>
      <c r="B4382" s="608"/>
      <c r="C4382" s="608"/>
      <c r="D4382" s="608"/>
      <c r="E4382" s="609"/>
      <c r="F4382" s="132"/>
      <c r="G4382" s="81"/>
      <c r="H4382" s="81"/>
      <c r="I4382" s="81"/>
      <c r="J4382" s="81"/>
      <c r="K4382" s="81"/>
      <c r="L4382" s="81"/>
      <c r="M4382" s="81"/>
      <c r="N4382" s="81"/>
    </row>
    <row r="4383" spans="1:14" ht="14.25" customHeight="1" x14ac:dyDescent="0.25">
      <c r="A4383" s="612" t="s">
        <v>556</v>
      </c>
      <c r="B4383" s="608"/>
      <c r="C4383" s="608"/>
      <c r="D4383" s="608"/>
      <c r="E4383" s="609"/>
      <c r="F4383" s="133"/>
      <c r="G4383" s="81"/>
      <c r="H4383" s="81"/>
      <c r="I4383" s="81"/>
      <c r="J4383" s="81"/>
      <c r="K4383" s="81"/>
      <c r="L4383" s="81"/>
      <c r="M4383" s="81"/>
      <c r="N4383" s="81"/>
    </row>
    <row r="4384" spans="1:14" ht="14.25" customHeight="1" x14ac:dyDescent="0.25">
      <c r="A4384" s="134"/>
      <c r="B4384" s="135"/>
      <c r="C4384" s="135"/>
      <c r="D4384" s="135"/>
      <c r="E4384" s="135"/>
      <c r="F4384" s="136"/>
      <c r="G4384" s="81"/>
      <c r="H4384" s="81"/>
      <c r="I4384" s="81"/>
      <c r="J4384" s="81"/>
      <c r="K4384" s="81"/>
      <c r="L4384" s="81"/>
      <c r="M4384" s="81"/>
      <c r="N4384" s="81"/>
    </row>
    <row r="4385" spans="1:14" ht="14.25" customHeight="1" x14ac:dyDescent="0.25">
      <c r="A4385" s="134"/>
      <c r="B4385" s="135"/>
      <c r="C4385" s="135"/>
      <c r="D4385" s="135"/>
      <c r="E4385" s="135"/>
      <c r="F4385" s="136"/>
      <c r="G4385" s="81"/>
      <c r="H4385" s="81"/>
      <c r="I4385" s="81"/>
      <c r="J4385" s="81"/>
      <c r="K4385" s="81"/>
      <c r="L4385" s="81"/>
      <c r="M4385" s="81"/>
      <c r="N4385" s="81"/>
    </row>
    <row r="4386" spans="1:14" ht="14.25" customHeight="1" x14ac:dyDescent="0.25">
      <c r="A4386" s="134"/>
      <c r="B4386" s="135"/>
      <c r="C4386" s="135"/>
      <c r="D4386" s="135"/>
      <c r="E4386" s="135"/>
      <c r="F4386" s="136"/>
      <c r="G4386" s="81"/>
      <c r="H4386" s="81"/>
      <c r="I4386" s="81"/>
      <c r="J4386" s="81"/>
      <c r="K4386" s="81"/>
      <c r="L4386" s="81"/>
      <c r="M4386" s="81"/>
      <c r="N4386" s="81"/>
    </row>
    <row r="4387" spans="1:14" ht="14.25" customHeight="1" x14ac:dyDescent="0.25">
      <c r="A4387" s="134"/>
      <c r="B4387" s="135"/>
      <c r="C4387" s="135"/>
      <c r="D4387" s="135"/>
      <c r="E4387" s="135"/>
      <c r="F4387" s="136"/>
      <c r="G4387" s="81"/>
      <c r="H4387" s="81"/>
      <c r="I4387" s="81"/>
      <c r="J4387" s="81"/>
      <c r="K4387" s="81"/>
      <c r="L4387" s="81"/>
      <c r="M4387" s="81"/>
      <c r="N4387" s="81"/>
    </row>
    <row r="4388" spans="1:14" ht="14.25" customHeight="1" x14ac:dyDescent="0.25">
      <c r="A4388" s="134"/>
      <c r="B4388" s="135"/>
      <c r="C4388" s="135"/>
      <c r="D4388" s="135"/>
      <c r="E4388" s="135"/>
      <c r="F4388" s="136"/>
      <c r="G4388" s="81"/>
      <c r="H4388" s="81"/>
      <c r="I4388" s="81"/>
      <c r="J4388" s="81"/>
      <c r="K4388" s="81"/>
      <c r="L4388" s="81"/>
      <c r="M4388" s="81"/>
      <c r="N4388" s="81"/>
    </row>
    <row r="4389" spans="1:14" ht="14.25" customHeight="1" x14ac:dyDescent="0.25">
      <c r="A4389" s="134"/>
      <c r="B4389" s="135"/>
      <c r="C4389" s="135"/>
      <c r="D4389" s="135"/>
      <c r="E4389" s="135"/>
      <c r="F4389" s="136"/>
      <c r="G4389" s="81"/>
      <c r="H4389" s="81"/>
      <c r="I4389" s="81"/>
      <c r="J4389" s="81"/>
      <c r="K4389" s="81"/>
      <c r="L4389" s="81"/>
      <c r="M4389" s="81"/>
      <c r="N4389" s="81"/>
    </row>
    <row r="4390" spans="1:14" ht="14.25" customHeight="1" x14ac:dyDescent="0.25">
      <c r="A4390" s="81"/>
      <c r="B4390" s="81"/>
      <c r="C4390" s="137"/>
      <c r="D4390" s="81"/>
      <c r="E4390" s="81"/>
      <c r="F4390" s="81"/>
      <c r="G4390" s="81"/>
      <c r="H4390" s="81"/>
      <c r="I4390" s="81"/>
      <c r="J4390" s="81"/>
      <c r="K4390" s="81"/>
      <c r="L4390" s="81"/>
      <c r="M4390" s="81"/>
      <c r="N4390" s="81"/>
    </row>
    <row r="4391" spans="1:14" ht="14.25" customHeight="1" x14ac:dyDescent="0.25">
      <c r="A4391" s="81"/>
      <c r="B4391" s="81"/>
      <c r="C4391" s="137"/>
      <c r="D4391" s="81"/>
      <c r="E4391" s="81"/>
      <c r="F4391" s="81"/>
      <c r="G4391" s="81"/>
      <c r="H4391" s="81"/>
      <c r="I4391" s="81"/>
      <c r="J4391" s="81"/>
      <c r="K4391" s="81"/>
      <c r="L4391" s="81"/>
      <c r="M4391" s="81"/>
      <c r="N4391" s="81"/>
    </row>
    <row r="4392" spans="1:14" ht="14.25" customHeight="1" x14ac:dyDescent="0.25">
      <c r="A4392" s="81"/>
      <c r="B4392" s="81"/>
      <c r="C4392" s="137"/>
      <c r="D4392" s="81"/>
      <c r="E4392" s="81"/>
      <c r="F4392" s="81"/>
      <c r="G4392" s="81"/>
      <c r="H4392" s="81"/>
      <c r="I4392" s="81"/>
      <c r="J4392" s="81"/>
      <c r="K4392" s="81"/>
      <c r="L4392" s="81"/>
      <c r="M4392" s="81"/>
      <c r="N4392" s="81"/>
    </row>
    <row r="4393" spans="1:14" ht="14.25" customHeight="1" x14ac:dyDescent="0.25">
      <c r="A4393" s="81"/>
      <c r="B4393" s="81"/>
      <c r="C4393" s="137"/>
      <c r="D4393" s="81"/>
      <c r="E4393" s="81"/>
      <c r="F4393" s="81"/>
      <c r="G4393" s="81"/>
      <c r="H4393" s="81"/>
      <c r="I4393" s="81"/>
      <c r="J4393" s="81"/>
      <c r="K4393" s="81"/>
      <c r="L4393" s="81"/>
      <c r="M4393" s="81"/>
      <c r="N4393" s="81"/>
    </row>
    <row r="4394" spans="1:14" ht="14.25" customHeight="1" thickBot="1" x14ac:dyDescent="0.3">
      <c r="A4394" s="81"/>
      <c r="B4394" s="81"/>
      <c r="C4394" s="81"/>
      <c r="D4394" s="81"/>
      <c r="E4394" s="81"/>
      <c r="F4394" s="81"/>
      <c r="G4394" s="81"/>
      <c r="H4394" s="81"/>
      <c r="I4394" s="81"/>
      <c r="J4394" s="81"/>
      <c r="K4394" s="81"/>
      <c r="L4394" s="81"/>
      <c r="M4394" s="81"/>
      <c r="N4394" s="81"/>
    </row>
    <row r="4395" spans="1:14" ht="14.25" customHeight="1" x14ac:dyDescent="0.25">
      <c r="A4395" s="83"/>
      <c r="B4395" s="84"/>
      <c r="C4395" s="85"/>
      <c r="D4395" s="86"/>
      <c r="E4395" s="86"/>
      <c r="F4395" s="87"/>
      <c r="G4395" s="81"/>
      <c r="H4395" s="81"/>
      <c r="I4395" s="81"/>
      <c r="J4395" s="81"/>
      <c r="K4395" s="81"/>
      <c r="L4395" s="81"/>
      <c r="M4395" s="81"/>
      <c r="N4395" s="81"/>
    </row>
    <row r="4396" spans="1:14" ht="14.25" customHeight="1" x14ac:dyDescent="0.25">
      <c r="A4396" s="599"/>
      <c r="B4396" s="600"/>
      <c r="C4396" s="600"/>
      <c r="D4396" s="600"/>
      <c r="E4396" s="600"/>
      <c r="F4396" s="601"/>
      <c r="G4396" s="81"/>
      <c r="H4396" s="81"/>
      <c r="I4396" s="81"/>
      <c r="J4396" s="81"/>
      <c r="K4396" s="81"/>
      <c r="L4396" s="81"/>
      <c r="M4396" s="81"/>
      <c r="N4396" s="81"/>
    </row>
    <row r="4397" spans="1:14" ht="14.25" customHeight="1" x14ac:dyDescent="0.25">
      <c r="A4397" s="602" t="s">
        <v>561</v>
      </c>
      <c r="B4397" s="600"/>
      <c r="C4397" s="600"/>
      <c r="D4397" s="600"/>
      <c r="E4397" s="600"/>
      <c r="F4397" s="601"/>
      <c r="G4397" s="81"/>
      <c r="H4397" s="81"/>
      <c r="I4397" s="81"/>
      <c r="J4397" s="81"/>
      <c r="K4397" s="81"/>
      <c r="L4397" s="81"/>
      <c r="M4397" s="81"/>
      <c r="N4397" s="81"/>
    </row>
    <row r="4398" spans="1:14" ht="14.25" customHeight="1" thickBot="1" x14ac:dyDescent="0.3">
      <c r="A4398" s="603"/>
      <c r="B4398" s="604"/>
      <c r="C4398" s="604"/>
      <c r="D4398" s="604"/>
      <c r="E4398" s="604"/>
      <c r="F4398" s="605"/>
      <c r="G4398" s="81"/>
      <c r="H4398" s="81"/>
      <c r="I4398" s="81"/>
      <c r="J4398" s="81"/>
      <c r="K4398" s="81"/>
      <c r="L4398" s="81"/>
      <c r="M4398" s="81"/>
      <c r="N4398" s="81"/>
    </row>
    <row r="4399" spans="1:14" ht="14.25" customHeight="1" x14ac:dyDescent="0.25">
      <c r="A4399" s="88"/>
      <c r="B4399" s="88"/>
      <c r="C4399" s="89"/>
      <c r="D4399" s="89"/>
      <c r="E4399" s="89"/>
      <c r="F4399" s="89"/>
      <c r="G4399" s="81"/>
      <c r="H4399" s="81"/>
      <c r="I4399" s="81"/>
      <c r="J4399" s="81"/>
      <c r="K4399" s="81"/>
      <c r="L4399" s="81"/>
      <c r="M4399" s="81"/>
      <c r="N4399" s="81"/>
    </row>
    <row r="4400" spans="1:14" ht="14.25" customHeight="1" x14ac:dyDescent="0.25">
      <c r="A4400" s="90" t="s">
        <v>47</v>
      </c>
      <c r="B4400" s="613" t="s">
        <v>209</v>
      </c>
      <c r="C4400" s="600"/>
      <c r="D4400" s="600"/>
      <c r="E4400" s="600"/>
      <c r="F4400" s="600"/>
      <c r="G4400" s="81"/>
      <c r="H4400" s="81"/>
      <c r="I4400" s="81"/>
      <c r="J4400" s="81"/>
      <c r="K4400" s="81"/>
      <c r="L4400" s="81"/>
      <c r="M4400" s="81"/>
      <c r="N4400" s="81"/>
    </row>
    <row r="4401" spans="1:14" ht="14.25" customHeight="1" x14ac:dyDescent="0.25">
      <c r="A4401" s="91"/>
      <c r="B4401" s="91"/>
      <c r="C4401" s="91"/>
      <c r="D4401" s="91"/>
      <c r="E4401" s="91"/>
      <c r="F4401" s="91"/>
      <c r="G4401" s="81"/>
      <c r="H4401" s="81"/>
      <c r="I4401" s="81"/>
      <c r="J4401" s="81"/>
      <c r="K4401" s="81"/>
      <c r="L4401" s="81"/>
      <c r="M4401" s="81"/>
      <c r="N4401" s="81"/>
    </row>
    <row r="4402" spans="1:14" ht="14.25" customHeight="1" x14ac:dyDescent="0.25">
      <c r="A4402" s="88" t="s">
        <v>49</v>
      </c>
      <c r="B4402" s="92" t="s">
        <v>99</v>
      </c>
      <c r="C4402" s="89"/>
      <c r="D4402" s="89"/>
      <c r="E4402" s="89"/>
      <c r="F4402" s="93"/>
      <c r="G4402" s="81"/>
      <c r="H4402" s="81"/>
      <c r="I4402" s="81"/>
      <c r="J4402" s="81"/>
      <c r="K4402" s="81"/>
      <c r="L4402" s="81"/>
      <c r="M4402" s="81"/>
      <c r="N4402" s="81"/>
    </row>
    <row r="4403" spans="1:14" ht="14.25" customHeight="1" x14ac:dyDescent="0.25">
      <c r="A4403" s="88"/>
      <c r="B4403" s="94"/>
      <c r="C4403" s="89"/>
      <c r="D4403" s="89"/>
      <c r="E4403" s="89"/>
      <c r="F4403" s="93"/>
      <c r="G4403" s="81"/>
      <c r="H4403" s="81"/>
      <c r="I4403" s="81"/>
      <c r="J4403" s="81"/>
      <c r="K4403" s="81"/>
      <c r="L4403" s="81"/>
      <c r="M4403" s="81"/>
      <c r="N4403" s="81"/>
    </row>
    <row r="4404" spans="1:14" ht="14.25" customHeight="1" x14ac:dyDescent="0.25">
      <c r="A4404" s="95" t="s">
        <v>562</v>
      </c>
      <c r="B4404" s="96"/>
      <c r="C4404" s="92"/>
      <c r="D4404" s="92"/>
      <c r="E4404" s="92"/>
      <c r="F4404" s="92"/>
      <c r="G4404" s="81"/>
      <c r="H4404" s="81"/>
      <c r="I4404" s="81"/>
      <c r="J4404" s="81"/>
      <c r="K4404" s="81"/>
      <c r="L4404" s="81"/>
      <c r="M4404" s="81"/>
      <c r="N4404" s="81"/>
    </row>
    <row r="4405" spans="1:14" ht="14.25" customHeight="1" x14ac:dyDescent="0.25">
      <c r="A4405" s="97" t="s">
        <v>563</v>
      </c>
      <c r="B4405" s="98" t="s">
        <v>564</v>
      </c>
      <c r="C4405" s="98" t="s">
        <v>565</v>
      </c>
      <c r="D4405" s="98" t="s">
        <v>566</v>
      </c>
      <c r="E4405" s="98" t="s">
        <v>567</v>
      </c>
      <c r="F4405" s="98" t="s">
        <v>568</v>
      </c>
      <c r="G4405" s="81"/>
      <c r="H4405" s="81"/>
      <c r="I4405" s="81"/>
      <c r="J4405" s="81"/>
      <c r="K4405" s="81"/>
      <c r="L4405" s="81"/>
      <c r="M4405" s="81"/>
      <c r="N4405" s="81"/>
    </row>
    <row r="4406" spans="1:14" ht="14.25" customHeight="1" x14ac:dyDescent="0.25">
      <c r="A4406" s="99" t="s">
        <v>736</v>
      </c>
      <c r="B4406" s="100" t="s">
        <v>99</v>
      </c>
      <c r="C4406" s="101">
        <v>14236</v>
      </c>
      <c r="D4406" s="149">
        <v>1</v>
      </c>
      <c r="E4406" s="102"/>
      <c r="F4406" s="101">
        <f t="shared" ref="F4406:F4407" si="241">C4406*(D4406+(D4406*E4406))</f>
        <v>14236</v>
      </c>
      <c r="G4406" s="81"/>
      <c r="H4406" s="81"/>
      <c r="I4406" s="81"/>
      <c r="J4406" s="81"/>
      <c r="K4406" s="81"/>
      <c r="L4406" s="81"/>
      <c r="M4406" s="81"/>
      <c r="N4406" s="81"/>
    </row>
    <row r="4407" spans="1:14" ht="14.25" customHeight="1" x14ac:dyDescent="0.25">
      <c r="A4407" s="103" t="s">
        <v>737</v>
      </c>
      <c r="B4407" s="100" t="s">
        <v>117</v>
      </c>
      <c r="C4407" s="101">
        <v>1290</v>
      </c>
      <c r="D4407" s="105">
        <v>0.5</v>
      </c>
      <c r="E4407" s="102">
        <v>0.05</v>
      </c>
      <c r="F4407" s="101">
        <f t="shared" si="241"/>
        <v>677.25</v>
      </c>
      <c r="G4407" s="81"/>
      <c r="H4407" s="81"/>
      <c r="I4407" s="81"/>
      <c r="J4407" s="81"/>
      <c r="K4407" s="81"/>
      <c r="L4407" s="81"/>
      <c r="M4407" s="81"/>
      <c r="N4407" s="81"/>
    </row>
    <row r="4408" spans="1:14" ht="14.25" customHeight="1" x14ac:dyDescent="0.25">
      <c r="A4408" s="99"/>
      <c r="B4408" s="100"/>
      <c r="C4408" s="101"/>
      <c r="D4408" s="149"/>
      <c r="E4408" s="102"/>
      <c r="F4408" s="101"/>
      <c r="G4408" s="81"/>
      <c r="H4408" s="81"/>
      <c r="I4408" s="81"/>
      <c r="J4408" s="81"/>
      <c r="K4408" s="81"/>
      <c r="L4408" s="81"/>
      <c r="M4408" s="81"/>
      <c r="N4408" s="81"/>
    </row>
    <row r="4409" spans="1:14" ht="14.25" customHeight="1" x14ac:dyDescent="0.25">
      <c r="A4409" s="103"/>
      <c r="B4409" s="100"/>
      <c r="C4409" s="101"/>
      <c r="D4409" s="149"/>
      <c r="E4409" s="102"/>
      <c r="F4409" s="101"/>
      <c r="G4409" s="81"/>
      <c r="H4409" s="81"/>
      <c r="I4409" s="81"/>
      <c r="J4409" s="81"/>
      <c r="K4409" s="81"/>
      <c r="L4409" s="81"/>
      <c r="M4409" s="81"/>
      <c r="N4409" s="81"/>
    </row>
    <row r="4410" spans="1:14" ht="14.25" customHeight="1" x14ac:dyDescent="0.25">
      <c r="A4410" s="103"/>
      <c r="B4410" s="100"/>
      <c r="C4410" s="101"/>
      <c r="D4410" s="105"/>
      <c r="E4410" s="102"/>
      <c r="F4410" s="101"/>
      <c r="G4410" s="81"/>
      <c r="H4410" s="81"/>
      <c r="I4410" s="81"/>
      <c r="J4410" s="81"/>
      <c r="K4410" s="81"/>
      <c r="L4410" s="81"/>
      <c r="M4410" s="81"/>
      <c r="N4410" s="81"/>
    </row>
    <row r="4411" spans="1:14" ht="14.25" customHeight="1" x14ac:dyDescent="0.25">
      <c r="A4411" s="99"/>
      <c r="B4411" s="100"/>
      <c r="C4411" s="106"/>
      <c r="D4411" s="107"/>
      <c r="E4411" s="108"/>
      <c r="F4411" s="106"/>
      <c r="G4411" s="81"/>
      <c r="H4411" s="81"/>
      <c r="I4411" s="81"/>
      <c r="J4411" s="81"/>
      <c r="K4411" s="81"/>
      <c r="L4411" s="81"/>
      <c r="M4411" s="81"/>
      <c r="N4411" s="81"/>
    </row>
    <row r="4412" spans="1:14" ht="14.25" customHeight="1" x14ac:dyDescent="0.25">
      <c r="A4412" s="97" t="s">
        <v>548</v>
      </c>
      <c r="B4412" s="97"/>
      <c r="C4412" s="109"/>
      <c r="D4412" s="110"/>
      <c r="E4412" s="111"/>
      <c r="F4412" s="112">
        <f>SUM(F4406:F4411)</f>
        <v>14913.25</v>
      </c>
      <c r="G4412" s="81"/>
      <c r="H4412" s="81"/>
      <c r="I4412" s="81"/>
      <c r="J4412" s="81"/>
      <c r="K4412" s="81"/>
      <c r="L4412" s="81"/>
      <c r="M4412" s="81"/>
      <c r="N4412" s="81"/>
    </row>
    <row r="4413" spans="1:14" ht="14.25" customHeight="1" x14ac:dyDescent="0.25">
      <c r="A4413" s="88"/>
      <c r="B4413" s="88"/>
      <c r="C4413" s="113"/>
      <c r="D4413" s="113"/>
      <c r="E4413" s="114"/>
      <c r="F4413" s="113"/>
      <c r="G4413" s="81"/>
      <c r="H4413" s="81"/>
      <c r="I4413" s="81"/>
      <c r="J4413" s="81"/>
      <c r="K4413" s="81"/>
      <c r="L4413" s="81"/>
      <c r="M4413" s="81"/>
      <c r="N4413" s="81"/>
    </row>
    <row r="4414" spans="1:14" ht="14.25" customHeight="1" x14ac:dyDescent="0.25">
      <c r="A4414" s="96" t="s">
        <v>573</v>
      </c>
      <c r="B4414" s="96"/>
      <c r="C4414" s="92"/>
      <c r="D4414" s="92"/>
      <c r="E4414" s="92"/>
      <c r="F4414" s="92"/>
      <c r="G4414" s="81"/>
      <c r="H4414" s="81"/>
      <c r="I4414" s="81"/>
      <c r="J4414" s="81"/>
      <c r="K4414" s="81"/>
      <c r="L4414" s="81"/>
      <c r="M4414" s="81"/>
      <c r="N4414" s="81"/>
    </row>
    <row r="4415" spans="1:14" ht="14.25" customHeight="1" x14ac:dyDescent="0.25">
      <c r="A4415" s="611" t="s">
        <v>563</v>
      </c>
      <c r="B4415" s="608"/>
      <c r="C4415" s="609"/>
      <c r="D4415" s="98" t="s">
        <v>574</v>
      </c>
      <c r="E4415" s="98" t="s">
        <v>575</v>
      </c>
      <c r="F4415" s="98" t="s">
        <v>568</v>
      </c>
      <c r="G4415" s="81"/>
      <c r="H4415" s="81"/>
      <c r="I4415" s="81"/>
      <c r="J4415" s="81"/>
      <c r="K4415" s="81"/>
      <c r="L4415" s="81"/>
      <c r="M4415" s="81"/>
      <c r="N4415" s="81"/>
    </row>
    <row r="4416" spans="1:14" ht="14.25" customHeight="1" x14ac:dyDescent="0.25">
      <c r="A4416" s="607" t="s">
        <v>577</v>
      </c>
      <c r="B4416" s="608"/>
      <c r="C4416" s="609"/>
      <c r="D4416" s="116"/>
      <c r="E4416" s="107"/>
      <c r="F4416" s="106">
        <f>+F4427*5%</f>
        <v>517.44357142857132</v>
      </c>
      <c r="G4416" s="81"/>
      <c r="H4416" s="81"/>
      <c r="I4416" s="81"/>
      <c r="J4416" s="81"/>
      <c r="K4416" s="81"/>
      <c r="L4416" s="81"/>
      <c r="M4416" s="81"/>
      <c r="N4416" s="81"/>
    </row>
    <row r="4417" spans="1:14" ht="14.25" customHeight="1" x14ac:dyDescent="0.25">
      <c r="A4417" s="607"/>
      <c r="B4417" s="608"/>
      <c r="C4417" s="609"/>
      <c r="D4417" s="116"/>
      <c r="E4417" s="107"/>
      <c r="F4417" s="106"/>
      <c r="G4417" s="81"/>
      <c r="H4417" s="81"/>
      <c r="I4417" s="81"/>
      <c r="J4417" s="81"/>
      <c r="K4417" s="81"/>
      <c r="L4417" s="81"/>
      <c r="M4417" s="81"/>
      <c r="N4417" s="81"/>
    </row>
    <row r="4418" spans="1:14" ht="14.25" customHeight="1" x14ac:dyDescent="0.25">
      <c r="A4418" s="610"/>
      <c r="B4418" s="608"/>
      <c r="C4418" s="609"/>
      <c r="D4418" s="115"/>
      <c r="E4418" s="107"/>
      <c r="F4418" s="106"/>
      <c r="G4418" s="81"/>
      <c r="H4418" s="81"/>
      <c r="I4418" s="81"/>
      <c r="J4418" s="81"/>
      <c r="K4418" s="81"/>
      <c r="L4418" s="81"/>
      <c r="M4418" s="81"/>
      <c r="N4418" s="81"/>
    </row>
    <row r="4419" spans="1:14" ht="14.25" customHeight="1" x14ac:dyDescent="0.25">
      <c r="A4419" s="611" t="s">
        <v>548</v>
      </c>
      <c r="B4419" s="608"/>
      <c r="C4419" s="609"/>
      <c r="D4419" s="110"/>
      <c r="E4419" s="110"/>
      <c r="F4419" s="112">
        <f>SUM(F4416)</f>
        <v>517.44357142857132</v>
      </c>
      <c r="G4419" s="81"/>
      <c r="H4419" s="81"/>
      <c r="I4419" s="81"/>
      <c r="J4419" s="81"/>
      <c r="K4419" s="81"/>
      <c r="L4419" s="81"/>
      <c r="M4419" s="81"/>
      <c r="N4419" s="81"/>
    </row>
    <row r="4420" spans="1:14" ht="14.25" customHeight="1" x14ac:dyDescent="0.25">
      <c r="A4420" s="88"/>
      <c r="B4420" s="88"/>
      <c r="C4420" s="89"/>
      <c r="D4420" s="113"/>
      <c r="E4420" s="113"/>
      <c r="F4420" s="113"/>
      <c r="G4420" s="81"/>
      <c r="H4420" s="81"/>
      <c r="I4420" s="81"/>
      <c r="J4420" s="81"/>
      <c r="K4420" s="81"/>
      <c r="L4420" s="81"/>
      <c r="M4420" s="81"/>
      <c r="N4420" s="81"/>
    </row>
    <row r="4421" spans="1:14" ht="14.25" customHeight="1" x14ac:dyDescent="0.25">
      <c r="A4421" s="96" t="s">
        <v>578</v>
      </c>
      <c r="B4421" s="96"/>
      <c r="C4421" s="92"/>
      <c r="D4421" s="118"/>
      <c r="E4421" s="118"/>
      <c r="F4421" s="118"/>
      <c r="G4421" s="81"/>
      <c r="H4421" s="81"/>
      <c r="I4421" s="81"/>
      <c r="J4421" s="81"/>
      <c r="K4421" s="81"/>
      <c r="L4421" s="81"/>
      <c r="M4421" s="81"/>
      <c r="N4421" s="81"/>
    </row>
    <row r="4422" spans="1:14" ht="14.25" customHeight="1" x14ac:dyDescent="0.25">
      <c r="A4422" s="119" t="s">
        <v>563</v>
      </c>
      <c r="B4422" s="120" t="s">
        <v>579</v>
      </c>
      <c r="C4422" s="120" t="s">
        <v>580</v>
      </c>
      <c r="D4422" s="121" t="s">
        <v>581</v>
      </c>
      <c r="E4422" s="121" t="s">
        <v>575</v>
      </c>
      <c r="F4422" s="121" t="s">
        <v>568</v>
      </c>
      <c r="G4422" s="81"/>
      <c r="H4422" s="81"/>
      <c r="I4422" s="81"/>
      <c r="J4422" s="81"/>
      <c r="K4422" s="81"/>
      <c r="L4422" s="81"/>
      <c r="M4422" s="81"/>
      <c r="N4422" s="81"/>
    </row>
    <row r="4423" spans="1:14" ht="14.25" customHeight="1" x14ac:dyDescent="0.25">
      <c r="A4423" s="122" t="s">
        <v>593</v>
      </c>
      <c r="B4423" s="127">
        <v>1</v>
      </c>
      <c r="C4423" s="101">
        <v>32688</v>
      </c>
      <c r="D4423" s="101">
        <f t="shared" ref="D4423:D4424" si="242">+C4423*1.7</f>
        <v>55569.599999999999</v>
      </c>
      <c r="E4423" s="107">
        <v>14</v>
      </c>
      <c r="F4423" s="106">
        <f t="shared" ref="F4423:F4424" si="243">+B4423*(D4423)/E4423</f>
        <v>3969.2571428571428</v>
      </c>
      <c r="G4423" s="81"/>
      <c r="H4423" s="81"/>
      <c r="I4423" s="81"/>
      <c r="J4423" s="81"/>
      <c r="K4423" s="81"/>
      <c r="L4423" s="81"/>
      <c r="M4423" s="81"/>
      <c r="N4423" s="81"/>
    </row>
    <row r="4424" spans="1:14" ht="14.25" customHeight="1" x14ac:dyDescent="0.25">
      <c r="A4424" s="122" t="s">
        <v>594</v>
      </c>
      <c r="B4424" s="127">
        <v>1</v>
      </c>
      <c r="C4424" s="101">
        <v>52538</v>
      </c>
      <c r="D4424" s="101">
        <f t="shared" si="242"/>
        <v>89314.599999999991</v>
      </c>
      <c r="E4424" s="107">
        <f>E4423</f>
        <v>14</v>
      </c>
      <c r="F4424" s="106">
        <f t="shared" si="243"/>
        <v>6379.614285714285</v>
      </c>
      <c r="G4424" s="81"/>
      <c r="H4424" s="81"/>
      <c r="I4424" s="81"/>
      <c r="J4424" s="81"/>
      <c r="K4424" s="81"/>
      <c r="L4424" s="81"/>
      <c r="M4424" s="81"/>
      <c r="N4424" s="81"/>
    </row>
    <row r="4425" spans="1:14" ht="14.25" customHeight="1" x14ac:dyDescent="0.25">
      <c r="A4425" s="122"/>
      <c r="B4425" s="127"/>
      <c r="C4425" s="101"/>
      <c r="D4425" s="101"/>
      <c r="E4425" s="107"/>
      <c r="F4425" s="106"/>
      <c r="G4425" s="81"/>
      <c r="H4425" s="81"/>
      <c r="I4425" s="81"/>
      <c r="J4425" s="81"/>
      <c r="K4425" s="81"/>
      <c r="L4425" s="81"/>
      <c r="M4425" s="81"/>
      <c r="N4425" s="81"/>
    </row>
    <row r="4426" spans="1:14" ht="14.25" customHeight="1" x14ac:dyDescent="0.25">
      <c r="A4426" s="122"/>
      <c r="B4426" s="127"/>
      <c r="C4426" s="101"/>
      <c r="D4426" s="101"/>
      <c r="E4426" s="125"/>
      <c r="F4426" s="106"/>
      <c r="G4426" s="81"/>
      <c r="H4426" s="81"/>
      <c r="I4426" s="81"/>
      <c r="J4426" s="81"/>
      <c r="K4426" s="81"/>
      <c r="L4426" s="81"/>
      <c r="M4426" s="81"/>
      <c r="N4426" s="81"/>
    </row>
    <row r="4427" spans="1:14" ht="14.25" customHeight="1" x14ac:dyDescent="0.25">
      <c r="A4427" s="97" t="s">
        <v>548</v>
      </c>
      <c r="B4427" s="128"/>
      <c r="C4427" s="110"/>
      <c r="D4427" s="110"/>
      <c r="E4427" s="110"/>
      <c r="F4427" s="112">
        <f>SUM(F4423:F4426)</f>
        <v>10348.871428571427</v>
      </c>
      <c r="G4427" s="81"/>
      <c r="H4427" s="81"/>
      <c r="I4427" s="81"/>
      <c r="J4427" s="81"/>
      <c r="K4427" s="81"/>
      <c r="L4427" s="81"/>
      <c r="M4427" s="81"/>
      <c r="N4427" s="81"/>
    </row>
    <row r="4428" spans="1:14" ht="14.25" customHeight="1" x14ac:dyDescent="0.25">
      <c r="A4428" s="96"/>
      <c r="B4428" s="129"/>
      <c r="C4428" s="118"/>
      <c r="D4428" s="118"/>
      <c r="E4428" s="118"/>
      <c r="F4428" s="118"/>
      <c r="G4428" s="81"/>
      <c r="H4428" s="81"/>
      <c r="I4428" s="81"/>
      <c r="J4428" s="81"/>
      <c r="K4428" s="81"/>
      <c r="L4428" s="81"/>
      <c r="M4428" s="81"/>
      <c r="N4428" s="81"/>
    </row>
    <row r="4429" spans="1:14" ht="14.25" customHeight="1" x14ac:dyDescent="0.25">
      <c r="A4429" s="95" t="s">
        <v>583</v>
      </c>
      <c r="B4429" s="96"/>
      <c r="C4429" s="92"/>
      <c r="D4429" s="92"/>
      <c r="E4429" s="92" t="s">
        <v>584</v>
      </c>
      <c r="F4429" s="92"/>
      <c r="G4429" s="81"/>
      <c r="H4429" s="81"/>
      <c r="I4429" s="81"/>
      <c r="J4429" s="81"/>
      <c r="K4429" s="81"/>
      <c r="L4429" s="81"/>
      <c r="M4429" s="81"/>
      <c r="N4429" s="81"/>
    </row>
    <row r="4430" spans="1:14" ht="14.25" customHeight="1" x14ac:dyDescent="0.25">
      <c r="A4430" s="97" t="s">
        <v>563</v>
      </c>
      <c r="B4430" s="98" t="s">
        <v>564</v>
      </c>
      <c r="C4430" s="98" t="s">
        <v>585</v>
      </c>
      <c r="D4430" s="98" t="s">
        <v>586</v>
      </c>
      <c r="E4430" s="120" t="s">
        <v>587</v>
      </c>
      <c r="F4430" s="98" t="s">
        <v>568</v>
      </c>
      <c r="G4430" s="81"/>
      <c r="H4430" s="81"/>
      <c r="I4430" s="81"/>
      <c r="J4430" s="81"/>
      <c r="K4430" s="81"/>
      <c r="L4430" s="81"/>
      <c r="M4430" s="81"/>
      <c r="N4430" s="81"/>
    </row>
    <row r="4431" spans="1:14" ht="14.25" customHeight="1" x14ac:dyDescent="0.25">
      <c r="A4431" s="103"/>
      <c r="B4431" s="100"/>
      <c r="C4431" s="101"/>
      <c r="D4431" s="130"/>
      <c r="E4431" s="107"/>
      <c r="F4431" s="109"/>
      <c r="G4431" s="81"/>
      <c r="H4431" s="81"/>
      <c r="I4431" s="81"/>
      <c r="J4431" s="81"/>
      <c r="K4431" s="81"/>
      <c r="L4431" s="81"/>
      <c r="M4431" s="81"/>
      <c r="N4431" s="81"/>
    </row>
    <row r="4432" spans="1:14" ht="14.25" customHeight="1" x14ac:dyDescent="0.25">
      <c r="A4432" s="103"/>
      <c r="B4432" s="100"/>
      <c r="C4432" s="107"/>
      <c r="D4432" s="107"/>
      <c r="E4432" s="108"/>
      <c r="F4432" s="109"/>
      <c r="G4432" s="81"/>
      <c r="H4432" s="81"/>
      <c r="I4432" s="81"/>
      <c r="J4432" s="81"/>
      <c r="K4432" s="81"/>
      <c r="L4432" s="81"/>
      <c r="M4432" s="81"/>
      <c r="N4432" s="81"/>
    </row>
    <row r="4433" spans="1:14" ht="14.25" customHeight="1" x14ac:dyDescent="0.25">
      <c r="A4433" s="97" t="s">
        <v>548</v>
      </c>
      <c r="B4433" s="98"/>
      <c r="C4433" s="110"/>
      <c r="D4433" s="110"/>
      <c r="E4433" s="111"/>
      <c r="F4433" s="112">
        <f>SUM(F4431:F4432)</f>
        <v>0</v>
      </c>
      <c r="G4433" s="81"/>
      <c r="H4433" s="81"/>
      <c r="I4433" s="81"/>
      <c r="J4433" s="81"/>
      <c r="K4433" s="81"/>
      <c r="L4433" s="81"/>
      <c r="M4433" s="81"/>
      <c r="N4433" s="81"/>
    </row>
    <row r="4434" spans="1:14" ht="14.25" customHeight="1" x14ac:dyDescent="0.25">
      <c r="A4434" s="88"/>
      <c r="B4434" s="89"/>
      <c r="C4434" s="113"/>
      <c r="D4434" s="113"/>
      <c r="E4434" s="114"/>
      <c r="F4434" s="113"/>
      <c r="G4434" s="81"/>
      <c r="H4434" s="81"/>
      <c r="I4434" s="81"/>
      <c r="J4434" s="81"/>
      <c r="K4434" s="81"/>
      <c r="L4434" s="81"/>
      <c r="M4434" s="81"/>
      <c r="N4434" s="81"/>
    </row>
    <row r="4435" spans="1:14" ht="14.25" customHeight="1" x14ac:dyDescent="0.25">
      <c r="A4435" s="88"/>
      <c r="B4435" s="89"/>
      <c r="C4435" s="113"/>
      <c r="D4435" s="113"/>
      <c r="E4435" s="114"/>
      <c r="F4435" s="113"/>
      <c r="G4435" s="81"/>
      <c r="H4435" s="81"/>
      <c r="I4435" s="81"/>
      <c r="J4435" s="81"/>
      <c r="K4435" s="81"/>
      <c r="L4435" s="81"/>
      <c r="M4435" s="81"/>
      <c r="N4435" s="81"/>
    </row>
    <row r="4436" spans="1:14" ht="14.25" customHeight="1" x14ac:dyDescent="0.25">
      <c r="A4436" s="612" t="s">
        <v>588</v>
      </c>
      <c r="B4436" s="608"/>
      <c r="C4436" s="608"/>
      <c r="D4436" s="608"/>
      <c r="E4436" s="609"/>
      <c r="F4436" s="131">
        <f>ROUND(F4412+F4419+F4427+F4433,0)</f>
        <v>25780</v>
      </c>
      <c r="G4436" s="81"/>
      <c r="H4436" s="117"/>
      <c r="I4436" s="81"/>
      <c r="J4436" s="81"/>
      <c r="K4436" s="81"/>
      <c r="L4436" s="81"/>
      <c r="M4436" s="81"/>
      <c r="N4436" s="81"/>
    </row>
    <row r="4437" spans="1:14" ht="14.25" customHeight="1" x14ac:dyDescent="0.25">
      <c r="A4437" s="612" t="s">
        <v>589</v>
      </c>
      <c r="B4437" s="608"/>
      <c r="C4437" s="608"/>
      <c r="D4437" s="608"/>
      <c r="E4437" s="609"/>
      <c r="F4437" s="132"/>
      <c r="G4437" s="81"/>
      <c r="H4437" s="81"/>
      <c r="I4437" s="81"/>
      <c r="J4437" s="81"/>
      <c r="K4437" s="81"/>
      <c r="L4437" s="81"/>
      <c r="M4437" s="81"/>
      <c r="N4437" s="81"/>
    </row>
    <row r="4438" spans="1:14" ht="14.25" customHeight="1" x14ac:dyDescent="0.25">
      <c r="A4438" s="612" t="s">
        <v>556</v>
      </c>
      <c r="B4438" s="608"/>
      <c r="C4438" s="608"/>
      <c r="D4438" s="608"/>
      <c r="E4438" s="609"/>
      <c r="F4438" s="133"/>
      <c r="G4438" s="81"/>
      <c r="H4438" s="143"/>
      <c r="I4438" s="81"/>
      <c r="J4438" s="81"/>
      <c r="K4438" s="81"/>
      <c r="L4438" s="81"/>
      <c r="M4438" s="81"/>
      <c r="N4438" s="81"/>
    </row>
    <row r="4439" spans="1:14" ht="14.25" customHeight="1" x14ac:dyDescent="0.25">
      <c r="A4439" s="134"/>
      <c r="B4439" s="135"/>
      <c r="C4439" s="135"/>
      <c r="D4439" s="135"/>
      <c r="E4439" s="135"/>
      <c r="F4439" s="136"/>
      <c r="G4439" s="81"/>
      <c r="H4439" s="81"/>
      <c r="I4439" s="81"/>
      <c r="J4439" s="81"/>
      <c r="K4439" s="81"/>
      <c r="L4439" s="81"/>
      <c r="M4439" s="81"/>
      <c r="N4439" s="81"/>
    </row>
    <row r="4440" spans="1:14" ht="14.25" customHeight="1" x14ac:dyDescent="0.25">
      <c r="A4440" s="134"/>
      <c r="B4440" s="135"/>
      <c r="C4440" s="135"/>
      <c r="D4440" s="135"/>
      <c r="E4440" s="135"/>
      <c r="F4440" s="136"/>
      <c r="G4440" s="81"/>
      <c r="H4440" s="81"/>
      <c r="I4440" s="81"/>
      <c r="J4440" s="81"/>
      <c r="K4440" s="81"/>
      <c r="L4440" s="81"/>
      <c r="M4440" s="81"/>
      <c r="N4440" s="81"/>
    </row>
    <row r="4441" spans="1:14" ht="14.25" customHeight="1" x14ac:dyDescent="0.25">
      <c r="A4441" s="134"/>
      <c r="B4441" s="135"/>
      <c r="C4441" s="135"/>
      <c r="D4441" s="135"/>
      <c r="E4441" s="135"/>
      <c r="F4441" s="136"/>
      <c r="G4441" s="81"/>
      <c r="H4441" s="81"/>
      <c r="I4441" s="81"/>
      <c r="J4441" s="81"/>
      <c r="K4441" s="81"/>
      <c r="L4441" s="81"/>
      <c r="M4441" s="81"/>
      <c r="N4441" s="81"/>
    </row>
    <row r="4442" spans="1:14" ht="14.25" customHeight="1" x14ac:dyDescent="0.25">
      <c r="A4442" s="134"/>
      <c r="B4442" s="135"/>
      <c r="C4442" s="135"/>
      <c r="D4442" s="135"/>
      <c r="E4442" s="135"/>
      <c r="F4442" s="136"/>
      <c r="G4442" s="81"/>
      <c r="H4442" s="81"/>
      <c r="I4442" s="81"/>
      <c r="J4442" s="81"/>
      <c r="K4442" s="81"/>
      <c r="L4442" s="81"/>
      <c r="M4442" s="81"/>
      <c r="N4442" s="81"/>
    </row>
    <row r="4443" spans="1:14" ht="14.25" customHeight="1" x14ac:dyDescent="0.25">
      <c r="A4443" s="134"/>
      <c r="B4443" s="135"/>
      <c r="C4443" s="135"/>
      <c r="D4443" s="135"/>
      <c r="E4443" s="135"/>
      <c r="F4443" s="136"/>
      <c r="G4443" s="81"/>
      <c r="H4443" s="81"/>
      <c r="I4443" s="81"/>
      <c r="J4443" s="81"/>
      <c r="K4443" s="81"/>
      <c r="L4443" s="81"/>
      <c r="M4443" s="81"/>
      <c r="N4443" s="81"/>
    </row>
    <row r="4444" spans="1:14" ht="14.25" customHeight="1" x14ac:dyDescent="0.25">
      <c r="A4444" s="134"/>
      <c r="B4444" s="135"/>
      <c r="C4444" s="135"/>
      <c r="D4444" s="135"/>
      <c r="E4444" s="135"/>
      <c r="F4444" s="136"/>
      <c r="G4444" s="81"/>
      <c r="H4444" s="81"/>
      <c r="I4444" s="81"/>
      <c r="J4444" s="81"/>
      <c r="K4444" s="81"/>
      <c r="L4444" s="81"/>
      <c r="M4444" s="81"/>
      <c r="N4444" s="81"/>
    </row>
    <row r="4445" spans="1:14" ht="14.25" customHeight="1" x14ac:dyDescent="0.25">
      <c r="A4445" s="81"/>
      <c r="B4445" s="81"/>
      <c r="C4445" s="137"/>
      <c r="D4445" s="81"/>
      <c r="E4445" s="81"/>
      <c r="F4445" s="81"/>
      <c r="G4445" s="81"/>
      <c r="H4445" s="81"/>
      <c r="I4445" s="81"/>
      <c r="J4445" s="81"/>
      <c r="K4445" s="81"/>
      <c r="L4445" s="81"/>
      <c r="M4445" s="81"/>
      <c r="N4445" s="81"/>
    </row>
    <row r="4446" spans="1:14" ht="14.25" customHeight="1" x14ac:dyDescent="0.25">
      <c r="A4446" s="81"/>
      <c r="B4446" s="81"/>
      <c r="C4446" s="137"/>
      <c r="D4446" s="81"/>
      <c r="E4446" s="81"/>
      <c r="F4446" s="81"/>
      <c r="G4446" s="81"/>
      <c r="H4446" s="81"/>
      <c r="I4446" s="81"/>
      <c r="J4446" s="81"/>
      <c r="K4446" s="81"/>
      <c r="L4446" s="81"/>
      <c r="M4446" s="81"/>
      <c r="N4446" s="81"/>
    </row>
    <row r="4447" spans="1:14" ht="14.25" customHeight="1" x14ac:dyDescent="0.25">
      <c r="A4447" s="81"/>
      <c r="B4447" s="81"/>
      <c r="C4447" s="137"/>
      <c r="D4447" s="81"/>
      <c r="E4447" s="81"/>
      <c r="F4447" s="81"/>
      <c r="G4447" s="81"/>
      <c r="H4447" s="81"/>
      <c r="I4447" s="81"/>
      <c r="J4447" s="81"/>
      <c r="K4447" s="81"/>
      <c r="L4447" s="81"/>
      <c r="M4447" s="81"/>
      <c r="N4447" s="81"/>
    </row>
    <row r="4448" spans="1:14" ht="14.25" customHeight="1" x14ac:dyDescent="0.25">
      <c r="A4448" s="81"/>
      <c r="B4448" s="81"/>
      <c r="C4448" s="137"/>
      <c r="D4448" s="81"/>
      <c r="E4448" s="81"/>
      <c r="F4448" s="81"/>
      <c r="G4448" s="81"/>
      <c r="H4448" s="81"/>
      <c r="I4448" s="81"/>
      <c r="J4448" s="81"/>
      <c r="K4448" s="81"/>
      <c r="L4448" s="81"/>
      <c r="M4448" s="81"/>
      <c r="N4448" s="81"/>
    </row>
    <row r="4449" spans="1:14" ht="14.25" customHeight="1" thickBot="1" x14ac:dyDescent="0.3">
      <c r="A4449" s="81"/>
      <c r="B4449" s="81"/>
      <c r="C4449" s="81"/>
      <c r="D4449" s="81"/>
      <c r="E4449" s="81"/>
      <c r="F4449" s="81"/>
      <c r="G4449" s="81"/>
      <c r="H4449" s="81"/>
      <c r="I4449" s="81"/>
      <c r="J4449" s="81"/>
      <c r="K4449" s="81"/>
      <c r="L4449" s="81"/>
      <c r="M4449" s="81"/>
      <c r="N4449" s="81"/>
    </row>
    <row r="4450" spans="1:14" ht="14.25" customHeight="1" x14ac:dyDescent="0.25">
      <c r="A4450" s="83"/>
      <c r="B4450" s="84"/>
      <c r="C4450" s="85"/>
      <c r="D4450" s="86"/>
      <c r="E4450" s="86"/>
      <c r="F4450" s="87"/>
      <c r="G4450" s="81"/>
      <c r="H4450" s="81"/>
      <c r="I4450" s="81"/>
      <c r="J4450" s="81"/>
      <c r="K4450" s="81"/>
      <c r="L4450" s="81"/>
      <c r="M4450" s="81"/>
      <c r="N4450" s="81"/>
    </row>
    <row r="4451" spans="1:14" ht="14.25" customHeight="1" x14ac:dyDescent="0.25">
      <c r="A4451" s="599"/>
      <c r="B4451" s="600"/>
      <c r="C4451" s="600"/>
      <c r="D4451" s="600"/>
      <c r="E4451" s="600"/>
      <c r="F4451" s="601"/>
      <c r="G4451" s="81"/>
      <c r="H4451" s="81"/>
      <c r="I4451" s="81"/>
      <c r="J4451" s="81"/>
      <c r="K4451" s="81"/>
      <c r="L4451" s="81"/>
      <c r="M4451" s="81"/>
      <c r="N4451" s="81"/>
    </row>
    <row r="4452" spans="1:14" ht="14.25" customHeight="1" x14ac:dyDescent="0.25">
      <c r="A4452" s="602" t="s">
        <v>561</v>
      </c>
      <c r="B4452" s="600"/>
      <c r="C4452" s="600"/>
      <c r="D4452" s="600"/>
      <c r="E4452" s="600"/>
      <c r="F4452" s="601"/>
      <c r="G4452" s="81"/>
      <c r="H4452" s="81"/>
      <c r="I4452" s="81"/>
      <c r="J4452" s="81"/>
      <c r="K4452" s="81"/>
      <c r="L4452" s="81"/>
      <c r="M4452" s="81"/>
      <c r="N4452" s="81"/>
    </row>
    <row r="4453" spans="1:14" ht="14.25" customHeight="1" thickBot="1" x14ac:dyDescent="0.3">
      <c r="A4453" s="603"/>
      <c r="B4453" s="604"/>
      <c r="C4453" s="604"/>
      <c r="D4453" s="604"/>
      <c r="E4453" s="604"/>
      <c r="F4453" s="605"/>
      <c r="G4453" s="81"/>
      <c r="H4453" s="81"/>
      <c r="I4453" s="81"/>
      <c r="J4453" s="81"/>
      <c r="K4453" s="81"/>
      <c r="L4453" s="81"/>
      <c r="M4453" s="81"/>
      <c r="N4453" s="81"/>
    </row>
    <row r="4454" spans="1:14" ht="14.25" customHeight="1" x14ac:dyDescent="0.25">
      <c r="A4454" s="88"/>
      <c r="B4454" s="88"/>
      <c r="C4454" s="89"/>
      <c r="D4454" s="89"/>
      <c r="E4454" s="89"/>
      <c r="F4454" s="89"/>
      <c r="G4454" s="81"/>
      <c r="H4454" s="81"/>
      <c r="I4454" s="81"/>
      <c r="J4454" s="81"/>
      <c r="K4454" s="81"/>
      <c r="L4454" s="81"/>
      <c r="M4454" s="81"/>
      <c r="N4454" s="81"/>
    </row>
    <row r="4455" spans="1:14" ht="14.25" customHeight="1" x14ac:dyDescent="0.25">
      <c r="A4455" s="90" t="s">
        <v>47</v>
      </c>
      <c r="B4455" s="613" t="s">
        <v>211</v>
      </c>
      <c r="C4455" s="600"/>
      <c r="D4455" s="600"/>
      <c r="E4455" s="600"/>
      <c r="F4455" s="600"/>
      <c r="G4455" s="81"/>
      <c r="H4455" s="81"/>
      <c r="I4455" s="81"/>
      <c r="J4455" s="81"/>
      <c r="K4455" s="81"/>
      <c r="L4455" s="81"/>
      <c r="M4455" s="81"/>
      <c r="N4455" s="81"/>
    </row>
    <row r="4456" spans="1:14" ht="14.25" customHeight="1" x14ac:dyDescent="0.25">
      <c r="A4456" s="91"/>
      <c r="B4456" s="91"/>
      <c r="C4456" s="91"/>
      <c r="D4456" s="91"/>
      <c r="E4456" s="91"/>
      <c r="F4456" s="91"/>
      <c r="G4456" s="81"/>
      <c r="H4456" s="81"/>
      <c r="I4456" s="81"/>
      <c r="J4456" s="81"/>
      <c r="K4456" s="81"/>
      <c r="L4456" s="81"/>
      <c r="M4456" s="81"/>
      <c r="N4456" s="81"/>
    </row>
    <row r="4457" spans="1:14" ht="14.25" customHeight="1" x14ac:dyDescent="0.25">
      <c r="A4457" s="88" t="s">
        <v>49</v>
      </c>
      <c r="B4457" s="92" t="s">
        <v>99</v>
      </c>
      <c r="C4457" s="89"/>
      <c r="D4457" s="89"/>
      <c r="E4457" s="89"/>
      <c r="F4457" s="93"/>
      <c r="G4457" s="81"/>
      <c r="H4457" s="81"/>
      <c r="I4457" s="81"/>
      <c r="J4457" s="81"/>
      <c r="K4457" s="81"/>
      <c r="L4457" s="81"/>
      <c r="M4457" s="81"/>
      <c r="N4457" s="81"/>
    </row>
    <row r="4458" spans="1:14" ht="14.25" customHeight="1" x14ac:dyDescent="0.25">
      <c r="A4458" s="88"/>
      <c r="B4458" s="94"/>
      <c r="C4458" s="89"/>
      <c r="D4458" s="89"/>
      <c r="E4458" s="89"/>
      <c r="F4458" s="93"/>
      <c r="G4458" s="81"/>
      <c r="H4458" s="81"/>
      <c r="I4458" s="81"/>
      <c r="J4458" s="81"/>
      <c r="K4458" s="81"/>
      <c r="L4458" s="81"/>
      <c r="M4458" s="81"/>
      <c r="N4458" s="81"/>
    </row>
    <row r="4459" spans="1:14" ht="14.25" customHeight="1" x14ac:dyDescent="0.25">
      <c r="A4459" s="95" t="s">
        <v>562</v>
      </c>
      <c r="B4459" s="96"/>
      <c r="C4459" s="92"/>
      <c r="D4459" s="92"/>
      <c r="E4459" s="92"/>
      <c r="F4459" s="92"/>
      <c r="G4459" s="81"/>
      <c r="H4459" s="81"/>
      <c r="I4459" s="81"/>
      <c r="J4459" s="81"/>
      <c r="K4459" s="81"/>
      <c r="L4459" s="81"/>
      <c r="M4459" s="81"/>
      <c r="N4459" s="81"/>
    </row>
    <row r="4460" spans="1:14" ht="14.25" customHeight="1" x14ac:dyDescent="0.25">
      <c r="A4460" s="97" t="s">
        <v>563</v>
      </c>
      <c r="B4460" s="98" t="s">
        <v>564</v>
      </c>
      <c r="C4460" s="98" t="s">
        <v>565</v>
      </c>
      <c r="D4460" s="98" t="s">
        <v>566</v>
      </c>
      <c r="E4460" s="98" t="s">
        <v>567</v>
      </c>
      <c r="F4460" s="98" t="s">
        <v>568</v>
      </c>
      <c r="G4460" s="81"/>
      <c r="H4460" s="81"/>
      <c r="I4460" s="81"/>
      <c r="J4460" s="81"/>
      <c r="K4460" s="81"/>
      <c r="L4460" s="81"/>
      <c r="M4460" s="81"/>
      <c r="N4460" s="81"/>
    </row>
    <row r="4461" spans="1:14" ht="14.25" customHeight="1" x14ac:dyDescent="0.25">
      <c r="A4461" s="99" t="s">
        <v>733</v>
      </c>
      <c r="B4461" s="100" t="s">
        <v>59</v>
      </c>
      <c r="C4461" s="101">
        <v>2800</v>
      </c>
      <c r="D4461" s="149">
        <v>2</v>
      </c>
      <c r="E4461" s="102">
        <v>0.05</v>
      </c>
      <c r="F4461" s="101">
        <f t="shared" ref="F4461:F4467" si="244">C4461*(D4461+(D4461*E4461))</f>
        <v>5880</v>
      </c>
      <c r="G4461" s="81"/>
      <c r="H4461" s="81"/>
      <c r="I4461" s="81"/>
      <c r="J4461" s="81"/>
      <c r="K4461" s="81"/>
      <c r="L4461" s="81"/>
      <c r="M4461" s="81"/>
      <c r="N4461" s="81"/>
    </row>
    <row r="4462" spans="1:14" ht="14.25" customHeight="1" x14ac:dyDescent="0.25">
      <c r="A4462" s="99" t="s">
        <v>622</v>
      </c>
      <c r="B4462" s="100" t="s">
        <v>99</v>
      </c>
      <c r="C4462" s="101">
        <v>85900</v>
      </c>
      <c r="D4462" s="149">
        <v>0.05</v>
      </c>
      <c r="E4462" s="102">
        <v>0.05</v>
      </c>
      <c r="F4462" s="101">
        <f t="shared" si="244"/>
        <v>4509.75</v>
      </c>
      <c r="G4462" s="81"/>
      <c r="H4462" s="81"/>
      <c r="I4462" s="81"/>
      <c r="J4462" s="81"/>
      <c r="K4462" s="81"/>
      <c r="L4462" s="81"/>
      <c r="M4462" s="81"/>
      <c r="N4462" s="81"/>
    </row>
    <row r="4463" spans="1:14" ht="14.25" customHeight="1" x14ac:dyDescent="0.25">
      <c r="A4463" s="103" t="s">
        <v>632</v>
      </c>
      <c r="B4463" s="100" t="s">
        <v>99</v>
      </c>
      <c r="C4463" s="101">
        <v>35000</v>
      </c>
      <c r="D4463" s="149">
        <v>0.05</v>
      </c>
      <c r="E4463" s="102">
        <v>0.05</v>
      </c>
      <c r="F4463" s="101">
        <f t="shared" si="244"/>
        <v>1837.5000000000002</v>
      </c>
      <c r="G4463" s="81"/>
      <c r="H4463" s="81"/>
      <c r="I4463" s="81"/>
      <c r="J4463" s="81"/>
      <c r="K4463" s="81"/>
      <c r="L4463" s="81"/>
      <c r="M4463" s="81"/>
      <c r="N4463" s="81"/>
    </row>
    <row r="4464" spans="1:14" ht="14.25" customHeight="1" x14ac:dyDescent="0.25">
      <c r="A4464" s="99" t="s">
        <v>738</v>
      </c>
      <c r="B4464" s="100" t="s">
        <v>99</v>
      </c>
      <c r="C4464" s="101">
        <v>650</v>
      </c>
      <c r="D4464" s="105">
        <v>2</v>
      </c>
      <c r="E4464" s="102"/>
      <c r="F4464" s="101">
        <f t="shared" si="244"/>
        <v>1300</v>
      </c>
      <c r="G4464" s="81"/>
      <c r="H4464" s="81"/>
      <c r="I4464" s="81"/>
      <c r="J4464" s="81"/>
      <c r="K4464" s="81"/>
      <c r="L4464" s="81"/>
      <c r="M4464" s="81"/>
      <c r="N4464" s="81"/>
    </row>
    <row r="4465" spans="1:14" ht="14.25" customHeight="1" x14ac:dyDescent="0.25">
      <c r="A4465" s="103" t="s">
        <v>633</v>
      </c>
      <c r="B4465" s="100" t="s">
        <v>634</v>
      </c>
      <c r="C4465" s="101">
        <v>8900</v>
      </c>
      <c r="D4465" s="105">
        <v>0.05</v>
      </c>
      <c r="E4465" s="102">
        <v>0.05</v>
      </c>
      <c r="F4465" s="101">
        <f t="shared" si="244"/>
        <v>467.25000000000006</v>
      </c>
      <c r="G4465" s="81"/>
      <c r="H4465" s="81"/>
      <c r="I4465" s="81"/>
      <c r="J4465" s="81"/>
      <c r="K4465" s="81"/>
      <c r="L4465" s="81"/>
      <c r="M4465" s="81"/>
      <c r="N4465" s="81"/>
    </row>
    <row r="4466" spans="1:14" ht="14.25" customHeight="1" x14ac:dyDescent="0.25">
      <c r="A4466" s="99" t="s">
        <v>739</v>
      </c>
      <c r="B4466" s="100" t="s">
        <v>99</v>
      </c>
      <c r="C4466" s="101">
        <v>900</v>
      </c>
      <c r="D4466" s="105">
        <v>1</v>
      </c>
      <c r="E4466" s="102"/>
      <c r="F4466" s="101">
        <f t="shared" si="244"/>
        <v>900</v>
      </c>
      <c r="G4466" s="81"/>
      <c r="H4466" s="81"/>
      <c r="I4466" s="81"/>
      <c r="J4466" s="81"/>
      <c r="K4466" s="81"/>
      <c r="L4466" s="81"/>
      <c r="M4466" s="81"/>
      <c r="N4466" s="81"/>
    </row>
    <row r="4467" spans="1:14" ht="14.25" customHeight="1" x14ac:dyDescent="0.25">
      <c r="A4467" s="99" t="s">
        <v>740</v>
      </c>
      <c r="B4467" s="100" t="s">
        <v>99</v>
      </c>
      <c r="C4467" s="101">
        <v>460</v>
      </c>
      <c r="D4467" s="105">
        <v>1</v>
      </c>
      <c r="E4467" s="102"/>
      <c r="F4467" s="101">
        <f t="shared" si="244"/>
        <v>460</v>
      </c>
      <c r="G4467" s="81"/>
      <c r="H4467" s="81"/>
      <c r="I4467" s="81"/>
      <c r="J4467" s="81"/>
      <c r="K4467" s="81"/>
      <c r="L4467" s="81"/>
      <c r="M4467" s="81"/>
      <c r="N4467" s="81"/>
    </row>
    <row r="4468" spans="1:14" ht="14.25" customHeight="1" x14ac:dyDescent="0.25">
      <c r="A4468" s="99"/>
      <c r="B4468" s="100"/>
      <c r="C4468" s="106"/>
      <c r="D4468" s="107"/>
      <c r="E4468" s="108"/>
      <c r="F4468" s="106"/>
      <c r="G4468" s="81"/>
      <c r="H4468" s="81"/>
      <c r="I4468" s="81"/>
      <c r="J4468" s="81"/>
      <c r="K4468" s="81"/>
      <c r="L4468" s="81"/>
      <c r="M4468" s="81"/>
      <c r="N4468" s="81"/>
    </row>
    <row r="4469" spans="1:14" ht="14.25" customHeight="1" x14ac:dyDescent="0.25">
      <c r="A4469" s="97" t="s">
        <v>548</v>
      </c>
      <c r="B4469" s="97"/>
      <c r="C4469" s="109"/>
      <c r="D4469" s="110"/>
      <c r="E4469" s="111"/>
      <c r="F4469" s="112">
        <f>SUM(F4461:F4468)</f>
        <v>15354.5</v>
      </c>
      <c r="G4469" s="81"/>
      <c r="H4469" s="81"/>
      <c r="I4469" s="81"/>
      <c r="J4469" s="81"/>
      <c r="K4469" s="81"/>
      <c r="L4469" s="81"/>
      <c r="M4469" s="81"/>
      <c r="N4469" s="81"/>
    </row>
    <row r="4470" spans="1:14" ht="14.25" customHeight="1" x14ac:dyDescent="0.25">
      <c r="A4470" s="88"/>
      <c r="B4470" s="88"/>
      <c r="C4470" s="113"/>
      <c r="D4470" s="113"/>
      <c r="E4470" s="114"/>
      <c r="F4470" s="113"/>
      <c r="G4470" s="81"/>
      <c r="H4470" s="81"/>
      <c r="I4470" s="81"/>
      <c r="J4470" s="81"/>
      <c r="K4470" s="81"/>
      <c r="L4470" s="81"/>
      <c r="M4470" s="81"/>
      <c r="N4470" s="81"/>
    </row>
    <row r="4471" spans="1:14" ht="14.25" customHeight="1" x14ac:dyDescent="0.25">
      <c r="A4471" s="96" t="s">
        <v>573</v>
      </c>
      <c r="B4471" s="96"/>
      <c r="C4471" s="92"/>
      <c r="D4471" s="92"/>
      <c r="E4471" s="92"/>
      <c r="F4471" s="92"/>
      <c r="G4471" s="81"/>
      <c r="H4471" s="81"/>
      <c r="I4471" s="81"/>
      <c r="J4471" s="81"/>
      <c r="K4471" s="81"/>
      <c r="L4471" s="81"/>
      <c r="M4471" s="81"/>
      <c r="N4471" s="81"/>
    </row>
    <row r="4472" spans="1:14" ht="14.25" customHeight="1" x14ac:dyDescent="0.25">
      <c r="A4472" s="611" t="s">
        <v>563</v>
      </c>
      <c r="B4472" s="608"/>
      <c r="C4472" s="609"/>
      <c r="D4472" s="98" t="s">
        <v>574</v>
      </c>
      <c r="E4472" s="98" t="s">
        <v>575</v>
      </c>
      <c r="F4472" s="98" t="s">
        <v>568</v>
      </c>
      <c r="G4472" s="81"/>
      <c r="H4472" s="81"/>
      <c r="I4472" s="81"/>
      <c r="J4472" s="81"/>
      <c r="K4472" s="81"/>
      <c r="L4472" s="81"/>
      <c r="M4472" s="81"/>
      <c r="N4472" s="81"/>
    </row>
    <row r="4473" spans="1:14" ht="14.25" customHeight="1" x14ac:dyDescent="0.25">
      <c r="A4473" s="607" t="s">
        <v>577</v>
      </c>
      <c r="B4473" s="608"/>
      <c r="C4473" s="609"/>
      <c r="D4473" s="116"/>
      <c r="E4473" s="107"/>
      <c r="F4473" s="106">
        <f>+F4484*5%</f>
        <v>564.85068226120859</v>
      </c>
      <c r="G4473" s="81"/>
      <c r="H4473" s="81"/>
      <c r="I4473" s="81"/>
      <c r="J4473" s="81"/>
      <c r="K4473" s="81"/>
      <c r="L4473" s="81"/>
      <c r="M4473" s="81"/>
      <c r="N4473" s="81"/>
    </row>
    <row r="4474" spans="1:14" ht="14.25" customHeight="1" x14ac:dyDescent="0.25">
      <c r="A4474" s="607"/>
      <c r="B4474" s="608"/>
      <c r="C4474" s="609"/>
      <c r="D4474" s="116"/>
      <c r="E4474" s="107"/>
      <c r="F4474" s="106"/>
      <c r="G4474" s="81"/>
      <c r="H4474" s="81"/>
      <c r="I4474" s="81"/>
      <c r="J4474" s="81"/>
      <c r="K4474" s="81"/>
      <c r="L4474" s="81"/>
      <c r="M4474" s="81"/>
      <c r="N4474" s="81"/>
    </row>
    <row r="4475" spans="1:14" ht="14.25" customHeight="1" x14ac:dyDescent="0.25">
      <c r="A4475" s="610"/>
      <c r="B4475" s="608"/>
      <c r="C4475" s="609"/>
      <c r="D4475" s="115"/>
      <c r="E4475" s="107"/>
      <c r="F4475" s="106"/>
      <c r="G4475" s="81"/>
      <c r="H4475" s="81"/>
      <c r="I4475" s="81"/>
      <c r="J4475" s="81"/>
      <c r="K4475" s="81"/>
      <c r="L4475" s="81"/>
      <c r="M4475" s="81"/>
      <c r="N4475" s="81"/>
    </row>
    <row r="4476" spans="1:14" ht="14.25" customHeight="1" x14ac:dyDescent="0.25">
      <c r="A4476" s="611" t="s">
        <v>548</v>
      </c>
      <c r="B4476" s="608"/>
      <c r="C4476" s="609"/>
      <c r="D4476" s="110"/>
      <c r="E4476" s="110"/>
      <c r="F4476" s="112">
        <f>SUM(F4473)</f>
        <v>564.85068226120859</v>
      </c>
      <c r="G4476" s="81"/>
      <c r="H4476" s="81"/>
      <c r="I4476" s="81"/>
      <c r="J4476" s="81"/>
      <c r="K4476" s="81"/>
      <c r="L4476" s="81"/>
      <c r="M4476" s="81"/>
      <c r="N4476" s="81"/>
    </row>
    <row r="4477" spans="1:14" ht="14.25" customHeight="1" x14ac:dyDescent="0.25">
      <c r="A4477" s="88"/>
      <c r="B4477" s="88"/>
      <c r="C4477" s="89"/>
      <c r="D4477" s="113"/>
      <c r="E4477" s="113"/>
      <c r="F4477" s="113"/>
      <c r="G4477" s="81"/>
      <c r="H4477" s="81"/>
      <c r="I4477" s="81"/>
      <c r="J4477" s="81"/>
      <c r="K4477" s="81"/>
      <c r="L4477" s="81"/>
      <c r="M4477" s="81"/>
      <c r="N4477" s="81"/>
    </row>
    <row r="4478" spans="1:14" ht="14.25" customHeight="1" x14ac:dyDescent="0.25">
      <c r="A4478" s="96" t="s">
        <v>578</v>
      </c>
      <c r="B4478" s="96"/>
      <c r="C4478" s="92"/>
      <c r="D4478" s="118"/>
      <c r="E4478" s="118"/>
      <c r="F4478" s="118"/>
      <c r="G4478" s="81"/>
      <c r="H4478" s="81"/>
      <c r="I4478" s="81"/>
      <c r="J4478" s="81"/>
      <c r="K4478" s="81"/>
      <c r="L4478" s="81"/>
      <c r="M4478" s="81"/>
      <c r="N4478" s="81"/>
    </row>
    <row r="4479" spans="1:14" ht="14.25" customHeight="1" x14ac:dyDescent="0.25">
      <c r="A4479" s="119" t="s">
        <v>563</v>
      </c>
      <c r="B4479" s="120" t="s">
        <v>579</v>
      </c>
      <c r="C4479" s="120" t="s">
        <v>580</v>
      </c>
      <c r="D4479" s="121" t="s">
        <v>581</v>
      </c>
      <c r="E4479" s="121" t="s">
        <v>575</v>
      </c>
      <c r="F4479" s="121" t="s">
        <v>568</v>
      </c>
      <c r="G4479" s="81"/>
      <c r="H4479" s="81"/>
      <c r="I4479" s="81"/>
      <c r="J4479" s="81"/>
      <c r="K4479" s="81"/>
      <c r="L4479" s="81"/>
      <c r="M4479" s="81"/>
      <c r="N4479" s="81"/>
    </row>
    <row r="4480" spans="1:14" ht="14.25" customHeight="1" x14ac:dyDescent="0.25">
      <c r="A4480" s="122" t="s">
        <v>593</v>
      </c>
      <c r="B4480" s="127">
        <v>1</v>
      </c>
      <c r="C4480" s="101">
        <v>32688</v>
      </c>
      <c r="D4480" s="101">
        <f t="shared" ref="D4480:D4481" si="245">+C4480*1.7</f>
        <v>55569.599999999999</v>
      </c>
      <c r="E4480" s="107">
        <v>12.824999999999999</v>
      </c>
      <c r="F4480" s="106">
        <f t="shared" ref="F4480:F4481" si="246">+B4480*(D4480)/E4480</f>
        <v>4332.9122807017548</v>
      </c>
      <c r="G4480" s="81"/>
      <c r="H4480" s="81"/>
      <c r="I4480" s="81"/>
      <c r="J4480" s="81"/>
      <c r="K4480" s="81"/>
      <c r="L4480" s="81"/>
      <c r="M4480" s="81"/>
      <c r="N4480" s="81"/>
    </row>
    <row r="4481" spans="1:14" ht="14.25" customHeight="1" x14ac:dyDescent="0.25">
      <c r="A4481" s="122" t="s">
        <v>594</v>
      </c>
      <c r="B4481" s="127">
        <v>1</v>
      </c>
      <c r="C4481" s="101">
        <v>52538</v>
      </c>
      <c r="D4481" s="101">
        <f t="shared" si="245"/>
        <v>89314.599999999991</v>
      </c>
      <c r="E4481" s="107">
        <f>E4480</f>
        <v>12.824999999999999</v>
      </c>
      <c r="F4481" s="106">
        <f t="shared" si="246"/>
        <v>6964.1013645224166</v>
      </c>
      <c r="G4481" s="81"/>
      <c r="H4481" s="81"/>
      <c r="I4481" s="81"/>
      <c r="J4481" s="81"/>
      <c r="K4481" s="81"/>
      <c r="L4481" s="81"/>
      <c r="M4481" s="81"/>
      <c r="N4481" s="81"/>
    </row>
    <row r="4482" spans="1:14" ht="14.25" customHeight="1" x14ac:dyDescent="0.25">
      <c r="A4482" s="122"/>
      <c r="B4482" s="127"/>
      <c r="C4482" s="101"/>
      <c r="D4482" s="101"/>
      <c r="E4482" s="107"/>
      <c r="F4482" s="106"/>
      <c r="G4482" s="81"/>
      <c r="H4482" s="81"/>
      <c r="I4482" s="81"/>
      <c r="J4482" s="81"/>
      <c r="K4482" s="81"/>
      <c r="L4482" s="81"/>
      <c r="M4482" s="81"/>
      <c r="N4482" s="81"/>
    </row>
    <row r="4483" spans="1:14" ht="14.25" customHeight="1" x14ac:dyDescent="0.25">
      <c r="A4483" s="122"/>
      <c r="B4483" s="127"/>
      <c r="C4483" s="101"/>
      <c r="D4483" s="101"/>
      <c r="E4483" s="125"/>
      <c r="F4483" s="106"/>
      <c r="G4483" s="81"/>
      <c r="H4483" s="81"/>
      <c r="I4483" s="81"/>
      <c r="J4483" s="81"/>
      <c r="K4483" s="81"/>
      <c r="L4483" s="81"/>
      <c r="M4483" s="81"/>
      <c r="N4483" s="81"/>
    </row>
    <row r="4484" spans="1:14" ht="14.25" customHeight="1" x14ac:dyDescent="0.25">
      <c r="A4484" s="97" t="s">
        <v>548</v>
      </c>
      <c r="B4484" s="128"/>
      <c r="C4484" s="110"/>
      <c r="D4484" s="110"/>
      <c r="E4484" s="110"/>
      <c r="F4484" s="112">
        <f>SUM(F4480:F4483)</f>
        <v>11297.013645224171</v>
      </c>
      <c r="G4484" s="81"/>
      <c r="H4484" s="81"/>
      <c r="I4484" s="81"/>
      <c r="J4484" s="81"/>
      <c r="K4484" s="81"/>
      <c r="L4484" s="81"/>
      <c r="M4484" s="81"/>
      <c r="N4484" s="81"/>
    </row>
    <row r="4485" spans="1:14" ht="14.25" customHeight="1" x14ac:dyDescent="0.25">
      <c r="A4485" s="96"/>
      <c r="B4485" s="129"/>
      <c r="C4485" s="118"/>
      <c r="D4485" s="118"/>
      <c r="E4485" s="118"/>
      <c r="F4485" s="118"/>
      <c r="G4485" s="81"/>
      <c r="H4485" s="81"/>
      <c r="I4485" s="81"/>
      <c r="J4485" s="81"/>
      <c r="K4485" s="81"/>
      <c r="L4485" s="81"/>
      <c r="M4485" s="81"/>
      <c r="N4485" s="81"/>
    </row>
    <row r="4486" spans="1:14" ht="14.25" customHeight="1" x14ac:dyDescent="0.25">
      <c r="A4486" s="95" t="s">
        <v>583</v>
      </c>
      <c r="B4486" s="96"/>
      <c r="C4486" s="92"/>
      <c r="D4486" s="92"/>
      <c r="E4486" s="92" t="s">
        <v>584</v>
      </c>
      <c r="F4486" s="92"/>
      <c r="G4486" s="81"/>
      <c r="H4486" s="81"/>
      <c r="I4486" s="81"/>
      <c r="J4486" s="81"/>
      <c r="K4486" s="81"/>
      <c r="L4486" s="81"/>
      <c r="M4486" s="81"/>
      <c r="N4486" s="81"/>
    </row>
    <row r="4487" spans="1:14" ht="14.25" customHeight="1" x14ac:dyDescent="0.25">
      <c r="A4487" s="97" t="s">
        <v>563</v>
      </c>
      <c r="B4487" s="98" t="s">
        <v>564</v>
      </c>
      <c r="C4487" s="98" t="s">
        <v>585</v>
      </c>
      <c r="D4487" s="98" t="s">
        <v>586</v>
      </c>
      <c r="E4487" s="120" t="s">
        <v>587</v>
      </c>
      <c r="F4487" s="98" t="s">
        <v>568</v>
      </c>
      <c r="G4487" s="81"/>
      <c r="H4487" s="81"/>
      <c r="I4487" s="81"/>
      <c r="J4487" s="81"/>
      <c r="K4487" s="81"/>
      <c r="L4487" s="81"/>
      <c r="M4487" s="81"/>
      <c r="N4487" s="81"/>
    </row>
    <row r="4488" spans="1:14" ht="14.25" customHeight="1" x14ac:dyDescent="0.25">
      <c r="A4488" s="103"/>
      <c r="B4488" s="100"/>
      <c r="C4488" s="101"/>
      <c r="D4488" s="130"/>
      <c r="E4488" s="107"/>
      <c r="F4488" s="109"/>
      <c r="G4488" s="81"/>
      <c r="H4488" s="81"/>
      <c r="I4488" s="81"/>
      <c r="J4488" s="81"/>
      <c r="K4488" s="81"/>
      <c r="L4488" s="81"/>
      <c r="M4488" s="81"/>
      <c r="N4488" s="81"/>
    </row>
    <row r="4489" spans="1:14" ht="14.25" customHeight="1" x14ac:dyDescent="0.25">
      <c r="A4489" s="103"/>
      <c r="B4489" s="100"/>
      <c r="C4489" s="107"/>
      <c r="D4489" s="107"/>
      <c r="E4489" s="108"/>
      <c r="F4489" s="109"/>
      <c r="G4489" s="81"/>
      <c r="H4489" s="81"/>
      <c r="I4489" s="81"/>
      <c r="J4489" s="81"/>
      <c r="K4489" s="81"/>
      <c r="L4489" s="81"/>
      <c r="M4489" s="81"/>
      <c r="N4489" s="81"/>
    </row>
    <row r="4490" spans="1:14" ht="14.25" customHeight="1" x14ac:dyDescent="0.25">
      <c r="A4490" s="97" t="s">
        <v>548</v>
      </c>
      <c r="B4490" s="98"/>
      <c r="C4490" s="110"/>
      <c r="D4490" s="110"/>
      <c r="E4490" s="111"/>
      <c r="F4490" s="112">
        <f>SUM(F4488:F4489)</f>
        <v>0</v>
      </c>
      <c r="G4490" s="81"/>
      <c r="H4490" s="81"/>
      <c r="I4490" s="81"/>
      <c r="J4490" s="81"/>
      <c r="K4490" s="81"/>
      <c r="L4490" s="81"/>
      <c r="M4490" s="81"/>
      <c r="N4490" s="81"/>
    </row>
    <row r="4491" spans="1:14" ht="14.25" customHeight="1" x14ac:dyDescent="0.25">
      <c r="A4491" s="88"/>
      <c r="B4491" s="89"/>
      <c r="C4491" s="113"/>
      <c r="D4491" s="113"/>
      <c r="E4491" s="114"/>
      <c r="F4491" s="113"/>
      <c r="G4491" s="81"/>
      <c r="H4491" s="81"/>
      <c r="I4491" s="81"/>
      <c r="J4491" s="81"/>
      <c r="K4491" s="81"/>
      <c r="L4491" s="81"/>
      <c r="M4491" s="81"/>
      <c r="N4491" s="81"/>
    </row>
    <row r="4492" spans="1:14" ht="14.25" customHeight="1" x14ac:dyDescent="0.25">
      <c r="A4492" s="88"/>
      <c r="B4492" s="89"/>
      <c r="C4492" s="113"/>
      <c r="D4492" s="113"/>
      <c r="E4492" s="114"/>
      <c r="F4492" s="113"/>
      <c r="G4492" s="81"/>
      <c r="H4492" s="81"/>
      <c r="I4492" s="81"/>
      <c r="J4492" s="81"/>
      <c r="K4492" s="81"/>
      <c r="L4492" s="81"/>
      <c r="M4492" s="81"/>
      <c r="N4492" s="81"/>
    </row>
    <row r="4493" spans="1:14" ht="14.25" customHeight="1" x14ac:dyDescent="0.25">
      <c r="A4493" s="612" t="s">
        <v>588</v>
      </c>
      <c r="B4493" s="608"/>
      <c r="C4493" s="608"/>
      <c r="D4493" s="608"/>
      <c r="E4493" s="609"/>
      <c r="F4493" s="131">
        <f>ROUND(F4469+F4476+F4484+F4490,0)</f>
        <v>27216</v>
      </c>
      <c r="G4493" s="81"/>
      <c r="H4493" s="117"/>
      <c r="I4493" s="81"/>
      <c r="J4493" s="81"/>
      <c r="K4493" s="81"/>
      <c r="L4493" s="81"/>
      <c r="M4493" s="81"/>
      <c r="N4493" s="81"/>
    </row>
    <row r="4494" spans="1:14" ht="14.25" customHeight="1" x14ac:dyDescent="0.25">
      <c r="A4494" s="612" t="s">
        <v>589</v>
      </c>
      <c r="B4494" s="608"/>
      <c r="C4494" s="608"/>
      <c r="D4494" s="608"/>
      <c r="E4494" s="609"/>
      <c r="F4494" s="132"/>
      <c r="G4494" s="81"/>
      <c r="H4494" s="81"/>
      <c r="I4494" s="81"/>
      <c r="J4494" s="81"/>
      <c r="K4494" s="81"/>
      <c r="L4494" s="81"/>
      <c r="M4494" s="81"/>
      <c r="N4494" s="81"/>
    </row>
    <row r="4495" spans="1:14" ht="14.25" customHeight="1" x14ac:dyDescent="0.25">
      <c r="A4495" s="612" t="s">
        <v>556</v>
      </c>
      <c r="B4495" s="608"/>
      <c r="C4495" s="608"/>
      <c r="D4495" s="608"/>
      <c r="E4495" s="609"/>
      <c r="F4495" s="133"/>
      <c r="G4495" s="81"/>
      <c r="H4495" s="81"/>
      <c r="I4495" s="81"/>
      <c r="J4495" s="81"/>
      <c r="K4495" s="81"/>
      <c r="L4495" s="81"/>
      <c r="M4495" s="81"/>
      <c r="N4495" s="81"/>
    </row>
    <row r="4496" spans="1:14" ht="14.25" customHeight="1" x14ac:dyDescent="0.25">
      <c r="A4496" s="134"/>
      <c r="B4496" s="135"/>
      <c r="C4496" s="135"/>
      <c r="D4496" s="135"/>
      <c r="E4496" s="135"/>
      <c r="F4496" s="136"/>
      <c r="G4496" s="81"/>
      <c r="H4496" s="81"/>
      <c r="I4496" s="81"/>
      <c r="J4496" s="81"/>
      <c r="K4496" s="81"/>
      <c r="L4496" s="81"/>
      <c r="M4496" s="81"/>
      <c r="N4496" s="81"/>
    </row>
    <row r="4497" spans="1:14" ht="14.25" customHeight="1" x14ac:dyDescent="0.25">
      <c r="A4497" s="134"/>
      <c r="B4497" s="135"/>
      <c r="C4497" s="135"/>
      <c r="D4497" s="135"/>
      <c r="E4497" s="135"/>
      <c r="F4497" s="136"/>
      <c r="G4497" s="81"/>
      <c r="H4497" s="81"/>
      <c r="I4497" s="81"/>
      <c r="J4497" s="81"/>
      <c r="K4497" s="81"/>
      <c r="L4497" s="81"/>
      <c r="M4497" s="81"/>
      <c r="N4497" s="81"/>
    </row>
    <row r="4498" spans="1:14" ht="14.25" customHeight="1" x14ac:dyDescent="0.25">
      <c r="A4498" s="134"/>
      <c r="B4498" s="135"/>
      <c r="C4498" s="135"/>
      <c r="D4498" s="135"/>
      <c r="E4498" s="135"/>
      <c r="F4498" s="136"/>
      <c r="G4498" s="81"/>
      <c r="H4498" s="81"/>
      <c r="I4498" s="81"/>
      <c r="J4498" s="81"/>
      <c r="K4498" s="81"/>
      <c r="L4498" s="81"/>
      <c r="M4498" s="81"/>
      <c r="N4498" s="81"/>
    </row>
    <row r="4499" spans="1:14" ht="14.25" customHeight="1" x14ac:dyDescent="0.25">
      <c r="A4499" s="134"/>
      <c r="B4499" s="135"/>
      <c r="C4499" s="135"/>
      <c r="D4499" s="135"/>
      <c r="E4499" s="135"/>
      <c r="F4499" s="136"/>
      <c r="G4499" s="81"/>
      <c r="H4499" s="81"/>
      <c r="I4499" s="81"/>
      <c r="J4499" s="81"/>
      <c r="K4499" s="81"/>
      <c r="L4499" s="81"/>
      <c r="M4499" s="81"/>
      <c r="N4499" s="81"/>
    </row>
    <row r="4500" spans="1:14" ht="14.25" customHeight="1" x14ac:dyDescent="0.25">
      <c r="A4500" s="134"/>
      <c r="B4500" s="135"/>
      <c r="C4500" s="135"/>
      <c r="D4500" s="135"/>
      <c r="E4500" s="135"/>
      <c r="F4500" s="136"/>
      <c r="G4500" s="81"/>
      <c r="H4500" s="81"/>
      <c r="I4500" s="81"/>
      <c r="J4500" s="81"/>
      <c r="K4500" s="81"/>
      <c r="L4500" s="81"/>
      <c r="M4500" s="81"/>
      <c r="N4500" s="81"/>
    </row>
    <row r="4501" spans="1:14" ht="14.25" customHeight="1" x14ac:dyDescent="0.25">
      <c r="A4501" s="134"/>
      <c r="B4501" s="135"/>
      <c r="C4501" s="135"/>
      <c r="D4501" s="135"/>
      <c r="E4501" s="135"/>
      <c r="F4501" s="136"/>
      <c r="G4501" s="81"/>
      <c r="H4501" s="81"/>
      <c r="I4501" s="81"/>
      <c r="J4501" s="81"/>
      <c r="K4501" s="81"/>
      <c r="L4501" s="81"/>
      <c r="M4501" s="81"/>
      <c r="N4501" s="81"/>
    </row>
    <row r="4502" spans="1:14" ht="14.25" customHeight="1" x14ac:dyDescent="0.25">
      <c r="A4502" s="81"/>
      <c r="B4502" s="81"/>
      <c r="C4502" s="137"/>
      <c r="D4502" s="81"/>
      <c r="E4502" s="81"/>
      <c r="F4502" s="81"/>
      <c r="G4502" s="81"/>
      <c r="H4502" s="81"/>
      <c r="I4502" s="81"/>
      <c r="J4502" s="81"/>
      <c r="K4502" s="81"/>
      <c r="L4502" s="81"/>
      <c r="M4502" s="81"/>
      <c r="N4502" s="81"/>
    </row>
    <row r="4503" spans="1:14" ht="14.25" customHeight="1" x14ac:dyDescent="0.25">
      <c r="A4503" s="81"/>
      <c r="B4503" s="81"/>
      <c r="C4503" s="137"/>
      <c r="D4503" s="81"/>
      <c r="E4503" s="81"/>
      <c r="F4503" s="81"/>
      <c r="G4503" s="81"/>
      <c r="H4503" s="81"/>
      <c r="I4503" s="81"/>
      <c r="J4503" s="81"/>
      <c r="K4503" s="81"/>
      <c r="L4503" s="81"/>
      <c r="M4503" s="81"/>
      <c r="N4503" s="81"/>
    </row>
    <row r="4504" spans="1:14" ht="14.25" customHeight="1" x14ac:dyDescent="0.25">
      <c r="A4504" s="81"/>
      <c r="B4504" s="81"/>
      <c r="C4504" s="137"/>
      <c r="D4504" s="81"/>
      <c r="E4504" s="81"/>
      <c r="F4504" s="81"/>
      <c r="G4504" s="81"/>
      <c r="H4504" s="81"/>
      <c r="I4504" s="81"/>
      <c r="J4504" s="81"/>
      <c r="K4504" s="81"/>
      <c r="L4504" s="81"/>
      <c r="M4504" s="81"/>
      <c r="N4504" s="81"/>
    </row>
    <row r="4505" spans="1:14" ht="14.25" customHeight="1" x14ac:dyDescent="0.25">
      <c r="A4505" s="81"/>
      <c r="B4505" s="81"/>
      <c r="C4505" s="137"/>
      <c r="D4505" s="81"/>
      <c r="E4505" s="81"/>
      <c r="F4505" s="81"/>
      <c r="G4505" s="81"/>
      <c r="H4505" s="81"/>
      <c r="I4505" s="81"/>
      <c r="J4505" s="81"/>
      <c r="K4505" s="81"/>
      <c r="L4505" s="81"/>
      <c r="M4505" s="81"/>
      <c r="N4505" s="81"/>
    </row>
    <row r="4506" spans="1:14" ht="14.25" customHeight="1" thickBot="1" x14ac:dyDescent="0.3">
      <c r="A4506" s="81"/>
      <c r="B4506" s="81"/>
      <c r="C4506" s="81"/>
      <c r="D4506" s="81"/>
      <c r="E4506" s="81"/>
      <c r="F4506" s="81"/>
      <c r="G4506" s="81"/>
      <c r="H4506" s="81"/>
      <c r="I4506" s="81"/>
      <c r="J4506" s="81"/>
      <c r="K4506" s="81"/>
      <c r="L4506" s="81"/>
      <c r="M4506" s="81"/>
      <c r="N4506" s="81"/>
    </row>
    <row r="4507" spans="1:14" ht="14.25" customHeight="1" x14ac:dyDescent="0.25">
      <c r="A4507" s="83"/>
      <c r="B4507" s="84"/>
      <c r="C4507" s="85"/>
      <c r="D4507" s="86"/>
      <c r="E4507" s="86"/>
      <c r="F4507" s="87"/>
      <c r="G4507" s="81"/>
      <c r="H4507" s="81"/>
      <c r="I4507" s="81"/>
      <c r="J4507" s="81"/>
      <c r="K4507" s="81"/>
      <c r="L4507" s="81"/>
      <c r="M4507" s="81"/>
      <c r="N4507" s="81"/>
    </row>
    <row r="4508" spans="1:14" ht="14.25" customHeight="1" x14ac:dyDescent="0.25">
      <c r="A4508" s="599"/>
      <c r="B4508" s="600"/>
      <c r="C4508" s="600"/>
      <c r="D4508" s="600"/>
      <c r="E4508" s="600"/>
      <c r="F4508" s="601"/>
      <c r="G4508" s="81"/>
      <c r="H4508" s="81"/>
      <c r="I4508" s="81"/>
      <c r="J4508" s="81"/>
      <c r="K4508" s="81"/>
      <c r="L4508" s="81"/>
      <c r="M4508" s="81"/>
      <c r="N4508" s="81"/>
    </row>
    <row r="4509" spans="1:14" ht="14.25" customHeight="1" x14ac:dyDescent="0.25">
      <c r="A4509" s="602" t="s">
        <v>561</v>
      </c>
      <c r="B4509" s="600"/>
      <c r="C4509" s="600"/>
      <c r="D4509" s="600"/>
      <c r="E4509" s="600"/>
      <c r="F4509" s="601"/>
      <c r="G4509" s="81"/>
      <c r="H4509" s="81"/>
      <c r="I4509" s="81"/>
      <c r="J4509" s="81"/>
      <c r="K4509" s="81"/>
      <c r="L4509" s="81"/>
      <c r="M4509" s="81"/>
      <c r="N4509" s="81"/>
    </row>
    <row r="4510" spans="1:14" ht="14.25" customHeight="1" thickBot="1" x14ac:dyDescent="0.3">
      <c r="A4510" s="603"/>
      <c r="B4510" s="604"/>
      <c r="C4510" s="604"/>
      <c r="D4510" s="604"/>
      <c r="E4510" s="604"/>
      <c r="F4510" s="605"/>
      <c r="G4510" s="81"/>
      <c r="H4510" s="81"/>
      <c r="I4510" s="81"/>
      <c r="J4510" s="81"/>
      <c r="K4510" s="81"/>
      <c r="L4510" s="81"/>
      <c r="M4510" s="81"/>
      <c r="N4510" s="81"/>
    </row>
    <row r="4511" spans="1:14" ht="14.25" customHeight="1" x14ac:dyDescent="0.25">
      <c r="A4511" s="88"/>
      <c r="B4511" s="88"/>
      <c r="C4511" s="89"/>
      <c r="D4511" s="89"/>
      <c r="E4511" s="89"/>
      <c r="F4511" s="89"/>
      <c r="G4511" s="81"/>
      <c r="H4511" s="81"/>
      <c r="I4511" s="81"/>
      <c r="J4511" s="81"/>
      <c r="K4511" s="81"/>
      <c r="L4511" s="81"/>
      <c r="M4511" s="81"/>
      <c r="N4511" s="81"/>
    </row>
    <row r="4512" spans="1:14" ht="14.25" customHeight="1" x14ac:dyDescent="0.25">
      <c r="A4512" s="90" t="s">
        <v>47</v>
      </c>
      <c r="B4512" s="613" t="s">
        <v>213</v>
      </c>
      <c r="C4512" s="600"/>
      <c r="D4512" s="600"/>
      <c r="E4512" s="600"/>
      <c r="F4512" s="600"/>
      <c r="G4512" s="81"/>
      <c r="H4512" s="81"/>
      <c r="I4512" s="81"/>
      <c r="J4512" s="81"/>
      <c r="K4512" s="81"/>
      <c r="L4512" s="81"/>
      <c r="M4512" s="81"/>
      <c r="N4512" s="81"/>
    </row>
    <row r="4513" spans="1:14" ht="14.25" customHeight="1" x14ac:dyDescent="0.25">
      <c r="A4513" s="91"/>
      <c r="B4513" s="91"/>
      <c r="C4513" s="91"/>
      <c r="D4513" s="91"/>
      <c r="E4513" s="91"/>
      <c r="F4513" s="91"/>
      <c r="G4513" s="81"/>
      <c r="H4513" s="81"/>
      <c r="I4513" s="81"/>
      <c r="J4513" s="81"/>
      <c r="K4513" s="81"/>
      <c r="L4513" s="81"/>
      <c r="M4513" s="81"/>
      <c r="N4513" s="81"/>
    </row>
    <row r="4514" spans="1:14" ht="14.25" customHeight="1" x14ac:dyDescent="0.25">
      <c r="A4514" s="88" t="s">
        <v>49</v>
      </c>
      <c r="B4514" s="92" t="s">
        <v>99</v>
      </c>
      <c r="C4514" s="89"/>
      <c r="D4514" s="89"/>
      <c r="E4514" s="89"/>
      <c r="F4514" s="93"/>
      <c r="G4514" s="81"/>
      <c r="H4514" s="81"/>
      <c r="I4514" s="81"/>
      <c r="J4514" s="81"/>
      <c r="K4514" s="81"/>
      <c r="L4514" s="81"/>
      <c r="M4514" s="81"/>
      <c r="N4514" s="81"/>
    </row>
    <row r="4515" spans="1:14" ht="14.25" customHeight="1" x14ac:dyDescent="0.25">
      <c r="A4515" s="88"/>
      <c r="B4515" s="94"/>
      <c r="C4515" s="89"/>
      <c r="D4515" s="89"/>
      <c r="E4515" s="89"/>
      <c r="F4515" s="93"/>
      <c r="G4515" s="81"/>
      <c r="H4515" s="81"/>
      <c r="I4515" s="81"/>
      <c r="J4515" s="81"/>
      <c r="K4515" s="81"/>
      <c r="L4515" s="81"/>
      <c r="M4515" s="81"/>
      <c r="N4515" s="81"/>
    </row>
    <row r="4516" spans="1:14" ht="14.25" customHeight="1" x14ac:dyDescent="0.25">
      <c r="A4516" s="95" t="s">
        <v>562</v>
      </c>
      <c r="B4516" s="96"/>
      <c r="C4516" s="92"/>
      <c r="D4516" s="92"/>
      <c r="E4516" s="92"/>
      <c r="F4516" s="92"/>
      <c r="G4516" s="81"/>
      <c r="H4516" s="81"/>
      <c r="I4516" s="81"/>
      <c r="J4516" s="81"/>
      <c r="K4516" s="81"/>
      <c r="L4516" s="81"/>
      <c r="M4516" s="81"/>
      <c r="N4516" s="81"/>
    </row>
    <row r="4517" spans="1:14" ht="14.25" customHeight="1" x14ac:dyDescent="0.25">
      <c r="A4517" s="97" t="s">
        <v>563</v>
      </c>
      <c r="B4517" s="98" t="s">
        <v>564</v>
      </c>
      <c r="C4517" s="98" t="s">
        <v>565</v>
      </c>
      <c r="D4517" s="98" t="s">
        <v>566</v>
      </c>
      <c r="E4517" s="98" t="s">
        <v>567</v>
      </c>
      <c r="F4517" s="98" t="s">
        <v>568</v>
      </c>
      <c r="G4517" s="81"/>
      <c r="H4517" s="81"/>
      <c r="I4517" s="81"/>
      <c r="J4517" s="81"/>
      <c r="K4517" s="81"/>
      <c r="L4517" s="81"/>
      <c r="M4517" s="81"/>
      <c r="N4517" s="81"/>
    </row>
    <row r="4518" spans="1:14" ht="14.25" customHeight="1" x14ac:dyDescent="0.25">
      <c r="A4518" s="99" t="s">
        <v>724</v>
      </c>
      <c r="B4518" s="100" t="s">
        <v>59</v>
      </c>
      <c r="C4518" s="101">
        <v>10200</v>
      </c>
      <c r="D4518" s="149">
        <v>2</v>
      </c>
      <c r="E4518" s="102">
        <v>0.05</v>
      </c>
      <c r="F4518" s="101">
        <f t="shared" ref="F4518:F4524" si="247">C4518*(D4518+(D4518*E4518))</f>
        <v>21420</v>
      </c>
      <c r="G4518" s="81"/>
      <c r="H4518" s="81"/>
      <c r="I4518" s="81"/>
      <c r="J4518" s="81"/>
      <c r="K4518" s="81"/>
      <c r="L4518" s="81"/>
      <c r="M4518" s="81"/>
      <c r="N4518" s="81"/>
    </row>
    <row r="4519" spans="1:14" ht="14.25" customHeight="1" x14ac:dyDescent="0.25">
      <c r="A4519" s="99" t="s">
        <v>622</v>
      </c>
      <c r="B4519" s="100" t="s">
        <v>99</v>
      </c>
      <c r="C4519" s="101">
        <v>85900</v>
      </c>
      <c r="D4519" s="149">
        <v>0.05</v>
      </c>
      <c r="E4519" s="102">
        <v>0.05</v>
      </c>
      <c r="F4519" s="101">
        <f t="shared" si="247"/>
        <v>4509.75</v>
      </c>
      <c r="G4519" s="81"/>
      <c r="H4519" s="81"/>
      <c r="I4519" s="81"/>
      <c r="J4519" s="81"/>
      <c r="K4519" s="81"/>
      <c r="L4519" s="81"/>
      <c r="M4519" s="81"/>
      <c r="N4519" s="81"/>
    </row>
    <row r="4520" spans="1:14" ht="14.25" customHeight="1" x14ac:dyDescent="0.25">
      <c r="A4520" s="103" t="s">
        <v>632</v>
      </c>
      <c r="B4520" s="100" t="s">
        <v>99</v>
      </c>
      <c r="C4520" s="101">
        <v>35000</v>
      </c>
      <c r="D4520" s="149">
        <v>0.05</v>
      </c>
      <c r="E4520" s="102">
        <v>0.05</v>
      </c>
      <c r="F4520" s="101">
        <f t="shared" si="247"/>
        <v>1837.5000000000002</v>
      </c>
      <c r="G4520" s="81"/>
      <c r="H4520" s="81"/>
      <c r="I4520" s="81"/>
      <c r="J4520" s="81"/>
      <c r="K4520" s="81"/>
      <c r="L4520" s="81"/>
      <c r="M4520" s="81"/>
      <c r="N4520" s="81"/>
    </row>
    <row r="4521" spans="1:14" ht="14.25" customHeight="1" x14ac:dyDescent="0.25">
      <c r="A4521" s="99" t="s">
        <v>741</v>
      </c>
      <c r="B4521" s="100" t="s">
        <v>99</v>
      </c>
      <c r="C4521" s="101">
        <v>6750</v>
      </c>
      <c r="D4521" s="105">
        <v>2</v>
      </c>
      <c r="E4521" s="102"/>
      <c r="F4521" s="101">
        <f t="shared" si="247"/>
        <v>13500</v>
      </c>
      <c r="G4521" s="81"/>
      <c r="H4521" s="81"/>
      <c r="I4521" s="81"/>
      <c r="J4521" s="81"/>
      <c r="K4521" s="81"/>
      <c r="L4521" s="81"/>
      <c r="M4521" s="81"/>
      <c r="N4521" s="81"/>
    </row>
    <row r="4522" spans="1:14" ht="14.25" customHeight="1" x14ac:dyDescent="0.25">
      <c r="A4522" s="103" t="s">
        <v>633</v>
      </c>
      <c r="B4522" s="100" t="s">
        <v>634</v>
      </c>
      <c r="C4522" s="101">
        <v>8900</v>
      </c>
      <c r="D4522" s="105">
        <v>7.0000000000000007E-2</v>
      </c>
      <c r="E4522" s="102">
        <v>0.05</v>
      </c>
      <c r="F4522" s="101">
        <f t="shared" si="247"/>
        <v>654.15000000000009</v>
      </c>
      <c r="G4522" s="81"/>
      <c r="H4522" s="81"/>
      <c r="I4522" s="81"/>
      <c r="J4522" s="81"/>
      <c r="K4522" s="81"/>
      <c r="L4522" s="81"/>
      <c r="M4522" s="81"/>
      <c r="N4522" s="81"/>
    </row>
    <row r="4523" spans="1:14" ht="14.25" customHeight="1" x14ac:dyDescent="0.25">
      <c r="A4523" s="99" t="s">
        <v>742</v>
      </c>
      <c r="B4523" s="100" t="s">
        <v>99</v>
      </c>
      <c r="C4523" s="101">
        <v>8600</v>
      </c>
      <c r="D4523" s="105">
        <v>1</v>
      </c>
      <c r="E4523" s="102"/>
      <c r="F4523" s="101">
        <f t="shared" si="247"/>
        <v>8600</v>
      </c>
      <c r="G4523" s="81"/>
      <c r="H4523" s="81"/>
      <c r="I4523" s="81"/>
      <c r="J4523" s="81"/>
      <c r="K4523" s="81"/>
      <c r="L4523" s="81"/>
      <c r="M4523" s="81"/>
      <c r="N4523" s="81"/>
    </row>
    <row r="4524" spans="1:14" ht="14.25" customHeight="1" x14ac:dyDescent="0.25">
      <c r="A4524" s="99" t="s">
        <v>743</v>
      </c>
      <c r="B4524" s="100" t="s">
        <v>99</v>
      </c>
      <c r="C4524" s="101">
        <v>3750</v>
      </c>
      <c r="D4524" s="105">
        <v>1</v>
      </c>
      <c r="E4524" s="102"/>
      <c r="F4524" s="101">
        <f t="shared" si="247"/>
        <v>3750</v>
      </c>
      <c r="G4524" s="81"/>
      <c r="H4524" s="81"/>
      <c r="I4524" s="81"/>
      <c r="J4524" s="81"/>
      <c r="K4524" s="81"/>
      <c r="L4524" s="81"/>
      <c r="M4524" s="81"/>
      <c r="N4524" s="81"/>
    </row>
    <row r="4525" spans="1:14" ht="14.25" customHeight="1" x14ac:dyDescent="0.25">
      <c r="A4525" s="99"/>
      <c r="B4525" s="100"/>
      <c r="C4525" s="106"/>
      <c r="D4525" s="107"/>
      <c r="E4525" s="108"/>
      <c r="F4525" s="106"/>
      <c r="G4525" s="81"/>
      <c r="H4525" s="81"/>
      <c r="I4525" s="81"/>
      <c r="J4525" s="81"/>
      <c r="K4525" s="81"/>
      <c r="L4525" s="81"/>
      <c r="M4525" s="81"/>
      <c r="N4525" s="81"/>
    </row>
    <row r="4526" spans="1:14" ht="14.25" customHeight="1" x14ac:dyDescent="0.25">
      <c r="A4526" s="97" t="s">
        <v>548</v>
      </c>
      <c r="B4526" s="97"/>
      <c r="C4526" s="109"/>
      <c r="D4526" s="110"/>
      <c r="E4526" s="111"/>
      <c r="F4526" s="112">
        <f>SUM(F4518:F4525)</f>
        <v>54271.4</v>
      </c>
      <c r="G4526" s="81"/>
      <c r="H4526" s="81"/>
      <c r="I4526" s="81"/>
      <c r="J4526" s="81"/>
      <c r="K4526" s="81"/>
      <c r="L4526" s="81"/>
      <c r="M4526" s="81"/>
      <c r="N4526" s="81"/>
    </row>
    <row r="4527" spans="1:14" ht="14.25" customHeight="1" x14ac:dyDescent="0.25">
      <c r="A4527" s="88"/>
      <c r="B4527" s="88"/>
      <c r="C4527" s="113"/>
      <c r="D4527" s="113"/>
      <c r="E4527" s="114"/>
      <c r="F4527" s="113"/>
      <c r="G4527" s="81"/>
      <c r="H4527" s="81"/>
      <c r="I4527" s="81"/>
      <c r="J4527" s="81"/>
      <c r="K4527" s="81"/>
      <c r="L4527" s="81"/>
      <c r="M4527" s="81"/>
      <c r="N4527" s="81"/>
    </row>
    <row r="4528" spans="1:14" ht="14.25" customHeight="1" x14ac:dyDescent="0.25">
      <c r="A4528" s="96" t="s">
        <v>573</v>
      </c>
      <c r="B4528" s="96"/>
      <c r="C4528" s="92"/>
      <c r="D4528" s="92"/>
      <c r="E4528" s="92"/>
      <c r="F4528" s="92"/>
      <c r="G4528" s="81"/>
      <c r="H4528" s="81"/>
      <c r="I4528" s="81"/>
      <c r="J4528" s="81"/>
      <c r="K4528" s="81"/>
      <c r="L4528" s="81"/>
      <c r="M4528" s="81"/>
      <c r="N4528" s="81"/>
    </row>
    <row r="4529" spans="1:14" ht="14.25" customHeight="1" x14ac:dyDescent="0.25">
      <c r="A4529" s="611" t="s">
        <v>563</v>
      </c>
      <c r="B4529" s="608"/>
      <c r="C4529" s="609"/>
      <c r="D4529" s="98" t="s">
        <v>574</v>
      </c>
      <c r="E4529" s="98" t="s">
        <v>575</v>
      </c>
      <c r="F4529" s="98" t="s">
        <v>568</v>
      </c>
      <c r="G4529" s="81"/>
      <c r="H4529" s="81"/>
      <c r="I4529" s="81"/>
      <c r="J4529" s="81"/>
      <c r="K4529" s="81"/>
      <c r="L4529" s="81"/>
      <c r="M4529" s="81"/>
      <c r="N4529" s="81"/>
    </row>
    <row r="4530" spans="1:14" ht="14.25" customHeight="1" x14ac:dyDescent="0.25">
      <c r="A4530" s="607" t="s">
        <v>577</v>
      </c>
      <c r="B4530" s="608"/>
      <c r="C4530" s="609"/>
      <c r="D4530" s="116"/>
      <c r="E4530" s="107"/>
      <c r="F4530" s="106">
        <f>+F4541*5%</f>
        <v>595.78994983140058</v>
      </c>
      <c r="G4530" s="81"/>
      <c r="H4530" s="81"/>
      <c r="I4530" s="81"/>
      <c r="J4530" s="81"/>
      <c r="K4530" s="81"/>
      <c r="L4530" s="81"/>
      <c r="M4530" s="81"/>
      <c r="N4530" s="81"/>
    </row>
    <row r="4531" spans="1:14" ht="14.25" customHeight="1" x14ac:dyDescent="0.25">
      <c r="A4531" s="607"/>
      <c r="B4531" s="608"/>
      <c r="C4531" s="609"/>
      <c r="D4531" s="116"/>
      <c r="E4531" s="107"/>
      <c r="F4531" s="106"/>
      <c r="G4531" s="81"/>
      <c r="H4531" s="81"/>
      <c r="I4531" s="81"/>
      <c r="J4531" s="81"/>
      <c r="K4531" s="81"/>
      <c r="L4531" s="81"/>
      <c r="M4531" s="81"/>
      <c r="N4531" s="81"/>
    </row>
    <row r="4532" spans="1:14" ht="14.25" customHeight="1" x14ac:dyDescent="0.25">
      <c r="A4532" s="610"/>
      <c r="B4532" s="608"/>
      <c r="C4532" s="609"/>
      <c r="D4532" s="115"/>
      <c r="E4532" s="107"/>
      <c r="F4532" s="106"/>
      <c r="G4532" s="81"/>
      <c r="H4532" s="81"/>
      <c r="I4532" s="81"/>
      <c r="J4532" s="81"/>
      <c r="K4532" s="81"/>
      <c r="L4532" s="81"/>
      <c r="M4532" s="81"/>
      <c r="N4532" s="81"/>
    </row>
    <row r="4533" spans="1:14" ht="14.25" customHeight="1" x14ac:dyDescent="0.25">
      <c r="A4533" s="611" t="s">
        <v>548</v>
      </c>
      <c r="B4533" s="608"/>
      <c r="C4533" s="609"/>
      <c r="D4533" s="110"/>
      <c r="E4533" s="110"/>
      <c r="F4533" s="112">
        <f>SUM(F4530)</f>
        <v>595.78994983140058</v>
      </c>
      <c r="G4533" s="81"/>
      <c r="H4533" s="81"/>
      <c r="I4533" s="81"/>
      <c r="J4533" s="81"/>
      <c r="K4533" s="81"/>
      <c r="L4533" s="81"/>
      <c r="M4533" s="81"/>
      <c r="N4533" s="81"/>
    </row>
    <row r="4534" spans="1:14" ht="14.25" customHeight="1" x14ac:dyDescent="0.25">
      <c r="A4534" s="88"/>
      <c r="B4534" s="88"/>
      <c r="C4534" s="89"/>
      <c r="D4534" s="113"/>
      <c r="E4534" s="113"/>
      <c r="F4534" s="113"/>
      <c r="G4534" s="81"/>
      <c r="H4534" s="81"/>
      <c r="I4534" s="81"/>
      <c r="J4534" s="81"/>
      <c r="K4534" s="81"/>
      <c r="L4534" s="81"/>
      <c r="M4534" s="81"/>
      <c r="N4534" s="81"/>
    </row>
    <row r="4535" spans="1:14" ht="14.25" customHeight="1" x14ac:dyDescent="0.25">
      <c r="A4535" s="96" t="s">
        <v>578</v>
      </c>
      <c r="B4535" s="96"/>
      <c r="C4535" s="92"/>
      <c r="D4535" s="118"/>
      <c r="E4535" s="118"/>
      <c r="F4535" s="118"/>
      <c r="G4535" s="81"/>
      <c r="H4535" s="81"/>
      <c r="I4535" s="81"/>
      <c r="J4535" s="81"/>
      <c r="K4535" s="81"/>
      <c r="L4535" s="81"/>
      <c r="M4535" s="81"/>
      <c r="N4535" s="81"/>
    </row>
    <row r="4536" spans="1:14" ht="14.25" customHeight="1" x14ac:dyDescent="0.25">
      <c r="A4536" s="119" t="s">
        <v>563</v>
      </c>
      <c r="B4536" s="120" t="s">
        <v>579</v>
      </c>
      <c r="C4536" s="120" t="s">
        <v>580</v>
      </c>
      <c r="D4536" s="121" t="s">
        <v>581</v>
      </c>
      <c r="E4536" s="121" t="s">
        <v>575</v>
      </c>
      <c r="F4536" s="121" t="s">
        <v>568</v>
      </c>
      <c r="G4536" s="81"/>
      <c r="H4536" s="81"/>
      <c r="I4536" s="81"/>
      <c r="J4536" s="81"/>
      <c r="K4536" s="81"/>
      <c r="L4536" s="81"/>
      <c r="M4536" s="81"/>
      <c r="N4536" s="81"/>
    </row>
    <row r="4537" spans="1:14" ht="14.25" customHeight="1" x14ac:dyDescent="0.25">
      <c r="A4537" s="122" t="s">
        <v>593</v>
      </c>
      <c r="B4537" s="127">
        <v>1</v>
      </c>
      <c r="C4537" s="101">
        <v>32688</v>
      </c>
      <c r="D4537" s="101">
        <f t="shared" ref="D4537:D4538" si="248">+C4537*1.7</f>
        <v>55569.599999999999</v>
      </c>
      <c r="E4537" s="107">
        <v>12.159000000000001</v>
      </c>
      <c r="F4537" s="106">
        <f t="shared" ref="F4537:F4538" si="249">+B4537*(D4537)/E4537</f>
        <v>4570.2442635085117</v>
      </c>
      <c r="G4537" s="81"/>
      <c r="H4537" s="81"/>
      <c r="I4537" s="81"/>
      <c r="J4537" s="81"/>
      <c r="K4537" s="81"/>
      <c r="L4537" s="81"/>
      <c r="M4537" s="81"/>
      <c r="N4537" s="81"/>
    </row>
    <row r="4538" spans="1:14" ht="14.25" customHeight="1" x14ac:dyDescent="0.25">
      <c r="A4538" s="122" t="s">
        <v>594</v>
      </c>
      <c r="B4538" s="127">
        <v>1</v>
      </c>
      <c r="C4538" s="101">
        <v>52538</v>
      </c>
      <c r="D4538" s="101">
        <f t="shared" si="248"/>
        <v>89314.599999999991</v>
      </c>
      <c r="E4538" s="107">
        <f>E4537</f>
        <v>12.159000000000001</v>
      </c>
      <c r="F4538" s="106">
        <f t="shared" si="249"/>
        <v>7345.5547331194985</v>
      </c>
      <c r="G4538" s="81"/>
      <c r="H4538" s="81"/>
      <c r="I4538" s="81"/>
      <c r="J4538" s="81"/>
      <c r="K4538" s="81"/>
      <c r="L4538" s="81"/>
      <c r="M4538" s="81"/>
      <c r="N4538" s="81"/>
    </row>
    <row r="4539" spans="1:14" ht="14.25" customHeight="1" x14ac:dyDescent="0.25">
      <c r="A4539" s="122"/>
      <c r="B4539" s="127"/>
      <c r="C4539" s="101"/>
      <c r="D4539" s="101"/>
      <c r="E4539" s="107"/>
      <c r="F4539" s="106"/>
      <c r="G4539" s="81"/>
      <c r="H4539" s="81"/>
      <c r="I4539" s="81"/>
      <c r="J4539" s="81"/>
      <c r="K4539" s="81"/>
      <c r="L4539" s="81"/>
      <c r="M4539" s="81"/>
      <c r="N4539" s="81"/>
    </row>
    <row r="4540" spans="1:14" ht="14.25" customHeight="1" x14ac:dyDescent="0.25">
      <c r="A4540" s="122"/>
      <c r="B4540" s="127"/>
      <c r="C4540" s="101"/>
      <c r="D4540" s="101"/>
      <c r="E4540" s="125"/>
      <c r="F4540" s="106"/>
      <c r="G4540" s="81"/>
      <c r="H4540" s="81"/>
      <c r="I4540" s="81"/>
      <c r="J4540" s="81"/>
      <c r="K4540" s="81"/>
      <c r="L4540" s="81"/>
      <c r="M4540" s="81"/>
      <c r="N4540" s="81"/>
    </row>
    <row r="4541" spans="1:14" ht="14.25" customHeight="1" x14ac:dyDescent="0.25">
      <c r="A4541" s="97" t="s">
        <v>548</v>
      </c>
      <c r="B4541" s="128"/>
      <c r="C4541" s="110"/>
      <c r="D4541" s="110"/>
      <c r="E4541" s="110"/>
      <c r="F4541" s="112">
        <f>SUM(F4537:F4540)</f>
        <v>11915.798996628011</v>
      </c>
      <c r="G4541" s="81"/>
      <c r="H4541" s="81"/>
      <c r="I4541" s="81"/>
      <c r="J4541" s="81"/>
      <c r="K4541" s="81"/>
      <c r="L4541" s="81"/>
      <c r="M4541" s="81"/>
      <c r="N4541" s="81"/>
    </row>
    <row r="4542" spans="1:14" ht="14.25" customHeight="1" x14ac:dyDescent="0.25">
      <c r="A4542" s="96"/>
      <c r="B4542" s="129"/>
      <c r="C4542" s="118"/>
      <c r="D4542" s="118"/>
      <c r="E4542" s="118"/>
      <c r="F4542" s="118"/>
      <c r="G4542" s="81"/>
      <c r="H4542" s="81"/>
      <c r="I4542" s="81"/>
      <c r="J4542" s="81"/>
      <c r="K4542" s="81"/>
      <c r="L4542" s="81"/>
      <c r="M4542" s="81"/>
      <c r="N4542" s="81"/>
    </row>
    <row r="4543" spans="1:14" ht="14.25" customHeight="1" x14ac:dyDescent="0.25">
      <c r="A4543" s="95" t="s">
        <v>583</v>
      </c>
      <c r="B4543" s="96"/>
      <c r="C4543" s="92"/>
      <c r="D4543" s="92"/>
      <c r="E4543" s="92" t="s">
        <v>584</v>
      </c>
      <c r="F4543" s="92"/>
      <c r="G4543" s="81"/>
      <c r="H4543" s="81"/>
      <c r="I4543" s="81"/>
      <c r="J4543" s="81"/>
      <c r="K4543" s="81"/>
      <c r="L4543" s="81"/>
      <c r="M4543" s="81"/>
      <c r="N4543" s="81"/>
    </row>
    <row r="4544" spans="1:14" ht="14.25" customHeight="1" x14ac:dyDescent="0.25">
      <c r="A4544" s="97" t="s">
        <v>563</v>
      </c>
      <c r="B4544" s="98" t="s">
        <v>564</v>
      </c>
      <c r="C4544" s="98" t="s">
        <v>585</v>
      </c>
      <c r="D4544" s="98" t="s">
        <v>586</v>
      </c>
      <c r="E4544" s="120" t="s">
        <v>587</v>
      </c>
      <c r="F4544" s="98" t="s">
        <v>568</v>
      </c>
      <c r="G4544" s="81"/>
      <c r="H4544" s="81"/>
      <c r="I4544" s="81"/>
      <c r="J4544" s="81"/>
      <c r="K4544" s="81"/>
      <c r="L4544" s="81"/>
      <c r="M4544" s="81"/>
      <c r="N4544" s="81"/>
    </row>
    <row r="4545" spans="1:14" ht="14.25" customHeight="1" x14ac:dyDescent="0.25">
      <c r="A4545" s="103"/>
      <c r="B4545" s="100"/>
      <c r="C4545" s="101"/>
      <c r="D4545" s="130"/>
      <c r="E4545" s="107"/>
      <c r="F4545" s="109"/>
      <c r="G4545" s="81"/>
      <c r="H4545" s="81"/>
      <c r="I4545" s="81"/>
      <c r="J4545" s="81"/>
      <c r="K4545" s="81"/>
      <c r="L4545" s="81"/>
      <c r="M4545" s="81"/>
      <c r="N4545" s="81"/>
    </row>
    <row r="4546" spans="1:14" ht="14.25" customHeight="1" x14ac:dyDescent="0.25">
      <c r="A4546" s="103"/>
      <c r="B4546" s="100"/>
      <c r="C4546" s="107"/>
      <c r="D4546" s="107"/>
      <c r="E4546" s="108"/>
      <c r="F4546" s="109"/>
      <c r="G4546" s="81"/>
      <c r="H4546" s="81"/>
      <c r="I4546" s="81"/>
      <c r="J4546" s="81"/>
      <c r="K4546" s="81"/>
      <c r="L4546" s="81"/>
      <c r="M4546" s="81"/>
      <c r="N4546" s="81"/>
    </row>
    <row r="4547" spans="1:14" ht="14.25" customHeight="1" x14ac:dyDescent="0.25">
      <c r="A4547" s="97" t="s">
        <v>548</v>
      </c>
      <c r="B4547" s="98"/>
      <c r="C4547" s="110"/>
      <c r="D4547" s="110"/>
      <c r="E4547" s="111"/>
      <c r="F4547" s="112">
        <f>SUM(F4545:F4546)</f>
        <v>0</v>
      </c>
      <c r="G4547" s="81"/>
      <c r="H4547" s="81"/>
      <c r="I4547" s="81"/>
      <c r="J4547" s="81"/>
      <c r="K4547" s="81"/>
      <c r="L4547" s="81"/>
      <c r="M4547" s="81"/>
      <c r="N4547" s="81"/>
    </row>
    <row r="4548" spans="1:14" ht="14.25" customHeight="1" x14ac:dyDescent="0.25">
      <c r="A4548" s="88"/>
      <c r="B4548" s="89"/>
      <c r="C4548" s="113"/>
      <c r="D4548" s="113"/>
      <c r="E4548" s="114"/>
      <c r="F4548" s="113"/>
      <c r="G4548" s="81"/>
      <c r="H4548" s="81"/>
      <c r="I4548" s="81"/>
      <c r="J4548" s="81"/>
      <c r="K4548" s="81"/>
      <c r="L4548" s="81"/>
      <c r="M4548" s="81"/>
      <c r="N4548" s="81"/>
    </row>
    <row r="4549" spans="1:14" ht="14.25" customHeight="1" x14ac:dyDescent="0.25">
      <c r="A4549" s="88"/>
      <c r="B4549" s="89"/>
      <c r="C4549" s="113"/>
      <c r="D4549" s="113"/>
      <c r="E4549" s="114"/>
      <c r="F4549" s="113"/>
      <c r="G4549" s="81"/>
      <c r="H4549" s="81"/>
      <c r="I4549" s="81"/>
      <c r="J4549" s="81"/>
      <c r="K4549" s="81"/>
      <c r="L4549" s="81"/>
      <c r="M4549" s="81"/>
      <c r="N4549" s="81"/>
    </row>
    <row r="4550" spans="1:14" ht="14.25" customHeight="1" x14ac:dyDescent="0.25">
      <c r="A4550" s="612" t="s">
        <v>588</v>
      </c>
      <c r="B4550" s="608"/>
      <c r="C4550" s="608"/>
      <c r="D4550" s="608"/>
      <c r="E4550" s="609"/>
      <c r="F4550" s="131">
        <f>ROUND(F4526+F4533+F4541+F4547,0)</f>
        <v>66783</v>
      </c>
      <c r="G4550" s="81"/>
      <c r="H4550" s="117"/>
      <c r="I4550" s="81"/>
      <c r="J4550" s="81"/>
      <c r="K4550" s="81"/>
      <c r="L4550" s="81"/>
      <c r="M4550" s="81"/>
      <c r="N4550" s="81"/>
    </row>
    <row r="4551" spans="1:14" ht="14.25" customHeight="1" x14ac:dyDescent="0.25">
      <c r="A4551" s="612" t="s">
        <v>589</v>
      </c>
      <c r="B4551" s="608"/>
      <c r="C4551" s="608"/>
      <c r="D4551" s="608"/>
      <c r="E4551" s="609"/>
      <c r="F4551" s="132"/>
      <c r="G4551" s="81"/>
      <c r="H4551" s="81"/>
      <c r="I4551" s="81"/>
      <c r="J4551" s="81"/>
      <c r="K4551" s="81"/>
      <c r="L4551" s="81"/>
      <c r="M4551" s="81"/>
      <c r="N4551" s="81"/>
    </row>
    <row r="4552" spans="1:14" ht="14.25" customHeight="1" x14ac:dyDescent="0.25">
      <c r="A4552" s="612" t="s">
        <v>556</v>
      </c>
      <c r="B4552" s="608"/>
      <c r="C4552" s="608"/>
      <c r="D4552" s="608"/>
      <c r="E4552" s="609"/>
      <c r="F4552" s="133"/>
      <c r="G4552" s="81"/>
      <c r="H4552" s="81"/>
      <c r="I4552" s="81"/>
      <c r="J4552" s="81"/>
      <c r="K4552" s="81"/>
      <c r="L4552" s="81"/>
      <c r="M4552" s="81"/>
      <c r="N4552" s="81"/>
    </row>
    <row r="4553" spans="1:14" ht="14.25" customHeight="1" x14ac:dyDescent="0.25">
      <c r="A4553" s="134"/>
      <c r="B4553" s="135"/>
      <c r="C4553" s="135"/>
      <c r="D4553" s="135"/>
      <c r="E4553" s="135"/>
      <c r="F4553" s="136"/>
      <c r="G4553" s="81"/>
      <c r="H4553" s="81"/>
      <c r="I4553" s="81"/>
      <c r="J4553" s="81"/>
      <c r="K4553" s="81"/>
      <c r="L4553" s="81"/>
      <c r="M4553" s="81"/>
      <c r="N4553" s="81"/>
    </row>
    <row r="4554" spans="1:14" ht="14.25" customHeight="1" x14ac:dyDescent="0.25">
      <c r="A4554" s="134"/>
      <c r="B4554" s="135"/>
      <c r="C4554" s="135"/>
      <c r="D4554" s="135"/>
      <c r="E4554" s="135"/>
      <c r="F4554" s="136"/>
      <c r="G4554" s="81"/>
      <c r="H4554" s="81"/>
      <c r="I4554" s="81"/>
      <c r="J4554" s="81"/>
      <c r="K4554" s="81"/>
      <c r="L4554" s="81"/>
      <c r="M4554" s="81"/>
      <c r="N4554" s="81"/>
    </row>
    <row r="4555" spans="1:14" ht="14.25" customHeight="1" x14ac:dyDescent="0.25">
      <c r="A4555" s="134"/>
      <c r="B4555" s="135"/>
      <c r="C4555" s="135"/>
      <c r="D4555" s="135"/>
      <c r="E4555" s="135"/>
      <c r="F4555" s="136"/>
      <c r="G4555" s="81"/>
      <c r="H4555" s="81"/>
      <c r="I4555" s="81"/>
      <c r="J4555" s="81"/>
      <c r="K4555" s="81"/>
      <c r="L4555" s="81"/>
      <c r="M4555" s="81"/>
      <c r="N4555" s="81"/>
    </row>
    <row r="4556" spans="1:14" ht="14.25" customHeight="1" x14ac:dyDescent="0.25">
      <c r="A4556" s="134"/>
      <c r="B4556" s="135"/>
      <c r="C4556" s="135"/>
      <c r="D4556" s="135"/>
      <c r="E4556" s="135"/>
      <c r="F4556" s="136"/>
      <c r="G4556" s="81"/>
      <c r="H4556" s="81"/>
      <c r="I4556" s="81"/>
      <c r="J4556" s="81"/>
      <c r="K4556" s="81"/>
      <c r="L4556" s="81"/>
      <c r="M4556" s="81"/>
      <c r="N4556" s="81"/>
    </row>
    <row r="4557" spans="1:14" ht="14.25" customHeight="1" x14ac:dyDescent="0.25">
      <c r="A4557" s="134"/>
      <c r="B4557" s="135"/>
      <c r="C4557" s="135"/>
      <c r="D4557" s="135"/>
      <c r="E4557" s="135"/>
      <c r="F4557" s="136"/>
      <c r="G4557" s="81"/>
      <c r="H4557" s="81"/>
      <c r="I4557" s="81"/>
      <c r="J4557" s="81"/>
      <c r="K4557" s="81"/>
      <c r="L4557" s="81"/>
      <c r="M4557" s="81"/>
      <c r="N4557" s="81"/>
    </row>
    <row r="4558" spans="1:14" ht="14.25" customHeight="1" x14ac:dyDescent="0.25">
      <c r="A4558" s="134"/>
      <c r="B4558" s="135"/>
      <c r="C4558" s="135"/>
      <c r="D4558" s="135"/>
      <c r="E4558" s="135"/>
      <c r="F4558" s="136"/>
      <c r="G4558" s="81"/>
      <c r="H4558" s="81"/>
      <c r="I4558" s="81"/>
      <c r="J4558" s="81"/>
      <c r="K4558" s="81"/>
      <c r="L4558" s="81"/>
      <c r="M4558" s="81"/>
      <c r="N4558" s="81"/>
    </row>
    <row r="4559" spans="1:14" ht="14.25" customHeight="1" x14ac:dyDescent="0.25">
      <c r="A4559" s="134"/>
      <c r="B4559" s="135"/>
      <c r="C4559" s="135"/>
      <c r="D4559" s="135"/>
      <c r="E4559" s="135"/>
      <c r="F4559" s="136"/>
      <c r="G4559" s="81"/>
      <c r="H4559" s="81"/>
      <c r="I4559" s="81"/>
      <c r="J4559" s="81"/>
      <c r="K4559" s="81"/>
      <c r="L4559" s="81"/>
      <c r="M4559" s="81"/>
      <c r="N4559" s="81"/>
    </row>
    <row r="4560" spans="1:14" ht="14.25" customHeight="1" x14ac:dyDescent="0.25">
      <c r="A4560" s="81"/>
      <c r="B4560" s="81"/>
      <c r="C4560" s="137"/>
      <c r="D4560" s="81"/>
      <c r="E4560" s="81"/>
      <c r="F4560" s="81"/>
      <c r="G4560" s="81"/>
      <c r="H4560" s="81"/>
      <c r="I4560" s="81"/>
      <c r="J4560" s="81"/>
      <c r="K4560" s="81"/>
      <c r="L4560" s="81"/>
      <c r="M4560" s="81"/>
      <c r="N4560" s="81"/>
    </row>
    <row r="4561" spans="1:14" ht="14.25" customHeight="1" x14ac:dyDescent="0.25">
      <c r="A4561" s="81"/>
      <c r="B4561" s="81"/>
      <c r="C4561" s="137"/>
      <c r="D4561" s="81"/>
      <c r="E4561" s="81"/>
      <c r="F4561" s="81"/>
      <c r="G4561" s="81"/>
      <c r="H4561" s="81"/>
      <c r="I4561" s="81"/>
      <c r="J4561" s="81"/>
      <c r="K4561" s="81"/>
      <c r="L4561" s="81"/>
      <c r="M4561" s="81"/>
      <c r="N4561" s="81"/>
    </row>
    <row r="4562" spans="1:14" ht="14.25" customHeight="1" x14ac:dyDescent="0.25">
      <c r="A4562" s="81"/>
      <c r="B4562" s="81"/>
      <c r="C4562" s="137"/>
      <c r="D4562" s="81"/>
      <c r="E4562" s="81"/>
      <c r="F4562" s="81"/>
      <c r="G4562" s="81"/>
      <c r="H4562" s="81"/>
      <c r="I4562" s="81"/>
      <c r="J4562" s="81"/>
      <c r="K4562" s="81"/>
      <c r="L4562" s="81"/>
      <c r="M4562" s="81"/>
      <c r="N4562" s="81"/>
    </row>
    <row r="4563" spans="1:14" ht="14.25" customHeight="1" x14ac:dyDescent="0.25">
      <c r="A4563" s="81"/>
      <c r="B4563" s="81"/>
      <c r="C4563" s="137"/>
      <c r="D4563" s="81"/>
      <c r="E4563" s="81"/>
      <c r="F4563" s="81"/>
      <c r="G4563" s="81"/>
      <c r="H4563" s="81"/>
      <c r="I4563" s="81"/>
      <c r="J4563" s="81"/>
      <c r="K4563" s="81"/>
      <c r="L4563" s="81"/>
      <c r="M4563" s="81"/>
      <c r="N4563" s="81"/>
    </row>
    <row r="4564" spans="1:14" ht="14.25" customHeight="1" thickBot="1" x14ac:dyDescent="0.3">
      <c r="A4564" s="81"/>
      <c r="B4564" s="81"/>
      <c r="C4564" s="81"/>
      <c r="D4564" s="81"/>
      <c r="E4564" s="81"/>
      <c r="F4564" s="81"/>
      <c r="G4564" s="81"/>
      <c r="H4564" s="81"/>
      <c r="I4564" s="81"/>
      <c r="J4564" s="81"/>
      <c r="K4564" s="81"/>
      <c r="L4564" s="81"/>
      <c r="M4564" s="81"/>
      <c r="N4564" s="81"/>
    </row>
    <row r="4565" spans="1:14" ht="14.25" customHeight="1" x14ac:dyDescent="0.25">
      <c r="A4565" s="83"/>
      <c r="B4565" s="84"/>
      <c r="C4565" s="85"/>
      <c r="D4565" s="86"/>
      <c r="E4565" s="86"/>
      <c r="F4565" s="87"/>
      <c r="G4565" s="81"/>
      <c r="H4565" s="81"/>
      <c r="I4565" s="81"/>
      <c r="J4565" s="81"/>
      <c r="K4565" s="81"/>
      <c r="L4565" s="81"/>
      <c r="M4565" s="81"/>
      <c r="N4565" s="81"/>
    </row>
    <row r="4566" spans="1:14" ht="14.25" customHeight="1" x14ac:dyDescent="0.25">
      <c r="A4566" s="599"/>
      <c r="B4566" s="600"/>
      <c r="C4566" s="600"/>
      <c r="D4566" s="600"/>
      <c r="E4566" s="600"/>
      <c r="F4566" s="601"/>
      <c r="G4566" s="81"/>
      <c r="H4566" s="81"/>
      <c r="I4566" s="81"/>
      <c r="J4566" s="81"/>
      <c r="K4566" s="81"/>
      <c r="L4566" s="81"/>
      <c r="M4566" s="81"/>
      <c r="N4566" s="81"/>
    </row>
    <row r="4567" spans="1:14" ht="14.25" customHeight="1" x14ac:dyDescent="0.25">
      <c r="A4567" s="602" t="s">
        <v>561</v>
      </c>
      <c r="B4567" s="600"/>
      <c r="C4567" s="600"/>
      <c r="D4567" s="600"/>
      <c r="E4567" s="600"/>
      <c r="F4567" s="601"/>
      <c r="G4567" s="81"/>
      <c r="H4567" s="81"/>
      <c r="I4567" s="81"/>
      <c r="J4567" s="81"/>
      <c r="K4567" s="81"/>
      <c r="L4567" s="81"/>
      <c r="M4567" s="81"/>
      <c r="N4567" s="81"/>
    </row>
    <row r="4568" spans="1:14" ht="14.25" customHeight="1" thickBot="1" x14ac:dyDescent="0.3">
      <c r="A4568" s="603"/>
      <c r="B4568" s="604"/>
      <c r="C4568" s="604"/>
      <c r="D4568" s="604"/>
      <c r="E4568" s="604"/>
      <c r="F4568" s="605"/>
      <c r="G4568" s="81"/>
      <c r="H4568" s="81"/>
      <c r="I4568" s="81"/>
      <c r="J4568" s="81"/>
      <c r="K4568" s="81"/>
      <c r="L4568" s="81"/>
      <c r="M4568" s="81"/>
      <c r="N4568" s="81"/>
    </row>
    <row r="4569" spans="1:14" ht="14.25" customHeight="1" x14ac:dyDescent="0.25">
      <c r="A4569" s="88"/>
      <c r="B4569" s="88"/>
      <c r="C4569" s="89"/>
      <c r="D4569" s="89"/>
      <c r="E4569" s="89"/>
      <c r="F4569" s="89"/>
      <c r="G4569" s="81"/>
      <c r="H4569" s="81"/>
      <c r="I4569" s="81"/>
      <c r="J4569" s="81"/>
      <c r="K4569" s="81"/>
      <c r="L4569" s="81"/>
      <c r="M4569" s="81"/>
      <c r="N4569" s="81"/>
    </row>
    <row r="4570" spans="1:14" ht="14.25" customHeight="1" x14ac:dyDescent="0.25">
      <c r="A4570" s="90" t="s">
        <v>47</v>
      </c>
      <c r="B4570" s="613" t="s">
        <v>215</v>
      </c>
      <c r="C4570" s="600"/>
      <c r="D4570" s="600"/>
      <c r="E4570" s="600"/>
      <c r="F4570" s="600"/>
      <c r="G4570" s="81"/>
      <c r="H4570" s="81"/>
      <c r="I4570" s="81"/>
      <c r="J4570" s="81"/>
      <c r="K4570" s="81"/>
      <c r="L4570" s="81"/>
      <c r="M4570" s="81"/>
      <c r="N4570" s="81"/>
    </row>
    <row r="4571" spans="1:14" ht="14.25" customHeight="1" x14ac:dyDescent="0.25">
      <c r="A4571" s="91"/>
      <c r="B4571" s="91"/>
      <c r="C4571" s="91"/>
      <c r="D4571" s="91"/>
      <c r="E4571" s="91"/>
      <c r="F4571" s="91"/>
      <c r="G4571" s="81"/>
      <c r="H4571" s="81"/>
      <c r="I4571" s="81"/>
      <c r="J4571" s="81"/>
      <c r="K4571" s="81"/>
      <c r="L4571" s="81"/>
      <c r="M4571" s="81"/>
      <c r="N4571" s="81"/>
    </row>
    <row r="4572" spans="1:14" ht="14.25" customHeight="1" x14ac:dyDescent="0.25">
      <c r="A4572" s="88" t="s">
        <v>49</v>
      </c>
      <c r="B4572" s="92" t="s">
        <v>59</v>
      </c>
      <c r="C4572" s="89"/>
      <c r="D4572" s="89"/>
      <c r="E4572" s="89"/>
      <c r="F4572" s="93"/>
      <c r="G4572" s="81"/>
      <c r="H4572" s="81"/>
      <c r="I4572" s="81"/>
      <c r="J4572" s="81"/>
      <c r="K4572" s="81"/>
      <c r="L4572" s="81"/>
      <c r="M4572" s="81"/>
      <c r="N4572" s="81"/>
    </row>
    <row r="4573" spans="1:14" ht="14.25" customHeight="1" x14ac:dyDescent="0.25">
      <c r="A4573" s="88"/>
      <c r="B4573" s="94"/>
      <c r="C4573" s="89"/>
      <c r="D4573" s="89"/>
      <c r="E4573" s="89"/>
      <c r="F4573" s="93"/>
      <c r="G4573" s="81"/>
      <c r="H4573" s="81"/>
      <c r="I4573" s="81"/>
      <c r="J4573" s="81"/>
      <c r="K4573" s="81"/>
      <c r="L4573" s="81"/>
      <c r="M4573" s="81"/>
      <c r="N4573" s="81"/>
    </row>
    <row r="4574" spans="1:14" ht="14.25" customHeight="1" x14ac:dyDescent="0.25">
      <c r="A4574" s="95" t="s">
        <v>562</v>
      </c>
      <c r="B4574" s="96"/>
      <c r="C4574" s="92"/>
      <c r="D4574" s="92"/>
      <c r="E4574" s="92"/>
      <c r="F4574" s="92"/>
      <c r="G4574" s="81"/>
      <c r="H4574" s="81"/>
      <c r="I4574" s="81"/>
      <c r="J4574" s="81"/>
      <c r="K4574" s="81"/>
      <c r="L4574" s="81"/>
      <c r="M4574" s="81"/>
      <c r="N4574" s="81"/>
    </row>
    <row r="4575" spans="1:14" ht="14.25" customHeight="1" x14ac:dyDescent="0.25">
      <c r="A4575" s="97" t="s">
        <v>563</v>
      </c>
      <c r="B4575" s="98" t="s">
        <v>564</v>
      </c>
      <c r="C4575" s="98" t="s">
        <v>565</v>
      </c>
      <c r="D4575" s="98" t="s">
        <v>566</v>
      </c>
      <c r="E4575" s="98" t="s">
        <v>567</v>
      </c>
      <c r="F4575" s="98" t="s">
        <v>568</v>
      </c>
      <c r="G4575" s="81"/>
      <c r="H4575" s="81"/>
      <c r="I4575" s="81"/>
      <c r="J4575" s="81"/>
      <c r="K4575" s="81"/>
      <c r="L4575" s="81"/>
      <c r="M4575" s="81"/>
      <c r="N4575" s="81"/>
    </row>
    <row r="4576" spans="1:14" ht="14.25" customHeight="1" x14ac:dyDescent="0.25">
      <c r="A4576" s="99" t="s">
        <v>611</v>
      </c>
      <c r="B4576" s="100" t="s">
        <v>612</v>
      </c>
      <c r="C4576" s="101">
        <v>12</v>
      </c>
      <c r="D4576" s="104">
        <v>30</v>
      </c>
      <c r="E4576" s="102">
        <v>0.05</v>
      </c>
      <c r="F4576" s="101">
        <f t="shared" ref="F4576:F4579" si="250">C4576*(D4576+(D4576*E4576))</f>
        <v>378</v>
      </c>
      <c r="G4576" s="81"/>
      <c r="H4576" s="81"/>
      <c r="I4576" s="81"/>
      <c r="J4576" s="81"/>
      <c r="K4576" s="81"/>
      <c r="L4576" s="81"/>
      <c r="M4576" s="81"/>
      <c r="N4576" s="81"/>
    </row>
    <row r="4577" spans="1:14" ht="14.25" customHeight="1" x14ac:dyDescent="0.25">
      <c r="A4577" s="99"/>
      <c r="B4577" s="100"/>
      <c r="C4577" s="101"/>
      <c r="D4577" s="149"/>
      <c r="E4577" s="102"/>
      <c r="F4577" s="101">
        <f t="shared" si="250"/>
        <v>0</v>
      </c>
      <c r="G4577" s="81"/>
      <c r="H4577" s="81"/>
      <c r="I4577" s="81"/>
      <c r="J4577" s="81"/>
      <c r="K4577" s="81"/>
      <c r="L4577" s="81"/>
      <c r="M4577" s="81"/>
      <c r="N4577" s="81"/>
    </row>
    <row r="4578" spans="1:14" ht="14.25" customHeight="1" x14ac:dyDescent="0.25">
      <c r="A4578" s="103"/>
      <c r="B4578" s="100"/>
      <c r="C4578" s="101"/>
      <c r="D4578" s="149"/>
      <c r="E4578" s="102"/>
      <c r="F4578" s="101">
        <f t="shared" si="250"/>
        <v>0</v>
      </c>
      <c r="G4578" s="81"/>
      <c r="H4578" s="81"/>
      <c r="I4578" s="81"/>
      <c r="J4578" s="81"/>
      <c r="K4578" s="81"/>
      <c r="L4578" s="81"/>
      <c r="M4578" s="81"/>
      <c r="N4578" s="81"/>
    </row>
    <row r="4579" spans="1:14" ht="14.25" customHeight="1" x14ac:dyDescent="0.25">
      <c r="A4579" s="99"/>
      <c r="B4579" s="100"/>
      <c r="C4579" s="101"/>
      <c r="D4579" s="105"/>
      <c r="E4579" s="102"/>
      <c r="F4579" s="101">
        <f t="shared" si="250"/>
        <v>0</v>
      </c>
      <c r="G4579" s="81"/>
      <c r="H4579" s="81"/>
      <c r="I4579" s="81"/>
      <c r="J4579" s="81"/>
      <c r="K4579" s="81"/>
      <c r="L4579" s="81"/>
      <c r="M4579" s="81"/>
      <c r="N4579" s="81"/>
    </row>
    <row r="4580" spans="1:14" ht="14.25" customHeight="1" x14ac:dyDescent="0.25">
      <c r="A4580" s="99"/>
      <c r="B4580" s="100"/>
      <c r="C4580" s="106"/>
      <c r="D4580" s="107"/>
      <c r="E4580" s="108"/>
      <c r="F4580" s="106"/>
      <c r="G4580" s="81"/>
      <c r="H4580" s="81"/>
      <c r="I4580" s="81"/>
      <c r="J4580" s="81"/>
      <c r="K4580" s="81"/>
      <c r="L4580" s="81"/>
      <c r="M4580" s="81"/>
      <c r="N4580" s="81"/>
    </row>
    <row r="4581" spans="1:14" ht="14.25" customHeight="1" x14ac:dyDescent="0.25">
      <c r="A4581" s="97" t="s">
        <v>548</v>
      </c>
      <c r="B4581" s="97"/>
      <c r="C4581" s="109"/>
      <c r="D4581" s="110"/>
      <c r="E4581" s="111"/>
      <c r="F4581" s="112">
        <f>SUM(F4576:F4580)</f>
        <v>378</v>
      </c>
      <c r="G4581" s="81"/>
      <c r="H4581" s="81"/>
      <c r="I4581" s="81"/>
      <c r="J4581" s="81"/>
      <c r="K4581" s="81"/>
      <c r="L4581" s="81"/>
      <c r="M4581" s="81"/>
      <c r="N4581" s="81"/>
    </row>
    <row r="4582" spans="1:14" ht="14.25" customHeight="1" x14ac:dyDescent="0.25">
      <c r="A4582" s="88"/>
      <c r="B4582" s="88"/>
      <c r="C4582" s="113"/>
      <c r="D4582" s="113"/>
      <c r="E4582" s="114"/>
      <c r="F4582" s="113"/>
      <c r="G4582" s="81"/>
      <c r="H4582" s="81"/>
      <c r="I4582" s="81"/>
      <c r="J4582" s="81"/>
      <c r="K4582" s="81"/>
      <c r="L4582" s="81"/>
      <c r="M4582" s="81"/>
      <c r="N4582" s="81"/>
    </row>
    <row r="4583" spans="1:14" ht="14.25" customHeight="1" x14ac:dyDescent="0.25">
      <c r="A4583" s="96" t="s">
        <v>573</v>
      </c>
      <c r="B4583" s="96"/>
      <c r="C4583" s="92"/>
      <c r="D4583" s="92"/>
      <c r="E4583" s="92"/>
      <c r="F4583" s="92"/>
      <c r="G4583" s="81"/>
      <c r="H4583" s="81"/>
      <c r="I4583" s="81"/>
      <c r="J4583" s="81"/>
      <c r="K4583" s="81"/>
      <c r="L4583" s="81"/>
      <c r="M4583" s="81"/>
      <c r="N4583" s="81"/>
    </row>
    <row r="4584" spans="1:14" ht="14.25" customHeight="1" x14ac:dyDescent="0.25">
      <c r="A4584" s="611" t="s">
        <v>563</v>
      </c>
      <c r="B4584" s="608"/>
      <c r="C4584" s="609"/>
      <c r="D4584" s="98" t="s">
        <v>574</v>
      </c>
      <c r="E4584" s="98" t="s">
        <v>575</v>
      </c>
      <c r="F4584" s="98" t="s">
        <v>568</v>
      </c>
      <c r="G4584" s="81"/>
      <c r="H4584" s="81"/>
      <c r="I4584" s="81"/>
      <c r="J4584" s="81"/>
      <c r="K4584" s="81"/>
      <c r="L4584" s="81"/>
      <c r="M4584" s="81"/>
      <c r="N4584" s="81"/>
    </row>
    <row r="4585" spans="1:14" ht="14.25" customHeight="1" x14ac:dyDescent="0.25">
      <c r="A4585" s="607" t="s">
        <v>577</v>
      </c>
      <c r="B4585" s="608"/>
      <c r="C4585" s="609"/>
      <c r="D4585" s="116"/>
      <c r="E4585" s="107"/>
      <c r="F4585" s="106">
        <f>1200-1133</f>
        <v>67</v>
      </c>
      <c r="G4585" s="81"/>
      <c r="H4585" s="81"/>
      <c r="I4585" s="81"/>
      <c r="J4585" s="81"/>
      <c r="K4585" s="81"/>
      <c r="L4585" s="81"/>
      <c r="M4585" s="81"/>
      <c r="N4585" s="81"/>
    </row>
    <row r="4586" spans="1:14" ht="14.25" customHeight="1" x14ac:dyDescent="0.25">
      <c r="A4586" s="607" t="s">
        <v>744</v>
      </c>
      <c r="B4586" s="608"/>
      <c r="C4586" s="609"/>
      <c r="D4586" s="116">
        <v>8750</v>
      </c>
      <c r="E4586" s="107">
        <v>50</v>
      </c>
      <c r="F4586" s="106">
        <f>D4586/E4586</f>
        <v>175</v>
      </c>
      <c r="G4586" s="81"/>
      <c r="H4586" s="81"/>
      <c r="I4586" s="81"/>
      <c r="J4586" s="81"/>
      <c r="K4586" s="81"/>
      <c r="L4586" s="81"/>
      <c r="M4586" s="81"/>
      <c r="N4586" s="81"/>
    </row>
    <row r="4587" spans="1:14" ht="14.25" customHeight="1" x14ac:dyDescent="0.25">
      <c r="A4587" s="610"/>
      <c r="B4587" s="608"/>
      <c r="C4587" s="609"/>
      <c r="D4587" s="115"/>
      <c r="E4587" s="107"/>
      <c r="F4587" s="106"/>
      <c r="G4587" s="81"/>
      <c r="H4587" s="81"/>
      <c r="I4587" s="81"/>
      <c r="J4587" s="81"/>
      <c r="K4587" s="81"/>
      <c r="L4587" s="81"/>
      <c r="M4587" s="81"/>
      <c r="N4587" s="81"/>
    </row>
    <row r="4588" spans="1:14" ht="14.25" customHeight="1" x14ac:dyDescent="0.25">
      <c r="A4588" s="611" t="s">
        <v>548</v>
      </c>
      <c r="B4588" s="608"/>
      <c r="C4588" s="609"/>
      <c r="D4588" s="110"/>
      <c r="E4588" s="110"/>
      <c r="F4588" s="112">
        <f>SUM(F4585:F4586)</f>
        <v>242</v>
      </c>
      <c r="G4588" s="81"/>
      <c r="H4588" s="81"/>
      <c r="I4588" s="81"/>
      <c r="J4588" s="81"/>
      <c r="K4588" s="81"/>
      <c r="L4588" s="81"/>
      <c r="M4588" s="81"/>
      <c r="N4588" s="81"/>
    </row>
    <row r="4589" spans="1:14" ht="14.25" customHeight="1" x14ac:dyDescent="0.25">
      <c r="A4589" s="88"/>
      <c r="B4589" s="88"/>
      <c r="C4589" s="89"/>
      <c r="D4589" s="113"/>
      <c r="E4589" s="113"/>
      <c r="F4589" s="113"/>
      <c r="G4589" s="81"/>
      <c r="H4589" s="81"/>
      <c r="I4589" s="81"/>
      <c r="J4589" s="81"/>
      <c r="K4589" s="81"/>
      <c r="L4589" s="81"/>
      <c r="M4589" s="81"/>
      <c r="N4589" s="81"/>
    </row>
    <row r="4590" spans="1:14" ht="14.25" customHeight="1" x14ac:dyDescent="0.25">
      <c r="A4590" s="96" t="s">
        <v>578</v>
      </c>
      <c r="B4590" s="96"/>
      <c r="C4590" s="92"/>
      <c r="D4590" s="118"/>
      <c r="E4590" s="118"/>
      <c r="F4590" s="118"/>
      <c r="G4590" s="81"/>
      <c r="H4590" s="81"/>
      <c r="I4590" s="81"/>
      <c r="J4590" s="81"/>
      <c r="K4590" s="81"/>
      <c r="L4590" s="81"/>
      <c r="M4590" s="81"/>
      <c r="N4590" s="81"/>
    </row>
    <row r="4591" spans="1:14" ht="14.25" customHeight="1" x14ac:dyDescent="0.25">
      <c r="A4591" s="119" t="s">
        <v>563</v>
      </c>
      <c r="B4591" s="120" t="s">
        <v>579</v>
      </c>
      <c r="C4591" s="120" t="s">
        <v>580</v>
      </c>
      <c r="D4591" s="121" t="s">
        <v>581</v>
      </c>
      <c r="E4591" s="121" t="s">
        <v>575</v>
      </c>
      <c r="F4591" s="121" t="s">
        <v>568</v>
      </c>
      <c r="G4591" s="81"/>
      <c r="H4591" s="81"/>
      <c r="I4591" s="81"/>
      <c r="J4591" s="81"/>
      <c r="K4591" s="81"/>
      <c r="L4591" s="81"/>
      <c r="M4591" s="81"/>
      <c r="N4591" s="81"/>
    </row>
    <row r="4592" spans="1:14" ht="14.25" customHeight="1" x14ac:dyDescent="0.25">
      <c r="A4592" s="122" t="s">
        <v>593</v>
      </c>
      <c r="B4592" s="127">
        <v>1</v>
      </c>
      <c r="C4592" s="101">
        <v>32688</v>
      </c>
      <c r="D4592" s="101">
        <f t="shared" ref="D4592:D4593" si="251">+C4592*1.7</f>
        <v>55569.599999999999</v>
      </c>
      <c r="E4592" s="107">
        <v>250</v>
      </c>
      <c r="F4592" s="106">
        <f t="shared" ref="F4592:F4593" si="252">+B4592*(D4592)/E4592</f>
        <v>222.2784</v>
      </c>
      <c r="G4592" s="81"/>
      <c r="H4592" s="81"/>
      <c r="I4592" s="81"/>
      <c r="J4592" s="81"/>
      <c r="K4592" s="81"/>
      <c r="L4592" s="81"/>
      <c r="M4592" s="81"/>
      <c r="N4592" s="81"/>
    </row>
    <row r="4593" spans="1:14" ht="14.25" customHeight="1" x14ac:dyDescent="0.25">
      <c r="A4593" s="122" t="s">
        <v>594</v>
      </c>
      <c r="B4593" s="127">
        <v>1</v>
      </c>
      <c r="C4593" s="101">
        <v>52538</v>
      </c>
      <c r="D4593" s="101">
        <f t="shared" si="251"/>
        <v>89314.599999999991</v>
      </c>
      <c r="E4593" s="107">
        <f>E4592</f>
        <v>250</v>
      </c>
      <c r="F4593" s="106">
        <f t="shared" si="252"/>
        <v>357.25839999999994</v>
      </c>
      <c r="G4593" s="81"/>
      <c r="H4593" s="81"/>
      <c r="I4593" s="81"/>
      <c r="J4593" s="81"/>
      <c r="K4593" s="81"/>
      <c r="L4593" s="81"/>
      <c r="M4593" s="81"/>
      <c r="N4593" s="81"/>
    </row>
    <row r="4594" spans="1:14" ht="14.25" customHeight="1" x14ac:dyDescent="0.25">
      <c r="A4594" s="122"/>
      <c r="B4594" s="127"/>
      <c r="C4594" s="101"/>
      <c r="D4594" s="101"/>
      <c r="E4594" s="107"/>
      <c r="F4594" s="106"/>
      <c r="G4594" s="81"/>
      <c r="H4594" s="81"/>
      <c r="I4594" s="81"/>
      <c r="J4594" s="81"/>
      <c r="K4594" s="81"/>
      <c r="L4594" s="81"/>
      <c r="M4594" s="81"/>
      <c r="N4594" s="81"/>
    </row>
    <row r="4595" spans="1:14" ht="14.25" customHeight="1" x14ac:dyDescent="0.25">
      <c r="A4595" s="122"/>
      <c r="B4595" s="127"/>
      <c r="C4595" s="101"/>
      <c r="D4595" s="101"/>
      <c r="E4595" s="125"/>
      <c r="F4595" s="106"/>
      <c r="G4595" s="81"/>
      <c r="H4595" s="81"/>
      <c r="I4595" s="81"/>
      <c r="J4595" s="81"/>
      <c r="K4595" s="81"/>
      <c r="L4595" s="81"/>
      <c r="M4595" s="81"/>
      <c r="N4595" s="81"/>
    </row>
    <row r="4596" spans="1:14" ht="14.25" customHeight="1" x14ac:dyDescent="0.25">
      <c r="A4596" s="97" t="s">
        <v>548</v>
      </c>
      <c r="B4596" s="128"/>
      <c r="C4596" s="110"/>
      <c r="D4596" s="110"/>
      <c r="E4596" s="110"/>
      <c r="F4596" s="112">
        <f>SUM(F4592:F4595)</f>
        <v>579.53679999999997</v>
      </c>
      <c r="G4596" s="81"/>
      <c r="H4596" s="81"/>
      <c r="I4596" s="81"/>
      <c r="J4596" s="81"/>
      <c r="K4596" s="81"/>
      <c r="L4596" s="81"/>
      <c r="M4596" s="81"/>
      <c r="N4596" s="81"/>
    </row>
    <row r="4597" spans="1:14" ht="14.25" customHeight="1" x14ac:dyDescent="0.25">
      <c r="A4597" s="96"/>
      <c r="B4597" s="129"/>
      <c r="C4597" s="118"/>
      <c r="D4597" s="118"/>
      <c r="E4597" s="118"/>
      <c r="F4597" s="118"/>
      <c r="G4597" s="81"/>
      <c r="H4597" s="81"/>
      <c r="I4597" s="81"/>
      <c r="J4597" s="81"/>
      <c r="K4597" s="81"/>
      <c r="L4597" s="81"/>
      <c r="M4597" s="81"/>
      <c r="N4597" s="81"/>
    </row>
    <row r="4598" spans="1:14" ht="14.25" customHeight="1" x14ac:dyDescent="0.25">
      <c r="A4598" s="95" t="s">
        <v>583</v>
      </c>
      <c r="B4598" s="96"/>
      <c r="C4598" s="92"/>
      <c r="D4598" s="92"/>
      <c r="E4598" s="92" t="s">
        <v>584</v>
      </c>
      <c r="F4598" s="92"/>
      <c r="G4598" s="81"/>
      <c r="H4598" s="81"/>
      <c r="I4598" s="81"/>
      <c r="J4598" s="81"/>
      <c r="K4598" s="81"/>
      <c r="L4598" s="81"/>
      <c r="M4598" s="81"/>
      <c r="N4598" s="81"/>
    </row>
    <row r="4599" spans="1:14" ht="14.25" customHeight="1" x14ac:dyDescent="0.25">
      <c r="A4599" s="97" t="s">
        <v>563</v>
      </c>
      <c r="B4599" s="98" t="s">
        <v>564</v>
      </c>
      <c r="C4599" s="98" t="s">
        <v>585</v>
      </c>
      <c r="D4599" s="98" t="s">
        <v>586</v>
      </c>
      <c r="E4599" s="120" t="s">
        <v>587</v>
      </c>
      <c r="F4599" s="98" t="s">
        <v>568</v>
      </c>
      <c r="G4599" s="81"/>
      <c r="H4599" s="81"/>
      <c r="I4599" s="81"/>
      <c r="J4599" s="81"/>
      <c r="K4599" s="81"/>
      <c r="L4599" s="81"/>
      <c r="M4599" s="81"/>
      <c r="N4599" s="81"/>
    </row>
    <row r="4600" spans="1:14" ht="14.25" customHeight="1" x14ac:dyDescent="0.25">
      <c r="A4600" s="103"/>
      <c r="B4600" s="100"/>
      <c r="C4600" s="101"/>
      <c r="D4600" s="130"/>
      <c r="E4600" s="107"/>
      <c r="F4600" s="109"/>
      <c r="G4600" s="81"/>
      <c r="H4600" s="81"/>
      <c r="I4600" s="81"/>
      <c r="J4600" s="81"/>
      <c r="K4600" s="81"/>
      <c r="L4600" s="81"/>
      <c r="M4600" s="81"/>
      <c r="N4600" s="81"/>
    </row>
    <row r="4601" spans="1:14" ht="14.25" customHeight="1" x14ac:dyDescent="0.25">
      <c r="A4601" s="103"/>
      <c r="B4601" s="100"/>
      <c r="C4601" s="107"/>
      <c r="D4601" s="107"/>
      <c r="E4601" s="108"/>
      <c r="F4601" s="109"/>
      <c r="G4601" s="81"/>
      <c r="H4601" s="81"/>
      <c r="I4601" s="81"/>
      <c r="J4601" s="81"/>
      <c r="K4601" s="81"/>
      <c r="L4601" s="81"/>
      <c r="M4601" s="81"/>
      <c r="N4601" s="81"/>
    </row>
    <row r="4602" spans="1:14" ht="14.25" customHeight="1" x14ac:dyDescent="0.25">
      <c r="A4602" s="97" t="s">
        <v>548</v>
      </c>
      <c r="B4602" s="98"/>
      <c r="C4602" s="110"/>
      <c r="D4602" s="110"/>
      <c r="E4602" s="111"/>
      <c r="F4602" s="112">
        <f>SUM(F4600:F4601)</f>
        <v>0</v>
      </c>
      <c r="G4602" s="81"/>
      <c r="H4602" s="81"/>
      <c r="I4602" s="81"/>
      <c r="J4602" s="81"/>
      <c r="K4602" s="81"/>
      <c r="L4602" s="81"/>
      <c r="M4602" s="81"/>
      <c r="N4602" s="81"/>
    </row>
    <row r="4603" spans="1:14" ht="14.25" customHeight="1" x14ac:dyDescent="0.25">
      <c r="A4603" s="88"/>
      <c r="B4603" s="89"/>
      <c r="C4603" s="113"/>
      <c r="D4603" s="113"/>
      <c r="E4603" s="114"/>
      <c r="F4603" s="113"/>
      <c r="G4603" s="81"/>
      <c r="H4603" s="81"/>
      <c r="I4603" s="81"/>
      <c r="J4603" s="81"/>
      <c r="K4603" s="81"/>
      <c r="L4603" s="81"/>
      <c r="M4603" s="81"/>
      <c r="N4603" s="81"/>
    </row>
    <row r="4604" spans="1:14" ht="14.25" customHeight="1" x14ac:dyDescent="0.25">
      <c r="A4604" s="88"/>
      <c r="B4604" s="89"/>
      <c r="C4604" s="113"/>
      <c r="D4604" s="113"/>
      <c r="E4604" s="114"/>
      <c r="F4604" s="113"/>
      <c r="G4604" s="81"/>
      <c r="H4604" s="81"/>
      <c r="I4604" s="81"/>
      <c r="J4604" s="81"/>
      <c r="K4604" s="81"/>
      <c r="L4604" s="81"/>
      <c r="M4604" s="81"/>
      <c r="N4604" s="81"/>
    </row>
    <row r="4605" spans="1:14" ht="14.25" customHeight="1" x14ac:dyDescent="0.25">
      <c r="A4605" s="612" t="s">
        <v>588</v>
      </c>
      <c r="B4605" s="608"/>
      <c r="C4605" s="608"/>
      <c r="D4605" s="608"/>
      <c r="E4605" s="609"/>
      <c r="F4605" s="131">
        <f>ROUND(F4581+F4588+F4596+F4602,0)</f>
        <v>1200</v>
      </c>
      <c r="G4605" s="81"/>
      <c r="H4605" s="117"/>
      <c r="I4605" s="81"/>
      <c r="J4605" s="81"/>
      <c r="K4605" s="81"/>
      <c r="L4605" s="81"/>
      <c r="M4605" s="81"/>
      <c r="N4605" s="81"/>
    </row>
    <row r="4606" spans="1:14" ht="14.25" customHeight="1" x14ac:dyDescent="0.25">
      <c r="A4606" s="612" t="s">
        <v>589</v>
      </c>
      <c r="B4606" s="608"/>
      <c r="C4606" s="608"/>
      <c r="D4606" s="608"/>
      <c r="E4606" s="609"/>
      <c r="F4606" s="132"/>
      <c r="G4606" s="81"/>
      <c r="H4606" s="81"/>
      <c r="I4606" s="81"/>
      <c r="J4606" s="81"/>
      <c r="K4606" s="81"/>
      <c r="L4606" s="81"/>
      <c r="M4606" s="81"/>
      <c r="N4606" s="81"/>
    </row>
    <row r="4607" spans="1:14" ht="14.25" customHeight="1" x14ac:dyDescent="0.25">
      <c r="A4607" s="612" t="s">
        <v>556</v>
      </c>
      <c r="B4607" s="608"/>
      <c r="C4607" s="608"/>
      <c r="D4607" s="608"/>
      <c r="E4607" s="609"/>
      <c r="F4607" s="133"/>
      <c r="G4607" s="81"/>
      <c r="H4607" s="81"/>
      <c r="I4607" s="81"/>
      <c r="J4607" s="81"/>
      <c r="K4607" s="81"/>
      <c r="L4607" s="81"/>
      <c r="M4607" s="81"/>
      <c r="N4607" s="81"/>
    </row>
    <row r="4608" spans="1:14" ht="14.25" customHeight="1" x14ac:dyDescent="0.25">
      <c r="A4608" s="134"/>
      <c r="B4608" s="135"/>
      <c r="C4608" s="135"/>
      <c r="D4608" s="135"/>
      <c r="E4608" s="135"/>
      <c r="F4608" s="136"/>
      <c r="G4608" s="81"/>
      <c r="H4608" s="81"/>
      <c r="I4608" s="81"/>
      <c r="J4608" s="81"/>
      <c r="K4608" s="81"/>
      <c r="L4608" s="81"/>
      <c r="M4608" s="81"/>
      <c r="N4608" s="81"/>
    </row>
    <row r="4609" spans="1:14" ht="14.25" customHeight="1" x14ac:dyDescent="0.25">
      <c r="A4609" s="134"/>
      <c r="B4609" s="135"/>
      <c r="C4609" s="135"/>
      <c r="D4609" s="135"/>
      <c r="E4609" s="135"/>
      <c r="F4609" s="136"/>
      <c r="G4609" s="81"/>
      <c r="H4609" s="81"/>
      <c r="I4609" s="81"/>
      <c r="J4609" s="81"/>
      <c r="K4609" s="81"/>
      <c r="L4609" s="81"/>
      <c r="M4609" s="81"/>
      <c r="N4609" s="81"/>
    </row>
    <row r="4610" spans="1:14" ht="14.25" customHeight="1" x14ac:dyDescent="0.25">
      <c r="A4610" s="134"/>
      <c r="B4610" s="135"/>
      <c r="C4610" s="135"/>
      <c r="D4610" s="135"/>
      <c r="E4610" s="135"/>
      <c r="F4610" s="136"/>
      <c r="G4610" s="81"/>
      <c r="H4610" s="81"/>
      <c r="I4610" s="81"/>
      <c r="J4610" s="81"/>
      <c r="K4610" s="81"/>
      <c r="L4610" s="81"/>
      <c r="M4610" s="81"/>
      <c r="N4610" s="81"/>
    </row>
    <row r="4611" spans="1:14" ht="14.25" customHeight="1" x14ac:dyDescent="0.25">
      <c r="A4611" s="134"/>
      <c r="B4611" s="135"/>
      <c r="C4611" s="135"/>
      <c r="D4611" s="135"/>
      <c r="E4611" s="135"/>
      <c r="F4611" s="136"/>
      <c r="G4611" s="81"/>
      <c r="H4611" s="81"/>
      <c r="I4611" s="81"/>
      <c r="J4611" s="81"/>
      <c r="K4611" s="81"/>
      <c r="L4611" s="81"/>
      <c r="M4611" s="81"/>
      <c r="N4611" s="81"/>
    </row>
    <row r="4612" spans="1:14" ht="14.25" customHeight="1" x14ac:dyDescent="0.25">
      <c r="A4612" s="134"/>
      <c r="B4612" s="135"/>
      <c r="C4612" s="135"/>
      <c r="D4612" s="135"/>
      <c r="E4612" s="135"/>
      <c r="F4612" s="136"/>
      <c r="G4612" s="81"/>
      <c r="H4612" s="81"/>
      <c r="I4612" s="81"/>
      <c r="J4612" s="81"/>
      <c r="K4612" s="81"/>
      <c r="L4612" s="81"/>
      <c r="M4612" s="81"/>
      <c r="N4612" s="81"/>
    </row>
    <row r="4613" spans="1:14" ht="14.25" customHeight="1" x14ac:dyDescent="0.25">
      <c r="A4613" s="81"/>
      <c r="B4613" s="81"/>
      <c r="C4613" s="137"/>
      <c r="D4613" s="81"/>
      <c r="E4613" s="81"/>
      <c r="F4613" s="81"/>
      <c r="G4613" s="81"/>
      <c r="H4613" s="81"/>
      <c r="I4613" s="81"/>
      <c r="J4613" s="81"/>
      <c r="K4613" s="81"/>
      <c r="L4613" s="81"/>
      <c r="M4613" s="81"/>
      <c r="N4613" s="81"/>
    </row>
    <row r="4614" spans="1:14" ht="14.25" customHeight="1" x14ac:dyDescent="0.25">
      <c r="A4614" s="81"/>
      <c r="B4614" s="81"/>
      <c r="C4614" s="137"/>
      <c r="D4614" s="81"/>
      <c r="E4614" s="81"/>
      <c r="F4614" s="81"/>
      <c r="G4614" s="81"/>
      <c r="H4614" s="81"/>
      <c r="I4614" s="81"/>
      <c r="J4614" s="81"/>
      <c r="K4614" s="81"/>
      <c r="L4614" s="81"/>
      <c r="M4614" s="81"/>
      <c r="N4614" s="81"/>
    </row>
    <row r="4615" spans="1:14" ht="14.25" customHeight="1" thickBot="1" x14ac:dyDescent="0.3">
      <c r="A4615" s="81"/>
      <c r="B4615" s="81"/>
      <c r="C4615" s="81"/>
      <c r="D4615" s="81"/>
      <c r="E4615" s="81"/>
      <c r="F4615" s="81"/>
      <c r="G4615" s="81"/>
      <c r="H4615" s="81"/>
      <c r="I4615" s="81"/>
      <c r="J4615" s="81"/>
      <c r="K4615" s="81"/>
      <c r="L4615" s="81"/>
      <c r="M4615" s="81"/>
      <c r="N4615" s="81"/>
    </row>
    <row r="4616" spans="1:14" ht="14.25" customHeight="1" x14ac:dyDescent="0.25">
      <c r="A4616" s="83"/>
      <c r="B4616" s="84"/>
      <c r="C4616" s="85"/>
      <c r="D4616" s="86"/>
      <c r="E4616" s="86"/>
      <c r="F4616" s="87"/>
      <c r="G4616" s="81"/>
      <c r="H4616" s="81"/>
      <c r="I4616" s="81"/>
      <c r="J4616" s="81"/>
      <c r="K4616" s="81"/>
      <c r="L4616" s="81"/>
      <c r="M4616" s="81"/>
      <c r="N4616" s="81"/>
    </row>
    <row r="4617" spans="1:14" ht="14.25" customHeight="1" x14ac:dyDescent="0.25">
      <c r="A4617" s="599"/>
      <c r="B4617" s="600"/>
      <c r="C4617" s="600"/>
      <c r="D4617" s="600"/>
      <c r="E4617" s="600"/>
      <c r="F4617" s="601"/>
      <c r="G4617" s="81"/>
      <c r="H4617" s="81"/>
      <c r="I4617" s="81"/>
      <c r="J4617" s="81"/>
      <c r="K4617" s="81"/>
      <c r="L4617" s="81"/>
      <c r="M4617" s="81"/>
      <c r="N4617" s="81"/>
    </row>
    <row r="4618" spans="1:14" ht="14.25" customHeight="1" x14ac:dyDescent="0.25">
      <c r="A4618" s="602" t="s">
        <v>561</v>
      </c>
      <c r="B4618" s="600"/>
      <c r="C4618" s="600"/>
      <c r="D4618" s="600"/>
      <c r="E4618" s="600"/>
      <c r="F4618" s="601"/>
      <c r="G4618" s="81"/>
      <c r="H4618" s="81"/>
      <c r="I4618" s="81"/>
      <c r="J4618" s="81"/>
      <c r="K4618" s="81"/>
      <c r="L4618" s="81"/>
      <c r="M4618" s="81"/>
      <c r="N4618" s="81"/>
    </row>
    <row r="4619" spans="1:14" ht="14.25" customHeight="1" thickBot="1" x14ac:dyDescent="0.3">
      <c r="A4619" s="603"/>
      <c r="B4619" s="604"/>
      <c r="C4619" s="604"/>
      <c r="D4619" s="604"/>
      <c r="E4619" s="604"/>
      <c r="F4619" s="605"/>
      <c r="G4619" s="81"/>
      <c r="H4619" s="81"/>
      <c r="I4619" s="81"/>
      <c r="J4619" s="81"/>
      <c r="K4619" s="81"/>
      <c r="L4619" s="81"/>
      <c r="M4619" s="81"/>
      <c r="N4619" s="81"/>
    </row>
    <row r="4620" spans="1:14" ht="14.25" customHeight="1" x14ac:dyDescent="0.25">
      <c r="A4620" s="88"/>
      <c r="B4620" s="88"/>
      <c r="C4620" s="89"/>
      <c r="D4620" s="89"/>
      <c r="E4620" s="89"/>
      <c r="F4620" s="89"/>
      <c r="G4620" s="81"/>
      <c r="H4620" s="81"/>
      <c r="I4620" s="81"/>
      <c r="J4620" s="81"/>
      <c r="K4620" s="81"/>
      <c r="L4620" s="81"/>
      <c r="M4620" s="81"/>
      <c r="N4620" s="81"/>
    </row>
    <row r="4621" spans="1:14" ht="14.25" customHeight="1" x14ac:dyDescent="0.25">
      <c r="A4621" s="90" t="s">
        <v>47</v>
      </c>
      <c r="B4621" s="613" t="s">
        <v>222</v>
      </c>
      <c r="C4621" s="600"/>
      <c r="D4621" s="600"/>
      <c r="E4621" s="600"/>
      <c r="F4621" s="600"/>
      <c r="G4621" s="81"/>
      <c r="H4621" s="81"/>
      <c r="I4621" s="81"/>
      <c r="J4621" s="81"/>
      <c r="K4621" s="81"/>
      <c r="L4621" s="81"/>
      <c r="M4621" s="81"/>
      <c r="N4621" s="81"/>
    </row>
    <row r="4622" spans="1:14" ht="14.25" customHeight="1" x14ac:dyDescent="0.25">
      <c r="A4622" s="91"/>
      <c r="B4622" s="91"/>
      <c r="C4622" s="91"/>
      <c r="D4622" s="91"/>
      <c r="E4622" s="91"/>
      <c r="F4622" s="91"/>
      <c r="G4622" s="81"/>
      <c r="H4622" s="81"/>
      <c r="I4622" s="81"/>
      <c r="J4622" s="81"/>
      <c r="K4622" s="81"/>
      <c r="L4622" s="81"/>
      <c r="M4622" s="81"/>
      <c r="N4622" s="81"/>
    </row>
    <row r="4623" spans="1:14" ht="14.25" customHeight="1" x14ac:dyDescent="0.25">
      <c r="A4623" s="88" t="s">
        <v>49</v>
      </c>
      <c r="B4623" s="92" t="s">
        <v>99</v>
      </c>
      <c r="C4623" s="89"/>
      <c r="D4623" s="89"/>
      <c r="E4623" s="89"/>
      <c r="F4623" s="93"/>
      <c r="G4623" s="81"/>
      <c r="H4623" s="81"/>
      <c r="I4623" s="81"/>
      <c r="J4623" s="81"/>
      <c r="K4623" s="81"/>
      <c r="L4623" s="81"/>
      <c r="M4623" s="81"/>
      <c r="N4623" s="81"/>
    </row>
    <row r="4624" spans="1:14" ht="14.25" customHeight="1" x14ac:dyDescent="0.25">
      <c r="A4624" s="88"/>
      <c r="B4624" s="94"/>
      <c r="C4624" s="89"/>
      <c r="D4624" s="89"/>
      <c r="E4624" s="89"/>
      <c r="F4624" s="93"/>
      <c r="G4624" s="81"/>
      <c r="H4624" s="81"/>
      <c r="I4624" s="81"/>
      <c r="J4624" s="81"/>
      <c r="K4624" s="81"/>
      <c r="L4624" s="81"/>
      <c r="M4624" s="81"/>
      <c r="N4624" s="81"/>
    </row>
    <row r="4625" spans="1:14" ht="14.25" customHeight="1" x14ac:dyDescent="0.25">
      <c r="A4625" s="95" t="s">
        <v>562</v>
      </c>
      <c r="B4625" s="96"/>
      <c r="C4625" s="92"/>
      <c r="D4625" s="92"/>
      <c r="E4625" s="92"/>
      <c r="F4625" s="92"/>
      <c r="G4625" s="81"/>
      <c r="H4625" s="81"/>
      <c r="I4625" s="81"/>
      <c r="J4625" s="81"/>
      <c r="K4625" s="81"/>
      <c r="L4625" s="81"/>
      <c r="M4625" s="81"/>
      <c r="N4625" s="81"/>
    </row>
    <row r="4626" spans="1:14" ht="14.25" customHeight="1" x14ac:dyDescent="0.25">
      <c r="A4626" s="97" t="s">
        <v>563</v>
      </c>
      <c r="B4626" s="98" t="s">
        <v>564</v>
      </c>
      <c r="C4626" s="98" t="s">
        <v>565</v>
      </c>
      <c r="D4626" s="98" t="s">
        <v>566</v>
      </c>
      <c r="E4626" s="98" t="s">
        <v>567</v>
      </c>
      <c r="F4626" s="98" t="s">
        <v>568</v>
      </c>
      <c r="G4626" s="81"/>
      <c r="H4626" s="81"/>
      <c r="I4626" s="81"/>
      <c r="J4626" s="81"/>
      <c r="K4626" s="81"/>
      <c r="L4626" s="81"/>
      <c r="M4626" s="81"/>
      <c r="N4626" s="81"/>
    </row>
    <row r="4627" spans="1:14" ht="14.25" customHeight="1" x14ac:dyDescent="0.25">
      <c r="A4627" s="99" t="s">
        <v>745</v>
      </c>
      <c r="B4627" s="100" t="s">
        <v>59</v>
      </c>
      <c r="C4627" s="101">
        <v>16500</v>
      </c>
      <c r="D4627" s="149">
        <v>1.4</v>
      </c>
      <c r="E4627" s="102">
        <v>0.05</v>
      </c>
      <c r="F4627" s="101">
        <f t="shared" ref="F4627:F4630" si="253">C4627*(D4627+(D4627*E4627))</f>
        <v>24255</v>
      </c>
      <c r="G4627" s="81"/>
      <c r="H4627" s="81"/>
      <c r="I4627" s="81"/>
      <c r="J4627" s="81"/>
      <c r="K4627" s="81"/>
      <c r="L4627" s="81"/>
      <c r="M4627" s="81"/>
      <c r="N4627" s="81"/>
    </row>
    <row r="4628" spans="1:14" ht="14.25" customHeight="1" x14ac:dyDescent="0.25">
      <c r="A4628" s="99" t="s">
        <v>622</v>
      </c>
      <c r="B4628" s="100" t="s">
        <v>99</v>
      </c>
      <c r="C4628" s="101">
        <v>85900</v>
      </c>
      <c r="D4628" s="149">
        <v>7.0000000000000007E-2</v>
      </c>
      <c r="E4628" s="102">
        <v>0.05</v>
      </c>
      <c r="F4628" s="101">
        <f t="shared" si="253"/>
        <v>6313.6500000000005</v>
      </c>
      <c r="G4628" s="81"/>
      <c r="H4628" s="81"/>
      <c r="I4628" s="81"/>
      <c r="J4628" s="81"/>
      <c r="K4628" s="81"/>
      <c r="L4628" s="81"/>
      <c r="M4628" s="81"/>
      <c r="N4628" s="81"/>
    </row>
    <row r="4629" spans="1:14" ht="14.25" customHeight="1" x14ac:dyDescent="0.25">
      <c r="A4629" s="99" t="s">
        <v>746</v>
      </c>
      <c r="B4629" s="100" t="s">
        <v>99</v>
      </c>
      <c r="C4629" s="101">
        <v>9460</v>
      </c>
      <c r="D4629" s="149">
        <v>1</v>
      </c>
      <c r="E4629" s="102"/>
      <c r="F4629" s="101">
        <f t="shared" si="253"/>
        <v>9460</v>
      </c>
      <c r="G4629" s="81"/>
      <c r="H4629" s="81"/>
      <c r="I4629" s="81"/>
      <c r="J4629" s="81"/>
      <c r="K4629" s="81"/>
      <c r="L4629" s="81"/>
      <c r="M4629" s="81"/>
      <c r="N4629" s="81"/>
    </row>
    <row r="4630" spans="1:14" ht="14.25" customHeight="1" x14ac:dyDescent="0.25">
      <c r="A4630" s="99" t="s">
        <v>747</v>
      </c>
      <c r="B4630" s="100" t="s">
        <v>99</v>
      </c>
      <c r="C4630" s="101">
        <v>18680</v>
      </c>
      <c r="D4630" s="105">
        <v>0.35</v>
      </c>
      <c r="E4630" s="102"/>
      <c r="F4630" s="101">
        <f t="shared" si="253"/>
        <v>6538</v>
      </c>
      <c r="G4630" s="81"/>
      <c r="H4630" s="81"/>
      <c r="I4630" s="81"/>
      <c r="J4630" s="81"/>
      <c r="K4630" s="81"/>
      <c r="L4630" s="81"/>
      <c r="M4630" s="81"/>
      <c r="N4630" s="81"/>
    </row>
    <row r="4631" spans="1:14" ht="14.25" customHeight="1" x14ac:dyDescent="0.25">
      <c r="A4631" s="99"/>
      <c r="B4631" s="100"/>
      <c r="C4631" s="106"/>
      <c r="D4631" s="107"/>
      <c r="E4631" s="108"/>
      <c r="F4631" s="106"/>
      <c r="G4631" s="81"/>
      <c r="H4631" s="81"/>
      <c r="I4631" s="81"/>
      <c r="J4631" s="81"/>
      <c r="K4631" s="81"/>
      <c r="L4631" s="81"/>
      <c r="M4631" s="81"/>
      <c r="N4631" s="81"/>
    </row>
    <row r="4632" spans="1:14" ht="14.25" customHeight="1" x14ac:dyDescent="0.25">
      <c r="A4632" s="97" t="s">
        <v>548</v>
      </c>
      <c r="B4632" s="97"/>
      <c r="C4632" s="109"/>
      <c r="D4632" s="110"/>
      <c r="E4632" s="111"/>
      <c r="F4632" s="112">
        <f>SUM(F4627:F4631)</f>
        <v>46566.65</v>
      </c>
      <c r="G4632" s="81"/>
      <c r="H4632" s="81"/>
      <c r="I4632" s="81"/>
      <c r="J4632" s="81"/>
      <c r="K4632" s="81"/>
      <c r="L4632" s="81"/>
      <c r="M4632" s="81"/>
      <c r="N4632" s="81"/>
    </row>
    <row r="4633" spans="1:14" ht="14.25" customHeight="1" x14ac:dyDescent="0.25">
      <c r="A4633" s="88"/>
      <c r="B4633" s="88"/>
      <c r="C4633" s="113"/>
      <c r="D4633" s="113"/>
      <c r="E4633" s="114"/>
      <c r="F4633" s="113"/>
      <c r="G4633" s="81"/>
      <c r="H4633" s="81"/>
      <c r="I4633" s="81"/>
      <c r="J4633" s="81"/>
      <c r="K4633" s="81"/>
      <c r="L4633" s="81"/>
      <c r="M4633" s="81"/>
      <c r="N4633" s="81"/>
    </row>
    <row r="4634" spans="1:14" ht="14.25" customHeight="1" x14ac:dyDescent="0.25">
      <c r="A4634" s="96" t="s">
        <v>573</v>
      </c>
      <c r="B4634" s="96"/>
      <c r="C4634" s="92"/>
      <c r="D4634" s="92"/>
      <c r="E4634" s="92"/>
      <c r="F4634" s="92"/>
      <c r="G4634" s="81"/>
      <c r="H4634" s="81"/>
      <c r="I4634" s="81"/>
      <c r="J4634" s="81"/>
      <c r="K4634" s="81"/>
      <c r="L4634" s="81"/>
      <c r="M4634" s="81"/>
      <c r="N4634" s="81"/>
    </row>
    <row r="4635" spans="1:14" ht="14.25" customHeight="1" x14ac:dyDescent="0.25">
      <c r="A4635" s="611" t="s">
        <v>563</v>
      </c>
      <c r="B4635" s="608"/>
      <c r="C4635" s="609"/>
      <c r="D4635" s="98" t="s">
        <v>574</v>
      </c>
      <c r="E4635" s="98" t="s">
        <v>575</v>
      </c>
      <c r="F4635" s="98" t="s">
        <v>568</v>
      </c>
      <c r="G4635" s="81"/>
      <c r="H4635" s="81"/>
      <c r="I4635" s="81"/>
      <c r="J4635" s="81"/>
      <c r="K4635" s="81"/>
      <c r="L4635" s="81"/>
      <c r="M4635" s="81"/>
      <c r="N4635" s="81"/>
    </row>
    <row r="4636" spans="1:14" ht="14.25" customHeight="1" x14ac:dyDescent="0.25">
      <c r="A4636" s="607" t="s">
        <v>577</v>
      </c>
      <c r="B4636" s="608"/>
      <c r="C4636" s="609"/>
      <c r="D4636" s="116"/>
      <c r="E4636" s="107"/>
      <c r="F4636" s="106">
        <f>+F4647*5%</f>
        <v>1271.315503141343</v>
      </c>
      <c r="G4636" s="81"/>
      <c r="H4636" s="81"/>
      <c r="I4636" s="81"/>
      <c r="J4636" s="81"/>
      <c r="K4636" s="81"/>
      <c r="L4636" s="81"/>
      <c r="M4636" s="81"/>
      <c r="N4636" s="81"/>
    </row>
    <row r="4637" spans="1:14" ht="14.25" customHeight="1" x14ac:dyDescent="0.25">
      <c r="A4637" s="607"/>
      <c r="B4637" s="608"/>
      <c r="C4637" s="609"/>
      <c r="D4637" s="116"/>
      <c r="E4637" s="107"/>
      <c r="F4637" s="106"/>
      <c r="G4637" s="81"/>
      <c r="H4637" s="81"/>
      <c r="I4637" s="81"/>
      <c r="J4637" s="81"/>
      <c r="K4637" s="81"/>
      <c r="L4637" s="81"/>
      <c r="M4637" s="81"/>
      <c r="N4637" s="81"/>
    </row>
    <row r="4638" spans="1:14" ht="14.25" customHeight="1" x14ac:dyDescent="0.25">
      <c r="A4638" s="610"/>
      <c r="B4638" s="608"/>
      <c r="C4638" s="609"/>
      <c r="D4638" s="115"/>
      <c r="E4638" s="107"/>
      <c r="F4638" s="106"/>
      <c r="G4638" s="81"/>
      <c r="H4638" s="81"/>
      <c r="I4638" s="81"/>
      <c r="J4638" s="81"/>
      <c r="K4638" s="81"/>
      <c r="L4638" s="81"/>
      <c r="M4638" s="81"/>
      <c r="N4638" s="81"/>
    </row>
    <row r="4639" spans="1:14" ht="14.25" customHeight="1" x14ac:dyDescent="0.25">
      <c r="A4639" s="611" t="s">
        <v>548</v>
      </c>
      <c r="B4639" s="608"/>
      <c r="C4639" s="609"/>
      <c r="D4639" s="110"/>
      <c r="E4639" s="110"/>
      <c r="F4639" s="112">
        <f>SUM(F4636:F4637)</f>
        <v>1271.315503141343</v>
      </c>
      <c r="G4639" s="81"/>
      <c r="H4639" s="81"/>
      <c r="I4639" s="81"/>
      <c r="J4639" s="81"/>
      <c r="K4639" s="81"/>
      <c r="L4639" s="81"/>
      <c r="M4639" s="81"/>
      <c r="N4639" s="81"/>
    </row>
    <row r="4640" spans="1:14" ht="14.25" customHeight="1" x14ac:dyDescent="0.25">
      <c r="A4640" s="88"/>
      <c r="B4640" s="88"/>
      <c r="C4640" s="89"/>
      <c r="D4640" s="113"/>
      <c r="E4640" s="113"/>
      <c r="F4640" s="113"/>
      <c r="G4640" s="81"/>
      <c r="H4640" s="81"/>
      <c r="I4640" s="81"/>
      <c r="J4640" s="81"/>
      <c r="K4640" s="81"/>
      <c r="L4640" s="81"/>
      <c r="M4640" s="81"/>
      <c r="N4640" s="81"/>
    </row>
    <row r="4641" spans="1:14" ht="14.25" customHeight="1" x14ac:dyDescent="0.25">
      <c r="A4641" s="96" t="s">
        <v>578</v>
      </c>
      <c r="B4641" s="96"/>
      <c r="C4641" s="92"/>
      <c r="D4641" s="118"/>
      <c r="E4641" s="118"/>
      <c r="F4641" s="118"/>
      <c r="G4641" s="81"/>
      <c r="H4641" s="81"/>
      <c r="I4641" s="81"/>
      <c r="J4641" s="81"/>
      <c r="K4641" s="81"/>
      <c r="L4641" s="81"/>
      <c r="M4641" s="81"/>
      <c r="N4641" s="81"/>
    </row>
    <row r="4642" spans="1:14" ht="14.25" customHeight="1" x14ac:dyDescent="0.25">
      <c r="A4642" s="119" t="s">
        <v>563</v>
      </c>
      <c r="B4642" s="120" t="s">
        <v>579</v>
      </c>
      <c r="C4642" s="120" t="s">
        <v>580</v>
      </c>
      <c r="D4642" s="121" t="s">
        <v>581</v>
      </c>
      <c r="E4642" s="121" t="s">
        <v>575</v>
      </c>
      <c r="F4642" s="121" t="s">
        <v>568</v>
      </c>
      <c r="G4642" s="81"/>
      <c r="H4642" s="81"/>
      <c r="I4642" s="81"/>
      <c r="J4642" s="81"/>
      <c r="K4642" s="81"/>
      <c r="L4642" s="81"/>
      <c r="M4642" s="81"/>
      <c r="N4642" s="81"/>
    </row>
    <row r="4643" spans="1:14" ht="14.25" customHeight="1" x14ac:dyDescent="0.25">
      <c r="A4643" s="122" t="s">
        <v>593</v>
      </c>
      <c r="B4643" s="127">
        <v>1</v>
      </c>
      <c r="C4643" s="101">
        <v>32688</v>
      </c>
      <c r="D4643" s="101">
        <f t="shared" ref="D4643:D4644" si="254">+C4643*1.7</f>
        <v>55569.599999999999</v>
      </c>
      <c r="E4643" s="107">
        <v>5.6981999999999999</v>
      </c>
      <c r="F4643" s="106">
        <f t="shared" ref="F4643:F4644" si="255">+B4643*(D4643)/E4643</f>
        <v>9752.1322522901974</v>
      </c>
      <c r="G4643" s="81"/>
      <c r="H4643" s="81"/>
      <c r="I4643" s="81"/>
      <c r="J4643" s="81"/>
      <c r="K4643" s="81"/>
      <c r="L4643" s="81"/>
      <c r="M4643" s="81"/>
      <c r="N4643" s="81"/>
    </row>
    <row r="4644" spans="1:14" ht="14.25" customHeight="1" x14ac:dyDescent="0.25">
      <c r="A4644" s="122" t="s">
        <v>594</v>
      </c>
      <c r="B4644" s="127">
        <v>1</v>
      </c>
      <c r="C4644" s="101">
        <v>52538</v>
      </c>
      <c r="D4644" s="101">
        <f t="shared" si="254"/>
        <v>89314.599999999991</v>
      </c>
      <c r="E4644" s="107">
        <f>E4643</f>
        <v>5.6981999999999999</v>
      </c>
      <c r="F4644" s="106">
        <f t="shared" si="255"/>
        <v>15674.177810536659</v>
      </c>
      <c r="G4644" s="81"/>
      <c r="H4644" s="81"/>
      <c r="I4644" s="81"/>
      <c r="J4644" s="81"/>
      <c r="K4644" s="81"/>
      <c r="L4644" s="81"/>
      <c r="M4644" s="81"/>
      <c r="N4644" s="81"/>
    </row>
    <row r="4645" spans="1:14" ht="14.25" customHeight="1" x14ac:dyDescent="0.25">
      <c r="A4645" s="122"/>
      <c r="B4645" s="127"/>
      <c r="C4645" s="101"/>
      <c r="D4645" s="101"/>
      <c r="E4645" s="107"/>
      <c r="F4645" s="106"/>
      <c r="G4645" s="81"/>
      <c r="H4645" s="81"/>
      <c r="I4645" s="81"/>
      <c r="J4645" s="81"/>
      <c r="K4645" s="81"/>
      <c r="L4645" s="81"/>
      <c r="M4645" s="81"/>
      <c r="N4645" s="81"/>
    </row>
    <row r="4646" spans="1:14" ht="14.25" customHeight="1" x14ac:dyDescent="0.25">
      <c r="A4646" s="122"/>
      <c r="B4646" s="127"/>
      <c r="C4646" s="101"/>
      <c r="D4646" s="101"/>
      <c r="E4646" s="125"/>
      <c r="F4646" s="106"/>
      <c r="G4646" s="81"/>
      <c r="H4646" s="81"/>
      <c r="I4646" s="81"/>
      <c r="J4646" s="81"/>
      <c r="K4646" s="81"/>
      <c r="L4646" s="81"/>
      <c r="M4646" s="81"/>
      <c r="N4646" s="81"/>
    </row>
    <row r="4647" spans="1:14" ht="14.25" customHeight="1" x14ac:dyDescent="0.25">
      <c r="A4647" s="97" t="s">
        <v>548</v>
      </c>
      <c r="B4647" s="128"/>
      <c r="C4647" s="110"/>
      <c r="D4647" s="110"/>
      <c r="E4647" s="110"/>
      <c r="F4647" s="112">
        <f>SUM(F4643:F4646)</f>
        <v>25426.310062826858</v>
      </c>
      <c r="G4647" s="81"/>
      <c r="H4647" s="81"/>
      <c r="I4647" s="81"/>
      <c r="J4647" s="81"/>
      <c r="K4647" s="81"/>
      <c r="L4647" s="81"/>
      <c r="M4647" s="81"/>
      <c r="N4647" s="81"/>
    </row>
    <row r="4648" spans="1:14" ht="14.25" customHeight="1" x14ac:dyDescent="0.25">
      <c r="A4648" s="96"/>
      <c r="B4648" s="129"/>
      <c r="C4648" s="118"/>
      <c r="D4648" s="118"/>
      <c r="E4648" s="118"/>
      <c r="F4648" s="118"/>
      <c r="G4648" s="81"/>
      <c r="H4648" s="81"/>
      <c r="I4648" s="81"/>
      <c r="J4648" s="81"/>
      <c r="K4648" s="81"/>
      <c r="L4648" s="81"/>
      <c r="M4648" s="81"/>
      <c r="N4648" s="81"/>
    </row>
    <row r="4649" spans="1:14" ht="14.25" customHeight="1" x14ac:dyDescent="0.25">
      <c r="A4649" s="95" t="s">
        <v>583</v>
      </c>
      <c r="B4649" s="96"/>
      <c r="C4649" s="92"/>
      <c r="D4649" s="92"/>
      <c r="E4649" s="92" t="s">
        <v>584</v>
      </c>
      <c r="F4649" s="92"/>
      <c r="G4649" s="81"/>
      <c r="H4649" s="81"/>
      <c r="I4649" s="81"/>
      <c r="J4649" s="81"/>
      <c r="K4649" s="81"/>
      <c r="L4649" s="81"/>
      <c r="M4649" s="81"/>
      <c r="N4649" s="81"/>
    </row>
    <row r="4650" spans="1:14" ht="14.25" customHeight="1" x14ac:dyDescent="0.25">
      <c r="A4650" s="97" t="s">
        <v>563</v>
      </c>
      <c r="B4650" s="98" t="s">
        <v>564</v>
      </c>
      <c r="C4650" s="98" t="s">
        <v>585</v>
      </c>
      <c r="D4650" s="98" t="s">
        <v>586</v>
      </c>
      <c r="E4650" s="120" t="s">
        <v>587</v>
      </c>
      <c r="F4650" s="98" t="s">
        <v>568</v>
      </c>
      <c r="G4650" s="81"/>
      <c r="H4650" s="81"/>
      <c r="I4650" s="81"/>
      <c r="J4650" s="81"/>
      <c r="K4650" s="81"/>
      <c r="L4650" s="81"/>
      <c r="M4650" s="81"/>
      <c r="N4650" s="81"/>
    </row>
    <row r="4651" spans="1:14" ht="14.25" customHeight="1" x14ac:dyDescent="0.25">
      <c r="A4651" s="103"/>
      <c r="B4651" s="100"/>
      <c r="C4651" s="101"/>
      <c r="D4651" s="130"/>
      <c r="E4651" s="107"/>
      <c r="F4651" s="109"/>
      <c r="G4651" s="81"/>
      <c r="H4651" s="81"/>
      <c r="I4651" s="81"/>
      <c r="J4651" s="81"/>
      <c r="K4651" s="81"/>
      <c r="L4651" s="81"/>
      <c r="M4651" s="81"/>
      <c r="N4651" s="81"/>
    </row>
    <row r="4652" spans="1:14" ht="14.25" customHeight="1" x14ac:dyDescent="0.25">
      <c r="A4652" s="103"/>
      <c r="B4652" s="100"/>
      <c r="C4652" s="107"/>
      <c r="D4652" s="107"/>
      <c r="E4652" s="108"/>
      <c r="F4652" s="109"/>
      <c r="G4652" s="81"/>
      <c r="H4652" s="81"/>
      <c r="I4652" s="81"/>
      <c r="J4652" s="81"/>
      <c r="K4652" s="81"/>
      <c r="L4652" s="81"/>
      <c r="M4652" s="81"/>
      <c r="N4652" s="81"/>
    </row>
    <row r="4653" spans="1:14" ht="14.25" customHeight="1" x14ac:dyDescent="0.25">
      <c r="A4653" s="97" t="s">
        <v>548</v>
      </c>
      <c r="B4653" s="98"/>
      <c r="C4653" s="110"/>
      <c r="D4653" s="110"/>
      <c r="E4653" s="111"/>
      <c r="F4653" s="112">
        <f>SUM(F4651:F4652)</f>
        <v>0</v>
      </c>
      <c r="G4653" s="81"/>
      <c r="H4653" s="81"/>
      <c r="I4653" s="81"/>
      <c r="J4653" s="81"/>
      <c r="K4653" s="81"/>
      <c r="L4653" s="81"/>
      <c r="M4653" s="81"/>
      <c r="N4653" s="81"/>
    </row>
    <row r="4654" spans="1:14" ht="14.25" customHeight="1" x14ac:dyDescent="0.25">
      <c r="A4654" s="88"/>
      <c r="B4654" s="89"/>
      <c r="C4654" s="113"/>
      <c r="D4654" s="113"/>
      <c r="E4654" s="114"/>
      <c r="F4654" s="113"/>
      <c r="G4654" s="81"/>
      <c r="H4654" s="81"/>
      <c r="I4654" s="81"/>
      <c r="J4654" s="81"/>
      <c r="K4654" s="81"/>
      <c r="L4654" s="81"/>
      <c r="M4654" s="81"/>
      <c r="N4654" s="81"/>
    </row>
    <row r="4655" spans="1:14" ht="14.25" customHeight="1" x14ac:dyDescent="0.25">
      <c r="A4655" s="88"/>
      <c r="B4655" s="89"/>
      <c r="C4655" s="113"/>
      <c r="D4655" s="113"/>
      <c r="E4655" s="114"/>
      <c r="F4655" s="113"/>
      <c r="G4655" s="81"/>
      <c r="H4655" s="81"/>
      <c r="I4655" s="81"/>
      <c r="J4655" s="81"/>
      <c r="K4655" s="81"/>
      <c r="L4655" s="81"/>
      <c r="M4655" s="81"/>
      <c r="N4655" s="81"/>
    </row>
    <row r="4656" spans="1:14" ht="14.25" customHeight="1" x14ac:dyDescent="0.25">
      <c r="A4656" s="612" t="s">
        <v>588</v>
      </c>
      <c r="B4656" s="608"/>
      <c r="C4656" s="608"/>
      <c r="D4656" s="608"/>
      <c r="E4656" s="609"/>
      <c r="F4656" s="131">
        <f>ROUND(F4632+F4639+F4647+F4653,0)</f>
        <v>73264</v>
      </c>
      <c r="G4656" s="81"/>
      <c r="H4656" s="81"/>
      <c r="I4656" s="81"/>
      <c r="J4656" s="81"/>
      <c r="K4656" s="81"/>
      <c r="L4656" s="81"/>
      <c r="M4656" s="81"/>
      <c r="N4656" s="81"/>
    </row>
    <row r="4657" spans="1:14" ht="14.25" customHeight="1" x14ac:dyDescent="0.25">
      <c r="A4657" s="612" t="s">
        <v>589</v>
      </c>
      <c r="B4657" s="608"/>
      <c r="C4657" s="608"/>
      <c r="D4657" s="608"/>
      <c r="E4657" s="609"/>
      <c r="F4657" s="132"/>
      <c r="G4657" s="81"/>
      <c r="H4657" s="81"/>
      <c r="I4657" s="81"/>
      <c r="J4657" s="81"/>
      <c r="K4657" s="81"/>
      <c r="L4657" s="81"/>
      <c r="M4657" s="81"/>
      <c r="N4657" s="81"/>
    </row>
    <row r="4658" spans="1:14" ht="14.25" customHeight="1" x14ac:dyDescent="0.25">
      <c r="A4658" s="612" t="s">
        <v>556</v>
      </c>
      <c r="B4658" s="608"/>
      <c r="C4658" s="608"/>
      <c r="D4658" s="608"/>
      <c r="E4658" s="609"/>
      <c r="F4658" s="133"/>
      <c r="G4658" s="81"/>
      <c r="H4658" s="81"/>
      <c r="I4658" s="81"/>
      <c r="J4658" s="81"/>
      <c r="K4658" s="81"/>
      <c r="L4658" s="81"/>
      <c r="M4658" s="81"/>
      <c r="N4658" s="81"/>
    </row>
    <row r="4659" spans="1:14" ht="14.25" customHeight="1" x14ac:dyDescent="0.25">
      <c r="A4659" s="134"/>
      <c r="B4659" s="135"/>
      <c r="C4659" s="135"/>
      <c r="D4659" s="135"/>
      <c r="E4659" s="135"/>
      <c r="F4659" s="136"/>
      <c r="G4659" s="81"/>
      <c r="H4659" s="81"/>
      <c r="I4659" s="81"/>
      <c r="J4659" s="81"/>
      <c r="K4659" s="81"/>
      <c r="L4659" s="81"/>
      <c r="M4659" s="81"/>
      <c r="N4659" s="81"/>
    </row>
    <row r="4660" spans="1:14" ht="14.25" customHeight="1" x14ac:dyDescent="0.25">
      <c r="A4660" s="134"/>
      <c r="B4660" s="135"/>
      <c r="C4660" s="135"/>
      <c r="D4660" s="135"/>
      <c r="E4660" s="135"/>
      <c r="F4660" s="136"/>
      <c r="G4660" s="81"/>
      <c r="H4660" s="81"/>
      <c r="I4660" s="81"/>
      <c r="J4660" s="81"/>
      <c r="K4660" s="81"/>
      <c r="L4660" s="81"/>
      <c r="M4660" s="81"/>
      <c r="N4660" s="81"/>
    </row>
    <row r="4661" spans="1:14" ht="14.25" customHeight="1" x14ac:dyDescent="0.25">
      <c r="A4661" s="134"/>
      <c r="B4661" s="135"/>
      <c r="C4661" s="135"/>
      <c r="D4661" s="135"/>
      <c r="E4661" s="135"/>
      <c r="F4661" s="136"/>
      <c r="G4661" s="81"/>
      <c r="H4661" s="81"/>
      <c r="I4661" s="81"/>
      <c r="J4661" s="81"/>
      <c r="K4661" s="81"/>
      <c r="L4661" s="81"/>
      <c r="M4661" s="81"/>
      <c r="N4661" s="81"/>
    </row>
    <row r="4662" spans="1:14" ht="14.25" customHeight="1" x14ac:dyDescent="0.25">
      <c r="A4662" s="134"/>
      <c r="B4662" s="135"/>
      <c r="C4662" s="135"/>
      <c r="D4662" s="135"/>
      <c r="E4662" s="135"/>
      <c r="F4662" s="136"/>
      <c r="G4662" s="81"/>
      <c r="H4662" s="81"/>
      <c r="I4662" s="81"/>
      <c r="J4662" s="81"/>
      <c r="K4662" s="81"/>
      <c r="L4662" s="81"/>
      <c r="M4662" s="81"/>
      <c r="N4662" s="81"/>
    </row>
    <row r="4663" spans="1:14" ht="14.25" customHeight="1" x14ac:dyDescent="0.25">
      <c r="A4663" s="134"/>
      <c r="B4663" s="135"/>
      <c r="C4663" s="135"/>
      <c r="D4663" s="135"/>
      <c r="E4663" s="135"/>
      <c r="F4663" s="136"/>
      <c r="G4663" s="81"/>
      <c r="H4663" s="81"/>
      <c r="I4663" s="81"/>
      <c r="J4663" s="81"/>
      <c r="K4663" s="81"/>
      <c r="L4663" s="81"/>
      <c r="M4663" s="81"/>
      <c r="N4663" s="81"/>
    </row>
    <row r="4664" spans="1:14" ht="14.25" customHeight="1" x14ac:dyDescent="0.25">
      <c r="A4664" s="134"/>
      <c r="B4664" s="135"/>
      <c r="C4664" s="135"/>
      <c r="D4664" s="135"/>
      <c r="E4664" s="135"/>
      <c r="F4664" s="136"/>
      <c r="G4664" s="81"/>
      <c r="H4664" s="81"/>
      <c r="I4664" s="81"/>
      <c r="J4664" s="81"/>
      <c r="K4664" s="81"/>
      <c r="L4664" s="81"/>
      <c r="M4664" s="81"/>
      <c r="N4664" s="81"/>
    </row>
    <row r="4665" spans="1:14" ht="14.25" customHeight="1" x14ac:dyDescent="0.25">
      <c r="A4665" s="134"/>
      <c r="B4665" s="135"/>
      <c r="C4665" s="135"/>
      <c r="D4665" s="135"/>
      <c r="E4665" s="135"/>
      <c r="F4665" s="136"/>
      <c r="G4665" s="81"/>
      <c r="H4665" s="81"/>
      <c r="I4665" s="81"/>
      <c r="J4665" s="81"/>
      <c r="K4665" s="81"/>
      <c r="L4665" s="81"/>
      <c r="M4665" s="81"/>
      <c r="N4665" s="81"/>
    </row>
    <row r="4666" spans="1:14" ht="14.25" customHeight="1" x14ac:dyDescent="0.25">
      <c r="A4666" s="81"/>
      <c r="B4666" s="81"/>
      <c r="C4666" s="137"/>
      <c r="D4666" s="81"/>
      <c r="E4666" s="81"/>
      <c r="F4666" s="81"/>
      <c r="G4666" s="81"/>
      <c r="H4666" s="81"/>
      <c r="I4666" s="81"/>
      <c r="J4666" s="81"/>
      <c r="K4666" s="81"/>
      <c r="L4666" s="81"/>
      <c r="M4666" s="81"/>
      <c r="N4666" s="81"/>
    </row>
    <row r="4667" spans="1:14" ht="14.25" customHeight="1" x14ac:dyDescent="0.25">
      <c r="A4667" s="81"/>
      <c r="B4667" s="81"/>
      <c r="C4667" s="137"/>
      <c r="D4667" s="81"/>
      <c r="E4667" s="81"/>
      <c r="F4667" s="81"/>
      <c r="G4667" s="81"/>
      <c r="H4667" s="81"/>
      <c r="I4667" s="81"/>
      <c r="J4667" s="81"/>
      <c r="K4667" s="81"/>
      <c r="L4667" s="81"/>
      <c r="M4667" s="81"/>
      <c r="N4667" s="81"/>
    </row>
    <row r="4668" spans="1:14" ht="14.25" customHeight="1" x14ac:dyDescent="0.25">
      <c r="A4668" s="81"/>
      <c r="B4668" s="81"/>
      <c r="C4668" s="137"/>
      <c r="D4668" s="81"/>
      <c r="E4668" s="81"/>
      <c r="F4668" s="81"/>
      <c r="G4668" s="81"/>
      <c r="H4668" s="81"/>
      <c r="I4668" s="81"/>
      <c r="J4668" s="81"/>
      <c r="K4668" s="81"/>
      <c r="L4668" s="81"/>
      <c r="M4668" s="81"/>
      <c r="N4668" s="81"/>
    </row>
    <row r="4669" spans="1:14" ht="14.25" customHeight="1" x14ac:dyDescent="0.25">
      <c r="A4669" s="81"/>
      <c r="B4669" s="81"/>
      <c r="C4669" s="137"/>
      <c r="D4669" s="81"/>
      <c r="E4669" s="81"/>
      <c r="F4669" s="81"/>
      <c r="G4669" s="81"/>
      <c r="H4669" s="81"/>
      <c r="I4669" s="81"/>
      <c r="J4669" s="81"/>
      <c r="K4669" s="81"/>
      <c r="L4669" s="81"/>
      <c r="M4669" s="81"/>
      <c r="N4669" s="81"/>
    </row>
    <row r="4670" spans="1:14" ht="14.25" customHeight="1" thickBot="1" x14ac:dyDescent="0.3">
      <c r="A4670" s="81"/>
      <c r="B4670" s="81"/>
      <c r="C4670" s="81"/>
      <c r="D4670" s="81"/>
      <c r="E4670" s="81"/>
      <c r="F4670" s="81"/>
      <c r="G4670" s="81"/>
      <c r="H4670" s="81"/>
      <c r="I4670" s="81"/>
      <c r="J4670" s="81"/>
      <c r="K4670" s="81"/>
      <c r="L4670" s="81"/>
      <c r="M4670" s="81"/>
      <c r="N4670" s="81"/>
    </row>
    <row r="4671" spans="1:14" ht="14.25" customHeight="1" x14ac:dyDescent="0.25">
      <c r="A4671" s="83"/>
      <c r="B4671" s="84"/>
      <c r="C4671" s="85"/>
      <c r="D4671" s="86"/>
      <c r="E4671" s="86"/>
      <c r="F4671" s="87"/>
      <c r="G4671" s="81"/>
      <c r="H4671" s="81"/>
      <c r="I4671" s="81"/>
      <c r="J4671" s="81"/>
      <c r="K4671" s="81"/>
      <c r="L4671" s="81"/>
      <c r="M4671" s="81"/>
      <c r="N4671" s="81"/>
    </row>
    <row r="4672" spans="1:14" ht="14.25" customHeight="1" x14ac:dyDescent="0.25">
      <c r="A4672" s="599"/>
      <c r="B4672" s="600"/>
      <c r="C4672" s="600"/>
      <c r="D4672" s="600"/>
      <c r="E4672" s="600"/>
      <c r="F4672" s="601"/>
      <c r="G4672" s="81"/>
      <c r="H4672" s="81"/>
      <c r="I4672" s="81"/>
      <c r="J4672" s="81"/>
      <c r="K4672" s="81"/>
      <c r="L4672" s="81"/>
      <c r="M4672" s="81"/>
      <c r="N4672" s="81"/>
    </row>
    <row r="4673" spans="1:14" ht="14.25" customHeight="1" x14ac:dyDescent="0.25">
      <c r="A4673" s="602" t="s">
        <v>561</v>
      </c>
      <c r="B4673" s="600"/>
      <c r="C4673" s="600"/>
      <c r="D4673" s="600"/>
      <c r="E4673" s="600"/>
      <c r="F4673" s="601"/>
      <c r="G4673" s="81"/>
      <c r="H4673" s="81"/>
      <c r="I4673" s="81"/>
      <c r="J4673" s="81"/>
      <c r="K4673" s="81"/>
      <c r="L4673" s="81"/>
      <c r="M4673" s="81"/>
      <c r="N4673" s="81"/>
    </row>
    <row r="4674" spans="1:14" ht="14.25" customHeight="1" thickBot="1" x14ac:dyDescent="0.3">
      <c r="A4674" s="603"/>
      <c r="B4674" s="604"/>
      <c r="C4674" s="604"/>
      <c r="D4674" s="604"/>
      <c r="E4674" s="604"/>
      <c r="F4674" s="605"/>
      <c r="G4674" s="81"/>
      <c r="H4674" s="81"/>
      <c r="I4674" s="81"/>
      <c r="J4674" s="81"/>
      <c r="K4674" s="81"/>
      <c r="L4674" s="81"/>
      <c r="M4674" s="81"/>
      <c r="N4674" s="81"/>
    </row>
    <row r="4675" spans="1:14" ht="14.25" customHeight="1" x14ac:dyDescent="0.25">
      <c r="A4675" s="88"/>
      <c r="B4675" s="88"/>
      <c r="C4675" s="89"/>
      <c r="D4675" s="89"/>
      <c r="E4675" s="89"/>
      <c r="F4675" s="89"/>
      <c r="G4675" s="81"/>
      <c r="H4675" s="81"/>
      <c r="I4675" s="81"/>
      <c r="J4675" s="81"/>
      <c r="K4675" s="81"/>
      <c r="L4675" s="81"/>
      <c r="M4675" s="81"/>
      <c r="N4675" s="81"/>
    </row>
    <row r="4676" spans="1:14" ht="14.25" customHeight="1" x14ac:dyDescent="0.25">
      <c r="A4676" s="90" t="s">
        <v>47</v>
      </c>
      <c r="B4676" s="613" t="s">
        <v>224</v>
      </c>
      <c r="C4676" s="600"/>
      <c r="D4676" s="600"/>
      <c r="E4676" s="600"/>
      <c r="F4676" s="600"/>
      <c r="G4676" s="81"/>
      <c r="H4676" s="81"/>
      <c r="I4676" s="81"/>
      <c r="J4676" s="81"/>
      <c r="K4676" s="81"/>
      <c r="L4676" s="81"/>
      <c r="M4676" s="81"/>
      <c r="N4676" s="81"/>
    </row>
    <row r="4677" spans="1:14" ht="14.25" customHeight="1" x14ac:dyDescent="0.25">
      <c r="A4677" s="91"/>
      <c r="B4677" s="91"/>
      <c r="C4677" s="91"/>
      <c r="D4677" s="91"/>
      <c r="E4677" s="91"/>
      <c r="F4677" s="91"/>
      <c r="G4677" s="81"/>
      <c r="H4677" s="81"/>
      <c r="I4677" s="81"/>
      <c r="J4677" s="81"/>
      <c r="K4677" s="81"/>
      <c r="L4677" s="81"/>
      <c r="M4677" s="81"/>
      <c r="N4677" s="81"/>
    </row>
    <row r="4678" spans="1:14" ht="14.25" customHeight="1" x14ac:dyDescent="0.25">
      <c r="A4678" s="88" t="s">
        <v>49</v>
      </c>
      <c r="B4678" s="92" t="s">
        <v>99</v>
      </c>
      <c r="C4678" s="89"/>
      <c r="D4678" s="89"/>
      <c r="E4678" s="89"/>
      <c r="F4678" s="93"/>
      <c r="G4678" s="81"/>
      <c r="H4678" s="81"/>
      <c r="I4678" s="81"/>
      <c r="J4678" s="81"/>
      <c r="K4678" s="81"/>
      <c r="L4678" s="81"/>
      <c r="M4678" s="81"/>
      <c r="N4678" s="81"/>
    </row>
    <row r="4679" spans="1:14" ht="14.25" customHeight="1" x14ac:dyDescent="0.25">
      <c r="A4679" s="88"/>
      <c r="B4679" s="94"/>
      <c r="C4679" s="89"/>
      <c r="D4679" s="89"/>
      <c r="E4679" s="89"/>
      <c r="F4679" s="93"/>
      <c r="G4679" s="81"/>
      <c r="H4679" s="81"/>
      <c r="I4679" s="81"/>
      <c r="J4679" s="81"/>
      <c r="K4679" s="81"/>
      <c r="L4679" s="81"/>
      <c r="M4679" s="81"/>
      <c r="N4679" s="81"/>
    </row>
    <row r="4680" spans="1:14" ht="14.25" customHeight="1" x14ac:dyDescent="0.25">
      <c r="A4680" s="95" t="s">
        <v>562</v>
      </c>
      <c r="B4680" s="96"/>
      <c r="C4680" s="92"/>
      <c r="D4680" s="92"/>
      <c r="E4680" s="92"/>
      <c r="F4680" s="92"/>
      <c r="G4680" s="81"/>
      <c r="H4680" s="81"/>
      <c r="I4680" s="81"/>
      <c r="J4680" s="81"/>
      <c r="K4680" s="81"/>
      <c r="L4680" s="81"/>
      <c r="M4680" s="81"/>
      <c r="N4680" s="81"/>
    </row>
    <row r="4681" spans="1:14" ht="14.25" customHeight="1" x14ac:dyDescent="0.25">
      <c r="A4681" s="97" t="s">
        <v>563</v>
      </c>
      <c r="B4681" s="98" t="s">
        <v>564</v>
      </c>
      <c r="C4681" s="98" t="s">
        <v>565</v>
      </c>
      <c r="D4681" s="98" t="s">
        <v>566</v>
      </c>
      <c r="E4681" s="98" t="s">
        <v>567</v>
      </c>
      <c r="F4681" s="98" t="s">
        <v>568</v>
      </c>
      <c r="G4681" s="81"/>
      <c r="H4681" s="81"/>
      <c r="I4681" s="81"/>
      <c r="J4681" s="81"/>
      <c r="K4681" s="81"/>
      <c r="L4681" s="81"/>
      <c r="M4681" s="81"/>
      <c r="N4681" s="81"/>
    </row>
    <row r="4682" spans="1:14" ht="14.25" customHeight="1" x14ac:dyDescent="0.25">
      <c r="A4682" s="99" t="s">
        <v>748</v>
      </c>
      <c r="B4682" s="100" t="s">
        <v>59</v>
      </c>
      <c r="C4682" s="101">
        <v>12100</v>
      </c>
      <c r="D4682" s="149">
        <v>1.3</v>
      </c>
      <c r="E4682" s="102">
        <v>0.05</v>
      </c>
      <c r="F4682" s="101">
        <f t="shared" ref="F4682:F4685" si="256">C4682*(D4682+(D4682*E4682))</f>
        <v>16516.5</v>
      </c>
      <c r="G4682" s="81"/>
      <c r="H4682" s="81"/>
      <c r="I4682" s="81"/>
      <c r="J4682" s="81"/>
      <c r="K4682" s="81"/>
      <c r="L4682" s="81"/>
      <c r="M4682" s="81"/>
      <c r="N4682" s="81"/>
    </row>
    <row r="4683" spans="1:14" ht="14.25" customHeight="1" x14ac:dyDescent="0.25">
      <c r="A4683" s="99" t="s">
        <v>622</v>
      </c>
      <c r="B4683" s="100" t="s">
        <v>99</v>
      </c>
      <c r="C4683" s="101">
        <v>85900</v>
      </c>
      <c r="D4683" s="149">
        <v>6.5000000000000002E-2</v>
      </c>
      <c r="E4683" s="102">
        <v>0.05</v>
      </c>
      <c r="F4683" s="101">
        <f t="shared" si="256"/>
        <v>5862.6750000000002</v>
      </c>
      <c r="G4683" s="81"/>
      <c r="H4683" s="81"/>
      <c r="I4683" s="81"/>
      <c r="J4683" s="81"/>
      <c r="K4683" s="81"/>
      <c r="L4683" s="81"/>
      <c r="M4683" s="81"/>
      <c r="N4683" s="81"/>
    </row>
    <row r="4684" spans="1:14" ht="14.25" customHeight="1" x14ac:dyDescent="0.25">
      <c r="A4684" s="99" t="s">
        <v>749</v>
      </c>
      <c r="B4684" s="100" t="s">
        <v>99</v>
      </c>
      <c r="C4684" s="101">
        <v>6000</v>
      </c>
      <c r="D4684" s="149">
        <v>1</v>
      </c>
      <c r="E4684" s="102"/>
      <c r="F4684" s="101">
        <f t="shared" si="256"/>
        <v>6000</v>
      </c>
      <c r="G4684" s="81"/>
      <c r="H4684" s="81"/>
      <c r="I4684" s="81"/>
      <c r="J4684" s="81"/>
      <c r="K4684" s="81"/>
      <c r="L4684" s="81"/>
      <c r="M4684" s="81"/>
      <c r="N4684" s="81"/>
    </row>
    <row r="4685" spans="1:14" ht="14.25" customHeight="1" x14ac:dyDescent="0.25">
      <c r="A4685" s="99" t="s">
        <v>750</v>
      </c>
      <c r="B4685" s="100" t="s">
        <v>99</v>
      </c>
      <c r="C4685" s="101">
        <v>8200</v>
      </c>
      <c r="D4685" s="105">
        <v>0.35</v>
      </c>
      <c r="E4685" s="102"/>
      <c r="F4685" s="101">
        <f t="shared" si="256"/>
        <v>2870</v>
      </c>
      <c r="G4685" s="81"/>
      <c r="H4685" s="81"/>
      <c r="I4685" s="81"/>
      <c r="J4685" s="81"/>
      <c r="K4685" s="81"/>
      <c r="L4685" s="81"/>
      <c r="M4685" s="81"/>
      <c r="N4685" s="81"/>
    </row>
    <row r="4686" spans="1:14" ht="14.25" customHeight="1" x14ac:dyDescent="0.25">
      <c r="A4686" s="99"/>
      <c r="B4686" s="100"/>
      <c r="C4686" s="106"/>
      <c r="D4686" s="107"/>
      <c r="E4686" s="108"/>
      <c r="F4686" s="106"/>
      <c r="G4686" s="81"/>
      <c r="H4686" s="81"/>
      <c r="I4686" s="81"/>
      <c r="J4686" s="81"/>
      <c r="K4686" s="81"/>
      <c r="L4686" s="81"/>
      <c r="M4686" s="81"/>
      <c r="N4686" s="81"/>
    </row>
    <row r="4687" spans="1:14" ht="14.25" customHeight="1" x14ac:dyDescent="0.25">
      <c r="A4687" s="97" t="s">
        <v>548</v>
      </c>
      <c r="B4687" s="97"/>
      <c r="C4687" s="109"/>
      <c r="D4687" s="110"/>
      <c r="E4687" s="111"/>
      <c r="F4687" s="112">
        <f>SUM(F4682:F4686)</f>
        <v>31249.174999999999</v>
      </c>
      <c r="G4687" s="81"/>
      <c r="H4687" s="81"/>
      <c r="I4687" s="81"/>
      <c r="J4687" s="81"/>
      <c r="K4687" s="81"/>
      <c r="L4687" s="81"/>
      <c r="M4687" s="81"/>
      <c r="N4687" s="81"/>
    </row>
    <row r="4688" spans="1:14" ht="14.25" customHeight="1" x14ac:dyDescent="0.25">
      <c r="A4688" s="88"/>
      <c r="B4688" s="88"/>
      <c r="C4688" s="113"/>
      <c r="D4688" s="113"/>
      <c r="E4688" s="114"/>
      <c r="F4688" s="113"/>
      <c r="G4688" s="81"/>
      <c r="H4688" s="81"/>
      <c r="I4688" s="81"/>
      <c r="J4688" s="81"/>
      <c r="K4688" s="81"/>
      <c r="L4688" s="81"/>
      <c r="M4688" s="81"/>
      <c r="N4688" s="81"/>
    </row>
    <row r="4689" spans="1:14" ht="14.25" customHeight="1" x14ac:dyDescent="0.25">
      <c r="A4689" s="96" t="s">
        <v>573</v>
      </c>
      <c r="B4689" s="96"/>
      <c r="C4689" s="92"/>
      <c r="D4689" s="92"/>
      <c r="E4689" s="92"/>
      <c r="F4689" s="92"/>
      <c r="G4689" s="81"/>
      <c r="H4689" s="81"/>
      <c r="I4689" s="81"/>
      <c r="J4689" s="81"/>
      <c r="K4689" s="81"/>
      <c r="L4689" s="81"/>
      <c r="M4689" s="81"/>
      <c r="N4689" s="81"/>
    </row>
    <row r="4690" spans="1:14" ht="14.25" customHeight="1" x14ac:dyDescent="0.25">
      <c r="A4690" s="611" t="s">
        <v>563</v>
      </c>
      <c r="B4690" s="608"/>
      <c r="C4690" s="609"/>
      <c r="D4690" s="98" t="s">
        <v>574</v>
      </c>
      <c r="E4690" s="98" t="s">
        <v>575</v>
      </c>
      <c r="F4690" s="98" t="s">
        <v>568</v>
      </c>
      <c r="G4690" s="81"/>
      <c r="H4690" s="81"/>
      <c r="I4690" s="81"/>
      <c r="J4690" s="81"/>
      <c r="K4690" s="81"/>
      <c r="L4690" s="81"/>
      <c r="M4690" s="81"/>
      <c r="N4690" s="81"/>
    </row>
    <row r="4691" spans="1:14" ht="14.25" customHeight="1" x14ac:dyDescent="0.25">
      <c r="A4691" s="607" t="s">
        <v>577</v>
      </c>
      <c r="B4691" s="608"/>
      <c r="C4691" s="609"/>
      <c r="D4691" s="116"/>
      <c r="E4691" s="107"/>
      <c r="F4691" s="106">
        <f>+F4702*5%</f>
        <v>1100.0577042807465</v>
      </c>
      <c r="G4691" s="81"/>
      <c r="H4691" s="81"/>
      <c r="I4691" s="81"/>
      <c r="J4691" s="81"/>
      <c r="K4691" s="81"/>
      <c r="L4691" s="81"/>
      <c r="M4691" s="81"/>
      <c r="N4691" s="81"/>
    </row>
    <row r="4692" spans="1:14" ht="14.25" customHeight="1" x14ac:dyDescent="0.25">
      <c r="A4692" s="607"/>
      <c r="B4692" s="608"/>
      <c r="C4692" s="609"/>
      <c r="D4692" s="116"/>
      <c r="E4692" s="107"/>
      <c r="F4692" s="106"/>
      <c r="G4692" s="81"/>
      <c r="H4692" s="81"/>
      <c r="I4692" s="81"/>
      <c r="J4692" s="81"/>
      <c r="K4692" s="81"/>
      <c r="L4692" s="81"/>
      <c r="M4692" s="81"/>
      <c r="N4692" s="81"/>
    </row>
    <row r="4693" spans="1:14" ht="14.25" customHeight="1" x14ac:dyDescent="0.25">
      <c r="A4693" s="610"/>
      <c r="B4693" s="608"/>
      <c r="C4693" s="609"/>
      <c r="D4693" s="115"/>
      <c r="E4693" s="107"/>
      <c r="F4693" s="106"/>
      <c r="G4693" s="81"/>
      <c r="H4693" s="81"/>
      <c r="I4693" s="81"/>
      <c r="J4693" s="81"/>
      <c r="K4693" s="81"/>
      <c r="L4693" s="81"/>
      <c r="M4693" s="81"/>
      <c r="N4693" s="81"/>
    </row>
    <row r="4694" spans="1:14" ht="14.25" customHeight="1" x14ac:dyDescent="0.25">
      <c r="A4694" s="611" t="s">
        <v>548</v>
      </c>
      <c r="B4694" s="608"/>
      <c r="C4694" s="609"/>
      <c r="D4694" s="110"/>
      <c r="E4694" s="110"/>
      <c r="F4694" s="112">
        <f>SUM(F4691:F4692)</f>
        <v>1100.0577042807465</v>
      </c>
      <c r="G4694" s="81"/>
      <c r="H4694" s="81"/>
      <c r="I4694" s="81"/>
      <c r="J4694" s="81"/>
      <c r="K4694" s="81"/>
      <c r="L4694" s="81"/>
      <c r="M4694" s="81"/>
      <c r="N4694" s="81"/>
    </row>
    <row r="4695" spans="1:14" ht="14.25" customHeight="1" x14ac:dyDescent="0.25">
      <c r="A4695" s="88"/>
      <c r="B4695" s="88"/>
      <c r="C4695" s="89"/>
      <c r="D4695" s="113"/>
      <c r="E4695" s="113"/>
      <c r="F4695" s="113"/>
      <c r="G4695" s="81"/>
      <c r="H4695" s="81"/>
      <c r="I4695" s="81"/>
      <c r="J4695" s="81"/>
      <c r="K4695" s="81"/>
      <c r="L4695" s="81"/>
      <c r="M4695" s="81"/>
      <c r="N4695" s="81"/>
    </row>
    <row r="4696" spans="1:14" ht="14.25" customHeight="1" x14ac:dyDescent="0.25">
      <c r="A4696" s="96" t="s">
        <v>578</v>
      </c>
      <c r="B4696" s="96"/>
      <c r="C4696" s="92"/>
      <c r="D4696" s="118"/>
      <c r="E4696" s="118"/>
      <c r="F4696" s="118"/>
      <c r="G4696" s="81"/>
      <c r="H4696" s="81"/>
      <c r="I4696" s="81"/>
      <c r="J4696" s="81"/>
      <c r="K4696" s="81"/>
      <c r="L4696" s="81"/>
      <c r="M4696" s="81"/>
      <c r="N4696" s="81"/>
    </row>
    <row r="4697" spans="1:14" ht="14.25" customHeight="1" x14ac:dyDescent="0.25">
      <c r="A4697" s="119" t="s">
        <v>563</v>
      </c>
      <c r="B4697" s="120" t="s">
        <v>579</v>
      </c>
      <c r="C4697" s="120" t="s">
        <v>580</v>
      </c>
      <c r="D4697" s="121" t="s">
        <v>581</v>
      </c>
      <c r="E4697" s="121" t="s">
        <v>575</v>
      </c>
      <c r="F4697" s="121" t="s">
        <v>568</v>
      </c>
      <c r="G4697" s="81"/>
      <c r="H4697" s="81"/>
      <c r="I4697" s="81"/>
      <c r="J4697" s="81"/>
      <c r="K4697" s="81"/>
      <c r="L4697" s="81"/>
      <c r="M4697" s="81"/>
      <c r="N4697" s="81"/>
    </row>
    <row r="4698" spans="1:14" ht="14.25" customHeight="1" x14ac:dyDescent="0.25">
      <c r="A4698" s="122" t="s">
        <v>593</v>
      </c>
      <c r="B4698" s="127">
        <v>1</v>
      </c>
      <c r="C4698" s="101">
        <v>32688</v>
      </c>
      <c r="D4698" s="101">
        <f t="shared" ref="D4698:D4699" si="257">+C4698*1.7</f>
        <v>55569.599999999999</v>
      </c>
      <c r="E4698" s="107">
        <v>6.5853000000000002</v>
      </c>
      <c r="F4698" s="106">
        <f t="shared" ref="F4698:F4699" si="258">+B4698*(D4698)/E4698</f>
        <v>8438.4310509771767</v>
      </c>
      <c r="G4698" s="81"/>
      <c r="H4698" s="81"/>
      <c r="I4698" s="81"/>
      <c r="J4698" s="81"/>
      <c r="K4698" s="81"/>
      <c r="L4698" s="81"/>
      <c r="M4698" s="81"/>
      <c r="N4698" s="81"/>
    </row>
    <row r="4699" spans="1:14" ht="14.25" customHeight="1" x14ac:dyDescent="0.25">
      <c r="A4699" s="122" t="s">
        <v>594</v>
      </c>
      <c r="B4699" s="127">
        <v>1</v>
      </c>
      <c r="C4699" s="101">
        <v>52538</v>
      </c>
      <c r="D4699" s="101">
        <f t="shared" si="257"/>
        <v>89314.599999999991</v>
      </c>
      <c r="E4699" s="107">
        <f>E4698</f>
        <v>6.5853000000000002</v>
      </c>
      <c r="F4699" s="106">
        <f t="shared" si="258"/>
        <v>13562.723034637753</v>
      </c>
      <c r="G4699" s="81"/>
      <c r="H4699" s="81"/>
      <c r="I4699" s="81"/>
      <c r="J4699" s="81"/>
      <c r="K4699" s="81"/>
      <c r="L4699" s="81"/>
      <c r="M4699" s="81"/>
      <c r="N4699" s="81"/>
    </row>
    <row r="4700" spans="1:14" ht="14.25" customHeight="1" x14ac:dyDescent="0.25">
      <c r="A4700" s="122"/>
      <c r="B4700" s="127"/>
      <c r="C4700" s="101"/>
      <c r="D4700" s="101"/>
      <c r="E4700" s="107"/>
      <c r="F4700" s="106"/>
      <c r="G4700" s="81"/>
      <c r="H4700" s="81"/>
      <c r="I4700" s="81"/>
      <c r="J4700" s="81"/>
      <c r="K4700" s="81"/>
      <c r="L4700" s="81"/>
      <c r="M4700" s="81"/>
      <c r="N4700" s="81"/>
    </row>
    <row r="4701" spans="1:14" ht="14.25" customHeight="1" x14ac:dyDescent="0.25">
      <c r="A4701" s="122"/>
      <c r="B4701" s="127"/>
      <c r="C4701" s="101"/>
      <c r="D4701" s="101"/>
      <c r="E4701" s="125"/>
      <c r="F4701" s="106"/>
      <c r="G4701" s="81"/>
      <c r="H4701" s="81"/>
      <c r="I4701" s="81"/>
      <c r="J4701" s="81"/>
      <c r="K4701" s="81"/>
      <c r="L4701" s="81"/>
      <c r="M4701" s="81"/>
      <c r="N4701" s="81"/>
    </row>
    <row r="4702" spans="1:14" ht="14.25" customHeight="1" x14ac:dyDescent="0.25">
      <c r="A4702" s="97" t="s">
        <v>548</v>
      </c>
      <c r="B4702" s="128"/>
      <c r="C4702" s="110"/>
      <c r="D4702" s="110"/>
      <c r="E4702" s="110"/>
      <c r="F4702" s="112">
        <f>SUM(F4698:F4701)</f>
        <v>22001.154085614929</v>
      </c>
      <c r="G4702" s="81"/>
      <c r="H4702" s="81"/>
      <c r="I4702" s="81"/>
      <c r="J4702" s="81"/>
      <c r="K4702" s="81"/>
      <c r="L4702" s="81"/>
      <c r="M4702" s="81"/>
      <c r="N4702" s="81"/>
    </row>
    <row r="4703" spans="1:14" ht="14.25" customHeight="1" x14ac:dyDescent="0.25">
      <c r="A4703" s="96"/>
      <c r="B4703" s="129"/>
      <c r="C4703" s="118"/>
      <c r="D4703" s="118"/>
      <c r="E4703" s="118"/>
      <c r="F4703" s="118"/>
      <c r="G4703" s="81"/>
      <c r="H4703" s="81"/>
      <c r="I4703" s="81"/>
      <c r="J4703" s="81"/>
      <c r="K4703" s="81"/>
      <c r="L4703" s="81"/>
      <c r="M4703" s="81"/>
      <c r="N4703" s="81"/>
    </row>
    <row r="4704" spans="1:14" ht="14.25" customHeight="1" x14ac:dyDescent="0.25">
      <c r="A4704" s="95" t="s">
        <v>583</v>
      </c>
      <c r="B4704" s="96"/>
      <c r="C4704" s="92"/>
      <c r="D4704" s="92"/>
      <c r="E4704" s="92" t="s">
        <v>584</v>
      </c>
      <c r="F4704" s="92"/>
      <c r="G4704" s="81"/>
      <c r="H4704" s="81"/>
      <c r="I4704" s="81"/>
      <c r="J4704" s="81"/>
      <c r="K4704" s="81"/>
      <c r="L4704" s="81"/>
      <c r="M4704" s="81"/>
      <c r="N4704" s="81"/>
    </row>
    <row r="4705" spans="1:14" ht="14.25" customHeight="1" x14ac:dyDescent="0.25">
      <c r="A4705" s="97" t="s">
        <v>563</v>
      </c>
      <c r="B4705" s="98" t="s">
        <v>564</v>
      </c>
      <c r="C4705" s="98" t="s">
        <v>585</v>
      </c>
      <c r="D4705" s="98" t="s">
        <v>586</v>
      </c>
      <c r="E4705" s="120" t="s">
        <v>587</v>
      </c>
      <c r="F4705" s="98" t="s">
        <v>568</v>
      </c>
      <c r="G4705" s="81"/>
      <c r="H4705" s="81"/>
      <c r="I4705" s="81"/>
      <c r="J4705" s="81"/>
      <c r="K4705" s="81"/>
      <c r="L4705" s="81"/>
      <c r="M4705" s="81"/>
      <c r="N4705" s="81"/>
    </row>
    <row r="4706" spans="1:14" ht="14.25" customHeight="1" x14ac:dyDescent="0.25">
      <c r="A4706" s="103"/>
      <c r="B4706" s="100"/>
      <c r="C4706" s="101"/>
      <c r="D4706" s="130"/>
      <c r="E4706" s="107"/>
      <c r="F4706" s="109"/>
      <c r="G4706" s="81"/>
      <c r="H4706" s="81"/>
      <c r="I4706" s="81"/>
      <c r="J4706" s="81"/>
      <c r="K4706" s="81"/>
      <c r="L4706" s="81"/>
      <c r="M4706" s="81"/>
      <c r="N4706" s="81"/>
    </row>
    <row r="4707" spans="1:14" ht="14.25" customHeight="1" x14ac:dyDescent="0.25">
      <c r="A4707" s="103"/>
      <c r="B4707" s="100"/>
      <c r="C4707" s="107"/>
      <c r="D4707" s="107"/>
      <c r="E4707" s="108"/>
      <c r="F4707" s="109"/>
      <c r="G4707" s="81"/>
      <c r="H4707" s="81"/>
      <c r="I4707" s="81"/>
      <c r="J4707" s="81"/>
      <c r="K4707" s="81"/>
      <c r="L4707" s="81"/>
      <c r="M4707" s="81"/>
      <c r="N4707" s="81"/>
    </row>
    <row r="4708" spans="1:14" ht="14.25" customHeight="1" x14ac:dyDescent="0.25">
      <c r="A4708" s="97" t="s">
        <v>548</v>
      </c>
      <c r="B4708" s="98"/>
      <c r="C4708" s="110"/>
      <c r="D4708" s="110"/>
      <c r="E4708" s="111"/>
      <c r="F4708" s="112">
        <f>SUM(F4706:F4707)</f>
        <v>0</v>
      </c>
      <c r="G4708" s="81"/>
      <c r="H4708" s="81"/>
      <c r="I4708" s="81"/>
      <c r="J4708" s="81"/>
      <c r="K4708" s="81"/>
      <c r="L4708" s="81"/>
      <c r="M4708" s="81"/>
      <c r="N4708" s="81"/>
    </row>
    <row r="4709" spans="1:14" ht="14.25" customHeight="1" x14ac:dyDescent="0.25">
      <c r="A4709" s="88"/>
      <c r="B4709" s="89"/>
      <c r="C4709" s="113"/>
      <c r="D4709" s="113"/>
      <c r="E4709" s="114"/>
      <c r="F4709" s="113"/>
      <c r="G4709" s="81"/>
      <c r="H4709" s="81"/>
      <c r="I4709" s="81"/>
      <c r="J4709" s="81"/>
      <c r="K4709" s="81"/>
      <c r="L4709" s="81"/>
      <c r="M4709" s="81"/>
      <c r="N4709" s="81"/>
    </row>
    <row r="4710" spans="1:14" ht="14.25" customHeight="1" x14ac:dyDescent="0.25">
      <c r="A4710" s="88"/>
      <c r="B4710" s="89"/>
      <c r="C4710" s="113"/>
      <c r="D4710" s="113"/>
      <c r="E4710" s="114"/>
      <c r="F4710" s="113"/>
      <c r="G4710" s="81"/>
      <c r="H4710" s="81"/>
      <c r="I4710" s="81"/>
      <c r="J4710" s="81"/>
      <c r="K4710" s="81"/>
      <c r="L4710" s="81"/>
      <c r="M4710" s="81"/>
      <c r="N4710" s="81"/>
    </row>
    <row r="4711" spans="1:14" ht="14.25" customHeight="1" x14ac:dyDescent="0.25">
      <c r="A4711" s="612" t="s">
        <v>588</v>
      </c>
      <c r="B4711" s="608"/>
      <c r="C4711" s="608"/>
      <c r="D4711" s="608"/>
      <c r="E4711" s="609"/>
      <c r="F4711" s="131">
        <f>ROUND(F4687+F4694+F4702+F4708,0)</f>
        <v>54350</v>
      </c>
      <c r="G4711" s="81"/>
      <c r="H4711" s="117"/>
      <c r="I4711" s="81"/>
      <c r="J4711" s="81"/>
      <c r="K4711" s="81"/>
      <c r="L4711" s="81"/>
      <c r="M4711" s="81"/>
      <c r="N4711" s="81"/>
    </row>
    <row r="4712" spans="1:14" ht="14.25" customHeight="1" x14ac:dyDescent="0.25">
      <c r="A4712" s="612" t="s">
        <v>589</v>
      </c>
      <c r="B4712" s="608"/>
      <c r="C4712" s="608"/>
      <c r="D4712" s="608"/>
      <c r="E4712" s="609"/>
      <c r="F4712" s="132"/>
      <c r="G4712" s="81"/>
      <c r="H4712" s="81"/>
      <c r="I4712" s="81"/>
      <c r="J4712" s="81"/>
      <c r="K4712" s="81"/>
      <c r="L4712" s="81"/>
      <c r="M4712" s="81"/>
      <c r="N4712" s="81"/>
    </row>
    <row r="4713" spans="1:14" ht="14.25" customHeight="1" x14ac:dyDescent="0.25">
      <c r="A4713" s="612" t="s">
        <v>556</v>
      </c>
      <c r="B4713" s="608"/>
      <c r="C4713" s="608"/>
      <c r="D4713" s="608"/>
      <c r="E4713" s="609"/>
      <c r="F4713" s="133"/>
      <c r="G4713" s="81"/>
      <c r="H4713" s="81"/>
      <c r="I4713" s="81"/>
      <c r="J4713" s="81"/>
      <c r="K4713" s="81"/>
      <c r="L4713" s="81"/>
      <c r="M4713" s="81"/>
      <c r="N4713" s="81"/>
    </row>
    <row r="4714" spans="1:14" ht="14.25" customHeight="1" x14ac:dyDescent="0.25">
      <c r="A4714" s="134"/>
      <c r="B4714" s="135"/>
      <c r="C4714" s="135"/>
      <c r="D4714" s="135"/>
      <c r="E4714" s="135"/>
      <c r="F4714" s="136"/>
      <c r="G4714" s="81"/>
      <c r="H4714" s="81"/>
      <c r="I4714" s="81"/>
      <c r="J4714" s="81"/>
      <c r="K4714" s="81"/>
      <c r="L4714" s="81"/>
      <c r="M4714" s="81"/>
      <c r="N4714" s="81"/>
    </row>
    <row r="4715" spans="1:14" ht="14.25" customHeight="1" x14ac:dyDescent="0.25">
      <c r="A4715" s="134"/>
      <c r="B4715" s="135"/>
      <c r="C4715" s="135"/>
      <c r="D4715" s="135"/>
      <c r="E4715" s="135"/>
      <c r="F4715" s="136"/>
      <c r="G4715" s="81"/>
      <c r="H4715" s="81"/>
      <c r="I4715" s="81"/>
      <c r="J4715" s="81"/>
      <c r="K4715" s="81"/>
      <c r="L4715" s="81"/>
      <c r="M4715" s="81"/>
      <c r="N4715" s="81"/>
    </row>
    <row r="4716" spans="1:14" ht="14.25" customHeight="1" x14ac:dyDescent="0.25">
      <c r="A4716" s="134"/>
      <c r="B4716" s="135"/>
      <c r="C4716" s="135"/>
      <c r="D4716" s="135"/>
      <c r="E4716" s="135"/>
      <c r="F4716" s="136"/>
      <c r="G4716" s="81"/>
      <c r="H4716" s="81"/>
      <c r="I4716" s="81"/>
      <c r="J4716" s="81"/>
      <c r="K4716" s="81"/>
      <c r="L4716" s="81"/>
      <c r="M4716" s="81"/>
      <c r="N4716" s="81"/>
    </row>
    <row r="4717" spans="1:14" ht="14.25" customHeight="1" x14ac:dyDescent="0.25">
      <c r="A4717" s="134"/>
      <c r="B4717" s="135"/>
      <c r="C4717" s="135"/>
      <c r="D4717" s="135"/>
      <c r="E4717" s="135"/>
      <c r="F4717" s="136"/>
      <c r="G4717" s="81"/>
      <c r="H4717" s="81"/>
      <c r="I4717" s="81"/>
      <c r="J4717" s="81"/>
      <c r="K4717" s="81"/>
      <c r="L4717" s="81"/>
      <c r="M4717" s="81"/>
      <c r="N4717" s="81"/>
    </row>
    <row r="4718" spans="1:14" ht="14.25" customHeight="1" x14ac:dyDescent="0.25">
      <c r="A4718" s="134"/>
      <c r="B4718" s="135"/>
      <c r="C4718" s="135"/>
      <c r="D4718" s="135"/>
      <c r="E4718" s="135"/>
      <c r="F4718" s="136"/>
      <c r="G4718" s="81"/>
      <c r="H4718" s="81"/>
      <c r="I4718" s="81"/>
      <c r="J4718" s="81"/>
      <c r="K4718" s="81"/>
      <c r="L4718" s="81"/>
      <c r="M4718" s="81"/>
      <c r="N4718" s="81"/>
    </row>
    <row r="4719" spans="1:14" ht="14.25" customHeight="1" x14ac:dyDescent="0.25">
      <c r="A4719" s="134"/>
      <c r="B4719" s="135"/>
      <c r="C4719" s="135"/>
      <c r="D4719" s="135"/>
      <c r="E4719" s="135"/>
      <c r="F4719" s="136"/>
      <c r="G4719" s="81"/>
      <c r="H4719" s="81"/>
      <c r="I4719" s="81"/>
      <c r="J4719" s="81"/>
      <c r="K4719" s="81"/>
      <c r="L4719" s="81"/>
      <c r="M4719" s="81"/>
      <c r="N4719" s="81"/>
    </row>
    <row r="4720" spans="1:14" ht="14.25" customHeight="1" x14ac:dyDescent="0.25">
      <c r="A4720" s="134"/>
      <c r="B4720" s="135"/>
      <c r="C4720" s="135"/>
      <c r="D4720" s="135"/>
      <c r="E4720" s="135"/>
      <c r="F4720" s="136"/>
      <c r="G4720" s="81"/>
      <c r="H4720" s="81"/>
      <c r="I4720" s="81"/>
      <c r="J4720" s="81"/>
      <c r="K4720" s="81"/>
      <c r="L4720" s="81"/>
      <c r="M4720" s="81"/>
      <c r="N4720" s="81"/>
    </row>
    <row r="4721" spans="1:14" ht="14.25" customHeight="1" x14ac:dyDescent="0.25">
      <c r="A4721" s="81"/>
      <c r="B4721" s="81"/>
      <c r="C4721" s="137"/>
      <c r="D4721" s="81"/>
      <c r="E4721" s="81"/>
      <c r="F4721" s="81"/>
      <c r="G4721" s="81"/>
      <c r="H4721" s="81"/>
      <c r="I4721" s="81"/>
      <c r="J4721" s="81"/>
      <c r="K4721" s="81"/>
      <c r="L4721" s="81"/>
      <c r="M4721" s="81"/>
      <c r="N4721" s="81"/>
    </row>
    <row r="4722" spans="1:14" ht="14.25" customHeight="1" x14ac:dyDescent="0.25">
      <c r="A4722" s="81"/>
      <c r="B4722" s="81"/>
      <c r="C4722" s="137"/>
      <c r="D4722" s="81"/>
      <c r="E4722" s="81"/>
      <c r="F4722" s="81"/>
      <c r="G4722" s="81"/>
      <c r="H4722" s="81"/>
      <c r="I4722" s="81"/>
      <c r="J4722" s="81"/>
      <c r="K4722" s="81"/>
      <c r="L4722" s="81"/>
      <c r="M4722" s="81"/>
      <c r="N4722" s="81"/>
    </row>
    <row r="4723" spans="1:14" ht="14.25" customHeight="1" x14ac:dyDescent="0.25">
      <c r="A4723" s="81"/>
      <c r="B4723" s="81"/>
      <c r="C4723" s="137"/>
      <c r="D4723" s="81"/>
      <c r="E4723" s="81"/>
      <c r="F4723" s="81"/>
      <c r="G4723" s="81"/>
      <c r="H4723" s="81"/>
      <c r="I4723" s="81"/>
      <c r="J4723" s="81"/>
      <c r="K4723" s="81"/>
      <c r="L4723" s="81"/>
      <c r="M4723" s="81"/>
      <c r="N4723" s="81"/>
    </row>
    <row r="4724" spans="1:14" ht="14.25" customHeight="1" x14ac:dyDescent="0.25">
      <c r="A4724" s="81"/>
      <c r="B4724" s="81"/>
      <c r="C4724" s="137"/>
      <c r="D4724" s="81"/>
      <c r="E4724" s="81"/>
      <c r="F4724" s="81"/>
      <c r="G4724" s="81"/>
      <c r="H4724" s="81"/>
      <c r="I4724" s="81"/>
      <c r="J4724" s="81"/>
      <c r="K4724" s="81"/>
      <c r="L4724" s="81"/>
      <c r="M4724" s="81"/>
      <c r="N4724" s="81"/>
    </row>
    <row r="4725" spans="1:14" ht="14.25" customHeight="1" thickBot="1" x14ac:dyDescent="0.3">
      <c r="A4725" s="81"/>
      <c r="B4725" s="81"/>
      <c r="C4725" s="81"/>
      <c r="D4725" s="81"/>
      <c r="E4725" s="81"/>
      <c r="F4725" s="81"/>
      <c r="G4725" s="81"/>
      <c r="H4725" s="81"/>
      <c r="I4725" s="81"/>
      <c r="J4725" s="81"/>
      <c r="K4725" s="81"/>
      <c r="L4725" s="81"/>
      <c r="M4725" s="81"/>
      <c r="N4725" s="81"/>
    </row>
    <row r="4726" spans="1:14" ht="14.25" customHeight="1" x14ac:dyDescent="0.25">
      <c r="A4726" s="83"/>
      <c r="B4726" s="84"/>
      <c r="C4726" s="85"/>
      <c r="D4726" s="86"/>
      <c r="E4726" s="86"/>
      <c r="F4726" s="87"/>
      <c r="G4726" s="81"/>
      <c r="H4726" s="81"/>
      <c r="I4726" s="81"/>
      <c r="J4726" s="81"/>
      <c r="K4726" s="81"/>
      <c r="L4726" s="81"/>
      <c r="M4726" s="81"/>
      <c r="N4726" s="81"/>
    </row>
    <row r="4727" spans="1:14" ht="14.25" customHeight="1" x14ac:dyDescent="0.25">
      <c r="A4727" s="599"/>
      <c r="B4727" s="600"/>
      <c r="C4727" s="600"/>
      <c r="D4727" s="600"/>
      <c r="E4727" s="600"/>
      <c r="F4727" s="601"/>
      <c r="G4727" s="81"/>
      <c r="H4727" s="81"/>
      <c r="I4727" s="81"/>
      <c r="J4727" s="81"/>
      <c r="K4727" s="81"/>
      <c r="L4727" s="81"/>
      <c r="M4727" s="81"/>
      <c r="N4727" s="81"/>
    </row>
    <row r="4728" spans="1:14" ht="14.25" customHeight="1" x14ac:dyDescent="0.25">
      <c r="A4728" s="602" t="s">
        <v>561</v>
      </c>
      <c r="B4728" s="600"/>
      <c r="C4728" s="600"/>
      <c r="D4728" s="600"/>
      <c r="E4728" s="600"/>
      <c r="F4728" s="601"/>
      <c r="G4728" s="81"/>
      <c r="H4728" s="81"/>
      <c r="I4728" s="81"/>
      <c r="J4728" s="81"/>
      <c r="K4728" s="81"/>
      <c r="L4728" s="81"/>
      <c r="M4728" s="81"/>
      <c r="N4728" s="81"/>
    </row>
    <row r="4729" spans="1:14" ht="14.25" customHeight="1" thickBot="1" x14ac:dyDescent="0.3">
      <c r="A4729" s="603"/>
      <c r="B4729" s="604"/>
      <c r="C4729" s="604"/>
      <c r="D4729" s="604"/>
      <c r="E4729" s="604"/>
      <c r="F4729" s="605"/>
      <c r="G4729" s="81"/>
      <c r="H4729" s="81"/>
      <c r="I4729" s="81"/>
      <c r="J4729" s="81"/>
      <c r="K4729" s="81"/>
      <c r="L4729" s="81"/>
      <c r="M4729" s="81"/>
      <c r="N4729" s="81"/>
    </row>
    <row r="4730" spans="1:14" ht="14.25" customHeight="1" x14ac:dyDescent="0.25">
      <c r="A4730" s="88"/>
      <c r="B4730" s="88"/>
      <c r="C4730" s="89"/>
      <c r="D4730" s="89"/>
      <c r="E4730" s="89"/>
      <c r="F4730" s="89"/>
      <c r="G4730" s="81"/>
      <c r="H4730" s="81"/>
      <c r="I4730" s="81"/>
      <c r="J4730" s="81"/>
      <c r="K4730" s="81"/>
      <c r="L4730" s="81"/>
      <c r="M4730" s="81"/>
      <c r="N4730" s="81"/>
    </row>
    <row r="4731" spans="1:14" ht="14.25" customHeight="1" x14ac:dyDescent="0.25">
      <c r="A4731" s="90" t="s">
        <v>47</v>
      </c>
      <c r="B4731" s="613" t="s">
        <v>226</v>
      </c>
      <c r="C4731" s="600"/>
      <c r="D4731" s="600"/>
      <c r="E4731" s="600"/>
      <c r="F4731" s="600"/>
      <c r="G4731" s="81"/>
      <c r="H4731" s="81"/>
      <c r="I4731" s="81"/>
      <c r="J4731" s="81"/>
      <c r="K4731" s="81"/>
      <c r="L4731" s="81"/>
      <c r="M4731" s="81"/>
      <c r="N4731" s="81"/>
    </row>
    <row r="4732" spans="1:14" ht="14.25" customHeight="1" x14ac:dyDescent="0.25">
      <c r="A4732" s="91"/>
      <c r="B4732" s="91"/>
      <c r="C4732" s="91"/>
      <c r="D4732" s="91"/>
      <c r="E4732" s="91"/>
      <c r="F4732" s="91"/>
      <c r="G4732" s="81"/>
      <c r="H4732" s="81"/>
      <c r="I4732" s="81"/>
      <c r="J4732" s="81"/>
      <c r="K4732" s="81"/>
      <c r="L4732" s="81"/>
      <c r="M4732" s="81"/>
      <c r="N4732" s="81"/>
    </row>
    <row r="4733" spans="1:14" ht="14.25" customHeight="1" x14ac:dyDescent="0.25">
      <c r="A4733" s="88" t="s">
        <v>49</v>
      </c>
      <c r="B4733" s="92" t="s">
        <v>99</v>
      </c>
      <c r="C4733" s="89"/>
      <c r="D4733" s="89"/>
      <c r="E4733" s="89"/>
      <c r="F4733" s="93"/>
      <c r="G4733" s="81"/>
      <c r="H4733" s="81"/>
      <c r="I4733" s="81"/>
      <c r="J4733" s="81"/>
      <c r="K4733" s="81"/>
      <c r="L4733" s="81"/>
      <c r="M4733" s="81"/>
      <c r="N4733" s="81"/>
    </row>
    <row r="4734" spans="1:14" ht="14.25" customHeight="1" x14ac:dyDescent="0.25">
      <c r="A4734" s="88"/>
      <c r="B4734" s="94"/>
      <c r="C4734" s="89"/>
      <c r="D4734" s="89"/>
      <c r="E4734" s="89"/>
      <c r="F4734" s="93"/>
      <c r="G4734" s="81"/>
      <c r="H4734" s="81"/>
      <c r="I4734" s="81"/>
      <c r="J4734" s="81"/>
      <c r="K4734" s="81"/>
      <c r="L4734" s="81"/>
      <c r="M4734" s="81"/>
      <c r="N4734" s="81"/>
    </row>
    <row r="4735" spans="1:14" ht="14.25" customHeight="1" x14ac:dyDescent="0.25">
      <c r="A4735" s="95" t="s">
        <v>562</v>
      </c>
      <c r="B4735" s="96"/>
      <c r="C4735" s="92"/>
      <c r="D4735" s="92"/>
      <c r="E4735" s="92"/>
      <c r="F4735" s="92"/>
      <c r="G4735" s="81"/>
      <c r="H4735" s="81"/>
      <c r="I4735" s="81"/>
      <c r="J4735" s="81"/>
      <c r="K4735" s="81"/>
      <c r="L4735" s="81"/>
      <c r="M4735" s="81"/>
      <c r="N4735" s="81"/>
    </row>
    <row r="4736" spans="1:14" ht="14.25" customHeight="1" x14ac:dyDescent="0.25">
      <c r="A4736" s="97" t="s">
        <v>563</v>
      </c>
      <c r="B4736" s="98" t="s">
        <v>564</v>
      </c>
      <c r="C4736" s="98" t="s">
        <v>565</v>
      </c>
      <c r="D4736" s="98" t="s">
        <v>566</v>
      </c>
      <c r="E4736" s="98" t="s">
        <v>567</v>
      </c>
      <c r="F4736" s="98" t="s">
        <v>568</v>
      </c>
      <c r="G4736" s="81"/>
      <c r="H4736" s="81"/>
      <c r="I4736" s="81"/>
      <c r="J4736" s="81"/>
      <c r="K4736" s="81"/>
      <c r="L4736" s="81"/>
      <c r="M4736" s="81"/>
      <c r="N4736" s="81"/>
    </row>
    <row r="4737" spans="1:14" ht="14.25" customHeight="1" x14ac:dyDescent="0.25">
      <c r="A4737" s="99" t="s">
        <v>751</v>
      </c>
      <c r="B4737" s="100" t="s">
        <v>59</v>
      </c>
      <c r="C4737" s="101">
        <v>8500</v>
      </c>
      <c r="D4737" s="149">
        <v>1.2</v>
      </c>
      <c r="E4737" s="102">
        <v>0.05</v>
      </c>
      <c r="F4737" s="101">
        <f t="shared" ref="F4737:F4740" si="259">C4737*(D4737+(D4737*E4737))</f>
        <v>10710</v>
      </c>
      <c r="G4737" s="81"/>
      <c r="H4737" s="81"/>
      <c r="I4737" s="81"/>
      <c r="J4737" s="81"/>
      <c r="K4737" s="81"/>
      <c r="L4737" s="81"/>
      <c r="M4737" s="81"/>
      <c r="N4737" s="81"/>
    </row>
    <row r="4738" spans="1:14" ht="14.25" customHeight="1" x14ac:dyDescent="0.25">
      <c r="A4738" s="99" t="s">
        <v>622</v>
      </c>
      <c r="B4738" s="100" t="s">
        <v>99</v>
      </c>
      <c r="C4738" s="101">
        <v>85900</v>
      </c>
      <c r="D4738" s="149">
        <v>0.05</v>
      </c>
      <c r="E4738" s="102">
        <v>0.05</v>
      </c>
      <c r="F4738" s="101">
        <f t="shared" si="259"/>
        <v>4509.75</v>
      </c>
      <c r="G4738" s="81"/>
      <c r="H4738" s="81"/>
      <c r="I4738" s="81"/>
      <c r="J4738" s="81"/>
      <c r="K4738" s="81"/>
      <c r="L4738" s="81"/>
      <c r="M4738" s="81"/>
      <c r="N4738" s="81"/>
    </row>
    <row r="4739" spans="1:14" ht="14.25" customHeight="1" x14ac:dyDescent="0.25">
      <c r="A4739" s="99" t="s">
        <v>752</v>
      </c>
      <c r="B4739" s="100" t="s">
        <v>99</v>
      </c>
      <c r="C4739" s="101">
        <v>2200</v>
      </c>
      <c r="D4739" s="149">
        <v>1</v>
      </c>
      <c r="E4739" s="102"/>
      <c r="F4739" s="101">
        <f t="shared" si="259"/>
        <v>2200</v>
      </c>
      <c r="G4739" s="81"/>
      <c r="H4739" s="81"/>
      <c r="I4739" s="81"/>
      <c r="J4739" s="81"/>
      <c r="K4739" s="81"/>
      <c r="L4739" s="81"/>
      <c r="M4739" s="81"/>
      <c r="N4739" s="81"/>
    </row>
    <row r="4740" spans="1:14" ht="14.25" customHeight="1" x14ac:dyDescent="0.25">
      <c r="A4740" s="99" t="s">
        <v>753</v>
      </c>
      <c r="B4740" s="100" t="s">
        <v>99</v>
      </c>
      <c r="C4740" s="101">
        <v>4000</v>
      </c>
      <c r="D4740" s="105">
        <v>0.35</v>
      </c>
      <c r="E4740" s="102"/>
      <c r="F4740" s="101">
        <f t="shared" si="259"/>
        <v>1400</v>
      </c>
      <c r="G4740" s="81"/>
      <c r="H4740" s="81"/>
      <c r="I4740" s="81"/>
      <c r="J4740" s="81"/>
      <c r="K4740" s="81"/>
      <c r="L4740" s="81"/>
      <c r="M4740" s="81"/>
      <c r="N4740" s="81"/>
    </row>
    <row r="4741" spans="1:14" ht="14.25" customHeight="1" x14ac:dyDescent="0.25">
      <c r="A4741" s="99"/>
      <c r="B4741" s="100"/>
      <c r="C4741" s="106"/>
      <c r="D4741" s="107"/>
      <c r="E4741" s="108"/>
      <c r="F4741" s="106"/>
      <c r="G4741" s="81"/>
      <c r="H4741" s="81"/>
      <c r="I4741" s="81"/>
      <c r="J4741" s="81"/>
      <c r="K4741" s="81"/>
      <c r="L4741" s="81"/>
      <c r="M4741" s="81"/>
      <c r="N4741" s="81"/>
    </row>
    <row r="4742" spans="1:14" ht="14.25" customHeight="1" x14ac:dyDescent="0.25">
      <c r="A4742" s="97" t="s">
        <v>548</v>
      </c>
      <c r="B4742" s="97"/>
      <c r="C4742" s="109"/>
      <c r="D4742" s="110"/>
      <c r="E4742" s="111"/>
      <c r="F4742" s="112">
        <f>SUM(F4737:F4741)</f>
        <v>18819.75</v>
      </c>
      <c r="G4742" s="81"/>
      <c r="H4742" s="81"/>
      <c r="I4742" s="81"/>
      <c r="J4742" s="81"/>
      <c r="K4742" s="81"/>
      <c r="L4742" s="81"/>
      <c r="M4742" s="81"/>
      <c r="N4742" s="81"/>
    </row>
    <row r="4743" spans="1:14" ht="14.25" customHeight="1" x14ac:dyDescent="0.25">
      <c r="A4743" s="88"/>
      <c r="B4743" s="88"/>
      <c r="C4743" s="113"/>
      <c r="D4743" s="113"/>
      <c r="E4743" s="114"/>
      <c r="F4743" s="113"/>
      <c r="G4743" s="81"/>
      <c r="H4743" s="81"/>
      <c r="I4743" s="81"/>
      <c r="J4743" s="81"/>
      <c r="K4743" s="81"/>
      <c r="L4743" s="81"/>
      <c r="M4743" s="81"/>
      <c r="N4743" s="81"/>
    </row>
    <row r="4744" spans="1:14" ht="14.25" customHeight="1" x14ac:dyDescent="0.25">
      <c r="A4744" s="96" t="s">
        <v>573</v>
      </c>
      <c r="B4744" s="96"/>
      <c r="C4744" s="92"/>
      <c r="D4744" s="92"/>
      <c r="E4744" s="92"/>
      <c r="F4744" s="92"/>
      <c r="G4744" s="81"/>
      <c r="H4744" s="81"/>
      <c r="I4744" s="81"/>
      <c r="J4744" s="81"/>
      <c r="K4744" s="81"/>
      <c r="L4744" s="81"/>
      <c r="M4744" s="81"/>
      <c r="N4744" s="81"/>
    </row>
    <row r="4745" spans="1:14" ht="14.25" customHeight="1" x14ac:dyDescent="0.25">
      <c r="A4745" s="611" t="s">
        <v>563</v>
      </c>
      <c r="B4745" s="608"/>
      <c r="C4745" s="609"/>
      <c r="D4745" s="98" t="s">
        <v>574</v>
      </c>
      <c r="E4745" s="98" t="s">
        <v>575</v>
      </c>
      <c r="F4745" s="98" t="s">
        <v>568</v>
      </c>
      <c r="G4745" s="81"/>
      <c r="H4745" s="81"/>
      <c r="I4745" s="81"/>
      <c r="J4745" s="81"/>
      <c r="K4745" s="81"/>
      <c r="L4745" s="81"/>
      <c r="M4745" s="81"/>
      <c r="N4745" s="81"/>
    </row>
    <row r="4746" spans="1:14" ht="14.25" customHeight="1" x14ac:dyDescent="0.25">
      <c r="A4746" s="607" t="s">
        <v>577</v>
      </c>
      <c r="B4746" s="608"/>
      <c r="C4746" s="609"/>
      <c r="D4746" s="116"/>
      <c r="E4746" s="107"/>
      <c r="F4746" s="106">
        <f>+F4757*5%</f>
        <v>1000.5814917127071</v>
      </c>
      <c r="G4746" s="81"/>
      <c r="H4746" s="81"/>
      <c r="I4746" s="81"/>
      <c r="J4746" s="81"/>
      <c r="K4746" s="81"/>
      <c r="L4746" s="81"/>
      <c r="M4746" s="81"/>
      <c r="N4746" s="81"/>
    </row>
    <row r="4747" spans="1:14" ht="14.25" customHeight="1" x14ac:dyDescent="0.25">
      <c r="A4747" s="607"/>
      <c r="B4747" s="608"/>
      <c r="C4747" s="609"/>
      <c r="D4747" s="116"/>
      <c r="E4747" s="107"/>
      <c r="F4747" s="106"/>
      <c r="G4747" s="81"/>
      <c r="H4747" s="81"/>
      <c r="I4747" s="81"/>
      <c r="J4747" s="81"/>
      <c r="K4747" s="81"/>
      <c r="L4747" s="81"/>
      <c r="M4747" s="81"/>
      <c r="N4747" s="81"/>
    </row>
    <row r="4748" spans="1:14" ht="14.25" customHeight="1" x14ac:dyDescent="0.25">
      <c r="A4748" s="610"/>
      <c r="B4748" s="608"/>
      <c r="C4748" s="609"/>
      <c r="D4748" s="115"/>
      <c r="E4748" s="107"/>
      <c r="F4748" s="106"/>
      <c r="G4748" s="81"/>
      <c r="H4748" s="81"/>
      <c r="I4748" s="81"/>
      <c r="J4748" s="81"/>
      <c r="K4748" s="81"/>
      <c r="L4748" s="81"/>
      <c r="M4748" s="81"/>
      <c r="N4748" s="81"/>
    </row>
    <row r="4749" spans="1:14" ht="14.25" customHeight="1" x14ac:dyDescent="0.25">
      <c r="A4749" s="611" t="s">
        <v>548</v>
      </c>
      <c r="B4749" s="608"/>
      <c r="C4749" s="609"/>
      <c r="D4749" s="110"/>
      <c r="E4749" s="110"/>
      <c r="F4749" s="112">
        <f>SUM(F4746:F4747)</f>
        <v>1000.5814917127071</v>
      </c>
      <c r="G4749" s="81"/>
      <c r="H4749" s="81"/>
      <c r="I4749" s="81"/>
      <c r="J4749" s="81"/>
      <c r="K4749" s="81"/>
      <c r="L4749" s="81"/>
      <c r="M4749" s="81"/>
      <c r="N4749" s="81"/>
    </row>
    <row r="4750" spans="1:14" ht="14.25" customHeight="1" x14ac:dyDescent="0.25">
      <c r="A4750" s="88"/>
      <c r="B4750" s="88"/>
      <c r="C4750" s="89"/>
      <c r="D4750" s="113"/>
      <c r="E4750" s="113"/>
      <c r="F4750" s="113"/>
      <c r="G4750" s="81"/>
      <c r="H4750" s="81"/>
      <c r="I4750" s="81"/>
      <c r="J4750" s="81"/>
      <c r="K4750" s="81"/>
      <c r="L4750" s="81"/>
      <c r="M4750" s="81"/>
      <c r="N4750" s="81"/>
    </row>
    <row r="4751" spans="1:14" ht="14.25" customHeight="1" x14ac:dyDescent="0.25">
      <c r="A4751" s="96" t="s">
        <v>578</v>
      </c>
      <c r="B4751" s="96"/>
      <c r="C4751" s="92"/>
      <c r="D4751" s="118"/>
      <c r="E4751" s="118"/>
      <c r="F4751" s="118"/>
      <c r="G4751" s="81"/>
      <c r="H4751" s="81"/>
      <c r="I4751" s="81"/>
      <c r="J4751" s="81"/>
      <c r="K4751" s="81"/>
      <c r="L4751" s="81"/>
      <c r="M4751" s="81"/>
      <c r="N4751" s="81"/>
    </row>
    <row r="4752" spans="1:14" ht="14.25" customHeight="1" x14ac:dyDescent="0.25">
      <c r="A4752" s="119" t="s">
        <v>563</v>
      </c>
      <c r="B4752" s="120" t="s">
        <v>579</v>
      </c>
      <c r="C4752" s="120" t="s">
        <v>580</v>
      </c>
      <c r="D4752" s="121" t="s">
        <v>581</v>
      </c>
      <c r="E4752" s="121" t="s">
        <v>575</v>
      </c>
      <c r="F4752" s="121" t="s">
        <v>568</v>
      </c>
      <c r="G4752" s="81"/>
      <c r="H4752" s="81"/>
      <c r="I4752" s="81"/>
      <c r="J4752" s="81"/>
      <c r="K4752" s="81"/>
      <c r="L4752" s="81"/>
      <c r="M4752" s="81"/>
      <c r="N4752" s="81"/>
    </row>
    <row r="4753" spans="1:14" ht="14.25" customHeight="1" x14ac:dyDescent="0.25">
      <c r="A4753" s="122" t="s">
        <v>593</v>
      </c>
      <c r="B4753" s="127">
        <v>1</v>
      </c>
      <c r="C4753" s="101">
        <v>32688</v>
      </c>
      <c r="D4753" s="101">
        <f t="shared" ref="D4753:D4754" si="260">+C4753*1.7</f>
        <v>55569.599999999999</v>
      </c>
      <c r="E4753" s="107">
        <v>7.24</v>
      </c>
      <c r="F4753" s="106">
        <f t="shared" ref="F4753:F4754" si="261">+B4753*(D4753)/E4753</f>
        <v>7675.3591160220994</v>
      </c>
      <c r="G4753" s="81"/>
      <c r="H4753" s="81"/>
      <c r="I4753" s="81"/>
      <c r="J4753" s="81"/>
      <c r="K4753" s="81"/>
      <c r="L4753" s="81"/>
      <c r="M4753" s="81"/>
      <c r="N4753" s="81"/>
    </row>
    <row r="4754" spans="1:14" ht="14.25" customHeight="1" x14ac:dyDescent="0.25">
      <c r="A4754" s="122" t="s">
        <v>594</v>
      </c>
      <c r="B4754" s="127">
        <v>1</v>
      </c>
      <c r="C4754" s="101">
        <v>52538</v>
      </c>
      <c r="D4754" s="101">
        <f t="shared" si="260"/>
        <v>89314.599999999991</v>
      </c>
      <c r="E4754" s="107">
        <f>E4753</f>
        <v>7.24</v>
      </c>
      <c r="F4754" s="106">
        <f t="shared" si="261"/>
        <v>12336.270718232043</v>
      </c>
      <c r="G4754" s="81"/>
      <c r="H4754" s="81"/>
      <c r="I4754" s="81"/>
      <c r="J4754" s="81"/>
      <c r="K4754" s="81"/>
      <c r="L4754" s="81"/>
      <c r="M4754" s="81"/>
      <c r="N4754" s="81"/>
    </row>
    <row r="4755" spans="1:14" ht="14.25" customHeight="1" x14ac:dyDescent="0.25">
      <c r="A4755" s="122"/>
      <c r="B4755" s="127"/>
      <c r="C4755" s="101"/>
      <c r="D4755" s="101"/>
      <c r="E4755" s="107"/>
      <c r="F4755" s="106"/>
      <c r="G4755" s="81"/>
      <c r="H4755" s="81"/>
      <c r="I4755" s="81"/>
      <c r="J4755" s="81"/>
      <c r="K4755" s="81"/>
      <c r="L4755" s="81"/>
      <c r="M4755" s="81"/>
      <c r="N4755" s="81"/>
    </row>
    <row r="4756" spans="1:14" ht="14.25" customHeight="1" x14ac:dyDescent="0.25">
      <c r="A4756" s="122"/>
      <c r="B4756" s="127"/>
      <c r="C4756" s="101"/>
      <c r="D4756" s="101"/>
      <c r="E4756" s="125"/>
      <c r="F4756" s="106"/>
      <c r="G4756" s="81"/>
      <c r="H4756" s="81"/>
      <c r="I4756" s="81"/>
      <c r="J4756" s="81"/>
      <c r="K4756" s="81"/>
      <c r="L4756" s="81"/>
      <c r="M4756" s="81"/>
      <c r="N4756" s="81"/>
    </row>
    <row r="4757" spans="1:14" ht="14.25" customHeight="1" x14ac:dyDescent="0.25">
      <c r="A4757" s="97" t="s">
        <v>548</v>
      </c>
      <c r="B4757" s="128"/>
      <c r="C4757" s="110"/>
      <c r="D4757" s="110"/>
      <c r="E4757" s="110"/>
      <c r="F4757" s="112">
        <f>SUM(F4753:F4756)</f>
        <v>20011.629834254141</v>
      </c>
      <c r="G4757" s="81"/>
      <c r="H4757" s="81"/>
      <c r="I4757" s="81"/>
      <c r="J4757" s="81"/>
      <c r="K4757" s="81"/>
      <c r="L4757" s="81"/>
      <c r="M4757" s="81"/>
      <c r="N4757" s="81"/>
    </row>
    <row r="4758" spans="1:14" ht="14.25" customHeight="1" x14ac:dyDescent="0.25">
      <c r="A4758" s="96"/>
      <c r="B4758" s="129"/>
      <c r="C4758" s="118"/>
      <c r="D4758" s="118"/>
      <c r="E4758" s="118"/>
      <c r="F4758" s="118"/>
      <c r="G4758" s="81"/>
      <c r="H4758" s="81"/>
      <c r="I4758" s="81"/>
      <c r="J4758" s="81"/>
      <c r="K4758" s="81"/>
      <c r="L4758" s="81"/>
      <c r="M4758" s="81"/>
      <c r="N4758" s="81"/>
    </row>
    <row r="4759" spans="1:14" ht="14.25" customHeight="1" x14ac:dyDescent="0.25">
      <c r="A4759" s="95" t="s">
        <v>583</v>
      </c>
      <c r="B4759" s="96"/>
      <c r="C4759" s="92"/>
      <c r="D4759" s="92"/>
      <c r="E4759" s="92" t="s">
        <v>584</v>
      </c>
      <c r="F4759" s="92"/>
      <c r="G4759" s="81"/>
      <c r="H4759" s="81"/>
      <c r="I4759" s="81"/>
      <c r="J4759" s="81"/>
      <c r="K4759" s="81"/>
      <c r="L4759" s="81"/>
      <c r="M4759" s="81"/>
      <c r="N4759" s="81"/>
    </row>
    <row r="4760" spans="1:14" ht="14.25" customHeight="1" x14ac:dyDescent="0.25">
      <c r="A4760" s="97" t="s">
        <v>563</v>
      </c>
      <c r="B4760" s="98" t="s">
        <v>564</v>
      </c>
      <c r="C4760" s="98" t="s">
        <v>585</v>
      </c>
      <c r="D4760" s="98" t="s">
        <v>586</v>
      </c>
      <c r="E4760" s="120" t="s">
        <v>587</v>
      </c>
      <c r="F4760" s="98" t="s">
        <v>568</v>
      </c>
      <c r="G4760" s="81"/>
      <c r="H4760" s="81"/>
      <c r="I4760" s="81"/>
      <c r="J4760" s="81"/>
      <c r="K4760" s="81"/>
      <c r="L4760" s="81"/>
      <c r="M4760" s="81"/>
      <c r="N4760" s="81"/>
    </row>
    <row r="4761" spans="1:14" ht="14.25" customHeight="1" x14ac:dyDescent="0.25">
      <c r="A4761" s="103"/>
      <c r="B4761" s="100"/>
      <c r="C4761" s="101"/>
      <c r="D4761" s="130"/>
      <c r="E4761" s="107"/>
      <c r="F4761" s="109"/>
      <c r="G4761" s="81"/>
      <c r="H4761" s="81"/>
      <c r="I4761" s="81"/>
      <c r="J4761" s="81"/>
      <c r="K4761" s="81"/>
      <c r="L4761" s="81"/>
      <c r="M4761" s="81"/>
      <c r="N4761" s="81"/>
    </row>
    <row r="4762" spans="1:14" ht="14.25" customHeight="1" x14ac:dyDescent="0.25">
      <c r="A4762" s="103"/>
      <c r="B4762" s="100"/>
      <c r="C4762" s="107"/>
      <c r="D4762" s="107"/>
      <c r="E4762" s="108"/>
      <c r="F4762" s="109"/>
      <c r="G4762" s="81"/>
      <c r="H4762" s="81"/>
      <c r="I4762" s="81"/>
      <c r="J4762" s="81"/>
      <c r="K4762" s="81"/>
      <c r="L4762" s="81"/>
      <c r="M4762" s="81"/>
      <c r="N4762" s="81"/>
    </row>
    <row r="4763" spans="1:14" ht="14.25" customHeight="1" x14ac:dyDescent="0.25">
      <c r="A4763" s="97" t="s">
        <v>548</v>
      </c>
      <c r="B4763" s="98"/>
      <c r="C4763" s="110"/>
      <c r="D4763" s="110"/>
      <c r="E4763" s="111"/>
      <c r="F4763" s="112">
        <f>SUM(F4761:F4762)</f>
        <v>0</v>
      </c>
      <c r="G4763" s="81"/>
      <c r="H4763" s="81"/>
      <c r="I4763" s="81"/>
      <c r="J4763" s="81"/>
      <c r="K4763" s="81"/>
      <c r="L4763" s="81"/>
      <c r="M4763" s="81"/>
      <c r="N4763" s="81"/>
    </row>
    <row r="4764" spans="1:14" ht="14.25" customHeight="1" x14ac:dyDescent="0.25">
      <c r="A4764" s="88"/>
      <c r="B4764" s="89"/>
      <c r="C4764" s="113"/>
      <c r="D4764" s="113"/>
      <c r="E4764" s="114"/>
      <c r="F4764" s="113"/>
      <c r="G4764" s="81"/>
      <c r="H4764" s="81"/>
      <c r="I4764" s="81"/>
      <c r="J4764" s="81"/>
      <c r="K4764" s="81"/>
      <c r="L4764" s="81"/>
      <c r="M4764" s="81"/>
      <c r="N4764" s="81"/>
    </row>
    <row r="4765" spans="1:14" ht="14.25" customHeight="1" x14ac:dyDescent="0.25">
      <c r="A4765" s="88"/>
      <c r="B4765" s="89"/>
      <c r="C4765" s="113"/>
      <c r="D4765" s="113"/>
      <c r="E4765" s="114"/>
      <c r="F4765" s="113"/>
      <c r="G4765" s="81"/>
      <c r="H4765" s="81"/>
      <c r="I4765" s="81"/>
      <c r="J4765" s="81"/>
      <c r="K4765" s="81"/>
      <c r="L4765" s="81"/>
      <c r="M4765" s="81"/>
      <c r="N4765" s="81"/>
    </row>
    <row r="4766" spans="1:14" ht="14.25" customHeight="1" x14ac:dyDescent="0.25">
      <c r="A4766" s="612" t="s">
        <v>588</v>
      </c>
      <c r="B4766" s="608"/>
      <c r="C4766" s="608"/>
      <c r="D4766" s="608"/>
      <c r="E4766" s="609"/>
      <c r="F4766" s="131">
        <f>ROUND(F4742+F4749+F4757+F4763,0)</f>
        <v>39832</v>
      </c>
      <c r="G4766" s="81"/>
      <c r="H4766" s="117"/>
      <c r="I4766" s="81"/>
      <c r="J4766" s="81"/>
      <c r="K4766" s="81"/>
      <c r="L4766" s="81"/>
      <c r="M4766" s="81"/>
      <c r="N4766" s="81"/>
    </row>
    <row r="4767" spans="1:14" ht="14.25" customHeight="1" x14ac:dyDescent="0.25">
      <c r="A4767" s="612" t="s">
        <v>589</v>
      </c>
      <c r="B4767" s="608"/>
      <c r="C4767" s="608"/>
      <c r="D4767" s="608"/>
      <c r="E4767" s="609"/>
      <c r="F4767" s="132"/>
      <c r="G4767" s="81"/>
      <c r="H4767" s="81"/>
      <c r="I4767" s="81"/>
      <c r="J4767" s="81"/>
      <c r="K4767" s="81"/>
      <c r="L4767" s="81"/>
      <c r="M4767" s="81"/>
      <c r="N4767" s="81"/>
    </row>
    <row r="4768" spans="1:14" ht="14.25" customHeight="1" x14ac:dyDescent="0.25">
      <c r="A4768" s="612" t="s">
        <v>556</v>
      </c>
      <c r="B4768" s="608"/>
      <c r="C4768" s="608"/>
      <c r="D4768" s="608"/>
      <c r="E4768" s="609"/>
      <c r="F4768" s="133"/>
      <c r="G4768" s="81"/>
      <c r="H4768" s="81"/>
      <c r="I4768" s="81"/>
      <c r="J4768" s="81"/>
      <c r="K4768" s="81"/>
      <c r="L4768" s="81"/>
      <c r="M4768" s="81"/>
      <c r="N4768" s="81"/>
    </row>
    <row r="4769" spans="1:14" ht="14.25" customHeight="1" x14ac:dyDescent="0.25">
      <c r="A4769" s="134"/>
      <c r="B4769" s="135"/>
      <c r="C4769" s="135"/>
      <c r="D4769" s="135"/>
      <c r="E4769" s="135"/>
      <c r="F4769" s="136"/>
      <c r="G4769" s="81"/>
      <c r="H4769" s="81"/>
      <c r="I4769" s="81"/>
      <c r="J4769" s="81"/>
      <c r="K4769" s="81"/>
      <c r="L4769" s="81"/>
      <c r="M4769" s="81"/>
      <c r="N4769" s="81"/>
    </row>
    <row r="4770" spans="1:14" ht="14.25" customHeight="1" x14ac:dyDescent="0.25">
      <c r="A4770" s="134"/>
      <c r="B4770" s="135"/>
      <c r="C4770" s="135"/>
      <c r="D4770" s="135"/>
      <c r="E4770" s="135"/>
      <c r="F4770" s="136"/>
      <c r="G4770" s="81"/>
      <c r="H4770" s="81"/>
      <c r="I4770" s="81"/>
      <c r="J4770" s="81"/>
      <c r="K4770" s="81"/>
      <c r="L4770" s="81"/>
      <c r="M4770" s="81"/>
      <c r="N4770" s="81"/>
    </row>
    <row r="4771" spans="1:14" ht="14.25" customHeight="1" x14ac:dyDescent="0.25">
      <c r="A4771" s="134"/>
      <c r="B4771" s="135"/>
      <c r="C4771" s="135"/>
      <c r="D4771" s="135"/>
      <c r="E4771" s="135"/>
      <c r="F4771" s="136"/>
      <c r="G4771" s="81"/>
      <c r="H4771" s="81"/>
      <c r="I4771" s="81"/>
      <c r="J4771" s="81"/>
      <c r="K4771" s="81"/>
      <c r="L4771" s="81"/>
      <c r="M4771" s="81"/>
      <c r="N4771" s="81"/>
    </row>
    <row r="4772" spans="1:14" ht="14.25" customHeight="1" x14ac:dyDescent="0.25">
      <c r="A4772" s="134"/>
      <c r="B4772" s="135"/>
      <c r="C4772" s="135"/>
      <c r="D4772" s="135"/>
      <c r="E4772" s="135"/>
      <c r="F4772" s="136"/>
      <c r="G4772" s="81"/>
      <c r="H4772" s="81"/>
      <c r="I4772" s="81"/>
      <c r="J4772" s="81"/>
      <c r="K4772" s="81"/>
      <c r="L4772" s="81"/>
      <c r="M4772" s="81"/>
      <c r="N4772" s="81"/>
    </row>
    <row r="4773" spans="1:14" ht="14.25" customHeight="1" x14ac:dyDescent="0.25">
      <c r="A4773" s="134"/>
      <c r="B4773" s="135"/>
      <c r="C4773" s="135"/>
      <c r="D4773" s="135"/>
      <c r="E4773" s="135"/>
      <c r="F4773" s="136"/>
      <c r="G4773" s="81"/>
      <c r="H4773" s="81"/>
      <c r="I4773" s="81"/>
      <c r="J4773" s="81"/>
      <c r="K4773" s="81"/>
      <c r="L4773" s="81"/>
      <c r="M4773" s="81"/>
      <c r="N4773" s="81"/>
    </row>
    <row r="4774" spans="1:14" ht="14.25" customHeight="1" x14ac:dyDescent="0.25">
      <c r="A4774" s="134"/>
      <c r="B4774" s="135"/>
      <c r="C4774" s="135"/>
      <c r="D4774" s="135"/>
      <c r="E4774" s="135"/>
      <c r="F4774" s="136"/>
      <c r="G4774" s="81"/>
      <c r="H4774" s="81"/>
      <c r="I4774" s="81"/>
      <c r="J4774" s="81"/>
      <c r="K4774" s="81"/>
      <c r="L4774" s="81"/>
      <c r="M4774" s="81"/>
      <c r="N4774" s="81"/>
    </row>
    <row r="4775" spans="1:14" ht="14.25" customHeight="1" x14ac:dyDescent="0.25">
      <c r="A4775" s="134"/>
      <c r="B4775" s="135"/>
      <c r="C4775" s="135"/>
      <c r="D4775" s="135"/>
      <c r="E4775" s="135"/>
      <c r="F4775" s="136"/>
      <c r="G4775" s="81"/>
      <c r="H4775" s="81"/>
      <c r="I4775" s="81"/>
      <c r="J4775" s="81"/>
      <c r="K4775" s="81"/>
      <c r="L4775" s="81"/>
      <c r="M4775" s="81"/>
      <c r="N4775" s="81"/>
    </row>
    <row r="4776" spans="1:14" ht="14.25" customHeight="1" x14ac:dyDescent="0.25">
      <c r="A4776" s="81"/>
      <c r="B4776" s="81"/>
      <c r="C4776" s="137"/>
      <c r="D4776" s="81"/>
      <c r="E4776" s="81"/>
      <c r="F4776" s="81"/>
      <c r="G4776" s="81"/>
      <c r="H4776" s="81"/>
      <c r="I4776" s="81"/>
      <c r="J4776" s="81"/>
      <c r="K4776" s="81"/>
      <c r="L4776" s="81"/>
      <c r="M4776" s="81"/>
      <c r="N4776" s="81"/>
    </row>
    <row r="4777" spans="1:14" ht="14.25" customHeight="1" x14ac:dyDescent="0.25">
      <c r="A4777" s="81"/>
      <c r="B4777" s="81"/>
      <c r="C4777" s="137"/>
      <c r="D4777" s="81"/>
      <c r="E4777" s="81"/>
      <c r="F4777" s="81"/>
      <c r="G4777" s="81"/>
      <c r="H4777" s="81"/>
      <c r="I4777" s="81"/>
      <c r="J4777" s="81"/>
      <c r="K4777" s="81"/>
      <c r="L4777" s="81"/>
      <c r="M4777" s="81"/>
      <c r="N4777" s="81"/>
    </row>
    <row r="4778" spans="1:14" ht="14.25" customHeight="1" x14ac:dyDescent="0.25">
      <c r="A4778" s="81"/>
      <c r="B4778" s="81"/>
      <c r="C4778" s="137"/>
      <c r="D4778" s="81"/>
      <c r="E4778" s="81"/>
      <c r="F4778" s="81"/>
      <c r="G4778" s="81"/>
      <c r="H4778" s="81"/>
      <c r="I4778" s="81"/>
      <c r="J4778" s="81"/>
      <c r="K4778" s="81"/>
      <c r="L4778" s="81"/>
      <c r="M4778" s="81"/>
      <c r="N4778" s="81"/>
    </row>
    <row r="4779" spans="1:14" ht="14.25" customHeight="1" x14ac:dyDescent="0.25">
      <c r="A4779" s="81"/>
      <c r="B4779" s="81"/>
      <c r="C4779" s="137"/>
      <c r="D4779" s="81"/>
      <c r="E4779" s="81"/>
      <c r="F4779" s="81"/>
      <c r="G4779" s="81"/>
      <c r="H4779" s="81"/>
      <c r="I4779" s="81"/>
      <c r="J4779" s="81"/>
      <c r="K4779" s="81"/>
      <c r="L4779" s="81"/>
      <c r="M4779" s="81"/>
      <c r="N4779" s="81"/>
    </row>
    <row r="4780" spans="1:14" ht="14.25" customHeight="1" thickBot="1" x14ac:dyDescent="0.3">
      <c r="A4780" s="81"/>
      <c r="B4780" s="81"/>
      <c r="C4780" s="81"/>
      <c r="D4780" s="81"/>
      <c r="E4780" s="81"/>
      <c r="F4780" s="81"/>
      <c r="G4780" s="81"/>
      <c r="H4780" s="81"/>
      <c r="I4780" s="81"/>
      <c r="J4780" s="81"/>
      <c r="K4780" s="81"/>
      <c r="L4780" s="81"/>
      <c r="M4780" s="81"/>
      <c r="N4780" s="81"/>
    </row>
    <row r="4781" spans="1:14" ht="14.25" customHeight="1" x14ac:dyDescent="0.25">
      <c r="A4781" s="83"/>
      <c r="B4781" s="84"/>
      <c r="C4781" s="85"/>
      <c r="D4781" s="86"/>
      <c r="E4781" s="86"/>
      <c r="F4781" s="87"/>
      <c r="G4781" s="81"/>
      <c r="H4781" s="81"/>
      <c r="I4781" s="81"/>
      <c r="J4781" s="81"/>
      <c r="K4781" s="81"/>
      <c r="L4781" s="81"/>
      <c r="M4781" s="81"/>
      <c r="N4781" s="81"/>
    </row>
    <row r="4782" spans="1:14" ht="14.25" customHeight="1" x14ac:dyDescent="0.25">
      <c r="A4782" s="599"/>
      <c r="B4782" s="600"/>
      <c r="C4782" s="600"/>
      <c r="D4782" s="600"/>
      <c r="E4782" s="600"/>
      <c r="F4782" s="601"/>
      <c r="G4782" s="81"/>
      <c r="H4782" s="81"/>
      <c r="I4782" s="81"/>
      <c r="J4782" s="81"/>
      <c r="K4782" s="81"/>
      <c r="L4782" s="81"/>
      <c r="M4782" s="81"/>
      <c r="N4782" s="81"/>
    </row>
    <row r="4783" spans="1:14" ht="14.25" customHeight="1" x14ac:dyDescent="0.25">
      <c r="A4783" s="602" t="s">
        <v>561</v>
      </c>
      <c r="B4783" s="600"/>
      <c r="C4783" s="600"/>
      <c r="D4783" s="600"/>
      <c r="E4783" s="600"/>
      <c r="F4783" s="601"/>
      <c r="G4783" s="81"/>
      <c r="H4783" s="81"/>
      <c r="I4783" s="81"/>
      <c r="J4783" s="81"/>
      <c r="K4783" s="81"/>
      <c r="L4783" s="81"/>
      <c r="M4783" s="81"/>
      <c r="N4783" s="81"/>
    </row>
    <row r="4784" spans="1:14" ht="14.25" customHeight="1" thickBot="1" x14ac:dyDescent="0.3">
      <c r="A4784" s="603"/>
      <c r="B4784" s="604"/>
      <c r="C4784" s="604"/>
      <c r="D4784" s="604"/>
      <c r="E4784" s="604"/>
      <c r="F4784" s="605"/>
      <c r="G4784" s="81"/>
      <c r="H4784" s="81"/>
      <c r="I4784" s="81"/>
      <c r="J4784" s="81"/>
      <c r="K4784" s="81"/>
      <c r="L4784" s="81"/>
      <c r="M4784" s="81"/>
      <c r="N4784" s="81"/>
    </row>
    <row r="4785" spans="1:14" ht="14.25" customHeight="1" x14ac:dyDescent="0.25">
      <c r="A4785" s="88"/>
      <c r="B4785" s="88"/>
      <c r="C4785" s="89"/>
      <c r="D4785" s="89"/>
      <c r="E4785" s="89"/>
      <c r="F4785" s="89"/>
      <c r="G4785" s="81"/>
      <c r="H4785" s="81"/>
      <c r="I4785" s="81"/>
      <c r="J4785" s="81"/>
      <c r="K4785" s="81"/>
      <c r="L4785" s="81"/>
      <c r="M4785" s="81"/>
      <c r="N4785" s="81"/>
    </row>
    <row r="4786" spans="1:14" ht="14.25" customHeight="1" x14ac:dyDescent="0.25">
      <c r="A4786" s="90" t="s">
        <v>47</v>
      </c>
      <c r="B4786" s="613" t="s">
        <v>228</v>
      </c>
      <c r="C4786" s="600"/>
      <c r="D4786" s="600"/>
      <c r="E4786" s="600"/>
      <c r="F4786" s="600"/>
      <c r="G4786" s="81"/>
      <c r="H4786" s="81"/>
      <c r="I4786" s="81"/>
      <c r="J4786" s="81"/>
      <c r="K4786" s="81"/>
      <c r="L4786" s="81"/>
      <c r="M4786" s="81"/>
      <c r="N4786" s="81"/>
    </row>
    <row r="4787" spans="1:14" ht="14.25" customHeight="1" x14ac:dyDescent="0.25">
      <c r="A4787" s="91"/>
      <c r="B4787" s="91"/>
      <c r="C4787" s="91"/>
      <c r="D4787" s="91"/>
      <c r="E4787" s="91"/>
      <c r="F4787" s="91"/>
      <c r="G4787" s="81"/>
      <c r="H4787" s="81"/>
      <c r="I4787" s="81"/>
      <c r="J4787" s="81"/>
      <c r="K4787" s="81"/>
      <c r="L4787" s="81"/>
      <c r="M4787" s="81"/>
      <c r="N4787" s="81"/>
    </row>
    <row r="4788" spans="1:14" ht="14.25" customHeight="1" x14ac:dyDescent="0.25">
      <c r="A4788" s="88" t="s">
        <v>49</v>
      </c>
      <c r="B4788" s="92" t="s">
        <v>59</v>
      </c>
      <c r="C4788" s="89"/>
      <c r="D4788" s="89"/>
      <c r="E4788" s="89"/>
      <c r="F4788" s="93"/>
      <c r="G4788" s="81"/>
      <c r="H4788" s="81"/>
      <c r="I4788" s="81"/>
      <c r="J4788" s="81"/>
      <c r="K4788" s="81"/>
      <c r="L4788" s="81"/>
      <c r="M4788" s="81"/>
      <c r="N4788" s="81"/>
    </row>
    <row r="4789" spans="1:14" ht="14.25" customHeight="1" x14ac:dyDescent="0.25">
      <c r="A4789" s="88"/>
      <c r="B4789" s="94"/>
      <c r="C4789" s="89"/>
      <c r="D4789" s="89"/>
      <c r="E4789" s="89"/>
      <c r="F4789" s="93"/>
      <c r="G4789" s="81"/>
      <c r="H4789" s="81"/>
      <c r="I4789" s="81"/>
      <c r="J4789" s="81"/>
      <c r="K4789" s="81"/>
      <c r="L4789" s="81"/>
      <c r="M4789" s="81"/>
      <c r="N4789" s="81"/>
    </row>
    <row r="4790" spans="1:14" ht="14.25" customHeight="1" x14ac:dyDescent="0.25">
      <c r="A4790" s="95" t="s">
        <v>562</v>
      </c>
      <c r="B4790" s="96"/>
      <c r="C4790" s="92"/>
      <c r="D4790" s="92"/>
      <c r="E4790" s="92"/>
      <c r="F4790" s="92"/>
      <c r="G4790" s="81"/>
      <c r="H4790" s="81"/>
      <c r="I4790" s="81"/>
      <c r="J4790" s="81"/>
      <c r="K4790" s="81"/>
      <c r="L4790" s="81"/>
      <c r="M4790" s="81"/>
      <c r="N4790" s="81"/>
    </row>
    <row r="4791" spans="1:14" ht="14.25" customHeight="1" x14ac:dyDescent="0.25">
      <c r="A4791" s="97" t="s">
        <v>563</v>
      </c>
      <c r="B4791" s="98" t="s">
        <v>564</v>
      </c>
      <c r="C4791" s="98" t="s">
        <v>565</v>
      </c>
      <c r="D4791" s="98" t="s">
        <v>566</v>
      </c>
      <c r="E4791" s="98" t="s">
        <v>567</v>
      </c>
      <c r="F4791" s="98" t="s">
        <v>568</v>
      </c>
      <c r="G4791" s="81"/>
      <c r="H4791" s="81"/>
      <c r="I4791" s="81"/>
      <c r="J4791" s="81"/>
      <c r="K4791" s="81"/>
      <c r="L4791" s="81"/>
      <c r="M4791" s="81"/>
      <c r="N4791" s="81"/>
    </row>
    <row r="4792" spans="1:14" ht="14.25" customHeight="1" x14ac:dyDescent="0.25">
      <c r="A4792" s="99" t="s">
        <v>751</v>
      </c>
      <c r="B4792" s="100" t="s">
        <v>59</v>
      </c>
      <c r="C4792" s="101">
        <v>8500</v>
      </c>
      <c r="D4792" s="149">
        <v>1</v>
      </c>
      <c r="E4792" s="102">
        <v>0.05</v>
      </c>
      <c r="F4792" s="101">
        <f t="shared" ref="F4792:F4794" si="262">C4792*(D4792+(D4792*E4792))</f>
        <v>8925</v>
      </c>
      <c r="G4792" s="81"/>
      <c r="H4792" s="81"/>
      <c r="I4792" s="81"/>
      <c r="J4792" s="81"/>
      <c r="K4792" s="81"/>
      <c r="L4792" s="81"/>
      <c r="M4792" s="81"/>
      <c r="N4792" s="81"/>
    </row>
    <row r="4793" spans="1:14" ht="14.25" customHeight="1" x14ac:dyDescent="0.25">
      <c r="A4793" s="99" t="s">
        <v>622</v>
      </c>
      <c r="B4793" s="100" t="s">
        <v>99</v>
      </c>
      <c r="C4793" s="101">
        <v>85900</v>
      </c>
      <c r="D4793" s="149">
        <v>0.05</v>
      </c>
      <c r="E4793" s="102">
        <v>0.05</v>
      </c>
      <c r="F4793" s="101">
        <f t="shared" si="262"/>
        <v>4509.75</v>
      </c>
      <c r="G4793" s="81"/>
      <c r="H4793" s="81"/>
      <c r="I4793" s="81"/>
      <c r="J4793" s="81"/>
      <c r="K4793" s="81"/>
      <c r="L4793" s="81"/>
      <c r="M4793" s="81"/>
      <c r="N4793" s="81"/>
    </row>
    <row r="4794" spans="1:14" ht="14.25" customHeight="1" x14ac:dyDescent="0.25">
      <c r="A4794" s="99" t="s">
        <v>754</v>
      </c>
      <c r="B4794" s="100" t="s">
        <v>99</v>
      </c>
      <c r="C4794" s="101">
        <v>2825</v>
      </c>
      <c r="D4794" s="149">
        <v>0.25</v>
      </c>
      <c r="E4794" s="102"/>
      <c r="F4794" s="101">
        <f t="shared" si="262"/>
        <v>706.25</v>
      </c>
      <c r="G4794" s="81"/>
      <c r="H4794" s="81"/>
      <c r="I4794" s="81"/>
      <c r="J4794" s="81"/>
      <c r="K4794" s="81"/>
      <c r="L4794" s="81"/>
      <c r="M4794" s="81"/>
      <c r="N4794" s="81"/>
    </row>
    <row r="4795" spans="1:14" ht="14.25" customHeight="1" x14ac:dyDescent="0.25">
      <c r="A4795" s="99"/>
      <c r="B4795" s="100"/>
      <c r="C4795" s="101"/>
      <c r="D4795" s="105"/>
      <c r="E4795" s="102"/>
      <c r="F4795" s="101"/>
      <c r="G4795" s="81"/>
      <c r="H4795" s="81"/>
      <c r="I4795" s="81"/>
      <c r="J4795" s="81"/>
      <c r="K4795" s="81"/>
      <c r="L4795" s="81"/>
      <c r="M4795" s="81"/>
      <c r="N4795" s="81"/>
    </row>
    <row r="4796" spans="1:14" ht="14.25" customHeight="1" x14ac:dyDescent="0.25">
      <c r="A4796" s="99"/>
      <c r="B4796" s="100"/>
      <c r="C4796" s="106"/>
      <c r="D4796" s="107"/>
      <c r="E4796" s="108"/>
      <c r="F4796" s="106"/>
      <c r="G4796" s="81"/>
      <c r="H4796" s="81"/>
      <c r="I4796" s="81"/>
      <c r="J4796" s="81"/>
      <c r="K4796" s="81"/>
      <c r="L4796" s="81"/>
      <c r="M4796" s="81"/>
      <c r="N4796" s="81"/>
    </row>
    <row r="4797" spans="1:14" ht="14.25" customHeight="1" x14ac:dyDescent="0.25">
      <c r="A4797" s="97" t="s">
        <v>548</v>
      </c>
      <c r="B4797" s="97"/>
      <c r="C4797" s="109"/>
      <c r="D4797" s="110"/>
      <c r="E4797" s="111"/>
      <c r="F4797" s="112">
        <f>SUM(F4792:F4796)</f>
        <v>14141</v>
      </c>
      <c r="G4797" s="81"/>
      <c r="H4797" s="81"/>
      <c r="I4797" s="81"/>
      <c r="J4797" s="81"/>
      <c r="K4797" s="81"/>
      <c r="L4797" s="81"/>
      <c r="M4797" s="81"/>
      <c r="N4797" s="81"/>
    </row>
    <row r="4798" spans="1:14" ht="14.25" customHeight="1" x14ac:dyDescent="0.25">
      <c r="A4798" s="88"/>
      <c r="B4798" s="88"/>
      <c r="C4798" s="113"/>
      <c r="D4798" s="113"/>
      <c r="E4798" s="114"/>
      <c r="F4798" s="113"/>
      <c r="G4798" s="81"/>
      <c r="H4798" s="81"/>
      <c r="I4798" s="81"/>
      <c r="J4798" s="81"/>
      <c r="K4798" s="81"/>
      <c r="L4798" s="81"/>
      <c r="M4798" s="81"/>
      <c r="N4798" s="81"/>
    </row>
    <row r="4799" spans="1:14" ht="14.25" customHeight="1" x14ac:dyDescent="0.25">
      <c r="A4799" s="96" t="s">
        <v>573</v>
      </c>
      <c r="B4799" s="96"/>
      <c r="C4799" s="92"/>
      <c r="D4799" s="92"/>
      <c r="E4799" s="92"/>
      <c r="F4799" s="92"/>
      <c r="G4799" s="81"/>
      <c r="H4799" s="81"/>
      <c r="I4799" s="81"/>
      <c r="J4799" s="81"/>
      <c r="K4799" s="81"/>
      <c r="L4799" s="81"/>
      <c r="M4799" s="81"/>
      <c r="N4799" s="81"/>
    </row>
    <row r="4800" spans="1:14" ht="14.25" customHeight="1" x14ac:dyDescent="0.25">
      <c r="A4800" s="611" t="s">
        <v>563</v>
      </c>
      <c r="B4800" s="608"/>
      <c r="C4800" s="609"/>
      <c r="D4800" s="98" t="s">
        <v>574</v>
      </c>
      <c r="E4800" s="98" t="s">
        <v>575</v>
      </c>
      <c r="F4800" s="98" t="s">
        <v>568</v>
      </c>
      <c r="G4800" s="81"/>
      <c r="H4800" s="81"/>
      <c r="I4800" s="81"/>
      <c r="J4800" s="81"/>
      <c r="K4800" s="81"/>
      <c r="L4800" s="81"/>
      <c r="M4800" s="81"/>
      <c r="N4800" s="81"/>
    </row>
    <row r="4801" spans="1:14" ht="14.25" customHeight="1" x14ac:dyDescent="0.25">
      <c r="A4801" s="607" t="s">
        <v>577</v>
      </c>
      <c r="B4801" s="608"/>
      <c r="C4801" s="609"/>
      <c r="D4801" s="116"/>
      <c r="E4801" s="107"/>
      <c r="F4801" s="106">
        <f>+F4812*5%</f>
        <v>905.52624999999989</v>
      </c>
      <c r="G4801" s="81"/>
      <c r="H4801" s="81"/>
      <c r="I4801" s="81"/>
      <c r="J4801" s="81"/>
      <c r="K4801" s="81"/>
      <c r="L4801" s="81"/>
      <c r="M4801" s="81"/>
      <c r="N4801" s="81"/>
    </row>
    <row r="4802" spans="1:14" ht="14.25" customHeight="1" x14ac:dyDescent="0.25">
      <c r="A4802" s="607"/>
      <c r="B4802" s="608"/>
      <c r="C4802" s="609"/>
      <c r="D4802" s="116"/>
      <c r="E4802" s="107"/>
      <c r="F4802" s="106"/>
      <c r="G4802" s="81"/>
      <c r="H4802" s="81"/>
      <c r="I4802" s="81"/>
      <c r="J4802" s="81"/>
      <c r="K4802" s="81"/>
      <c r="L4802" s="81"/>
      <c r="M4802" s="81"/>
      <c r="N4802" s="81"/>
    </row>
    <row r="4803" spans="1:14" ht="14.25" customHeight="1" x14ac:dyDescent="0.25">
      <c r="A4803" s="610"/>
      <c r="B4803" s="608"/>
      <c r="C4803" s="609"/>
      <c r="D4803" s="115"/>
      <c r="E4803" s="107"/>
      <c r="F4803" s="106"/>
      <c r="G4803" s="81"/>
      <c r="H4803" s="81"/>
      <c r="I4803" s="81"/>
      <c r="J4803" s="81"/>
      <c r="K4803" s="81"/>
      <c r="L4803" s="81"/>
      <c r="M4803" s="81"/>
      <c r="N4803" s="81"/>
    </row>
    <row r="4804" spans="1:14" ht="14.25" customHeight="1" x14ac:dyDescent="0.25">
      <c r="A4804" s="611" t="s">
        <v>548</v>
      </c>
      <c r="B4804" s="608"/>
      <c r="C4804" s="609"/>
      <c r="D4804" s="110"/>
      <c r="E4804" s="110"/>
      <c r="F4804" s="112">
        <f>SUM(F4801:F4802)</f>
        <v>905.52624999999989</v>
      </c>
      <c r="G4804" s="81"/>
      <c r="H4804" s="81"/>
      <c r="I4804" s="81"/>
      <c r="J4804" s="81"/>
      <c r="K4804" s="81"/>
      <c r="L4804" s="81"/>
      <c r="M4804" s="81"/>
      <c r="N4804" s="81"/>
    </row>
    <row r="4805" spans="1:14" ht="14.25" customHeight="1" x14ac:dyDescent="0.25">
      <c r="A4805" s="88"/>
      <c r="B4805" s="88"/>
      <c r="C4805" s="89"/>
      <c r="D4805" s="113"/>
      <c r="E4805" s="113"/>
      <c r="F4805" s="113"/>
      <c r="G4805" s="81"/>
      <c r="H4805" s="81"/>
      <c r="I4805" s="81"/>
      <c r="J4805" s="81"/>
      <c r="K4805" s="81"/>
      <c r="L4805" s="81"/>
      <c r="M4805" s="81"/>
      <c r="N4805" s="81"/>
    </row>
    <row r="4806" spans="1:14" ht="14.25" customHeight="1" x14ac:dyDescent="0.25">
      <c r="A4806" s="96" t="s">
        <v>578</v>
      </c>
      <c r="B4806" s="96"/>
      <c r="C4806" s="92"/>
      <c r="D4806" s="118"/>
      <c r="E4806" s="118"/>
      <c r="F4806" s="118"/>
      <c r="G4806" s="81"/>
      <c r="H4806" s="81"/>
      <c r="I4806" s="81"/>
      <c r="J4806" s="81"/>
      <c r="K4806" s="81"/>
      <c r="L4806" s="81"/>
      <c r="M4806" s="81"/>
      <c r="N4806" s="81"/>
    </row>
    <row r="4807" spans="1:14" ht="14.25" customHeight="1" x14ac:dyDescent="0.25">
      <c r="A4807" s="119" t="s">
        <v>563</v>
      </c>
      <c r="B4807" s="120" t="s">
        <v>579</v>
      </c>
      <c r="C4807" s="120" t="s">
        <v>580</v>
      </c>
      <c r="D4807" s="121" t="s">
        <v>581</v>
      </c>
      <c r="E4807" s="121" t="s">
        <v>575</v>
      </c>
      <c r="F4807" s="121" t="s">
        <v>568</v>
      </c>
      <c r="G4807" s="81"/>
      <c r="H4807" s="81"/>
      <c r="I4807" s="81"/>
      <c r="J4807" s="81"/>
      <c r="K4807" s="81"/>
      <c r="L4807" s="81"/>
      <c r="M4807" s="81"/>
      <c r="N4807" s="81"/>
    </row>
    <row r="4808" spans="1:14" ht="14.25" customHeight="1" x14ac:dyDescent="0.25">
      <c r="A4808" s="122" t="s">
        <v>593</v>
      </c>
      <c r="B4808" s="127">
        <v>1</v>
      </c>
      <c r="C4808" s="101">
        <v>32688</v>
      </c>
      <c r="D4808" s="101">
        <f t="shared" ref="D4808:D4809" si="263">+C4808*1.7</f>
        <v>55569.599999999999</v>
      </c>
      <c r="E4808" s="107">
        <v>8</v>
      </c>
      <c r="F4808" s="106">
        <f t="shared" ref="F4808:F4809" si="264">+B4808*(D4808)/E4808</f>
        <v>6946.2</v>
      </c>
      <c r="G4808" s="81"/>
      <c r="H4808" s="81"/>
      <c r="I4808" s="81"/>
      <c r="J4808" s="81"/>
      <c r="K4808" s="81"/>
      <c r="L4808" s="81"/>
      <c r="M4808" s="81"/>
      <c r="N4808" s="81"/>
    </row>
    <row r="4809" spans="1:14" ht="14.25" customHeight="1" x14ac:dyDescent="0.25">
      <c r="A4809" s="122" t="s">
        <v>594</v>
      </c>
      <c r="B4809" s="127">
        <v>1</v>
      </c>
      <c r="C4809" s="101">
        <v>52538</v>
      </c>
      <c r="D4809" s="101">
        <f t="shared" si="263"/>
        <v>89314.599999999991</v>
      </c>
      <c r="E4809" s="107">
        <f>E4808</f>
        <v>8</v>
      </c>
      <c r="F4809" s="106">
        <f t="shared" si="264"/>
        <v>11164.324999999999</v>
      </c>
      <c r="G4809" s="81"/>
      <c r="H4809" s="81"/>
      <c r="I4809" s="81"/>
      <c r="J4809" s="81"/>
      <c r="K4809" s="81"/>
      <c r="L4809" s="81"/>
      <c r="M4809" s="81"/>
      <c r="N4809" s="81"/>
    </row>
    <row r="4810" spans="1:14" ht="14.25" customHeight="1" x14ac:dyDescent="0.25">
      <c r="A4810" s="122"/>
      <c r="B4810" s="127"/>
      <c r="C4810" s="101"/>
      <c r="D4810" s="101"/>
      <c r="E4810" s="107"/>
      <c r="F4810" s="106"/>
      <c r="G4810" s="81"/>
      <c r="H4810" s="81"/>
      <c r="I4810" s="81"/>
      <c r="J4810" s="81"/>
      <c r="K4810" s="81"/>
      <c r="L4810" s="81"/>
      <c r="M4810" s="81"/>
      <c r="N4810" s="81"/>
    </row>
    <row r="4811" spans="1:14" ht="14.25" customHeight="1" x14ac:dyDescent="0.25">
      <c r="A4811" s="122"/>
      <c r="B4811" s="127"/>
      <c r="C4811" s="101"/>
      <c r="D4811" s="101"/>
      <c r="E4811" s="125"/>
      <c r="F4811" s="106"/>
      <c r="G4811" s="81"/>
      <c r="H4811" s="81"/>
      <c r="I4811" s="81"/>
      <c r="J4811" s="81"/>
      <c r="K4811" s="81"/>
      <c r="L4811" s="81"/>
      <c r="M4811" s="81"/>
      <c r="N4811" s="81"/>
    </row>
    <row r="4812" spans="1:14" ht="14.25" customHeight="1" x14ac:dyDescent="0.25">
      <c r="A4812" s="97" t="s">
        <v>548</v>
      </c>
      <c r="B4812" s="128"/>
      <c r="C4812" s="110"/>
      <c r="D4812" s="110"/>
      <c r="E4812" s="110"/>
      <c r="F4812" s="112">
        <f>SUM(F4808:F4811)</f>
        <v>18110.524999999998</v>
      </c>
      <c r="G4812" s="81"/>
      <c r="H4812" s="81"/>
      <c r="I4812" s="81"/>
      <c r="J4812" s="81"/>
      <c r="K4812" s="81"/>
      <c r="L4812" s="81"/>
      <c r="M4812" s="81"/>
      <c r="N4812" s="81"/>
    </row>
    <row r="4813" spans="1:14" ht="14.25" customHeight="1" x14ac:dyDescent="0.25">
      <c r="A4813" s="96"/>
      <c r="B4813" s="129"/>
      <c r="C4813" s="118"/>
      <c r="D4813" s="118"/>
      <c r="E4813" s="118"/>
      <c r="F4813" s="118"/>
      <c r="G4813" s="81"/>
      <c r="H4813" s="81"/>
      <c r="I4813" s="81"/>
      <c r="J4813" s="81"/>
      <c r="K4813" s="81"/>
      <c r="L4813" s="81"/>
      <c r="M4813" s="81"/>
      <c r="N4813" s="81"/>
    </row>
    <row r="4814" spans="1:14" ht="14.25" customHeight="1" x14ac:dyDescent="0.25">
      <c r="A4814" s="95" t="s">
        <v>583</v>
      </c>
      <c r="B4814" s="96"/>
      <c r="C4814" s="92"/>
      <c r="D4814" s="92"/>
      <c r="E4814" s="92" t="s">
        <v>584</v>
      </c>
      <c r="F4814" s="92"/>
      <c r="G4814" s="81"/>
      <c r="H4814" s="81"/>
      <c r="I4814" s="81"/>
      <c r="J4814" s="81"/>
      <c r="K4814" s="81"/>
      <c r="L4814" s="81"/>
      <c r="M4814" s="81"/>
      <c r="N4814" s="81"/>
    </row>
    <row r="4815" spans="1:14" ht="14.25" customHeight="1" x14ac:dyDescent="0.25">
      <c r="A4815" s="97" t="s">
        <v>563</v>
      </c>
      <c r="B4815" s="98" t="s">
        <v>564</v>
      </c>
      <c r="C4815" s="98" t="s">
        <v>585</v>
      </c>
      <c r="D4815" s="98" t="s">
        <v>586</v>
      </c>
      <c r="E4815" s="120" t="s">
        <v>587</v>
      </c>
      <c r="F4815" s="98" t="s">
        <v>568</v>
      </c>
      <c r="G4815" s="81"/>
      <c r="H4815" s="81"/>
      <c r="I4815" s="81"/>
      <c r="J4815" s="81"/>
      <c r="K4815" s="81"/>
      <c r="L4815" s="81"/>
      <c r="M4815" s="81"/>
      <c r="N4815" s="81"/>
    </row>
    <row r="4816" spans="1:14" ht="14.25" customHeight="1" x14ac:dyDescent="0.25">
      <c r="A4816" s="103" t="s">
        <v>604</v>
      </c>
      <c r="B4816" s="100" t="s">
        <v>605</v>
      </c>
      <c r="C4816" s="101">
        <v>1000</v>
      </c>
      <c r="D4816" s="140">
        <v>3.2</v>
      </c>
      <c r="E4816" s="107">
        <v>1.27542</v>
      </c>
      <c r="F4816" s="109">
        <f>+C4816*D4816*E4816</f>
        <v>4081.3440000000001</v>
      </c>
      <c r="G4816" s="81"/>
      <c r="H4816" s="81"/>
      <c r="I4816" s="81"/>
      <c r="J4816" s="81"/>
      <c r="K4816" s="81"/>
      <c r="L4816" s="81"/>
      <c r="M4816" s="81"/>
      <c r="N4816" s="81"/>
    </row>
    <row r="4817" spans="1:14" ht="14.25" customHeight="1" x14ac:dyDescent="0.25">
      <c r="A4817" s="103"/>
      <c r="B4817" s="100"/>
      <c r="C4817" s="107"/>
      <c r="D4817" s="107"/>
      <c r="E4817" s="108"/>
      <c r="F4817" s="109"/>
      <c r="G4817" s="81"/>
      <c r="H4817" s="81"/>
      <c r="I4817" s="81"/>
      <c r="J4817" s="81"/>
      <c r="K4817" s="81"/>
      <c r="L4817" s="81"/>
      <c r="M4817" s="81"/>
      <c r="N4817" s="81"/>
    </row>
    <row r="4818" spans="1:14" ht="14.25" customHeight="1" x14ac:dyDescent="0.25">
      <c r="A4818" s="97" t="s">
        <v>548</v>
      </c>
      <c r="B4818" s="98"/>
      <c r="C4818" s="110"/>
      <c r="D4818" s="110"/>
      <c r="E4818" s="111"/>
      <c r="F4818" s="112">
        <f>SUM(F4816:F4817)</f>
        <v>4081.3440000000001</v>
      </c>
      <c r="G4818" s="81"/>
      <c r="H4818" s="81"/>
      <c r="I4818" s="81"/>
      <c r="J4818" s="81"/>
      <c r="K4818" s="81"/>
      <c r="L4818" s="81"/>
      <c r="M4818" s="81"/>
      <c r="N4818" s="81"/>
    </row>
    <row r="4819" spans="1:14" ht="14.25" customHeight="1" x14ac:dyDescent="0.25">
      <c r="A4819" s="88"/>
      <c r="B4819" s="89"/>
      <c r="C4819" s="113"/>
      <c r="D4819" s="113"/>
      <c r="E4819" s="114"/>
      <c r="F4819" s="113"/>
      <c r="G4819" s="81"/>
      <c r="H4819" s="81"/>
      <c r="I4819" s="81"/>
      <c r="J4819" s="81"/>
      <c r="K4819" s="81"/>
      <c r="L4819" s="81"/>
      <c r="M4819" s="81"/>
      <c r="N4819" s="81"/>
    </row>
    <row r="4820" spans="1:14" ht="14.25" customHeight="1" x14ac:dyDescent="0.25">
      <c r="A4820" s="88"/>
      <c r="B4820" s="89"/>
      <c r="C4820" s="113"/>
      <c r="D4820" s="113"/>
      <c r="E4820" s="114"/>
      <c r="F4820" s="113"/>
      <c r="G4820" s="81"/>
      <c r="H4820" s="81"/>
      <c r="I4820" s="81"/>
      <c r="J4820" s="81"/>
      <c r="K4820" s="81"/>
      <c r="L4820" s="81"/>
      <c r="M4820" s="81"/>
      <c r="N4820" s="81"/>
    </row>
    <row r="4821" spans="1:14" ht="14.25" customHeight="1" x14ac:dyDescent="0.25">
      <c r="A4821" s="612" t="s">
        <v>588</v>
      </c>
      <c r="B4821" s="608"/>
      <c r="C4821" s="608"/>
      <c r="D4821" s="608"/>
      <c r="E4821" s="609"/>
      <c r="F4821" s="131">
        <f>ROUND(F4797+F4804+F4812+F4818,0)</f>
        <v>37238</v>
      </c>
      <c r="G4821" s="81"/>
      <c r="H4821" s="117"/>
      <c r="I4821" s="81"/>
      <c r="J4821" s="81"/>
      <c r="K4821" s="81"/>
      <c r="L4821" s="81"/>
      <c r="M4821" s="81"/>
      <c r="N4821" s="81"/>
    </row>
    <row r="4822" spans="1:14" ht="14.25" customHeight="1" x14ac:dyDescent="0.25">
      <c r="A4822" s="612" t="s">
        <v>589</v>
      </c>
      <c r="B4822" s="608"/>
      <c r="C4822" s="608"/>
      <c r="D4822" s="608"/>
      <c r="E4822" s="609"/>
      <c r="F4822" s="132"/>
      <c r="G4822" s="81"/>
      <c r="H4822" s="81"/>
      <c r="I4822" s="81"/>
      <c r="J4822" s="81"/>
      <c r="K4822" s="81"/>
      <c r="L4822" s="81"/>
      <c r="M4822" s="81"/>
      <c r="N4822" s="81"/>
    </row>
    <row r="4823" spans="1:14" ht="14.25" customHeight="1" x14ac:dyDescent="0.25">
      <c r="A4823" s="612" t="s">
        <v>556</v>
      </c>
      <c r="B4823" s="608"/>
      <c r="C4823" s="608"/>
      <c r="D4823" s="608"/>
      <c r="E4823" s="609"/>
      <c r="F4823" s="133"/>
      <c r="G4823" s="81"/>
      <c r="H4823" s="81"/>
      <c r="I4823" s="81"/>
      <c r="J4823" s="81"/>
      <c r="K4823" s="81"/>
      <c r="L4823" s="81"/>
      <c r="M4823" s="81"/>
      <c r="N4823" s="81"/>
    </row>
    <row r="4824" spans="1:14" ht="14.25" customHeight="1" x14ac:dyDescent="0.25">
      <c r="A4824" s="134"/>
      <c r="B4824" s="135"/>
      <c r="C4824" s="135"/>
      <c r="D4824" s="135"/>
      <c r="E4824" s="135"/>
      <c r="F4824" s="136"/>
      <c r="G4824" s="81"/>
      <c r="H4824" s="81"/>
      <c r="I4824" s="81"/>
      <c r="J4824" s="81"/>
      <c r="K4824" s="81"/>
      <c r="L4824" s="81"/>
      <c r="M4824" s="81"/>
      <c r="N4824" s="81"/>
    </row>
    <row r="4825" spans="1:14" ht="14.25" customHeight="1" x14ac:dyDescent="0.25">
      <c r="A4825" s="134"/>
      <c r="B4825" s="135"/>
      <c r="C4825" s="135"/>
      <c r="D4825" s="135"/>
      <c r="E4825" s="135"/>
      <c r="F4825" s="136"/>
      <c r="G4825" s="81"/>
      <c r="H4825" s="81"/>
      <c r="I4825" s="81"/>
      <c r="J4825" s="81"/>
      <c r="K4825" s="81"/>
      <c r="L4825" s="81"/>
      <c r="M4825" s="81"/>
      <c r="N4825" s="81"/>
    </row>
    <row r="4826" spans="1:14" ht="14.25" customHeight="1" x14ac:dyDescent="0.25">
      <c r="A4826" s="134"/>
      <c r="B4826" s="135"/>
      <c r="C4826" s="135"/>
      <c r="D4826" s="135"/>
      <c r="E4826" s="135"/>
      <c r="F4826" s="136"/>
      <c r="G4826" s="81"/>
      <c r="H4826" s="81"/>
      <c r="I4826" s="81"/>
      <c r="J4826" s="81"/>
      <c r="K4826" s="81"/>
      <c r="L4826" s="81"/>
      <c r="M4826" s="81"/>
      <c r="N4826" s="81"/>
    </row>
    <row r="4827" spans="1:14" ht="14.25" customHeight="1" x14ac:dyDescent="0.25">
      <c r="A4827" s="134"/>
      <c r="B4827" s="135"/>
      <c r="C4827" s="135"/>
      <c r="D4827" s="135"/>
      <c r="E4827" s="135"/>
      <c r="F4827" s="136"/>
      <c r="G4827" s="81"/>
      <c r="H4827" s="81"/>
      <c r="I4827" s="81"/>
      <c r="J4827" s="81"/>
      <c r="K4827" s="81"/>
      <c r="L4827" s="81"/>
      <c r="M4827" s="81"/>
      <c r="N4827" s="81"/>
    </row>
    <row r="4828" spans="1:14" ht="14.25" customHeight="1" x14ac:dyDescent="0.25">
      <c r="A4828" s="134"/>
      <c r="B4828" s="135"/>
      <c r="C4828" s="135"/>
      <c r="D4828" s="135"/>
      <c r="E4828" s="135"/>
      <c r="F4828" s="136"/>
      <c r="G4828" s="81"/>
      <c r="H4828" s="81"/>
      <c r="I4828" s="81"/>
      <c r="J4828" s="81"/>
      <c r="K4828" s="81"/>
      <c r="L4828" s="81"/>
      <c r="M4828" s="81"/>
      <c r="N4828" s="81"/>
    </row>
    <row r="4829" spans="1:14" ht="14.25" customHeight="1" x14ac:dyDescent="0.25">
      <c r="A4829" s="134"/>
      <c r="B4829" s="135"/>
      <c r="C4829" s="135"/>
      <c r="D4829" s="135"/>
      <c r="E4829" s="135"/>
      <c r="F4829" s="136"/>
      <c r="G4829" s="81"/>
      <c r="H4829" s="81"/>
      <c r="I4829" s="81"/>
      <c r="J4829" s="81"/>
      <c r="K4829" s="81"/>
      <c r="L4829" s="81"/>
      <c r="M4829" s="81"/>
      <c r="N4829" s="81"/>
    </row>
    <row r="4830" spans="1:14" ht="14.25" customHeight="1" x14ac:dyDescent="0.25">
      <c r="A4830" s="134"/>
      <c r="B4830" s="135"/>
      <c r="C4830" s="135"/>
      <c r="D4830" s="135"/>
      <c r="E4830" s="135"/>
      <c r="F4830" s="136"/>
      <c r="G4830" s="81"/>
      <c r="H4830" s="81"/>
      <c r="I4830" s="81"/>
      <c r="J4830" s="81"/>
      <c r="K4830" s="81"/>
      <c r="L4830" s="81"/>
      <c r="M4830" s="81"/>
      <c r="N4830" s="81"/>
    </row>
    <row r="4831" spans="1:14" ht="14.25" customHeight="1" x14ac:dyDescent="0.25">
      <c r="A4831" s="81"/>
      <c r="B4831" s="81"/>
      <c r="C4831" s="137"/>
      <c r="D4831" s="81"/>
      <c r="E4831" s="81"/>
      <c r="F4831" s="81"/>
      <c r="G4831" s="81"/>
      <c r="H4831" s="81"/>
      <c r="I4831" s="81"/>
      <c r="J4831" s="81"/>
      <c r="K4831" s="81"/>
      <c r="L4831" s="81"/>
      <c r="M4831" s="81"/>
      <c r="N4831" s="81"/>
    </row>
    <row r="4832" spans="1:14" ht="14.25" customHeight="1" x14ac:dyDescent="0.25">
      <c r="A4832" s="81"/>
      <c r="B4832" s="81"/>
      <c r="C4832" s="137"/>
      <c r="D4832" s="81"/>
      <c r="E4832" s="81"/>
      <c r="F4832" s="81"/>
      <c r="G4832" s="81"/>
      <c r="H4832" s="81"/>
      <c r="I4832" s="81"/>
      <c r="J4832" s="81"/>
      <c r="K4832" s="81"/>
      <c r="L4832" s="81"/>
      <c r="M4832" s="81"/>
      <c r="N4832" s="81"/>
    </row>
    <row r="4833" spans="1:14" ht="14.25" customHeight="1" x14ac:dyDescent="0.25">
      <c r="A4833" s="81"/>
      <c r="B4833" s="81"/>
      <c r="C4833" s="137"/>
      <c r="D4833" s="81"/>
      <c r="E4833" s="81"/>
      <c r="F4833" s="81"/>
      <c r="G4833" s="81"/>
      <c r="H4833" s="81"/>
      <c r="I4833" s="81"/>
      <c r="J4833" s="81"/>
      <c r="K4833" s="81"/>
      <c r="L4833" s="81"/>
      <c r="M4833" s="81"/>
      <c r="N4833" s="81"/>
    </row>
    <row r="4834" spans="1:14" ht="14.25" customHeight="1" x14ac:dyDescent="0.25">
      <c r="A4834" s="81"/>
      <c r="B4834" s="81"/>
      <c r="C4834" s="137"/>
      <c r="D4834" s="81"/>
      <c r="E4834" s="81"/>
      <c r="F4834" s="81"/>
      <c r="G4834" s="81"/>
      <c r="H4834" s="81"/>
      <c r="I4834" s="81"/>
      <c r="J4834" s="81"/>
      <c r="K4834" s="81"/>
      <c r="L4834" s="81"/>
      <c r="M4834" s="81"/>
      <c r="N4834" s="81"/>
    </row>
    <row r="4835" spans="1:14" ht="14.25" customHeight="1" thickBot="1" x14ac:dyDescent="0.3">
      <c r="A4835" s="81"/>
      <c r="B4835" s="81"/>
      <c r="C4835" s="81"/>
      <c r="D4835" s="81"/>
      <c r="E4835" s="81"/>
      <c r="F4835" s="81"/>
      <c r="G4835" s="81"/>
      <c r="H4835" s="81"/>
      <c r="I4835" s="81"/>
      <c r="J4835" s="81"/>
      <c r="K4835" s="81"/>
      <c r="L4835" s="81"/>
      <c r="M4835" s="81"/>
      <c r="N4835" s="81"/>
    </row>
    <row r="4836" spans="1:14" ht="14.25" customHeight="1" x14ac:dyDescent="0.25">
      <c r="A4836" s="83"/>
      <c r="B4836" s="84"/>
      <c r="C4836" s="85"/>
      <c r="D4836" s="86"/>
      <c r="E4836" s="86"/>
      <c r="F4836" s="87"/>
      <c r="G4836" s="81"/>
      <c r="H4836" s="81"/>
      <c r="I4836" s="81"/>
      <c r="J4836" s="81"/>
      <c r="K4836" s="81"/>
      <c r="L4836" s="81"/>
      <c r="M4836" s="81"/>
      <c r="N4836" s="81"/>
    </row>
    <row r="4837" spans="1:14" ht="14.25" customHeight="1" x14ac:dyDescent="0.25">
      <c r="A4837" s="599"/>
      <c r="B4837" s="600"/>
      <c r="C4837" s="600"/>
      <c r="D4837" s="600"/>
      <c r="E4837" s="600"/>
      <c r="F4837" s="601"/>
      <c r="G4837" s="81"/>
      <c r="H4837" s="81"/>
      <c r="I4837" s="81"/>
      <c r="J4837" s="81"/>
      <c r="K4837" s="81"/>
      <c r="L4837" s="81"/>
      <c r="M4837" s="81"/>
      <c r="N4837" s="81"/>
    </row>
    <row r="4838" spans="1:14" ht="14.25" customHeight="1" x14ac:dyDescent="0.25">
      <c r="A4838" s="602" t="s">
        <v>561</v>
      </c>
      <c r="B4838" s="600"/>
      <c r="C4838" s="600"/>
      <c r="D4838" s="600"/>
      <c r="E4838" s="600"/>
      <c r="F4838" s="601"/>
      <c r="G4838" s="81"/>
      <c r="H4838" s="81"/>
      <c r="I4838" s="81"/>
      <c r="J4838" s="81"/>
      <c r="K4838" s="81"/>
      <c r="L4838" s="81"/>
      <c r="M4838" s="81"/>
      <c r="N4838" s="81"/>
    </row>
    <row r="4839" spans="1:14" ht="14.25" customHeight="1" thickBot="1" x14ac:dyDescent="0.3">
      <c r="A4839" s="603"/>
      <c r="B4839" s="604"/>
      <c r="C4839" s="604"/>
      <c r="D4839" s="604"/>
      <c r="E4839" s="604"/>
      <c r="F4839" s="605"/>
      <c r="G4839" s="81"/>
      <c r="H4839" s="81"/>
      <c r="I4839" s="81"/>
      <c r="J4839" s="81"/>
      <c r="K4839" s="81"/>
      <c r="L4839" s="81"/>
      <c r="M4839" s="81"/>
      <c r="N4839" s="81"/>
    </row>
    <row r="4840" spans="1:14" ht="14.25" customHeight="1" x14ac:dyDescent="0.25">
      <c r="A4840" s="88"/>
      <c r="B4840" s="88"/>
      <c r="C4840" s="89"/>
      <c r="D4840" s="89"/>
      <c r="E4840" s="89"/>
      <c r="F4840" s="89"/>
      <c r="G4840" s="81"/>
      <c r="H4840" s="81"/>
      <c r="I4840" s="81"/>
      <c r="J4840" s="81"/>
      <c r="K4840" s="81"/>
      <c r="L4840" s="81"/>
      <c r="M4840" s="81"/>
      <c r="N4840" s="81"/>
    </row>
    <row r="4841" spans="1:14" ht="14.25" customHeight="1" x14ac:dyDescent="0.25">
      <c r="A4841" s="90" t="s">
        <v>47</v>
      </c>
      <c r="B4841" s="613" t="s">
        <v>230</v>
      </c>
      <c r="C4841" s="600"/>
      <c r="D4841" s="600"/>
      <c r="E4841" s="600"/>
      <c r="F4841" s="600"/>
      <c r="G4841" s="81"/>
      <c r="H4841" s="81"/>
      <c r="I4841" s="81"/>
      <c r="J4841" s="81"/>
      <c r="K4841" s="81"/>
      <c r="L4841" s="81"/>
      <c r="M4841" s="81"/>
      <c r="N4841" s="81"/>
    </row>
    <row r="4842" spans="1:14" ht="14.25" customHeight="1" x14ac:dyDescent="0.25">
      <c r="A4842" s="91"/>
      <c r="B4842" s="91"/>
      <c r="C4842" s="91"/>
      <c r="D4842" s="91"/>
      <c r="E4842" s="91"/>
      <c r="F4842" s="91"/>
      <c r="G4842" s="81"/>
      <c r="H4842" s="81"/>
      <c r="I4842" s="81"/>
      <c r="J4842" s="81"/>
      <c r="K4842" s="81"/>
      <c r="L4842" s="81"/>
      <c r="M4842" s="81"/>
      <c r="N4842" s="81"/>
    </row>
    <row r="4843" spans="1:14" ht="14.25" customHeight="1" x14ac:dyDescent="0.25">
      <c r="A4843" s="88" t="s">
        <v>49</v>
      </c>
      <c r="B4843" s="92" t="s">
        <v>59</v>
      </c>
      <c r="C4843" s="89"/>
      <c r="D4843" s="89"/>
      <c r="E4843" s="89"/>
      <c r="F4843" s="93"/>
      <c r="G4843" s="81"/>
      <c r="H4843" s="81"/>
      <c r="I4843" s="81"/>
      <c r="J4843" s="81"/>
      <c r="K4843" s="81"/>
      <c r="L4843" s="81"/>
      <c r="M4843" s="81"/>
      <c r="N4843" s="81"/>
    </row>
    <row r="4844" spans="1:14" ht="14.25" customHeight="1" x14ac:dyDescent="0.25">
      <c r="A4844" s="88"/>
      <c r="B4844" s="94"/>
      <c r="C4844" s="89"/>
      <c r="D4844" s="89"/>
      <c r="E4844" s="89"/>
      <c r="F4844" s="93"/>
      <c r="G4844" s="81"/>
      <c r="H4844" s="81"/>
      <c r="I4844" s="81"/>
      <c r="J4844" s="81"/>
      <c r="K4844" s="81"/>
      <c r="L4844" s="81"/>
      <c r="M4844" s="81"/>
      <c r="N4844" s="81"/>
    </row>
    <row r="4845" spans="1:14" ht="14.25" customHeight="1" x14ac:dyDescent="0.25">
      <c r="A4845" s="95" t="s">
        <v>562</v>
      </c>
      <c r="B4845" s="96"/>
      <c r="C4845" s="92"/>
      <c r="D4845" s="92"/>
      <c r="E4845" s="92"/>
      <c r="F4845" s="92"/>
      <c r="G4845" s="81"/>
      <c r="H4845" s="81"/>
      <c r="I4845" s="81"/>
      <c r="J4845" s="81"/>
      <c r="K4845" s="81"/>
      <c r="L4845" s="81"/>
      <c r="M4845" s="81"/>
      <c r="N4845" s="81"/>
    </row>
    <row r="4846" spans="1:14" ht="14.25" customHeight="1" x14ac:dyDescent="0.25">
      <c r="A4846" s="97" t="s">
        <v>563</v>
      </c>
      <c r="B4846" s="98" t="s">
        <v>564</v>
      </c>
      <c r="C4846" s="98" t="s">
        <v>565</v>
      </c>
      <c r="D4846" s="98" t="s">
        <v>566</v>
      </c>
      <c r="E4846" s="98" t="s">
        <v>567</v>
      </c>
      <c r="F4846" s="98" t="s">
        <v>568</v>
      </c>
      <c r="G4846" s="81"/>
      <c r="H4846" s="81"/>
      <c r="I4846" s="81"/>
      <c r="J4846" s="81"/>
      <c r="K4846" s="81"/>
      <c r="L4846" s="81"/>
      <c r="M4846" s="81"/>
      <c r="N4846" s="81"/>
    </row>
    <row r="4847" spans="1:14" ht="14.25" customHeight="1" x14ac:dyDescent="0.25">
      <c r="A4847" s="99" t="s">
        <v>748</v>
      </c>
      <c r="B4847" s="100" t="s">
        <v>59</v>
      </c>
      <c r="C4847" s="101">
        <v>12100</v>
      </c>
      <c r="D4847" s="149">
        <v>1</v>
      </c>
      <c r="E4847" s="102">
        <v>0.05</v>
      </c>
      <c r="F4847" s="101">
        <f t="shared" ref="F4847:F4849" si="265">C4847*(D4847+(D4847*E4847))</f>
        <v>12705</v>
      </c>
      <c r="G4847" s="81"/>
      <c r="H4847" s="81"/>
      <c r="I4847" s="81"/>
      <c r="J4847" s="81"/>
      <c r="K4847" s="81"/>
      <c r="L4847" s="81"/>
      <c r="M4847" s="81"/>
      <c r="N4847" s="81"/>
    </row>
    <row r="4848" spans="1:14" ht="14.25" customHeight="1" x14ac:dyDescent="0.25">
      <c r="A4848" s="99" t="s">
        <v>622</v>
      </c>
      <c r="B4848" s="100" t="s">
        <v>99</v>
      </c>
      <c r="C4848" s="101">
        <v>85900</v>
      </c>
      <c r="D4848" s="149">
        <v>0.06</v>
      </c>
      <c r="E4848" s="102">
        <v>0.05</v>
      </c>
      <c r="F4848" s="101">
        <f t="shared" si="265"/>
        <v>5411.7</v>
      </c>
      <c r="G4848" s="81"/>
      <c r="H4848" s="81"/>
      <c r="I4848" s="81"/>
      <c r="J4848" s="81"/>
      <c r="K4848" s="81"/>
      <c r="L4848" s="81"/>
      <c r="M4848" s="81"/>
      <c r="N4848" s="81"/>
    </row>
    <row r="4849" spans="1:14" ht="14.25" customHeight="1" x14ac:dyDescent="0.25">
      <c r="A4849" s="99" t="s">
        <v>755</v>
      </c>
      <c r="B4849" s="100" t="s">
        <v>99</v>
      </c>
      <c r="C4849" s="101">
        <v>3650</v>
      </c>
      <c r="D4849" s="149">
        <v>0.25</v>
      </c>
      <c r="E4849" s="102"/>
      <c r="F4849" s="101">
        <f t="shared" si="265"/>
        <v>912.5</v>
      </c>
      <c r="G4849" s="81"/>
      <c r="H4849" s="81"/>
      <c r="I4849" s="81"/>
      <c r="J4849" s="81"/>
      <c r="K4849" s="81"/>
      <c r="L4849" s="81"/>
      <c r="M4849" s="81"/>
      <c r="N4849" s="81"/>
    </row>
    <row r="4850" spans="1:14" ht="14.25" customHeight="1" x14ac:dyDescent="0.25">
      <c r="A4850" s="99"/>
      <c r="B4850" s="100"/>
      <c r="C4850" s="101"/>
      <c r="D4850" s="105"/>
      <c r="E4850" s="102"/>
      <c r="F4850" s="101"/>
      <c r="G4850" s="81"/>
      <c r="H4850" s="81"/>
      <c r="I4850" s="81"/>
      <c r="J4850" s="81"/>
      <c r="K4850" s="81"/>
      <c r="L4850" s="81"/>
      <c r="M4850" s="81"/>
      <c r="N4850" s="81"/>
    </row>
    <row r="4851" spans="1:14" ht="14.25" customHeight="1" x14ac:dyDescent="0.25">
      <c r="A4851" s="99"/>
      <c r="B4851" s="100"/>
      <c r="C4851" s="106"/>
      <c r="D4851" s="107"/>
      <c r="E4851" s="108"/>
      <c r="F4851" s="106"/>
      <c r="G4851" s="81"/>
      <c r="H4851" s="81"/>
      <c r="I4851" s="81"/>
      <c r="J4851" s="81"/>
      <c r="K4851" s="81"/>
      <c r="L4851" s="81"/>
      <c r="M4851" s="81"/>
      <c r="N4851" s="81"/>
    </row>
    <row r="4852" spans="1:14" ht="14.25" customHeight="1" x14ac:dyDescent="0.25">
      <c r="A4852" s="97" t="s">
        <v>548</v>
      </c>
      <c r="B4852" s="97"/>
      <c r="C4852" s="109"/>
      <c r="D4852" s="110"/>
      <c r="E4852" s="111"/>
      <c r="F4852" s="112">
        <f>SUM(F4847:F4851)</f>
        <v>19029.2</v>
      </c>
      <c r="G4852" s="81"/>
      <c r="H4852" s="81"/>
      <c r="I4852" s="81"/>
      <c r="J4852" s="81"/>
      <c r="K4852" s="81"/>
      <c r="L4852" s="81"/>
      <c r="M4852" s="81"/>
      <c r="N4852" s="81"/>
    </row>
    <row r="4853" spans="1:14" ht="14.25" customHeight="1" x14ac:dyDescent="0.25">
      <c r="A4853" s="88"/>
      <c r="B4853" s="88"/>
      <c r="C4853" s="113"/>
      <c r="D4853" s="113"/>
      <c r="E4853" s="114"/>
      <c r="F4853" s="113"/>
      <c r="G4853" s="81"/>
      <c r="H4853" s="81"/>
      <c r="I4853" s="81"/>
      <c r="J4853" s="81"/>
      <c r="K4853" s="81"/>
      <c r="L4853" s="81"/>
      <c r="M4853" s="81"/>
      <c r="N4853" s="81"/>
    </row>
    <row r="4854" spans="1:14" ht="14.25" customHeight="1" x14ac:dyDescent="0.25">
      <c r="A4854" s="96" t="s">
        <v>573</v>
      </c>
      <c r="B4854" s="96"/>
      <c r="C4854" s="92"/>
      <c r="D4854" s="92"/>
      <c r="E4854" s="92"/>
      <c r="F4854" s="92"/>
      <c r="G4854" s="81"/>
      <c r="H4854" s="81"/>
      <c r="I4854" s="81"/>
      <c r="J4854" s="81"/>
      <c r="K4854" s="81"/>
      <c r="L4854" s="81"/>
      <c r="M4854" s="81"/>
      <c r="N4854" s="81"/>
    </row>
    <row r="4855" spans="1:14" ht="14.25" customHeight="1" x14ac:dyDescent="0.25">
      <c r="A4855" s="611" t="s">
        <v>563</v>
      </c>
      <c r="B4855" s="608"/>
      <c r="C4855" s="609"/>
      <c r="D4855" s="98" t="s">
        <v>574</v>
      </c>
      <c r="E4855" s="98" t="s">
        <v>575</v>
      </c>
      <c r="F4855" s="98" t="s">
        <v>568</v>
      </c>
      <c r="G4855" s="81"/>
      <c r="H4855" s="81"/>
      <c r="I4855" s="81"/>
      <c r="J4855" s="81"/>
      <c r="K4855" s="81"/>
      <c r="L4855" s="81"/>
      <c r="M4855" s="81"/>
      <c r="N4855" s="81"/>
    </row>
    <row r="4856" spans="1:14" ht="14.25" customHeight="1" x14ac:dyDescent="0.25">
      <c r="A4856" s="607" t="s">
        <v>577</v>
      </c>
      <c r="B4856" s="608"/>
      <c r="C4856" s="609"/>
      <c r="D4856" s="116"/>
      <c r="E4856" s="107"/>
      <c r="F4856" s="106">
        <f>+F4867*5%</f>
        <v>1113.534493359567</v>
      </c>
      <c r="G4856" s="81"/>
      <c r="H4856" s="81"/>
      <c r="I4856" s="81"/>
      <c r="J4856" s="81"/>
      <c r="K4856" s="81"/>
      <c r="L4856" s="81"/>
      <c r="M4856" s="81"/>
      <c r="N4856" s="81"/>
    </row>
    <row r="4857" spans="1:14" ht="14.25" customHeight="1" x14ac:dyDescent="0.25">
      <c r="A4857" s="607"/>
      <c r="B4857" s="608"/>
      <c r="C4857" s="609"/>
      <c r="D4857" s="116"/>
      <c r="E4857" s="107"/>
      <c r="F4857" s="106"/>
      <c r="G4857" s="81"/>
      <c r="H4857" s="81"/>
      <c r="I4857" s="81"/>
      <c r="J4857" s="81"/>
      <c r="K4857" s="81"/>
      <c r="L4857" s="81"/>
      <c r="M4857" s="81"/>
      <c r="N4857" s="81"/>
    </row>
    <row r="4858" spans="1:14" ht="14.25" customHeight="1" x14ac:dyDescent="0.25">
      <c r="A4858" s="610"/>
      <c r="B4858" s="608"/>
      <c r="C4858" s="609"/>
      <c r="D4858" s="115"/>
      <c r="E4858" s="107"/>
      <c r="F4858" s="106"/>
      <c r="G4858" s="81"/>
      <c r="H4858" s="81"/>
      <c r="I4858" s="81"/>
      <c r="J4858" s="81"/>
      <c r="K4858" s="81"/>
      <c r="L4858" s="81"/>
      <c r="M4858" s="81"/>
      <c r="N4858" s="81"/>
    </row>
    <row r="4859" spans="1:14" ht="14.25" customHeight="1" x14ac:dyDescent="0.25">
      <c r="A4859" s="611" t="s">
        <v>548</v>
      </c>
      <c r="B4859" s="608"/>
      <c r="C4859" s="609"/>
      <c r="D4859" s="110"/>
      <c r="E4859" s="110"/>
      <c r="F4859" s="112">
        <f>SUM(F4856:F4857)</f>
        <v>1113.534493359567</v>
      </c>
      <c r="G4859" s="81"/>
      <c r="H4859" s="81"/>
      <c r="I4859" s="81"/>
      <c r="J4859" s="81"/>
      <c r="K4859" s="81"/>
      <c r="L4859" s="81"/>
      <c r="M4859" s="81"/>
      <c r="N4859" s="81"/>
    </row>
    <row r="4860" spans="1:14" ht="14.25" customHeight="1" x14ac:dyDescent="0.25">
      <c r="A4860" s="88"/>
      <c r="B4860" s="88"/>
      <c r="C4860" s="89"/>
      <c r="D4860" s="113"/>
      <c r="E4860" s="113"/>
      <c r="F4860" s="113"/>
      <c r="G4860" s="81"/>
      <c r="H4860" s="81"/>
      <c r="I4860" s="81"/>
      <c r="J4860" s="81"/>
      <c r="K4860" s="81"/>
      <c r="L4860" s="81"/>
      <c r="M4860" s="81"/>
      <c r="N4860" s="81"/>
    </row>
    <row r="4861" spans="1:14" ht="14.25" customHeight="1" x14ac:dyDescent="0.25">
      <c r="A4861" s="96" t="s">
        <v>578</v>
      </c>
      <c r="B4861" s="96"/>
      <c r="C4861" s="92"/>
      <c r="D4861" s="118"/>
      <c r="E4861" s="118"/>
      <c r="F4861" s="118"/>
      <c r="G4861" s="81"/>
      <c r="H4861" s="81"/>
      <c r="I4861" s="81"/>
      <c r="J4861" s="81"/>
      <c r="K4861" s="81"/>
      <c r="L4861" s="81"/>
      <c r="M4861" s="81"/>
      <c r="N4861" s="81"/>
    </row>
    <row r="4862" spans="1:14" ht="14.25" customHeight="1" x14ac:dyDescent="0.25">
      <c r="A4862" s="119" t="s">
        <v>563</v>
      </c>
      <c r="B4862" s="120" t="s">
        <v>579</v>
      </c>
      <c r="C4862" s="120" t="s">
        <v>580</v>
      </c>
      <c r="D4862" s="121" t="s">
        <v>581</v>
      </c>
      <c r="E4862" s="121" t="s">
        <v>575</v>
      </c>
      <c r="F4862" s="121" t="s">
        <v>568</v>
      </c>
      <c r="G4862" s="81"/>
      <c r="H4862" s="81"/>
      <c r="I4862" s="81"/>
      <c r="J4862" s="81"/>
      <c r="K4862" s="81"/>
      <c r="L4862" s="81"/>
      <c r="M4862" s="81"/>
      <c r="N4862" s="81"/>
    </row>
    <row r="4863" spans="1:14" ht="14.25" customHeight="1" x14ac:dyDescent="0.25">
      <c r="A4863" s="122" t="s">
        <v>593</v>
      </c>
      <c r="B4863" s="127">
        <v>1</v>
      </c>
      <c r="C4863" s="101">
        <v>32688</v>
      </c>
      <c r="D4863" s="101">
        <f t="shared" ref="D4863:D4864" si="266">+C4863*1.7</f>
        <v>55569.599999999999</v>
      </c>
      <c r="E4863" s="107">
        <v>6.5056000000000003</v>
      </c>
      <c r="F4863" s="106">
        <f t="shared" ref="F4863:F4864" si="267">+B4863*(D4863)/E4863</f>
        <v>8541.8101328086559</v>
      </c>
      <c r="G4863" s="81"/>
      <c r="H4863" s="81"/>
      <c r="I4863" s="81"/>
      <c r="J4863" s="81"/>
      <c r="K4863" s="81"/>
      <c r="L4863" s="81"/>
      <c r="M4863" s="81"/>
      <c r="N4863" s="81"/>
    </row>
    <row r="4864" spans="1:14" ht="14.25" customHeight="1" x14ac:dyDescent="0.25">
      <c r="A4864" s="122" t="s">
        <v>594</v>
      </c>
      <c r="B4864" s="127">
        <v>1</v>
      </c>
      <c r="C4864" s="101">
        <v>52538</v>
      </c>
      <c r="D4864" s="101">
        <f t="shared" si="266"/>
        <v>89314.599999999991</v>
      </c>
      <c r="E4864" s="107">
        <f>E4863</f>
        <v>6.5056000000000003</v>
      </c>
      <c r="F4864" s="106">
        <f t="shared" si="267"/>
        <v>13728.879734382685</v>
      </c>
      <c r="G4864" s="81"/>
      <c r="H4864" s="81"/>
      <c r="I4864" s="81"/>
      <c r="J4864" s="81"/>
      <c r="K4864" s="81"/>
      <c r="L4864" s="81"/>
      <c r="M4864" s="81"/>
      <c r="N4864" s="81"/>
    </row>
    <row r="4865" spans="1:14" ht="14.25" customHeight="1" x14ac:dyDescent="0.25">
      <c r="A4865" s="122"/>
      <c r="B4865" s="127"/>
      <c r="C4865" s="101"/>
      <c r="D4865" s="101"/>
      <c r="E4865" s="107"/>
      <c r="F4865" s="106"/>
      <c r="G4865" s="81"/>
      <c r="H4865" s="81"/>
      <c r="I4865" s="81"/>
      <c r="J4865" s="81"/>
      <c r="K4865" s="81"/>
      <c r="L4865" s="81"/>
      <c r="M4865" s="81"/>
      <c r="N4865" s="81"/>
    </row>
    <row r="4866" spans="1:14" ht="14.25" customHeight="1" x14ac:dyDescent="0.25">
      <c r="A4866" s="122"/>
      <c r="B4866" s="127"/>
      <c r="C4866" s="101"/>
      <c r="D4866" s="101"/>
      <c r="E4866" s="125"/>
      <c r="F4866" s="106"/>
      <c r="G4866" s="81"/>
      <c r="H4866" s="81"/>
      <c r="I4866" s="81"/>
      <c r="J4866" s="81"/>
      <c r="K4866" s="81"/>
      <c r="L4866" s="81"/>
      <c r="M4866" s="81"/>
      <c r="N4866" s="81"/>
    </row>
    <row r="4867" spans="1:14" ht="14.25" customHeight="1" x14ac:dyDescent="0.25">
      <c r="A4867" s="97" t="s">
        <v>548</v>
      </c>
      <c r="B4867" s="128"/>
      <c r="C4867" s="110"/>
      <c r="D4867" s="110"/>
      <c r="E4867" s="110"/>
      <c r="F4867" s="112">
        <f>SUM(F4863:F4866)</f>
        <v>22270.68986719134</v>
      </c>
      <c r="G4867" s="81"/>
      <c r="H4867" s="81"/>
      <c r="I4867" s="81"/>
      <c r="J4867" s="81"/>
      <c r="K4867" s="81"/>
      <c r="L4867" s="81"/>
      <c r="M4867" s="81"/>
      <c r="N4867" s="81"/>
    </row>
    <row r="4868" spans="1:14" ht="14.25" customHeight="1" x14ac:dyDescent="0.25">
      <c r="A4868" s="96"/>
      <c r="B4868" s="129"/>
      <c r="C4868" s="118"/>
      <c r="D4868" s="118"/>
      <c r="E4868" s="118"/>
      <c r="F4868" s="118"/>
      <c r="G4868" s="81"/>
      <c r="H4868" s="81"/>
      <c r="I4868" s="81"/>
      <c r="J4868" s="81"/>
      <c r="K4868" s="81"/>
      <c r="L4868" s="81"/>
      <c r="M4868" s="81"/>
      <c r="N4868" s="81"/>
    </row>
    <row r="4869" spans="1:14" ht="14.25" customHeight="1" x14ac:dyDescent="0.25">
      <c r="A4869" s="95" t="s">
        <v>583</v>
      </c>
      <c r="B4869" s="96"/>
      <c r="C4869" s="92"/>
      <c r="D4869" s="92"/>
      <c r="E4869" s="92" t="s">
        <v>584</v>
      </c>
      <c r="F4869" s="92"/>
      <c r="G4869" s="81"/>
      <c r="H4869" s="81"/>
      <c r="I4869" s="81"/>
      <c r="J4869" s="81"/>
      <c r="K4869" s="81"/>
      <c r="L4869" s="81"/>
      <c r="M4869" s="81"/>
      <c r="N4869" s="81"/>
    </row>
    <row r="4870" spans="1:14" ht="14.25" customHeight="1" x14ac:dyDescent="0.25">
      <c r="A4870" s="97" t="s">
        <v>563</v>
      </c>
      <c r="B4870" s="98" t="s">
        <v>564</v>
      </c>
      <c r="C4870" s="98" t="s">
        <v>585</v>
      </c>
      <c r="D4870" s="98" t="s">
        <v>586</v>
      </c>
      <c r="E4870" s="120" t="s">
        <v>587</v>
      </c>
      <c r="F4870" s="98" t="s">
        <v>568</v>
      </c>
      <c r="G4870" s="81"/>
      <c r="H4870" s="81"/>
      <c r="I4870" s="81"/>
      <c r="J4870" s="81"/>
      <c r="K4870" s="81"/>
      <c r="L4870" s="81"/>
      <c r="M4870" s="81"/>
      <c r="N4870" s="81"/>
    </row>
    <row r="4871" spans="1:14" ht="14.25" customHeight="1" x14ac:dyDescent="0.25">
      <c r="A4871" s="103" t="s">
        <v>604</v>
      </c>
      <c r="B4871" s="100" t="s">
        <v>605</v>
      </c>
      <c r="C4871" s="101">
        <v>1000</v>
      </c>
      <c r="D4871" s="140">
        <v>3.4</v>
      </c>
      <c r="E4871" s="107">
        <v>1.27542</v>
      </c>
      <c r="F4871" s="109">
        <f>+C4871*D4871*E4871</f>
        <v>4336.4279999999999</v>
      </c>
      <c r="G4871" s="81"/>
      <c r="H4871" s="81"/>
      <c r="I4871" s="81"/>
      <c r="J4871" s="81"/>
      <c r="K4871" s="81"/>
      <c r="L4871" s="81"/>
      <c r="M4871" s="81"/>
      <c r="N4871" s="81"/>
    </row>
    <row r="4872" spans="1:14" ht="14.25" customHeight="1" x14ac:dyDescent="0.25">
      <c r="A4872" s="103"/>
      <c r="B4872" s="100"/>
      <c r="C4872" s="107"/>
      <c r="D4872" s="107"/>
      <c r="E4872" s="108"/>
      <c r="F4872" s="109"/>
      <c r="G4872" s="81"/>
      <c r="H4872" s="81"/>
      <c r="I4872" s="81"/>
      <c r="J4872" s="81"/>
      <c r="K4872" s="81"/>
      <c r="L4872" s="81"/>
      <c r="M4872" s="81"/>
      <c r="N4872" s="81"/>
    </row>
    <row r="4873" spans="1:14" ht="14.25" customHeight="1" x14ac:dyDescent="0.25">
      <c r="A4873" s="97" t="s">
        <v>548</v>
      </c>
      <c r="B4873" s="98"/>
      <c r="C4873" s="110"/>
      <c r="D4873" s="110"/>
      <c r="E4873" s="111"/>
      <c r="F4873" s="112">
        <f>SUM(F4871:F4872)</f>
        <v>4336.4279999999999</v>
      </c>
      <c r="G4873" s="81"/>
      <c r="H4873" s="81"/>
      <c r="I4873" s="81"/>
      <c r="J4873" s="81"/>
      <c r="K4873" s="81"/>
      <c r="L4873" s="81"/>
      <c r="M4873" s="81"/>
      <c r="N4873" s="81"/>
    </row>
    <row r="4874" spans="1:14" ht="14.25" customHeight="1" x14ac:dyDescent="0.25">
      <c r="A4874" s="88"/>
      <c r="B4874" s="89"/>
      <c r="C4874" s="113"/>
      <c r="D4874" s="113"/>
      <c r="E4874" s="114"/>
      <c r="F4874" s="113"/>
      <c r="G4874" s="81"/>
      <c r="H4874" s="81"/>
      <c r="I4874" s="81"/>
      <c r="J4874" s="81"/>
      <c r="K4874" s="81"/>
      <c r="L4874" s="81"/>
      <c r="M4874" s="81"/>
      <c r="N4874" s="81"/>
    </row>
    <row r="4875" spans="1:14" ht="14.25" customHeight="1" x14ac:dyDescent="0.25">
      <c r="A4875" s="88"/>
      <c r="B4875" s="89"/>
      <c r="C4875" s="113"/>
      <c r="D4875" s="113"/>
      <c r="E4875" s="114"/>
      <c r="F4875" s="113"/>
      <c r="G4875" s="81"/>
      <c r="H4875" s="81"/>
      <c r="I4875" s="81"/>
      <c r="J4875" s="81"/>
      <c r="K4875" s="81"/>
      <c r="L4875" s="81"/>
      <c r="M4875" s="81"/>
      <c r="N4875" s="81"/>
    </row>
    <row r="4876" spans="1:14" ht="14.25" customHeight="1" x14ac:dyDescent="0.25">
      <c r="A4876" s="612" t="s">
        <v>588</v>
      </c>
      <c r="B4876" s="608"/>
      <c r="C4876" s="608"/>
      <c r="D4876" s="608"/>
      <c r="E4876" s="609"/>
      <c r="F4876" s="131">
        <f>ROUND(F4852+F4859+F4867+F4873,0)</f>
        <v>46750</v>
      </c>
      <c r="G4876" s="81"/>
      <c r="H4876" s="117"/>
      <c r="I4876" s="81"/>
      <c r="J4876" s="81"/>
      <c r="K4876" s="81"/>
      <c r="L4876" s="81"/>
      <c r="M4876" s="81"/>
      <c r="N4876" s="81"/>
    </row>
    <row r="4877" spans="1:14" ht="14.25" customHeight="1" x14ac:dyDescent="0.25">
      <c r="A4877" s="612" t="s">
        <v>589</v>
      </c>
      <c r="B4877" s="608"/>
      <c r="C4877" s="608"/>
      <c r="D4877" s="608"/>
      <c r="E4877" s="609"/>
      <c r="F4877" s="132"/>
      <c r="G4877" s="81"/>
      <c r="H4877" s="81"/>
      <c r="I4877" s="81"/>
      <c r="J4877" s="81"/>
      <c r="K4877" s="81"/>
      <c r="L4877" s="81"/>
      <c r="M4877" s="81"/>
      <c r="N4877" s="81"/>
    </row>
    <row r="4878" spans="1:14" ht="14.25" customHeight="1" x14ac:dyDescent="0.25">
      <c r="A4878" s="612" t="s">
        <v>556</v>
      </c>
      <c r="B4878" s="608"/>
      <c r="C4878" s="608"/>
      <c r="D4878" s="608"/>
      <c r="E4878" s="609"/>
      <c r="F4878" s="133"/>
      <c r="G4878" s="81"/>
      <c r="H4878" s="81"/>
      <c r="I4878" s="81"/>
      <c r="J4878" s="81"/>
      <c r="K4878" s="81"/>
      <c r="L4878" s="81"/>
      <c r="M4878" s="81"/>
      <c r="N4878" s="81"/>
    </row>
    <row r="4879" spans="1:14" ht="14.25" customHeight="1" x14ac:dyDescent="0.25">
      <c r="A4879" s="134"/>
      <c r="B4879" s="135"/>
      <c r="C4879" s="135"/>
      <c r="D4879" s="135"/>
      <c r="E4879" s="135"/>
      <c r="F4879" s="136"/>
      <c r="G4879" s="81"/>
      <c r="H4879" s="81"/>
      <c r="I4879" s="81"/>
      <c r="J4879" s="81"/>
      <c r="K4879" s="81"/>
      <c r="L4879" s="81"/>
      <c r="M4879" s="81"/>
      <c r="N4879" s="81"/>
    </row>
    <row r="4880" spans="1:14" ht="14.25" customHeight="1" x14ac:dyDescent="0.25">
      <c r="A4880" s="134"/>
      <c r="B4880" s="135"/>
      <c r="C4880" s="135"/>
      <c r="D4880" s="135"/>
      <c r="E4880" s="135"/>
      <c r="F4880" s="136"/>
      <c r="G4880" s="81"/>
      <c r="H4880" s="81"/>
      <c r="I4880" s="81"/>
      <c r="J4880" s="81"/>
      <c r="K4880" s="81"/>
      <c r="L4880" s="81"/>
      <c r="M4880" s="81"/>
      <c r="N4880" s="81"/>
    </row>
    <row r="4881" spans="1:14" ht="14.25" customHeight="1" x14ac:dyDescent="0.25">
      <c r="A4881" s="134"/>
      <c r="B4881" s="135"/>
      <c r="C4881" s="135"/>
      <c r="D4881" s="135"/>
      <c r="E4881" s="135"/>
      <c r="F4881" s="136"/>
      <c r="G4881" s="81"/>
      <c r="H4881" s="81"/>
      <c r="I4881" s="81"/>
      <c r="J4881" s="81"/>
      <c r="K4881" s="81"/>
      <c r="L4881" s="81"/>
      <c r="M4881" s="81"/>
      <c r="N4881" s="81"/>
    </row>
    <row r="4882" spans="1:14" ht="14.25" customHeight="1" x14ac:dyDescent="0.25">
      <c r="A4882" s="134"/>
      <c r="B4882" s="135"/>
      <c r="C4882" s="135"/>
      <c r="D4882" s="135"/>
      <c r="E4882" s="135"/>
      <c r="F4882" s="136"/>
      <c r="G4882" s="81"/>
      <c r="H4882" s="81"/>
      <c r="I4882" s="81"/>
      <c r="J4882" s="81"/>
      <c r="K4882" s="81"/>
      <c r="L4882" s="81"/>
      <c r="M4882" s="81"/>
      <c r="N4882" s="81"/>
    </row>
    <row r="4883" spans="1:14" ht="14.25" customHeight="1" x14ac:dyDescent="0.25">
      <c r="A4883" s="134"/>
      <c r="B4883" s="135"/>
      <c r="C4883" s="135"/>
      <c r="D4883" s="135"/>
      <c r="E4883" s="135"/>
      <c r="F4883" s="136"/>
      <c r="G4883" s="81"/>
      <c r="H4883" s="81"/>
      <c r="I4883" s="81"/>
      <c r="J4883" s="81"/>
      <c r="K4883" s="81"/>
      <c r="L4883" s="81"/>
      <c r="M4883" s="81"/>
      <c r="N4883" s="81"/>
    </row>
    <row r="4884" spans="1:14" ht="14.25" customHeight="1" x14ac:dyDescent="0.25">
      <c r="A4884" s="134"/>
      <c r="B4884" s="135"/>
      <c r="C4884" s="135"/>
      <c r="D4884" s="135"/>
      <c r="E4884" s="135"/>
      <c r="F4884" s="136"/>
      <c r="G4884" s="81"/>
      <c r="H4884" s="81"/>
      <c r="I4884" s="81"/>
      <c r="J4884" s="81"/>
      <c r="K4884" s="81"/>
      <c r="L4884" s="81"/>
      <c r="M4884" s="81"/>
      <c r="N4884" s="81"/>
    </row>
    <row r="4885" spans="1:14" ht="14.25" customHeight="1" x14ac:dyDescent="0.25">
      <c r="A4885" s="81"/>
      <c r="B4885" s="81"/>
      <c r="C4885" s="137"/>
      <c r="D4885" s="81"/>
      <c r="E4885" s="81"/>
      <c r="F4885" s="81"/>
      <c r="G4885" s="81"/>
      <c r="H4885" s="81"/>
      <c r="I4885" s="81"/>
      <c r="J4885" s="81"/>
      <c r="K4885" s="81"/>
      <c r="L4885" s="81"/>
      <c r="M4885" s="81"/>
      <c r="N4885" s="81"/>
    </row>
    <row r="4886" spans="1:14" ht="14.25" customHeight="1" x14ac:dyDescent="0.25">
      <c r="A4886" s="81"/>
      <c r="B4886" s="81"/>
      <c r="C4886" s="137"/>
      <c r="D4886" s="81"/>
      <c r="E4886" s="81"/>
      <c r="F4886" s="81"/>
      <c r="G4886" s="81"/>
      <c r="H4886" s="81"/>
      <c r="I4886" s="81"/>
      <c r="J4886" s="81"/>
      <c r="K4886" s="81"/>
      <c r="L4886" s="81"/>
      <c r="M4886" s="81"/>
      <c r="N4886" s="81"/>
    </row>
    <row r="4887" spans="1:14" ht="14.25" customHeight="1" x14ac:dyDescent="0.25">
      <c r="A4887" s="81"/>
      <c r="B4887" s="81"/>
      <c r="C4887" s="137"/>
      <c r="D4887" s="81"/>
      <c r="E4887" s="81"/>
      <c r="F4887" s="81"/>
      <c r="G4887" s="81"/>
      <c r="H4887" s="81"/>
      <c r="I4887" s="81"/>
      <c r="J4887" s="81"/>
      <c r="K4887" s="81"/>
      <c r="L4887" s="81"/>
      <c r="M4887" s="81"/>
      <c r="N4887" s="81"/>
    </row>
    <row r="4888" spans="1:14" ht="14.25" customHeight="1" x14ac:dyDescent="0.25">
      <c r="A4888" s="81"/>
      <c r="B4888" s="81"/>
      <c r="C4888" s="137"/>
      <c r="D4888" s="81"/>
      <c r="E4888" s="81"/>
      <c r="F4888" s="81"/>
      <c r="G4888" s="81"/>
      <c r="H4888" s="81"/>
      <c r="I4888" s="81"/>
      <c r="J4888" s="81"/>
      <c r="K4888" s="81"/>
      <c r="L4888" s="81"/>
      <c r="M4888" s="81"/>
      <c r="N4888" s="81"/>
    </row>
    <row r="4889" spans="1:14" ht="14.25" customHeight="1" thickBot="1" x14ac:dyDescent="0.3">
      <c r="A4889" s="81"/>
      <c r="B4889" s="81"/>
      <c r="C4889" s="81"/>
      <c r="D4889" s="81"/>
      <c r="E4889" s="81"/>
      <c r="F4889" s="81"/>
      <c r="G4889" s="81"/>
      <c r="H4889" s="81"/>
      <c r="I4889" s="81"/>
      <c r="J4889" s="81"/>
      <c r="K4889" s="81"/>
      <c r="L4889" s="81"/>
      <c r="M4889" s="81"/>
      <c r="N4889" s="81"/>
    </row>
    <row r="4890" spans="1:14" ht="14.25" customHeight="1" x14ac:dyDescent="0.25">
      <c r="A4890" s="83"/>
      <c r="B4890" s="84"/>
      <c r="C4890" s="85"/>
      <c r="D4890" s="86"/>
      <c r="E4890" s="86"/>
      <c r="F4890" s="87"/>
      <c r="G4890" s="81"/>
      <c r="H4890" s="81"/>
      <c r="I4890" s="81"/>
      <c r="J4890" s="81"/>
      <c r="K4890" s="81"/>
      <c r="L4890" s="81"/>
      <c r="M4890" s="81"/>
      <c r="N4890" s="81"/>
    </row>
    <row r="4891" spans="1:14" ht="14.25" customHeight="1" x14ac:dyDescent="0.25">
      <c r="A4891" s="599"/>
      <c r="B4891" s="600"/>
      <c r="C4891" s="600"/>
      <c r="D4891" s="600"/>
      <c r="E4891" s="600"/>
      <c r="F4891" s="601"/>
      <c r="G4891" s="81"/>
      <c r="H4891" s="81"/>
      <c r="I4891" s="81"/>
      <c r="J4891" s="81"/>
      <c r="K4891" s="81"/>
      <c r="L4891" s="81"/>
      <c r="M4891" s="81"/>
      <c r="N4891" s="81"/>
    </row>
    <row r="4892" spans="1:14" ht="14.25" customHeight="1" x14ac:dyDescent="0.25">
      <c r="A4892" s="602" t="s">
        <v>561</v>
      </c>
      <c r="B4892" s="600"/>
      <c r="C4892" s="600"/>
      <c r="D4892" s="600"/>
      <c r="E4892" s="600"/>
      <c r="F4892" s="601"/>
      <c r="G4892" s="81"/>
      <c r="H4892" s="81"/>
      <c r="I4892" s="81"/>
      <c r="J4892" s="81"/>
      <c r="K4892" s="81"/>
      <c r="L4892" s="81"/>
      <c r="M4892" s="81"/>
      <c r="N4892" s="81"/>
    </row>
    <row r="4893" spans="1:14" ht="14.25" customHeight="1" thickBot="1" x14ac:dyDescent="0.3">
      <c r="A4893" s="603"/>
      <c r="B4893" s="604"/>
      <c r="C4893" s="604"/>
      <c r="D4893" s="604"/>
      <c r="E4893" s="604"/>
      <c r="F4893" s="605"/>
      <c r="G4893" s="81"/>
      <c r="H4893" s="81"/>
      <c r="I4893" s="81"/>
      <c r="J4893" s="81"/>
      <c r="K4893" s="81"/>
      <c r="L4893" s="81"/>
      <c r="M4893" s="81"/>
      <c r="N4893" s="81"/>
    </row>
    <row r="4894" spans="1:14" ht="14.25" customHeight="1" x14ac:dyDescent="0.25">
      <c r="A4894" s="88"/>
      <c r="B4894" s="88"/>
      <c r="C4894" s="89"/>
      <c r="D4894" s="89"/>
      <c r="E4894" s="89"/>
      <c r="F4894" s="89"/>
      <c r="G4894" s="81"/>
      <c r="H4894" s="81"/>
      <c r="I4894" s="81"/>
      <c r="J4894" s="81"/>
      <c r="K4894" s="81"/>
      <c r="L4894" s="81"/>
      <c r="M4894" s="81"/>
      <c r="N4894" s="81"/>
    </row>
    <row r="4895" spans="1:14" ht="14.25" customHeight="1" x14ac:dyDescent="0.25">
      <c r="A4895" s="90" t="s">
        <v>47</v>
      </c>
      <c r="B4895" s="613" t="s">
        <v>232</v>
      </c>
      <c r="C4895" s="600"/>
      <c r="D4895" s="600"/>
      <c r="E4895" s="600"/>
      <c r="F4895" s="600"/>
      <c r="G4895" s="81"/>
      <c r="H4895" s="81"/>
      <c r="I4895" s="81"/>
      <c r="J4895" s="81"/>
      <c r="K4895" s="81"/>
      <c r="L4895" s="81"/>
      <c r="M4895" s="81"/>
      <c r="N4895" s="81"/>
    </row>
    <row r="4896" spans="1:14" ht="14.25" customHeight="1" x14ac:dyDescent="0.25">
      <c r="A4896" s="91"/>
      <c r="B4896" s="91"/>
      <c r="C4896" s="91"/>
      <c r="D4896" s="91"/>
      <c r="E4896" s="91"/>
      <c r="F4896" s="91"/>
      <c r="G4896" s="81"/>
      <c r="H4896" s="81"/>
      <c r="I4896" s="81"/>
      <c r="J4896" s="81"/>
      <c r="K4896" s="81"/>
      <c r="L4896" s="81"/>
      <c r="M4896" s="81"/>
      <c r="N4896" s="81"/>
    </row>
    <row r="4897" spans="1:14" ht="14.25" customHeight="1" x14ac:dyDescent="0.25">
      <c r="A4897" s="88" t="s">
        <v>49</v>
      </c>
      <c r="B4897" s="92" t="s">
        <v>59</v>
      </c>
      <c r="C4897" s="89"/>
      <c r="D4897" s="89"/>
      <c r="E4897" s="89"/>
      <c r="F4897" s="93"/>
      <c r="G4897" s="81"/>
      <c r="H4897" s="81"/>
      <c r="I4897" s="81"/>
      <c r="J4897" s="81"/>
      <c r="K4897" s="81"/>
      <c r="L4897" s="81"/>
      <c r="M4897" s="81"/>
      <c r="N4897" s="81"/>
    </row>
    <row r="4898" spans="1:14" ht="14.25" customHeight="1" x14ac:dyDescent="0.25">
      <c r="A4898" s="88"/>
      <c r="B4898" s="94"/>
      <c r="C4898" s="89"/>
      <c r="D4898" s="89"/>
      <c r="E4898" s="89"/>
      <c r="F4898" s="93"/>
      <c r="G4898" s="81"/>
      <c r="H4898" s="81"/>
      <c r="I4898" s="81"/>
      <c r="J4898" s="81"/>
      <c r="K4898" s="81"/>
      <c r="L4898" s="81"/>
      <c r="M4898" s="81"/>
      <c r="N4898" s="81"/>
    </row>
    <row r="4899" spans="1:14" ht="14.25" customHeight="1" x14ac:dyDescent="0.25">
      <c r="A4899" s="95" t="s">
        <v>562</v>
      </c>
      <c r="B4899" s="96"/>
      <c r="C4899" s="92"/>
      <c r="D4899" s="92"/>
      <c r="E4899" s="92"/>
      <c r="F4899" s="92"/>
      <c r="G4899" s="81"/>
      <c r="H4899" s="81"/>
      <c r="I4899" s="81"/>
      <c r="J4899" s="81"/>
      <c r="K4899" s="81"/>
      <c r="L4899" s="81"/>
      <c r="M4899" s="81"/>
      <c r="N4899" s="81"/>
    </row>
    <row r="4900" spans="1:14" ht="14.25" customHeight="1" x14ac:dyDescent="0.25">
      <c r="A4900" s="97" t="s">
        <v>563</v>
      </c>
      <c r="B4900" s="98" t="s">
        <v>564</v>
      </c>
      <c r="C4900" s="98" t="s">
        <v>565</v>
      </c>
      <c r="D4900" s="98" t="s">
        <v>566</v>
      </c>
      <c r="E4900" s="98" t="s">
        <v>567</v>
      </c>
      <c r="F4900" s="98" t="s">
        <v>568</v>
      </c>
      <c r="G4900" s="81"/>
      <c r="H4900" s="81"/>
      <c r="I4900" s="81"/>
      <c r="J4900" s="81"/>
      <c r="K4900" s="81"/>
      <c r="L4900" s="81"/>
      <c r="M4900" s="81"/>
      <c r="N4900" s="81"/>
    </row>
    <row r="4901" spans="1:14" ht="14.25" customHeight="1" x14ac:dyDescent="0.25">
      <c r="A4901" s="99" t="s">
        <v>745</v>
      </c>
      <c r="B4901" s="100" t="s">
        <v>59</v>
      </c>
      <c r="C4901" s="101">
        <v>16500</v>
      </c>
      <c r="D4901" s="149">
        <v>1</v>
      </c>
      <c r="E4901" s="102">
        <v>0.05</v>
      </c>
      <c r="F4901" s="101">
        <f t="shared" ref="F4901:F4903" si="268">C4901*(D4901+(D4901*E4901))</f>
        <v>17325</v>
      </c>
      <c r="G4901" s="81"/>
      <c r="H4901" s="81"/>
      <c r="I4901" s="81"/>
      <c r="J4901" s="81"/>
      <c r="K4901" s="81"/>
      <c r="L4901" s="81"/>
      <c r="M4901" s="81"/>
      <c r="N4901" s="81"/>
    </row>
    <row r="4902" spans="1:14" ht="14.25" customHeight="1" x14ac:dyDescent="0.25">
      <c r="A4902" s="99" t="s">
        <v>622</v>
      </c>
      <c r="B4902" s="100" t="s">
        <v>99</v>
      </c>
      <c r="C4902" s="101">
        <v>85900</v>
      </c>
      <c r="D4902" s="149">
        <v>7.0000000000000007E-2</v>
      </c>
      <c r="E4902" s="102">
        <v>0.05</v>
      </c>
      <c r="F4902" s="101">
        <f t="shared" si="268"/>
        <v>6313.6500000000005</v>
      </c>
      <c r="G4902" s="81"/>
      <c r="H4902" s="81"/>
      <c r="I4902" s="81"/>
      <c r="J4902" s="81"/>
      <c r="K4902" s="81"/>
      <c r="L4902" s="81"/>
      <c r="M4902" s="81"/>
      <c r="N4902" s="81"/>
    </row>
    <row r="4903" spans="1:14" ht="14.25" customHeight="1" x14ac:dyDescent="0.25">
      <c r="A4903" s="99" t="s">
        <v>756</v>
      </c>
      <c r="B4903" s="100" t="s">
        <v>99</v>
      </c>
      <c r="C4903" s="101">
        <v>6350</v>
      </c>
      <c r="D4903" s="149">
        <v>0.25</v>
      </c>
      <c r="E4903" s="102"/>
      <c r="F4903" s="101">
        <f t="shared" si="268"/>
        <v>1587.5</v>
      </c>
      <c r="G4903" s="81"/>
      <c r="H4903" s="81"/>
      <c r="I4903" s="81"/>
      <c r="J4903" s="81"/>
      <c r="K4903" s="81"/>
      <c r="L4903" s="81"/>
      <c r="M4903" s="81"/>
      <c r="N4903" s="81"/>
    </row>
    <row r="4904" spans="1:14" ht="14.25" customHeight="1" x14ac:dyDescent="0.25">
      <c r="A4904" s="99"/>
      <c r="B4904" s="100"/>
      <c r="C4904" s="101"/>
      <c r="D4904" s="105"/>
      <c r="E4904" s="102"/>
      <c r="F4904" s="101"/>
      <c r="G4904" s="81"/>
      <c r="H4904" s="81"/>
      <c r="I4904" s="81"/>
      <c r="J4904" s="81"/>
      <c r="K4904" s="81"/>
      <c r="L4904" s="81"/>
      <c r="M4904" s="81"/>
      <c r="N4904" s="81"/>
    </row>
    <row r="4905" spans="1:14" ht="14.25" customHeight="1" x14ac:dyDescent="0.25">
      <c r="A4905" s="99"/>
      <c r="B4905" s="100"/>
      <c r="C4905" s="106"/>
      <c r="D4905" s="107"/>
      <c r="E4905" s="108"/>
      <c r="F4905" s="106"/>
      <c r="G4905" s="81"/>
      <c r="H4905" s="81"/>
      <c r="I4905" s="81"/>
      <c r="J4905" s="81"/>
      <c r="K4905" s="81"/>
      <c r="L4905" s="81"/>
      <c r="M4905" s="81"/>
      <c r="N4905" s="81"/>
    </row>
    <row r="4906" spans="1:14" ht="14.25" customHeight="1" x14ac:dyDescent="0.25">
      <c r="A4906" s="97" t="s">
        <v>548</v>
      </c>
      <c r="B4906" s="97"/>
      <c r="C4906" s="109"/>
      <c r="D4906" s="110"/>
      <c r="E4906" s="111"/>
      <c r="F4906" s="112">
        <f>SUM(F4901:F4905)</f>
        <v>25226.15</v>
      </c>
      <c r="G4906" s="81"/>
      <c r="H4906" s="81"/>
      <c r="I4906" s="81"/>
      <c r="J4906" s="81"/>
      <c r="K4906" s="81"/>
      <c r="L4906" s="81"/>
      <c r="M4906" s="81"/>
      <c r="N4906" s="81"/>
    </row>
    <row r="4907" spans="1:14" ht="14.25" customHeight="1" x14ac:dyDescent="0.25">
      <c r="A4907" s="88"/>
      <c r="B4907" s="88"/>
      <c r="C4907" s="113"/>
      <c r="D4907" s="113"/>
      <c r="E4907" s="114"/>
      <c r="F4907" s="113"/>
      <c r="G4907" s="81"/>
      <c r="H4907" s="81"/>
      <c r="I4907" s="81"/>
      <c r="J4907" s="81"/>
      <c r="K4907" s="81"/>
      <c r="L4907" s="81"/>
      <c r="M4907" s="81"/>
      <c r="N4907" s="81"/>
    </row>
    <row r="4908" spans="1:14" ht="14.25" customHeight="1" x14ac:dyDescent="0.25">
      <c r="A4908" s="96" t="s">
        <v>573</v>
      </c>
      <c r="B4908" s="96"/>
      <c r="C4908" s="92"/>
      <c r="D4908" s="92"/>
      <c r="E4908" s="92"/>
      <c r="F4908" s="92"/>
      <c r="G4908" s="81"/>
      <c r="H4908" s="81"/>
      <c r="I4908" s="81"/>
      <c r="J4908" s="81"/>
      <c r="K4908" s="81"/>
      <c r="L4908" s="81"/>
      <c r="M4908" s="81"/>
      <c r="N4908" s="81"/>
    </row>
    <row r="4909" spans="1:14" ht="14.25" customHeight="1" x14ac:dyDescent="0.25">
      <c r="A4909" s="611" t="s">
        <v>563</v>
      </c>
      <c r="B4909" s="608"/>
      <c r="C4909" s="609"/>
      <c r="D4909" s="98" t="s">
        <v>574</v>
      </c>
      <c r="E4909" s="98" t="s">
        <v>575</v>
      </c>
      <c r="F4909" s="98" t="s">
        <v>568</v>
      </c>
      <c r="G4909" s="81"/>
      <c r="H4909" s="81"/>
      <c r="I4909" s="81"/>
      <c r="J4909" s="81"/>
      <c r="K4909" s="81"/>
      <c r="L4909" s="81"/>
      <c r="M4909" s="81"/>
      <c r="N4909" s="81"/>
    </row>
    <row r="4910" spans="1:14" ht="14.25" customHeight="1" x14ac:dyDescent="0.25">
      <c r="A4910" s="607" t="s">
        <v>577</v>
      </c>
      <c r="B4910" s="608"/>
      <c r="C4910" s="609"/>
      <c r="D4910" s="116"/>
      <c r="E4910" s="107"/>
      <c r="F4910" s="106">
        <f>+F4921*5%</f>
        <v>1317.129090909091</v>
      </c>
      <c r="G4910" s="81"/>
      <c r="H4910" s="81"/>
      <c r="I4910" s="81"/>
      <c r="J4910" s="81"/>
      <c r="K4910" s="81"/>
      <c r="L4910" s="81"/>
      <c r="M4910" s="81"/>
      <c r="N4910" s="81"/>
    </row>
    <row r="4911" spans="1:14" ht="14.25" customHeight="1" x14ac:dyDescent="0.25">
      <c r="A4911" s="607"/>
      <c r="B4911" s="608"/>
      <c r="C4911" s="609"/>
      <c r="D4911" s="116"/>
      <c r="E4911" s="107"/>
      <c r="F4911" s="106"/>
      <c r="G4911" s="81"/>
      <c r="H4911" s="81"/>
      <c r="I4911" s="81"/>
      <c r="J4911" s="81"/>
      <c r="K4911" s="81"/>
      <c r="L4911" s="81"/>
      <c r="M4911" s="81"/>
      <c r="N4911" s="81"/>
    </row>
    <row r="4912" spans="1:14" ht="14.25" customHeight="1" x14ac:dyDescent="0.25">
      <c r="A4912" s="610"/>
      <c r="B4912" s="608"/>
      <c r="C4912" s="609"/>
      <c r="D4912" s="115"/>
      <c r="E4912" s="107"/>
      <c r="F4912" s="106"/>
      <c r="G4912" s="81"/>
      <c r="H4912" s="81"/>
      <c r="I4912" s="81"/>
      <c r="J4912" s="81"/>
      <c r="K4912" s="81"/>
      <c r="L4912" s="81"/>
      <c r="M4912" s="81"/>
      <c r="N4912" s="81"/>
    </row>
    <row r="4913" spans="1:14" ht="14.25" customHeight="1" x14ac:dyDescent="0.25">
      <c r="A4913" s="611" t="s">
        <v>548</v>
      </c>
      <c r="B4913" s="608"/>
      <c r="C4913" s="609"/>
      <c r="D4913" s="110"/>
      <c r="E4913" s="110"/>
      <c r="F4913" s="112">
        <f>SUM(F4910:F4911)</f>
        <v>1317.129090909091</v>
      </c>
      <c r="G4913" s="81"/>
      <c r="H4913" s="81"/>
      <c r="I4913" s="81"/>
      <c r="J4913" s="81"/>
      <c r="K4913" s="81"/>
      <c r="L4913" s="81"/>
      <c r="M4913" s="81"/>
      <c r="N4913" s="81"/>
    </row>
    <row r="4914" spans="1:14" ht="14.25" customHeight="1" x14ac:dyDescent="0.25">
      <c r="A4914" s="88"/>
      <c r="B4914" s="88"/>
      <c r="C4914" s="89"/>
      <c r="D4914" s="113"/>
      <c r="E4914" s="113"/>
      <c r="F4914" s="113"/>
      <c r="G4914" s="81"/>
      <c r="H4914" s="81"/>
      <c r="I4914" s="81"/>
      <c r="J4914" s="81"/>
      <c r="K4914" s="81"/>
      <c r="L4914" s="81"/>
      <c r="M4914" s="81"/>
      <c r="N4914" s="81"/>
    </row>
    <row r="4915" spans="1:14" ht="14.25" customHeight="1" x14ac:dyDescent="0.25">
      <c r="A4915" s="96" t="s">
        <v>578</v>
      </c>
      <c r="B4915" s="96"/>
      <c r="C4915" s="92"/>
      <c r="D4915" s="118"/>
      <c r="E4915" s="118"/>
      <c r="F4915" s="118"/>
      <c r="G4915" s="81"/>
      <c r="H4915" s="81"/>
      <c r="I4915" s="81"/>
      <c r="J4915" s="81"/>
      <c r="K4915" s="81"/>
      <c r="L4915" s="81"/>
      <c r="M4915" s="81"/>
      <c r="N4915" s="81"/>
    </row>
    <row r="4916" spans="1:14" ht="14.25" customHeight="1" x14ac:dyDescent="0.25">
      <c r="A4916" s="119" t="s">
        <v>563</v>
      </c>
      <c r="B4916" s="120" t="s">
        <v>579</v>
      </c>
      <c r="C4916" s="120" t="s">
        <v>580</v>
      </c>
      <c r="D4916" s="121" t="s">
        <v>581</v>
      </c>
      <c r="E4916" s="121" t="s">
        <v>575</v>
      </c>
      <c r="F4916" s="121" t="s">
        <v>568</v>
      </c>
      <c r="G4916" s="81"/>
      <c r="H4916" s="81"/>
      <c r="I4916" s="81"/>
      <c r="J4916" s="81"/>
      <c r="K4916" s="81"/>
      <c r="L4916" s="81"/>
      <c r="M4916" s="81"/>
      <c r="N4916" s="81"/>
    </row>
    <row r="4917" spans="1:14" ht="14.25" customHeight="1" x14ac:dyDescent="0.25">
      <c r="A4917" s="122" t="s">
        <v>593</v>
      </c>
      <c r="B4917" s="127">
        <v>1</v>
      </c>
      <c r="C4917" s="101">
        <v>32688</v>
      </c>
      <c r="D4917" s="101">
        <f t="shared" ref="D4917:D4918" si="269">+C4917*1.7</f>
        <v>55569.599999999999</v>
      </c>
      <c r="E4917" s="107">
        <v>5.5</v>
      </c>
      <c r="F4917" s="106">
        <f t="shared" ref="F4917:F4918" si="270">+B4917*(D4917)/E4917</f>
        <v>10103.563636363637</v>
      </c>
      <c r="G4917" s="81"/>
      <c r="H4917" s="81"/>
      <c r="I4917" s="81"/>
      <c r="J4917" s="81"/>
      <c r="K4917" s="81"/>
      <c r="L4917" s="81"/>
      <c r="M4917" s="81"/>
      <c r="N4917" s="81"/>
    </row>
    <row r="4918" spans="1:14" ht="14.25" customHeight="1" x14ac:dyDescent="0.25">
      <c r="A4918" s="122" t="s">
        <v>594</v>
      </c>
      <c r="B4918" s="127">
        <v>1</v>
      </c>
      <c r="C4918" s="101">
        <v>52538</v>
      </c>
      <c r="D4918" s="101">
        <f t="shared" si="269"/>
        <v>89314.599999999991</v>
      </c>
      <c r="E4918" s="107">
        <f>E4917</f>
        <v>5.5</v>
      </c>
      <c r="F4918" s="106">
        <f t="shared" si="270"/>
        <v>16239.018181818181</v>
      </c>
      <c r="G4918" s="81"/>
      <c r="H4918" s="81"/>
      <c r="I4918" s="81"/>
      <c r="J4918" s="81"/>
      <c r="K4918" s="81"/>
      <c r="L4918" s="81"/>
      <c r="M4918" s="81"/>
      <c r="N4918" s="81"/>
    </row>
    <row r="4919" spans="1:14" ht="14.25" customHeight="1" x14ac:dyDescent="0.25">
      <c r="A4919" s="122"/>
      <c r="B4919" s="127"/>
      <c r="C4919" s="101"/>
      <c r="D4919" s="101"/>
      <c r="E4919" s="107"/>
      <c r="F4919" s="106"/>
      <c r="G4919" s="81"/>
      <c r="H4919" s="81"/>
      <c r="I4919" s="81"/>
      <c r="J4919" s="81"/>
      <c r="K4919" s="81"/>
      <c r="L4919" s="81"/>
      <c r="M4919" s="81"/>
      <c r="N4919" s="81"/>
    </row>
    <row r="4920" spans="1:14" ht="14.25" customHeight="1" x14ac:dyDescent="0.25">
      <c r="A4920" s="122"/>
      <c r="B4920" s="127"/>
      <c r="C4920" s="101"/>
      <c r="D4920" s="101"/>
      <c r="E4920" s="125"/>
      <c r="F4920" s="106"/>
      <c r="G4920" s="81"/>
      <c r="H4920" s="81"/>
      <c r="I4920" s="81"/>
      <c r="J4920" s="81"/>
      <c r="K4920" s="81"/>
      <c r="L4920" s="81"/>
      <c r="M4920" s="81"/>
      <c r="N4920" s="81"/>
    </row>
    <row r="4921" spans="1:14" ht="14.25" customHeight="1" x14ac:dyDescent="0.25">
      <c r="A4921" s="97" t="s">
        <v>548</v>
      </c>
      <c r="B4921" s="128"/>
      <c r="C4921" s="110"/>
      <c r="D4921" s="110"/>
      <c r="E4921" s="110"/>
      <c r="F4921" s="112">
        <f>SUM(F4917:F4920)</f>
        <v>26342.581818181818</v>
      </c>
      <c r="G4921" s="81"/>
      <c r="H4921" s="81"/>
      <c r="I4921" s="81"/>
      <c r="J4921" s="81"/>
      <c r="K4921" s="81"/>
      <c r="L4921" s="81"/>
      <c r="M4921" s="81"/>
      <c r="N4921" s="81"/>
    </row>
    <row r="4922" spans="1:14" ht="14.25" customHeight="1" x14ac:dyDescent="0.25">
      <c r="A4922" s="96"/>
      <c r="B4922" s="129"/>
      <c r="C4922" s="118"/>
      <c r="D4922" s="118"/>
      <c r="E4922" s="118"/>
      <c r="F4922" s="118"/>
      <c r="G4922" s="81"/>
      <c r="H4922" s="81"/>
      <c r="I4922" s="81"/>
      <c r="J4922" s="81"/>
      <c r="K4922" s="81"/>
      <c r="L4922" s="81"/>
      <c r="M4922" s="81"/>
      <c r="N4922" s="81"/>
    </row>
    <row r="4923" spans="1:14" ht="14.25" customHeight="1" x14ac:dyDescent="0.25">
      <c r="A4923" s="95" t="s">
        <v>583</v>
      </c>
      <c r="B4923" s="96"/>
      <c r="C4923" s="92"/>
      <c r="D4923" s="92"/>
      <c r="E4923" s="92" t="s">
        <v>584</v>
      </c>
      <c r="F4923" s="92"/>
      <c r="G4923" s="81"/>
      <c r="H4923" s="81"/>
      <c r="I4923" s="81"/>
      <c r="J4923" s="81"/>
      <c r="K4923" s="81"/>
      <c r="L4923" s="81"/>
      <c r="M4923" s="81"/>
      <c r="N4923" s="81"/>
    </row>
    <row r="4924" spans="1:14" ht="14.25" customHeight="1" x14ac:dyDescent="0.25">
      <c r="A4924" s="97" t="s">
        <v>563</v>
      </c>
      <c r="B4924" s="98" t="s">
        <v>564</v>
      </c>
      <c r="C4924" s="98" t="s">
        <v>585</v>
      </c>
      <c r="D4924" s="98" t="s">
        <v>586</v>
      </c>
      <c r="E4924" s="120" t="s">
        <v>587</v>
      </c>
      <c r="F4924" s="98" t="s">
        <v>568</v>
      </c>
      <c r="G4924" s="81"/>
      <c r="H4924" s="81"/>
      <c r="I4924" s="81"/>
      <c r="J4924" s="81"/>
      <c r="K4924" s="81"/>
      <c r="L4924" s="81"/>
      <c r="M4924" s="81"/>
      <c r="N4924" s="81"/>
    </row>
    <row r="4925" spans="1:14" ht="14.25" customHeight="1" x14ac:dyDescent="0.25">
      <c r="A4925" s="103" t="s">
        <v>604</v>
      </c>
      <c r="B4925" s="100" t="s">
        <v>605</v>
      </c>
      <c r="C4925" s="101">
        <v>1000</v>
      </c>
      <c r="D4925" s="140">
        <v>3.4</v>
      </c>
      <c r="E4925" s="107">
        <v>1.27542</v>
      </c>
      <c r="F4925" s="109">
        <f>+C4925*D4925*E4925</f>
        <v>4336.4279999999999</v>
      </c>
      <c r="G4925" s="81"/>
      <c r="H4925" s="81"/>
      <c r="I4925" s="81"/>
      <c r="J4925" s="81"/>
      <c r="K4925" s="81"/>
      <c r="L4925" s="81"/>
      <c r="M4925" s="81"/>
      <c r="N4925" s="81"/>
    </row>
    <row r="4926" spans="1:14" ht="14.25" customHeight="1" x14ac:dyDescent="0.25">
      <c r="A4926" s="103"/>
      <c r="B4926" s="100"/>
      <c r="C4926" s="107"/>
      <c r="D4926" s="107"/>
      <c r="E4926" s="108"/>
      <c r="F4926" s="109"/>
      <c r="G4926" s="81"/>
      <c r="H4926" s="81"/>
      <c r="I4926" s="81"/>
      <c r="J4926" s="81"/>
      <c r="K4926" s="81"/>
      <c r="L4926" s="81"/>
      <c r="M4926" s="81"/>
      <c r="N4926" s="81"/>
    </row>
    <row r="4927" spans="1:14" ht="14.25" customHeight="1" x14ac:dyDescent="0.25">
      <c r="A4927" s="97" t="s">
        <v>548</v>
      </c>
      <c r="B4927" s="98"/>
      <c r="C4927" s="110"/>
      <c r="D4927" s="110"/>
      <c r="E4927" s="111"/>
      <c r="F4927" s="112">
        <f>SUM(F4925:F4926)</f>
        <v>4336.4279999999999</v>
      </c>
      <c r="G4927" s="81"/>
      <c r="H4927" s="81"/>
      <c r="I4927" s="81"/>
      <c r="J4927" s="81"/>
      <c r="K4927" s="81"/>
      <c r="L4927" s="81"/>
      <c r="M4927" s="81"/>
      <c r="N4927" s="81"/>
    </row>
    <row r="4928" spans="1:14" ht="14.25" customHeight="1" x14ac:dyDescent="0.25">
      <c r="A4928" s="88"/>
      <c r="B4928" s="89"/>
      <c r="C4928" s="113"/>
      <c r="D4928" s="113"/>
      <c r="E4928" s="114"/>
      <c r="F4928" s="113"/>
      <c r="G4928" s="81"/>
      <c r="H4928" s="81"/>
      <c r="I4928" s="81"/>
      <c r="J4928" s="81"/>
      <c r="K4928" s="81"/>
      <c r="L4928" s="81"/>
      <c r="M4928" s="81"/>
      <c r="N4928" s="81"/>
    </row>
    <row r="4929" spans="1:14" ht="14.25" customHeight="1" x14ac:dyDescent="0.25">
      <c r="A4929" s="88"/>
      <c r="B4929" s="89"/>
      <c r="C4929" s="113"/>
      <c r="D4929" s="113"/>
      <c r="E4929" s="114"/>
      <c r="F4929" s="113"/>
      <c r="G4929" s="81"/>
      <c r="H4929" s="81"/>
      <c r="I4929" s="81"/>
      <c r="J4929" s="81"/>
      <c r="K4929" s="81"/>
      <c r="L4929" s="81"/>
      <c r="M4929" s="81"/>
      <c r="N4929" s="81"/>
    </row>
    <row r="4930" spans="1:14" ht="14.25" customHeight="1" x14ac:dyDescent="0.25">
      <c r="A4930" s="612" t="s">
        <v>588</v>
      </c>
      <c r="B4930" s="608"/>
      <c r="C4930" s="608"/>
      <c r="D4930" s="608"/>
      <c r="E4930" s="609"/>
      <c r="F4930" s="131">
        <f>ROUND(F4906+F4913+F4921+F4927,0)</f>
        <v>57222</v>
      </c>
      <c r="G4930" s="81"/>
      <c r="H4930" s="117"/>
      <c r="I4930" s="81"/>
      <c r="J4930" s="81"/>
      <c r="K4930" s="81"/>
      <c r="L4930" s="81"/>
      <c r="M4930" s="81"/>
      <c r="N4930" s="81"/>
    </row>
    <row r="4931" spans="1:14" ht="14.25" customHeight="1" x14ac:dyDescent="0.25">
      <c r="A4931" s="612" t="s">
        <v>589</v>
      </c>
      <c r="B4931" s="608"/>
      <c r="C4931" s="608"/>
      <c r="D4931" s="608"/>
      <c r="E4931" s="609"/>
      <c r="F4931" s="132"/>
      <c r="G4931" s="81"/>
      <c r="H4931" s="81"/>
      <c r="I4931" s="81"/>
      <c r="J4931" s="81"/>
      <c r="K4931" s="81"/>
      <c r="L4931" s="81"/>
      <c r="M4931" s="81"/>
      <c r="N4931" s="81"/>
    </row>
    <row r="4932" spans="1:14" ht="14.25" customHeight="1" x14ac:dyDescent="0.25">
      <c r="A4932" s="612" t="s">
        <v>556</v>
      </c>
      <c r="B4932" s="608"/>
      <c r="C4932" s="608"/>
      <c r="D4932" s="608"/>
      <c r="E4932" s="609"/>
      <c r="F4932" s="133"/>
      <c r="G4932" s="81"/>
      <c r="H4932" s="143"/>
      <c r="I4932" s="81"/>
      <c r="J4932" s="81"/>
      <c r="K4932" s="81"/>
      <c r="L4932" s="81"/>
      <c r="M4932" s="81"/>
      <c r="N4932" s="81"/>
    </row>
    <row r="4933" spans="1:14" ht="14.25" customHeight="1" x14ac:dyDescent="0.25">
      <c r="A4933" s="134"/>
      <c r="B4933" s="135"/>
      <c r="C4933" s="135"/>
      <c r="D4933" s="135"/>
      <c r="E4933" s="135"/>
      <c r="F4933" s="136"/>
      <c r="G4933" s="81"/>
      <c r="H4933" s="81"/>
      <c r="I4933" s="81"/>
      <c r="J4933" s="81"/>
      <c r="K4933" s="81"/>
      <c r="L4933" s="81"/>
      <c r="M4933" s="81"/>
      <c r="N4933" s="81"/>
    </row>
    <row r="4934" spans="1:14" ht="14.25" customHeight="1" x14ac:dyDescent="0.25">
      <c r="A4934" s="134"/>
      <c r="B4934" s="135"/>
      <c r="C4934" s="135"/>
      <c r="D4934" s="135"/>
      <c r="E4934" s="135"/>
      <c r="F4934" s="136"/>
      <c r="G4934" s="81"/>
      <c r="H4934" s="81"/>
      <c r="I4934" s="81"/>
      <c r="J4934" s="81"/>
      <c r="K4934" s="81"/>
      <c r="L4934" s="81"/>
      <c r="M4934" s="81"/>
      <c r="N4934" s="81"/>
    </row>
    <row r="4935" spans="1:14" ht="14.25" customHeight="1" x14ac:dyDescent="0.25">
      <c r="A4935" s="134"/>
      <c r="B4935" s="135"/>
      <c r="C4935" s="135"/>
      <c r="D4935" s="135"/>
      <c r="E4935" s="135"/>
      <c r="F4935" s="136"/>
      <c r="G4935" s="81"/>
      <c r="H4935" s="81"/>
      <c r="I4935" s="81"/>
      <c r="J4935" s="81"/>
      <c r="K4935" s="81"/>
      <c r="L4935" s="81"/>
      <c r="M4935" s="81"/>
      <c r="N4935" s="81"/>
    </row>
    <row r="4936" spans="1:14" ht="14.25" customHeight="1" x14ac:dyDescent="0.25">
      <c r="A4936" s="134"/>
      <c r="B4936" s="135"/>
      <c r="C4936" s="135"/>
      <c r="D4936" s="135"/>
      <c r="E4936" s="135"/>
      <c r="F4936" s="136"/>
      <c r="G4936" s="81"/>
      <c r="H4936" s="81"/>
      <c r="I4936" s="81"/>
      <c r="J4936" s="81"/>
      <c r="K4936" s="81"/>
      <c r="L4936" s="81"/>
      <c r="M4936" s="81"/>
      <c r="N4936" s="81"/>
    </row>
    <row r="4937" spans="1:14" ht="14.25" customHeight="1" x14ac:dyDescent="0.25">
      <c r="A4937" s="134"/>
      <c r="B4937" s="135"/>
      <c r="C4937" s="135"/>
      <c r="D4937" s="135"/>
      <c r="E4937" s="135"/>
      <c r="F4937" s="136"/>
      <c r="G4937" s="81"/>
      <c r="H4937" s="81"/>
      <c r="I4937" s="81"/>
      <c r="J4937" s="81"/>
      <c r="K4937" s="81"/>
      <c r="L4937" s="81"/>
      <c r="M4937" s="81"/>
      <c r="N4937" s="81"/>
    </row>
    <row r="4938" spans="1:14" ht="14.25" customHeight="1" x14ac:dyDescent="0.25">
      <c r="A4938" s="134"/>
      <c r="B4938" s="135"/>
      <c r="C4938" s="135"/>
      <c r="D4938" s="135"/>
      <c r="E4938" s="135"/>
      <c r="F4938" s="136"/>
      <c r="G4938" s="81"/>
      <c r="H4938" s="81"/>
      <c r="I4938" s="81"/>
      <c r="J4938" s="81"/>
      <c r="K4938" s="81"/>
      <c r="L4938" s="81"/>
      <c r="M4938" s="81"/>
      <c r="N4938" s="81"/>
    </row>
    <row r="4939" spans="1:14" ht="14.25" customHeight="1" x14ac:dyDescent="0.25">
      <c r="A4939" s="81"/>
      <c r="B4939" s="81"/>
      <c r="C4939" s="137"/>
      <c r="D4939" s="81"/>
      <c r="E4939" s="81"/>
      <c r="F4939" s="81"/>
      <c r="G4939" s="81"/>
      <c r="H4939" s="81"/>
      <c r="I4939" s="81"/>
      <c r="J4939" s="81"/>
      <c r="K4939" s="81"/>
      <c r="L4939" s="81"/>
      <c r="M4939" s="81"/>
      <c r="N4939" s="81"/>
    </row>
    <row r="4940" spans="1:14" ht="14.25" customHeight="1" x14ac:dyDescent="0.25">
      <c r="A4940" s="81"/>
      <c r="B4940" s="81"/>
      <c r="C4940" s="137"/>
      <c r="D4940" s="81"/>
      <c r="E4940" s="81"/>
      <c r="F4940" s="81"/>
      <c r="G4940" s="81"/>
      <c r="H4940" s="81"/>
      <c r="I4940" s="81"/>
      <c r="J4940" s="81"/>
      <c r="K4940" s="81"/>
      <c r="L4940" s="81"/>
      <c r="M4940" s="81"/>
      <c r="N4940" s="81"/>
    </row>
    <row r="4941" spans="1:14" ht="14.25" customHeight="1" x14ac:dyDescent="0.25">
      <c r="A4941" s="81"/>
      <c r="B4941" s="81"/>
      <c r="C4941" s="137"/>
      <c r="D4941" s="81"/>
      <c r="E4941" s="81"/>
      <c r="F4941" s="81"/>
      <c r="G4941" s="81"/>
      <c r="H4941" s="81"/>
      <c r="I4941" s="81"/>
      <c r="J4941" s="81"/>
      <c r="K4941" s="81"/>
      <c r="L4941" s="81"/>
      <c r="M4941" s="81"/>
      <c r="N4941" s="81"/>
    </row>
    <row r="4942" spans="1:14" ht="14.25" customHeight="1" x14ac:dyDescent="0.25">
      <c r="A4942" s="81"/>
      <c r="B4942" s="81"/>
      <c r="C4942" s="137"/>
      <c r="D4942" s="81"/>
      <c r="E4942" s="81"/>
      <c r="F4942" s="81"/>
      <c r="G4942" s="81"/>
      <c r="H4942" s="81"/>
      <c r="I4942" s="81"/>
      <c r="J4942" s="81"/>
      <c r="K4942" s="81"/>
      <c r="L4942" s="81"/>
      <c r="M4942" s="81"/>
      <c r="N4942" s="81"/>
    </row>
    <row r="4943" spans="1:14" ht="14.25" customHeight="1" thickBot="1" x14ac:dyDescent="0.3">
      <c r="A4943" s="81"/>
      <c r="B4943" s="81"/>
      <c r="C4943" s="81"/>
      <c r="D4943" s="81"/>
      <c r="E4943" s="81"/>
      <c r="F4943" s="81"/>
      <c r="G4943" s="81"/>
      <c r="H4943" s="81"/>
      <c r="I4943" s="81"/>
      <c r="J4943" s="81"/>
      <c r="K4943" s="81"/>
      <c r="L4943" s="81"/>
      <c r="M4943" s="81"/>
      <c r="N4943" s="81"/>
    </row>
    <row r="4944" spans="1:14" ht="14.25" customHeight="1" x14ac:dyDescent="0.25">
      <c r="A4944" s="83"/>
      <c r="B4944" s="84"/>
      <c r="C4944" s="85"/>
      <c r="D4944" s="86"/>
      <c r="E4944" s="86"/>
      <c r="F4944" s="87"/>
      <c r="G4944" s="81"/>
      <c r="H4944" s="81"/>
      <c r="I4944" s="81"/>
      <c r="J4944" s="81"/>
      <c r="K4944" s="81"/>
      <c r="L4944" s="81"/>
      <c r="M4944" s="81"/>
      <c r="N4944" s="81"/>
    </row>
    <row r="4945" spans="1:14" ht="14.25" customHeight="1" x14ac:dyDescent="0.25">
      <c r="A4945" s="599"/>
      <c r="B4945" s="600"/>
      <c r="C4945" s="600"/>
      <c r="D4945" s="600"/>
      <c r="E4945" s="600"/>
      <c r="F4945" s="601"/>
      <c r="G4945" s="81"/>
      <c r="H4945" s="81"/>
      <c r="I4945" s="81"/>
      <c r="J4945" s="81"/>
      <c r="K4945" s="81"/>
      <c r="L4945" s="81"/>
      <c r="M4945" s="81"/>
      <c r="N4945" s="81"/>
    </row>
    <row r="4946" spans="1:14" ht="14.25" customHeight="1" x14ac:dyDescent="0.25">
      <c r="A4946" s="602" t="s">
        <v>561</v>
      </c>
      <c r="B4946" s="600"/>
      <c r="C4946" s="600"/>
      <c r="D4946" s="600"/>
      <c r="E4946" s="600"/>
      <c r="F4946" s="601"/>
      <c r="G4946" s="81"/>
      <c r="H4946" s="81"/>
      <c r="I4946" s="81"/>
      <c r="J4946" s="81"/>
      <c r="K4946" s="81"/>
      <c r="L4946" s="81"/>
      <c r="M4946" s="81"/>
      <c r="N4946" s="81"/>
    </row>
    <row r="4947" spans="1:14" ht="14.25" customHeight="1" thickBot="1" x14ac:dyDescent="0.3">
      <c r="A4947" s="603"/>
      <c r="B4947" s="604"/>
      <c r="C4947" s="604"/>
      <c r="D4947" s="604"/>
      <c r="E4947" s="604"/>
      <c r="F4947" s="605"/>
      <c r="G4947" s="81"/>
      <c r="H4947" s="81"/>
      <c r="I4947" s="81"/>
      <c r="J4947" s="81"/>
      <c r="K4947" s="81"/>
      <c r="L4947" s="81"/>
      <c r="M4947" s="81"/>
      <c r="N4947" s="81"/>
    </row>
    <row r="4948" spans="1:14" ht="14.25" customHeight="1" x14ac:dyDescent="0.25">
      <c r="A4948" s="88"/>
      <c r="B4948" s="88"/>
      <c r="C4948" s="89"/>
      <c r="D4948" s="89"/>
      <c r="E4948" s="89"/>
      <c r="F4948" s="89"/>
      <c r="G4948" s="81"/>
      <c r="H4948" s="81"/>
      <c r="I4948" s="81"/>
      <c r="J4948" s="81"/>
      <c r="K4948" s="81"/>
      <c r="L4948" s="81"/>
      <c r="M4948" s="81"/>
      <c r="N4948" s="81"/>
    </row>
    <row r="4949" spans="1:14" ht="14.25" customHeight="1" x14ac:dyDescent="0.25">
      <c r="A4949" s="90" t="s">
        <v>47</v>
      </c>
      <c r="B4949" s="613" t="s">
        <v>757</v>
      </c>
      <c r="C4949" s="600"/>
      <c r="D4949" s="600"/>
      <c r="E4949" s="600"/>
      <c r="F4949" s="600"/>
      <c r="G4949" s="81"/>
      <c r="H4949" s="81"/>
      <c r="I4949" s="81"/>
      <c r="J4949" s="81"/>
      <c r="K4949" s="81"/>
      <c r="L4949" s="81"/>
      <c r="M4949" s="81"/>
      <c r="N4949" s="81"/>
    </row>
    <row r="4950" spans="1:14" ht="14.25" customHeight="1" x14ac:dyDescent="0.25">
      <c r="A4950" s="91"/>
      <c r="B4950" s="91"/>
      <c r="C4950" s="91"/>
      <c r="D4950" s="91"/>
      <c r="E4950" s="91"/>
      <c r="F4950" s="91"/>
      <c r="G4950" s="81"/>
      <c r="H4950" s="81"/>
      <c r="I4950" s="81"/>
      <c r="J4950" s="81"/>
      <c r="K4950" s="81"/>
      <c r="L4950" s="81"/>
      <c r="M4950" s="81"/>
      <c r="N4950" s="81"/>
    </row>
    <row r="4951" spans="1:14" ht="14.25" customHeight="1" x14ac:dyDescent="0.25">
      <c r="A4951" s="88" t="s">
        <v>49</v>
      </c>
      <c r="B4951" s="92" t="s">
        <v>59</v>
      </c>
      <c r="C4951" s="89"/>
      <c r="D4951" s="89"/>
      <c r="E4951" s="89"/>
      <c r="F4951" s="93"/>
      <c r="G4951" s="81"/>
      <c r="H4951" s="81"/>
      <c r="I4951" s="81"/>
      <c r="J4951" s="81"/>
      <c r="K4951" s="81"/>
      <c r="L4951" s="81"/>
      <c r="M4951" s="81"/>
      <c r="N4951" s="81"/>
    </row>
    <row r="4952" spans="1:14" ht="14.25" customHeight="1" x14ac:dyDescent="0.25">
      <c r="A4952" s="88"/>
      <c r="B4952" s="94"/>
      <c r="C4952" s="89"/>
      <c r="D4952" s="89"/>
      <c r="E4952" s="89"/>
      <c r="F4952" s="93"/>
      <c r="G4952" s="81"/>
      <c r="H4952" s="81"/>
      <c r="I4952" s="81"/>
      <c r="J4952" s="81"/>
      <c r="K4952" s="81"/>
      <c r="L4952" s="81"/>
      <c r="M4952" s="81"/>
      <c r="N4952" s="81"/>
    </row>
    <row r="4953" spans="1:14" ht="14.25" customHeight="1" x14ac:dyDescent="0.25">
      <c r="A4953" s="95" t="s">
        <v>562</v>
      </c>
      <c r="B4953" s="96"/>
      <c r="C4953" s="92"/>
      <c r="D4953" s="92"/>
      <c r="E4953" s="92"/>
      <c r="F4953" s="92"/>
      <c r="G4953" s="81"/>
      <c r="H4953" s="81"/>
      <c r="I4953" s="81"/>
      <c r="J4953" s="81"/>
      <c r="K4953" s="81"/>
      <c r="L4953" s="81"/>
      <c r="M4953" s="81"/>
      <c r="N4953" s="81"/>
    </row>
    <row r="4954" spans="1:14" ht="14.25" customHeight="1" x14ac:dyDescent="0.25">
      <c r="A4954" s="97" t="s">
        <v>563</v>
      </c>
      <c r="B4954" s="98" t="s">
        <v>564</v>
      </c>
      <c r="C4954" s="98" t="s">
        <v>565</v>
      </c>
      <c r="D4954" s="98" t="s">
        <v>566</v>
      </c>
      <c r="E4954" s="98" t="s">
        <v>567</v>
      </c>
      <c r="F4954" s="98" t="s">
        <v>568</v>
      </c>
      <c r="G4954" s="81"/>
      <c r="H4954" s="81"/>
      <c r="I4954" s="81"/>
      <c r="J4954" s="81"/>
      <c r="K4954" s="81"/>
      <c r="L4954" s="81"/>
      <c r="M4954" s="81"/>
      <c r="N4954" s="81"/>
    </row>
    <row r="4955" spans="1:14" ht="14.25" customHeight="1" x14ac:dyDescent="0.25">
      <c r="A4955" s="99" t="s">
        <v>758</v>
      </c>
      <c r="B4955" s="100" t="s">
        <v>59</v>
      </c>
      <c r="C4955" s="101">
        <v>38650</v>
      </c>
      <c r="D4955" s="149">
        <v>1</v>
      </c>
      <c r="E4955" s="102">
        <v>0.05</v>
      </c>
      <c r="F4955" s="101">
        <f t="shared" ref="F4955:F4957" si="271">C4955*(D4955+(D4955*E4955))</f>
        <v>40582.5</v>
      </c>
      <c r="G4955" s="81"/>
      <c r="H4955" s="81"/>
      <c r="I4955" s="81"/>
      <c r="J4955" s="81"/>
      <c r="K4955" s="81"/>
      <c r="L4955" s="81"/>
      <c r="M4955" s="81"/>
      <c r="N4955" s="81"/>
    </row>
    <row r="4956" spans="1:14" ht="14.25" customHeight="1" x14ac:dyDescent="0.25">
      <c r="A4956" s="99" t="s">
        <v>622</v>
      </c>
      <c r="B4956" s="100" t="s">
        <v>99</v>
      </c>
      <c r="C4956" s="101">
        <v>85900</v>
      </c>
      <c r="D4956" s="149">
        <v>0.08</v>
      </c>
      <c r="E4956" s="102">
        <v>0.05</v>
      </c>
      <c r="F4956" s="101">
        <f t="shared" si="271"/>
        <v>7215.6</v>
      </c>
      <c r="G4956" s="81"/>
      <c r="H4956" s="81"/>
      <c r="I4956" s="81"/>
      <c r="J4956" s="81"/>
      <c r="K4956" s="81"/>
      <c r="L4956" s="81"/>
      <c r="M4956" s="81"/>
      <c r="N4956" s="81"/>
    </row>
    <row r="4957" spans="1:14" ht="14.25" customHeight="1" x14ac:dyDescent="0.25">
      <c r="A4957" s="99" t="s">
        <v>759</v>
      </c>
      <c r="B4957" s="100" t="s">
        <v>99</v>
      </c>
      <c r="C4957" s="101">
        <v>25300</v>
      </c>
      <c r="D4957" s="149">
        <v>0.25</v>
      </c>
      <c r="E4957" s="102"/>
      <c r="F4957" s="101">
        <f t="shared" si="271"/>
        <v>6325</v>
      </c>
      <c r="G4957" s="81"/>
      <c r="H4957" s="81"/>
      <c r="I4957" s="81"/>
      <c r="J4957" s="81"/>
      <c r="K4957" s="81"/>
      <c r="L4957" s="81"/>
      <c r="M4957" s="81"/>
      <c r="N4957" s="81"/>
    </row>
    <row r="4958" spans="1:14" ht="14.25" customHeight="1" x14ac:dyDescent="0.25">
      <c r="A4958" s="99"/>
      <c r="B4958" s="100"/>
      <c r="C4958" s="101"/>
      <c r="D4958" s="105"/>
      <c r="E4958" s="102"/>
      <c r="F4958" s="101"/>
      <c r="G4958" s="81"/>
      <c r="H4958" s="81"/>
      <c r="I4958" s="81"/>
      <c r="J4958" s="81"/>
      <c r="K4958" s="81"/>
      <c r="L4958" s="81"/>
      <c r="M4958" s="81"/>
      <c r="N4958" s="81"/>
    </row>
    <row r="4959" spans="1:14" ht="14.25" customHeight="1" x14ac:dyDescent="0.25">
      <c r="A4959" s="99"/>
      <c r="B4959" s="100"/>
      <c r="C4959" s="106"/>
      <c r="D4959" s="107"/>
      <c r="E4959" s="108"/>
      <c r="F4959" s="106"/>
      <c r="G4959" s="81"/>
      <c r="H4959" s="81"/>
      <c r="I4959" s="81"/>
      <c r="J4959" s="81"/>
      <c r="K4959" s="81"/>
      <c r="L4959" s="81"/>
      <c r="M4959" s="81"/>
      <c r="N4959" s="81"/>
    </row>
    <row r="4960" spans="1:14" ht="14.25" customHeight="1" x14ac:dyDescent="0.25">
      <c r="A4960" s="97" t="s">
        <v>548</v>
      </c>
      <c r="B4960" s="97"/>
      <c r="C4960" s="109"/>
      <c r="D4960" s="110"/>
      <c r="E4960" s="111"/>
      <c r="F4960" s="112">
        <f>SUM(F4955:F4959)</f>
        <v>54123.1</v>
      </c>
      <c r="G4960" s="81"/>
      <c r="H4960" s="81"/>
      <c r="I4960" s="81"/>
      <c r="J4960" s="81"/>
      <c r="K4960" s="81"/>
      <c r="L4960" s="81"/>
      <c r="M4960" s="81"/>
      <c r="N4960" s="81"/>
    </row>
    <row r="4961" spans="1:14" ht="14.25" customHeight="1" x14ac:dyDescent="0.25">
      <c r="A4961" s="88"/>
      <c r="B4961" s="88"/>
      <c r="C4961" s="113"/>
      <c r="D4961" s="113"/>
      <c r="E4961" s="114"/>
      <c r="F4961" s="113"/>
      <c r="G4961" s="81"/>
      <c r="H4961" s="81"/>
      <c r="I4961" s="81"/>
      <c r="J4961" s="81"/>
      <c r="K4961" s="81"/>
      <c r="L4961" s="81"/>
      <c r="M4961" s="81"/>
      <c r="N4961" s="81"/>
    </row>
    <row r="4962" spans="1:14" ht="14.25" customHeight="1" x14ac:dyDescent="0.25">
      <c r="A4962" s="96" t="s">
        <v>573</v>
      </c>
      <c r="B4962" s="96"/>
      <c r="C4962" s="92"/>
      <c r="D4962" s="92"/>
      <c r="E4962" s="92"/>
      <c r="F4962" s="92"/>
      <c r="G4962" s="81"/>
      <c r="H4962" s="81"/>
      <c r="I4962" s="81"/>
      <c r="J4962" s="81"/>
      <c r="K4962" s="81"/>
      <c r="L4962" s="81"/>
      <c r="M4962" s="81"/>
      <c r="N4962" s="81"/>
    </row>
    <row r="4963" spans="1:14" ht="14.25" customHeight="1" x14ac:dyDescent="0.25">
      <c r="A4963" s="611" t="s">
        <v>563</v>
      </c>
      <c r="B4963" s="608"/>
      <c r="C4963" s="609"/>
      <c r="D4963" s="98" t="s">
        <v>574</v>
      </c>
      <c r="E4963" s="98" t="s">
        <v>575</v>
      </c>
      <c r="F4963" s="98" t="s">
        <v>568</v>
      </c>
      <c r="G4963" s="81"/>
      <c r="H4963" s="81"/>
      <c r="I4963" s="81"/>
      <c r="J4963" s="81"/>
      <c r="K4963" s="81"/>
      <c r="L4963" s="81"/>
      <c r="M4963" s="81"/>
      <c r="N4963" s="81"/>
    </row>
    <row r="4964" spans="1:14" ht="14.25" customHeight="1" x14ac:dyDescent="0.25">
      <c r="A4964" s="607" t="s">
        <v>577</v>
      </c>
      <c r="B4964" s="608"/>
      <c r="C4964" s="609"/>
      <c r="D4964" s="116"/>
      <c r="E4964" s="107"/>
      <c r="F4964" s="106">
        <f>+F4975*5%</f>
        <v>1366.8320754716981</v>
      </c>
      <c r="G4964" s="81"/>
      <c r="H4964" s="81"/>
      <c r="I4964" s="81"/>
      <c r="J4964" s="81"/>
      <c r="K4964" s="81"/>
      <c r="L4964" s="81"/>
      <c r="M4964" s="81"/>
      <c r="N4964" s="81"/>
    </row>
    <row r="4965" spans="1:14" ht="14.25" customHeight="1" x14ac:dyDescent="0.25">
      <c r="A4965" s="607"/>
      <c r="B4965" s="608"/>
      <c r="C4965" s="609"/>
      <c r="D4965" s="116"/>
      <c r="E4965" s="107"/>
      <c r="F4965" s="106"/>
      <c r="G4965" s="81"/>
      <c r="H4965" s="81"/>
      <c r="I4965" s="81"/>
      <c r="J4965" s="81"/>
      <c r="K4965" s="81"/>
      <c r="L4965" s="81"/>
      <c r="M4965" s="81"/>
      <c r="N4965" s="81"/>
    </row>
    <row r="4966" spans="1:14" ht="14.25" customHeight="1" x14ac:dyDescent="0.25">
      <c r="A4966" s="610"/>
      <c r="B4966" s="608"/>
      <c r="C4966" s="609"/>
      <c r="D4966" s="115"/>
      <c r="E4966" s="107"/>
      <c r="F4966" s="106"/>
      <c r="G4966" s="81"/>
      <c r="H4966" s="81"/>
      <c r="I4966" s="81"/>
      <c r="J4966" s="81"/>
      <c r="K4966" s="81"/>
      <c r="L4966" s="81"/>
      <c r="M4966" s="81"/>
      <c r="N4966" s="81"/>
    </row>
    <row r="4967" spans="1:14" ht="14.25" customHeight="1" x14ac:dyDescent="0.25">
      <c r="A4967" s="611" t="s">
        <v>548</v>
      </c>
      <c r="B4967" s="608"/>
      <c r="C4967" s="609"/>
      <c r="D4967" s="110"/>
      <c r="E4967" s="110"/>
      <c r="F4967" s="112">
        <f>SUM(F4964:F4965)</f>
        <v>1366.8320754716981</v>
      </c>
      <c r="G4967" s="81"/>
      <c r="H4967" s="81"/>
      <c r="I4967" s="81"/>
      <c r="J4967" s="81"/>
      <c r="K4967" s="81"/>
      <c r="L4967" s="81"/>
      <c r="M4967" s="81"/>
      <c r="N4967" s="81"/>
    </row>
    <row r="4968" spans="1:14" ht="14.25" customHeight="1" x14ac:dyDescent="0.25">
      <c r="A4968" s="88"/>
      <c r="B4968" s="88"/>
      <c r="C4968" s="89"/>
      <c r="D4968" s="113"/>
      <c r="E4968" s="113"/>
      <c r="F4968" s="113"/>
      <c r="G4968" s="81"/>
      <c r="H4968" s="81"/>
      <c r="I4968" s="81"/>
      <c r="J4968" s="81"/>
      <c r="K4968" s="81"/>
      <c r="L4968" s="81"/>
      <c r="M4968" s="81"/>
      <c r="N4968" s="81"/>
    </row>
    <row r="4969" spans="1:14" ht="14.25" customHeight="1" x14ac:dyDescent="0.25">
      <c r="A4969" s="96" t="s">
        <v>578</v>
      </c>
      <c r="B4969" s="96"/>
      <c r="C4969" s="92"/>
      <c r="D4969" s="118"/>
      <c r="E4969" s="118"/>
      <c r="F4969" s="118"/>
      <c r="G4969" s="81"/>
      <c r="H4969" s="81"/>
      <c r="I4969" s="81"/>
      <c r="J4969" s="81"/>
      <c r="K4969" s="81"/>
      <c r="L4969" s="81"/>
      <c r="M4969" s="81"/>
      <c r="N4969" s="81"/>
    </row>
    <row r="4970" spans="1:14" ht="14.25" customHeight="1" x14ac:dyDescent="0.25">
      <c r="A4970" s="119" t="s">
        <v>563</v>
      </c>
      <c r="B4970" s="120" t="s">
        <v>579</v>
      </c>
      <c r="C4970" s="120" t="s">
        <v>580</v>
      </c>
      <c r="D4970" s="121" t="s">
        <v>581</v>
      </c>
      <c r="E4970" s="121" t="s">
        <v>575</v>
      </c>
      <c r="F4970" s="121" t="s">
        <v>568</v>
      </c>
      <c r="G4970" s="81"/>
      <c r="H4970" s="81"/>
      <c r="I4970" s="81"/>
      <c r="J4970" s="81"/>
      <c r="K4970" s="81"/>
      <c r="L4970" s="81"/>
      <c r="M4970" s="81"/>
      <c r="N4970" s="81"/>
    </row>
    <row r="4971" spans="1:14" ht="14.25" customHeight="1" x14ac:dyDescent="0.25">
      <c r="A4971" s="122" t="s">
        <v>593</v>
      </c>
      <c r="B4971" s="127">
        <v>1</v>
      </c>
      <c r="C4971" s="101">
        <v>32688</v>
      </c>
      <c r="D4971" s="101">
        <f t="shared" ref="D4971:D4972" si="272">+C4971*1.7</f>
        <v>55569.599999999999</v>
      </c>
      <c r="E4971" s="107">
        <v>5.3</v>
      </c>
      <c r="F4971" s="106">
        <f t="shared" ref="F4971:F4972" si="273">+B4971*(D4971)/E4971</f>
        <v>10484.830188679245</v>
      </c>
      <c r="G4971" s="81"/>
      <c r="H4971" s="81"/>
      <c r="I4971" s="81"/>
      <c r="J4971" s="81"/>
      <c r="K4971" s="81"/>
      <c r="L4971" s="81"/>
      <c r="M4971" s="81"/>
      <c r="N4971" s="81"/>
    </row>
    <row r="4972" spans="1:14" ht="14.25" customHeight="1" x14ac:dyDescent="0.25">
      <c r="A4972" s="122" t="s">
        <v>594</v>
      </c>
      <c r="B4972" s="127">
        <v>1</v>
      </c>
      <c r="C4972" s="101">
        <v>52538</v>
      </c>
      <c r="D4972" s="101">
        <f t="shared" si="272"/>
        <v>89314.599999999991</v>
      </c>
      <c r="E4972" s="107">
        <f>E4971</f>
        <v>5.3</v>
      </c>
      <c r="F4972" s="106">
        <f t="shared" si="273"/>
        <v>16851.811320754718</v>
      </c>
      <c r="G4972" s="81"/>
      <c r="H4972" s="81"/>
      <c r="I4972" s="81"/>
      <c r="J4972" s="81"/>
      <c r="K4972" s="81"/>
      <c r="L4972" s="81"/>
      <c r="M4972" s="81"/>
      <c r="N4972" s="81"/>
    </row>
    <row r="4973" spans="1:14" ht="14.25" customHeight="1" x14ac:dyDescent="0.25">
      <c r="A4973" s="122"/>
      <c r="B4973" s="127"/>
      <c r="C4973" s="101"/>
      <c r="D4973" s="101"/>
      <c r="E4973" s="107"/>
      <c r="F4973" s="106"/>
      <c r="G4973" s="81"/>
      <c r="H4973" s="81"/>
      <c r="I4973" s="81"/>
      <c r="J4973" s="81"/>
      <c r="K4973" s="81"/>
      <c r="L4973" s="81"/>
      <c r="M4973" s="81"/>
      <c r="N4973" s="81"/>
    </row>
    <row r="4974" spans="1:14" ht="14.25" customHeight="1" x14ac:dyDescent="0.25">
      <c r="A4974" s="122"/>
      <c r="B4974" s="127"/>
      <c r="C4974" s="101"/>
      <c r="D4974" s="101"/>
      <c r="E4974" s="125"/>
      <c r="F4974" s="106"/>
      <c r="G4974" s="81"/>
      <c r="H4974" s="81"/>
      <c r="I4974" s="81"/>
      <c r="J4974" s="81"/>
      <c r="K4974" s="81"/>
      <c r="L4974" s="81"/>
      <c r="M4974" s="81"/>
      <c r="N4974" s="81"/>
    </row>
    <row r="4975" spans="1:14" ht="14.25" customHeight="1" x14ac:dyDescent="0.25">
      <c r="A4975" s="97" t="s">
        <v>548</v>
      </c>
      <c r="B4975" s="128"/>
      <c r="C4975" s="110"/>
      <c r="D4975" s="110"/>
      <c r="E4975" s="110"/>
      <c r="F4975" s="112">
        <f>SUM(F4971:F4974)</f>
        <v>27336.641509433961</v>
      </c>
      <c r="G4975" s="81"/>
      <c r="H4975" s="81"/>
      <c r="I4975" s="81"/>
      <c r="J4975" s="81"/>
      <c r="K4975" s="81"/>
      <c r="L4975" s="81"/>
      <c r="M4975" s="81"/>
      <c r="N4975" s="81"/>
    </row>
    <row r="4976" spans="1:14" ht="14.25" customHeight="1" x14ac:dyDescent="0.25">
      <c r="A4976" s="96"/>
      <c r="B4976" s="129"/>
      <c r="C4976" s="118"/>
      <c r="D4976" s="118"/>
      <c r="E4976" s="118"/>
      <c r="F4976" s="118"/>
      <c r="G4976" s="81"/>
      <c r="H4976" s="81"/>
      <c r="I4976" s="81"/>
      <c r="J4976" s="81"/>
      <c r="K4976" s="81"/>
      <c r="L4976" s="81"/>
      <c r="M4976" s="81"/>
      <c r="N4976" s="81"/>
    </row>
    <row r="4977" spans="1:14" ht="14.25" customHeight="1" x14ac:dyDescent="0.25">
      <c r="A4977" s="95" t="s">
        <v>583</v>
      </c>
      <c r="B4977" s="96"/>
      <c r="C4977" s="92"/>
      <c r="D4977" s="92"/>
      <c r="E4977" s="92" t="s">
        <v>584</v>
      </c>
      <c r="F4977" s="92"/>
      <c r="G4977" s="81"/>
      <c r="H4977" s="81"/>
      <c r="I4977" s="81"/>
      <c r="J4977" s="81"/>
      <c r="K4977" s="81"/>
      <c r="L4977" s="81"/>
      <c r="M4977" s="81"/>
      <c r="N4977" s="81"/>
    </row>
    <row r="4978" spans="1:14" ht="14.25" customHeight="1" x14ac:dyDescent="0.25">
      <c r="A4978" s="97" t="s">
        <v>563</v>
      </c>
      <c r="B4978" s="98" t="s">
        <v>564</v>
      </c>
      <c r="C4978" s="98" t="s">
        <v>585</v>
      </c>
      <c r="D4978" s="98" t="s">
        <v>586</v>
      </c>
      <c r="E4978" s="120" t="s">
        <v>587</v>
      </c>
      <c r="F4978" s="98" t="s">
        <v>568</v>
      </c>
      <c r="G4978" s="81"/>
      <c r="H4978" s="81"/>
      <c r="I4978" s="81"/>
      <c r="J4978" s="81"/>
      <c r="K4978" s="81"/>
      <c r="L4978" s="81"/>
      <c r="M4978" s="81"/>
      <c r="N4978" s="81"/>
    </row>
    <row r="4979" spans="1:14" ht="14.25" customHeight="1" x14ac:dyDescent="0.25">
      <c r="A4979" s="103" t="s">
        <v>604</v>
      </c>
      <c r="B4979" s="100" t="s">
        <v>605</v>
      </c>
      <c r="C4979" s="101">
        <v>1000</v>
      </c>
      <c r="D4979" s="140">
        <v>3.4</v>
      </c>
      <c r="E4979" s="107">
        <v>1.27542</v>
      </c>
      <c r="F4979" s="109">
        <f>+C4979*D4979*E4979</f>
        <v>4336.4279999999999</v>
      </c>
      <c r="G4979" s="81"/>
      <c r="H4979" s="81"/>
      <c r="I4979" s="81"/>
      <c r="J4979" s="81"/>
      <c r="K4979" s="81"/>
      <c r="L4979" s="81"/>
      <c r="M4979" s="81"/>
      <c r="N4979" s="81"/>
    </row>
    <row r="4980" spans="1:14" ht="14.25" customHeight="1" x14ac:dyDescent="0.25">
      <c r="A4980" s="103"/>
      <c r="B4980" s="100"/>
      <c r="C4980" s="107"/>
      <c r="D4980" s="107"/>
      <c r="E4980" s="108"/>
      <c r="F4980" s="109"/>
      <c r="G4980" s="81"/>
      <c r="H4980" s="81"/>
      <c r="I4980" s="81"/>
      <c r="J4980" s="81"/>
      <c r="K4980" s="81"/>
      <c r="L4980" s="81"/>
      <c r="M4980" s="81"/>
      <c r="N4980" s="81"/>
    </row>
    <row r="4981" spans="1:14" ht="14.25" customHeight="1" x14ac:dyDescent="0.25">
      <c r="A4981" s="97" t="s">
        <v>548</v>
      </c>
      <c r="B4981" s="98"/>
      <c r="C4981" s="110"/>
      <c r="D4981" s="110"/>
      <c r="E4981" s="111"/>
      <c r="F4981" s="112">
        <f>SUM(F4979:F4980)</f>
        <v>4336.4279999999999</v>
      </c>
      <c r="G4981" s="81"/>
      <c r="H4981" s="81"/>
      <c r="I4981" s="81"/>
      <c r="J4981" s="81"/>
      <c r="K4981" s="81"/>
      <c r="L4981" s="81"/>
      <c r="M4981" s="81"/>
      <c r="N4981" s="81"/>
    </row>
    <row r="4982" spans="1:14" ht="14.25" customHeight="1" x14ac:dyDescent="0.25">
      <c r="A4982" s="88"/>
      <c r="B4982" s="89"/>
      <c r="C4982" s="113"/>
      <c r="D4982" s="113"/>
      <c r="E4982" s="114"/>
      <c r="F4982" s="113"/>
      <c r="G4982" s="81"/>
      <c r="H4982" s="81"/>
      <c r="I4982" s="81"/>
      <c r="J4982" s="81"/>
      <c r="K4982" s="81"/>
      <c r="L4982" s="81"/>
      <c r="M4982" s="81"/>
      <c r="N4982" s="81"/>
    </row>
    <row r="4983" spans="1:14" ht="14.25" customHeight="1" x14ac:dyDescent="0.25">
      <c r="A4983" s="88"/>
      <c r="B4983" s="89"/>
      <c r="C4983" s="113"/>
      <c r="D4983" s="113"/>
      <c r="E4983" s="114"/>
      <c r="F4983" s="113"/>
      <c r="G4983" s="81"/>
      <c r="H4983" s="81"/>
      <c r="I4983" s="81"/>
      <c r="J4983" s="81"/>
      <c r="K4983" s="81"/>
      <c r="L4983" s="81"/>
      <c r="M4983" s="81"/>
      <c r="N4983" s="81"/>
    </row>
    <row r="4984" spans="1:14" ht="14.25" customHeight="1" x14ac:dyDescent="0.25">
      <c r="A4984" s="612" t="s">
        <v>588</v>
      </c>
      <c r="B4984" s="608"/>
      <c r="C4984" s="608"/>
      <c r="D4984" s="608"/>
      <c r="E4984" s="609"/>
      <c r="F4984" s="131">
        <f>ROUND(F4960+F4967+F4975+F4981,0)</f>
        <v>87163</v>
      </c>
      <c r="G4984" s="81"/>
      <c r="H4984" s="117"/>
      <c r="I4984" s="81"/>
      <c r="J4984" s="81"/>
      <c r="K4984" s="81"/>
      <c r="L4984" s="81"/>
      <c r="M4984" s="81"/>
      <c r="N4984" s="81"/>
    </row>
    <row r="4985" spans="1:14" ht="14.25" customHeight="1" x14ac:dyDescent="0.25">
      <c r="A4985" s="612" t="s">
        <v>589</v>
      </c>
      <c r="B4985" s="608"/>
      <c r="C4985" s="608"/>
      <c r="D4985" s="608"/>
      <c r="E4985" s="609"/>
      <c r="F4985" s="132"/>
      <c r="G4985" s="81"/>
      <c r="H4985" s="81"/>
      <c r="I4985" s="81"/>
      <c r="J4985" s="81"/>
      <c r="K4985" s="81"/>
      <c r="L4985" s="81"/>
      <c r="M4985" s="81"/>
      <c r="N4985" s="81"/>
    </row>
    <row r="4986" spans="1:14" ht="14.25" customHeight="1" x14ac:dyDescent="0.25">
      <c r="A4986" s="612" t="s">
        <v>556</v>
      </c>
      <c r="B4986" s="608"/>
      <c r="C4986" s="608"/>
      <c r="D4986" s="608"/>
      <c r="E4986" s="609"/>
      <c r="F4986" s="133"/>
      <c r="G4986" s="81"/>
      <c r="H4986" s="81"/>
      <c r="I4986" s="81"/>
      <c r="J4986" s="81"/>
      <c r="K4986" s="81"/>
      <c r="L4986" s="81"/>
      <c r="M4986" s="81"/>
      <c r="N4986" s="81"/>
    </row>
    <row r="4987" spans="1:14" ht="14.25" customHeight="1" x14ac:dyDescent="0.25">
      <c r="A4987" s="134"/>
      <c r="B4987" s="135"/>
      <c r="C4987" s="135"/>
      <c r="D4987" s="135"/>
      <c r="E4987" s="135"/>
      <c r="F4987" s="136"/>
      <c r="G4987" s="81"/>
      <c r="H4987" s="81"/>
      <c r="I4987" s="81"/>
      <c r="J4987" s="81"/>
      <c r="K4987" s="81"/>
      <c r="L4987" s="81"/>
      <c r="M4987" s="81"/>
      <c r="N4987" s="81"/>
    </row>
    <row r="4988" spans="1:14" ht="14.25" customHeight="1" x14ac:dyDescent="0.25">
      <c r="A4988" s="134"/>
      <c r="B4988" s="135"/>
      <c r="C4988" s="135"/>
      <c r="D4988" s="135"/>
      <c r="E4988" s="135"/>
      <c r="F4988" s="136"/>
      <c r="G4988" s="81"/>
      <c r="H4988" s="81"/>
      <c r="I4988" s="81"/>
      <c r="J4988" s="81"/>
      <c r="K4988" s="81"/>
      <c r="L4988" s="81"/>
      <c r="M4988" s="81"/>
      <c r="N4988" s="81"/>
    </row>
    <row r="4989" spans="1:14" ht="14.25" customHeight="1" x14ac:dyDescent="0.25">
      <c r="A4989" s="134"/>
      <c r="B4989" s="135"/>
      <c r="C4989" s="135"/>
      <c r="D4989" s="135"/>
      <c r="E4989" s="135"/>
      <c r="F4989" s="136"/>
      <c r="G4989" s="81"/>
      <c r="H4989" s="81"/>
      <c r="I4989" s="81"/>
      <c r="J4989" s="81"/>
      <c r="K4989" s="81"/>
      <c r="L4989" s="81"/>
      <c r="M4989" s="81"/>
      <c r="N4989" s="81"/>
    </row>
    <row r="4990" spans="1:14" ht="14.25" customHeight="1" x14ac:dyDescent="0.25">
      <c r="A4990" s="134"/>
      <c r="B4990" s="135"/>
      <c r="C4990" s="135"/>
      <c r="D4990" s="135"/>
      <c r="E4990" s="135"/>
      <c r="F4990" s="136"/>
      <c r="G4990" s="81"/>
      <c r="H4990" s="81"/>
      <c r="I4990" s="81"/>
      <c r="J4990" s="81"/>
      <c r="K4990" s="81"/>
      <c r="L4990" s="81"/>
      <c r="M4990" s="81"/>
      <c r="N4990" s="81"/>
    </row>
    <row r="4991" spans="1:14" ht="14.25" customHeight="1" x14ac:dyDescent="0.25">
      <c r="A4991" s="134"/>
      <c r="B4991" s="135"/>
      <c r="C4991" s="135"/>
      <c r="D4991" s="135"/>
      <c r="E4991" s="135"/>
      <c r="F4991" s="136"/>
      <c r="G4991" s="81"/>
      <c r="H4991" s="81"/>
      <c r="I4991" s="81"/>
      <c r="J4991" s="81"/>
      <c r="K4991" s="81"/>
      <c r="L4991" s="81"/>
      <c r="M4991" s="81"/>
      <c r="N4991" s="81"/>
    </row>
    <row r="4992" spans="1:14" ht="14.25" customHeight="1" x14ac:dyDescent="0.25">
      <c r="A4992" s="134"/>
      <c r="B4992" s="135"/>
      <c r="C4992" s="135"/>
      <c r="D4992" s="135"/>
      <c r="E4992" s="135"/>
      <c r="F4992" s="136"/>
      <c r="G4992" s="81"/>
      <c r="H4992" s="81"/>
      <c r="I4992" s="81"/>
      <c r="J4992" s="81"/>
      <c r="K4992" s="81"/>
      <c r="L4992" s="81"/>
      <c r="M4992" s="81"/>
      <c r="N4992" s="81"/>
    </row>
    <row r="4993" spans="1:14" ht="14.25" customHeight="1" x14ac:dyDescent="0.25">
      <c r="A4993" s="81"/>
      <c r="B4993" s="81"/>
      <c r="C4993" s="137"/>
      <c r="D4993" s="81"/>
      <c r="E4993" s="81"/>
      <c r="F4993" s="81"/>
      <c r="G4993" s="81"/>
      <c r="H4993" s="81"/>
      <c r="I4993" s="81"/>
      <c r="J4993" s="81"/>
      <c r="K4993" s="81"/>
      <c r="L4993" s="81"/>
      <c r="M4993" s="81"/>
      <c r="N4993" s="81"/>
    </row>
    <row r="4994" spans="1:14" ht="14.25" customHeight="1" x14ac:dyDescent="0.25">
      <c r="A4994" s="81"/>
      <c r="B4994" s="81"/>
      <c r="C4994" s="137"/>
      <c r="D4994" s="81"/>
      <c r="E4994" s="81"/>
      <c r="F4994" s="81"/>
      <c r="G4994" s="81"/>
      <c r="H4994" s="81"/>
      <c r="I4994" s="81"/>
      <c r="J4994" s="81"/>
      <c r="K4994" s="81"/>
      <c r="L4994" s="81"/>
      <c r="M4994" s="81"/>
      <c r="N4994" s="81"/>
    </row>
    <row r="4995" spans="1:14" ht="14.25" customHeight="1" x14ac:dyDescent="0.25">
      <c r="A4995" s="81"/>
      <c r="B4995" s="81"/>
      <c r="C4995" s="137"/>
      <c r="D4995" s="81"/>
      <c r="E4995" s="81"/>
      <c r="F4995" s="81"/>
      <c r="G4995" s="81"/>
      <c r="H4995" s="81"/>
      <c r="I4995" s="81"/>
      <c r="J4995" s="81"/>
      <c r="K4995" s="81"/>
      <c r="L4995" s="81"/>
      <c r="M4995" s="81"/>
      <c r="N4995" s="81"/>
    </row>
    <row r="4996" spans="1:14" ht="14.25" customHeight="1" x14ac:dyDescent="0.25">
      <c r="A4996" s="81"/>
      <c r="B4996" s="81"/>
      <c r="C4996" s="137"/>
      <c r="D4996" s="81"/>
      <c r="E4996" s="81"/>
      <c r="F4996" s="81"/>
      <c r="G4996" s="81"/>
      <c r="H4996" s="81"/>
      <c r="I4996" s="81"/>
      <c r="J4996" s="81"/>
      <c r="K4996" s="81"/>
      <c r="L4996" s="81"/>
      <c r="M4996" s="81"/>
      <c r="N4996" s="81"/>
    </row>
    <row r="4997" spans="1:14" ht="14.25" customHeight="1" thickBot="1" x14ac:dyDescent="0.3">
      <c r="A4997" s="81"/>
      <c r="B4997" s="81"/>
      <c r="C4997" s="81"/>
      <c r="D4997" s="81"/>
      <c r="E4997" s="81"/>
      <c r="F4997" s="81"/>
      <c r="G4997" s="81"/>
      <c r="H4997" s="81"/>
      <c r="I4997" s="81"/>
      <c r="J4997" s="81"/>
      <c r="K4997" s="81"/>
      <c r="L4997" s="81"/>
      <c r="M4997" s="81"/>
      <c r="N4997" s="81"/>
    </row>
    <row r="4998" spans="1:14" ht="14.25" customHeight="1" x14ac:dyDescent="0.25">
      <c r="A4998" s="83"/>
      <c r="B4998" s="84"/>
      <c r="C4998" s="85"/>
      <c r="D4998" s="86"/>
      <c r="E4998" s="86"/>
      <c r="F4998" s="87"/>
      <c r="G4998" s="81"/>
      <c r="H4998" s="81"/>
      <c r="I4998" s="81"/>
      <c r="J4998" s="81"/>
      <c r="K4998" s="81"/>
      <c r="L4998" s="81"/>
      <c r="M4998" s="81"/>
      <c r="N4998" s="81"/>
    </row>
    <row r="4999" spans="1:14" ht="14.25" customHeight="1" x14ac:dyDescent="0.25">
      <c r="A4999" s="599"/>
      <c r="B4999" s="600"/>
      <c r="C4999" s="600"/>
      <c r="D4999" s="600"/>
      <c r="E4999" s="600"/>
      <c r="F4999" s="601"/>
      <c r="G4999" s="81"/>
      <c r="H4999" s="81"/>
      <c r="I4999" s="81"/>
      <c r="J4999" s="81"/>
      <c r="K4999" s="81"/>
      <c r="L4999" s="81"/>
      <c r="M4999" s="81"/>
      <c r="N4999" s="81"/>
    </row>
    <row r="5000" spans="1:14" ht="14.25" customHeight="1" x14ac:dyDescent="0.25">
      <c r="A5000" s="602" t="s">
        <v>561</v>
      </c>
      <c r="B5000" s="600"/>
      <c r="C5000" s="600"/>
      <c r="D5000" s="600"/>
      <c r="E5000" s="600"/>
      <c r="F5000" s="601"/>
      <c r="G5000" s="81"/>
      <c r="H5000" s="81"/>
      <c r="I5000" s="81"/>
      <c r="J5000" s="81"/>
      <c r="K5000" s="81"/>
      <c r="L5000" s="81"/>
      <c r="M5000" s="81"/>
      <c r="N5000" s="81"/>
    </row>
    <row r="5001" spans="1:14" ht="14.25" customHeight="1" thickBot="1" x14ac:dyDescent="0.3">
      <c r="A5001" s="603"/>
      <c r="B5001" s="604"/>
      <c r="C5001" s="604"/>
      <c r="D5001" s="604"/>
      <c r="E5001" s="604"/>
      <c r="F5001" s="605"/>
      <c r="G5001" s="81"/>
      <c r="H5001" s="81"/>
      <c r="I5001" s="81"/>
      <c r="J5001" s="81"/>
      <c r="K5001" s="81"/>
      <c r="L5001" s="81"/>
      <c r="M5001" s="81"/>
      <c r="N5001" s="81"/>
    </row>
    <row r="5002" spans="1:14" ht="14.25" customHeight="1" x14ac:dyDescent="0.25">
      <c r="A5002" s="88"/>
      <c r="B5002" s="88"/>
      <c r="C5002" s="89"/>
      <c r="D5002" s="89"/>
      <c r="E5002" s="89"/>
      <c r="F5002" s="89"/>
      <c r="G5002" s="81"/>
      <c r="H5002" s="81"/>
      <c r="I5002" s="81"/>
      <c r="J5002" s="81"/>
      <c r="K5002" s="81"/>
      <c r="L5002" s="81"/>
      <c r="M5002" s="81"/>
      <c r="N5002" s="81"/>
    </row>
    <row r="5003" spans="1:14" ht="14.25" customHeight="1" x14ac:dyDescent="0.25">
      <c r="A5003" s="90" t="s">
        <v>47</v>
      </c>
      <c r="B5003" s="613" t="s">
        <v>236</v>
      </c>
      <c r="C5003" s="600"/>
      <c r="D5003" s="600"/>
      <c r="E5003" s="600"/>
      <c r="F5003" s="600"/>
      <c r="G5003" s="81"/>
      <c r="H5003" s="81"/>
      <c r="I5003" s="81"/>
      <c r="J5003" s="81"/>
      <c r="K5003" s="81"/>
      <c r="L5003" s="81"/>
      <c r="M5003" s="81"/>
      <c r="N5003" s="81"/>
    </row>
    <row r="5004" spans="1:14" ht="14.25" customHeight="1" x14ac:dyDescent="0.25">
      <c r="A5004" s="91"/>
      <c r="B5004" s="91"/>
      <c r="C5004" s="91"/>
      <c r="D5004" s="91"/>
      <c r="E5004" s="91"/>
      <c r="F5004" s="91"/>
      <c r="G5004" s="81"/>
      <c r="H5004" s="81"/>
      <c r="I5004" s="81"/>
      <c r="J5004" s="81"/>
      <c r="K5004" s="81"/>
      <c r="L5004" s="81"/>
      <c r="M5004" s="81"/>
      <c r="N5004" s="81"/>
    </row>
    <row r="5005" spans="1:14" ht="14.25" customHeight="1" x14ac:dyDescent="0.25">
      <c r="A5005" s="88" t="s">
        <v>49</v>
      </c>
      <c r="B5005" s="92" t="s">
        <v>99</v>
      </c>
      <c r="C5005" s="89"/>
      <c r="D5005" s="89"/>
      <c r="E5005" s="89"/>
      <c r="F5005" s="93"/>
      <c r="G5005" s="81"/>
      <c r="H5005" s="81"/>
      <c r="I5005" s="81"/>
      <c r="J5005" s="81"/>
      <c r="K5005" s="81"/>
      <c r="L5005" s="81"/>
      <c r="M5005" s="81"/>
      <c r="N5005" s="81"/>
    </row>
    <row r="5006" spans="1:14" ht="14.25" customHeight="1" x14ac:dyDescent="0.25">
      <c r="A5006" s="88"/>
      <c r="B5006" s="94"/>
      <c r="C5006" s="89"/>
      <c r="D5006" s="89"/>
      <c r="E5006" s="89"/>
      <c r="F5006" s="93"/>
      <c r="G5006" s="81"/>
      <c r="H5006" s="81"/>
      <c r="I5006" s="81"/>
      <c r="J5006" s="81"/>
      <c r="K5006" s="81"/>
      <c r="L5006" s="81"/>
      <c r="M5006" s="81"/>
      <c r="N5006" s="81"/>
    </row>
    <row r="5007" spans="1:14" ht="14.25" customHeight="1" x14ac:dyDescent="0.25">
      <c r="A5007" s="95" t="s">
        <v>562</v>
      </c>
      <c r="B5007" s="96"/>
      <c r="C5007" s="92"/>
      <c r="D5007" s="92"/>
      <c r="E5007" s="92"/>
      <c r="F5007" s="92"/>
      <c r="G5007" s="81"/>
      <c r="H5007" s="81"/>
      <c r="I5007" s="81"/>
      <c r="J5007" s="81"/>
      <c r="K5007" s="81"/>
      <c r="L5007" s="81"/>
      <c r="M5007" s="81"/>
      <c r="N5007" s="81"/>
    </row>
    <row r="5008" spans="1:14" ht="14.25" customHeight="1" x14ac:dyDescent="0.25">
      <c r="A5008" s="97" t="s">
        <v>563</v>
      </c>
      <c r="B5008" s="98" t="s">
        <v>564</v>
      </c>
      <c r="C5008" s="98" t="s">
        <v>565</v>
      </c>
      <c r="D5008" s="98" t="s">
        <v>566</v>
      </c>
      <c r="E5008" s="98" t="s">
        <v>567</v>
      </c>
      <c r="F5008" s="98" t="s">
        <v>568</v>
      </c>
      <c r="G5008" s="81"/>
      <c r="H5008" s="81"/>
      <c r="I5008" s="81"/>
      <c r="J5008" s="81"/>
      <c r="K5008" s="81"/>
      <c r="L5008" s="81"/>
      <c r="M5008" s="81"/>
      <c r="N5008" s="81"/>
    </row>
    <row r="5009" spans="1:14" ht="14.25" customHeight="1" x14ac:dyDescent="0.25">
      <c r="A5009" s="99" t="s">
        <v>745</v>
      </c>
      <c r="B5009" s="100" t="s">
        <v>59</v>
      </c>
      <c r="C5009" s="101">
        <v>16500</v>
      </c>
      <c r="D5009" s="149">
        <v>13</v>
      </c>
      <c r="E5009" s="102">
        <v>0.05</v>
      </c>
      <c r="F5009" s="101">
        <f t="shared" ref="F5009:F5011" si="274">C5009*(D5009+(D5009*E5009))</f>
        <v>225225</v>
      </c>
      <c r="G5009" s="81"/>
      <c r="H5009" s="81"/>
      <c r="I5009" s="81"/>
      <c r="J5009" s="81"/>
      <c r="K5009" s="81"/>
      <c r="L5009" s="81"/>
      <c r="M5009" s="81"/>
      <c r="N5009" s="81"/>
    </row>
    <row r="5010" spans="1:14" ht="14.25" customHeight="1" x14ac:dyDescent="0.25">
      <c r="A5010" s="99" t="s">
        <v>622</v>
      </c>
      <c r="B5010" s="100" t="s">
        <v>99</v>
      </c>
      <c r="C5010" s="101">
        <v>85900</v>
      </c>
      <c r="D5010" s="149">
        <v>0.85</v>
      </c>
      <c r="E5010" s="102">
        <v>0.05</v>
      </c>
      <c r="F5010" s="101">
        <f t="shared" si="274"/>
        <v>76665.75</v>
      </c>
      <c r="G5010" s="81"/>
      <c r="H5010" s="81"/>
      <c r="I5010" s="81"/>
      <c r="J5010" s="81"/>
      <c r="K5010" s="81"/>
      <c r="L5010" s="81"/>
      <c r="M5010" s="81"/>
      <c r="N5010" s="81"/>
    </row>
    <row r="5011" spans="1:14" ht="14.25" customHeight="1" x14ac:dyDescent="0.25">
      <c r="A5011" s="99" t="s">
        <v>756</v>
      </c>
      <c r="B5011" s="100" t="s">
        <v>99</v>
      </c>
      <c r="C5011" s="101">
        <v>6350</v>
      </c>
      <c r="D5011" s="149">
        <v>5</v>
      </c>
      <c r="E5011" s="102"/>
      <c r="F5011" s="101">
        <f t="shared" si="274"/>
        <v>31750</v>
      </c>
      <c r="G5011" s="81"/>
      <c r="H5011" s="81"/>
      <c r="I5011" s="81"/>
      <c r="J5011" s="81"/>
      <c r="K5011" s="81"/>
      <c r="L5011" s="81"/>
      <c r="M5011" s="81"/>
      <c r="N5011" s="81"/>
    </row>
    <row r="5012" spans="1:14" ht="14.25" customHeight="1" x14ac:dyDescent="0.25">
      <c r="A5012" s="99"/>
      <c r="B5012" s="100"/>
      <c r="C5012" s="101"/>
      <c r="D5012" s="105"/>
      <c r="E5012" s="102"/>
      <c r="F5012" s="101"/>
      <c r="G5012" s="81"/>
      <c r="H5012" s="81"/>
      <c r="I5012" s="81"/>
      <c r="J5012" s="81"/>
      <c r="K5012" s="81"/>
      <c r="L5012" s="81"/>
      <c r="M5012" s="81"/>
      <c r="N5012" s="81"/>
    </row>
    <row r="5013" spans="1:14" ht="14.25" customHeight="1" x14ac:dyDescent="0.25">
      <c r="A5013" s="99"/>
      <c r="B5013" s="100"/>
      <c r="C5013" s="106"/>
      <c r="D5013" s="107"/>
      <c r="E5013" s="108"/>
      <c r="F5013" s="106"/>
      <c r="G5013" s="81"/>
      <c r="H5013" s="81"/>
      <c r="I5013" s="81"/>
      <c r="J5013" s="81"/>
      <c r="K5013" s="81"/>
      <c r="L5013" s="81"/>
      <c r="M5013" s="81"/>
      <c r="N5013" s="81"/>
    </row>
    <row r="5014" spans="1:14" ht="14.25" customHeight="1" x14ac:dyDescent="0.25">
      <c r="A5014" s="97" t="s">
        <v>548</v>
      </c>
      <c r="B5014" s="97"/>
      <c r="C5014" s="109"/>
      <c r="D5014" s="110"/>
      <c r="E5014" s="111"/>
      <c r="F5014" s="112">
        <f>SUM(F5009:F5013)</f>
        <v>333640.75</v>
      </c>
      <c r="G5014" s="81"/>
      <c r="H5014" s="81"/>
      <c r="I5014" s="81"/>
      <c r="J5014" s="81"/>
      <c r="K5014" s="81"/>
      <c r="L5014" s="81"/>
      <c r="M5014" s="81"/>
      <c r="N5014" s="81"/>
    </row>
    <row r="5015" spans="1:14" ht="14.25" customHeight="1" x14ac:dyDescent="0.25">
      <c r="A5015" s="88"/>
      <c r="B5015" s="88"/>
      <c r="C5015" s="113"/>
      <c r="D5015" s="113"/>
      <c r="E5015" s="114"/>
      <c r="F5015" s="113"/>
      <c r="G5015" s="81"/>
      <c r="H5015" s="81"/>
      <c r="I5015" s="81"/>
      <c r="J5015" s="81"/>
      <c r="K5015" s="81"/>
      <c r="L5015" s="81"/>
      <c r="M5015" s="81"/>
      <c r="N5015" s="81"/>
    </row>
    <row r="5016" spans="1:14" ht="14.25" customHeight="1" x14ac:dyDescent="0.25">
      <c r="A5016" s="96" t="s">
        <v>573</v>
      </c>
      <c r="B5016" s="96"/>
      <c r="C5016" s="92"/>
      <c r="D5016" s="92"/>
      <c r="E5016" s="92"/>
      <c r="F5016" s="92"/>
      <c r="G5016" s="81"/>
      <c r="H5016" s="81"/>
      <c r="I5016" s="81"/>
      <c r="J5016" s="81"/>
      <c r="K5016" s="81"/>
      <c r="L5016" s="81"/>
      <c r="M5016" s="81"/>
      <c r="N5016" s="81"/>
    </row>
    <row r="5017" spans="1:14" ht="14.25" customHeight="1" x14ac:dyDescent="0.25">
      <c r="A5017" s="611" t="s">
        <v>563</v>
      </c>
      <c r="B5017" s="608"/>
      <c r="C5017" s="609"/>
      <c r="D5017" s="98" t="s">
        <v>574</v>
      </c>
      <c r="E5017" s="98" t="s">
        <v>575</v>
      </c>
      <c r="F5017" s="98" t="s">
        <v>568</v>
      </c>
      <c r="G5017" s="81"/>
      <c r="H5017" s="81"/>
      <c r="I5017" s="81"/>
      <c r="J5017" s="81"/>
      <c r="K5017" s="81"/>
      <c r="L5017" s="81"/>
      <c r="M5017" s="81"/>
      <c r="N5017" s="81"/>
    </row>
    <row r="5018" spans="1:14" ht="14.25" customHeight="1" x14ac:dyDescent="0.25">
      <c r="A5018" s="607" t="s">
        <v>577</v>
      </c>
      <c r="B5018" s="608"/>
      <c r="C5018" s="609"/>
      <c r="D5018" s="116"/>
      <c r="E5018" s="107"/>
      <c r="F5018" s="106">
        <f>+F5029*5%</f>
        <v>3647.9323611167056</v>
      </c>
      <c r="G5018" s="81"/>
      <c r="H5018" s="81"/>
      <c r="I5018" s="81"/>
      <c r="J5018" s="81"/>
      <c r="K5018" s="81"/>
      <c r="L5018" s="81"/>
      <c r="M5018" s="81"/>
      <c r="N5018" s="81"/>
    </row>
    <row r="5019" spans="1:14" ht="14.25" customHeight="1" x14ac:dyDescent="0.25">
      <c r="A5019" s="607"/>
      <c r="B5019" s="608"/>
      <c r="C5019" s="609"/>
      <c r="D5019" s="116"/>
      <c r="E5019" s="107"/>
      <c r="F5019" s="106"/>
      <c r="G5019" s="81"/>
      <c r="H5019" s="81"/>
      <c r="I5019" s="81"/>
      <c r="J5019" s="81"/>
      <c r="K5019" s="81"/>
      <c r="L5019" s="81"/>
      <c r="M5019" s="81"/>
      <c r="N5019" s="81"/>
    </row>
    <row r="5020" spans="1:14" ht="14.25" customHeight="1" x14ac:dyDescent="0.25">
      <c r="A5020" s="610"/>
      <c r="B5020" s="608"/>
      <c r="C5020" s="609"/>
      <c r="D5020" s="115"/>
      <c r="E5020" s="107"/>
      <c r="F5020" s="106"/>
      <c r="G5020" s="81"/>
      <c r="H5020" s="81"/>
      <c r="I5020" s="81"/>
      <c r="J5020" s="81"/>
      <c r="K5020" s="81"/>
      <c r="L5020" s="81"/>
      <c r="M5020" s="81"/>
      <c r="N5020" s="81"/>
    </row>
    <row r="5021" spans="1:14" ht="14.25" customHeight="1" x14ac:dyDescent="0.25">
      <c r="A5021" s="611" t="s">
        <v>548</v>
      </c>
      <c r="B5021" s="608"/>
      <c r="C5021" s="609"/>
      <c r="D5021" s="110"/>
      <c r="E5021" s="110"/>
      <c r="F5021" s="112">
        <f>SUM(F5018:F5019)</f>
        <v>3647.9323611167056</v>
      </c>
      <c r="G5021" s="81"/>
      <c r="H5021" s="81"/>
      <c r="I5021" s="81"/>
      <c r="J5021" s="81"/>
      <c r="K5021" s="81"/>
      <c r="L5021" s="81"/>
      <c r="M5021" s="81"/>
      <c r="N5021" s="81"/>
    </row>
    <row r="5022" spans="1:14" ht="14.25" customHeight="1" x14ac:dyDescent="0.25">
      <c r="A5022" s="88"/>
      <c r="B5022" s="88"/>
      <c r="C5022" s="89"/>
      <c r="D5022" s="113"/>
      <c r="E5022" s="113"/>
      <c r="F5022" s="113"/>
      <c r="G5022" s="81"/>
      <c r="H5022" s="81"/>
      <c r="I5022" s="81"/>
      <c r="J5022" s="81"/>
      <c r="K5022" s="81"/>
      <c r="L5022" s="81"/>
      <c r="M5022" s="81"/>
      <c r="N5022" s="81"/>
    </row>
    <row r="5023" spans="1:14" ht="14.25" customHeight="1" x14ac:dyDescent="0.25">
      <c r="A5023" s="96" t="s">
        <v>578</v>
      </c>
      <c r="B5023" s="96"/>
      <c r="C5023" s="92"/>
      <c r="D5023" s="118"/>
      <c r="E5023" s="118"/>
      <c r="F5023" s="118"/>
      <c r="G5023" s="81"/>
      <c r="H5023" s="81"/>
      <c r="I5023" s="81"/>
      <c r="J5023" s="81"/>
      <c r="K5023" s="81"/>
      <c r="L5023" s="81"/>
      <c r="M5023" s="81"/>
      <c r="N5023" s="81"/>
    </row>
    <row r="5024" spans="1:14" ht="14.25" customHeight="1" x14ac:dyDescent="0.25">
      <c r="A5024" s="119" t="s">
        <v>563</v>
      </c>
      <c r="B5024" s="120" t="s">
        <v>579</v>
      </c>
      <c r="C5024" s="120" t="s">
        <v>580</v>
      </c>
      <c r="D5024" s="121" t="s">
        <v>581</v>
      </c>
      <c r="E5024" s="121" t="s">
        <v>575</v>
      </c>
      <c r="F5024" s="121" t="s">
        <v>568</v>
      </c>
      <c r="G5024" s="81"/>
      <c r="H5024" s="81"/>
      <c r="I5024" s="81"/>
      <c r="J5024" s="81"/>
      <c r="K5024" s="81"/>
      <c r="L5024" s="81"/>
      <c r="M5024" s="81"/>
      <c r="N5024" s="81"/>
    </row>
    <row r="5025" spans="1:14" ht="14.25" customHeight="1" x14ac:dyDescent="0.25">
      <c r="A5025" s="122" t="s">
        <v>593</v>
      </c>
      <c r="B5025" s="127">
        <v>1</v>
      </c>
      <c r="C5025" s="101">
        <v>32688</v>
      </c>
      <c r="D5025" s="101">
        <f t="shared" ref="D5025:D5026" si="275">+C5025*1.7</f>
        <v>55569.599999999999</v>
      </c>
      <c r="E5025" s="107">
        <v>1.98584</v>
      </c>
      <c r="F5025" s="106">
        <f t="shared" ref="F5025:F5026" si="276">+B5025*(D5025)/E5025</f>
        <v>27982.91906699432</v>
      </c>
      <c r="G5025" s="81"/>
      <c r="H5025" s="81"/>
      <c r="I5025" s="81"/>
      <c r="J5025" s="81"/>
      <c r="K5025" s="81"/>
      <c r="L5025" s="81"/>
      <c r="M5025" s="81"/>
      <c r="N5025" s="81"/>
    </row>
    <row r="5026" spans="1:14" ht="14.25" customHeight="1" x14ac:dyDescent="0.25">
      <c r="A5026" s="122" t="s">
        <v>594</v>
      </c>
      <c r="B5026" s="127">
        <v>1</v>
      </c>
      <c r="C5026" s="101">
        <v>52538</v>
      </c>
      <c r="D5026" s="101">
        <f t="shared" si="275"/>
        <v>89314.599999999991</v>
      </c>
      <c r="E5026" s="107">
        <f>E5025</f>
        <v>1.98584</v>
      </c>
      <c r="F5026" s="106">
        <f t="shared" si="276"/>
        <v>44975.728155339799</v>
      </c>
      <c r="G5026" s="81"/>
      <c r="H5026" s="81"/>
      <c r="I5026" s="81"/>
      <c r="J5026" s="81"/>
      <c r="K5026" s="81"/>
      <c r="L5026" s="81"/>
      <c r="M5026" s="81"/>
      <c r="N5026" s="81"/>
    </row>
    <row r="5027" spans="1:14" ht="14.25" customHeight="1" x14ac:dyDescent="0.25">
      <c r="A5027" s="122"/>
      <c r="B5027" s="127"/>
      <c r="C5027" s="101"/>
      <c r="D5027" s="101"/>
      <c r="E5027" s="107"/>
      <c r="F5027" s="106"/>
      <c r="G5027" s="81"/>
      <c r="H5027" s="81"/>
      <c r="I5027" s="81"/>
      <c r="J5027" s="81"/>
      <c r="K5027" s="81"/>
      <c r="L5027" s="81"/>
      <c r="M5027" s="81"/>
      <c r="N5027" s="81"/>
    </row>
    <row r="5028" spans="1:14" ht="14.25" customHeight="1" x14ac:dyDescent="0.25">
      <c r="A5028" s="122"/>
      <c r="B5028" s="127"/>
      <c r="C5028" s="101"/>
      <c r="D5028" s="101"/>
      <c r="E5028" s="125"/>
      <c r="F5028" s="106"/>
      <c r="G5028" s="81"/>
      <c r="H5028" s="81"/>
      <c r="I5028" s="81"/>
      <c r="J5028" s="81"/>
      <c r="K5028" s="81"/>
      <c r="L5028" s="81"/>
      <c r="M5028" s="81"/>
      <c r="N5028" s="81"/>
    </row>
    <row r="5029" spans="1:14" ht="14.25" customHeight="1" x14ac:dyDescent="0.25">
      <c r="A5029" s="97" t="s">
        <v>548</v>
      </c>
      <c r="B5029" s="128"/>
      <c r="C5029" s="110"/>
      <c r="D5029" s="110"/>
      <c r="E5029" s="110"/>
      <c r="F5029" s="112">
        <f>SUM(F5025:F5028)</f>
        <v>72958.647222334112</v>
      </c>
      <c r="G5029" s="81"/>
      <c r="H5029" s="81"/>
      <c r="I5029" s="81"/>
      <c r="J5029" s="81"/>
      <c r="K5029" s="81"/>
      <c r="L5029" s="81"/>
      <c r="M5029" s="81"/>
      <c r="N5029" s="81"/>
    </row>
    <row r="5030" spans="1:14" ht="14.25" customHeight="1" x14ac:dyDescent="0.25">
      <c r="A5030" s="96"/>
      <c r="B5030" s="129"/>
      <c r="C5030" s="118"/>
      <c r="D5030" s="118"/>
      <c r="E5030" s="118"/>
      <c r="F5030" s="118"/>
      <c r="G5030" s="81"/>
      <c r="H5030" s="81"/>
      <c r="I5030" s="81"/>
      <c r="J5030" s="81"/>
      <c r="K5030" s="81"/>
      <c r="L5030" s="81"/>
      <c r="M5030" s="81"/>
      <c r="N5030" s="81"/>
    </row>
    <row r="5031" spans="1:14" ht="14.25" customHeight="1" x14ac:dyDescent="0.25">
      <c r="A5031" s="95" t="s">
        <v>583</v>
      </c>
      <c r="B5031" s="96"/>
      <c r="C5031" s="92"/>
      <c r="D5031" s="92"/>
      <c r="E5031" s="92" t="s">
        <v>584</v>
      </c>
      <c r="F5031" s="92"/>
      <c r="G5031" s="81"/>
      <c r="H5031" s="81"/>
      <c r="I5031" s="81"/>
      <c r="J5031" s="81"/>
      <c r="K5031" s="81"/>
      <c r="L5031" s="81"/>
      <c r="M5031" s="81"/>
      <c r="N5031" s="81"/>
    </row>
    <row r="5032" spans="1:14" ht="14.25" customHeight="1" x14ac:dyDescent="0.25">
      <c r="A5032" s="97" t="s">
        <v>563</v>
      </c>
      <c r="B5032" s="98" t="s">
        <v>564</v>
      </c>
      <c r="C5032" s="98" t="s">
        <v>585</v>
      </c>
      <c r="D5032" s="98" t="s">
        <v>586</v>
      </c>
      <c r="E5032" s="120" t="s">
        <v>587</v>
      </c>
      <c r="F5032" s="98" t="s">
        <v>568</v>
      </c>
      <c r="G5032" s="81"/>
      <c r="H5032" s="81"/>
      <c r="I5032" s="81"/>
      <c r="J5032" s="81"/>
      <c r="K5032" s="81"/>
      <c r="L5032" s="81"/>
      <c r="M5032" s="81"/>
      <c r="N5032" s="81"/>
    </row>
    <row r="5033" spans="1:14" ht="14.25" customHeight="1" x14ac:dyDescent="0.25">
      <c r="A5033" s="103" t="s">
        <v>604</v>
      </c>
      <c r="B5033" s="100" t="s">
        <v>605</v>
      </c>
      <c r="C5033" s="101">
        <v>1000</v>
      </c>
      <c r="D5033" s="140">
        <v>6</v>
      </c>
      <c r="E5033" s="107">
        <v>1.27542</v>
      </c>
      <c r="F5033" s="109">
        <f>+C5033*D5033*E5033</f>
        <v>7652.52</v>
      </c>
      <c r="G5033" s="81"/>
      <c r="H5033" s="81"/>
      <c r="I5033" s="81"/>
      <c r="J5033" s="81"/>
      <c r="K5033" s="81"/>
      <c r="L5033" s="81"/>
      <c r="M5033" s="81"/>
      <c r="N5033" s="81"/>
    </row>
    <row r="5034" spans="1:14" ht="14.25" customHeight="1" x14ac:dyDescent="0.25">
      <c r="A5034" s="103"/>
      <c r="B5034" s="100"/>
      <c r="C5034" s="107"/>
      <c r="D5034" s="107"/>
      <c r="E5034" s="108"/>
      <c r="F5034" s="109"/>
      <c r="G5034" s="81"/>
      <c r="H5034" s="81"/>
      <c r="I5034" s="81"/>
      <c r="J5034" s="81"/>
      <c r="K5034" s="81"/>
      <c r="L5034" s="81"/>
      <c r="M5034" s="81"/>
      <c r="N5034" s="81"/>
    </row>
    <row r="5035" spans="1:14" ht="14.25" customHeight="1" x14ac:dyDescent="0.25">
      <c r="A5035" s="97" t="s">
        <v>548</v>
      </c>
      <c r="B5035" s="98"/>
      <c r="C5035" s="110"/>
      <c r="D5035" s="110"/>
      <c r="E5035" s="111"/>
      <c r="F5035" s="112">
        <f>SUM(F5033:F5034)</f>
        <v>7652.52</v>
      </c>
      <c r="G5035" s="81"/>
      <c r="H5035" s="81"/>
      <c r="I5035" s="81"/>
      <c r="J5035" s="81"/>
      <c r="K5035" s="81"/>
      <c r="L5035" s="81"/>
      <c r="M5035" s="81"/>
      <c r="N5035" s="81"/>
    </row>
    <row r="5036" spans="1:14" ht="14.25" customHeight="1" x14ac:dyDescent="0.25">
      <c r="A5036" s="88"/>
      <c r="B5036" s="89"/>
      <c r="C5036" s="113"/>
      <c r="D5036" s="113"/>
      <c r="E5036" s="114"/>
      <c r="F5036" s="113"/>
      <c r="G5036" s="81"/>
      <c r="H5036" s="81"/>
      <c r="I5036" s="81"/>
      <c r="J5036" s="81"/>
      <c r="K5036" s="81"/>
      <c r="L5036" s="81"/>
      <c r="M5036" s="81"/>
      <c r="N5036" s="81"/>
    </row>
    <row r="5037" spans="1:14" ht="14.25" customHeight="1" x14ac:dyDescent="0.25">
      <c r="A5037" s="88"/>
      <c r="B5037" s="89"/>
      <c r="C5037" s="113"/>
      <c r="D5037" s="113"/>
      <c r="E5037" s="114"/>
      <c r="F5037" s="113"/>
      <c r="G5037" s="81"/>
      <c r="H5037" s="81"/>
      <c r="I5037" s="81"/>
      <c r="J5037" s="81"/>
      <c r="K5037" s="81"/>
      <c r="L5037" s="81"/>
      <c r="M5037" s="81"/>
      <c r="N5037" s="81"/>
    </row>
    <row r="5038" spans="1:14" ht="14.25" customHeight="1" x14ac:dyDescent="0.25">
      <c r="A5038" s="612" t="s">
        <v>588</v>
      </c>
      <c r="B5038" s="608"/>
      <c r="C5038" s="608"/>
      <c r="D5038" s="608"/>
      <c r="E5038" s="609"/>
      <c r="F5038" s="131">
        <f>ROUND(F5014+F5021+F5029+F5035,0)</f>
        <v>417900</v>
      </c>
      <c r="G5038" s="81"/>
      <c r="H5038" s="117"/>
      <c r="I5038" s="81"/>
      <c r="J5038" s="81"/>
      <c r="K5038" s="81"/>
      <c r="L5038" s="81"/>
      <c r="M5038" s="81"/>
      <c r="N5038" s="81"/>
    </row>
    <row r="5039" spans="1:14" ht="14.25" customHeight="1" x14ac:dyDescent="0.25">
      <c r="A5039" s="612" t="s">
        <v>589</v>
      </c>
      <c r="B5039" s="608"/>
      <c r="C5039" s="608"/>
      <c r="D5039" s="608"/>
      <c r="E5039" s="609"/>
      <c r="F5039" s="132"/>
      <c r="G5039" s="81"/>
      <c r="H5039" s="81"/>
      <c r="I5039" s="81"/>
      <c r="J5039" s="81"/>
      <c r="K5039" s="81"/>
      <c r="L5039" s="81"/>
      <c r="M5039" s="81"/>
      <c r="N5039" s="81"/>
    </row>
    <row r="5040" spans="1:14" ht="14.25" customHeight="1" x14ac:dyDescent="0.25">
      <c r="A5040" s="612" t="s">
        <v>556</v>
      </c>
      <c r="B5040" s="608"/>
      <c r="C5040" s="608"/>
      <c r="D5040" s="608"/>
      <c r="E5040" s="609"/>
      <c r="F5040" s="133"/>
      <c r="G5040" s="81"/>
      <c r="H5040" s="81"/>
      <c r="I5040" s="81"/>
      <c r="J5040" s="81"/>
      <c r="K5040" s="81"/>
      <c r="L5040" s="81"/>
      <c r="M5040" s="81"/>
      <c r="N5040" s="81"/>
    </row>
    <row r="5041" spans="1:14" ht="14.25" customHeight="1" x14ac:dyDescent="0.25">
      <c r="A5041" s="134"/>
      <c r="B5041" s="135"/>
      <c r="C5041" s="135"/>
      <c r="D5041" s="135"/>
      <c r="E5041" s="135"/>
      <c r="F5041" s="136"/>
      <c r="G5041" s="81"/>
      <c r="H5041" s="81"/>
      <c r="I5041" s="81"/>
      <c r="J5041" s="81"/>
      <c r="K5041" s="81"/>
      <c r="L5041" s="81"/>
      <c r="M5041" s="81"/>
      <c r="N5041" s="81"/>
    </row>
    <row r="5042" spans="1:14" ht="14.25" customHeight="1" x14ac:dyDescent="0.25">
      <c r="A5042" s="134"/>
      <c r="B5042" s="135"/>
      <c r="C5042" s="135"/>
      <c r="D5042" s="135"/>
      <c r="E5042" s="135"/>
      <c r="F5042" s="136"/>
      <c r="G5042" s="81"/>
      <c r="H5042" s="81"/>
      <c r="I5042" s="81"/>
      <c r="J5042" s="81"/>
      <c r="K5042" s="81"/>
      <c r="L5042" s="81"/>
      <c r="M5042" s="81"/>
      <c r="N5042" s="81"/>
    </row>
    <row r="5043" spans="1:14" ht="14.25" customHeight="1" x14ac:dyDescent="0.25">
      <c r="A5043" s="134"/>
      <c r="B5043" s="135"/>
      <c r="C5043" s="135"/>
      <c r="D5043" s="135"/>
      <c r="E5043" s="135"/>
      <c r="F5043" s="136"/>
      <c r="G5043" s="81"/>
      <c r="H5043" s="81"/>
      <c r="I5043" s="81"/>
      <c r="J5043" s="81"/>
      <c r="K5043" s="81"/>
      <c r="L5043" s="81"/>
      <c r="M5043" s="81"/>
      <c r="N5043" s="81"/>
    </row>
    <row r="5044" spans="1:14" ht="14.25" customHeight="1" x14ac:dyDescent="0.25">
      <c r="A5044" s="134"/>
      <c r="B5044" s="135"/>
      <c r="C5044" s="135"/>
      <c r="D5044" s="135"/>
      <c r="E5044" s="135"/>
      <c r="F5044" s="136"/>
      <c r="G5044" s="81"/>
      <c r="H5044" s="81"/>
      <c r="I5044" s="81"/>
      <c r="J5044" s="81"/>
      <c r="K5044" s="81"/>
      <c r="L5044" s="81"/>
      <c r="M5044" s="81"/>
      <c r="N5044" s="81"/>
    </row>
    <row r="5045" spans="1:14" ht="14.25" customHeight="1" x14ac:dyDescent="0.25">
      <c r="A5045" s="134"/>
      <c r="B5045" s="135"/>
      <c r="C5045" s="135"/>
      <c r="D5045" s="135"/>
      <c r="E5045" s="135"/>
      <c r="F5045" s="136"/>
      <c r="G5045" s="81"/>
      <c r="H5045" s="81"/>
      <c r="I5045" s="81"/>
      <c r="J5045" s="81"/>
      <c r="K5045" s="81"/>
      <c r="L5045" s="81"/>
      <c r="M5045" s="81"/>
      <c r="N5045" s="81"/>
    </row>
    <row r="5046" spans="1:14" ht="14.25" customHeight="1" x14ac:dyDescent="0.25">
      <c r="A5046" s="134"/>
      <c r="B5046" s="135"/>
      <c r="C5046" s="135"/>
      <c r="D5046" s="135"/>
      <c r="E5046" s="135"/>
      <c r="F5046" s="136"/>
      <c r="G5046" s="81"/>
      <c r="H5046" s="81"/>
      <c r="I5046" s="81"/>
      <c r="J5046" s="81"/>
      <c r="K5046" s="81"/>
      <c r="L5046" s="81"/>
      <c r="M5046" s="81"/>
      <c r="N5046" s="81"/>
    </row>
    <row r="5047" spans="1:14" ht="14.25" customHeight="1" x14ac:dyDescent="0.25">
      <c r="A5047" s="81"/>
      <c r="B5047" s="81"/>
      <c r="C5047" s="137"/>
      <c r="D5047" s="81"/>
      <c r="E5047" s="81"/>
      <c r="F5047" s="81"/>
      <c r="G5047" s="81"/>
      <c r="H5047" s="81"/>
      <c r="I5047" s="81"/>
      <c r="J5047" s="81"/>
      <c r="K5047" s="81"/>
      <c r="L5047" s="81"/>
      <c r="M5047" s="81"/>
      <c r="N5047" s="81"/>
    </row>
    <row r="5048" spans="1:14" ht="14.25" customHeight="1" x14ac:dyDescent="0.25">
      <c r="A5048" s="81"/>
      <c r="B5048" s="81"/>
      <c r="C5048" s="137"/>
      <c r="D5048" s="81"/>
      <c r="E5048" s="81"/>
      <c r="F5048" s="81"/>
      <c r="G5048" s="81"/>
      <c r="H5048" s="81"/>
      <c r="I5048" s="81"/>
      <c r="J5048" s="81"/>
      <c r="K5048" s="81"/>
      <c r="L5048" s="81"/>
      <c r="M5048" s="81"/>
      <c r="N5048" s="81"/>
    </row>
    <row r="5049" spans="1:14" ht="14.25" customHeight="1" x14ac:dyDescent="0.25">
      <c r="A5049" s="81"/>
      <c r="B5049" s="81"/>
      <c r="C5049" s="137"/>
      <c r="D5049" s="81"/>
      <c r="E5049" s="81"/>
      <c r="F5049" s="81"/>
      <c r="G5049" s="81"/>
      <c r="H5049" s="81"/>
      <c r="I5049" s="81"/>
      <c r="J5049" s="81"/>
      <c r="K5049" s="81"/>
      <c r="L5049" s="81"/>
      <c r="M5049" s="81"/>
      <c r="N5049" s="81"/>
    </row>
    <row r="5050" spans="1:14" ht="14.25" customHeight="1" x14ac:dyDescent="0.25">
      <c r="A5050" s="81"/>
      <c r="B5050" s="81"/>
      <c r="C5050" s="137"/>
      <c r="D5050" s="81"/>
      <c r="E5050" s="81"/>
      <c r="F5050" s="81"/>
      <c r="G5050" s="81"/>
      <c r="H5050" s="81"/>
      <c r="I5050" s="81"/>
      <c r="J5050" s="81"/>
      <c r="K5050" s="81"/>
      <c r="L5050" s="81"/>
      <c r="M5050" s="81"/>
      <c r="N5050" s="81"/>
    </row>
    <row r="5051" spans="1:14" ht="14.25" customHeight="1" thickBot="1" x14ac:dyDescent="0.3">
      <c r="A5051" s="81"/>
      <c r="B5051" s="81"/>
      <c r="C5051" s="81"/>
      <c r="D5051" s="81"/>
      <c r="E5051" s="81"/>
      <c r="F5051" s="81"/>
      <c r="G5051" s="81"/>
      <c r="H5051" s="81"/>
      <c r="I5051" s="81"/>
      <c r="J5051" s="81"/>
      <c r="K5051" s="81"/>
      <c r="L5051" s="81"/>
      <c r="M5051" s="81"/>
      <c r="N5051" s="81"/>
    </row>
    <row r="5052" spans="1:14" ht="14.25" customHeight="1" x14ac:dyDescent="0.25">
      <c r="A5052" s="83"/>
      <c r="B5052" s="84"/>
      <c r="C5052" s="85"/>
      <c r="D5052" s="86"/>
      <c r="E5052" s="86"/>
      <c r="F5052" s="87"/>
      <c r="G5052" s="81"/>
      <c r="H5052" s="81"/>
      <c r="I5052" s="81"/>
      <c r="J5052" s="81"/>
      <c r="K5052" s="81"/>
      <c r="L5052" s="81"/>
      <c r="M5052" s="81"/>
      <c r="N5052" s="81"/>
    </row>
    <row r="5053" spans="1:14" ht="14.25" customHeight="1" x14ac:dyDescent="0.25">
      <c r="A5053" s="599"/>
      <c r="B5053" s="600"/>
      <c r="C5053" s="600"/>
      <c r="D5053" s="600"/>
      <c r="E5053" s="600"/>
      <c r="F5053" s="601"/>
      <c r="G5053" s="81"/>
      <c r="H5053" s="81"/>
      <c r="I5053" s="81"/>
      <c r="J5053" s="81"/>
      <c r="K5053" s="81"/>
      <c r="L5053" s="81"/>
      <c r="M5053" s="81"/>
      <c r="N5053" s="81"/>
    </row>
    <row r="5054" spans="1:14" ht="14.25" customHeight="1" x14ac:dyDescent="0.25">
      <c r="A5054" s="602" t="s">
        <v>561</v>
      </c>
      <c r="B5054" s="600"/>
      <c r="C5054" s="600"/>
      <c r="D5054" s="600"/>
      <c r="E5054" s="600"/>
      <c r="F5054" s="601"/>
      <c r="G5054" s="81"/>
      <c r="H5054" s="81"/>
      <c r="I5054" s="81"/>
      <c r="J5054" s="81"/>
      <c r="K5054" s="81"/>
      <c r="L5054" s="81"/>
      <c r="M5054" s="81"/>
      <c r="N5054" s="81"/>
    </row>
    <row r="5055" spans="1:14" ht="14.25" customHeight="1" thickBot="1" x14ac:dyDescent="0.3">
      <c r="A5055" s="603"/>
      <c r="B5055" s="604"/>
      <c r="C5055" s="604"/>
      <c r="D5055" s="604"/>
      <c r="E5055" s="604"/>
      <c r="F5055" s="605"/>
      <c r="G5055" s="81"/>
      <c r="H5055" s="81"/>
      <c r="I5055" s="81"/>
      <c r="J5055" s="81"/>
      <c r="K5055" s="81"/>
      <c r="L5055" s="81"/>
      <c r="M5055" s="81"/>
      <c r="N5055" s="81"/>
    </row>
    <row r="5056" spans="1:14" ht="14.25" customHeight="1" x14ac:dyDescent="0.25">
      <c r="A5056" s="88"/>
      <c r="B5056" s="88"/>
      <c r="C5056" s="89"/>
      <c r="D5056" s="89"/>
      <c r="E5056" s="89"/>
      <c r="F5056" s="89"/>
      <c r="G5056" s="81"/>
      <c r="H5056" s="81"/>
      <c r="I5056" s="81"/>
      <c r="J5056" s="81"/>
      <c r="K5056" s="81"/>
      <c r="L5056" s="81"/>
      <c r="M5056" s="81"/>
      <c r="N5056" s="81"/>
    </row>
    <row r="5057" spans="1:14" ht="39" customHeight="1" x14ac:dyDescent="0.25">
      <c r="A5057" s="90" t="s">
        <v>47</v>
      </c>
      <c r="B5057" s="613" t="s">
        <v>760</v>
      </c>
      <c r="C5057" s="600"/>
      <c r="D5057" s="600"/>
      <c r="E5057" s="600"/>
      <c r="F5057" s="600"/>
      <c r="G5057" s="81"/>
      <c r="H5057" s="81"/>
      <c r="I5057" s="81"/>
      <c r="J5057" s="81"/>
      <c r="K5057" s="81"/>
      <c r="L5057" s="81"/>
      <c r="M5057" s="81"/>
      <c r="N5057" s="81"/>
    </row>
    <row r="5058" spans="1:14" ht="14.25" customHeight="1" x14ac:dyDescent="0.25">
      <c r="A5058" s="91"/>
      <c r="B5058" s="91"/>
      <c r="C5058" s="91"/>
      <c r="D5058" s="91"/>
      <c r="E5058" s="91"/>
      <c r="F5058" s="91"/>
      <c r="G5058" s="81"/>
      <c r="H5058" s="81"/>
      <c r="I5058" s="81"/>
      <c r="J5058" s="81"/>
      <c r="K5058" s="81"/>
      <c r="L5058" s="81"/>
      <c r="M5058" s="81"/>
      <c r="N5058" s="81"/>
    </row>
    <row r="5059" spans="1:14" ht="14.25" customHeight="1" x14ac:dyDescent="0.25">
      <c r="A5059" s="88" t="s">
        <v>49</v>
      </c>
      <c r="B5059" s="92" t="s">
        <v>99</v>
      </c>
      <c r="C5059" s="89"/>
      <c r="D5059" s="89"/>
      <c r="E5059" s="89"/>
      <c r="F5059" s="93"/>
      <c r="G5059" s="81"/>
      <c r="H5059" s="81"/>
      <c r="I5059" s="81"/>
      <c r="J5059" s="81"/>
      <c r="K5059" s="81"/>
      <c r="L5059" s="81"/>
      <c r="M5059" s="81"/>
      <c r="N5059" s="81"/>
    </row>
    <row r="5060" spans="1:14" ht="14.25" customHeight="1" x14ac:dyDescent="0.25">
      <c r="A5060" s="88"/>
      <c r="B5060" s="94"/>
      <c r="C5060" s="89"/>
      <c r="D5060" s="89"/>
      <c r="E5060" s="89"/>
      <c r="F5060" s="93"/>
      <c r="G5060" s="81"/>
      <c r="H5060" s="81"/>
      <c r="I5060" s="81"/>
      <c r="J5060" s="81"/>
      <c r="K5060" s="81"/>
      <c r="L5060" s="81"/>
      <c r="M5060" s="81"/>
      <c r="N5060" s="81"/>
    </row>
    <row r="5061" spans="1:14" ht="14.25" customHeight="1" x14ac:dyDescent="0.25">
      <c r="A5061" s="95" t="s">
        <v>562</v>
      </c>
      <c r="B5061" s="96"/>
      <c r="C5061" s="92"/>
      <c r="D5061" s="92"/>
      <c r="E5061" s="92"/>
      <c r="F5061" s="92"/>
      <c r="G5061" s="81"/>
      <c r="H5061" s="81"/>
      <c r="I5061" s="81"/>
      <c r="J5061" s="81"/>
      <c r="K5061" s="81"/>
      <c r="L5061" s="81"/>
      <c r="M5061" s="81"/>
      <c r="N5061" s="81"/>
    </row>
    <row r="5062" spans="1:14" ht="14.25" customHeight="1" x14ac:dyDescent="0.25">
      <c r="A5062" s="97" t="s">
        <v>563</v>
      </c>
      <c r="B5062" s="98" t="s">
        <v>564</v>
      </c>
      <c r="C5062" s="98" t="s">
        <v>565</v>
      </c>
      <c r="D5062" s="98" t="s">
        <v>566</v>
      </c>
      <c r="E5062" s="98" t="s">
        <v>567</v>
      </c>
      <c r="F5062" s="98" t="s">
        <v>568</v>
      </c>
      <c r="G5062" s="81"/>
      <c r="H5062" s="81"/>
      <c r="I5062" s="81"/>
      <c r="J5062" s="81"/>
      <c r="K5062" s="81"/>
      <c r="L5062" s="81"/>
      <c r="M5062" s="81"/>
      <c r="N5062" s="81"/>
    </row>
    <row r="5063" spans="1:14" ht="15.75" customHeight="1" x14ac:dyDescent="0.25">
      <c r="A5063" s="99" t="s">
        <v>761</v>
      </c>
      <c r="B5063" s="100" t="s">
        <v>99</v>
      </c>
      <c r="C5063" s="101">
        <v>1378</v>
      </c>
      <c r="D5063" s="126">
        <v>320</v>
      </c>
      <c r="E5063" s="102">
        <v>0.05</v>
      </c>
      <c r="F5063" s="101">
        <f t="shared" ref="F5063:F5066" si="277">C5063*(D5063+(D5063*E5063))</f>
        <v>463008</v>
      </c>
      <c r="G5063" s="81"/>
      <c r="H5063" s="81"/>
      <c r="I5063" s="81"/>
      <c r="J5063" s="81"/>
      <c r="K5063" s="81"/>
      <c r="L5063" s="81"/>
      <c r="M5063" s="81"/>
      <c r="N5063" s="81"/>
    </row>
    <row r="5064" spans="1:14" ht="15.75" customHeight="1" x14ac:dyDescent="0.25">
      <c r="A5064" s="99" t="s">
        <v>662</v>
      </c>
      <c r="B5064" s="100" t="s">
        <v>64</v>
      </c>
      <c r="C5064" s="101">
        <v>373380</v>
      </c>
      <c r="D5064" s="104">
        <v>0.09</v>
      </c>
      <c r="E5064" s="102">
        <v>0.05</v>
      </c>
      <c r="F5064" s="101">
        <f t="shared" si="277"/>
        <v>35284.410000000003</v>
      </c>
      <c r="G5064" s="81"/>
      <c r="H5064" s="81"/>
      <c r="I5064" s="81"/>
      <c r="J5064" s="81"/>
      <c r="K5064" s="81"/>
      <c r="L5064" s="81"/>
      <c r="M5064" s="81"/>
      <c r="N5064" s="81"/>
    </row>
    <row r="5065" spans="1:14" ht="14.25" customHeight="1" x14ac:dyDescent="0.25">
      <c r="A5065" s="99" t="s">
        <v>119</v>
      </c>
      <c r="B5065" s="100" t="s">
        <v>117</v>
      </c>
      <c r="C5065" s="101">
        <v>4300</v>
      </c>
      <c r="D5065" s="288">
        <f>+D5066*80</f>
        <v>14.399999999999999</v>
      </c>
      <c r="E5065" s="102">
        <v>0.05</v>
      </c>
      <c r="F5065" s="101">
        <f t="shared" si="277"/>
        <v>65016</v>
      </c>
      <c r="G5065" s="81"/>
      <c r="H5065" s="81"/>
      <c r="I5065" s="81"/>
      <c r="J5065" s="81"/>
      <c r="K5065" s="81"/>
      <c r="L5065" s="81"/>
      <c r="M5065" s="81"/>
      <c r="N5065" s="81"/>
    </row>
    <row r="5066" spans="1:14" ht="25.5" x14ac:dyDescent="0.25">
      <c r="A5066" s="99" t="s">
        <v>644</v>
      </c>
      <c r="B5066" s="100" t="s">
        <v>64</v>
      </c>
      <c r="C5066" s="101">
        <v>408050</v>
      </c>
      <c r="D5066" s="104">
        <v>0.18</v>
      </c>
      <c r="E5066" s="102">
        <v>0.05</v>
      </c>
      <c r="F5066" s="101">
        <f t="shared" si="277"/>
        <v>77121.45</v>
      </c>
      <c r="G5066" s="81"/>
      <c r="H5066" s="81"/>
      <c r="I5066" s="81"/>
      <c r="J5066" s="81"/>
      <c r="K5066" s="81"/>
      <c r="L5066" s="81"/>
      <c r="M5066" s="81"/>
      <c r="N5066" s="81"/>
    </row>
    <row r="5067" spans="1:14" ht="14.25" customHeight="1" x14ac:dyDescent="0.25">
      <c r="A5067" s="99"/>
      <c r="B5067" s="100"/>
      <c r="C5067" s="106"/>
      <c r="D5067" s="107"/>
      <c r="E5067" s="108"/>
      <c r="F5067" s="106"/>
      <c r="G5067" s="81"/>
      <c r="H5067" s="81"/>
      <c r="I5067" s="81"/>
      <c r="J5067" s="81"/>
      <c r="K5067" s="81"/>
      <c r="L5067" s="81"/>
      <c r="M5067" s="81"/>
      <c r="N5067" s="81"/>
    </row>
    <row r="5068" spans="1:14" ht="14.25" customHeight="1" x14ac:dyDescent="0.25">
      <c r="A5068" s="97" t="s">
        <v>548</v>
      </c>
      <c r="B5068" s="97"/>
      <c r="C5068" s="109"/>
      <c r="D5068" s="110"/>
      <c r="E5068" s="111"/>
      <c r="F5068" s="112">
        <f>SUM(F5063:F5067)</f>
        <v>640429.86</v>
      </c>
      <c r="G5068" s="81"/>
      <c r="H5068" s="81"/>
      <c r="I5068" s="81"/>
      <c r="J5068" s="81"/>
      <c r="K5068" s="81"/>
      <c r="L5068" s="81"/>
      <c r="M5068" s="81"/>
      <c r="N5068" s="81"/>
    </row>
    <row r="5069" spans="1:14" ht="14.25" customHeight="1" x14ac:dyDescent="0.25">
      <c r="A5069" s="88"/>
      <c r="B5069" s="88"/>
      <c r="C5069" s="113"/>
      <c r="D5069" s="113"/>
      <c r="E5069" s="114"/>
      <c r="F5069" s="113"/>
      <c r="G5069" s="81"/>
      <c r="H5069" s="81"/>
      <c r="I5069" s="81"/>
      <c r="J5069" s="81"/>
      <c r="K5069" s="81"/>
      <c r="L5069" s="81"/>
      <c r="M5069" s="81"/>
      <c r="N5069" s="81"/>
    </row>
    <row r="5070" spans="1:14" ht="14.25" customHeight="1" x14ac:dyDescent="0.25">
      <c r="A5070" s="96" t="s">
        <v>573</v>
      </c>
      <c r="B5070" s="96"/>
      <c r="C5070" s="92"/>
      <c r="D5070" s="92"/>
      <c r="E5070" s="92"/>
      <c r="F5070" s="92"/>
      <c r="G5070" s="81"/>
      <c r="H5070" s="81"/>
      <c r="I5070" s="81"/>
      <c r="J5070" s="81"/>
      <c r="K5070" s="81"/>
      <c r="L5070" s="81"/>
      <c r="M5070" s="81"/>
      <c r="N5070" s="81"/>
    </row>
    <row r="5071" spans="1:14" ht="14.25" customHeight="1" x14ac:dyDescent="0.25">
      <c r="A5071" s="611" t="s">
        <v>563</v>
      </c>
      <c r="B5071" s="608"/>
      <c r="C5071" s="609"/>
      <c r="D5071" s="98" t="s">
        <v>574</v>
      </c>
      <c r="E5071" s="98" t="s">
        <v>575</v>
      </c>
      <c r="F5071" s="98" t="s">
        <v>568</v>
      </c>
      <c r="G5071" s="81"/>
      <c r="H5071" s="81"/>
      <c r="I5071" s="81"/>
      <c r="J5071" s="81"/>
      <c r="K5071" s="81"/>
      <c r="L5071" s="81"/>
      <c r="M5071" s="81"/>
      <c r="N5071" s="81"/>
    </row>
    <row r="5072" spans="1:14" ht="14.25" customHeight="1" x14ac:dyDescent="0.25">
      <c r="A5072" s="607" t="s">
        <v>577</v>
      </c>
      <c r="B5072" s="608"/>
      <c r="C5072" s="609"/>
      <c r="D5072" s="116"/>
      <c r="E5072" s="107"/>
      <c r="F5072" s="106">
        <v>3000</v>
      </c>
      <c r="G5072" s="81"/>
      <c r="H5072" s="81"/>
      <c r="I5072" s="81"/>
      <c r="J5072" s="81"/>
      <c r="K5072" s="81"/>
      <c r="L5072" s="81"/>
      <c r="M5072" s="81"/>
      <c r="N5072" s="81"/>
    </row>
    <row r="5073" spans="1:14" ht="14.25" customHeight="1" x14ac:dyDescent="0.25">
      <c r="A5073" s="607"/>
      <c r="B5073" s="608"/>
      <c r="C5073" s="609"/>
      <c r="D5073" s="116"/>
      <c r="E5073" s="107"/>
      <c r="F5073" s="106"/>
      <c r="G5073" s="81"/>
      <c r="H5073" s="81"/>
      <c r="I5073" s="81"/>
      <c r="J5073" s="81"/>
      <c r="K5073" s="81"/>
      <c r="L5073" s="81"/>
      <c r="M5073" s="81"/>
      <c r="N5073" s="81"/>
    </row>
    <row r="5074" spans="1:14" ht="14.25" customHeight="1" x14ac:dyDescent="0.25">
      <c r="A5074" s="610"/>
      <c r="B5074" s="608"/>
      <c r="C5074" s="609"/>
      <c r="D5074" s="115"/>
      <c r="E5074" s="107"/>
      <c r="F5074" s="106"/>
      <c r="G5074" s="81"/>
      <c r="H5074" s="81"/>
      <c r="I5074" s="81"/>
      <c r="J5074" s="81"/>
      <c r="K5074" s="81"/>
      <c r="L5074" s="81"/>
      <c r="M5074" s="81"/>
      <c r="N5074" s="81"/>
    </row>
    <row r="5075" spans="1:14" ht="14.25" customHeight="1" x14ac:dyDescent="0.25">
      <c r="A5075" s="611" t="s">
        <v>548</v>
      </c>
      <c r="B5075" s="608"/>
      <c r="C5075" s="609"/>
      <c r="D5075" s="110"/>
      <c r="E5075" s="110"/>
      <c r="F5075" s="112">
        <f>SUM(F5072:F5073)</f>
        <v>3000</v>
      </c>
      <c r="G5075" s="81"/>
      <c r="H5075" s="81"/>
      <c r="I5075" s="81"/>
      <c r="J5075" s="81"/>
      <c r="K5075" s="81"/>
      <c r="L5075" s="81"/>
      <c r="M5075" s="81"/>
      <c r="N5075" s="81"/>
    </row>
    <row r="5076" spans="1:14" ht="14.25" customHeight="1" x14ac:dyDescent="0.25">
      <c r="A5076" s="88"/>
      <c r="B5076" s="88"/>
      <c r="C5076" s="89"/>
      <c r="D5076" s="113"/>
      <c r="E5076" s="113"/>
      <c r="F5076" s="113"/>
      <c r="G5076" s="81"/>
      <c r="H5076" s="81"/>
      <c r="I5076" s="81"/>
      <c r="J5076" s="81"/>
      <c r="K5076" s="81"/>
      <c r="L5076" s="81"/>
      <c r="M5076" s="81"/>
      <c r="N5076" s="81"/>
    </row>
    <row r="5077" spans="1:14" ht="14.25" customHeight="1" x14ac:dyDescent="0.25">
      <c r="A5077" s="96" t="s">
        <v>578</v>
      </c>
      <c r="B5077" s="96"/>
      <c r="C5077" s="92"/>
      <c r="D5077" s="118"/>
      <c r="E5077" s="118"/>
      <c r="F5077" s="118"/>
      <c r="G5077" s="81"/>
      <c r="H5077" s="81"/>
      <c r="I5077" s="81"/>
      <c r="J5077" s="81"/>
      <c r="K5077" s="81"/>
      <c r="L5077" s="81"/>
      <c r="M5077" s="81"/>
      <c r="N5077" s="81"/>
    </row>
    <row r="5078" spans="1:14" ht="38.25" x14ac:dyDescent="0.25">
      <c r="A5078" s="119" t="s">
        <v>563</v>
      </c>
      <c r="B5078" s="120" t="s">
        <v>579</v>
      </c>
      <c r="C5078" s="120" t="s">
        <v>580</v>
      </c>
      <c r="D5078" s="121" t="s">
        <v>581</v>
      </c>
      <c r="E5078" s="121" t="s">
        <v>575</v>
      </c>
      <c r="F5078" s="121" t="s">
        <v>568</v>
      </c>
      <c r="G5078" s="81"/>
      <c r="H5078" s="81"/>
      <c r="I5078" s="81"/>
      <c r="J5078" s="81"/>
      <c r="K5078" s="81"/>
      <c r="L5078" s="81"/>
      <c r="M5078" s="81"/>
      <c r="N5078" s="81"/>
    </row>
    <row r="5079" spans="1:14" ht="14.25" customHeight="1" x14ac:dyDescent="0.25">
      <c r="A5079" s="122" t="s">
        <v>593</v>
      </c>
      <c r="B5079" s="127">
        <v>1</v>
      </c>
      <c r="C5079" s="101">
        <v>32688</v>
      </c>
      <c r="D5079" s="101">
        <f t="shared" ref="D5079:D5080" si="278">+C5079*1.7</f>
        <v>55569.599999999999</v>
      </c>
      <c r="E5079" s="107">
        <v>0.5</v>
      </c>
      <c r="F5079" s="106">
        <f t="shared" ref="F5079:F5080" si="279">+B5079*(D5079)/E5079</f>
        <v>111139.2</v>
      </c>
      <c r="G5079" s="81"/>
      <c r="H5079" s="81"/>
      <c r="I5079" s="81"/>
      <c r="J5079" s="81"/>
      <c r="K5079" s="81"/>
      <c r="L5079" s="81"/>
      <c r="M5079" s="81"/>
      <c r="N5079" s="81"/>
    </row>
    <row r="5080" spans="1:14" ht="14.25" customHeight="1" x14ac:dyDescent="0.25">
      <c r="A5080" s="122" t="s">
        <v>594</v>
      </c>
      <c r="B5080" s="127">
        <v>1</v>
      </c>
      <c r="C5080" s="101">
        <v>52538</v>
      </c>
      <c r="D5080" s="101">
        <f t="shared" si="278"/>
        <v>89314.599999999991</v>
      </c>
      <c r="E5080" s="107">
        <f>E5079</f>
        <v>0.5</v>
      </c>
      <c r="F5080" s="106">
        <f t="shared" si="279"/>
        <v>178629.19999999998</v>
      </c>
      <c r="G5080" s="81"/>
      <c r="H5080" s="81"/>
      <c r="I5080" s="81"/>
      <c r="J5080" s="81"/>
      <c r="K5080" s="81"/>
      <c r="L5080" s="81"/>
      <c r="M5080" s="81"/>
      <c r="N5080" s="81"/>
    </row>
    <row r="5081" spans="1:14" ht="14.25" customHeight="1" x14ac:dyDescent="0.25">
      <c r="A5081" s="122"/>
      <c r="B5081" s="127"/>
      <c r="C5081" s="101"/>
      <c r="D5081" s="101"/>
      <c r="E5081" s="107"/>
      <c r="F5081" s="106"/>
      <c r="G5081" s="81"/>
      <c r="H5081" s="81"/>
      <c r="I5081" s="81"/>
      <c r="J5081" s="81"/>
      <c r="K5081" s="81"/>
      <c r="L5081" s="81"/>
      <c r="M5081" s="81"/>
      <c r="N5081" s="81"/>
    </row>
    <row r="5082" spans="1:14" ht="14.25" customHeight="1" x14ac:dyDescent="0.25">
      <c r="A5082" s="122"/>
      <c r="B5082" s="127"/>
      <c r="C5082" s="101"/>
      <c r="D5082" s="101"/>
      <c r="E5082" s="125"/>
      <c r="F5082" s="106"/>
      <c r="G5082" s="81"/>
      <c r="H5082" s="81"/>
      <c r="I5082" s="81"/>
      <c r="J5082" s="81"/>
      <c r="K5082" s="81"/>
      <c r="L5082" s="81"/>
      <c r="M5082" s="81"/>
      <c r="N5082" s="81"/>
    </row>
    <row r="5083" spans="1:14" ht="14.25" customHeight="1" x14ac:dyDescent="0.25">
      <c r="A5083" s="97" t="s">
        <v>548</v>
      </c>
      <c r="B5083" s="128"/>
      <c r="C5083" s="110"/>
      <c r="D5083" s="110"/>
      <c r="E5083" s="110"/>
      <c r="F5083" s="112">
        <f>SUM(F5079:F5082)</f>
        <v>289768.39999999997</v>
      </c>
      <c r="G5083" s="81"/>
      <c r="H5083" s="81"/>
      <c r="I5083" s="81"/>
      <c r="J5083" s="81"/>
      <c r="K5083" s="81"/>
      <c r="L5083" s="81"/>
      <c r="M5083" s="81"/>
      <c r="N5083" s="81"/>
    </row>
    <row r="5084" spans="1:14" ht="14.25" customHeight="1" x14ac:dyDescent="0.25">
      <c r="A5084" s="96"/>
      <c r="B5084" s="129"/>
      <c r="C5084" s="118"/>
      <c r="D5084" s="118"/>
      <c r="E5084" s="118"/>
      <c r="F5084" s="118"/>
      <c r="G5084" s="81"/>
      <c r="H5084" s="81"/>
      <c r="I5084" s="81"/>
      <c r="J5084" s="81"/>
      <c r="K5084" s="81"/>
      <c r="L5084" s="81"/>
      <c r="M5084" s="81"/>
      <c r="N5084" s="81"/>
    </row>
    <row r="5085" spans="1:14" ht="14.25" customHeight="1" x14ac:dyDescent="0.25">
      <c r="A5085" s="95" t="s">
        <v>583</v>
      </c>
      <c r="B5085" s="96"/>
      <c r="C5085" s="92"/>
      <c r="D5085" s="92"/>
      <c r="E5085" s="92" t="s">
        <v>584</v>
      </c>
      <c r="F5085" s="92"/>
      <c r="G5085" s="81"/>
      <c r="H5085" s="81"/>
      <c r="I5085" s="81"/>
      <c r="J5085" s="81"/>
      <c r="K5085" s="81"/>
      <c r="L5085" s="81"/>
      <c r="M5085" s="81"/>
      <c r="N5085" s="81"/>
    </row>
    <row r="5086" spans="1:14" ht="25.5" x14ac:dyDescent="0.25">
      <c r="A5086" s="97" t="s">
        <v>563</v>
      </c>
      <c r="B5086" s="98" t="s">
        <v>564</v>
      </c>
      <c r="C5086" s="98" t="s">
        <v>585</v>
      </c>
      <c r="D5086" s="98" t="s">
        <v>586</v>
      </c>
      <c r="E5086" s="120" t="s">
        <v>587</v>
      </c>
      <c r="F5086" s="98" t="s">
        <v>568</v>
      </c>
      <c r="G5086" s="81"/>
      <c r="H5086" s="81"/>
      <c r="I5086" s="81"/>
      <c r="J5086" s="81"/>
      <c r="K5086" s="81"/>
      <c r="L5086" s="81"/>
      <c r="M5086" s="81"/>
      <c r="N5086" s="81"/>
    </row>
    <row r="5087" spans="1:14" ht="14.25" customHeight="1" x14ac:dyDescent="0.25">
      <c r="A5087" s="103"/>
      <c r="B5087" s="100"/>
      <c r="C5087" s="101"/>
      <c r="D5087" s="140"/>
      <c r="E5087" s="107"/>
      <c r="F5087" s="109"/>
      <c r="G5087" s="81"/>
      <c r="H5087" s="81"/>
      <c r="I5087" s="81"/>
      <c r="J5087" s="81"/>
      <c r="K5087" s="81"/>
      <c r="L5087" s="81"/>
      <c r="M5087" s="81"/>
      <c r="N5087" s="81"/>
    </row>
    <row r="5088" spans="1:14" ht="14.25" customHeight="1" x14ac:dyDescent="0.25">
      <c r="A5088" s="103"/>
      <c r="B5088" s="100"/>
      <c r="C5088" s="107"/>
      <c r="D5088" s="107"/>
      <c r="E5088" s="108"/>
      <c r="F5088" s="109"/>
      <c r="G5088" s="81"/>
      <c r="H5088" s="81"/>
      <c r="I5088" s="81"/>
      <c r="J5088" s="81"/>
      <c r="K5088" s="81"/>
      <c r="L5088" s="81"/>
      <c r="M5088" s="81"/>
      <c r="N5088" s="81"/>
    </row>
    <row r="5089" spans="1:14" ht="14.25" customHeight="1" x14ac:dyDescent="0.25">
      <c r="A5089" s="97" t="s">
        <v>548</v>
      </c>
      <c r="B5089" s="98"/>
      <c r="C5089" s="110"/>
      <c r="D5089" s="110"/>
      <c r="E5089" s="111"/>
      <c r="F5089" s="112">
        <f>SUM(F5087:F5088)</f>
        <v>0</v>
      </c>
      <c r="G5089" s="81"/>
      <c r="H5089" s="81"/>
      <c r="I5089" s="81"/>
      <c r="J5089" s="81"/>
      <c r="K5089" s="81"/>
      <c r="L5089" s="81"/>
      <c r="M5089" s="81"/>
      <c r="N5089" s="81"/>
    </row>
    <row r="5090" spans="1:14" ht="14.25" customHeight="1" x14ac:dyDescent="0.25">
      <c r="A5090" s="88"/>
      <c r="B5090" s="89"/>
      <c r="C5090" s="113"/>
      <c r="D5090" s="113"/>
      <c r="E5090" s="114"/>
      <c r="F5090" s="113"/>
      <c r="G5090" s="81"/>
      <c r="H5090" s="81"/>
      <c r="I5090" s="81"/>
      <c r="J5090" s="81"/>
      <c r="K5090" s="81"/>
      <c r="L5090" s="81"/>
      <c r="M5090" s="81"/>
      <c r="N5090" s="81"/>
    </row>
    <row r="5091" spans="1:14" ht="14.25" customHeight="1" x14ac:dyDescent="0.25">
      <c r="A5091" s="88"/>
      <c r="B5091" s="89"/>
      <c r="C5091" s="113"/>
      <c r="D5091" s="113"/>
      <c r="E5091" s="114"/>
      <c r="F5091" s="113"/>
      <c r="G5091" s="81"/>
      <c r="H5091" s="81"/>
      <c r="I5091" s="81"/>
      <c r="J5091" s="81"/>
      <c r="K5091" s="81"/>
      <c r="L5091" s="81"/>
      <c r="M5091" s="81"/>
      <c r="N5091" s="81"/>
    </row>
    <row r="5092" spans="1:14" ht="14.25" customHeight="1" x14ac:dyDescent="0.25">
      <c r="A5092" s="612" t="s">
        <v>588</v>
      </c>
      <c r="B5092" s="608"/>
      <c r="C5092" s="608"/>
      <c r="D5092" s="608"/>
      <c r="E5092" s="609"/>
      <c r="F5092" s="131">
        <f>ROUND(F5068+F5075+F5083+F5089,0)</f>
        <v>933198</v>
      </c>
      <c r="G5092" s="81"/>
      <c r="H5092" s="117"/>
      <c r="I5092" s="81"/>
      <c r="J5092" s="81"/>
      <c r="K5092" s="81"/>
      <c r="L5092" s="81"/>
      <c r="M5092" s="81"/>
      <c r="N5092" s="81"/>
    </row>
    <row r="5093" spans="1:14" ht="14.25" customHeight="1" x14ac:dyDescent="0.25">
      <c r="A5093" s="612" t="s">
        <v>589</v>
      </c>
      <c r="B5093" s="608"/>
      <c r="C5093" s="608"/>
      <c r="D5093" s="608"/>
      <c r="E5093" s="609"/>
      <c r="F5093" s="132"/>
      <c r="G5093" s="81"/>
      <c r="H5093" s="81"/>
      <c r="I5093" s="81"/>
      <c r="J5093" s="81"/>
      <c r="K5093" s="81"/>
      <c r="L5093" s="81"/>
      <c r="M5093" s="81"/>
      <c r="N5093" s="81"/>
    </row>
    <row r="5094" spans="1:14" ht="14.25" customHeight="1" x14ac:dyDescent="0.25">
      <c r="A5094" s="612" t="s">
        <v>556</v>
      </c>
      <c r="B5094" s="608"/>
      <c r="C5094" s="608"/>
      <c r="D5094" s="608"/>
      <c r="E5094" s="609"/>
      <c r="F5094" s="133"/>
      <c r="G5094" s="81"/>
      <c r="H5094" s="143"/>
      <c r="I5094" s="81"/>
      <c r="J5094" s="81"/>
      <c r="K5094" s="81"/>
      <c r="L5094" s="81"/>
      <c r="M5094" s="81"/>
      <c r="N5094" s="81"/>
    </row>
    <row r="5095" spans="1:14" ht="14.25" customHeight="1" x14ac:dyDescent="0.25">
      <c r="A5095" s="134"/>
      <c r="B5095" s="135"/>
      <c r="C5095" s="135"/>
      <c r="D5095" s="135"/>
      <c r="E5095" s="135"/>
      <c r="F5095" s="136"/>
      <c r="G5095" s="81"/>
      <c r="H5095" s="81"/>
      <c r="I5095" s="81"/>
      <c r="J5095" s="81"/>
      <c r="K5095" s="81"/>
      <c r="L5095" s="81"/>
      <c r="M5095" s="81"/>
      <c r="N5095" s="81"/>
    </row>
    <row r="5096" spans="1:14" ht="14.25" customHeight="1" x14ac:dyDescent="0.25">
      <c r="A5096" s="134"/>
      <c r="B5096" s="135"/>
      <c r="C5096" s="135"/>
      <c r="D5096" s="135"/>
      <c r="E5096" s="135"/>
      <c r="F5096" s="136"/>
      <c r="G5096" s="81"/>
      <c r="H5096" s="81"/>
      <c r="I5096" s="81"/>
      <c r="J5096" s="81"/>
      <c r="K5096" s="81"/>
      <c r="L5096" s="81"/>
      <c r="M5096" s="81"/>
      <c r="N5096" s="81"/>
    </row>
    <row r="5097" spans="1:14" ht="14.25" customHeight="1" x14ac:dyDescent="0.25">
      <c r="A5097" s="81"/>
      <c r="B5097" s="81"/>
      <c r="C5097" s="137"/>
      <c r="D5097" s="81"/>
      <c r="E5097" s="81"/>
      <c r="F5097" s="81"/>
      <c r="G5097" s="81"/>
      <c r="H5097" s="81"/>
      <c r="I5097" s="81"/>
      <c r="J5097" s="81"/>
      <c r="K5097" s="81"/>
      <c r="L5097" s="81"/>
      <c r="M5097" s="81"/>
      <c r="N5097" s="81"/>
    </row>
    <row r="5098" spans="1:14" ht="14.25" customHeight="1" x14ac:dyDescent="0.25">
      <c r="A5098" s="81"/>
      <c r="B5098" s="81"/>
      <c r="C5098" s="137"/>
      <c r="D5098" s="81"/>
      <c r="E5098" s="81"/>
      <c r="F5098" s="81"/>
      <c r="G5098" s="81"/>
      <c r="H5098" s="81"/>
      <c r="I5098" s="81"/>
      <c r="J5098" s="81"/>
      <c r="K5098" s="81"/>
      <c r="L5098" s="81"/>
      <c r="M5098" s="81"/>
      <c r="N5098" s="81"/>
    </row>
    <row r="5099" spans="1:14" ht="14.25" customHeight="1" x14ac:dyDescent="0.25">
      <c r="A5099" s="81"/>
      <c r="B5099" s="81"/>
      <c r="C5099" s="137"/>
      <c r="D5099" s="81"/>
      <c r="E5099" s="81"/>
      <c r="F5099" s="81"/>
      <c r="G5099" s="81"/>
      <c r="H5099" s="81"/>
      <c r="I5099" s="81"/>
      <c r="J5099" s="81"/>
      <c r="K5099" s="81"/>
      <c r="L5099" s="81"/>
      <c r="M5099" s="81"/>
      <c r="N5099" s="81"/>
    </row>
    <row r="5100" spans="1:14" ht="14.25" customHeight="1" thickBot="1" x14ac:dyDescent="0.3">
      <c r="A5100" s="81"/>
      <c r="B5100" s="81"/>
      <c r="C5100" s="81"/>
      <c r="D5100" s="81"/>
      <c r="E5100" s="81"/>
      <c r="F5100" s="81"/>
      <c r="G5100" s="81"/>
      <c r="H5100" s="81"/>
      <c r="I5100" s="81"/>
      <c r="J5100" s="81"/>
      <c r="K5100" s="81"/>
      <c r="L5100" s="81"/>
      <c r="M5100" s="81"/>
      <c r="N5100" s="81"/>
    </row>
    <row r="5101" spans="1:14" ht="14.25" customHeight="1" x14ac:dyDescent="0.25">
      <c r="A5101" s="83"/>
      <c r="B5101" s="84"/>
      <c r="C5101" s="85"/>
      <c r="D5101" s="86"/>
      <c r="E5101" s="86"/>
      <c r="F5101" s="87"/>
      <c r="G5101" s="81"/>
      <c r="H5101" s="81"/>
      <c r="I5101" s="81"/>
      <c r="J5101" s="81"/>
      <c r="K5101" s="81"/>
      <c r="L5101" s="81"/>
      <c r="M5101" s="81"/>
      <c r="N5101" s="81"/>
    </row>
    <row r="5102" spans="1:14" ht="14.25" customHeight="1" x14ac:dyDescent="0.25">
      <c r="A5102" s="599"/>
      <c r="B5102" s="600"/>
      <c r="C5102" s="600"/>
      <c r="D5102" s="600"/>
      <c r="E5102" s="600"/>
      <c r="F5102" s="601"/>
      <c r="G5102" s="81"/>
      <c r="H5102" s="81"/>
      <c r="I5102" s="81"/>
      <c r="J5102" s="81"/>
      <c r="K5102" s="81"/>
      <c r="L5102" s="81"/>
      <c r="M5102" s="81"/>
      <c r="N5102" s="81"/>
    </row>
    <row r="5103" spans="1:14" ht="14.25" customHeight="1" x14ac:dyDescent="0.25">
      <c r="A5103" s="602" t="s">
        <v>561</v>
      </c>
      <c r="B5103" s="600"/>
      <c r="C5103" s="600"/>
      <c r="D5103" s="600"/>
      <c r="E5103" s="600"/>
      <c r="F5103" s="601"/>
      <c r="G5103" s="81"/>
      <c r="H5103" s="81"/>
      <c r="I5103" s="81"/>
      <c r="J5103" s="81"/>
      <c r="K5103" s="81"/>
      <c r="L5103" s="81"/>
      <c r="M5103" s="81"/>
      <c r="N5103" s="81"/>
    </row>
    <row r="5104" spans="1:14" ht="14.25" customHeight="1" thickBot="1" x14ac:dyDescent="0.3">
      <c r="A5104" s="603"/>
      <c r="B5104" s="604"/>
      <c r="C5104" s="604"/>
      <c r="D5104" s="604"/>
      <c r="E5104" s="604"/>
      <c r="F5104" s="605"/>
      <c r="G5104" s="81"/>
      <c r="H5104" s="81"/>
      <c r="I5104" s="81"/>
      <c r="J5104" s="81"/>
      <c r="K5104" s="81"/>
      <c r="L5104" s="81"/>
      <c r="M5104" s="81"/>
      <c r="N5104" s="81"/>
    </row>
    <row r="5105" spans="1:14" ht="14.25" customHeight="1" x14ac:dyDescent="0.25">
      <c r="A5105" s="88"/>
      <c r="B5105" s="88"/>
      <c r="C5105" s="89"/>
      <c r="D5105" s="89"/>
      <c r="E5105" s="89"/>
      <c r="F5105" s="89"/>
      <c r="G5105" s="81"/>
      <c r="H5105" s="81"/>
      <c r="I5105" s="81"/>
      <c r="J5105" s="81"/>
      <c r="K5105" s="81"/>
      <c r="L5105" s="81"/>
      <c r="M5105" s="81"/>
      <c r="N5105" s="81"/>
    </row>
    <row r="5106" spans="1:14" ht="14.25" customHeight="1" x14ac:dyDescent="0.25">
      <c r="A5106" s="90" t="s">
        <v>47</v>
      </c>
      <c r="B5106" s="613" t="s">
        <v>239</v>
      </c>
      <c r="C5106" s="600"/>
      <c r="D5106" s="600"/>
      <c r="E5106" s="600"/>
      <c r="F5106" s="600"/>
      <c r="G5106" s="81"/>
      <c r="H5106" s="81"/>
      <c r="I5106" s="81"/>
      <c r="J5106" s="81"/>
      <c r="K5106" s="81"/>
      <c r="L5106" s="81"/>
      <c r="M5106" s="81"/>
      <c r="N5106" s="81"/>
    </row>
    <row r="5107" spans="1:14" ht="14.25" customHeight="1" x14ac:dyDescent="0.25">
      <c r="A5107" s="91"/>
      <c r="B5107" s="91"/>
      <c r="C5107" s="91"/>
      <c r="D5107" s="91"/>
      <c r="E5107" s="91"/>
      <c r="F5107" s="91"/>
      <c r="G5107" s="81"/>
      <c r="H5107" s="81"/>
      <c r="I5107" s="81"/>
      <c r="J5107" s="81"/>
      <c r="K5107" s="81"/>
      <c r="L5107" s="81"/>
      <c r="M5107" s="81"/>
      <c r="N5107" s="81"/>
    </row>
    <row r="5108" spans="1:14" ht="14.25" customHeight="1" x14ac:dyDescent="0.25">
      <c r="A5108" s="88" t="s">
        <v>49</v>
      </c>
      <c r="B5108" s="92" t="s">
        <v>59</v>
      </c>
      <c r="C5108" s="89"/>
      <c r="D5108" s="89"/>
      <c r="E5108" s="89"/>
      <c r="F5108" s="93"/>
      <c r="G5108" s="81"/>
      <c r="H5108" s="81"/>
      <c r="I5108" s="81"/>
      <c r="J5108" s="81"/>
      <c r="K5108" s="81"/>
      <c r="L5108" s="81"/>
      <c r="M5108" s="81"/>
      <c r="N5108" s="81"/>
    </row>
    <row r="5109" spans="1:14" ht="14.25" customHeight="1" x14ac:dyDescent="0.25">
      <c r="A5109" s="88"/>
      <c r="B5109" s="94"/>
      <c r="C5109" s="89"/>
      <c r="D5109" s="89"/>
      <c r="E5109" s="89"/>
      <c r="F5109" s="93"/>
      <c r="G5109" s="81"/>
      <c r="H5109" s="81"/>
      <c r="I5109" s="81"/>
      <c r="J5109" s="81"/>
      <c r="K5109" s="81"/>
      <c r="L5109" s="81"/>
      <c r="M5109" s="81"/>
      <c r="N5109" s="81"/>
    </row>
    <row r="5110" spans="1:14" ht="14.25" customHeight="1" x14ac:dyDescent="0.25">
      <c r="A5110" s="95" t="s">
        <v>562</v>
      </c>
      <c r="B5110" s="96"/>
      <c r="C5110" s="92"/>
      <c r="D5110" s="92"/>
      <c r="E5110" s="92"/>
      <c r="F5110" s="92"/>
      <c r="G5110" s="81"/>
      <c r="H5110" s="81"/>
      <c r="I5110" s="81"/>
      <c r="J5110" s="81"/>
      <c r="K5110" s="81"/>
      <c r="L5110" s="81"/>
      <c r="M5110" s="81"/>
      <c r="N5110" s="81"/>
    </row>
    <row r="5111" spans="1:14" ht="14.25" customHeight="1" x14ac:dyDescent="0.25">
      <c r="A5111" s="97" t="s">
        <v>563</v>
      </c>
      <c r="B5111" s="98" t="s">
        <v>564</v>
      </c>
      <c r="C5111" s="98" t="s">
        <v>565</v>
      </c>
      <c r="D5111" s="98" t="s">
        <v>566</v>
      </c>
      <c r="E5111" s="98" t="s">
        <v>567</v>
      </c>
      <c r="F5111" s="98" t="s">
        <v>568</v>
      </c>
      <c r="G5111" s="81"/>
      <c r="H5111" s="81"/>
      <c r="I5111" s="81"/>
      <c r="J5111" s="81"/>
      <c r="K5111" s="81"/>
      <c r="L5111" s="81"/>
      <c r="M5111" s="81"/>
      <c r="N5111" s="81"/>
    </row>
    <row r="5112" spans="1:14" ht="14.25" customHeight="1" x14ac:dyDescent="0.25">
      <c r="A5112" s="99" t="s">
        <v>611</v>
      </c>
      <c r="B5112" s="100" t="s">
        <v>612</v>
      </c>
      <c r="C5112" s="101">
        <v>12</v>
      </c>
      <c r="D5112" s="104">
        <v>30</v>
      </c>
      <c r="E5112" s="102">
        <v>0.05</v>
      </c>
      <c r="F5112" s="101">
        <f t="shared" ref="F5112:F5115" si="280">C5112*(D5112+(D5112*E5112))</f>
        <v>378</v>
      </c>
      <c r="G5112" s="81"/>
      <c r="H5112" s="81"/>
      <c r="I5112" s="81"/>
      <c r="J5112" s="81"/>
      <c r="K5112" s="81"/>
      <c r="L5112" s="81"/>
      <c r="M5112" s="81"/>
      <c r="N5112" s="81"/>
    </row>
    <row r="5113" spans="1:14" ht="14.25" customHeight="1" x14ac:dyDescent="0.25">
      <c r="A5113" s="99"/>
      <c r="B5113" s="100"/>
      <c r="C5113" s="101"/>
      <c r="D5113" s="149"/>
      <c r="E5113" s="102"/>
      <c r="F5113" s="101">
        <f t="shared" si="280"/>
        <v>0</v>
      </c>
      <c r="G5113" s="81"/>
      <c r="H5113" s="81"/>
      <c r="I5113" s="81"/>
      <c r="J5113" s="81"/>
      <c r="K5113" s="81"/>
      <c r="L5113" s="81"/>
      <c r="M5113" s="81"/>
      <c r="N5113" s="81"/>
    </row>
    <row r="5114" spans="1:14" ht="14.25" customHeight="1" x14ac:dyDescent="0.25">
      <c r="A5114" s="103"/>
      <c r="B5114" s="100"/>
      <c r="C5114" s="101"/>
      <c r="D5114" s="149"/>
      <c r="E5114" s="102"/>
      <c r="F5114" s="101">
        <f t="shared" si="280"/>
        <v>0</v>
      </c>
      <c r="G5114" s="81"/>
      <c r="H5114" s="81"/>
      <c r="I5114" s="81"/>
      <c r="J5114" s="81"/>
      <c r="K5114" s="81"/>
      <c r="L5114" s="81"/>
      <c r="M5114" s="81"/>
      <c r="N5114" s="81"/>
    </row>
    <row r="5115" spans="1:14" ht="14.25" customHeight="1" x14ac:dyDescent="0.25">
      <c r="A5115" s="99"/>
      <c r="B5115" s="100"/>
      <c r="C5115" s="101"/>
      <c r="D5115" s="105"/>
      <c r="E5115" s="102"/>
      <c r="F5115" s="101">
        <f t="shared" si="280"/>
        <v>0</v>
      </c>
      <c r="G5115" s="81"/>
      <c r="H5115" s="81"/>
      <c r="I5115" s="81"/>
      <c r="J5115" s="81"/>
      <c r="K5115" s="81"/>
      <c r="L5115" s="81"/>
      <c r="M5115" s="81"/>
      <c r="N5115" s="81"/>
    </row>
    <row r="5116" spans="1:14" ht="14.25" customHeight="1" x14ac:dyDescent="0.25">
      <c r="A5116" s="99"/>
      <c r="B5116" s="100"/>
      <c r="C5116" s="106"/>
      <c r="D5116" s="107"/>
      <c r="E5116" s="108"/>
      <c r="F5116" s="106"/>
      <c r="G5116" s="81"/>
      <c r="H5116" s="81"/>
      <c r="I5116" s="81"/>
      <c r="J5116" s="81"/>
      <c r="K5116" s="81"/>
      <c r="L5116" s="81"/>
      <c r="M5116" s="81"/>
      <c r="N5116" s="81"/>
    </row>
    <row r="5117" spans="1:14" ht="14.25" customHeight="1" x14ac:dyDescent="0.25">
      <c r="A5117" s="97" t="s">
        <v>548</v>
      </c>
      <c r="B5117" s="97"/>
      <c r="C5117" s="109"/>
      <c r="D5117" s="110"/>
      <c r="E5117" s="111"/>
      <c r="F5117" s="112">
        <f>SUM(F5112:F5116)</f>
        <v>378</v>
      </c>
      <c r="G5117" s="81"/>
      <c r="H5117" s="81"/>
      <c r="I5117" s="81"/>
      <c r="J5117" s="81"/>
      <c r="K5117" s="81"/>
      <c r="L5117" s="81"/>
      <c r="M5117" s="81"/>
      <c r="N5117" s="81"/>
    </row>
    <row r="5118" spans="1:14" ht="14.25" customHeight="1" x14ac:dyDescent="0.25">
      <c r="A5118" s="88"/>
      <c r="B5118" s="88"/>
      <c r="C5118" s="113"/>
      <c r="D5118" s="113"/>
      <c r="E5118" s="114"/>
      <c r="F5118" s="113"/>
      <c r="G5118" s="81"/>
      <c r="H5118" s="81"/>
      <c r="I5118" s="81"/>
      <c r="J5118" s="81"/>
      <c r="K5118" s="81"/>
      <c r="L5118" s="81"/>
      <c r="M5118" s="81"/>
      <c r="N5118" s="81"/>
    </row>
    <row r="5119" spans="1:14" ht="14.25" customHeight="1" x14ac:dyDescent="0.25">
      <c r="A5119" s="96" t="s">
        <v>573</v>
      </c>
      <c r="B5119" s="96"/>
      <c r="C5119" s="92"/>
      <c r="D5119" s="92"/>
      <c r="E5119" s="92"/>
      <c r="F5119" s="92"/>
      <c r="G5119" s="81"/>
      <c r="H5119" s="81"/>
      <c r="I5119" s="81"/>
      <c r="J5119" s="81"/>
      <c r="K5119" s="81"/>
      <c r="L5119" s="81"/>
      <c r="M5119" s="81"/>
      <c r="N5119" s="81"/>
    </row>
    <row r="5120" spans="1:14" ht="14.25" customHeight="1" x14ac:dyDescent="0.25">
      <c r="A5120" s="611" t="s">
        <v>563</v>
      </c>
      <c r="B5120" s="608"/>
      <c r="C5120" s="609"/>
      <c r="D5120" s="98" t="s">
        <v>574</v>
      </c>
      <c r="E5120" s="98" t="s">
        <v>575</v>
      </c>
      <c r="F5120" s="98" t="s">
        <v>568</v>
      </c>
      <c r="G5120" s="81"/>
      <c r="H5120" s="81"/>
      <c r="I5120" s="81"/>
      <c r="J5120" s="81"/>
      <c r="K5120" s="81"/>
      <c r="L5120" s="81"/>
      <c r="M5120" s="81"/>
      <c r="N5120" s="81"/>
    </row>
    <row r="5121" spans="1:14" ht="14.25" customHeight="1" x14ac:dyDescent="0.25">
      <c r="A5121" s="607" t="s">
        <v>577</v>
      </c>
      <c r="B5121" s="608"/>
      <c r="C5121" s="609"/>
      <c r="D5121" s="116"/>
      <c r="E5121" s="107"/>
      <c r="F5121" s="106">
        <f>1200-1133</f>
        <v>67</v>
      </c>
      <c r="G5121" s="81"/>
      <c r="H5121" s="81"/>
      <c r="I5121" s="81"/>
      <c r="J5121" s="81"/>
      <c r="K5121" s="81"/>
      <c r="L5121" s="81"/>
      <c r="M5121" s="81"/>
      <c r="N5121" s="81"/>
    </row>
    <row r="5122" spans="1:14" ht="14.25" customHeight="1" x14ac:dyDescent="0.25">
      <c r="A5122" s="607" t="s">
        <v>744</v>
      </c>
      <c r="B5122" s="608"/>
      <c r="C5122" s="609"/>
      <c r="D5122" s="116">
        <v>8750</v>
      </c>
      <c r="E5122" s="107">
        <v>50</v>
      </c>
      <c r="F5122" s="106">
        <f>D5122/E5122</f>
        <v>175</v>
      </c>
      <c r="G5122" s="81"/>
      <c r="H5122" s="81"/>
      <c r="I5122" s="81"/>
      <c r="J5122" s="81"/>
      <c r="K5122" s="81"/>
      <c r="L5122" s="81"/>
      <c r="M5122" s="81"/>
      <c r="N5122" s="81"/>
    </row>
    <row r="5123" spans="1:14" ht="14.25" customHeight="1" x14ac:dyDescent="0.25">
      <c r="A5123" s="610"/>
      <c r="B5123" s="608"/>
      <c r="C5123" s="609"/>
      <c r="D5123" s="115"/>
      <c r="E5123" s="107"/>
      <c r="F5123" s="106"/>
      <c r="G5123" s="81"/>
      <c r="H5123" s="81"/>
      <c r="I5123" s="81"/>
      <c r="J5123" s="81"/>
      <c r="K5123" s="81"/>
      <c r="L5123" s="81"/>
      <c r="M5123" s="81"/>
      <c r="N5123" s="81"/>
    </row>
    <row r="5124" spans="1:14" ht="14.25" customHeight="1" x14ac:dyDescent="0.25">
      <c r="A5124" s="611" t="s">
        <v>548</v>
      </c>
      <c r="B5124" s="608"/>
      <c r="C5124" s="609"/>
      <c r="D5124" s="110"/>
      <c r="E5124" s="110"/>
      <c r="F5124" s="112">
        <f>SUM(F5121:F5122)</f>
        <v>242</v>
      </c>
      <c r="G5124" s="81"/>
      <c r="H5124" s="81"/>
      <c r="I5124" s="81"/>
      <c r="J5124" s="81"/>
      <c r="K5124" s="81"/>
      <c r="L5124" s="81"/>
      <c r="M5124" s="81"/>
      <c r="N5124" s="81"/>
    </row>
    <row r="5125" spans="1:14" ht="14.25" customHeight="1" x14ac:dyDescent="0.25">
      <c r="A5125" s="88"/>
      <c r="B5125" s="88"/>
      <c r="C5125" s="89"/>
      <c r="D5125" s="113"/>
      <c r="E5125" s="113"/>
      <c r="F5125" s="113"/>
      <c r="G5125" s="81"/>
      <c r="H5125" s="81"/>
      <c r="I5125" s="81"/>
      <c r="J5125" s="81"/>
      <c r="K5125" s="81"/>
      <c r="L5125" s="81"/>
      <c r="M5125" s="81"/>
      <c r="N5125" s="81"/>
    </row>
    <row r="5126" spans="1:14" ht="14.25" customHeight="1" x14ac:dyDescent="0.25">
      <c r="A5126" s="96" t="s">
        <v>578</v>
      </c>
      <c r="B5126" s="96"/>
      <c r="C5126" s="92"/>
      <c r="D5126" s="118"/>
      <c r="E5126" s="118"/>
      <c r="F5126" s="118"/>
      <c r="G5126" s="81"/>
      <c r="H5126" s="81"/>
      <c r="I5126" s="81"/>
      <c r="J5126" s="81"/>
      <c r="K5126" s="81"/>
      <c r="L5126" s="81"/>
      <c r="M5126" s="81"/>
      <c r="N5126" s="81"/>
    </row>
    <row r="5127" spans="1:14" ht="14.25" customHeight="1" x14ac:dyDescent="0.25">
      <c r="A5127" s="119" t="s">
        <v>563</v>
      </c>
      <c r="B5127" s="120" t="s">
        <v>579</v>
      </c>
      <c r="C5127" s="120" t="s">
        <v>580</v>
      </c>
      <c r="D5127" s="121" t="s">
        <v>581</v>
      </c>
      <c r="E5127" s="121" t="s">
        <v>575</v>
      </c>
      <c r="F5127" s="121" t="s">
        <v>568</v>
      </c>
      <c r="G5127" s="81"/>
      <c r="H5127" s="81"/>
      <c r="I5127" s="81"/>
      <c r="J5127" s="81"/>
      <c r="K5127" s="81"/>
      <c r="L5127" s="81"/>
      <c r="M5127" s="81"/>
      <c r="N5127" s="81"/>
    </row>
    <row r="5128" spans="1:14" ht="14.25" customHeight="1" x14ac:dyDescent="0.25">
      <c r="A5128" s="122" t="s">
        <v>593</v>
      </c>
      <c r="B5128" s="127">
        <v>1</v>
      </c>
      <c r="C5128" s="101">
        <v>32688</v>
      </c>
      <c r="D5128" s="101">
        <f t="shared" ref="D5128:D5129" si="281">+C5128*1.7</f>
        <v>55569.599999999999</v>
      </c>
      <c r="E5128" s="107">
        <v>250</v>
      </c>
      <c r="F5128" s="106">
        <f t="shared" ref="F5128:F5129" si="282">+B5128*(D5128)/E5128</f>
        <v>222.2784</v>
      </c>
      <c r="G5128" s="81"/>
      <c r="H5128" s="81"/>
      <c r="I5128" s="81"/>
      <c r="J5128" s="81"/>
      <c r="K5128" s="81"/>
      <c r="L5128" s="81"/>
      <c r="M5128" s="81"/>
      <c r="N5128" s="81"/>
    </row>
    <row r="5129" spans="1:14" ht="14.25" customHeight="1" x14ac:dyDescent="0.25">
      <c r="A5129" s="122" t="s">
        <v>594</v>
      </c>
      <c r="B5129" s="127">
        <v>1</v>
      </c>
      <c r="C5129" s="101">
        <v>52538</v>
      </c>
      <c r="D5129" s="101">
        <f t="shared" si="281"/>
        <v>89314.599999999991</v>
      </c>
      <c r="E5129" s="107">
        <f>E5128</f>
        <v>250</v>
      </c>
      <c r="F5129" s="106">
        <f t="shared" si="282"/>
        <v>357.25839999999994</v>
      </c>
      <c r="G5129" s="81"/>
      <c r="H5129" s="81"/>
      <c r="I5129" s="81"/>
      <c r="J5129" s="81"/>
      <c r="K5129" s="81"/>
      <c r="L5129" s="81"/>
      <c r="M5129" s="81"/>
      <c r="N5129" s="81"/>
    </row>
    <row r="5130" spans="1:14" ht="14.25" customHeight="1" x14ac:dyDescent="0.25">
      <c r="A5130" s="122"/>
      <c r="B5130" s="127"/>
      <c r="C5130" s="101"/>
      <c r="D5130" s="101"/>
      <c r="E5130" s="107"/>
      <c r="F5130" s="106"/>
      <c r="G5130" s="81"/>
      <c r="H5130" s="81"/>
      <c r="I5130" s="81"/>
      <c r="J5130" s="81"/>
      <c r="K5130" s="81"/>
      <c r="L5130" s="81"/>
      <c r="M5130" s="81"/>
      <c r="N5130" s="81"/>
    </row>
    <row r="5131" spans="1:14" ht="14.25" customHeight="1" x14ac:dyDescent="0.25">
      <c r="A5131" s="122"/>
      <c r="B5131" s="127"/>
      <c r="C5131" s="101"/>
      <c r="D5131" s="101"/>
      <c r="E5131" s="125"/>
      <c r="F5131" s="106"/>
      <c r="G5131" s="81"/>
      <c r="H5131" s="81"/>
      <c r="I5131" s="81"/>
      <c r="J5131" s="81"/>
      <c r="K5131" s="81"/>
      <c r="L5131" s="81"/>
      <c r="M5131" s="81"/>
      <c r="N5131" s="81"/>
    </row>
    <row r="5132" spans="1:14" ht="14.25" customHeight="1" x14ac:dyDescent="0.25">
      <c r="A5132" s="97" t="s">
        <v>548</v>
      </c>
      <c r="B5132" s="128"/>
      <c r="C5132" s="110"/>
      <c r="D5132" s="110"/>
      <c r="E5132" s="110"/>
      <c r="F5132" s="112">
        <f>SUM(F5128:F5131)</f>
        <v>579.53679999999997</v>
      </c>
      <c r="G5132" s="81"/>
      <c r="H5132" s="81"/>
      <c r="I5132" s="81"/>
      <c r="J5132" s="81"/>
      <c r="K5132" s="81"/>
      <c r="L5132" s="81"/>
      <c r="M5132" s="81"/>
      <c r="N5132" s="81"/>
    </row>
    <row r="5133" spans="1:14" ht="14.25" customHeight="1" x14ac:dyDescent="0.25">
      <c r="A5133" s="96"/>
      <c r="B5133" s="129"/>
      <c r="C5133" s="118"/>
      <c r="D5133" s="118"/>
      <c r="E5133" s="118"/>
      <c r="F5133" s="118"/>
      <c r="G5133" s="81"/>
      <c r="H5133" s="81"/>
      <c r="I5133" s="81"/>
      <c r="J5133" s="81"/>
      <c r="K5133" s="81"/>
      <c r="L5133" s="81"/>
      <c r="M5133" s="81"/>
      <c r="N5133" s="81"/>
    </row>
    <row r="5134" spans="1:14" ht="14.25" customHeight="1" x14ac:dyDescent="0.25">
      <c r="A5134" s="95" t="s">
        <v>583</v>
      </c>
      <c r="B5134" s="96"/>
      <c r="C5134" s="92"/>
      <c r="D5134" s="92"/>
      <c r="E5134" s="92" t="s">
        <v>584</v>
      </c>
      <c r="F5134" s="92"/>
      <c r="G5134" s="81"/>
      <c r="H5134" s="81"/>
      <c r="I5134" s="81"/>
      <c r="J5134" s="81"/>
      <c r="K5134" s="81"/>
      <c r="L5134" s="81"/>
      <c r="M5134" s="81"/>
      <c r="N5134" s="81"/>
    </row>
    <row r="5135" spans="1:14" ht="25.5" x14ac:dyDescent="0.25">
      <c r="A5135" s="97" t="s">
        <v>563</v>
      </c>
      <c r="B5135" s="98" t="s">
        <v>564</v>
      </c>
      <c r="C5135" s="98" t="s">
        <v>585</v>
      </c>
      <c r="D5135" s="98" t="s">
        <v>586</v>
      </c>
      <c r="E5135" s="120" t="s">
        <v>587</v>
      </c>
      <c r="F5135" s="98" t="s">
        <v>568</v>
      </c>
      <c r="G5135" s="81"/>
      <c r="H5135" s="81"/>
      <c r="I5135" s="81"/>
      <c r="J5135" s="81"/>
      <c r="K5135" s="81"/>
      <c r="L5135" s="81"/>
      <c r="M5135" s="81"/>
      <c r="N5135" s="81"/>
    </row>
    <row r="5136" spans="1:14" ht="14.25" customHeight="1" x14ac:dyDescent="0.25">
      <c r="A5136" s="103"/>
      <c r="B5136" s="100"/>
      <c r="C5136" s="101"/>
      <c r="D5136" s="130"/>
      <c r="E5136" s="107"/>
      <c r="F5136" s="109"/>
      <c r="G5136" s="81"/>
      <c r="H5136" s="81"/>
      <c r="I5136" s="81"/>
      <c r="J5136" s="81"/>
      <c r="K5136" s="81"/>
      <c r="L5136" s="81"/>
      <c r="M5136" s="81"/>
      <c r="N5136" s="81"/>
    </row>
    <row r="5137" spans="1:14" ht="14.25" customHeight="1" x14ac:dyDescent="0.25">
      <c r="A5137" s="103"/>
      <c r="B5137" s="100"/>
      <c r="C5137" s="107"/>
      <c r="D5137" s="107"/>
      <c r="E5137" s="108"/>
      <c r="F5137" s="109"/>
      <c r="G5137" s="81"/>
      <c r="H5137" s="81"/>
      <c r="I5137" s="81"/>
      <c r="J5137" s="81"/>
      <c r="K5137" s="81"/>
      <c r="L5137" s="81"/>
      <c r="M5137" s="81"/>
      <c r="N5137" s="81"/>
    </row>
    <row r="5138" spans="1:14" ht="14.25" customHeight="1" x14ac:dyDescent="0.25">
      <c r="A5138" s="97" t="s">
        <v>548</v>
      </c>
      <c r="B5138" s="98"/>
      <c r="C5138" s="110"/>
      <c r="D5138" s="110"/>
      <c r="E5138" s="111"/>
      <c r="F5138" s="112">
        <f>SUM(F5136:F5137)</f>
        <v>0</v>
      </c>
      <c r="G5138" s="81"/>
      <c r="H5138" s="81"/>
      <c r="I5138" s="81"/>
      <c r="J5138" s="81"/>
      <c r="K5138" s="81"/>
      <c r="L5138" s="81"/>
      <c r="M5138" s="81"/>
      <c r="N5138" s="81"/>
    </row>
    <row r="5139" spans="1:14" ht="14.25" customHeight="1" x14ac:dyDescent="0.25">
      <c r="A5139" s="88"/>
      <c r="B5139" s="89"/>
      <c r="C5139" s="113"/>
      <c r="D5139" s="113"/>
      <c r="E5139" s="114"/>
      <c r="F5139" s="113"/>
      <c r="G5139" s="81"/>
      <c r="H5139" s="81"/>
      <c r="I5139" s="81"/>
      <c r="J5139" s="81"/>
      <c r="K5139" s="81"/>
      <c r="L5139" s="81"/>
      <c r="M5139" s="81"/>
      <c r="N5139" s="81"/>
    </row>
    <row r="5140" spans="1:14" ht="14.25" customHeight="1" x14ac:dyDescent="0.25">
      <c r="A5140" s="88"/>
      <c r="B5140" s="89"/>
      <c r="C5140" s="113"/>
      <c r="D5140" s="113"/>
      <c r="E5140" s="114"/>
      <c r="F5140" s="113"/>
      <c r="G5140" s="81"/>
      <c r="H5140" s="81"/>
      <c r="I5140" s="81"/>
      <c r="J5140" s="81"/>
      <c r="K5140" s="81"/>
      <c r="L5140" s="81"/>
      <c r="M5140" s="81"/>
      <c r="N5140" s="81"/>
    </row>
    <row r="5141" spans="1:14" ht="14.25" customHeight="1" x14ac:dyDescent="0.25">
      <c r="A5141" s="612" t="s">
        <v>588</v>
      </c>
      <c r="B5141" s="608"/>
      <c r="C5141" s="608"/>
      <c r="D5141" s="608"/>
      <c r="E5141" s="609"/>
      <c r="F5141" s="131">
        <f>ROUND(F5117+F5124+F5132+F5138,0)</f>
        <v>1200</v>
      </c>
      <c r="G5141" s="81"/>
      <c r="H5141" s="81"/>
      <c r="I5141" s="81"/>
      <c r="J5141" s="81"/>
      <c r="K5141" s="81"/>
      <c r="L5141" s="81"/>
      <c r="M5141" s="81"/>
      <c r="N5141" s="81"/>
    </row>
    <row r="5142" spans="1:14" ht="14.25" customHeight="1" x14ac:dyDescent="0.25">
      <c r="A5142" s="612" t="s">
        <v>589</v>
      </c>
      <c r="B5142" s="608"/>
      <c r="C5142" s="608"/>
      <c r="D5142" s="608"/>
      <c r="E5142" s="609"/>
      <c r="F5142" s="132"/>
      <c r="G5142" s="81"/>
      <c r="H5142" s="81"/>
      <c r="I5142" s="81"/>
      <c r="J5142" s="81"/>
      <c r="K5142" s="81"/>
      <c r="L5142" s="81"/>
      <c r="M5142" s="81"/>
      <c r="N5142" s="81"/>
    </row>
    <row r="5143" spans="1:14" ht="14.25" customHeight="1" x14ac:dyDescent="0.25">
      <c r="A5143" s="612" t="s">
        <v>556</v>
      </c>
      <c r="B5143" s="608"/>
      <c r="C5143" s="608"/>
      <c r="D5143" s="608"/>
      <c r="E5143" s="609"/>
      <c r="F5143" s="133"/>
      <c r="G5143" s="81"/>
      <c r="H5143" s="81"/>
      <c r="I5143" s="81"/>
      <c r="J5143" s="81"/>
      <c r="K5143" s="81"/>
      <c r="L5143" s="81"/>
      <c r="M5143" s="81"/>
      <c r="N5143" s="81"/>
    </row>
    <row r="5144" spans="1:14" ht="14.25" customHeight="1" x14ac:dyDescent="0.25">
      <c r="A5144" s="134"/>
      <c r="B5144" s="135"/>
      <c r="C5144" s="135"/>
      <c r="D5144" s="135"/>
      <c r="E5144" s="135"/>
      <c r="F5144" s="136"/>
      <c r="G5144" s="81"/>
      <c r="H5144" s="81"/>
      <c r="I5144" s="81"/>
      <c r="J5144" s="81"/>
      <c r="K5144" s="81"/>
      <c r="L5144" s="81"/>
      <c r="M5144" s="81"/>
      <c r="N5144" s="81"/>
    </row>
    <row r="5145" spans="1:14" ht="14.25" customHeight="1" x14ac:dyDescent="0.25">
      <c r="A5145" s="134"/>
      <c r="B5145" s="135"/>
      <c r="C5145" s="135"/>
      <c r="D5145" s="135"/>
      <c r="E5145" s="135"/>
      <c r="F5145" s="136"/>
      <c r="G5145" s="81"/>
      <c r="H5145" s="81"/>
      <c r="I5145" s="81"/>
      <c r="J5145" s="81"/>
      <c r="K5145" s="81"/>
      <c r="L5145" s="81"/>
      <c r="M5145" s="81"/>
      <c r="N5145" s="81"/>
    </row>
    <row r="5146" spans="1:14" ht="14.25" customHeight="1" x14ac:dyDescent="0.25">
      <c r="A5146" s="645" t="s">
        <v>561</v>
      </c>
      <c r="B5146" s="646"/>
      <c r="C5146" s="646"/>
      <c r="D5146" s="646"/>
      <c r="E5146" s="646"/>
      <c r="F5146" s="647"/>
      <c r="G5146" s="81"/>
      <c r="H5146" s="81"/>
      <c r="I5146" s="81"/>
      <c r="J5146" s="81"/>
      <c r="K5146" s="81"/>
      <c r="L5146" s="81"/>
      <c r="M5146" s="81"/>
      <c r="N5146" s="81"/>
    </row>
    <row r="5147" spans="1:14" ht="14.25" customHeight="1" thickBot="1" x14ac:dyDescent="0.3">
      <c r="A5147" s="648"/>
      <c r="B5147" s="648"/>
      <c r="C5147" s="648"/>
      <c r="D5147" s="648"/>
      <c r="E5147" s="648"/>
      <c r="F5147" s="648"/>
      <c r="G5147" s="81"/>
      <c r="H5147" s="81"/>
      <c r="I5147" s="81"/>
      <c r="J5147" s="81"/>
      <c r="K5147" s="81"/>
      <c r="L5147" s="81"/>
      <c r="M5147" s="81"/>
      <c r="N5147" s="81"/>
    </row>
    <row r="5148" spans="1:14" ht="14.25" customHeight="1" thickBot="1" x14ac:dyDescent="0.3">
      <c r="A5148" s="309" t="s">
        <v>1334</v>
      </c>
      <c r="B5148" s="310"/>
      <c r="C5148" s="311" t="e">
        <f>+'[110]PPTO UNIATLÁNTICO'!A5158</f>
        <v>#REF!</v>
      </c>
      <c r="D5148" s="312"/>
      <c r="E5148" s="312"/>
      <c r="F5148" s="313" t="s">
        <v>49</v>
      </c>
      <c r="G5148" s="81"/>
      <c r="H5148" s="81"/>
      <c r="I5148" s="81"/>
      <c r="J5148" s="81"/>
      <c r="K5148" s="81"/>
      <c r="L5148" s="81"/>
      <c r="M5148" s="81"/>
      <c r="N5148" s="81"/>
    </row>
    <row r="5149" spans="1:14" ht="14.25" customHeight="1" thickBot="1" x14ac:dyDescent="0.3">
      <c r="A5149" s="314" t="e">
        <f>+'[110]PPTO UNIATLÁNTICO'!B5174</f>
        <v>#REF!</v>
      </c>
      <c r="B5149" s="315"/>
      <c r="C5149" s="315"/>
      <c r="D5149" s="316"/>
      <c r="E5149" s="316"/>
      <c r="F5149" s="317" t="s">
        <v>59</v>
      </c>
      <c r="G5149" s="81"/>
      <c r="H5149" s="81"/>
      <c r="I5149" s="81"/>
      <c r="J5149" s="81"/>
      <c r="K5149" s="81"/>
      <c r="L5149" s="81"/>
      <c r="M5149" s="81"/>
      <c r="N5149" s="81"/>
    </row>
    <row r="5150" spans="1:14" ht="14.25" customHeight="1" thickBot="1" x14ac:dyDescent="0.3">
      <c r="A5150" s="652"/>
      <c r="B5150" s="653"/>
      <c r="C5150" s="653"/>
      <c r="D5150" s="653"/>
      <c r="E5150" s="653"/>
      <c r="F5150" s="654"/>
      <c r="G5150" s="81"/>
      <c r="H5150" s="81"/>
      <c r="I5150" s="81"/>
      <c r="J5150" s="81"/>
      <c r="K5150" s="81"/>
      <c r="L5150" s="81"/>
      <c r="M5150" s="81"/>
      <c r="N5150" s="81"/>
    </row>
    <row r="5151" spans="1:14" ht="14.25" customHeight="1" thickBot="1" x14ac:dyDescent="0.3">
      <c r="A5151" s="633" t="s">
        <v>1335</v>
      </c>
      <c r="B5151" s="634"/>
      <c r="C5151" s="634"/>
      <c r="D5151" s="634"/>
      <c r="E5151" s="634"/>
      <c r="F5151" s="635"/>
      <c r="G5151" s="81"/>
      <c r="H5151" s="81"/>
      <c r="I5151" s="81"/>
      <c r="J5151" s="81"/>
      <c r="K5151" s="81"/>
      <c r="L5151" s="81"/>
      <c r="M5151" s="81"/>
      <c r="N5151" s="81"/>
    </row>
    <row r="5152" spans="1:14" ht="14.25" customHeight="1" thickBot="1" x14ac:dyDescent="0.3">
      <c r="A5152" s="318" t="s">
        <v>550</v>
      </c>
      <c r="B5152" s="319" t="s">
        <v>49</v>
      </c>
      <c r="C5152" s="319" t="s">
        <v>50</v>
      </c>
      <c r="D5152" s="319" t="s">
        <v>1336</v>
      </c>
      <c r="E5152" s="320" t="s">
        <v>1337</v>
      </c>
      <c r="F5152" s="321" t="s">
        <v>1338</v>
      </c>
      <c r="G5152" s="81"/>
      <c r="H5152" s="81"/>
      <c r="I5152" s="81"/>
      <c r="J5152" s="81"/>
      <c r="K5152" s="81"/>
      <c r="L5152" s="81"/>
      <c r="M5152" s="81"/>
      <c r="N5152" s="81"/>
    </row>
    <row r="5153" spans="1:14" ht="14.25" customHeight="1" x14ac:dyDescent="0.25">
      <c r="A5153" s="322" t="s">
        <v>1339</v>
      </c>
      <c r="B5153" s="323" t="s">
        <v>560</v>
      </c>
      <c r="C5153" s="324">
        <v>8</v>
      </c>
      <c r="D5153" s="325"/>
      <c r="E5153" s="326">
        <v>5487.09</v>
      </c>
      <c r="F5153" s="327">
        <f>+C5153*E5153</f>
        <v>43896.72</v>
      </c>
      <c r="G5153" s="81"/>
      <c r="H5153" s="81"/>
      <c r="I5153" s="81"/>
      <c r="J5153" s="81"/>
      <c r="K5153" s="81"/>
      <c r="L5153" s="81"/>
      <c r="M5153" s="81"/>
      <c r="N5153" s="81"/>
    </row>
    <row r="5154" spans="1:14" ht="14.25" customHeight="1" x14ac:dyDescent="0.25">
      <c r="A5154" s="328" t="s">
        <v>1340</v>
      </c>
      <c r="B5154" s="329" t="s">
        <v>85</v>
      </c>
      <c r="C5154" s="330">
        <v>0.2</v>
      </c>
      <c r="D5154" s="331"/>
      <c r="E5154" s="332">
        <v>10500</v>
      </c>
      <c r="F5154" s="333">
        <f>+C5154*E5154</f>
        <v>2100</v>
      </c>
      <c r="G5154" s="81"/>
      <c r="H5154" s="81"/>
      <c r="I5154" s="81"/>
      <c r="J5154" s="81"/>
      <c r="K5154" s="81"/>
      <c r="L5154" s="81"/>
      <c r="M5154" s="81"/>
      <c r="N5154" s="81"/>
    </row>
    <row r="5155" spans="1:14" ht="14.25" customHeight="1" x14ac:dyDescent="0.25">
      <c r="A5155" s="334" t="s">
        <v>1341</v>
      </c>
      <c r="B5155" s="329" t="s">
        <v>85</v>
      </c>
      <c r="C5155" s="330">
        <v>0.3</v>
      </c>
      <c r="D5155" s="331"/>
      <c r="E5155" s="332">
        <v>7500</v>
      </c>
      <c r="F5155" s="333">
        <f>+C5155*E5155</f>
        <v>2250</v>
      </c>
      <c r="G5155" s="81"/>
      <c r="H5155" s="81"/>
      <c r="I5155" s="81"/>
      <c r="J5155" s="81"/>
      <c r="K5155" s="81"/>
      <c r="L5155" s="81"/>
      <c r="M5155" s="81"/>
      <c r="N5155" s="81"/>
    </row>
    <row r="5156" spans="1:14" ht="14.25" customHeight="1" x14ac:dyDescent="0.25">
      <c r="A5156" s="334"/>
      <c r="B5156" s="335"/>
      <c r="C5156" s="330"/>
      <c r="D5156" s="331"/>
      <c r="E5156" s="336"/>
      <c r="F5156" s="333"/>
      <c r="G5156" s="81"/>
      <c r="H5156" s="81"/>
      <c r="I5156" s="81"/>
      <c r="J5156" s="81"/>
      <c r="K5156" s="81"/>
      <c r="L5156" s="81"/>
      <c r="M5156" s="81"/>
      <c r="N5156" s="81"/>
    </row>
    <row r="5157" spans="1:14" ht="27.75" customHeight="1" thickBot="1" x14ac:dyDescent="0.3">
      <c r="A5157" s="337"/>
      <c r="B5157" s="338"/>
      <c r="C5157" s="339"/>
      <c r="D5157" s="340"/>
      <c r="E5157" s="341" t="s">
        <v>1342</v>
      </c>
      <c r="F5157" s="342"/>
      <c r="G5157" s="81"/>
      <c r="H5157" s="81"/>
      <c r="I5157" s="81"/>
      <c r="J5157" s="81"/>
      <c r="K5157" s="81"/>
      <c r="L5157" s="81"/>
      <c r="M5157" s="81"/>
      <c r="N5157" s="81"/>
    </row>
    <row r="5158" spans="1:14" ht="14.25" customHeight="1" thickBot="1" x14ac:dyDescent="0.3">
      <c r="A5158" s="343"/>
      <c r="B5158" s="344"/>
      <c r="C5158" s="345"/>
      <c r="D5158" s="636" t="s">
        <v>1343</v>
      </c>
      <c r="E5158" s="637"/>
      <c r="F5158" s="346">
        <f>SUM(F5153:F5155)</f>
        <v>48246.720000000001</v>
      </c>
      <c r="G5158" s="81"/>
      <c r="H5158" s="81"/>
      <c r="I5158" s="81"/>
      <c r="J5158" s="81"/>
      <c r="K5158" s="81"/>
      <c r="L5158" s="81"/>
      <c r="M5158" s="81"/>
      <c r="N5158" s="81"/>
    </row>
    <row r="5159" spans="1:14" ht="14.25" customHeight="1" thickBot="1" x14ac:dyDescent="0.3">
      <c r="A5159" s="633" t="s">
        <v>1344</v>
      </c>
      <c r="B5159" s="634"/>
      <c r="C5159" s="634"/>
      <c r="D5159" s="634"/>
      <c r="E5159" s="634"/>
      <c r="F5159" s="635"/>
      <c r="G5159" s="81"/>
      <c r="H5159" s="81"/>
      <c r="I5159" s="81"/>
      <c r="J5159" s="81"/>
      <c r="K5159" s="81"/>
      <c r="L5159" s="81"/>
      <c r="M5159" s="81"/>
      <c r="N5159" s="81"/>
    </row>
    <row r="5160" spans="1:14" ht="14.25" customHeight="1" thickBot="1" x14ac:dyDescent="0.3">
      <c r="A5160" s="347" t="s">
        <v>505</v>
      </c>
      <c r="B5160" s="344"/>
      <c r="C5160" s="348" t="s">
        <v>1345</v>
      </c>
      <c r="D5160" s="349" t="s">
        <v>1346</v>
      </c>
      <c r="E5160" s="350" t="s">
        <v>557</v>
      </c>
      <c r="F5160" s="351"/>
      <c r="G5160" s="81"/>
      <c r="H5160" s="81"/>
      <c r="I5160" s="81"/>
      <c r="J5160" s="81"/>
      <c r="K5160" s="81"/>
      <c r="L5160" s="81"/>
      <c r="M5160" s="81"/>
      <c r="N5160" s="81"/>
    </row>
    <row r="5161" spans="1:14" ht="14.25" customHeight="1" x14ac:dyDescent="0.25">
      <c r="A5161" s="352" t="s">
        <v>1347</v>
      </c>
      <c r="B5161" s="353"/>
      <c r="C5161" s="353">
        <v>5000</v>
      </c>
      <c r="D5161" s="354">
        <v>250</v>
      </c>
      <c r="E5161" s="355">
        <f>+C5161/D5161</f>
        <v>20</v>
      </c>
      <c r="F5161" s="356">
        <f>+E5161</f>
        <v>20</v>
      </c>
      <c r="G5161" s="81"/>
      <c r="H5161" s="81"/>
      <c r="I5161" s="81"/>
      <c r="J5161" s="81"/>
      <c r="K5161" s="81"/>
      <c r="L5161" s="81"/>
      <c r="M5161" s="81"/>
      <c r="N5161" s="81"/>
    </row>
    <row r="5162" spans="1:14" ht="14.25" customHeight="1" x14ac:dyDescent="0.25">
      <c r="A5162" s="357"/>
      <c r="B5162" s="358"/>
      <c r="C5162" s="359"/>
      <c r="D5162" s="359"/>
      <c r="E5162" s="360"/>
      <c r="F5162" s="361"/>
      <c r="G5162" s="81"/>
      <c r="H5162" s="81"/>
      <c r="I5162" s="81"/>
      <c r="J5162" s="81"/>
      <c r="K5162" s="81"/>
      <c r="L5162" s="81"/>
      <c r="M5162" s="81"/>
      <c r="N5162" s="81"/>
    </row>
    <row r="5163" spans="1:14" ht="14.25" customHeight="1" thickBot="1" x14ac:dyDescent="0.3">
      <c r="A5163" s="357"/>
      <c r="B5163" s="358"/>
      <c r="C5163" s="359"/>
      <c r="D5163" s="359"/>
      <c r="E5163" s="360"/>
      <c r="F5163" s="362"/>
      <c r="G5163" s="81"/>
      <c r="H5163" s="81"/>
      <c r="I5163" s="81"/>
      <c r="J5163" s="81"/>
      <c r="K5163" s="81"/>
      <c r="L5163" s="81"/>
      <c r="M5163" s="81"/>
      <c r="N5163" s="81"/>
    </row>
    <row r="5164" spans="1:14" ht="14.25" customHeight="1" thickBot="1" x14ac:dyDescent="0.3">
      <c r="A5164" s="357"/>
      <c r="B5164" s="358"/>
      <c r="C5164" s="363"/>
      <c r="D5164" s="638" t="s">
        <v>1348</v>
      </c>
      <c r="E5164" s="639"/>
      <c r="F5164" s="364">
        <f>SUM(F5161:F5163)</f>
        <v>20</v>
      </c>
      <c r="G5164" s="81"/>
      <c r="H5164" s="81"/>
      <c r="I5164" s="81"/>
      <c r="J5164" s="81"/>
      <c r="K5164" s="81"/>
      <c r="L5164" s="81"/>
      <c r="M5164" s="81"/>
      <c r="N5164" s="81"/>
    </row>
    <row r="5165" spans="1:14" ht="14.25" customHeight="1" thickBot="1" x14ac:dyDescent="0.3">
      <c r="A5165" s="365" t="s">
        <v>553</v>
      </c>
      <c r="B5165" s="366"/>
      <c r="C5165" s="367"/>
      <c r="D5165" s="368"/>
      <c r="E5165" s="369"/>
      <c r="F5165" s="370"/>
      <c r="G5165" s="81"/>
      <c r="H5165" s="81"/>
      <c r="I5165" s="81"/>
      <c r="J5165" s="81"/>
      <c r="K5165" s="81"/>
      <c r="L5165" s="81"/>
      <c r="M5165" s="81"/>
      <c r="N5165" s="81"/>
    </row>
    <row r="5166" spans="1:14" ht="14.25" customHeight="1" thickBot="1" x14ac:dyDescent="0.3">
      <c r="A5166" s="371" t="s">
        <v>505</v>
      </c>
      <c r="B5166" s="372" t="s">
        <v>50</v>
      </c>
      <c r="C5166" s="373" t="s">
        <v>1349</v>
      </c>
      <c r="D5166" s="373" t="s">
        <v>1350</v>
      </c>
      <c r="E5166" s="373" t="s">
        <v>1346</v>
      </c>
      <c r="F5166" s="374" t="s">
        <v>557</v>
      </c>
      <c r="G5166" s="81"/>
      <c r="H5166" s="81"/>
      <c r="I5166" s="81"/>
      <c r="J5166" s="81"/>
      <c r="K5166" s="81"/>
      <c r="L5166" s="81"/>
      <c r="M5166" s="81"/>
      <c r="N5166" s="81"/>
    </row>
    <row r="5167" spans="1:14" ht="14.25" customHeight="1" x14ac:dyDescent="0.25">
      <c r="A5167" s="357" t="s">
        <v>1351</v>
      </c>
      <c r="B5167" s="375">
        <v>1</v>
      </c>
      <c r="C5167" s="376">
        <v>196800</v>
      </c>
      <c r="D5167" s="377">
        <v>1.9402999999999999</v>
      </c>
      <c r="E5167" s="378">
        <v>15.269161575719334</v>
      </c>
      <c r="F5167" s="379">
        <f>(B5167*C5167*D5167)/E5167</f>
        <v>25007.990000394693</v>
      </c>
      <c r="G5167" s="81"/>
      <c r="H5167" s="81"/>
      <c r="I5167" s="81"/>
      <c r="J5167" s="81"/>
      <c r="K5167" s="81"/>
      <c r="L5167" s="81"/>
      <c r="M5167" s="81"/>
      <c r="N5167" s="81"/>
    </row>
    <row r="5168" spans="1:14" ht="14.25" customHeight="1" x14ac:dyDescent="0.25">
      <c r="A5168" s="380"/>
      <c r="B5168" s="353"/>
      <c r="C5168" s="359"/>
      <c r="D5168" s="359"/>
      <c r="E5168" s="381"/>
      <c r="F5168" s="382"/>
      <c r="G5168" s="81"/>
      <c r="H5168" s="81"/>
      <c r="I5168" s="81"/>
      <c r="J5168" s="81"/>
      <c r="K5168" s="81"/>
      <c r="L5168" s="81"/>
      <c r="M5168" s="81"/>
      <c r="N5168" s="81"/>
    </row>
    <row r="5169" spans="1:14" ht="14.25" customHeight="1" x14ac:dyDescent="0.25">
      <c r="A5169" s="357"/>
      <c r="B5169" s="358"/>
      <c r="C5169" s="359"/>
      <c r="D5169" s="359"/>
      <c r="E5169" s="360"/>
      <c r="F5169" s="361"/>
      <c r="G5169" s="81"/>
      <c r="H5169" s="81"/>
      <c r="I5169" s="81"/>
      <c r="J5169" s="81"/>
      <c r="K5169" s="81"/>
      <c r="L5169" s="81"/>
      <c r="M5169" s="81"/>
      <c r="N5169" s="81"/>
    </row>
    <row r="5170" spans="1:14" ht="14.25" customHeight="1" thickBot="1" x14ac:dyDescent="0.3">
      <c r="A5170" s="352"/>
      <c r="B5170" s="353"/>
      <c r="C5170" s="359"/>
      <c r="D5170" s="359"/>
      <c r="E5170" s="381"/>
      <c r="F5170" s="383"/>
      <c r="G5170" s="81"/>
      <c r="H5170" s="81"/>
      <c r="I5170" s="81"/>
      <c r="J5170" s="81"/>
      <c r="K5170" s="81"/>
      <c r="L5170" s="81"/>
      <c r="M5170" s="81"/>
      <c r="N5170" s="81"/>
    </row>
    <row r="5171" spans="1:14" ht="14.25" customHeight="1" thickBot="1" x14ac:dyDescent="0.3">
      <c r="A5171" s="352"/>
      <c r="B5171" s="384"/>
      <c r="C5171" s="385"/>
      <c r="D5171" s="640" t="s">
        <v>1352</v>
      </c>
      <c r="E5171" s="641"/>
      <c r="F5171" s="364">
        <f>SUM(F5167:F5170)</f>
        <v>25007.990000394693</v>
      </c>
      <c r="G5171" s="81"/>
      <c r="H5171" s="81"/>
      <c r="I5171" s="81"/>
      <c r="J5171" s="81"/>
      <c r="K5171" s="81"/>
      <c r="L5171" s="81"/>
      <c r="M5171" s="81"/>
      <c r="N5171" s="81"/>
    </row>
    <row r="5172" spans="1:14" ht="14.25" customHeight="1" thickBot="1" x14ac:dyDescent="0.3">
      <c r="A5172" s="386" t="s">
        <v>554</v>
      </c>
      <c r="B5172" s="387"/>
      <c r="C5172" s="388"/>
      <c r="D5172" s="388"/>
      <c r="E5172" s="389"/>
      <c r="F5172" s="390"/>
      <c r="G5172" s="81"/>
      <c r="H5172" s="81"/>
      <c r="I5172" s="81"/>
      <c r="J5172" s="81"/>
      <c r="K5172" s="81"/>
      <c r="L5172" s="81"/>
      <c r="M5172" s="81"/>
      <c r="N5172" s="81"/>
    </row>
    <row r="5173" spans="1:14" ht="14.25" customHeight="1" thickBot="1" x14ac:dyDescent="0.3">
      <c r="A5173" s="371" t="s">
        <v>550</v>
      </c>
      <c r="B5173" s="372"/>
      <c r="C5173" s="373" t="s">
        <v>1353</v>
      </c>
      <c r="D5173" s="373" t="s">
        <v>1354</v>
      </c>
      <c r="E5173" s="373" t="s">
        <v>1355</v>
      </c>
      <c r="F5173" s="374" t="s">
        <v>557</v>
      </c>
      <c r="G5173" s="81"/>
      <c r="H5173" s="81"/>
      <c r="I5173" s="81"/>
      <c r="J5173" s="81"/>
      <c r="K5173" s="81"/>
      <c r="L5173" s="81"/>
      <c r="M5173" s="81"/>
      <c r="N5173" s="81"/>
    </row>
    <row r="5174" spans="1:14" ht="14.25" customHeight="1" x14ac:dyDescent="0.25">
      <c r="A5174" s="391" t="s">
        <v>604</v>
      </c>
      <c r="B5174" s="392"/>
      <c r="C5174" s="393"/>
      <c r="D5174" s="392">
        <v>2.5</v>
      </c>
      <c r="E5174" s="394">
        <v>38.595999999999997</v>
      </c>
      <c r="F5174" s="395">
        <f>+E5174*D5174</f>
        <v>96.49</v>
      </c>
      <c r="G5174" s="81"/>
      <c r="H5174" s="81"/>
      <c r="I5174" s="81"/>
      <c r="J5174" s="81"/>
      <c r="K5174" s="81"/>
      <c r="L5174" s="81"/>
      <c r="M5174" s="81"/>
      <c r="N5174" s="81"/>
    </row>
    <row r="5175" spans="1:14" ht="14.25" customHeight="1" x14ac:dyDescent="0.25">
      <c r="A5175" s="396"/>
      <c r="B5175" s="397"/>
      <c r="C5175" s="398"/>
      <c r="D5175" s="398"/>
      <c r="E5175" s="399"/>
      <c r="F5175" s="400"/>
      <c r="G5175" s="81"/>
      <c r="H5175" s="81"/>
      <c r="I5175" s="81"/>
      <c r="J5175" s="81"/>
      <c r="K5175" s="81"/>
      <c r="L5175" s="81"/>
      <c r="M5175" s="81"/>
      <c r="N5175" s="81"/>
    </row>
    <row r="5176" spans="1:14" ht="14.25" customHeight="1" thickBot="1" x14ac:dyDescent="0.3">
      <c r="A5176" s="396"/>
      <c r="B5176" s="397"/>
      <c r="C5176" s="398"/>
      <c r="D5176" s="398"/>
      <c r="E5176" s="399"/>
      <c r="F5176" s="401"/>
      <c r="G5176" s="81"/>
      <c r="H5176" s="81"/>
      <c r="I5176" s="81"/>
      <c r="J5176" s="81"/>
      <c r="K5176" s="81"/>
      <c r="L5176" s="81"/>
      <c r="M5176" s="81"/>
      <c r="N5176" s="81"/>
    </row>
    <row r="5177" spans="1:14" ht="14.25" customHeight="1" thickBot="1" x14ac:dyDescent="0.3">
      <c r="A5177" s="352"/>
      <c r="B5177" s="384"/>
      <c r="C5177" s="385"/>
      <c r="D5177" s="640" t="s">
        <v>1356</v>
      </c>
      <c r="E5177" s="642"/>
      <c r="F5177" s="402">
        <f>SUM(F5174)</f>
        <v>96.49</v>
      </c>
      <c r="G5177" s="81"/>
      <c r="H5177" s="81"/>
      <c r="I5177" s="81"/>
      <c r="J5177" s="81"/>
      <c r="K5177" s="81"/>
      <c r="L5177" s="81"/>
      <c r="M5177" s="81"/>
      <c r="N5177" s="81"/>
    </row>
    <row r="5178" spans="1:14" ht="14.25" customHeight="1" thickBot="1" x14ac:dyDescent="0.3">
      <c r="A5178" s="643"/>
      <c r="B5178" s="644"/>
      <c r="C5178" s="644"/>
      <c r="D5178" s="644"/>
      <c r="E5178" s="403" t="s">
        <v>555</v>
      </c>
      <c r="F5178" s="404">
        <f>+F5177+F5171+F5164+F5158</f>
        <v>73371.200000394689</v>
      </c>
      <c r="G5178" s="81"/>
      <c r="H5178" s="81"/>
      <c r="I5178" s="81"/>
      <c r="J5178" s="81"/>
      <c r="K5178" s="81"/>
      <c r="L5178" s="81"/>
      <c r="M5178" s="81"/>
      <c r="N5178" s="81"/>
    </row>
    <row r="5179" spans="1:14" ht="14.25" customHeight="1" x14ac:dyDescent="0.25">
      <c r="A5179" s="168"/>
      <c r="B5179" s="168"/>
      <c r="C5179" s="168"/>
      <c r="D5179" s="168"/>
      <c r="E5179" s="168"/>
      <c r="F5179" s="168"/>
      <c r="G5179" s="81"/>
      <c r="H5179" s="81"/>
      <c r="I5179" s="81"/>
      <c r="J5179" s="81"/>
      <c r="K5179" s="81"/>
      <c r="L5179" s="81"/>
      <c r="M5179" s="81"/>
      <c r="N5179" s="81"/>
    </row>
    <row r="5180" spans="1:14" ht="14.25" customHeight="1" x14ac:dyDescent="0.25">
      <c r="A5180" s="168"/>
      <c r="B5180" s="168"/>
      <c r="C5180" s="168"/>
      <c r="D5180" s="168"/>
      <c r="E5180" s="168"/>
      <c r="F5180" s="168"/>
      <c r="G5180" s="81"/>
      <c r="H5180" s="81"/>
      <c r="I5180" s="81"/>
      <c r="J5180" s="81"/>
      <c r="K5180" s="81"/>
      <c r="L5180" s="81"/>
      <c r="M5180" s="81"/>
      <c r="N5180" s="81"/>
    </row>
    <row r="5181" spans="1:14" ht="14.25" customHeight="1" x14ac:dyDescent="0.25">
      <c r="A5181" s="645" t="s">
        <v>561</v>
      </c>
      <c r="B5181" s="646"/>
      <c r="C5181" s="646"/>
      <c r="D5181" s="646"/>
      <c r="E5181" s="646"/>
      <c r="F5181" s="647"/>
      <c r="G5181" s="81"/>
      <c r="H5181" s="81"/>
      <c r="I5181" s="81"/>
      <c r="J5181" s="81"/>
      <c r="K5181" s="81"/>
      <c r="L5181" s="81"/>
      <c r="M5181" s="81"/>
      <c r="N5181" s="81"/>
    </row>
    <row r="5182" spans="1:14" ht="14.25" customHeight="1" thickBot="1" x14ac:dyDescent="0.3">
      <c r="A5182" s="648"/>
      <c r="B5182" s="648"/>
      <c r="C5182" s="648"/>
      <c r="D5182" s="648"/>
      <c r="E5182" s="648"/>
      <c r="F5182" s="648"/>
      <c r="G5182" s="81"/>
      <c r="H5182" s="81"/>
      <c r="I5182" s="81"/>
      <c r="J5182" s="81"/>
      <c r="K5182" s="81"/>
      <c r="L5182" s="81"/>
      <c r="M5182" s="81"/>
      <c r="N5182" s="81"/>
    </row>
    <row r="5183" spans="1:14" ht="14.25" customHeight="1" thickBot="1" x14ac:dyDescent="0.3">
      <c r="A5183" s="309" t="s">
        <v>1334</v>
      </c>
      <c r="B5183" s="310"/>
      <c r="C5183" s="311" t="e">
        <f>+'[110]PPTO UNIATLÁNTICO'!A5159</f>
        <v>#REF!</v>
      </c>
      <c r="D5183" s="312"/>
      <c r="E5183" s="312"/>
      <c r="F5183" s="313" t="s">
        <v>49</v>
      </c>
      <c r="G5183" s="81"/>
      <c r="H5183" s="81"/>
      <c r="I5183" s="81"/>
      <c r="J5183" s="81"/>
      <c r="K5183" s="81"/>
      <c r="L5183" s="81"/>
      <c r="M5183" s="81"/>
      <c r="N5183" s="81"/>
    </row>
    <row r="5184" spans="1:14" ht="14.25" customHeight="1" thickBot="1" x14ac:dyDescent="0.3">
      <c r="A5184" s="314" t="str">
        <f>+[111]Hoja1!$B$11</f>
        <v>SUMINISTRO E INSTALACION DE TUBERIA BOMBA 10 HP</v>
      </c>
      <c r="B5184" s="315"/>
      <c r="C5184" s="315"/>
      <c r="D5184" s="316"/>
      <c r="E5184" s="316"/>
      <c r="F5184" s="317" t="str">
        <f>+[111]Hoja1!$C$11</f>
        <v>ML</v>
      </c>
      <c r="G5184" s="81"/>
      <c r="H5184" s="81"/>
      <c r="I5184" s="81"/>
      <c r="J5184" s="81"/>
      <c r="K5184" s="81"/>
      <c r="L5184" s="81"/>
      <c r="M5184" s="81"/>
      <c r="N5184" s="81"/>
    </row>
    <row r="5185" spans="1:14" ht="14.25" customHeight="1" thickBot="1" x14ac:dyDescent="0.3">
      <c r="A5185" s="652"/>
      <c r="B5185" s="653"/>
      <c r="C5185" s="653"/>
      <c r="D5185" s="653"/>
      <c r="E5185" s="653"/>
      <c r="F5185" s="654"/>
      <c r="G5185" s="81"/>
      <c r="H5185" s="81"/>
      <c r="I5185" s="81"/>
      <c r="J5185" s="81"/>
      <c r="K5185" s="81"/>
      <c r="L5185" s="81"/>
      <c r="M5185" s="81"/>
      <c r="N5185" s="81"/>
    </row>
    <row r="5186" spans="1:14" ht="14.25" customHeight="1" thickBot="1" x14ac:dyDescent="0.3">
      <c r="A5186" s="633" t="s">
        <v>1335</v>
      </c>
      <c r="B5186" s="634"/>
      <c r="C5186" s="634"/>
      <c r="D5186" s="634"/>
      <c r="E5186" s="634"/>
      <c r="F5186" s="635"/>
      <c r="G5186" s="81"/>
      <c r="H5186" s="81"/>
      <c r="I5186" s="81"/>
      <c r="J5186" s="81"/>
      <c r="K5186" s="81"/>
      <c r="L5186" s="81"/>
      <c r="M5186" s="81"/>
      <c r="N5186" s="81"/>
    </row>
    <row r="5187" spans="1:14" ht="14.25" customHeight="1" thickBot="1" x14ac:dyDescent="0.3">
      <c r="A5187" s="405" t="s">
        <v>550</v>
      </c>
      <c r="B5187" s="406" t="s">
        <v>49</v>
      </c>
      <c r="C5187" s="406" t="s">
        <v>50</v>
      </c>
      <c r="D5187" s="406" t="s">
        <v>1357</v>
      </c>
      <c r="E5187" s="407" t="s">
        <v>1337</v>
      </c>
      <c r="F5187" s="408" t="s">
        <v>1338</v>
      </c>
      <c r="G5187" s="81"/>
      <c r="H5187" s="81"/>
      <c r="I5187" s="81"/>
      <c r="J5187" s="81"/>
      <c r="K5187" s="81"/>
      <c r="L5187" s="81"/>
      <c r="M5187" s="81"/>
      <c r="N5187" s="81"/>
    </row>
    <row r="5188" spans="1:14" ht="14.25" customHeight="1" x14ac:dyDescent="0.25">
      <c r="A5188" s="409" t="s">
        <v>1358</v>
      </c>
      <c r="B5188" s="410" t="s">
        <v>59</v>
      </c>
      <c r="C5188" s="411">
        <v>2</v>
      </c>
      <c r="D5188" s="325"/>
      <c r="E5188" s="412">
        <v>7946.6666666666679</v>
      </c>
      <c r="F5188" s="327">
        <f>+C5188*E5188</f>
        <v>15893.333333333336</v>
      </c>
      <c r="G5188" s="81"/>
      <c r="H5188" s="81"/>
      <c r="I5188" s="81"/>
      <c r="J5188" s="81"/>
      <c r="K5188" s="81"/>
      <c r="L5188" s="81"/>
      <c r="M5188" s="81"/>
      <c r="N5188" s="81"/>
    </row>
    <row r="5189" spans="1:14" ht="14.25" customHeight="1" x14ac:dyDescent="0.25">
      <c r="A5189" s="413" t="s">
        <v>1359</v>
      </c>
      <c r="B5189" s="414" t="s">
        <v>279</v>
      </c>
      <c r="C5189" s="415">
        <v>0.33</v>
      </c>
      <c r="D5189" s="331"/>
      <c r="E5189" s="416">
        <v>5120</v>
      </c>
      <c r="F5189" s="333">
        <f>+C5189*E5189</f>
        <v>1689.6000000000001</v>
      </c>
      <c r="G5189" s="81"/>
      <c r="H5189" s="81"/>
      <c r="I5189" s="81"/>
      <c r="J5189" s="81"/>
      <c r="K5189" s="81"/>
      <c r="L5189" s="81"/>
      <c r="M5189" s="81"/>
      <c r="N5189" s="81"/>
    </row>
    <row r="5190" spans="1:14" ht="14.25" customHeight="1" x14ac:dyDescent="0.25">
      <c r="A5190" s="417" t="s">
        <v>1341</v>
      </c>
      <c r="B5190" s="414" t="s">
        <v>85</v>
      </c>
      <c r="C5190" s="415">
        <v>0.3</v>
      </c>
      <c r="D5190" s="331"/>
      <c r="E5190" s="416">
        <v>7500</v>
      </c>
      <c r="F5190" s="333">
        <f>+C5190*E5190</f>
        <v>2250</v>
      </c>
      <c r="G5190" s="81"/>
      <c r="H5190" s="81"/>
      <c r="I5190" s="81"/>
      <c r="J5190" s="81"/>
      <c r="K5190" s="81"/>
      <c r="L5190" s="81"/>
      <c r="M5190" s="81"/>
      <c r="N5190" s="81"/>
    </row>
    <row r="5191" spans="1:14" ht="14.25" customHeight="1" x14ac:dyDescent="0.25">
      <c r="A5191" s="334"/>
      <c r="B5191" s="335"/>
      <c r="C5191" s="330"/>
      <c r="D5191" s="331"/>
      <c r="E5191" s="336"/>
      <c r="F5191" s="333"/>
      <c r="G5191" s="81"/>
      <c r="H5191" s="81"/>
      <c r="I5191" s="81"/>
      <c r="J5191" s="81"/>
      <c r="K5191" s="81"/>
      <c r="L5191" s="81"/>
      <c r="M5191" s="81"/>
      <c r="N5191" s="81"/>
    </row>
    <row r="5192" spans="1:14" ht="14.25" customHeight="1" thickBot="1" x14ac:dyDescent="0.3">
      <c r="A5192" s="337"/>
      <c r="B5192" s="338"/>
      <c r="C5192" s="339"/>
      <c r="D5192" s="340"/>
      <c r="E5192" s="341" t="s">
        <v>1342</v>
      </c>
      <c r="F5192" s="342"/>
      <c r="G5192" s="81"/>
      <c r="H5192" s="81"/>
      <c r="I5192" s="81"/>
      <c r="J5192" s="81"/>
      <c r="K5192" s="81"/>
      <c r="L5192" s="81"/>
      <c r="M5192" s="81"/>
      <c r="N5192" s="81"/>
    </row>
    <row r="5193" spans="1:14" ht="14.25" customHeight="1" thickBot="1" x14ac:dyDescent="0.3">
      <c r="A5193" s="343"/>
      <c r="B5193" s="344"/>
      <c r="C5193" s="345"/>
      <c r="D5193" s="636" t="s">
        <v>1343</v>
      </c>
      <c r="E5193" s="637"/>
      <c r="F5193" s="346">
        <f>SUM(F5188:F5190)</f>
        <v>19832.933333333334</v>
      </c>
      <c r="G5193" s="81"/>
      <c r="H5193" s="81"/>
      <c r="I5193" s="81"/>
      <c r="J5193" s="81"/>
      <c r="K5193" s="81"/>
      <c r="L5193" s="81"/>
      <c r="M5193" s="81"/>
      <c r="N5193" s="81"/>
    </row>
    <row r="5194" spans="1:14" ht="14.25" customHeight="1" thickBot="1" x14ac:dyDescent="0.3">
      <c r="A5194" s="633" t="s">
        <v>1344</v>
      </c>
      <c r="B5194" s="634"/>
      <c r="C5194" s="634"/>
      <c r="D5194" s="634"/>
      <c r="E5194" s="634"/>
      <c r="F5194" s="635"/>
      <c r="G5194" s="81"/>
      <c r="H5194" s="81"/>
      <c r="I5194" s="81"/>
      <c r="J5194" s="81"/>
      <c r="K5194" s="81"/>
      <c r="L5194" s="81"/>
      <c r="M5194" s="81"/>
      <c r="N5194" s="81"/>
    </row>
    <row r="5195" spans="1:14" ht="14.25" customHeight="1" thickBot="1" x14ac:dyDescent="0.3">
      <c r="A5195" s="347" t="s">
        <v>505</v>
      </c>
      <c r="B5195" s="344"/>
      <c r="C5195" s="348" t="s">
        <v>1345</v>
      </c>
      <c r="D5195" s="349" t="s">
        <v>1346</v>
      </c>
      <c r="E5195" s="350" t="s">
        <v>557</v>
      </c>
      <c r="F5195" s="351"/>
      <c r="G5195" s="81"/>
      <c r="H5195" s="81"/>
      <c r="I5195" s="81"/>
      <c r="J5195" s="81"/>
      <c r="K5195" s="81"/>
      <c r="L5195" s="81"/>
      <c r="M5195" s="81"/>
      <c r="N5195" s="81"/>
    </row>
    <row r="5196" spans="1:14" ht="14.25" customHeight="1" x14ac:dyDescent="0.25">
      <c r="A5196" s="352" t="s">
        <v>1347</v>
      </c>
      <c r="B5196" s="353"/>
      <c r="C5196" s="353">
        <v>5000</v>
      </c>
      <c r="D5196" s="354">
        <v>400.33537443120878</v>
      </c>
      <c r="E5196" s="355">
        <f>+C5196/D5196</f>
        <v>12.489528328851614</v>
      </c>
      <c r="F5196" s="356">
        <f>+E5196</f>
        <v>12.489528328851614</v>
      </c>
      <c r="G5196" s="81"/>
      <c r="H5196" s="81"/>
      <c r="I5196" s="81"/>
      <c r="J5196" s="81"/>
      <c r="K5196" s="81"/>
      <c r="L5196" s="81"/>
      <c r="M5196" s="81"/>
      <c r="N5196" s="81"/>
    </row>
    <row r="5197" spans="1:14" ht="14.25" customHeight="1" x14ac:dyDescent="0.25">
      <c r="A5197" s="357"/>
      <c r="B5197" s="358"/>
      <c r="C5197" s="359"/>
      <c r="D5197" s="359"/>
      <c r="E5197" s="360"/>
      <c r="F5197" s="361"/>
      <c r="G5197" s="81"/>
      <c r="H5197" s="117"/>
      <c r="I5197" s="81"/>
      <c r="J5197" s="81"/>
      <c r="K5197" s="81"/>
      <c r="L5197" s="81"/>
      <c r="M5197" s="81"/>
      <c r="N5197" s="81"/>
    </row>
    <row r="5198" spans="1:14" ht="14.25" customHeight="1" thickBot="1" x14ac:dyDescent="0.3">
      <c r="A5198" s="357"/>
      <c r="B5198" s="358"/>
      <c r="C5198" s="359"/>
      <c r="D5198" s="359"/>
      <c r="E5198" s="360"/>
      <c r="F5198" s="362"/>
      <c r="G5198" s="81"/>
      <c r="H5198" s="81"/>
      <c r="I5198" s="81"/>
      <c r="J5198" s="81"/>
      <c r="K5198" s="81"/>
      <c r="L5198" s="81"/>
      <c r="M5198" s="81"/>
      <c r="N5198" s="81"/>
    </row>
    <row r="5199" spans="1:14" ht="14.25" customHeight="1" thickBot="1" x14ac:dyDescent="0.3">
      <c r="A5199" s="357"/>
      <c r="B5199" s="358"/>
      <c r="C5199" s="363"/>
      <c r="D5199" s="638" t="s">
        <v>1348</v>
      </c>
      <c r="E5199" s="639"/>
      <c r="F5199" s="364">
        <f>SUM(F5196:F5198)</f>
        <v>12.489528328851614</v>
      </c>
      <c r="G5199" s="81"/>
      <c r="H5199" s="81"/>
      <c r="I5199" s="81"/>
      <c r="J5199" s="81"/>
      <c r="K5199" s="81"/>
      <c r="L5199" s="81"/>
      <c r="M5199" s="81"/>
      <c r="N5199" s="81"/>
    </row>
    <row r="5200" spans="1:14" ht="14.25" customHeight="1" thickBot="1" x14ac:dyDescent="0.3">
      <c r="A5200" s="365" t="s">
        <v>553</v>
      </c>
      <c r="B5200" s="366"/>
      <c r="C5200" s="367"/>
      <c r="D5200" s="368"/>
      <c r="E5200" s="369"/>
      <c r="F5200" s="370"/>
      <c r="G5200" s="81"/>
      <c r="H5200" s="81"/>
      <c r="I5200" s="81"/>
      <c r="J5200" s="81"/>
      <c r="K5200" s="81"/>
      <c r="L5200" s="81"/>
      <c r="M5200" s="81"/>
      <c r="N5200" s="81"/>
    </row>
    <row r="5201" spans="1:14" ht="14.25" customHeight="1" thickBot="1" x14ac:dyDescent="0.3">
      <c r="A5201" s="371" t="s">
        <v>505</v>
      </c>
      <c r="B5201" s="372" t="s">
        <v>50</v>
      </c>
      <c r="C5201" s="373" t="s">
        <v>1349</v>
      </c>
      <c r="D5201" s="373" t="s">
        <v>1350</v>
      </c>
      <c r="E5201" s="373" t="s">
        <v>1346</v>
      </c>
      <c r="F5201" s="374" t="s">
        <v>557</v>
      </c>
      <c r="G5201" s="81"/>
      <c r="H5201" s="81"/>
      <c r="I5201" s="81"/>
      <c r="J5201" s="81"/>
      <c r="K5201" s="81"/>
      <c r="L5201" s="81"/>
      <c r="M5201" s="81"/>
      <c r="N5201" s="81"/>
    </row>
    <row r="5202" spans="1:14" ht="14.25" customHeight="1" x14ac:dyDescent="0.25">
      <c r="A5202" s="357" t="s">
        <v>1351</v>
      </c>
      <c r="B5202" s="375">
        <v>1</v>
      </c>
      <c r="C5202" s="376">
        <v>196800</v>
      </c>
      <c r="D5202" s="377">
        <v>1.9402999999999999</v>
      </c>
      <c r="E5202" s="378">
        <v>37.73363190252725</v>
      </c>
      <c r="F5202" s="379">
        <f>(B5202*C5202*D5202)/E5202</f>
        <v>10119.647135647843</v>
      </c>
      <c r="G5202" s="81"/>
      <c r="H5202" s="81"/>
      <c r="I5202" s="81"/>
      <c r="J5202" s="81"/>
      <c r="K5202" s="81"/>
      <c r="L5202" s="81"/>
      <c r="M5202" s="81"/>
      <c r="N5202" s="81"/>
    </row>
    <row r="5203" spans="1:14" ht="14.25" customHeight="1" x14ac:dyDescent="0.25">
      <c r="A5203" s="380"/>
      <c r="B5203" s="353"/>
      <c r="C5203" s="359"/>
      <c r="D5203" s="359"/>
      <c r="E5203" s="381"/>
      <c r="F5203" s="382"/>
      <c r="G5203" s="81"/>
      <c r="H5203" s="81"/>
      <c r="I5203" s="81"/>
      <c r="J5203" s="81"/>
      <c r="K5203" s="81"/>
      <c r="L5203" s="81"/>
      <c r="M5203" s="81"/>
      <c r="N5203" s="81"/>
    </row>
    <row r="5204" spans="1:14" ht="14.25" customHeight="1" x14ac:dyDescent="0.25">
      <c r="A5204" s="357"/>
      <c r="B5204" s="358"/>
      <c r="C5204" s="359"/>
      <c r="D5204" s="359"/>
      <c r="E5204" s="360"/>
      <c r="F5204" s="361"/>
      <c r="G5204" s="81"/>
      <c r="H5204" s="81"/>
      <c r="I5204" s="81"/>
      <c r="J5204" s="81"/>
      <c r="K5204" s="81"/>
      <c r="L5204" s="81"/>
      <c r="M5204" s="81"/>
      <c r="N5204" s="81"/>
    </row>
    <row r="5205" spans="1:14" ht="14.25" customHeight="1" thickBot="1" x14ac:dyDescent="0.3">
      <c r="A5205" s="352"/>
      <c r="B5205" s="353"/>
      <c r="C5205" s="359"/>
      <c r="D5205" s="359"/>
      <c r="E5205" s="381"/>
      <c r="F5205" s="383"/>
      <c r="G5205" s="81"/>
      <c r="H5205" s="81"/>
      <c r="I5205" s="81"/>
      <c r="J5205" s="81"/>
      <c r="K5205" s="81"/>
      <c r="L5205" s="81"/>
      <c r="M5205" s="81"/>
      <c r="N5205" s="81"/>
    </row>
    <row r="5206" spans="1:14" ht="14.25" customHeight="1" thickBot="1" x14ac:dyDescent="0.3">
      <c r="A5206" s="352"/>
      <c r="B5206" s="384"/>
      <c r="C5206" s="385"/>
      <c r="D5206" s="640" t="s">
        <v>1352</v>
      </c>
      <c r="E5206" s="641"/>
      <c r="F5206" s="364">
        <f>SUM(F5202:F5205)</f>
        <v>10119.647135647843</v>
      </c>
      <c r="G5206" s="81"/>
      <c r="H5206" s="81"/>
      <c r="I5206" s="81"/>
      <c r="J5206" s="81"/>
      <c r="K5206" s="81"/>
      <c r="L5206" s="81"/>
      <c r="M5206" s="81"/>
      <c r="N5206" s="81"/>
    </row>
    <row r="5207" spans="1:14" ht="14.25" customHeight="1" thickBot="1" x14ac:dyDescent="0.3">
      <c r="A5207" s="386" t="s">
        <v>554</v>
      </c>
      <c r="B5207" s="387"/>
      <c r="C5207" s="388"/>
      <c r="D5207" s="388"/>
      <c r="E5207" s="389"/>
      <c r="F5207" s="390"/>
      <c r="G5207" s="81"/>
      <c r="H5207" s="81"/>
      <c r="I5207" s="81"/>
      <c r="J5207" s="81"/>
      <c r="K5207" s="81"/>
      <c r="L5207" s="81"/>
      <c r="M5207" s="81"/>
      <c r="N5207" s="81"/>
    </row>
    <row r="5208" spans="1:14" ht="14.25" customHeight="1" thickBot="1" x14ac:dyDescent="0.3">
      <c r="A5208" s="371" t="s">
        <v>550</v>
      </c>
      <c r="B5208" s="372"/>
      <c r="C5208" s="373" t="s">
        <v>1353</v>
      </c>
      <c r="D5208" s="373" t="s">
        <v>1354</v>
      </c>
      <c r="E5208" s="373" t="s">
        <v>1355</v>
      </c>
      <c r="F5208" s="374" t="s">
        <v>557</v>
      </c>
      <c r="G5208" s="81"/>
      <c r="H5208" s="81"/>
      <c r="I5208" s="81"/>
      <c r="J5208" s="81"/>
      <c r="K5208" s="81"/>
      <c r="L5208" s="81"/>
      <c r="M5208" s="81"/>
      <c r="N5208" s="81"/>
    </row>
    <row r="5209" spans="1:14" ht="14.25" customHeight="1" x14ac:dyDescent="0.25">
      <c r="A5209" s="391" t="s">
        <v>604</v>
      </c>
      <c r="B5209" s="392"/>
      <c r="C5209" s="393"/>
      <c r="D5209" s="392">
        <v>2.5</v>
      </c>
      <c r="E5209" s="394">
        <v>14.996000000000002</v>
      </c>
      <c r="F5209" s="418">
        <f>+E5209*D5209</f>
        <v>37.490000000000009</v>
      </c>
      <c r="G5209" s="81"/>
      <c r="H5209" s="81"/>
      <c r="I5209" s="81"/>
      <c r="J5209" s="81"/>
      <c r="K5209" s="81"/>
      <c r="L5209" s="81"/>
      <c r="M5209" s="81"/>
      <c r="N5209" s="81"/>
    </row>
    <row r="5210" spans="1:14" ht="14.25" customHeight="1" x14ac:dyDescent="0.25">
      <c r="A5210" s="396"/>
      <c r="B5210" s="397"/>
      <c r="C5210" s="398"/>
      <c r="D5210" s="398"/>
      <c r="E5210" s="399"/>
      <c r="F5210" s="400"/>
      <c r="G5210" s="81"/>
      <c r="H5210" s="81"/>
      <c r="I5210" s="81"/>
      <c r="J5210" s="81"/>
      <c r="K5210" s="81"/>
      <c r="L5210" s="81"/>
      <c r="M5210" s="81"/>
      <c r="N5210" s="81"/>
    </row>
    <row r="5211" spans="1:14" ht="14.25" customHeight="1" thickBot="1" x14ac:dyDescent="0.3">
      <c r="A5211" s="396"/>
      <c r="B5211" s="397"/>
      <c r="C5211" s="398"/>
      <c r="D5211" s="398"/>
      <c r="E5211" s="399"/>
      <c r="F5211" s="401"/>
      <c r="G5211" s="81"/>
      <c r="H5211" s="81"/>
      <c r="I5211" s="81"/>
      <c r="J5211" s="81"/>
      <c r="K5211" s="81"/>
      <c r="L5211" s="81"/>
      <c r="M5211" s="81"/>
      <c r="N5211" s="81"/>
    </row>
    <row r="5212" spans="1:14" ht="14.25" customHeight="1" thickBot="1" x14ac:dyDescent="0.3">
      <c r="A5212" s="352"/>
      <c r="B5212" s="384"/>
      <c r="C5212" s="385"/>
      <c r="D5212" s="640" t="s">
        <v>1356</v>
      </c>
      <c r="E5212" s="642"/>
      <c r="F5212" s="402">
        <f>SUM(F5209)</f>
        <v>37.490000000000009</v>
      </c>
      <c r="G5212" s="81"/>
      <c r="H5212" s="81"/>
      <c r="I5212" s="81"/>
      <c r="J5212" s="81"/>
      <c r="K5212" s="81"/>
      <c r="L5212" s="81"/>
      <c r="M5212" s="81"/>
      <c r="N5212" s="81"/>
    </row>
    <row r="5213" spans="1:14" ht="14.25" customHeight="1" thickBot="1" x14ac:dyDescent="0.3">
      <c r="A5213" s="643"/>
      <c r="B5213" s="644"/>
      <c r="C5213" s="644"/>
      <c r="D5213" s="644"/>
      <c r="E5213" s="403" t="s">
        <v>555</v>
      </c>
      <c r="F5213" s="404">
        <f>+F5212+F5206+F5199+F5193</f>
        <v>30002.559997310029</v>
      </c>
      <c r="G5213" s="81"/>
      <c r="H5213" s="81"/>
      <c r="I5213" s="81"/>
      <c r="J5213" s="81"/>
      <c r="K5213" s="81"/>
      <c r="L5213" s="81"/>
      <c r="M5213" s="81"/>
      <c r="N5213" s="81"/>
    </row>
    <row r="5214" spans="1:14" ht="26.25" customHeight="1" x14ac:dyDescent="0.25">
      <c r="A5214" s="168"/>
      <c r="B5214" s="168"/>
      <c r="C5214" s="168"/>
      <c r="D5214" s="168"/>
      <c r="E5214" s="168"/>
      <c r="F5214" s="168"/>
      <c r="G5214" s="81"/>
      <c r="H5214" s="81"/>
      <c r="I5214" s="81"/>
      <c r="J5214" s="81"/>
      <c r="K5214" s="81"/>
      <c r="L5214" s="81"/>
      <c r="M5214" s="81"/>
      <c r="N5214" s="81"/>
    </row>
    <row r="5215" spans="1:14" ht="14.25" customHeight="1" x14ac:dyDescent="0.25">
      <c r="A5215" s="168"/>
      <c r="B5215" s="168"/>
      <c r="C5215" s="168"/>
      <c r="D5215" s="168"/>
      <c r="E5215" s="168"/>
      <c r="F5215" s="168"/>
      <c r="G5215" s="81"/>
      <c r="H5215" s="81"/>
      <c r="I5215" s="81"/>
      <c r="J5215" s="81"/>
      <c r="K5215" s="81"/>
      <c r="L5215" s="81"/>
      <c r="M5215" s="81"/>
      <c r="N5215" s="81"/>
    </row>
    <row r="5216" spans="1:14" ht="14.25" customHeight="1" thickBot="1" x14ac:dyDescent="0.3">
      <c r="A5216" s="168"/>
      <c r="B5216" s="168"/>
      <c r="C5216" s="168"/>
      <c r="D5216" s="168"/>
      <c r="E5216" s="168"/>
      <c r="F5216" s="168"/>
      <c r="G5216" s="81"/>
      <c r="H5216" s="81"/>
      <c r="I5216" s="81"/>
      <c r="J5216" s="81"/>
      <c r="K5216" s="81"/>
      <c r="L5216" s="81"/>
      <c r="M5216" s="81"/>
      <c r="N5216" s="81"/>
    </row>
    <row r="5217" spans="1:14" ht="14.25" customHeight="1" x14ac:dyDescent="0.25">
      <c r="A5217" s="657" t="s">
        <v>561</v>
      </c>
      <c r="B5217" s="658"/>
      <c r="C5217" s="658"/>
      <c r="D5217" s="658"/>
      <c r="E5217" s="658"/>
      <c r="F5217" s="659"/>
      <c r="G5217" s="81"/>
      <c r="H5217" s="81"/>
      <c r="I5217" s="81"/>
      <c r="J5217" s="81"/>
      <c r="K5217" s="81"/>
      <c r="L5217" s="81"/>
      <c r="M5217" s="81"/>
      <c r="N5217" s="81"/>
    </row>
    <row r="5218" spans="1:14" ht="14.25" customHeight="1" thickBot="1" x14ac:dyDescent="0.3">
      <c r="A5218" s="655"/>
      <c r="B5218" s="648"/>
      <c r="C5218" s="648"/>
      <c r="D5218" s="648"/>
      <c r="E5218" s="648"/>
      <c r="F5218" s="656"/>
      <c r="G5218" s="81"/>
      <c r="H5218" s="81"/>
      <c r="I5218" s="81"/>
      <c r="J5218" s="81"/>
      <c r="K5218" s="81"/>
      <c r="L5218" s="81"/>
      <c r="M5218" s="81"/>
      <c r="N5218" s="81"/>
    </row>
    <row r="5219" spans="1:14" ht="14.25" customHeight="1" thickBot="1" x14ac:dyDescent="0.3">
      <c r="A5219" s="309" t="s">
        <v>1334</v>
      </c>
      <c r="B5219" s="310"/>
      <c r="C5219" s="311">
        <v>1.9</v>
      </c>
      <c r="D5219" s="312"/>
      <c r="E5219" s="312"/>
      <c r="F5219" s="313" t="s">
        <v>49</v>
      </c>
      <c r="G5219" s="81"/>
      <c r="H5219" s="81"/>
      <c r="I5219" s="81"/>
      <c r="J5219" s="81"/>
      <c r="K5219" s="81"/>
      <c r="L5219" s="81"/>
      <c r="M5219" s="81"/>
      <c r="N5219" s="81"/>
    </row>
    <row r="5220" spans="1:14" ht="14.25" customHeight="1" thickBot="1" x14ac:dyDescent="0.3">
      <c r="A5220" s="314" t="str">
        <f>+[111]Hoja1!$B$12</f>
        <v>SUMINISTRO E INSTALACION DE CORAZA LT PARA BOMBAS 10 HP</v>
      </c>
      <c r="B5220" s="315"/>
      <c r="C5220" s="315"/>
      <c r="D5220" s="316"/>
      <c r="E5220" s="316"/>
      <c r="F5220" s="317" t="s">
        <v>85</v>
      </c>
      <c r="G5220" s="81"/>
      <c r="H5220" s="81"/>
      <c r="I5220" s="81"/>
      <c r="J5220" s="81"/>
      <c r="K5220" s="81"/>
      <c r="L5220" s="81"/>
      <c r="M5220" s="81"/>
      <c r="N5220" s="81"/>
    </row>
    <row r="5221" spans="1:14" ht="14.25" customHeight="1" thickBot="1" x14ac:dyDescent="0.3">
      <c r="A5221" s="652"/>
      <c r="B5221" s="653"/>
      <c r="C5221" s="653"/>
      <c r="D5221" s="653"/>
      <c r="E5221" s="653"/>
      <c r="F5221" s="654"/>
      <c r="G5221" s="81"/>
      <c r="H5221" s="81"/>
      <c r="I5221" s="81"/>
      <c r="J5221" s="81"/>
      <c r="K5221" s="81"/>
      <c r="L5221" s="81"/>
      <c r="M5221" s="81"/>
      <c r="N5221" s="81"/>
    </row>
    <row r="5222" spans="1:14" ht="14.25" customHeight="1" thickBot="1" x14ac:dyDescent="0.3">
      <c r="A5222" s="633" t="s">
        <v>1335</v>
      </c>
      <c r="B5222" s="634"/>
      <c r="C5222" s="634"/>
      <c r="D5222" s="634"/>
      <c r="E5222" s="634"/>
      <c r="F5222" s="635"/>
      <c r="G5222" s="81"/>
      <c r="H5222" s="81"/>
      <c r="I5222" s="81"/>
      <c r="J5222" s="81"/>
      <c r="K5222" s="81"/>
      <c r="L5222" s="81"/>
      <c r="M5222" s="81"/>
      <c r="N5222" s="81"/>
    </row>
    <row r="5223" spans="1:14" ht="14.25" customHeight="1" thickBot="1" x14ac:dyDescent="0.3">
      <c r="A5223" s="318" t="s">
        <v>550</v>
      </c>
      <c r="B5223" s="319" t="s">
        <v>49</v>
      </c>
      <c r="C5223" s="319" t="s">
        <v>50</v>
      </c>
      <c r="D5223" s="319" t="s">
        <v>1357</v>
      </c>
      <c r="E5223" s="320" t="s">
        <v>1337</v>
      </c>
      <c r="F5223" s="321" t="s">
        <v>1338</v>
      </c>
      <c r="G5223" s="81"/>
      <c r="H5223" s="81"/>
      <c r="I5223" s="81"/>
      <c r="J5223" s="81"/>
      <c r="K5223" s="81"/>
      <c r="L5223" s="81"/>
      <c r="M5223" s="81"/>
      <c r="N5223" s="81"/>
    </row>
    <row r="5224" spans="1:14" ht="14.25" customHeight="1" x14ac:dyDescent="0.25">
      <c r="A5224" s="419" t="s">
        <v>1360</v>
      </c>
      <c r="B5224" s="420" t="s">
        <v>85</v>
      </c>
      <c r="C5224" s="421">
        <v>1</v>
      </c>
      <c r="D5224" s="325"/>
      <c r="E5224" s="422">
        <v>1250945.3984496123</v>
      </c>
      <c r="F5224" s="327">
        <f>+C5224*E5224</f>
        <v>1250945.3984496123</v>
      </c>
      <c r="G5224" s="81"/>
      <c r="H5224" s="81"/>
      <c r="I5224" s="81"/>
      <c r="J5224" s="81"/>
      <c r="K5224" s="81"/>
      <c r="L5224" s="81"/>
      <c r="M5224" s="81"/>
      <c r="N5224" s="81"/>
    </row>
    <row r="5225" spans="1:14" ht="14.25" customHeight="1" x14ac:dyDescent="0.25">
      <c r="A5225" s="328"/>
      <c r="B5225" s="329"/>
      <c r="C5225" s="330"/>
      <c r="D5225" s="331"/>
      <c r="E5225" s="336"/>
      <c r="F5225" s="333"/>
      <c r="G5225" s="81"/>
      <c r="H5225" s="81"/>
      <c r="I5225" s="81"/>
      <c r="J5225" s="81"/>
      <c r="K5225" s="81"/>
      <c r="L5225" s="81"/>
      <c r="M5225" s="81"/>
      <c r="N5225" s="81"/>
    </row>
    <row r="5226" spans="1:14" ht="14.25" customHeight="1" x14ac:dyDescent="0.25">
      <c r="A5226" s="334"/>
      <c r="B5226" s="329"/>
      <c r="C5226" s="330"/>
      <c r="D5226" s="331"/>
      <c r="E5226" s="336"/>
      <c r="F5226" s="333"/>
      <c r="G5226" s="81"/>
      <c r="H5226" s="81"/>
      <c r="I5226" s="81"/>
      <c r="J5226" s="81"/>
      <c r="K5226" s="81"/>
      <c r="L5226" s="81"/>
      <c r="M5226" s="81"/>
      <c r="N5226" s="81"/>
    </row>
    <row r="5227" spans="1:14" ht="14.25" customHeight="1" x14ac:dyDescent="0.25">
      <c r="A5227" s="334"/>
      <c r="B5227" s="335"/>
      <c r="C5227" s="330"/>
      <c r="D5227" s="331"/>
      <c r="E5227" s="336"/>
      <c r="F5227" s="333"/>
      <c r="G5227" s="81"/>
      <c r="H5227" s="81"/>
      <c r="I5227" s="81"/>
      <c r="J5227" s="81"/>
      <c r="K5227" s="81"/>
      <c r="L5227" s="81"/>
      <c r="M5227" s="81"/>
      <c r="N5227" s="81"/>
    </row>
    <row r="5228" spans="1:14" ht="14.25" customHeight="1" thickBot="1" x14ac:dyDescent="0.3">
      <c r="A5228" s="337"/>
      <c r="B5228" s="338"/>
      <c r="C5228" s="339"/>
      <c r="D5228" s="340"/>
      <c r="E5228" s="341" t="s">
        <v>1342</v>
      </c>
      <c r="F5228" s="342"/>
      <c r="G5228" s="81"/>
      <c r="H5228" s="81"/>
      <c r="I5228" s="81"/>
      <c r="J5228" s="81"/>
      <c r="K5228" s="81"/>
      <c r="L5228" s="81"/>
      <c r="M5228" s="81"/>
      <c r="N5228" s="81"/>
    </row>
    <row r="5229" spans="1:14" ht="14.25" customHeight="1" thickBot="1" x14ac:dyDescent="0.3">
      <c r="A5229" s="343"/>
      <c r="B5229" s="344"/>
      <c r="C5229" s="345"/>
      <c r="D5229" s="636" t="s">
        <v>1343</v>
      </c>
      <c r="E5229" s="637"/>
      <c r="F5229" s="346">
        <f>SUM(F5224:F5226)</f>
        <v>1250945.3984496123</v>
      </c>
      <c r="G5229" s="81"/>
      <c r="H5229" s="81"/>
      <c r="I5229" s="81"/>
      <c r="J5229" s="81"/>
      <c r="K5229" s="81"/>
      <c r="L5229" s="81"/>
      <c r="M5229" s="81"/>
      <c r="N5229" s="81"/>
    </row>
    <row r="5230" spans="1:14" ht="14.25" customHeight="1" thickBot="1" x14ac:dyDescent="0.3">
      <c r="A5230" s="633" t="s">
        <v>1344</v>
      </c>
      <c r="B5230" s="634"/>
      <c r="C5230" s="634"/>
      <c r="D5230" s="634"/>
      <c r="E5230" s="634"/>
      <c r="F5230" s="635"/>
      <c r="G5230" s="81"/>
      <c r="H5230" s="81"/>
      <c r="I5230" s="81"/>
      <c r="J5230" s="81"/>
      <c r="K5230" s="81"/>
      <c r="L5230" s="81"/>
      <c r="M5230" s="81"/>
      <c r="N5230" s="81"/>
    </row>
    <row r="5231" spans="1:14" ht="14.25" customHeight="1" thickBot="1" x14ac:dyDescent="0.3">
      <c r="A5231" s="347" t="s">
        <v>505</v>
      </c>
      <c r="B5231" s="344"/>
      <c r="C5231" s="348" t="s">
        <v>1345</v>
      </c>
      <c r="D5231" s="349" t="s">
        <v>1346</v>
      </c>
      <c r="E5231" s="350" t="s">
        <v>557</v>
      </c>
      <c r="F5231" s="351"/>
      <c r="G5231" s="81"/>
      <c r="H5231" s="81"/>
      <c r="I5231" s="81"/>
      <c r="J5231" s="81"/>
      <c r="K5231" s="81"/>
      <c r="L5231" s="81"/>
      <c r="M5231" s="81"/>
      <c r="N5231" s="81"/>
    </row>
    <row r="5232" spans="1:14" ht="14.25" customHeight="1" x14ac:dyDescent="0.25">
      <c r="A5232" s="352" t="s">
        <v>1347</v>
      </c>
      <c r="B5232" s="423"/>
      <c r="C5232" s="423">
        <v>5000</v>
      </c>
      <c r="D5232" s="424">
        <v>3</v>
      </c>
      <c r="E5232" s="355">
        <f>+C5232/D5232</f>
        <v>1666.6666666666667</v>
      </c>
      <c r="F5232" s="356">
        <f>+E5232</f>
        <v>1666.6666666666667</v>
      </c>
      <c r="G5232" s="81"/>
      <c r="H5232" s="81"/>
      <c r="I5232" s="81"/>
      <c r="J5232" s="81"/>
      <c r="K5232" s="81"/>
      <c r="L5232" s="81"/>
      <c r="M5232" s="81"/>
      <c r="N5232" s="81"/>
    </row>
    <row r="5233" spans="1:14" ht="14.25" customHeight="1" x14ac:dyDescent="0.25">
      <c r="A5233" s="357"/>
      <c r="B5233" s="425"/>
      <c r="C5233" s="363"/>
      <c r="D5233" s="363"/>
      <c r="E5233" s="426"/>
      <c r="F5233" s="361"/>
      <c r="G5233" s="81"/>
      <c r="H5233" s="81"/>
      <c r="I5233" s="81"/>
      <c r="J5233" s="81"/>
      <c r="K5233" s="81"/>
      <c r="L5233" s="81"/>
      <c r="M5233" s="81"/>
      <c r="N5233" s="81"/>
    </row>
    <row r="5234" spans="1:14" ht="14.25" customHeight="1" thickBot="1" x14ac:dyDescent="0.3">
      <c r="A5234" s="357"/>
      <c r="B5234" s="425"/>
      <c r="C5234" s="363"/>
      <c r="D5234" s="363"/>
      <c r="E5234" s="426"/>
      <c r="F5234" s="362"/>
      <c r="G5234" s="81"/>
      <c r="H5234" s="81"/>
      <c r="I5234" s="81"/>
      <c r="J5234" s="81"/>
      <c r="K5234" s="81"/>
      <c r="L5234" s="81"/>
      <c r="M5234" s="81"/>
      <c r="N5234" s="81"/>
    </row>
    <row r="5235" spans="1:14" ht="14.25" customHeight="1" thickBot="1" x14ac:dyDescent="0.3">
      <c r="A5235" s="357"/>
      <c r="B5235" s="425"/>
      <c r="C5235" s="363"/>
      <c r="D5235" s="638" t="s">
        <v>1348</v>
      </c>
      <c r="E5235" s="639"/>
      <c r="F5235" s="364">
        <f>SUM(F5232:F5234)</f>
        <v>1666.6666666666667</v>
      </c>
      <c r="G5235" s="81"/>
      <c r="H5235" s="81"/>
      <c r="I5235" s="81"/>
      <c r="J5235" s="81"/>
      <c r="K5235" s="81"/>
      <c r="L5235" s="81"/>
      <c r="M5235" s="81"/>
      <c r="N5235" s="81"/>
    </row>
    <row r="5236" spans="1:14" ht="14.25" customHeight="1" thickBot="1" x14ac:dyDescent="0.3">
      <c r="A5236" s="365" t="s">
        <v>553</v>
      </c>
      <c r="B5236" s="366"/>
      <c r="C5236" s="367"/>
      <c r="D5236" s="368"/>
      <c r="E5236" s="369"/>
      <c r="F5236" s="370"/>
      <c r="G5236" s="81"/>
      <c r="H5236" s="81"/>
      <c r="I5236" s="81"/>
      <c r="J5236" s="81"/>
      <c r="K5236" s="81"/>
      <c r="L5236" s="81"/>
      <c r="M5236" s="81"/>
      <c r="N5236" s="81"/>
    </row>
    <row r="5237" spans="1:14" ht="14.25" customHeight="1" thickBot="1" x14ac:dyDescent="0.3">
      <c r="A5237" s="371" t="s">
        <v>505</v>
      </c>
      <c r="B5237" s="372" t="s">
        <v>50</v>
      </c>
      <c r="C5237" s="373" t="s">
        <v>1349</v>
      </c>
      <c r="D5237" s="373" t="s">
        <v>1350</v>
      </c>
      <c r="E5237" s="373" t="s">
        <v>1346</v>
      </c>
      <c r="F5237" s="374" t="s">
        <v>557</v>
      </c>
      <c r="G5237" s="81"/>
      <c r="H5237" s="81"/>
      <c r="I5237" s="81"/>
      <c r="J5237" s="81"/>
      <c r="K5237" s="81"/>
      <c r="L5237" s="81"/>
      <c r="M5237" s="81"/>
      <c r="N5237" s="81"/>
    </row>
    <row r="5238" spans="1:14" ht="14.25" customHeight="1" x14ac:dyDescent="0.25">
      <c r="A5238" s="357" t="s">
        <v>1351</v>
      </c>
      <c r="B5238" s="375">
        <v>1</v>
      </c>
      <c r="C5238" s="376">
        <v>196800</v>
      </c>
      <c r="D5238" s="377">
        <v>1.9402999999999999</v>
      </c>
      <c r="E5238" s="378">
        <v>2.15</v>
      </c>
      <c r="F5238" s="379">
        <f>(B5238*C5238*D5238)/E5238</f>
        <v>177605.13488372092</v>
      </c>
      <c r="G5238" s="81"/>
      <c r="H5238" s="81"/>
      <c r="I5238" s="81"/>
      <c r="J5238" s="81"/>
      <c r="K5238" s="81"/>
      <c r="L5238" s="81"/>
      <c r="M5238" s="81"/>
      <c r="N5238" s="81"/>
    </row>
    <row r="5239" spans="1:14" ht="14.25" customHeight="1" x14ac:dyDescent="0.25">
      <c r="A5239" s="380"/>
      <c r="B5239" s="423"/>
      <c r="C5239" s="363"/>
      <c r="D5239" s="363"/>
      <c r="E5239" s="381"/>
      <c r="F5239" s="382"/>
      <c r="G5239" s="81"/>
      <c r="H5239" s="81"/>
      <c r="I5239" s="81"/>
      <c r="J5239" s="81"/>
      <c r="K5239" s="81"/>
      <c r="L5239" s="81"/>
      <c r="M5239" s="81"/>
      <c r="N5239" s="81"/>
    </row>
    <row r="5240" spans="1:14" ht="14.25" customHeight="1" x14ac:dyDescent="0.25">
      <c r="A5240" s="357"/>
      <c r="B5240" s="425"/>
      <c r="C5240" s="363"/>
      <c r="D5240" s="363"/>
      <c r="E5240" s="426"/>
      <c r="F5240" s="361"/>
      <c r="G5240" s="81"/>
      <c r="H5240" s="81"/>
      <c r="I5240" s="81"/>
      <c r="J5240" s="81"/>
      <c r="K5240" s="81"/>
      <c r="L5240" s="81"/>
      <c r="M5240" s="81"/>
      <c r="N5240" s="81"/>
    </row>
    <row r="5241" spans="1:14" ht="14.25" customHeight="1" thickBot="1" x14ac:dyDescent="0.3">
      <c r="A5241" s="352"/>
      <c r="B5241" s="423"/>
      <c r="C5241" s="363"/>
      <c r="D5241" s="363"/>
      <c r="E5241" s="381"/>
      <c r="F5241" s="383"/>
      <c r="G5241" s="81"/>
      <c r="H5241" s="81"/>
      <c r="I5241" s="81"/>
      <c r="J5241" s="81"/>
      <c r="K5241" s="81"/>
      <c r="L5241" s="81"/>
      <c r="M5241" s="81"/>
      <c r="N5241" s="81"/>
    </row>
    <row r="5242" spans="1:14" ht="14.25" customHeight="1" thickBot="1" x14ac:dyDescent="0.3">
      <c r="A5242" s="352"/>
      <c r="B5242" s="397"/>
      <c r="C5242" s="398"/>
      <c r="D5242" s="640" t="s">
        <v>1352</v>
      </c>
      <c r="E5242" s="641"/>
      <c r="F5242" s="364">
        <f>SUM(F5238:F5241)</f>
        <v>177605.13488372092</v>
      </c>
      <c r="G5242" s="81"/>
      <c r="H5242" s="81"/>
      <c r="I5242" s="81"/>
      <c r="J5242" s="81"/>
      <c r="K5242" s="81"/>
      <c r="L5242" s="81"/>
      <c r="M5242" s="81"/>
      <c r="N5242" s="81"/>
    </row>
    <row r="5243" spans="1:14" ht="14.25" customHeight="1" thickBot="1" x14ac:dyDescent="0.3">
      <c r="A5243" s="386" t="s">
        <v>554</v>
      </c>
      <c r="B5243" s="387"/>
      <c r="C5243" s="388"/>
      <c r="D5243" s="388"/>
      <c r="E5243" s="389"/>
      <c r="F5243" s="390"/>
      <c r="G5243" s="81"/>
      <c r="H5243" s="81"/>
      <c r="I5243" s="81"/>
      <c r="J5243" s="81"/>
      <c r="K5243" s="81"/>
      <c r="L5243" s="81"/>
      <c r="M5243" s="81"/>
      <c r="N5243" s="81"/>
    </row>
    <row r="5244" spans="1:14" ht="14.25" customHeight="1" thickBot="1" x14ac:dyDescent="0.3">
      <c r="A5244" s="371" t="s">
        <v>550</v>
      </c>
      <c r="B5244" s="372"/>
      <c r="C5244" s="373" t="s">
        <v>1353</v>
      </c>
      <c r="D5244" s="373" t="s">
        <v>1354</v>
      </c>
      <c r="E5244" s="373" t="s">
        <v>1355</v>
      </c>
      <c r="F5244" s="374" t="s">
        <v>557</v>
      </c>
      <c r="G5244" s="81"/>
      <c r="H5244" s="81"/>
      <c r="I5244" s="81"/>
      <c r="J5244" s="81"/>
      <c r="K5244" s="81"/>
      <c r="L5244" s="81"/>
      <c r="M5244" s="81"/>
      <c r="N5244" s="81"/>
    </row>
    <row r="5245" spans="1:14" ht="14.25" customHeight="1" x14ac:dyDescent="0.25">
      <c r="A5245" s="391" t="s">
        <v>604</v>
      </c>
      <c r="B5245" s="392"/>
      <c r="C5245" s="393"/>
      <c r="D5245" s="392">
        <v>2.5</v>
      </c>
      <c r="E5245" s="394">
        <v>2500</v>
      </c>
      <c r="F5245" s="427">
        <f>+E5245*D5245</f>
        <v>6250</v>
      </c>
      <c r="G5245" s="81"/>
      <c r="H5245" s="81"/>
      <c r="I5245" s="81"/>
      <c r="J5245" s="81"/>
      <c r="K5245" s="81"/>
      <c r="L5245" s="81"/>
      <c r="M5245" s="81"/>
      <c r="N5245" s="81"/>
    </row>
    <row r="5246" spans="1:14" ht="14.25" customHeight="1" x14ac:dyDescent="0.25">
      <c r="A5246" s="396"/>
      <c r="B5246" s="397"/>
      <c r="C5246" s="398"/>
      <c r="D5246" s="398"/>
      <c r="E5246" s="399"/>
      <c r="F5246" s="400"/>
      <c r="G5246" s="81"/>
      <c r="H5246" s="81"/>
      <c r="I5246" s="81"/>
      <c r="J5246" s="81"/>
      <c r="K5246" s="81"/>
      <c r="L5246" s="81"/>
      <c r="M5246" s="81"/>
      <c r="N5246" s="81"/>
    </row>
    <row r="5247" spans="1:14" ht="14.25" customHeight="1" thickBot="1" x14ac:dyDescent="0.3">
      <c r="A5247" s="396"/>
      <c r="B5247" s="397"/>
      <c r="C5247" s="398"/>
      <c r="D5247" s="398"/>
      <c r="E5247" s="399"/>
      <c r="F5247" s="401"/>
      <c r="G5247" s="81"/>
      <c r="H5247" s="81"/>
      <c r="I5247" s="81"/>
      <c r="J5247" s="81"/>
      <c r="K5247" s="81"/>
      <c r="L5247" s="81"/>
      <c r="M5247" s="81"/>
      <c r="N5247" s="81"/>
    </row>
    <row r="5248" spans="1:14" ht="14.25" customHeight="1" thickBot="1" x14ac:dyDescent="0.3">
      <c r="A5248" s="352"/>
      <c r="B5248" s="397"/>
      <c r="C5248" s="398"/>
      <c r="D5248" s="640" t="s">
        <v>1356</v>
      </c>
      <c r="E5248" s="642"/>
      <c r="F5248" s="402">
        <f>SUM(F5245)</f>
        <v>6250</v>
      </c>
      <c r="G5248" s="81"/>
      <c r="H5248" s="81"/>
      <c r="I5248" s="81"/>
      <c r="J5248" s="81"/>
      <c r="K5248" s="81"/>
      <c r="L5248" s="81"/>
      <c r="M5248" s="81"/>
      <c r="N5248" s="81"/>
    </row>
    <row r="5249" spans="1:14" ht="14.25" customHeight="1" thickBot="1" x14ac:dyDescent="0.3">
      <c r="A5249" s="643"/>
      <c r="B5249" s="644"/>
      <c r="C5249" s="644"/>
      <c r="D5249" s="644"/>
      <c r="E5249" s="403" t="s">
        <v>555</v>
      </c>
      <c r="F5249" s="404">
        <f>+F5248+F5242+F5235+F5229</f>
        <v>1436467.2</v>
      </c>
      <c r="G5249" s="81"/>
      <c r="H5249" s="81"/>
      <c r="I5249" s="81"/>
      <c r="J5249" s="81"/>
      <c r="K5249" s="81"/>
      <c r="L5249" s="81"/>
      <c r="M5249" s="81"/>
      <c r="N5249" s="81"/>
    </row>
    <row r="5250" spans="1:14" ht="14.25" customHeight="1" x14ac:dyDescent="0.25">
      <c r="A5250" s="168"/>
      <c r="B5250" s="168"/>
      <c r="C5250" s="168"/>
      <c r="D5250" s="168"/>
      <c r="E5250" s="168"/>
      <c r="F5250" s="168"/>
      <c r="G5250" s="81"/>
      <c r="H5250" s="81"/>
      <c r="I5250" s="81"/>
      <c r="J5250" s="81"/>
      <c r="K5250" s="81"/>
      <c r="L5250" s="81"/>
      <c r="M5250" s="81"/>
      <c r="N5250" s="81"/>
    </row>
    <row r="5251" spans="1:14" ht="14.25" customHeight="1" x14ac:dyDescent="0.25">
      <c r="A5251" s="168"/>
      <c r="B5251" s="168"/>
      <c r="C5251" s="168"/>
      <c r="D5251" s="168"/>
      <c r="E5251" s="168"/>
      <c r="F5251" s="168"/>
      <c r="G5251" s="81"/>
      <c r="H5251" s="81"/>
      <c r="I5251" s="81"/>
      <c r="J5251" s="81"/>
      <c r="K5251" s="81"/>
      <c r="L5251" s="81"/>
      <c r="M5251" s="81"/>
      <c r="N5251" s="81"/>
    </row>
    <row r="5252" spans="1:14" ht="14.25" customHeight="1" x14ac:dyDescent="0.25">
      <c r="A5252" s="645" t="s">
        <v>561</v>
      </c>
      <c r="B5252" s="646"/>
      <c r="C5252" s="646"/>
      <c r="D5252" s="646"/>
      <c r="E5252" s="646"/>
      <c r="F5252" s="647"/>
      <c r="G5252" s="81"/>
      <c r="H5252" s="117"/>
      <c r="I5252" s="81"/>
      <c r="J5252" s="81"/>
      <c r="K5252" s="81"/>
      <c r="L5252" s="81"/>
      <c r="M5252" s="81"/>
      <c r="N5252" s="81"/>
    </row>
    <row r="5253" spans="1:14" ht="14.25" customHeight="1" thickBot="1" x14ac:dyDescent="0.3">
      <c r="A5253" s="648"/>
      <c r="B5253" s="648"/>
      <c r="C5253" s="648"/>
      <c r="D5253" s="648"/>
      <c r="E5253" s="648"/>
      <c r="F5253" s="648"/>
      <c r="G5253" s="81"/>
      <c r="H5253" s="81"/>
      <c r="I5253" s="81"/>
      <c r="J5253" s="81"/>
      <c r="K5253" s="81"/>
      <c r="L5253" s="81"/>
      <c r="M5253" s="81"/>
      <c r="N5253" s="81"/>
    </row>
    <row r="5254" spans="1:14" ht="14.25" customHeight="1" thickBot="1" x14ac:dyDescent="0.3">
      <c r="A5254" s="309" t="s">
        <v>1334</v>
      </c>
      <c r="B5254" s="310"/>
      <c r="C5254" s="428" t="e">
        <f>+'[110]PPTO UNIATLÁNTICO'!A5161</f>
        <v>#REF!</v>
      </c>
      <c r="D5254" s="312"/>
      <c r="E5254" s="312"/>
      <c r="F5254" s="313" t="s">
        <v>49</v>
      </c>
      <c r="G5254" s="81"/>
      <c r="H5254" s="81"/>
      <c r="I5254" s="81"/>
      <c r="J5254" s="81"/>
      <c r="K5254" s="81"/>
      <c r="L5254" s="81"/>
      <c r="M5254" s="81"/>
      <c r="N5254" s="81"/>
    </row>
    <row r="5255" spans="1:14" ht="14.25" customHeight="1" thickBot="1" x14ac:dyDescent="0.3">
      <c r="A5255" s="314" t="e">
        <f>+'[110]PPTO UNIATLÁNTICO'!B5161</f>
        <v>#REF!</v>
      </c>
      <c r="B5255" s="315"/>
      <c r="C5255" s="315"/>
      <c r="D5255" s="316"/>
      <c r="E5255" s="316"/>
      <c r="F5255" s="317" t="s">
        <v>85</v>
      </c>
      <c r="G5255" s="81"/>
      <c r="H5255" s="81"/>
      <c r="I5255" s="81"/>
      <c r="J5255" s="81"/>
      <c r="K5255" s="81"/>
      <c r="L5255" s="81"/>
      <c r="M5255" s="81"/>
      <c r="N5255" s="81"/>
    </row>
    <row r="5256" spans="1:14" ht="14.25" customHeight="1" thickBot="1" x14ac:dyDescent="0.3">
      <c r="A5256" s="652"/>
      <c r="B5256" s="653"/>
      <c r="C5256" s="653"/>
      <c r="D5256" s="653"/>
      <c r="E5256" s="653"/>
      <c r="F5256" s="654"/>
      <c r="G5256" s="81"/>
      <c r="H5256" s="81"/>
      <c r="I5256" s="81"/>
      <c r="J5256" s="81"/>
      <c r="K5256" s="81"/>
      <c r="L5256" s="81"/>
      <c r="M5256" s="81"/>
      <c r="N5256" s="81"/>
    </row>
    <row r="5257" spans="1:14" ht="14.25" customHeight="1" thickBot="1" x14ac:dyDescent="0.3">
      <c r="A5257" s="633" t="s">
        <v>1335</v>
      </c>
      <c r="B5257" s="634"/>
      <c r="C5257" s="634"/>
      <c r="D5257" s="634"/>
      <c r="E5257" s="634"/>
      <c r="F5257" s="635"/>
      <c r="G5257" s="81"/>
      <c r="H5257" s="81"/>
      <c r="I5257" s="81"/>
      <c r="J5257" s="81"/>
      <c r="K5257" s="81"/>
      <c r="L5257" s="81"/>
      <c r="M5257" s="81"/>
      <c r="N5257" s="81"/>
    </row>
    <row r="5258" spans="1:14" ht="14.25" customHeight="1" thickBot="1" x14ac:dyDescent="0.3">
      <c r="A5258" s="318" t="s">
        <v>550</v>
      </c>
      <c r="B5258" s="319" t="s">
        <v>49</v>
      </c>
      <c r="C5258" s="319" t="s">
        <v>50</v>
      </c>
      <c r="D5258" s="319" t="s">
        <v>1357</v>
      </c>
      <c r="E5258" s="320" t="s">
        <v>1337</v>
      </c>
      <c r="F5258" s="321" t="s">
        <v>1338</v>
      </c>
      <c r="G5258" s="81"/>
      <c r="H5258" s="81"/>
      <c r="I5258" s="81"/>
      <c r="J5258" s="81"/>
      <c r="K5258" s="81"/>
      <c r="L5258" s="81"/>
      <c r="M5258" s="81"/>
      <c r="N5258" s="81"/>
    </row>
    <row r="5259" spans="1:14" ht="14.25" customHeight="1" x14ac:dyDescent="0.25">
      <c r="A5259" s="419" t="s">
        <v>1361</v>
      </c>
      <c r="B5259" s="420" t="s">
        <v>85</v>
      </c>
      <c r="C5259" s="421">
        <v>1</v>
      </c>
      <c r="D5259" s="325"/>
      <c r="E5259" s="422">
        <v>648319.26666666672</v>
      </c>
      <c r="F5259" s="327">
        <f>+C5259*E5259</f>
        <v>648319.26666666672</v>
      </c>
      <c r="G5259" s="81"/>
      <c r="H5259" s="81"/>
      <c r="I5259" s="81"/>
      <c r="J5259" s="81"/>
      <c r="K5259" s="81"/>
      <c r="L5259" s="81"/>
      <c r="M5259" s="81"/>
      <c r="N5259" s="81"/>
    </row>
    <row r="5260" spans="1:14" ht="14.25" customHeight="1" x14ac:dyDescent="0.25">
      <c r="A5260" s="328"/>
      <c r="B5260" s="329"/>
      <c r="C5260" s="330"/>
      <c r="D5260" s="331"/>
      <c r="E5260" s="336"/>
      <c r="F5260" s="333"/>
      <c r="G5260" s="81"/>
      <c r="H5260" s="81"/>
      <c r="I5260" s="81"/>
      <c r="J5260" s="81"/>
      <c r="K5260" s="81"/>
      <c r="L5260" s="81"/>
      <c r="M5260" s="81"/>
      <c r="N5260" s="81"/>
    </row>
    <row r="5261" spans="1:14" s="305" customFormat="1" ht="14.25" customHeight="1" x14ac:dyDescent="0.25">
      <c r="A5261" s="334"/>
      <c r="B5261" s="329"/>
      <c r="C5261" s="330"/>
      <c r="D5261" s="331"/>
      <c r="E5261" s="336"/>
      <c r="F5261" s="333"/>
      <c r="G5261" s="304"/>
      <c r="H5261" s="304"/>
      <c r="I5261" s="304"/>
      <c r="J5261" s="304"/>
      <c r="K5261" s="304"/>
      <c r="L5261" s="304"/>
      <c r="M5261" s="304"/>
      <c r="N5261" s="304"/>
    </row>
    <row r="5262" spans="1:14" ht="32.25" customHeight="1" x14ac:dyDescent="0.25">
      <c r="A5262" s="334"/>
      <c r="B5262" s="335"/>
      <c r="C5262" s="330"/>
      <c r="D5262" s="331"/>
      <c r="E5262" s="336"/>
      <c r="F5262" s="333"/>
      <c r="G5262" s="81"/>
      <c r="H5262" s="81"/>
      <c r="I5262" s="81"/>
      <c r="J5262" s="81"/>
      <c r="K5262" s="81"/>
      <c r="L5262" s="81"/>
      <c r="M5262" s="81"/>
      <c r="N5262" s="81"/>
    </row>
    <row r="5263" spans="1:14" ht="14.25" customHeight="1" thickBot="1" x14ac:dyDescent="0.3">
      <c r="A5263" s="337"/>
      <c r="B5263" s="338"/>
      <c r="C5263" s="339"/>
      <c r="D5263" s="340"/>
      <c r="E5263" s="341" t="s">
        <v>1342</v>
      </c>
      <c r="F5263" s="342"/>
      <c r="G5263" s="81"/>
      <c r="H5263" s="81"/>
      <c r="I5263" s="81"/>
      <c r="J5263" s="81"/>
      <c r="K5263" s="81"/>
      <c r="L5263" s="81"/>
      <c r="M5263" s="81"/>
      <c r="N5263" s="81"/>
    </row>
    <row r="5264" spans="1:14" ht="14.25" customHeight="1" thickBot="1" x14ac:dyDescent="0.3">
      <c r="A5264" s="343"/>
      <c r="B5264" s="344"/>
      <c r="C5264" s="345"/>
      <c r="D5264" s="636" t="s">
        <v>1343</v>
      </c>
      <c r="E5264" s="637"/>
      <c r="F5264" s="346">
        <f>SUM(F5259:F5261)</f>
        <v>648319.26666666672</v>
      </c>
      <c r="G5264" s="81"/>
      <c r="H5264" s="81"/>
      <c r="I5264" s="81"/>
      <c r="J5264" s="81"/>
      <c r="K5264" s="81"/>
      <c r="L5264" s="81"/>
      <c r="M5264" s="81"/>
      <c r="N5264" s="81"/>
    </row>
    <row r="5265" spans="1:14" ht="14.25" customHeight="1" thickBot="1" x14ac:dyDescent="0.3">
      <c r="A5265" s="633" t="s">
        <v>1344</v>
      </c>
      <c r="B5265" s="634"/>
      <c r="C5265" s="634"/>
      <c r="D5265" s="634"/>
      <c r="E5265" s="634"/>
      <c r="F5265" s="635"/>
      <c r="G5265" s="81"/>
      <c r="H5265" s="81"/>
      <c r="I5265" s="81"/>
      <c r="J5265" s="81"/>
      <c r="K5265" s="81"/>
      <c r="L5265" s="81"/>
      <c r="M5265" s="81"/>
      <c r="N5265" s="81"/>
    </row>
    <row r="5266" spans="1:14" ht="14.25" customHeight="1" thickBot="1" x14ac:dyDescent="0.3">
      <c r="A5266" s="347" t="s">
        <v>505</v>
      </c>
      <c r="B5266" s="344"/>
      <c r="C5266" s="348" t="s">
        <v>1345</v>
      </c>
      <c r="D5266" s="349" t="s">
        <v>1346</v>
      </c>
      <c r="E5266" s="350" t="s">
        <v>557</v>
      </c>
      <c r="F5266" s="351"/>
      <c r="G5266" s="81"/>
      <c r="H5266" s="81"/>
      <c r="I5266" s="81"/>
      <c r="J5266" s="81"/>
      <c r="K5266" s="81"/>
      <c r="L5266" s="81"/>
      <c r="M5266" s="81"/>
      <c r="N5266" s="81"/>
    </row>
    <row r="5267" spans="1:14" ht="14.25" customHeight="1" x14ac:dyDescent="0.25">
      <c r="A5267" s="352" t="s">
        <v>1347</v>
      </c>
      <c r="B5267" s="353"/>
      <c r="C5267" s="353">
        <v>5000</v>
      </c>
      <c r="D5267" s="354">
        <v>10</v>
      </c>
      <c r="E5267" s="355">
        <f>+C5267/D5267</f>
        <v>500</v>
      </c>
      <c r="F5267" s="356">
        <f>+E5267</f>
        <v>500</v>
      </c>
      <c r="G5267" s="81"/>
      <c r="H5267" s="81"/>
      <c r="I5267" s="81"/>
      <c r="J5267" s="81"/>
      <c r="K5267" s="81"/>
      <c r="L5267" s="81"/>
      <c r="M5267" s="81"/>
      <c r="N5267" s="81"/>
    </row>
    <row r="5268" spans="1:14" ht="30.75" customHeight="1" x14ac:dyDescent="0.25">
      <c r="A5268" s="357"/>
      <c r="B5268" s="358"/>
      <c r="C5268" s="359"/>
      <c r="D5268" s="359"/>
      <c r="E5268" s="360"/>
      <c r="F5268" s="361"/>
      <c r="G5268" s="81"/>
      <c r="H5268" s="81"/>
      <c r="I5268" s="81"/>
      <c r="J5268" s="81"/>
      <c r="K5268" s="81"/>
      <c r="L5268" s="81"/>
      <c r="M5268" s="81"/>
      <c r="N5268" s="81"/>
    </row>
    <row r="5269" spans="1:14" ht="14.25" customHeight="1" thickBot="1" x14ac:dyDescent="0.3">
      <c r="A5269" s="357"/>
      <c r="B5269" s="358"/>
      <c r="C5269" s="359"/>
      <c r="D5269" s="359"/>
      <c r="E5269" s="360"/>
      <c r="F5269" s="362"/>
      <c r="G5269" s="81"/>
      <c r="H5269" s="81"/>
      <c r="I5269" s="81"/>
      <c r="J5269" s="81"/>
      <c r="K5269" s="81"/>
      <c r="L5269" s="81"/>
      <c r="M5269" s="81"/>
      <c r="N5269" s="81"/>
    </row>
    <row r="5270" spans="1:14" ht="14.25" customHeight="1" thickBot="1" x14ac:dyDescent="0.3">
      <c r="A5270" s="357"/>
      <c r="B5270" s="358"/>
      <c r="C5270" s="363"/>
      <c r="D5270" s="638" t="s">
        <v>1348</v>
      </c>
      <c r="E5270" s="639"/>
      <c r="F5270" s="364">
        <f>SUM(F5267:F5269)</f>
        <v>500</v>
      </c>
      <c r="G5270" s="81"/>
      <c r="H5270" s="81"/>
      <c r="I5270" s="81"/>
      <c r="J5270" s="81"/>
      <c r="K5270" s="81"/>
      <c r="L5270" s="81"/>
      <c r="M5270" s="81"/>
      <c r="N5270" s="81"/>
    </row>
    <row r="5271" spans="1:14" ht="14.25" customHeight="1" thickBot="1" x14ac:dyDescent="0.3">
      <c r="A5271" s="365" t="s">
        <v>553</v>
      </c>
      <c r="B5271" s="366"/>
      <c r="C5271" s="367"/>
      <c r="D5271" s="368"/>
      <c r="E5271" s="369"/>
      <c r="F5271" s="370"/>
      <c r="G5271" s="81"/>
      <c r="H5271" s="81"/>
      <c r="I5271" s="81"/>
      <c r="J5271" s="81"/>
      <c r="K5271" s="81"/>
      <c r="L5271" s="81"/>
      <c r="M5271" s="81"/>
      <c r="N5271" s="81"/>
    </row>
    <row r="5272" spans="1:14" ht="14.25" customHeight="1" thickBot="1" x14ac:dyDescent="0.3">
      <c r="A5272" s="371" t="s">
        <v>505</v>
      </c>
      <c r="B5272" s="372" t="s">
        <v>50</v>
      </c>
      <c r="C5272" s="373" t="s">
        <v>1349</v>
      </c>
      <c r="D5272" s="373" t="s">
        <v>1350</v>
      </c>
      <c r="E5272" s="373" t="s">
        <v>1346</v>
      </c>
      <c r="F5272" s="374" t="s">
        <v>557</v>
      </c>
      <c r="G5272" s="81"/>
      <c r="H5272" s="81"/>
      <c r="I5272" s="81"/>
      <c r="J5272" s="81"/>
      <c r="K5272" s="81"/>
      <c r="L5272" s="81"/>
      <c r="M5272" s="81"/>
      <c r="N5272" s="81"/>
    </row>
    <row r="5273" spans="1:14" ht="14.25" customHeight="1" x14ac:dyDescent="0.25">
      <c r="A5273" s="357" t="s">
        <v>1351</v>
      </c>
      <c r="B5273" s="375">
        <v>1</v>
      </c>
      <c r="C5273" s="376">
        <v>196800</v>
      </c>
      <c r="D5273" s="377">
        <v>1.9402999999999999</v>
      </c>
      <c r="E5273" s="378">
        <v>3.6</v>
      </c>
      <c r="F5273" s="379">
        <f>(B5273*C5273*D5273)/E5273</f>
        <v>106069.73333333332</v>
      </c>
      <c r="G5273" s="81"/>
      <c r="H5273" s="81"/>
      <c r="I5273" s="81"/>
      <c r="J5273" s="81"/>
      <c r="K5273" s="81"/>
      <c r="L5273" s="81"/>
      <c r="M5273" s="81"/>
      <c r="N5273" s="81"/>
    </row>
    <row r="5274" spans="1:14" ht="14.25" customHeight="1" x14ac:dyDescent="0.25">
      <c r="A5274" s="380"/>
      <c r="B5274" s="353"/>
      <c r="C5274" s="359"/>
      <c r="D5274" s="359"/>
      <c r="E5274" s="381"/>
      <c r="F5274" s="382"/>
      <c r="G5274" s="81"/>
      <c r="H5274" s="81"/>
      <c r="I5274" s="81"/>
      <c r="J5274" s="81"/>
      <c r="K5274" s="81"/>
      <c r="L5274" s="81"/>
      <c r="M5274" s="81"/>
      <c r="N5274" s="81"/>
    </row>
    <row r="5275" spans="1:14" ht="14.25" customHeight="1" x14ac:dyDescent="0.25">
      <c r="A5275" s="357"/>
      <c r="B5275" s="358"/>
      <c r="C5275" s="359"/>
      <c r="D5275" s="359"/>
      <c r="E5275" s="360"/>
      <c r="F5275" s="361"/>
      <c r="G5275" s="81"/>
      <c r="H5275" s="81"/>
      <c r="I5275" s="81"/>
      <c r="J5275" s="81"/>
      <c r="K5275" s="81"/>
      <c r="L5275" s="81"/>
      <c r="M5275" s="81"/>
      <c r="N5275" s="81"/>
    </row>
    <row r="5276" spans="1:14" ht="14.25" customHeight="1" thickBot="1" x14ac:dyDescent="0.3">
      <c r="A5276" s="352"/>
      <c r="B5276" s="353"/>
      <c r="C5276" s="359"/>
      <c r="D5276" s="359"/>
      <c r="E5276" s="381"/>
      <c r="F5276" s="383"/>
      <c r="G5276" s="81"/>
      <c r="H5276" s="81"/>
      <c r="I5276" s="81"/>
      <c r="J5276" s="81"/>
      <c r="K5276" s="81"/>
      <c r="L5276" s="81"/>
      <c r="M5276" s="81"/>
      <c r="N5276" s="81"/>
    </row>
    <row r="5277" spans="1:14" ht="14.25" customHeight="1" thickBot="1" x14ac:dyDescent="0.3">
      <c r="A5277" s="352"/>
      <c r="B5277" s="384"/>
      <c r="C5277" s="385"/>
      <c r="D5277" s="640" t="s">
        <v>1352</v>
      </c>
      <c r="E5277" s="641"/>
      <c r="F5277" s="364">
        <f>SUM(F5273:F5276)</f>
        <v>106069.73333333332</v>
      </c>
      <c r="G5277" s="81"/>
      <c r="H5277" s="81"/>
      <c r="I5277" s="81"/>
      <c r="J5277" s="81"/>
      <c r="K5277" s="81"/>
      <c r="L5277" s="81"/>
      <c r="M5277" s="81"/>
      <c r="N5277" s="81"/>
    </row>
    <row r="5278" spans="1:14" ht="14.25" customHeight="1" thickBot="1" x14ac:dyDescent="0.3">
      <c r="A5278" s="386" t="s">
        <v>554</v>
      </c>
      <c r="B5278" s="387"/>
      <c r="C5278" s="388"/>
      <c r="D5278" s="388"/>
      <c r="E5278" s="389"/>
      <c r="F5278" s="390"/>
      <c r="G5278" s="81"/>
      <c r="H5278" s="81"/>
      <c r="I5278" s="81"/>
      <c r="J5278" s="81"/>
      <c r="K5278" s="81"/>
      <c r="L5278" s="81"/>
      <c r="M5278" s="81"/>
      <c r="N5278" s="81"/>
    </row>
    <row r="5279" spans="1:14" ht="14.25" customHeight="1" thickBot="1" x14ac:dyDescent="0.3">
      <c r="A5279" s="371" t="s">
        <v>550</v>
      </c>
      <c r="B5279" s="372"/>
      <c r="C5279" s="373" t="s">
        <v>1353</v>
      </c>
      <c r="D5279" s="373" t="s">
        <v>1354</v>
      </c>
      <c r="E5279" s="373" t="s">
        <v>1355</v>
      </c>
      <c r="F5279" s="374" t="s">
        <v>557</v>
      </c>
      <c r="G5279" s="81"/>
      <c r="H5279" s="81"/>
      <c r="I5279" s="81"/>
      <c r="J5279" s="81"/>
      <c r="K5279" s="81"/>
      <c r="L5279" s="81"/>
      <c r="M5279" s="81"/>
      <c r="N5279" s="81"/>
    </row>
    <row r="5280" spans="1:14" ht="14.25" customHeight="1" x14ac:dyDescent="0.25">
      <c r="A5280" s="391" t="s">
        <v>604</v>
      </c>
      <c r="B5280" s="392"/>
      <c r="C5280" s="393"/>
      <c r="D5280" s="392">
        <v>2.5</v>
      </c>
      <c r="E5280" s="429">
        <v>462</v>
      </c>
      <c r="F5280" s="427">
        <f>+E5280*D5280</f>
        <v>1155</v>
      </c>
      <c r="G5280" s="81"/>
      <c r="H5280" s="81"/>
      <c r="I5280" s="81"/>
      <c r="J5280" s="81"/>
      <c r="K5280" s="81"/>
      <c r="L5280" s="81"/>
      <c r="M5280" s="81"/>
      <c r="N5280" s="81"/>
    </row>
    <row r="5281" spans="1:14" ht="14.25" customHeight="1" x14ac:dyDescent="0.25">
      <c r="A5281" s="396"/>
      <c r="B5281" s="397"/>
      <c r="C5281" s="398"/>
      <c r="D5281" s="398"/>
      <c r="E5281" s="399"/>
      <c r="F5281" s="400"/>
      <c r="G5281" s="81"/>
      <c r="H5281" s="81"/>
      <c r="I5281" s="81"/>
      <c r="J5281" s="81"/>
      <c r="K5281" s="81"/>
      <c r="L5281" s="81"/>
      <c r="M5281" s="81"/>
      <c r="N5281" s="81"/>
    </row>
    <row r="5282" spans="1:14" ht="14.25" customHeight="1" thickBot="1" x14ac:dyDescent="0.3">
      <c r="A5282" s="396"/>
      <c r="B5282" s="397"/>
      <c r="C5282" s="398"/>
      <c r="D5282" s="398"/>
      <c r="E5282" s="399"/>
      <c r="F5282" s="401"/>
      <c r="G5282" s="81"/>
      <c r="H5282" s="81"/>
      <c r="I5282" s="81"/>
      <c r="J5282" s="81"/>
      <c r="K5282" s="81"/>
      <c r="L5282" s="81"/>
      <c r="M5282" s="81"/>
      <c r="N5282" s="81"/>
    </row>
    <row r="5283" spans="1:14" ht="14.25" customHeight="1" thickBot="1" x14ac:dyDescent="0.3">
      <c r="A5283" s="352"/>
      <c r="B5283" s="384"/>
      <c r="C5283" s="385"/>
      <c r="D5283" s="640" t="s">
        <v>1356</v>
      </c>
      <c r="E5283" s="642"/>
      <c r="F5283" s="402">
        <f>SUM(F5280)</f>
        <v>1155</v>
      </c>
      <c r="G5283" s="81"/>
      <c r="H5283" s="81"/>
      <c r="I5283" s="81"/>
      <c r="J5283" s="81"/>
      <c r="K5283" s="81"/>
      <c r="L5283" s="81"/>
      <c r="M5283" s="81"/>
      <c r="N5283" s="81"/>
    </row>
    <row r="5284" spans="1:14" ht="14.25" customHeight="1" thickBot="1" x14ac:dyDescent="0.3">
      <c r="A5284" s="643"/>
      <c r="B5284" s="644"/>
      <c r="C5284" s="644"/>
      <c r="D5284" s="644"/>
      <c r="E5284" s="403" t="s">
        <v>555</v>
      </c>
      <c r="F5284" s="404">
        <f>+F5283+F5277+F5270+F5264</f>
        <v>756044</v>
      </c>
      <c r="G5284" s="81"/>
      <c r="H5284" s="81"/>
      <c r="I5284" s="81"/>
      <c r="J5284" s="81"/>
      <c r="K5284" s="81"/>
      <c r="L5284" s="81"/>
      <c r="M5284" s="81"/>
      <c r="N5284" s="81"/>
    </row>
    <row r="5285" spans="1:14" ht="14.25" customHeight="1" x14ac:dyDescent="0.25">
      <c r="A5285" s="168"/>
      <c r="B5285" s="168"/>
      <c r="C5285" s="168"/>
      <c r="D5285" s="168"/>
      <c r="E5285" s="168"/>
      <c r="F5285" s="168"/>
      <c r="G5285" s="81"/>
      <c r="H5285" s="81"/>
      <c r="I5285" s="81"/>
      <c r="J5285" s="81"/>
      <c r="K5285" s="81"/>
      <c r="L5285" s="81"/>
      <c r="M5285" s="81"/>
      <c r="N5285" s="81"/>
    </row>
    <row r="5286" spans="1:14" ht="14.25" customHeight="1" x14ac:dyDescent="0.25">
      <c r="A5286" s="168"/>
      <c r="B5286" s="168"/>
      <c r="C5286" s="168"/>
      <c r="D5286" s="168"/>
      <c r="E5286" s="168"/>
      <c r="F5286" s="168"/>
      <c r="G5286" s="81"/>
      <c r="H5286" s="81"/>
      <c r="I5286" s="81"/>
      <c r="J5286" s="81"/>
      <c r="K5286" s="81"/>
      <c r="L5286" s="81"/>
      <c r="M5286" s="81"/>
      <c r="N5286" s="81"/>
    </row>
    <row r="5287" spans="1:14" ht="14.25" customHeight="1" x14ac:dyDescent="0.25">
      <c r="A5287" s="645" t="s">
        <v>561</v>
      </c>
      <c r="B5287" s="646"/>
      <c r="C5287" s="646"/>
      <c r="D5287" s="646"/>
      <c r="E5287" s="646"/>
      <c r="F5287" s="647"/>
      <c r="G5287" s="81"/>
      <c r="H5287" s="81"/>
      <c r="I5287" s="81"/>
      <c r="J5287" s="81"/>
      <c r="K5287" s="81"/>
      <c r="L5287" s="81"/>
      <c r="M5287" s="81"/>
      <c r="N5287" s="81"/>
    </row>
    <row r="5288" spans="1:14" ht="14.25" customHeight="1" thickBot="1" x14ac:dyDescent="0.3">
      <c r="A5288" s="648"/>
      <c r="B5288" s="648"/>
      <c r="C5288" s="648"/>
      <c r="D5288" s="648"/>
      <c r="E5288" s="648"/>
      <c r="F5288" s="648"/>
      <c r="G5288" s="81"/>
      <c r="H5288" s="81"/>
      <c r="I5288" s="81"/>
      <c r="J5288" s="81"/>
      <c r="K5288" s="81"/>
      <c r="L5288" s="81"/>
      <c r="M5288" s="81"/>
      <c r="N5288" s="81"/>
    </row>
    <row r="5289" spans="1:14" ht="14.25" customHeight="1" thickBot="1" x14ac:dyDescent="0.3">
      <c r="A5289" s="309" t="s">
        <v>1334</v>
      </c>
      <c r="B5289" s="310"/>
      <c r="C5289" s="430" t="e">
        <f>+'[110]PPTO UNIATLÁNTICO'!A5162</f>
        <v>#REF!</v>
      </c>
      <c r="D5289" s="312"/>
      <c r="E5289" s="312"/>
      <c r="F5289" s="313" t="s">
        <v>49</v>
      </c>
      <c r="G5289" s="81"/>
      <c r="H5289" s="81"/>
      <c r="I5289" s="81"/>
      <c r="J5289" s="81"/>
      <c r="K5289" s="81"/>
      <c r="L5289" s="81"/>
      <c r="M5289" s="81"/>
      <c r="N5289" s="81"/>
    </row>
    <row r="5290" spans="1:14" ht="14.25" customHeight="1" thickBot="1" x14ac:dyDescent="0.3">
      <c r="A5290" s="314" t="e">
        <f>+'[110]PPTO UNIATLÁNTICO'!B5162</f>
        <v>#REF!</v>
      </c>
      <c r="B5290" s="315"/>
      <c r="C5290" s="315"/>
      <c r="D5290" s="316"/>
      <c r="E5290" s="316"/>
      <c r="F5290" s="317" t="s">
        <v>59</v>
      </c>
      <c r="G5290" s="81"/>
      <c r="H5290" s="81"/>
      <c r="I5290" s="81"/>
      <c r="J5290" s="81"/>
      <c r="K5290" s="81"/>
      <c r="L5290" s="81"/>
      <c r="M5290" s="81"/>
      <c r="N5290" s="81"/>
    </row>
    <row r="5291" spans="1:14" ht="14.25" customHeight="1" thickBot="1" x14ac:dyDescent="0.3">
      <c r="A5291" s="652"/>
      <c r="B5291" s="653"/>
      <c r="C5291" s="653"/>
      <c r="D5291" s="653"/>
      <c r="E5291" s="653"/>
      <c r="F5291" s="654"/>
      <c r="G5291" s="81"/>
      <c r="H5291" s="81"/>
      <c r="I5291" s="81"/>
      <c r="J5291" s="81"/>
      <c r="K5291" s="81"/>
      <c r="L5291" s="81"/>
      <c r="M5291" s="81"/>
      <c r="N5291" s="81"/>
    </row>
    <row r="5292" spans="1:14" ht="14.25" customHeight="1" thickBot="1" x14ac:dyDescent="0.3">
      <c r="A5292" s="633" t="s">
        <v>1335</v>
      </c>
      <c r="B5292" s="634"/>
      <c r="C5292" s="634"/>
      <c r="D5292" s="634"/>
      <c r="E5292" s="634"/>
      <c r="F5292" s="635"/>
      <c r="G5292" s="81"/>
      <c r="H5292" s="81"/>
      <c r="I5292" s="81"/>
      <c r="J5292" s="81"/>
      <c r="K5292" s="81"/>
      <c r="L5292" s="81"/>
      <c r="M5292" s="81"/>
      <c r="N5292" s="81"/>
    </row>
    <row r="5293" spans="1:14" ht="14.25" customHeight="1" thickBot="1" x14ac:dyDescent="0.3">
      <c r="A5293" s="318" t="s">
        <v>550</v>
      </c>
      <c r="B5293" s="319" t="s">
        <v>49</v>
      </c>
      <c r="C5293" s="319" t="s">
        <v>50</v>
      </c>
      <c r="D5293" s="319" t="s">
        <v>1357</v>
      </c>
      <c r="E5293" s="320" t="s">
        <v>1337</v>
      </c>
      <c r="F5293" s="321" t="s">
        <v>1338</v>
      </c>
      <c r="G5293" s="81"/>
      <c r="H5293" s="81"/>
      <c r="I5293" s="81"/>
      <c r="J5293" s="81"/>
      <c r="K5293" s="81"/>
      <c r="L5293" s="81"/>
      <c r="M5293" s="81"/>
      <c r="N5293" s="81"/>
    </row>
    <row r="5294" spans="1:14" ht="14.25" customHeight="1" x14ac:dyDescent="0.25">
      <c r="A5294" s="419" t="s">
        <v>1339</v>
      </c>
      <c r="B5294" s="420" t="s">
        <v>560</v>
      </c>
      <c r="C5294" s="421">
        <v>8</v>
      </c>
      <c r="D5294" s="325"/>
      <c r="E5294" s="326">
        <v>5487.09</v>
      </c>
      <c r="F5294" s="327">
        <f>+C5294*E5294</f>
        <v>43896.72</v>
      </c>
      <c r="G5294" s="81"/>
      <c r="H5294" s="81"/>
      <c r="I5294" s="81"/>
      <c r="J5294" s="81"/>
      <c r="K5294" s="81"/>
      <c r="L5294" s="81"/>
      <c r="M5294" s="81"/>
      <c r="N5294" s="81"/>
    </row>
    <row r="5295" spans="1:14" ht="14.25" customHeight="1" x14ac:dyDescent="0.25">
      <c r="A5295" s="328" t="s">
        <v>1340</v>
      </c>
      <c r="B5295" s="329" t="s">
        <v>85</v>
      </c>
      <c r="C5295" s="330">
        <v>0.2</v>
      </c>
      <c r="D5295" s="331"/>
      <c r="E5295" s="332">
        <v>10500</v>
      </c>
      <c r="F5295" s="333">
        <f>+C5295*E5295</f>
        <v>2100</v>
      </c>
      <c r="G5295" s="81"/>
      <c r="H5295" s="81"/>
      <c r="I5295" s="81"/>
      <c r="J5295" s="81"/>
      <c r="K5295" s="81"/>
      <c r="L5295" s="81"/>
      <c r="M5295" s="81"/>
      <c r="N5295" s="81"/>
    </row>
    <row r="5296" spans="1:14" ht="14.25" customHeight="1" x14ac:dyDescent="0.25">
      <c r="A5296" s="334" t="s">
        <v>1341</v>
      </c>
      <c r="B5296" s="329" t="s">
        <v>85</v>
      </c>
      <c r="C5296" s="330">
        <v>0.3</v>
      </c>
      <c r="D5296" s="331"/>
      <c r="E5296" s="332">
        <v>7500</v>
      </c>
      <c r="F5296" s="333">
        <f>+C5296*E5296</f>
        <v>2250</v>
      </c>
      <c r="G5296" s="81"/>
      <c r="H5296" s="81"/>
      <c r="I5296" s="81"/>
      <c r="J5296" s="81"/>
      <c r="K5296" s="81"/>
      <c r="L5296" s="81"/>
      <c r="M5296" s="81"/>
      <c r="N5296" s="81"/>
    </row>
    <row r="5297" spans="1:14" ht="14.25" customHeight="1" x14ac:dyDescent="0.25">
      <c r="A5297" s="334"/>
      <c r="B5297" s="335"/>
      <c r="C5297" s="330"/>
      <c r="D5297" s="331"/>
      <c r="E5297" s="336"/>
      <c r="F5297" s="333"/>
      <c r="G5297" s="81"/>
      <c r="H5297" s="81"/>
      <c r="I5297" s="81"/>
      <c r="J5297" s="81"/>
      <c r="K5297" s="81"/>
      <c r="L5297" s="81"/>
      <c r="M5297" s="81"/>
      <c r="N5297" s="81"/>
    </row>
    <row r="5298" spans="1:14" ht="14.25" customHeight="1" thickBot="1" x14ac:dyDescent="0.3">
      <c r="A5298" s="337"/>
      <c r="B5298" s="338"/>
      <c r="C5298" s="339"/>
      <c r="D5298" s="340"/>
      <c r="E5298" s="341" t="s">
        <v>1342</v>
      </c>
      <c r="F5298" s="342"/>
      <c r="G5298" s="81"/>
      <c r="H5298" s="81"/>
      <c r="I5298" s="81"/>
      <c r="J5298" s="81"/>
      <c r="K5298" s="81"/>
      <c r="L5298" s="81"/>
      <c r="M5298" s="81"/>
      <c r="N5298" s="81"/>
    </row>
    <row r="5299" spans="1:14" ht="14.25" customHeight="1" thickBot="1" x14ac:dyDescent="0.3">
      <c r="A5299" s="343"/>
      <c r="B5299" s="344"/>
      <c r="C5299" s="345"/>
      <c r="D5299" s="636" t="s">
        <v>1343</v>
      </c>
      <c r="E5299" s="637"/>
      <c r="F5299" s="346">
        <f>SUM(F5294:F5296)</f>
        <v>48246.720000000001</v>
      </c>
      <c r="G5299" s="81"/>
      <c r="H5299" s="117"/>
      <c r="I5299" s="81"/>
      <c r="J5299" s="81"/>
      <c r="K5299" s="81"/>
      <c r="L5299" s="81"/>
      <c r="M5299" s="81"/>
      <c r="N5299" s="81"/>
    </row>
    <row r="5300" spans="1:14" ht="14.25" customHeight="1" thickBot="1" x14ac:dyDescent="0.3">
      <c r="A5300" s="633" t="s">
        <v>1344</v>
      </c>
      <c r="B5300" s="634"/>
      <c r="C5300" s="634"/>
      <c r="D5300" s="634"/>
      <c r="E5300" s="634"/>
      <c r="F5300" s="635"/>
      <c r="G5300" s="81"/>
      <c r="H5300" s="81"/>
      <c r="I5300" s="81"/>
      <c r="J5300" s="81"/>
      <c r="K5300" s="81"/>
      <c r="L5300" s="81"/>
      <c r="M5300" s="81"/>
      <c r="N5300" s="81"/>
    </row>
    <row r="5301" spans="1:14" ht="14.25" customHeight="1" thickBot="1" x14ac:dyDescent="0.3">
      <c r="A5301" s="347" t="s">
        <v>505</v>
      </c>
      <c r="B5301" s="344"/>
      <c r="C5301" s="348" t="s">
        <v>1345</v>
      </c>
      <c r="D5301" s="349" t="s">
        <v>1346</v>
      </c>
      <c r="E5301" s="350" t="s">
        <v>557</v>
      </c>
      <c r="F5301" s="351"/>
      <c r="G5301" s="81"/>
      <c r="H5301" s="143"/>
      <c r="I5301" s="81"/>
      <c r="J5301" s="81"/>
      <c r="K5301" s="81"/>
      <c r="L5301" s="81"/>
      <c r="M5301" s="81"/>
      <c r="N5301" s="81"/>
    </row>
    <row r="5302" spans="1:14" ht="14.25" customHeight="1" x14ac:dyDescent="0.25">
      <c r="A5302" s="352" t="s">
        <v>1347</v>
      </c>
      <c r="B5302" s="353"/>
      <c r="C5302" s="353">
        <v>5000</v>
      </c>
      <c r="D5302" s="354">
        <v>250</v>
      </c>
      <c r="E5302" s="355">
        <f>+C5302/D5302</f>
        <v>20</v>
      </c>
      <c r="F5302" s="356">
        <f>+E5302</f>
        <v>20</v>
      </c>
      <c r="G5302" s="81"/>
      <c r="H5302" s="81"/>
      <c r="I5302" s="81"/>
      <c r="J5302" s="81"/>
      <c r="K5302" s="81"/>
      <c r="L5302" s="81"/>
      <c r="M5302" s="81"/>
      <c r="N5302" s="81"/>
    </row>
    <row r="5303" spans="1:14" ht="14.25" customHeight="1" x14ac:dyDescent="0.25">
      <c r="A5303" s="357"/>
      <c r="B5303" s="358"/>
      <c r="C5303" s="359"/>
      <c r="D5303" s="359"/>
      <c r="E5303" s="360"/>
      <c r="F5303" s="361"/>
      <c r="G5303" s="81"/>
      <c r="H5303" s="81"/>
      <c r="I5303" s="81"/>
      <c r="J5303" s="81"/>
      <c r="K5303" s="81"/>
      <c r="L5303" s="81"/>
      <c r="M5303" s="81"/>
      <c r="N5303" s="81"/>
    </row>
    <row r="5304" spans="1:14" ht="14.25" customHeight="1" thickBot="1" x14ac:dyDescent="0.3">
      <c r="A5304" s="357"/>
      <c r="B5304" s="358"/>
      <c r="C5304" s="359"/>
      <c r="D5304" s="359"/>
      <c r="E5304" s="360"/>
      <c r="F5304" s="362"/>
      <c r="G5304" s="81"/>
      <c r="H5304" s="81"/>
      <c r="I5304" s="81"/>
      <c r="J5304" s="81"/>
      <c r="K5304" s="81"/>
      <c r="L5304" s="81"/>
      <c r="M5304" s="81"/>
      <c r="N5304" s="81"/>
    </row>
    <row r="5305" spans="1:14" ht="14.25" customHeight="1" thickBot="1" x14ac:dyDescent="0.3">
      <c r="A5305" s="357"/>
      <c r="B5305" s="358"/>
      <c r="C5305" s="363"/>
      <c r="D5305" s="638" t="s">
        <v>1348</v>
      </c>
      <c r="E5305" s="639"/>
      <c r="F5305" s="364">
        <f>SUM(F5302:F5304)</f>
        <v>20</v>
      </c>
      <c r="G5305" s="81"/>
      <c r="H5305" s="81"/>
      <c r="I5305" s="81"/>
      <c r="J5305" s="81"/>
      <c r="K5305" s="81"/>
      <c r="L5305" s="81"/>
      <c r="M5305" s="81"/>
      <c r="N5305" s="81"/>
    </row>
    <row r="5306" spans="1:14" ht="14.25" customHeight="1" thickBot="1" x14ac:dyDescent="0.3">
      <c r="A5306" s="365" t="s">
        <v>553</v>
      </c>
      <c r="B5306" s="366"/>
      <c r="C5306" s="367"/>
      <c r="D5306" s="368"/>
      <c r="E5306" s="369"/>
      <c r="F5306" s="370"/>
      <c r="G5306" s="81"/>
      <c r="H5306" s="81"/>
      <c r="I5306" s="81"/>
      <c r="J5306" s="81"/>
      <c r="K5306" s="81"/>
      <c r="L5306" s="81"/>
      <c r="M5306" s="81"/>
      <c r="N5306" s="81"/>
    </row>
    <row r="5307" spans="1:14" ht="14.25" customHeight="1" thickBot="1" x14ac:dyDescent="0.3">
      <c r="A5307" s="371" t="s">
        <v>505</v>
      </c>
      <c r="B5307" s="372" t="s">
        <v>50</v>
      </c>
      <c r="C5307" s="373" t="s">
        <v>1349</v>
      </c>
      <c r="D5307" s="373" t="s">
        <v>1350</v>
      </c>
      <c r="E5307" s="373" t="s">
        <v>1346</v>
      </c>
      <c r="F5307" s="374" t="s">
        <v>557</v>
      </c>
      <c r="G5307" s="81"/>
      <c r="H5307" s="81"/>
      <c r="I5307" s="81"/>
      <c r="J5307" s="81"/>
      <c r="K5307" s="81"/>
      <c r="L5307" s="81"/>
      <c r="M5307" s="81"/>
      <c r="N5307" s="81"/>
    </row>
    <row r="5308" spans="1:14" ht="14.25" customHeight="1" x14ac:dyDescent="0.25">
      <c r="A5308" s="357" t="s">
        <v>1351</v>
      </c>
      <c r="B5308" s="375">
        <v>1</v>
      </c>
      <c r="C5308" s="376">
        <v>196800</v>
      </c>
      <c r="D5308" s="377">
        <v>1.9402999999999999</v>
      </c>
      <c r="E5308" s="378">
        <v>63.983190321820921</v>
      </c>
      <c r="F5308" s="379">
        <f>(B5308*C5308*D5308)/E5308</f>
        <v>5967.9899998636511</v>
      </c>
      <c r="G5308" s="81"/>
      <c r="H5308" s="81"/>
      <c r="I5308" s="81"/>
      <c r="J5308" s="81"/>
      <c r="K5308" s="81"/>
      <c r="L5308" s="81"/>
      <c r="M5308" s="81"/>
      <c r="N5308" s="81"/>
    </row>
    <row r="5309" spans="1:14" ht="14.25" customHeight="1" x14ac:dyDescent="0.25">
      <c r="A5309" s="380"/>
      <c r="B5309" s="353"/>
      <c r="C5309" s="359"/>
      <c r="D5309" s="359"/>
      <c r="E5309" s="381"/>
      <c r="F5309" s="382"/>
      <c r="G5309" s="81"/>
      <c r="H5309" s="81"/>
      <c r="I5309" s="81"/>
      <c r="J5309" s="81"/>
      <c r="K5309" s="81"/>
      <c r="L5309" s="81"/>
      <c r="M5309" s="81"/>
      <c r="N5309" s="81"/>
    </row>
    <row r="5310" spans="1:14" ht="14.25" customHeight="1" x14ac:dyDescent="0.25">
      <c r="A5310" s="357"/>
      <c r="B5310" s="358"/>
      <c r="C5310" s="359"/>
      <c r="D5310" s="359"/>
      <c r="E5310" s="360"/>
      <c r="F5310" s="361"/>
      <c r="G5310" s="81"/>
      <c r="H5310" s="81"/>
      <c r="I5310" s="81"/>
      <c r="J5310" s="81"/>
      <c r="K5310" s="81"/>
      <c r="L5310" s="81"/>
      <c r="M5310" s="81"/>
      <c r="N5310" s="81"/>
    </row>
    <row r="5311" spans="1:14" ht="14.25" customHeight="1" thickBot="1" x14ac:dyDescent="0.3">
      <c r="A5311" s="352"/>
      <c r="B5311" s="353"/>
      <c r="C5311" s="359"/>
      <c r="D5311" s="359"/>
      <c r="E5311" s="381"/>
      <c r="F5311" s="383"/>
      <c r="G5311" s="81"/>
      <c r="H5311" s="81"/>
      <c r="I5311" s="81"/>
      <c r="J5311" s="81"/>
      <c r="K5311" s="81"/>
      <c r="L5311" s="81"/>
      <c r="M5311" s="81"/>
      <c r="N5311" s="81"/>
    </row>
    <row r="5312" spans="1:14" ht="14.25" customHeight="1" thickBot="1" x14ac:dyDescent="0.3">
      <c r="A5312" s="352"/>
      <c r="B5312" s="384"/>
      <c r="C5312" s="385"/>
      <c r="D5312" s="640" t="s">
        <v>1352</v>
      </c>
      <c r="E5312" s="641"/>
      <c r="F5312" s="364">
        <f>SUM(F5308:F5311)</f>
        <v>5967.9899998636511</v>
      </c>
      <c r="G5312" s="81"/>
      <c r="H5312" s="81"/>
      <c r="I5312" s="81"/>
      <c r="J5312" s="81"/>
      <c r="K5312" s="81"/>
      <c r="L5312" s="81"/>
      <c r="M5312" s="81"/>
      <c r="N5312" s="81"/>
    </row>
    <row r="5313" spans="1:14" ht="14.25" customHeight="1" thickBot="1" x14ac:dyDescent="0.3">
      <c r="A5313" s="386" t="s">
        <v>554</v>
      </c>
      <c r="B5313" s="387"/>
      <c r="C5313" s="388"/>
      <c r="D5313" s="388"/>
      <c r="E5313" s="389"/>
      <c r="F5313" s="390"/>
      <c r="G5313" s="81"/>
      <c r="H5313" s="81"/>
      <c r="I5313" s="81"/>
      <c r="J5313" s="81"/>
      <c r="K5313" s="81"/>
      <c r="L5313" s="81"/>
      <c r="M5313" s="81"/>
      <c r="N5313" s="81"/>
    </row>
    <row r="5314" spans="1:14" ht="14.25" customHeight="1" thickBot="1" x14ac:dyDescent="0.3">
      <c r="A5314" s="371" t="s">
        <v>550</v>
      </c>
      <c r="B5314" s="372"/>
      <c r="C5314" s="373" t="s">
        <v>1353</v>
      </c>
      <c r="D5314" s="373" t="s">
        <v>1354</v>
      </c>
      <c r="E5314" s="373" t="s">
        <v>1355</v>
      </c>
      <c r="F5314" s="374" t="s">
        <v>557</v>
      </c>
      <c r="G5314" s="81"/>
      <c r="H5314" s="81"/>
      <c r="I5314" s="81"/>
      <c r="J5314" s="81"/>
      <c r="K5314" s="81"/>
      <c r="L5314" s="81"/>
      <c r="M5314" s="81"/>
      <c r="N5314" s="81"/>
    </row>
    <row r="5315" spans="1:14" ht="14.25" customHeight="1" x14ac:dyDescent="0.25">
      <c r="A5315" s="391" t="s">
        <v>604</v>
      </c>
      <c r="B5315" s="392"/>
      <c r="C5315" s="393"/>
      <c r="D5315" s="392">
        <v>2.5</v>
      </c>
      <c r="E5315" s="394">
        <v>38.595999999999997</v>
      </c>
      <c r="F5315" s="427">
        <f>+E5315*D5315</f>
        <v>96.49</v>
      </c>
      <c r="G5315" s="81"/>
      <c r="H5315" s="81"/>
      <c r="I5315" s="81"/>
      <c r="J5315" s="81"/>
      <c r="K5315" s="81"/>
      <c r="L5315" s="81"/>
      <c r="M5315" s="81"/>
      <c r="N5315" s="81"/>
    </row>
    <row r="5316" spans="1:14" ht="27" customHeight="1" x14ac:dyDescent="0.25">
      <c r="A5316" s="396"/>
      <c r="B5316" s="397"/>
      <c r="C5316" s="398"/>
      <c r="D5316" s="398"/>
      <c r="E5316" s="399"/>
      <c r="F5316" s="400"/>
      <c r="G5316" s="81"/>
      <c r="H5316" s="81"/>
      <c r="I5316" s="81"/>
      <c r="J5316" s="81"/>
      <c r="K5316" s="81"/>
      <c r="L5316" s="81"/>
      <c r="M5316" s="81"/>
      <c r="N5316" s="81"/>
    </row>
    <row r="5317" spans="1:14" ht="14.25" customHeight="1" thickBot="1" x14ac:dyDescent="0.3">
      <c r="A5317" s="396"/>
      <c r="B5317" s="397"/>
      <c r="C5317" s="398"/>
      <c r="D5317" s="398"/>
      <c r="E5317" s="399"/>
      <c r="F5317" s="401"/>
      <c r="G5317" s="81"/>
      <c r="H5317" s="81"/>
      <c r="I5317" s="81"/>
      <c r="J5317" s="81"/>
      <c r="K5317" s="81"/>
      <c r="L5317" s="81"/>
      <c r="M5317" s="81"/>
      <c r="N5317" s="81"/>
    </row>
    <row r="5318" spans="1:14" ht="14.25" customHeight="1" thickBot="1" x14ac:dyDescent="0.3">
      <c r="A5318" s="352"/>
      <c r="B5318" s="384"/>
      <c r="C5318" s="385"/>
      <c r="D5318" s="640" t="s">
        <v>1356</v>
      </c>
      <c r="E5318" s="642"/>
      <c r="F5318" s="402">
        <f>SUM(F5315)</f>
        <v>96.49</v>
      </c>
      <c r="G5318" s="81"/>
      <c r="H5318" s="81"/>
      <c r="I5318" s="81"/>
      <c r="J5318" s="81"/>
      <c r="K5318" s="81"/>
      <c r="L5318" s="81"/>
      <c r="M5318" s="81"/>
      <c r="N5318" s="81"/>
    </row>
    <row r="5319" spans="1:14" ht="14.25" customHeight="1" thickBot="1" x14ac:dyDescent="0.3">
      <c r="A5319" s="643"/>
      <c r="B5319" s="644"/>
      <c r="C5319" s="644"/>
      <c r="D5319" s="644"/>
      <c r="E5319" s="403" t="s">
        <v>555</v>
      </c>
      <c r="F5319" s="404">
        <f>+F5318+F5312+F5305+F5299</f>
        <v>54331.199999863653</v>
      </c>
      <c r="G5319" s="81"/>
      <c r="H5319" s="81"/>
      <c r="I5319" s="81"/>
      <c r="J5319" s="81"/>
      <c r="K5319" s="81"/>
      <c r="L5319" s="81"/>
      <c r="M5319" s="81"/>
      <c r="N5319" s="81"/>
    </row>
    <row r="5320" spans="1:14" ht="14.25" customHeight="1" x14ac:dyDescent="0.25">
      <c r="A5320" s="168"/>
      <c r="B5320" s="168"/>
      <c r="C5320" s="168"/>
      <c r="D5320" s="168"/>
      <c r="E5320" s="168"/>
      <c r="F5320" s="168"/>
      <c r="G5320" s="81"/>
      <c r="H5320" s="81"/>
      <c r="I5320" s="81"/>
      <c r="J5320" s="81"/>
      <c r="K5320" s="81"/>
      <c r="L5320" s="81"/>
      <c r="M5320" s="81"/>
      <c r="N5320" s="81"/>
    </row>
    <row r="5321" spans="1:14" ht="14.25" customHeight="1" x14ac:dyDescent="0.25">
      <c r="A5321" s="168"/>
      <c r="B5321" s="168"/>
      <c r="C5321" s="168"/>
      <c r="D5321" s="168"/>
      <c r="E5321" s="168"/>
      <c r="F5321" s="168"/>
      <c r="G5321" s="81"/>
      <c r="H5321" s="81"/>
      <c r="I5321" s="81"/>
      <c r="J5321" s="81"/>
      <c r="K5321" s="81"/>
      <c r="L5321" s="81"/>
      <c r="M5321" s="81"/>
      <c r="N5321" s="81"/>
    </row>
    <row r="5322" spans="1:14" ht="29.25" customHeight="1" x14ac:dyDescent="0.25">
      <c r="A5322" s="645" t="s">
        <v>561</v>
      </c>
      <c r="B5322" s="646"/>
      <c r="C5322" s="646"/>
      <c r="D5322" s="646"/>
      <c r="E5322" s="646"/>
      <c r="F5322" s="647"/>
      <c r="G5322" s="81"/>
      <c r="H5322" s="81"/>
      <c r="I5322" s="81"/>
      <c r="J5322" s="81"/>
      <c r="K5322" s="81"/>
      <c r="L5322" s="81"/>
      <c r="M5322" s="81"/>
      <c r="N5322" s="81"/>
    </row>
    <row r="5323" spans="1:14" ht="14.25" customHeight="1" thickBot="1" x14ac:dyDescent="0.3">
      <c r="A5323" s="648"/>
      <c r="B5323" s="648"/>
      <c r="C5323" s="648"/>
      <c r="D5323" s="648"/>
      <c r="E5323" s="648"/>
      <c r="F5323" s="648"/>
      <c r="G5323" s="81"/>
      <c r="H5323" s="81"/>
      <c r="I5323" s="81"/>
      <c r="J5323" s="81"/>
      <c r="K5323" s="81"/>
      <c r="L5323" s="81"/>
      <c r="M5323" s="81"/>
      <c r="N5323" s="81"/>
    </row>
    <row r="5324" spans="1:14" ht="14.25" customHeight="1" thickBot="1" x14ac:dyDescent="0.3">
      <c r="A5324" s="309" t="s">
        <v>1334</v>
      </c>
      <c r="B5324" s="310"/>
      <c r="C5324" s="431" t="e">
        <f>+'[110]PPTO UNIATLÁNTICO'!A5163</f>
        <v>#REF!</v>
      </c>
      <c r="D5324" s="312"/>
      <c r="E5324" s="312"/>
      <c r="F5324" s="313" t="s">
        <v>49</v>
      </c>
      <c r="G5324" s="81"/>
      <c r="H5324" s="81"/>
      <c r="I5324" s="81"/>
      <c r="J5324" s="81"/>
      <c r="K5324" s="81"/>
      <c r="L5324" s="81"/>
      <c r="M5324" s="81"/>
      <c r="N5324" s="81"/>
    </row>
    <row r="5325" spans="1:14" ht="14.25" customHeight="1" thickBot="1" x14ac:dyDescent="0.3">
      <c r="A5325" s="314" t="e">
        <f>+'[110]PPTO UNIATLÁNTICO'!B5163</f>
        <v>#REF!</v>
      </c>
      <c r="B5325" s="315"/>
      <c r="C5325" s="315"/>
      <c r="D5325" s="316"/>
      <c r="E5325" s="316"/>
      <c r="F5325" s="317" t="s">
        <v>59</v>
      </c>
      <c r="G5325" s="81"/>
      <c r="H5325" s="81"/>
      <c r="I5325" s="81"/>
      <c r="J5325" s="81"/>
      <c r="K5325" s="81"/>
      <c r="L5325" s="81"/>
      <c r="M5325" s="81"/>
      <c r="N5325" s="81"/>
    </row>
    <row r="5326" spans="1:14" ht="14.25" customHeight="1" thickBot="1" x14ac:dyDescent="0.3">
      <c r="A5326" s="652"/>
      <c r="B5326" s="653"/>
      <c r="C5326" s="653"/>
      <c r="D5326" s="653"/>
      <c r="E5326" s="653"/>
      <c r="F5326" s="654"/>
      <c r="G5326" s="81"/>
      <c r="H5326" s="81"/>
      <c r="I5326" s="81"/>
      <c r="J5326" s="81"/>
      <c r="K5326" s="81"/>
      <c r="L5326" s="81"/>
      <c r="M5326" s="81"/>
      <c r="N5326" s="81"/>
    </row>
    <row r="5327" spans="1:14" ht="14.25" customHeight="1" thickBot="1" x14ac:dyDescent="0.3">
      <c r="A5327" s="633" t="s">
        <v>1335</v>
      </c>
      <c r="B5327" s="634"/>
      <c r="C5327" s="634"/>
      <c r="D5327" s="634"/>
      <c r="E5327" s="634"/>
      <c r="F5327" s="635"/>
      <c r="G5327" s="81"/>
      <c r="H5327" s="81"/>
      <c r="I5327" s="81"/>
      <c r="J5327" s="81"/>
      <c r="K5327" s="81"/>
      <c r="L5327" s="81"/>
      <c r="M5327" s="81"/>
      <c r="N5327" s="81"/>
    </row>
    <row r="5328" spans="1:14" ht="14.25" customHeight="1" thickBot="1" x14ac:dyDescent="0.3">
      <c r="A5328" s="318" t="s">
        <v>550</v>
      </c>
      <c r="B5328" s="319" t="s">
        <v>49</v>
      </c>
      <c r="C5328" s="319" t="s">
        <v>50</v>
      </c>
      <c r="D5328" s="319" t="s">
        <v>1357</v>
      </c>
      <c r="E5328" s="320" t="s">
        <v>1337</v>
      </c>
      <c r="F5328" s="321" t="s">
        <v>1338</v>
      </c>
      <c r="G5328" s="81"/>
      <c r="H5328" s="81"/>
      <c r="I5328" s="81"/>
      <c r="J5328" s="81"/>
      <c r="K5328" s="81"/>
      <c r="L5328" s="81"/>
      <c r="M5328" s="81"/>
      <c r="N5328" s="81"/>
    </row>
    <row r="5329" spans="1:14" ht="14.25" customHeight="1" x14ac:dyDescent="0.25">
      <c r="A5329" s="419" t="s">
        <v>1358</v>
      </c>
      <c r="B5329" s="420" t="s">
        <v>59</v>
      </c>
      <c r="C5329" s="421">
        <v>2</v>
      </c>
      <c r="D5329" s="325"/>
      <c r="E5329" s="422">
        <v>7946.6666666666679</v>
      </c>
      <c r="F5329" s="327">
        <f>+C5329*E5329</f>
        <v>15893.333333333336</v>
      </c>
      <c r="G5329" s="81"/>
      <c r="H5329" s="81"/>
      <c r="I5329" s="81"/>
      <c r="J5329" s="81"/>
      <c r="K5329" s="81"/>
      <c r="L5329" s="81"/>
      <c r="M5329" s="81"/>
      <c r="N5329" s="81"/>
    </row>
    <row r="5330" spans="1:14" ht="14.25" customHeight="1" x14ac:dyDescent="0.25">
      <c r="A5330" s="328" t="s">
        <v>1359</v>
      </c>
      <c r="B5330" s="329" t="s">
        <v>279</v>
      </c>
      <c r="C5330" s="330">
        <v>0.33</v>
      </c>
      <c r="D5330" s="331"/>
      <c r="E5330" s="336">
        <v>5120</v>
      </c>
      <c r="F5330" s="333">
        <f>+C5330*E5330</f>
        <v>1689.6000000000001</v>
      </c>
      <c r="G5330" s="81"/>
      <c r="H5330" s="81"/>
      <c r="I5330" s="81"/>
      <c r="J5330" s="81"/>
      <c r="K5330" s="81"/>
      <c r="L5330" s="81"/>
      <c r="M5330" s="81"/>
      <c r="N5330" s="81"/>
    </row>
    <row r="5331" spans="1:14" ht="14.25" customHeight="1" x14ac:dyDescent="0.25">
      <c r="A5331" s="334" t="s">
        <v>1341</v>
      </c>
      <c r="B5331" s="329" t="s">
        <v>85</v>
      </c>
      <c r="C5331" s="330">
        <v>0.3</v>
      </c>
      <c r="D5331" s="331"/>
      <c r="E5331" s="336">
        <v>7500</v>
      </c>
      <c r="F5331" s="333">
        <f>+C5331*E5331</f>
        <v>2250</v>
      </c>
      <c r="G5331" s="81"/>
      <c r="H5331" s="81"/>
      <c r="I5331" s="81"/>
      <c r="J5331" s="81"/>
      <c r="K5331" s="81"/>
      <c r="L5331" s="81"/>
      <c r="M5331" s="81"/>
      <c r="N5331" s="81"/>
    </row>
    <row r="5332" spans="1:14" ht="14.25" customHeight="1" x14ac:dyDescent="0.25">
      <c r="A5332" s="334"/>
      <c r="B5332" s="335"/>
      <c r="C5332" s="330"/>
      <c r="D5332" s="331"/>
      <c r="E5332" s="336"/>
      <c r="F5332" s="333"/>
      <c r="G5332" s="81"/>
      <c r="H5332" s="81"/>
      <c r="I5332" s="81"/>
      <c r="J5332" s="81"/>
      <c r="K5332" s="81"/>
      <c r="L5332" s="81"/>
      <c r="M5332" s="81"/>
      <c r="N5332" s="81"/>
    </row>
    <row r="5333" spans="1:14" ht="14.25" customHeight="1" thickBot="1" x14ac:dyDescent="0.3">
      <c r="A5333" s="337"/>
      <c r="B5333" s="338"/>
      <c r="C5333" s="339"/>
      <c r="D5333" s="340"/>
      <c r="E5333" s="341" t="s">
        <v>1342</v>
      </c>
      <c r="F5333" s="342"/>
      <c r="G5333" s="81"/>
      <c r="H5333" s="81"/>
      <c r="I5333" s="81"/>
      <c r="J5333" s="81"/>
      <c r="K5333" s="81"/>
      <c r="L5333" s="81"/>
      <c r="M5333" s="81"/>
      <c r="N5333" s="81"/>
    </row>
    <row r="5334" spans="1:14" ht="14.25" customHeight="1" thickBot="1" x14ac:dyDescent="0.3">
      <c r="A5334" s="343"/>
      <c r="B5334" s="344"/>
      <c r="C5334" s="345"/>
      <c r="D5334" s="636" t="s">
        <v>1343</v>
      </c>
      <c r="E5334" s="637"/>
      <c r="F5334" s="346">
        <f>SUM(F5329:F5331)</f>
        <v>19832.933333333334</v>
      </c>
      <c r="G5334" s="81"/>
      <c r="H5334" s="81"/>
      <c r="I5334" s="81"/>
      <c r="J5334" s="81"/>
      <c r="K5334" s="81"/>
      <c r="L5334" s="81"/>
      <c r="M5334" s="81"/>
      <c r="N5334" s="81"/>
    </row>
    <row r="5335" spans="1:14" ht="14.25" customHeight="1" thickBot="1" x14ac:dyDescent="0.3">
      <c r="A5335" s="633" t="s">
        <v>1344</v>
      </c>
      <c r="B5335" s="634"/>
      <c r="C5335" s="634"/>
      <c r="D5335" s="634"/>
      <c r="E5335" s="634"/>
      <c r="F5335" s="635"/>
      <c r="G5335" s="81"/>
      <c r="H5335" s="81"/>
      <c r="I5335" s="81"/>
      <c r="J5335" s="81"/>
      <c r="K5335" s="81"/>
      <c r="L5335" s="81"/>
      <c r="M5335" s="81"/>
      <c r="N5335" s="81"/>
    </row>
    <row r="5336" spans="1:14" ht="14.25" customHeight="1" thickBot="1" x14ac:dyDescent="0.3">
      <c r="A5336" s="347" t="s">
        <v>505</v>
      </c>
      <c r="B5336" s="344"/>
      <c r="C5336" s="348" t="s">
        <v>1345</v>
      </c>
      <c r="D5336" s="349" t="s">
        <v>1346</v>
      </c>
      <c r="E5336" s="350" t="s">
        <v>557</v>
      </c>
      <c r="F5336" s="351"/>
      <c r="G5336" s="81"/>
      <c r="H5336" s="81"/>
      <c r="I5336" s="81"/>
      <c r="J5336" s="81"/>
      <c r="K5336" s="81"/>
      <c r="L5336" s="81"/>
      <c r="M5336" s="81"/>
      <c r="N5336" s="81"/>
    </row>
    <row r="5337" spans="1:14" ht="14.25" customHeight="1" x14ac:dyDescent="0.25">
      <c r="A5337" s="352" t="s">
        <v>1347</v>
      </c>
      <c r="B5337" s="353"/>
      <c r="C5337" s="353">
        <v>5000</v>
      </c>
      <c r="D5337" s="354">
        <v>400.33537443120878</v>
      </c>
      <c r="E5337" s="355">
        <f>+C5337/D5337</f>
        <v>12.489528328851614</v>
      </c>
      <c r="F5337" s="356">
        <f>+E5337</f>
        <v>12.489528328851614</v>
      </c>
      <c r="G5337" s="81"/>
      <c r="H5337" s="81"/>
      <c r="I5337" s="81"/>
      <c r="J5337" s="81"/>
      <c r="K5337" s="81"/>
      <c r="L5337" s="81"/>
      <c r="M5337" s="81"/>
      <c r="N5337" s="81"/>
    </row>
    <row r="5338" spans="1:14" ht="14.25" customHeight="1" x14ac:dyDescent="0.25">
      <c r="A5338" s="357"/>
      <c r="B5338" s="358"/>
      <c r="C5338" s="359"/>
      <c r="D5338" s="359"/>
      <c r="E5338" s="360"/>
      <c r="F5338" s="361"/>
      <c r="G5338" s="81"/>
      <c r="H5338" s="81"/>
      <c r="I5338" s="81"/>
      <c r="J5338" s="81"/>
      <c r="K5338" s="81"/>
      <c r="L5338" s="81"/>
      <c r="M5338" s="81"/>
      <c r="N5338" s="81"/>
    </row>
    <row r="5339" spans="1:14" ht="14.25" customHeight="1" thickBot="1" x14ac:dyDescent="0.3">
      <c r="A5339" s="357"/>
      <c r="B5339" s="358"/>
      <c r="C5339" s="359"/>
      <c r="D5339" s="359"/>
      <c r="E5339" s="360"/>
      <c r="F5339" s="362"/>
      <c r="G5339" s="81"/>
      <c r="H5339" s="81"/>
      <c r="I5339" s="81"/>
      <c r="J5339" s="81"/>
      <c r="K5339" s="81"/>
      <c r="L5339" s="81"/>
      <c r="M5339" s="81"/>
      <c r="N5339" s="81"/>
    </row>
    <row r="5340" spans="1:14" ht="14.25" customHeight="1" thickBot="1" x14ac:dyDescent="0.3">
      <c r="A5340" s="357"/>
      <c r="B5340" s="358"/>
      <c r="C5340" s="363"/>
      <c r="D5340" s="638" t="s">
        <v>1348</v>
      </c>
      <c r="E5340" s="639"/>
      <c r="F5340" s="364">
        <f>SUM(F5337:F5339)</f>
        <v>12.489528328851614</v>
      </c>
      <c r="G5340" s="81"/>
      <c r="H5340" s="81"/>
      <c r="I5340" s="81"/>
      <c r="J5340" s="81"/>
      <c r="K5340" s="81"/>
      <c r="L5340" s="81"/>
      <c r="M5340" s="81"/>
      <c r="N5340" s="81"/>
    </row>
    <row r="5341" spans="1:14" ht="14.25" customHeight="1" thickBot="1" x14ac:dyDescent="0.3">
      <c r="A5341" s="365" t="s">
        <v>553</v>
      </c>
      <c r="B5341" s="366"/>
      <c r="C5341" s="367"/>
      <c r="D5341" s="368"/>
      <c r="E5341" s="369"/>
      <c r="F5341" s="370"/>
      <c r="G5341" s="81"/>
      <c r="H5341" s="81"/>
      <c r="I5341" s="81"/>
      <c r="J5341" s="81"/>
      <c r="K5341" s="81"/>
      <c r="L5341" s="81"/>
      <c r="M5341" s="81"/>
      <c r="N5341" s="81"/>
    </row>
    <row r="5342" spans="1:14" ht="14.25" customHeight="1" thickBot="1" x14ac:dyDescent="0.3">
      <c r="A5342" s="371" t="s">
        <v>505</v>
      </c>
      <c r="B5342" s="372" t="s">
        <v>50</v>
      </c>
      <c r="C5342" s="373" t="s">
        <v>1349</v>
      </c>
      <c r="D5342" s="373" t="s">
        <v>1350</v>
      </c>
      <c r="E5342" s="373" t="s">
        <v>1346</v>
      </c>
      <c r="F5342" s="374" t="s">
        <v>557</v>
      </c>
      <c r="G5342" s="81"/>
      <c r="H5342" s="81"/>
      <c r="I5342" s="81"/>
      <c r="J5342" s="81"/>
      <c r="K5342" s="81"/>
      <c r="L5342" s="81"/>
      <c r="M5342" s="81"/>
      <c r="N5342" s="81"/>
    </row>
    <row r="5343" spans="1:14" ht="14.25" customHeight="1" x14ac:dyDescent="0.25">
      <c r="A5343" s="357" t="s">
        <v>1351</v>
      </c>
      <c r="B5343" s="375">
        <v>1</v>
      </c>
      <c r="C5343" s="376">
        <v>196800</v>
      </c>
      <c r="D5343" s="377">
        <v>1.9402999999999999</v>
      </c>
      <c r="E5343" s="378">
        <v>37.73363190252725</v>
      </c>
      <c r="F5343" s="379">
        <f>(B5343*C5343*D5343)/E5343</f>
        <v>10119.647135647843</v>
      </c>
      <c r="G5343" s="81"/>
      <c r="H5343" s="81"/>
      <c r="I5343" s="81"/>
      <c r="J5343" s="81"/>
      <c r="K5343" s="81"/>
      <c r="L5343" s="81"/>
      <c r="M5343" s="81"/>
      <c r="N5343" s="81"/>
    </row>
    <row r="5344" spans="1:14" ht="14.25" customHeight="1" x14ac:dyDescent="0.25">
      <c r="A5344" s="380"/>
      <c r="B5344" s="353"/>
      <c r="C5344" s="359"/>
      <c r="D5344" s="359"/>
      <c r="E5344" s="381"/>
      <c r="F5344" s="382"/>
      <c r="G5344" s="81"/>
      <c r="H5344" s="81"/>
      <c r="I5344" s="81"/>
      <c r="J5344" s="81"/>
      <c r="K5344" s="81"/>
      <c r="L5344" s="81"/>
      <c r="M5344" s="81"/>
      <c r="N5344" s="81"/>
    </row>
    <row r="5345" spans="1:14" ht="14.25" customHeight="1" x14ac:dyDescent="0.25">
      <c r="A5345" s="357"/>
      <c r="B5345" s="358"/>
      <c r="C5345" s="359"/>
      <c r="D5345" s="359"/>
      <c r="E5345" s="360"/>
      <c r="F5345" s="361"/>
      <c r="G5345" s="81"/>
      <c r="H5345" s="81"/>
      <c r="I5345" s="81"/>
      <c r="J5345" s="81"/>
      <c r="K5345" s="81"/>
      <c r="L5345" s="81"/>
      <c r="M5345" s="81"/>
      <c r="N5345" s="81"/>
    </row>
    <row r="5346" spans="1:14" ht="14.25" customHeight="1" thickBot="1" x14ac:dyDescent="0.3">
      <c r="A5346" s="352"/>
      <c r="B5346" s="353"/>
      <c r="C5346" s="359"/>
      <c r="D5346" s="359"/>
      <c r="E5346" s="381"/>
      <c r="F5346" s="383"/>
      <c r="G5346" s="81"/>
      <c r="H5346" s="81"/>
      <c r="I5346" s="81"/>
      <c r="J5346" s="81"/>
      <c r="K5346" s="81"/>
      <c r="L5346" s="81"/>
      <c r="M5346" s="81"/>
      <c r="N5346" s="81"/>
    </row>
    <row r="5347" spans="1:14" ht="14.25" customHeight="1" thickBot="1" x14ac:dyDescent="0.3">
      <c r="A5347" s="352"/>
      <c r="B5347" s="384"/>
      <c r="C5347" s="385"/>
      <c r="D5347" s="640" t="s">
        <v>1352</v>
      </c>
      <c r="E5347" s="641"/>
      <c r="F5347" s="364">
        <f>SUM(F5343:F5346)</f>
        <v>10119.647135647843</v>
      </c>
      <c r="G5347" s="81"/>
      <c r="H5347" s="81"/>
      <c r="I5347" s="81"/>
      <c r="J5347" s="81"/>
      <c r="K5347" s="81"/>
      <c r="L5347" s="81"/>
      <c r="M5347" s="81"/>
      <c r="N5347" s="81"/>
    </row>
    <row r="5348" spans="1:14" ht="14.25" customHeight="1" thickBot="1" x14ac:dyDescent="0.3">
      <c r="A5348" s="386" t="s">
        <v>554</v>
      </c>
      <c r="B5348" s="387"/>
      <c r="C5348" s="388"/>
      <c r="D5348" s="388"/>
      <c r="E5348" s="389"/>
      <c r="F5348" s="390"/>
      <c r="G5348" s="81"/>
      <c r="H5348" s="81"/>
      <c r="I5348" s="81"/>
      <c r="J5348" s="81"/>
      <c r="K5348" s="81"/>
      <c r="L5348" s="81"/>
      <c r="M5348" s="81"/>
      <c r="N5348" s="81"/>
    </row>
    <row r="5349" spans="1:14" ht="14.25" customHeight="1" thickBot="1" x14ac:dyDescent="0.3">
      <c r="A5349" s="371" t="s">
        <v>550</v>
      </c>
      <c r="B5349" s="372"/>
      <c r="C5349" s="373" t="s">
        <v>1353</v>
      </c>
      <c r="D5349" s="373" t="s">
        <v>1354</v>
      </c>
      <c r="E5349" s="373" t="s">
        <v>1355</v>
      </c>
      <c r="F5349" s="374" t="s">
        <v>557</v>
      </c>
      <c r="G5349" s="81"/>
      <c r="H5349" s="81"/>
      <c r="I5349" s="81"/>
      <c r="J5349" s="81"/>
      <c r="K5349" s="81"/>
      <c r="L5349" s="81"/>
      <c r="M5349" s="81"/>
      <c r="N5349" s="81"/>
    </row>
    <row r="5350" spans="1:14" ht="14.25" customHeight="1" x14ac:dyDescent="0.25">
      <c r="A5350" s="391" t="s">
        <v>604</v>
      </c>
      <c r="B5350" s="392"/>
      <c r="C5350" s="393"/>
      <c r="D5350" s="392">
        <v>2.5</v>
      </c>
      <c r="E5350" s="394">
        <v>14.996000000000002</v>
      </c>
      <c r="F5350" s="427">
        <f>+E5350*D5350</f>
        <v>37.490000000000009</v>
      </c>
      <c r="G5350" s="81"/>
      <c r="H5350" s="81"/>
      <c r="I5350" s="81"/>
      <c r="J5350" s="81"/>
      <c r="K5350" s="81"/>
      <c r="L5350" s="81"/>
      <c r="M5350" s="81"/>
      <c r="N5350" s="81"/>
    </row>
    <row r="5351" spans="1:14" ht="14.25" customHeight="1" x14ac:dyDescent="0.25">
      <c r="A5351" s="396"/>
      <c r="B5351" s="397"/>
      <c r="C5351" s="398"/>
      <c r="D5351" s="398"/>
      <c r="E5351" s="399"/>
      <c r="F5351" s="400"/>
      <c r="G5351" s="81"/>
      <c r="H5351" s="81"/>
      <c r="I5351" s="81"/>
      <c r="J5351" s="81"/>
      <c r="K5351" s="81"/>
      <c r="L5351" s="81"/>
      <c r="M5351" s="81"/>
      <c r="N5351" s="81"/>
    </row>
    <row r="5352" spans="1:14" ht="14.25" customHeight="1" thickBot="1" x14ac:dyDescent="0.3">
      <c r="A5352" s="396"/>
      <c r="B5352" s="397"/>
      <c r="C5352" s="398"/>
      <c r="D5352" s="398"/>
      <c r="E5352" s="399"/>
      <c r="F5352" s="401"/>
      <c r="G5352" s="81"/>
      <c r="H5352" s="81"/>
      <c r="I5352" s="81"/>
      <c r="J5352" s="81"/>
      <c r="K5352" s="81"/>
      <c r="L5352" s="81"/>
      <c r="M5352" s="81"/>
      <c r="N5352" s="81"/>
    </row>
    <row r="5353" spans="1:14" ht="14.25" customHeight="1" thickBot="1" x14ac:dyDescent="0.3">
      <c r="A5353" s="352"/>
      <c r="B5353" s="384"/>
      <c r="C5353" s="385"/>
      <c r="D5353" s="640" t="s">
        <v>1356</v>
      </c>
      <c r="E5353" s="642"/>
      <c r="F5353" s="402">
        <f>SUM(F5350)</f>
        <v>37.490000000000009</v>
      </c>
      <c r="G5353" s="81"/>
      <c r="H5353" s="81"/>
      <c r="I5353" s="81"/>
      <c r="J5353" s="81"/>
      <c r="K5353" s="81"/>
      <c r="L5353" s="81"/>
      <c r="M5353" s="81"/>
      <c r="N5353" s="81"/>
    </row>
    <row r="5354" spans="1:14" ht="14.25" customHeight="1" thickBot="1" x14ac:dyDescent="0.3">
      <c r="A5354" s="643"/>
      <c r="B5354" s="644"/>
      <c r="C5354" s="644"/>
      <c r="D5354" s="644"/>
      <c r="E5354" s="403" t="s">
        <v>555</v>
      </c>
      <c r="F5354" s="404">
        <f>+F5353+F5347+F5340+F5334</f>
        <v>30002.559997310029</v>
      </c>
      <c r="G5354" s="81"/>
      <c r="H5354" s="81"/>
      <c r="I5354" s="81"/>
      <c r="J5354" s="81"/>
      <c r="K5354" s="81"/>
      <c r="L5354" s="81"/>
      <c r="M5354" s="81"/>
      <c r="N5354" s="81"/>
    </row>
    <row r="5355" spans="1:14" ht="14.25" customHeight="1" x14ac:dyDescent="0.25">
      <c r="A5355" s="168"/>
      <c r="B5355" s="168"/>
      <c r="C5355" s="168"/>
      <c r="D5355" s="168"/>
      <c r="E5355" s="168"/>
      <c r="F5355" s="168"/>
      <c r="G5355" s="81"/>
      <c r="H5355" s="81"/>
      <c r="I5355" s="81"/>
      <c r="J5355" s="81"/>
      <c r="K5355" s="81"/>
      <c r="L5355" s="81"/>
      <c r="M5355" s="81"/>
      <c r="N5355" s="81"/>
    </row>
    <row r="5356" spans="1:14" ht="14.25" customHeight="1" x14ac:dyDescent="0.25">
      <c r="A5356" s="168"/>
      <c r="B5356" s="168"/>
      <c r="C5356" s="168"/>
      <c r="D5356" s="168"/>
      <c r="E5356" s="168"/>
      <c r="F5356" s="168"/>
      <c r="G5356" s="81"/>
      <c r="H5356" s="81"/>
      <c r="I5356" s="81"/>
      <c r="J5356" s="81"/>
      <c r="K5356" s="81"/>
      <c r="L5356" s="81"/>
      <c r="M5356" s="81"/>
      <c r="N5356" s="81"/>
    </row>
    <row r="5357" spans="1:14" ht="14.25" customHeight="1" x14ac:dyDescent="0.25">
      <c r="A5357" s="645" t="s">
        <v>561</v>
      </c>
      <c r="B5357" s="646"/>
      <c r="C5357" s="646"/>
      <c r="D5357" s="646"/>
      <c r="E5357" s="646"/>
      <c r="F5357" s="647"/>
      <c r="G5357" s="81"/>
      <c r="H5357" s="81"/>
      <c r="I5357" s="81"/>
      <c r="J5357" s="81"/>
      <c r="K5357" s="81"/>
      <c r="L5357" s="81"/>
      <c r="M5357" s="81"/>
      <c r="N5357" s="81"/>
    </row>
    <row r="5358" spans="1:14" ht="14.25" customHeight="1" thickBot="1" x14ac:dyDescent="0.3">
      <c r="A5358" s="648"/>
      <c r="B5358" s="648"/>
      <c r="C5358" s="648"/>
      <c r="D5358" s="648"/>
      <c r="E5358" s="648"/>
      <c r="F5358" s="648"/>
      <c r="G5358" s="81"/>
      <c r="H5358" s="81"/>
      <c r="I5358" s="81"/>
      <c r="J5358" s="81"/>
      <c r="K5358" s="81"/>
      <c r="L5358" s="81"/>
      <c r="M5358" s="81"/>
      <c r="N5358" s="81"/>
    </row>
    <row r="5359" spans="1:14" ht="14.25" customHeight="1" thickBot="1" x14ac:dyDescent="0.3">
      <c r="A5359" s="309" t="s">
        <v>1334</v>
      </c>
      <c r="B5359" s="310"/>
      <c r="C5359" s="311" t="e">
        <f>+'[110]PPTO UNIATLÁNTICO'!A5164</f>
        <v>#REF!</v>
      </c>
      <c r="D5359" s="312"/>
      <c r="E5359" s="312"/>
      <c r="F5359" s="313" t="s">
        <v>49</v>
      </c>
      <c r="G5359" s="81"/>
      <c r="H5359" s="81"/>
      <c r="I5359" s="81"/>
      <c r="J5359" s="81"/>
      <c r="K5359" s="81"/>
      <c r="L5359" s="81"/>
      <c r="M5359" s="81"/>
      <c r="N5359" s="81"/>
    </row>
    <row r="5360" spans="1:14" ht="14.25" customHeight="1" thickBot="1" x14ac:dyDescent="0.3">
      <c r="A5360" s="314" t="e">
        <f>+'[110]PPTO UNIATLÁNTICO'!B5164</f>
        <v>#REF!</v>
      </c>
      <c r="B5360" s="315"/>
      <c r="C5360" s="315"/>
      <c r="D5360" s="316"/>
      <c r="E5360" s="316"/>
      <c r="F5360" s="317" t="s">
        <v>85</v>
      </c>
      <c r="G5360" s="81"/>
      <c r="H5360" s="81"/>
      <c r="I5360" s="81"/>
      <c r="J5360" s="81"/>
      <c r="K5360" s="81"/>
      <c r="L5360" s="81"/>
      <c r="M5360" s="81"/>
      <c r="N5360" s="81"/>
    </row>
    <row r="5361" spans="1:14" ht="14.25" customHeight="1" thickBot="1" x14ac:dyDescent="0.3">
      <c r="A5361" s="652"/>
      <c r="B5361" s="653"/>
      <c r="C5361" s="653"/>
      <c r="D5361" s="653"/>
      <c r="E5361" s="653"/>
      <c r="F5361" s="654"/>
      <c r="G5361" s="81"/>
      <c r="H5361" s="81"/>
      <c r="I5361" s="81"/>
      <c r="J5361" s="81"/>
      <c r="K5361" s="81"/>
      <c r="L5361" s="81"/>
      <c r="M5361" s="81"/>
      <c r="N5361" s="81"/>
    </row>
    <row r="5362" spans="1:14" ht="14.25" customHeight="1" thickBot="1" x14ac:dyDescent="0.3">
      <c r="A5362" s="633" t="s">
        <v>1335</v>
      </c>
      <c r="B5362" s="634"/>
      <c r="C5362" s="634"/>
      <c r="D5362" s="634"/>
      <c r="E5362" s="634"/>
      <c r="F5362" s="635"/>
      <c r="G5362" s="81"/>
      <c r="H5362" s="81"/>
      <c r="I5362" s="81"/>
      <c r="J5362" s="81"/>
      <c r="K5362" s="81"/>
      <c r="L5362" s="81"/>
      <c r="M5362" s="81"/>
      <c r="N5362" s="81"/>
    </row>
    <row r="5363" spans="1:14" ht="14.25" customHeight="1" thickBot="1" x14ac:dyDescent="0.3">
      <c r="A5363" s="405" t="s">
        <v>550</v>
      </c>
      <c r="B5363" s="319" t="s">
        <v>49</v>
      </c>
      <c r="C5363" s="319" t="s">
        <v>50</v>
      </c>
      <c r="D5363" s="319" t="s">
        <v>1357</v>
      </c>
      <c r="E5363" s="320" t="s">
        <v>1337</v>
      </c>
      <c r="F5363" s="321" t="s">
        <v>1338</v>
      </c>
      <c r="G5363" s="81"/>
      <c r="H5363" s="81"/>
      <c r="I5363" s="81"/>
      <c r="J5363" s="81"/>
      <c r="K5363" s="81"/>
      <c r="L5363" s="81"/>
      <c r="M5363" s="81"/>
      <c r="N5363" s="81"/>
    </row>
    <row r="5364" spans="1:14" ht="14.25" customHeight="1" x14ac:dyDescent="0.25">
      <c r="A5364" s="419" t="s">
        <v>1362</v>
      </c>
      <c r="B5364" s="420" t="s">
        <v>85</v>
      </c>
      <c r="C5364" s="421">
        <v>1</v>
      </c>
      <c r="D5364" s="325"/>
      <c r="E5364" s="422">
        <v>879284.59844961227</v>
      </c>
      <c r="F5364" s="327">
        <f>+C5364*E5364</f>
        <v>879284.59844961227</v>
      </c>
      <c r="G5364" s="81"/>
      <c r="H5364" s="81"/>
      <c r="I5364" s="81"/>
      <c r="J5364" s="81"/>
      <c r="K5364" s="81"/>
      <c r="L5364" s="81"/>
      <c r="M5364" s="81"/>
      <c r="N5364" s="81"/>
    </row>
    <row r="5365" spans="1:14" ht="14.25" customHeight="1" x14ac:dyDescent="0.25">
      <c r="A5365" s="328"/>
      <c r="B5365" s="329"/>
      <c r="C5365" s="330"/>
      <c r="D5365" s="331"/>
      <c r="E5365" s="336"/>
      <c r="F5365" s="333"/>
      <c r="G5365" s="81"/>
      <c r="H5365" s="81"/>
      <c r="I5365" s="81"/>
      <c r="J5365" s="81"/>
      <c r="K5365" s="81"/>
      <c r="L5365" s="81"/>
      <c r="M5365" s="81"/>
      <c r="N5365" s="81"/>
    </row>
    <row r="5366" spans="1:14" ht="14.25" customHeight="1" x14ac:dyDescent="0.25">
      <c r="A5366" s="334"/>
      <c r="B5366" s="329"/>
      <c r="C5366" s="330"/>
      <c r="D5366" s="331"/>
      <c r="E5366" s="336"/>
      <c r="F5366" s="333"/>
      <c r="G5366" s="81"/>
      <c r="H5366" s="81"/>
      <c r="I5366" s="81"/>
      <c r="J5366" s="81"/>
      <c r="K5366" s="81"/>
      <c r="L5366" s="81"/>
      <c r="M5366" s="81"/>
      <c r="N5366" s="81"/>
    </row>
    <row r="5367" spans="1:14" ht="14.25" customHeight="1" x14ac:dyDescent="0.25">
      <c r="A5367" s="334"/>
      <c r="B5367" s="335"/>
      <c r="C5367" s="330"/>
      <c r="D5367" s="331"/>
      <c r="E5367" s="336"/>
      <c r="F5367" s="333"/>
      <c r="G5367" s="81"/>
      <c r="H5367" s="81"/>
      <c r="I5367" s="81"/>
      <c r="J5367" s="81"/>
      <c r="K5367" s="81"/>
      <c r="L5367" s="81"/>
      <c r="M5367" s="81"/>
      <c r="N5367" s="81"/>
    </row>
    <row r="5368" spans="1:14" ht="14.25" customHeight="1" thickBot="1" x14ac:dyDescent="0.3">
      <c r="A5368" s="337"/>
      <c r="B5368" s="338"/>
      <c r="C5368" s="339"/>
      <c r="D5368" s="340"/>
      <c r="E5368" s="341" t="s">
        <v>1342</v>
      </c>
      <c r="F5368" s="342"/>
      <c r="G5368" s="81"/>
      <c r="H5368" s="81"/>
      <c r="I5368" s="81"/>
      <c r="J5368" s="81"/>
      <c r="K5368" s="81"/>
      <c r="L5368" s="81"/>
      <c r="M5368" s="81"/>
      <c r="N5368" s="81"/>
    </row>
    <row r="5369" spans="1:14" ht="14.25" customHeight="1" thickBot="1" x14ac:dyDescent="0.3">
      <c r="A5369" s="343"/>
      <c r="B5369" s="344"/>
      <c r="C5369" s="345"/>
      <c r="D5369" s="636" t="s">
        <v>1343</v>
      </c>
      <c r="E5369" s="637"/>
      <c r="F5369" s="346">
        <f>SUM(F5364:F5366)</f>
        <v>879284.59844961227</v>
      </c>
      <c r="G5369" s="81"/>
      <c r="H5369" s="81"/>
      <c r="I5369" s="81"/>
      <c r="J5369" s="81"/>
      <c r="K5369" s="81"/>
      <c r="L5369" s="81"/>
      <c r="M5369" s="81"/>
      <c r="N5369" s="81"/>
    </row>
    <row r="5370" spans="1:14" ht="29.25" customHeight="1" thickBot="1" x14ac:dyDescent="0.3">
      <c r="A5370" s="633" t="s">
        <v>1344</v>
      </c>
      <c r="B5370" s="634"/>
      <c r="C5370" s="634"/>
      <c r="D5370" s="634"/>
      <c r="E5370" s="634"/>
      <c r="F5370" s="635"/>
      <c r="G5370" s="81"/>
      <c r="H5370" s="81"/>
      <c r="I5370" s="81"/>
      <c r="J5370" s="81"/>
      <c r="K5370" s="81"/>
      <c r="L5370" s="81"/>
      <c r="M5370" s="81"/>
      <c r="N5370" s="81"/>
    </row>
    <row r="5371" spans="1:14" ht="14.25" customHeight="1" thickBot="1" x14ac:dyDescent="0.3">
      <c r="A5371" s="347" t="s">
        <v>505</v>
      </c>
      <c r="B5371" s="344"/>
      <c r="C5371" s="348" t="s">
        <v>1345</v>
      </c>
      <c r="D5371" s="349" t="s">
        <v>1346</v>
      </c>
      <c r="E5371" s="350" t="s">
        <v>557</v>
      </c>
      <c r="F5371" s="351"/>
      <c r="G5371" s="81"/>
      <c r="H5371" s="81"/>
      <c r="I5371" s="81"/>
      <c r="J5371" s="81"/>
      <c r="K5371" s="81"/>
      <c r="L5371" s="81"/>
      <c r="M5371" s="81"/>
      <c r="N5371" s="81"/>
    </row>
    <row r="5372" spans="1:14" ht="14.25" customHeight="1" x14ac:dyDescent="0.25">
      <c r="A5372" s="352" t="s">
        <v>1347</v>
      </c>
      <c r="B5372" s="423"/>
      <c r="C5372" s="423">
        <v>5000</v>
      </c>
      <c r="D5372" s="424">
        <v>3</v>
      </c>
      <c r="E5372" s="355">
        <f>+C5372/D5372</f>
        <v>1666.6666666666667</v>
      </c>
      <c r="F5372" s="356">
        <f>+E5372</f>
        <v>1666.6666666666667</v>
      </c>
      <c r="G5372" s="81"/>
      <c r="H5372" s="81"/>
      <c r="I5372" s="81"/>
      <c r="J5372" s="81"/>
      <c r="K5372" s="81"/>
      <c r="L5372" s="81"/>
      <c r="M5372" s="81"/>
      <c r="N5372" s="81"/>
    </row>
    <row r="5373" spans="1:14" ht="14.25" customHeight="1" x14ac:dyDescent="0.25">
      <c r="A5373" s="357"/>
      <c r="B5373" s="425"/>
      <c r="C5373" s="363"/>
      <c r="D5373" s="363"/>
      <c r="E5373" s="426"/>
      <c r="F5373" s="361"/>
      <c r="G5373" s="81"/>
      <c r="H5373" s="81"/>
      <c r="I5373" s="81"/>
      <c r="J5373" s="81"/>
      <c r="K5373" s="81"/>
      <c r="L5373" s="81"/>
      <c r="M5373" s="81"/>
      <c r="N5373" s="81"/>
    </row>
    <row r="5374" spans="1:14" ht="14.25" customHeight="1" thickBot="1" x14ac:dyDescent="0.3">
      <c r="A5374" s="357"/>
      <c r="B5374" s="425"/>
      <c r="C5374" s="363"/>
      <c r="D5374" s="363"/>
      <c r="E5374" s="426"/>
      <c r="F5374" s="362"/>
      <c r="G5374" s="81"/>
      <c r="H5374" s="81"/>
      <c r="I5374" s="81"/>
      <c r="J5374" s="81"/>
      <c r="K5374" s="81"/>
      <c r="L5374" s="81"/>
      <c r="M5374" s="81"/>
      <c r="N5374" s="81"/>
    </row>
    <row r="5375" spans="1:14" ht="14.25" customHeight="1" thickBot="1" x14ac:dyDescent="0.3">
      <c r="A5375" s="357"/>
      <c r="B5375" s="425"/>
      <c r="C5375" s="363"/>
      <c r="D5375" s="638" t="s">
        <v>1348</v>
      </c>
      <c r="E5375" s="639"/>
      <c r="F5375" s="364">
        <f>SUM(F5372:F5374)</f>
        <v>1666.6666666666667</v>
      </c>
      <c r="G5375" s="81"/>
      <c r="H5375" s="81"/>
      <c r="I5375" s="81"/>
      <c r="J5375" s="81"/>
      <c r="K5375" s="81"/>
      <c r="L5375" s="81"/>
      <c r="M5375" s="81"/>
      <c r="N5375" s="81"/>
    </row>
    <row r="5376" spans="1:14" ht="18" customHeight="1" thickBot="1" x14ac:dyDescent="0.3">
      <c r="A5376" s="365" t="s">
        <v>553</v>
      </c>
      <c r="B5376" s="366"/>
      <c r="C5376" s="367"/>
      <c r="D5376" s="368"/>
      <c r="E5376" s="369"/>
      <c r="F5376" s="370"/>
      <c r="G5376" s="81"/>
      <c r="H5376" s="143"/>
      <c r="I5376" s="81"/>
      <c r="J5376" s="81"/>
      <c r="K5376" s="81"/>
      <c r="L5376" s="81"/>
      <c r="M5376" s="81"/>
      <c r="N5376" s="81"/>
    </row>
    <row r="5377" spans="1:14" ht="14.25" customHeight="1" thickBot="1" x14ac:dyDescent="0.3">
      <c r="A5377" s="371" t="s">
        <v>505</v>
      </c>
      <c r="B5377" s="372" t="s">
        <v>50</v>
      </c>
      <c r="C5377" s="373" t="s">
        <v>1349</v>
      </c>
      <c r="D5377" s="373" t="s">
        <v>1350</v>
      </c>
      <c r="E5377" s="373" t="s">
        <v>1346</v>
      </c>
      <c r="F5377" s="374" t="s">
        <v>557</v>
      </c>
      <c r="G5377" s="81"/>
      <c r="H5377" s="143"/>
      <c r="I5377" s="81"/>
      <c r="J5377" s="81"/>
      <c r="K5377" s="81"/>
      <c r="L5377" s="81"/>
      <c r="M5377" s="81"/>
      <c r="N5377" s="81"/>
    </row>
    <row r="5378" spans="1:14" ht="14.25" customHeight="1" x14ac:dyDescent="0.25">
      <c r="A5378" s="357" t="s">
        <v>1351</v>
      </c>
      <c r="B5378" s="375">
        <v>1</v>
      </c>
      <c r="C5378" s="376">
        <v>196800</v>
      </c>
      <c r="D5378" s="377">
        <v>1.9402999999999999</v>
      </c>
      <c r="E5378" s="378">
        <v>2.15</v>
      </c>
      <c r="F5378" s="379">
        <f>(B5378*C5378*D5378)/E5378</f>
        <v>177605.13488372092</v>
      </c>
      <c r="G5378" s="81"/>
      <c r="H5378" s="143"/>
      <c r="I5378" s="81"/>
      <c r="J5378" s="81"/>
      <c r="K5378" s="81"/>
      <c r="L5378" s="81"/>
      <c r="M5378" s="81"/>
      <c r="N5378" s="81"/>
    </row>
    <row r="5379" spans="1:14" ht="14.25" customHeight="1" x14ac:dyDescent="0.25">
      <c r="A5379" s="380"/>
      <c r="B5379" s="423"/>
      <c r="C5379" s="363"/>
      <c r="D5379" s="363"/>
      <c r="E5379" s="381"/>
      <c r="F5379" s="382"/>
      <c r="G5379" s="81"/>
      <c r="H5379" s="143"/>
      <c r="I5379" s="81"/>
      <c r="J5379" s="81"/>
      <c r="K5379" s="81"/>
      <c r="L5379" s="81"/>
      <c r="M5379" s="81"/>
      <c r="N5379" s="81"/>
    </row>
    <row r="5380" spans="1:14" ht="14.25" customHeight="1" x14ac:dyDescent="0.25">
      <c r="A5380" s="357"/>
      <c r="B5380" s="425"/>
      <c r="C5380" s="363"/>
      <c r="D5380" s="363"/>
      <c r="E5380" s="426"/>
      <c r="F5380" s="361"/>
      <c r="G5380" s="81"/>
      <c r="H5380" s="143"/>
      <c r="I5380" s="81"/>
      <c r="J5380" s="81"/>
      <c r="K5380" s="81"/>
      <c r="L5380" s="81"/>
      <c r="M5380" s="81"/>
      <c r="N5380" s="81"/>
    </row>
    <row r="5381" spans="1:14" ht="14.25" customHeight="1" thickBot="1" x14ac:dyDescent="0.3">
      <c r="A5381" s="352"/>
      <c r="B5381" s="423"/>
      <c r="C5381" s="363"/>
      <c r="D5381" s="363"/>
      <c r="E5381" s="381"/>
      <c r="F5381" s="383"/>
      <c r="G5381" s="81"/>
      <c r="H5381" s="143"/>
      <c r="I5381" s="81"/>
      <c r="J5381" s="81"/>
      <c r="K5381" s="81"/>
      <c r="L5381" s="81"/>
      <c r="M5381" s="81"/>
      <c r="N5381" s="81"/>
    </row>
    <row r="5382" spans="1:14" ht="14.25" customHeight="1" thickBot="1" x14ac:dyDescent="0.3">
      <c r="A5382" s="352"/>
      <c r="B5382" s="397"/>
      <c r="C5382" s="398"/>
      <c r="D5382" s="640" t="s">
        <v>1352</v>
      </c>
      <c r="E5382" s="641"/>
      <c r="F5382" s="364">
        <f>SUM(F5378:F5381)</f>
        <v>177605.13488372092</v>
      </c>
      <c r="G5382" s="81"/>
      <c r="H5382" s="143"/>
      <c r="I5382" s="81"/>
      <c r="J5382" s="81"/>
      <c r="K5382" s="81"/>
      <c r="L5382" s="81"/>
      <c r="M5382" s="81"/>
      <c r="N5382" s="81"/>
    </row>
    <row r="5383" spans="1:14" ht="14.25" customHeight="1" thickBot="1" x14ac:dyDescent="0.3">
      <c r="A5383" s="386" t="s">
        <v>554</v>
      </c>
      <c r="B5383" s="387"/>
      <c r="C5383" s="388"/>
      <c r="D5383" s="388"/>
      <c r="E5383" s="389"/>
      <c r="F5383" s="390"/>
      <c r="G5383" s="81"/>
      <c r="H5383" s="81"/>
      <c r="I5383" s="81"/>
      <c r="J5383" s="81"/>
      <c r="K5383" s="81"/>
      <c r="L5383" s="81"/>
      <c r="M5383" s="81"/>
      <c r="N5383" s="81"/>
    </row>
    <row r="5384" spans="1:14" ht="14.25" customHeight="1" thickBot="1" x14ac:dyDescent="0.3">
      <c r="A5384" s="371" t="s">
        <v>550</v>
      </c>
      <c r="B5384" s="372"/>
      <c r="C5384" s="373" t="s">
        <v>1353</v>
      </c>
      <c r="D5384" s="373" t="s">
        <v>1354</v>
      </c>
      <c r="E5384" s="373" t="s">
        <v>1355</v>
      </c>
      <c r="F5384" s="374" t="s">
        <v>557</v>
      </c>
      <c r="G5384" s="81"/>
      <c r="H5384" s="81"/>
      <c r="I5384" s="81"/>
      <c r="J5384" s="81"/>
      <c r="K5384" s="81"/>
      <c r="L5384" s="81"/>
      <c r="M5384" s="81"/>
      <c r="N5384" s="81"/>
    </row>
    <row r="5385" spans="1:14" ht="14.25" customHeight="1" x14ac:dyDescent="0.25">
      <c r="A5385" s="391" t="s">
        <v>604</v>
      </c>
      <c r="B5385" s="392"/>
      <c r="C5385" s="393"/>
      <c r="D5385" s="392">
        <v>2.5</v>
      </c>
      <c r="E5385" s="394">
        <v>2500</v>
      </c>
      <c r="F5385" s="427">
        <f>+E5385*D5385</f>
        <v>6250</v>
      </c>
      <c r="G5385" s="81"/>
      <c r="H5385" s="81"/>
      <c r="I5385" s="81"/>
      <c r="J5385" s="81"/>
      <c r="K5385" s="81"/>
      <c r="L5385" s="81"/>
      <c r="M5385" s="81"/>
      <c r="N5385" s="81"/>
    </row>
    <row r="5386" spans="1:14" ht="14.25" customHeight="1" x14ac:dyDescent="0.25">
      <c r="A5386" s="396"/>
      <c r="B5386" s="397"/>
      <c r="C5386" s="398"/>
      <c r="D5386" s="398"/>
      <c r="E5386" s="399"/>
      <c r="F5386" s="400"/>
      <c r="G5386" s="81"/>
      <c r="H5386" s="81"/>
      <c r="I5386" s="81"/>
      <c r="J5386" s="81"/>
      <c r="K5386" s="81"/>
      <c r="L5386" s="81"/>
      <c r="M5386" s="81"/>
      <c r="N5386" s="81"/>
    </row>
    <row r="5387" spans="1:14" ht="14.25" customHeight="1" thickBot="1" x14ac:dyDescent="0.3">
      <c r="A5387" s="396"/>
      <c r="B5387" s="397"/>
      <c r="C5387" s="398"/>
      <c r="D5387" s="398"/>
      <c r="E5387" s="399"/>
      <c r="F5387" s="401"/>
      <c r="G5387" s="81"/>
      <c r="H5387" s="81"/>
      <c r="I5387" s="117"/>
      <c r="J5387" s="81"/>
      <c r="K5387" s="81"/>
      <c r="L5387" s="81"/>
      <c r="M5387" s="81"/>
      <c r="N5387" s="81"/>
    </row>
    <row r="5388" spans="1:14" ht="14.25" customHeight="1" thickBot="1" x14ac:dyDescent="0.3">
      <c r="A5388" s="352"/>
      <c r="B5388" s="384"/>
      <c r="C5388" s="385"/>
      <c r="D5388" s="640" t="s">
        <v>1356</v>
      </c>
      <c r="E5388" s="642"/>
      <c r="F5388" s="402">
        <f>SUM(F5385)</f>
        <v>6250</v>
      </c>
      <c r="G5388" s="81"/>
      <c r="H5388" s="81"/>
      <c r="I5388" s="117"/>
      <c r="J5388" s="81"/>
      <c r="K5388" s="81"/>
      <c r="L5388" s="81"/>
      <c r="M5388" s="81"/>
      <c r="N5388" s="81"/>
    </row>
    <row r="5389" spans="1:14" ht="14.25" customHeight="1" thickBot="1" x14ac:dyDescent="0.3">
      <c r="A5389" s="643"/>
      <c r="B5389" s="644"/>
      <c r="C5389" s="644"/>
      <c r="D5389" s="644"/>
      <c r="E5389" s="403" t="s">
        <v>555</v>
      </c>
      <c r="F5389" s="404">
        <f>+F5388+F5382+F5375+F5369</f>
        <v>1064806.3999999999</v>
      </c>
      <c r="G5389" s="81"/>
      <c r="H5389" s="81"/>
      <c r="I5389" s="117"/>
      <c r="J5389" s="81"/>
      <c r="K5389" s="81"/>
      <c r="L5389" s="81"/>
      <c r="M5389" s="81"/>
      <c r="N5389" s="81"/>
    </row>
    <row r="5390" spans="1:14" ht="14.25" customHeight="1" x14ac:dyDescent="0.25">
      <c r="A5390" s="168"/>
      <c r="B5390" s="168"/>
      <c r="C5390" s="168"/>
      <c r="D5390" s="168"/>
      <c r="E5390" s="168"/>
      <c r="F5390" s="168"/>
      <c r="G5390" s="81"/>
      <c r="H5390" s="81"/>
      <c r="I5390" s="117"/>
      <c r="J5390" s="81"/>
      <c r="K5390" s="81"/>
      <c r="L5390" s="81"/>
      <c r="M5390" s="81"/>
      <c r="N5390" s="81"/>
    </row>
    <row r="5391" spans="1:14" ht="14.25" customHeight="1" x14ac:dyDescent="0.25">
      <c r="A5391" s="168"/>
      <c r="B5391" s="168"/>
      <c r="C5391" s="168"/>
      <c r="D5391" s="168"/>
      <c r="E5391" s="168"/>
      <c r="F5391" s="168"/>
      <c r="G5391" s="81"/>
      <c r="H5391" s="81"/>
      <c r="I5391" s="117"/>
      <c r="J5391" s="81"/>
      <c r="K5391" s="81"/>
      <c r="L5391" s="81"/>
      <c r="M5391" s="81"/>
      <c r="N5391" s="81"/>
    </row>
    <row r="5392" spans="1:14" ht="14.25" customHeight="1" x14ac:dyDescent="0.25">
      <c r="A5392" s="645" t="s">
        <v>561</v>
      </c>
      <c r="B5392" s="646"/>
      <c r="C5392" s="646"/>
      <c r="D5392" s="646"/>
      <c r="E5392" s="646"/>
      <c r="F5392" s="647"/>
      <c r="G5392" s="81"/>
      <c r="H5392" s="143"/>
      <c r="I5392" s="117"/>
      <c r="J5392" s="81"/>
      <c r="K5392" s="81"/>
      <c r="L5392" s="81"/>
      <c r="M5392" s="81"/>
      <c r="N5392" s="81"/>
    </row>
    <row r="5393" spans="1:14" ht="14.25" customHeight="1" thickBot="1" x14ac:dyDescent="0.3">
      <c r="A5393" s="648"/>
      <c r="B5393" s="648"/>
      <c r="C5393" s="648"/>
      <c r="D5393" s="648"/>
      <c r="E5393" s="648"/>
      <c r="F5393" s="648"/>
      <c r="G5393" s="81"/>
      <c r="H5393" s="81"/>
      <c r="I5393" s="117"/>
      <c r="J5393" s="81"/>
      <c r="K5393" s="81"/>
      <c r="L5393" s="81"/>
      <c r="M5393" s="81"/>
      <c r="N5393" s="81"/>
    </row>
    <row r="5394" spans="1:14" ht="14.25" customHeight="1" thickBot="1" x14ac:dyDescent="0.3">
      <c r="A5394" s="309" t="s">
        <v>1334</v>
      </c>
      <c r="B5394" s="310"/>
      <c r="C5394" s="431" t="e">
        <f>+'[110]PPTO UNIATLÁNTICO'!A5165</f>
        <v>#REF!</v>
      </c>
      <c r="D5394" s="312"/>
      <c r="E5394" s="312"/>
      <c r="F5394" s="313" t="s">
        <v>49</v>
      </c>
      <c r="G5394" s="81"/>
      <c r="H5394" s="81"/>
      <c r="I5394" s="117"/>
      <c r="J5394" s="81"/>
      <c r="K5394" s="81"/>
      <c r="L5394" s="81"/>
      <c r="M5394" s="81"/>
      <c r="N5394" s="81"/>
    </row>
    <row r="5395" spans="1:14" ht="14.25" customHeight="1" thickBot="1" x14ac:dyDescent="0.3">
      <c r="A5395" s="314" t="e">
        <f>+'[110]PPTO UNIATLÁNTICO'!B5165</f>
        <v>#REF!</v>
      </c>
      <c r="B5395" s="315"/>
      <c r="C5395" s="315"/>
      <c r="D5395" s="316"/>
      <c r="E5395" s="316"/>
      <c r="F5395" s="317" t="s">
        <v>85</v>
      </c>
      <c r="G5395" s="81"/>
      <c r="H5395" s="81"/>
      <c r="I5395" s="81"/>
      <c r="J5395" s="81"/>
      <c r="K5395" s="81"/>
      <c r="L5395" s="81"/>
      <c r="M5395" s="81"/>
      <c r="N5395" s="81"/>
    </row>
    <row r="5396" spans="1:14" ht="14.25" customHeight="1" thickBot="1" x14ac:dyDescent="0.3">
      <c r="A5396" s="652"/>
      <c r="B5396" s="653"/>
      <c r="C5396" s="653"/>
      <c r="D5396" s="653"/>
      <c r="E5396" s="653"/>
      <c r="F5396" s="654"/>
      <c r="G5396" s="81"/>
      <c r="H5396" s="143"/>
      <c r="I5396" s="81"/>
      <c r="J5396" s="81"/>
      <c r="K5396" s="81"/>
      <c r="L5396" s="81"/>
      <c r="M5396" s="81"/>
      <c r="N5396" s="81"/>
    </row>
    <row r="5397" spans="1:14" ht="14.25" customHeight="1" thickBot="1" x14ac:dyDescent="0.3">
      <c r="A5397" s="633" t="s">
        <v>1335</v>
      </c>
      <c r="B5397" s="634"/>
      <c r="C5397" s="634"/>
      <c r="D5397" s="634"/>
      <c r="E5397" s="634"/>
      <c r="F5397" s="635"/>
      <c r="G5397" s="81"/>
      <c r="H5397" s="81"/>
      <c r="I5397" s="81"/>
      <c r="J5397" s="81"/>
      <c r="K5397" s="81"/>
      <c r="L5397" s="81"/>
      <c r="M5397" s="81"/>
      <c r="N5397" s="81"/>
    </row>
    <row r="5398" spans="1:14" ht="14.25" customHeight="1" thickBot="1" x14ac:dyDescent="0.3">
      <c r="A5398" s="318" t="s">
        <v>550</v>
      </c>
      <c r="B5398" s="319" t="s">
        <v>49</v>
      </c>
      <c r="C5398" s="319" t="s">
        <v>50</v>
      </c>
      <c r="D5398" s="319" t="s">
        <v>1357</v>
      </c>
      <c r="E5398" s="320" t="s">
        <v>1337</v>
      </c>
      <c r="F5398" s="321" t="s">
        <v>1338</v>
      </c>
      <c r="G5398" s="81"/>
      <c r="H5398" s="81"/>
      <c r="I5398" s="81"/>
      <c r="J5398" s="81"/>
      <c r="K5398" s="81"/>
      <c r="L5398" s="81"/>
      <c r="M5398" s="81"/>
      <c r="N5398" s="81"/>
    </row>
    <row r="5399" spans="1:14" ht="14.25" customHeight="1" x14ac:dyDescent="0.25">
      <c r="A5399" s="419" t="s">
        <v>1001</v>
      </c>
      <c r="B5399" s="420" t="s">
        <v>85</v>
      </c>
      <c r="C5399" s="421">
        <v>1</v>
      </c>
      <c r="D5399" s="325"/>
      <c r="E5399" s="422">
        <v>585617.98666666669</v>
      </c>
      <c r="F5399" s="327">
        <f>+C5399*E5399</f>
        <v>585617.98666666669</v>
      </c>
      <c r="G5399" s="81"/>
      <c r="H5399" s="81"/>
      <c r="I5399" s="81"/>
      <c r="J5399" s="81"/>
      <c r="K5399" s="81"/>
      <c r="L5399" s="81"/>
      <c r="M5399" s="81"/>
      <c r="N5399" s="81"/>
    </row>
    <row r="5400" spans="1:14" ht="14.25" customHeight="1" x14ac:dyDescent="0.25">
      <c r="A5400" s="328"/>
      <c r="B5400" s="329"/>
      <c r="C5400" s="330"/>
      <c r="D5400" s="331"/>
      <c r="E5400" s="336"/>
      <c r="F5400" s="333"/>
      <c r="G5400" s="81"/>
      <c r="H5400" s="81"/>
      <c r="I5400" s="81"/>
      <c r="J5400" s="81"/>
      <c r="K5400" s="81"/>
      <c r="L5400" s="81"/>
      <c r="M5400" s="81"/>
      <c r="N5400" s="81"/>
    </row>
    <row r="5401" spans="1:14" ht="14.25" customHeight="1" x14ac:dyDescent="0.25">
      <c r="A5401" s="334"/>
      <c r="B5401" s="329"/>
      <c r="C5401" s="330"/>
      <c r="D5401" s="331"/>
      <c r="E5401" s="336"/>
      <c r="F5401" s="333"/>
      <c r="G5401" s="81"/>
      <c r="H5401" s="81"/>
      <c r="I5401" s="81"/>
      <c r="J5401" s="81"/>
      <c r="K5401" s="81"/>
      <c r="L5401" s="81"/>
      <c r="M5401" s="81"/>
      <c r="N5401" s="81"/>
    </row>
    <row r="5402" spans="1:14" ht="14.25" customHeight="1" x14ac:dyDescent="0.25">
      <c r="A5402" s="334"/>
      <c r="B5402" s="335"/>
      <c r="C5402" s="330"/>
      <c r="D5402" s="331"/>
      <c r="E5402" s="336"/>
      <c r="F5402" s="333"/>
      <c r="G5402" s="81"/>
      <c r="H5402" s="81"/>
      <c r="I5402" s="81"/>
      <c r="J5402" s="81"/>
      <c r="K5402" s="81"/>
      <c r="L5402" s="81"/>
      <c r="M5402" s="81"/>
      <c r="N5402" s="81"/>
    </row>
    <row r="5403" spans="1:14" ht="14.25" customHeight="1" thickBot="1" x14ac:dyDescent="0.3">
      <c r="A5403" s="337"/>
      <c r="B5403" s="338"/>
      <c r="C5403" s="339"/>
      <c r="D5403" s="340"/>
      <c r="E5403" s="341" t="s">
        <v>1342</v>
      </c>
      <c r="F5403" s="342"/>
      <c r="G5403" s="81"/>
      <c r="H5403" s="81"/>
      <c r="I5403" s="81"/>
      <c r="J5403" s="81"/>
      <c r="K5403" s="81"/>
      <c r="L5403" s="81"/>
      <c r="M5403" s="81"/>
      <c r="N5403" s="81"/>
    </row>
    <row r="5404" spans="1:14" ht="14.25" customHeight="1" thickBot="1" x14ac:dyDescent="0.3">
      <c r="A5404" s="343"/>
      <c r="B5404" s="344"/>
      <c r="C5404" s="345"/>
      <c r="D5404" s="636" t="s">
        <v>1343</v>
      </c>
      <c r="E5404" s="637"/>
      <c r="F5404" s="346">
        <f>SUM(F5399:F5401)</f>
        <v>585617.98666666669</v>
      </c>
      <c r="G5404" s="81"/>
      <c r="H5404" s="143"/>
      <c r="I5404" s="81"/>
      <c r="J5404" s="81"/>
      <c r="K5404" s="81"/>
      <c r="L5404" s="81"/>
      <c r="M5404" s="81"/>
      <c r="N5404" s="81"/>
    </row>
    <row r="5405" spans="1:14" ht="14.25" customHeight="1" thickBot="1" x14ac:dyDescent="0.3">
      <c r="A5405" s="633" t="s">
        <v>1344</v>
      </c>
      <c r="B5405" s="634"/>
      <c r="C5405" s="634"/>
      <c r="D5405" s="634"/>
      <c r="E5405" s="634"/>
      <c r="F5405" s="635"/>
      <c r="G5405" s="81"/>
      <c r="H5405" s="81"/>
      <c r="I5405" s="81"/>
      <c r="J5405" s="81"/>
      <c r="K5405" s="81"/>
      <c r="L5405" s="81"/>
      <c r="M5405" s="81"/>
      <c r="N5405" s="81"/>
    </row>
    <row r="5406" spans="1:14" ht="14.25" customHeight="1" thickBot="1" x14ac:dyDescent="0.3">
      <c r="A5406" s="347" t="s">
        <v>505</v>
      </c>
      <c r="B5406" s="344"/>
      <c r="C5406" s="348" t="s">
        <v>1345</v>
      </c>
      <c r="D5406" s="349" t="s">
        <v>1346</v>
      </c>
      <c r="E5406" s="350" t="s">
        <v>557</v>
      </c>
      <c r="F5406" s="351"/>
      <c r="G5406" s="81"/>
      <c r="H5406" s="81"/>
      <c r="I5406" s="81"/>
      <c r="J5406" s="81"/>
      <c r="K5406" s="81"/>
      <c r="L5406" s="81"/>
      <c r="M5406" s="81"/>
      <c r="N5406" s="81"/>
    </row>
    <row r="5407" spans="1:14" ht="14.25" customHeight="1" x14ac:dyDescent="0.25">
      <c r="A5407" s="352" t="s">
        <v>1347</v>
      </c>
      <c r="B5407" s="353"/>
      <c r="C5407" s="353">
        <v>5000</v>
      </c>
      <c r="D5407" s="354">
        <v>10</v>
      </c>
      <c r="E5407" s="355">
        <f>+C5407/D5407</f>
        <v>500</v>
      </c>
      <c r="F5407" s="356">
        <f>+E5407</f>
        <v>500</v>
      </c>
      <c r="G5407" s="81"/>
      <c r="H5407" s="81"/>
      <c r="I5407" s="81"/>
      <c r="J5407" s="81"/>
      <c r="K5407" s="81"/>
      <c r="L5407" s="81"/>
      <c r="M5407" s="81"/>
      <c r="N5407" s="81"/>
    </row>
    <row r="5408" spans="1:14" ht="14.25" customHeight="1" x14ac:dyDescent="0.25">
      <c r="A5408" s="357"/>
      <c r="B5408" s="358"/>
      <c r="C5408" s="359"/>
      <c r="D5408" s="359"/>
      <c r="E5408" s="360"/>
      <c r="F5408" s="361"/>
      <c r="G5408" s="81"/>
      <c r="H5408" s="117"/>
      <c r="I5408" s="81"/>
      <c r="J5408" s="81"/>
      <c r="K5408" s="81"/>
      <c r="L5408" s="81"/>
      <c r="M5408" s="81"/>
      <c r="N5408" s="81"/>
    </row>
    <row r="5409" spans="1:14" ht="14.25" customHeight="1" thickBot="1" x14ac:dyDescent="0.3">
      <c r="A5409" s="357"/>
      <c r="B5409" s="358"/>
      <c r="C5409" s="359"/>
      <c r="D5409" s="359"/>
      <c r="E5409" s="360"/>
      <c r="F5409" s="362"/>
      <c r="G5409" s="81"/>
      <c r="H5409" s="81"/>
      <c r="I5409" s="81"/>
      <c r="J5409" s="81"/>
      <c r="K5409" s="81"/>
      <c r="L5409" s="81"/>
      <c r="M5409" s="81"/>
      <c r="N5409" s="81"/>
    </row>
    <row r="5410" spans="1:14" ht="14.25" customHeight="1" thickBot="1" x14ac:dyDescent="0.3">
      <c r="A5410" s="357"/>
      <c r="B5410" s="358"/>
      <c r="C5410" s="363"/>
      <c r="D5410" s="638" t="s">
        <v>1348</v>
      </c>
      <c r="E5410" s="639"/>
      <c r="F5410" s="364">
        <f>SUM(F5407:F5409)</f>
        <v>500</v>
      </c>
      <c r="G5410" s="81"/>
      <c r="H5410" s="81"/>
      <c r="I5410" s="81"/>
      <c r="J5410" s="81"/>
      <c r="K5410" s="81"/>
      <c r="L5410" s="81"/>
      <c r="M5410" s="81"/>
      <c r="N5410" s="81"/>
    </row>
    <row r="5411" spans="1:14" ht="14.25" customHeight="1" thickBot="1" x14ac:dyDescent="0.3">
      <c r="A5411" s="365" t="s">
        <v>553</v>
      </c>
      <c r="B5411" s="366"/>
      <c r="C5411" s="367"/>
      <c r="D5411" s="368"/>
      <c r="E5411" s="369"/>
      <c r="F5411" s="370"/>
      <c r="G5411" s="81"/>
      <c r="H5411" s="81"/>
      <c r="I5411" s="81"/>
      <c r="J5411" s="81"/>
      <c r="K5411" s="81"/>
      <c r="L5411" s="81"/>
      <c r="M5411" s="81"/>
      <c r="N5411" s="81"/>
    </row>
    <row r="5412" spans="1:14" ht="14.25" customHeight="1" thickBot="1" x14ac:dyDescent="0.3">
      <c r="A5412" s="371" t="s">
        <v>505</v>
      </c>
      <c r="B5412" s="372" t="s">
        <v>50</v>
      </c>
      <c r="C5412" s="373" t="s">
        <v>1349</v>
      </c>
      <c r="D5412" s="373" t="s">
        <v>1350</v>
      </c>
      <c r="E5412" s="373" t="s">
        <v>1346</v>
      </c>
      <c r="F5412" s="374" t="s">
        <v>557</v>
      </c>
      <c r="G5412" s="81"/>
      <c r="H5412" s="81"/>
      <c r="I5412" s="81"/>
      <c r="J5412" s="81"/>
      <c r="K5412" s="81"/>
      <c r="L5412" s="81"/>
      <c r="M5412" s="81"/>
      <c r="N5412" s="81"/>
    </row>
    <row r="5413" spans="1:14" ht="14.25" customHeight="1" x14ac:dyDescent="0.25">
      <c r="A5413" s="357" t="s">
        <v>1351</v>
      </c>
      <c r="B5413" s="375">
        <v>1</v>
      </c>
      <c r="C5413" s="376">
        <v>196800</v>
      </c>
      <c r="D5413" s="377">
        <v>1.9402999999999999</v>
      </c>
      <c r="E5413" s="378">
        <v>3.6</v>
      </c>
      <c r="F5413" s="379">
        <f>(B5413*C5413*D5413)/E5413</f>
        <v>106069.73333333332</v>
      </c>
      <c r="G5413" s="81"/>
      <c r="H5413" s="117"/>
      <c r="I5413" s="81"/>
      <c r="J5413" s="81"/>
      <c r="K5413" s="81"/>
      <c r="L5413" s="81"/>
      <c r="M5413" s="81"/>
      <c r="N5413" s="81"/>
    </row>
    <row r="5414" spans="1:14" ht="14.25" customHeight="1" x14ac:dyDescent="0.25">
      <c r="A5414" s="380"/>
      <c r="B5414" s="353"/>
      <c r="C5414" s="359"/>
      <c r="D5414" s="359"/>
      <c r="E5414" s="381"/>
      <c r="F5414" s="382"/>
      <c r="G5414" s="81"/>
      <c r="H5414" s="81"/>
      <c r="I5414" s="81"/>
      <c r="J5414" s="81"/>
      <c r="K5414" s="81"/>
      <c r="L5414" s="81"/>
      <c r="M5414" s="81"/>
      <c r="N5414" s="81"/>
    </row>
    <row r="5415" spans="1:14" ht="14.25" customHeight="1" x14ac:dyDescent="0.25">
      <c r="A5415" s="357"/>
      <c r="B5415" s="358"/>
      <c r="C5415" s="359"/>
      <c r="D5415" s="359"/>
      <c r="E5415" s="360"/>
      <c r="F5415" s="361"/>
      <c r="G5415" s="81"/>
      <c r="H5415" s="81"/>
      <c r="I5415" s="81"/>
      <c r="J5415" s="81"/>
      <c r="K5415" s="81"/>
      <c r="L5415" s="81"/>
      <c r="M5415" s="81"/>
      <c r="N5415" s="81"/>
    </row>
    <row r="5416" spans="1:14" ht="14.25" customHeight="1" thickBot="1" x14ac:dyDescent="0.3">
      <c r="A5416" s="352"/>
      <c r="B5416" s="353"/>
      <c r="C5416" s="359"/>
      <c r="D5416" s="359"/>
      <c r="E5416" s="381"/>
      <c r="F5416" s="383"/>
      <c r="G5416" s="81"/>
      <c r="H5416" s="81"/>
      <c r="I5416" s="81"/>
      <c r="J5416" s="81"/>
      <c r="K5416" s="81"/>
      <c r="L5416" s="81"/>
      <c r="M5416" s="81"/>
      <c r="N5416" s="81"/>
    </row>
    <row r="5417" spans="1:14" ht="14.25" customHeight="1" thickBot="1" x14ac:dyDescent="0.3">
      <c r="A5417" s="352"/>
      <c r="B5417" s="384"/>
      <c r="C5417" s="385"/>
      <c r="D5417" s="640" t="s">
        <v>1352</v>
      </c>
      <c r="E5417" s="641"/>
      <c r="F5417" s="364">
        <f>SUM(F5413:F5416)</f>
        <v>106069.73333333332</v>
      </c>
      <c r="G5417" s="81"/>
      <c r="H5417" s="81"/>
      <c r="I5417" s="81"/>
      <c r="J5417" s="81"/>
      <c r="K5417" s="81"/>
      <c r="L5417" s="81"/>
      <c r="M5417" s="81"/>
      <c r="N5417" s="81"/>
    </row>
    <row r="5418" spans="1:14" ht="14.25" customHeight="1" thickBot="1" x14ac:dyDescent="0.3">
      <c r="A5418" s="386" t="s">
        <v>554</v>
      </c>
      <c r="B5418" s="387"/>
      <c r="C5418" s="388"/>
      <c r="D5418" s="388"/>
      <c r="E5418" s="389"/>
      <c r="F5418" s="390"/>
      <c r="G5418" s="81"/>
      <c r="H5418" s="81"/>
      <c r="I5418" s="81"/>
      <c r="J5418" s="81"/>
      <c r="K5418" s="81"/>
      <c r="L5418" s="81"/>
      <c r="M5418" s="81"/>
      <c r="N5418" s="81"/>
    </row>
    <row r="5419" spans="1:14" ht="14.25" customHeight="1" thickBot="1" x14ac:dyDescent="0.3">
      <c r="A5419" s="371" t="s">
        <v>550</v>
      </c>
      <c r="B5419" s="372"/>
      <c r="C5419" s="373" t="s">
        <v>1353</v>
      </c>
      <c r="D5419" s="373" t="s">
        <v>1354</v>
      </c>
      <c r="E5419" s="373" t="s">
        <v>1355</v>
      </c>
      <c r="F5419" s="374" t="s">
        <v>557</v>
      </c>
      <c r="G5419" s="81"/>
      <c r="H5419" s="81"/>
      <c r="I5419" s="81"/>
      <c r="J5419" s="81"/>
      <c r="K5419" s="81"/>
      <c r="L5419" s="81"/>
      <c r="M5419" s="81"/>
      <c r="N5419" s="81"/>
    </row>
    <row r="5420" spans="1:14" ht="14.25" customHeight="1" x14ac:dyDescent="0.25">
      <c r="A5420" s="391" t="s">
        <v>604</v>
      </c>
      <c r="B5420" s="392"/>
      <c r="C5420" s="393"/>
      <c r="D5420" s="392">
        <v>2.5</v>
      </c>
      <c r="E5420" s="429">
        <v>462</v>
      </c>
      <c r="F5420" s="427">
        <f>+E5420*D5420</f>
        <v>1155</v>
      </c>
      <c r="G5420" s="81"/>
      <c r="H5420" s="81"/>
      <c r="I5420" s="81"/>
      <c r="J5420" s="81"/>
      <c r="K5420" s="81"/>
      <c r="L5420" s="81"/>
      <c r="M5420" s="81"/>
      <c r="N5420" s="81"/>
    </row>
    <row r="5421" spans="1:14" ht="14.25" customHeight="1" x14ac:dyDescent="0.25">
      <c r="A5421" s="396"/>
      <c r="B5421" s="397"/>
      <c r="C5421" s="398"/>
      <c r="D5421" s="398"/>
      <c r="E5421" s="399"/>
      <c r="F5421" s="400"/>
      <c r="G5421" s="81"/>
      <c r="H5421" s="81"/>
      <c r="I5421" s="81"/>
      <c r="J5421" s="81"/>
      <c r="K5421" s="81"/>
      <c r="L5421" s="81"/>
      <c r="M5421" s="81"/>
      <c r="N5421" s="81"/>
    </row>
    <row r="5422" spans="1:14" ht="14.25" customHeight="1" thickBot="1" x14ac:dyDescent="0.3">
      <c r="A5422" s="396"/>
      <c r="B5422" s="397"/>
      <c r="C5422" s="398"/>
      <c r="D5422" s="398"/>
      <c r="E5422" s="399"/>
      <c r="F5422" s="401"/>
      <c r="G5422" s="81"/>
      <c r="H5422" s="81"/>
      <c r="I5422" s="81"/>
      <c r="J5422" s="81"/>
      <c r="K5422" s="81"/>
      <c r="L5422" s="81"/>
      <c r="M5422" s="81"/>
      <c r="N5422" s="81"/>
    </row>
    <row r="5423" spans="1:14" ht="14.25" customHeight="1" thickBot="1" x14ac:dyDescent="0.3">
      <c r="A5423" s="352"/>
      <c r="B5423" s="384"/>
      <c r="C5423" s="385"/>
      <c r="D5423" s="640" t="s">
        <v>1356</v>
      </c>
      <c r="E5423" s="642"/>
      <c r="F5423" s="402">
        <f>SUM(F5420)</f>
        <v>1155</v>
      </c>
      <c r="G5423" s="81"/>
      <c r="H5423" s="81"/>
      <c r="I5423" s="81"/>
      <c r="J5423" s="81"/>
      <c r="K5423" s="81"/>
      <c r="L5423" s="81"/>
      <c r="M5423" s="81"/>
      <c r="N5423" s="81"/>
    </row>
    <row r="5424" spans="1:14" ht="14.25" customHeight="1" thickBot="1" x14ac:dyDescent="0.3">
      <c r="A5424" s="643"/>
      <c r="B5424" s="644"/>
      <c r="C5424" s="644"/>
      <c r="D5424" s="644"/>
      <c r="E5424" s="403" t="s">
        <v>555</v>
      </c>
      <c r="F5424" s="404">
        <f>+F5423+F5417+F5410+F5404</f>
        <v>693342.71999999997</v>
      </c>
      <c r="G5424" s="81"/>
      <c r="H5424" s="81"/>
      <c r="I5424" s="81"/>
      <c r="J5424" s="81"/>
      <c r="K5424" s="81"/>
      <c r="L5424" s="81"/>
      <c r="M5424" s="81"/>
      <c r="N5424" s="81"/>
    </row>
    <row r="5425" spans="1:14" ht="14.25" customHeight="1" x14ac:dyDescent="0.25">
      <c r="A5425" s="168"/>
      <c r="B5425" s="168"/>
      <c r="C5425" s="168"/>
      <c r="D5425" s="168"/>
      <c r="E5425" s="168"/>
      <c r="F5425" s="168"/>
      <c r="G5425" s="81"/>
      <c r="H5425" s="81"/>
      <c r="I5425" s="81"/>
      <c r="J5425" s="81"/>
      <c r="K5425" s="81"/>
      <c r="L5425" s="81"/>
      <c r="M5425" s="81"/>
      <c r="N5425" s="81"/>
    </row>
    <row r="5426" spans="1:14" ht="14.25" customHeight="1" x14ac:dyDescent="0.25">
      <c r="A5426" s="168"/>
      <c r="B5426" s="168"/>
      <c r="C5426" s="168"/>
      <c r="D5426" s="168"/>
      <c r="E5426" s="168"/>
      <c r="F5426" s="168"/>
      <c r="G5426" s="81"/>
      <c r="H5426" s="81"/>
      <c r="I5426" s="81"/>
      <c r="J5426" s="81"/>
      <c r="K5426" s="81"/>
      <c r="L5426" s="81"/>
      <c r="M5426" s="81"/>
      <c r="N5426" s="81"/>
    </row>
    <row r="5427" spans="1:14" ht="14.25" customHeight="1" x14ac:dyDescent="0.25">
      <c r="A5427" s="432"/>
      <c r="B5427" s="432"/>
      <c r="C5427" s="432"/>
      <c r="D5427" s="432"/>
      <c r="E5427" s="432"/>
      <c r="F5427" s="432"/>
      <c r="G5427" s="81"/>
      <c r="H5427" s="81"/>
      <c r="I5427" s="81"/>
      <c r="J5427" s="81"/>
      <c r="K5427" s="81"/>
      <c r="L5427" s="81"/>
      <c r="M5427" s="81"/>
      <c r="N5427" s="81"/>
    </row>
    <row r="5428" spans="1:14" ht="14.25" customHeight="1" x14ac:dyDescent="0.25">
      <c r="A5428" s="645" t="s">
        <v>561</v>
      </c>
      <c r="B5428" s="646"/>
      <c r="C5428" s="646"/>
      <c r="D5428" s="646"/>
      <c r="E5428" s="646"/>
      <c r="F5428" s="647"/>
      <c r="G5428" s="81"/>
      <c r="H5428" s="81"/>
      <c r="I5428" s="81"/>
      <c r="J5428" s="81"/>
      <c r="K5428" s="81"/>
      <c r="L5428" s="81"/>
      <c r="M5428" s="81"/>
      <c r="N5428" s="81"/>
    </row>
    <row r="5429" spans="1:14" ht="14.25" customHeight="1" thickBot="1" x14ac:dyDescent="0.3">
      <c r="A5429" s="648"/>
      <c r="B5429" s="648"/>
      <c r="C5429" s="648"/>
      <c r="D5429" s="648"/>
      <c r="E5429" s="648"/>
      <c r="F5429" s="648"/>
      <c r="G5429" s="81"/>
      <c r="H5429" s="81"/>
      <c r="I5429" s="81"/>
      <c r="J5429" s="81"/>
      <c r="K5429" s="81"/>
      <c r="L5429" s="81"/>
      <c r="M5429" s="81"/>
      <c r="N5429" s="81"/>
    </row>
    <row r="5430" spans="1:14" ht="14.25" customHeight="1" thickBot="1" x14ac:dyDescent="0.3">
      <c r="A5430" s="309" t="s">
        <v>1334</v>
      </c>
      <c r="B5430" s="310"/>
      <c r="C5430" s="430" t="e">
        <f>+'[110]PPTO UNIATLÁNTICO'!A5197</f>
        <v>#REF!</v>
      </c>
      <c r="D5430" s="312"/>
      <c r="E5430" s="312"/>
      <c r="F5430" s="313" t="s">
        <v>49</v>
      </c>
      <c r="G5430" s="81"/>
      <c r="H5430" s="81"/>
      <c r="I5430" s="81"/>
      <c r="J5430" s="81"/>
      <c r="K5430" s="81"/>
      <c r="L5430" s="81"/>
      <c r="M5430" s="81"/>
      <c r="N5430" s="81"/>
    </row>
    <row r="5431" spans="1:14" ht="14.25" customHeight="1" thickBot="1" x14ac:dyDescent="0.3">
      <c r="A5431" s="314" t="e">
        <f>+'[110]PPTO UNIATLÁNTICO'!B5197</f>
        <v>#REF!</v>
      </c>
      <c r="B5431" s="315"/>
      <c r="C5431" s="315"/>
      <c r="D5431" s="316"/>
      <c r="E5431" s="316"/>
      <c r="F5431" s="317" t="s">
        <v>59</v>
      </c>
      <c r="G5431" s="81"/>
      <c r="H5431" s="81"/>
      <c r="I5431" s="81"/>
      <c r="J5431" s="81"/>
      <c r="K5431" s="81"/>
      <c r="L5431" s="81"/>
      <c r="M5431" s="81"/>
      <c r="N5431" s="81"/>
    </row>
    <row r="5432" spans="1:14" ht="14.25" customHeight="1" thickBot="1" x14ac:dyDescent="0.3">
      <c r="A5432" s="652"/>
      <c r="B5432" s="653"/>
      <c r="C5432" s="653"/>
      <c r="D5432" s="653"/>
      <c r="E5432" s="653"/>
      <c r="F5432" s="654"/>
      <c r="G5432" s="81"/>
      <c r="H5432" s="81"/>
      <c r="I5432" s="81"/>
      <c r="J5432" s="81"/>
      <c r="K5432" s="81"/>
      <c r="L5432" s="81"/>
      <c r="M5432" s="81"/>
      <c r="N5432" s="81"/>
    </row>
    <row r="5433" spans="1:14" ht="14.25" customHeight="1" thickBot="1" x14ac:dyDescent="0.3">
      <c r="A5433" s="633" t="s">
        <v>1335</v>
      </c>
      <c r="B5433" s="634"/>
      <c r="C5433" s="634"/>
      <c r="D5433" s="634"/>
      <c r="E5433" s="634"/>
      <c r="F5433" s="635"/>
      <c r="G5433" s="81"/>
      <c r="H5433" s="81"/>
      <c r="I5433" s="81"/>
      <c r="J5433" s="81"/>
      <c r="K5433" s="81"/>
      <c r="L5433" s="81"/>
      <c r="M5433" s="81"/>
      <c r="N5433" s="81"/>
    </row>
    <row r="5434" spans="1:14" ht="14.25" customHeight="1" thickBot="1" x14ac:dyDescent="0.3">
      <c r="A5434" s="318" t="s">
        <v>550</v>
      </c>
      <c r="B5434" s="319" t="s">
        <v>49</v>
      </c>
      <c r="C5434" s="319" t="s">
        <v>50</v>
      </c>
      <c r="D5434" s="319" t="s">
        <v>1357</v>
      </c>
      <c r="E5434" s="320" t="s">
        <v>1337</v>
      </c>
      <c r="F5434" s="321" t="s">
        <v>1338</v>
      </c>
      <c r="G5434" s="81"/>
      <c r="H5434" s="81"/>
      <c r="I5434" s="81"/>
      <c r="J5434" s="81"/>
      <c r="K5434" s="81"/>
      <c r="L5434" s="81"/>
      <c r="M5434" s="81"/>
      <c r="N5434" s="81"/>
    </row>
    <row r="5435" spans="1:14" ht="14.25" customHeight="1" x14ac:dyDescent="0.25">
      <c r="A5435" s="419" t="s">
        <v>1363</v>
      </c>
      <c r="B5435" s="420" t="s">
        <v>560</v>
      </c>
      <c r="C5435" s="421">
        <v>8</v>
      </c>
      <c r="D5435" s="325"/>
      <c r="E5435" s="422">
        <v>5200</v>
      </c>
      <c r="F5435" s="327">
        <f>+C5435*E5435</f>
        <v>41600</v>
      </c>
      <c r="G5435" s="81"/>
      <c r="H5435" s="81"/>
      <c r="I5435" s="81"/>
      <c r="J5435" s="81"/>
      <c r="K5435" s="81"/>
      <c r="L5435" s="81"/>
      <c r="M5435" s="81"/>
      <c r="N5435" s="81"/>
    </row>
    <row r="5436" spans="1:14" ht="15.75" x14ac:dyDescent="0.25">
      <c r="A5436" s="328" t="s">
        <v>1340</v>
      </c>
      <c r="B5436" s="329" t="s">
        <v>85</v>
      </c>
      <c r="C5436" s="330">
        <v>0.2</v>
      </c>
      <c r="D5436" s="331"/>
      <c r="E5436" s="332">
        <v>10500</v>
      </c>
      <c r="F5436" s="333">
        <f>+C5436*E5436</f>
        <v>2100</v>
      </c>
      <c r="G5436" s="81"/>
      <c r="H5436" s="81"/>
      <c r="I5436" s="81"/>
      <c r="J5436" s="81"/>
      <c r="K5436" s="81"/>
      <c r="L5436" s="81"/>
      <c r="M5436" s="81"/>
      <c r="N5436" s="81"/>
    </row>
    <row r="5437" spans="1:14" ht="15.75" x14ac:dyDescent="0.25">
      <c r="A5437" s="334" t="s">
        <v>1341</v>
      </c>
      <c r="B5437" s="329" t="s">
        <v>85</v>
      </c>
      <c r="C5437" s="330">
        <v>0.3</v>
      </c>
      <c r="D5437" s="331"/>
      <c r="E5437" s="332">
        <v>7500</v>
      </c>
      <c r="F5437" s="333">
        <f>+C5437*E5437</f>
        <v>2250</v>
      </c>
      <c r="G5437" s="81"/>
      <c r="H5437" s="81"/>
      <c r="I5437" s="81"/>
      <c r="J5437" s="81"/>
      <c r="K5437" s="81"/>
      <c r="L5437" s="81"/>
      <c r="M5437" s="81"/>
      <c r="N5437" s="81"/>
    </row>
    <row r="5438" spans="1:14" s="170" customFormat="1" ht="15.75" x14ac:dyDescent="0.25">
      <c r="A5438" s="334"/>
      <c r="B5438" s="335"/>
      <c r="C5438" s="330"/>
      <c r="D5438" s="331"/>
      <c r="E5438" s="336"/>
      <c r="F5438" s="333"/>
      <c r="G5438" s="81"/>
      <c r="H5438" s="81"/>
      <c r="I5438" s="81"/>
      <c r="J5438" s="81"/>
      <c r="K5438" s="81"/>
      <c r="L5438" s="81"/>
      <c r="M5438" s="81"/>
      <c r="N5438" s="81"/>
    </row>
    <row r="5439" spans="1:14" ht="16.5" thickBot="1" x14ac:dyDescent="0.3">
      <c r="A5439" s="337"/>
      <c r="B5439" s="338"/>
      <c r="C5439" s="339"/>
      <c r="D5439" s="340"/>
      <c r="E5439" s="341" t="s">
        <v>1342</v>
      </c>
      <c r="F5439" s="342"/>
      <c r="G5439" s="81"/>
      <c r="H5439" s="81"/>
      <c r="I5439" s="81"/>
      <c r="J5439" s="81"/>
      <c r="K5439" s="81"/>
      <c r="L5439" s="81"/>
      <c r="M5439" s="81"/>
      <c r="N5439" s="81"/>
    </row>
    <row r="5440" spans="1:14" ht="16.5" thickBot="1" x14ac:dyDescent="0.3">
      <c r="A5440" s="343"/>
      <c r="B5440" s="344"/>
      <c r="C5440" s="345"/>
      <c r="D5440" s="636" t="s">
        <v>1343</v>
      </c>
      <c r="E5440" s="637"/>
      <c r="F5440" s="346">
        <f>SUM(F5435:F5437)</f>
        <v>45950</v>
      </c>
      <c r="G5440" s="81"/>
      <c r="H5440" s="81"/>
      <c r="I5440" s="81"/>
      <c r="J5440" s="81"/>
      <c r="K5440" s="81"/>
      <c r="L5440" s="81"/>
      <c r="M5440" s="81"/>
      <c r="N5440" s="81"/>
    </row>
    <row r="5441" spans="1:14" ht="14.25" customHeight="1" thickBot="1" x14ac:dyDescent="0.3">
      <c r="A5441" s="633" t="s">
        <v>1344</v>
      </c>
      <c r="B5441" s="634"/>
      <c r="C5441" s="634"/>
      <c r="D5441" s="634"/>
      <c r="E5441" s="634"/>
      <c r="F5441" s="635"/>
      <c r="G5441" s="81"/>
      <c r="H5441" s="81"/>
      <c r="I5441" s="81"/>
      <c r="J5441" s="81"/>
      <c r="K5441" s="81"/>
      <c r="L5441" s="81"/>
      <c r="M5441" s="81"/>
      <c r="N5441" s="81"/>
    </row>
    <row r="5442" spans="1:14" ht="14.25" customHeight="1" thickBot="1" x14ac:dyDescent="0.3">
      <c r="A5442" s="347" t="s">
        <v>505</v>
      </c>
      <c r="B5442" s="344"/>
      <c r="C5442" s="348" t="s">
        <v>1345</v>
      </c>
      <c r="D5442" s="349" t="s">
        <v>1346</v>
      </c>
      <c r="E5442" s="350" t="s">
        <v>557</v>
      </c>
      <c r="F5442" s="351"/>
      <c r="G5442" s="81"/>
      <c r="H5442" s="81"/>
      <c r="I5442" s="81"/>
      <c r="J5442" s="81"/>
      <c r="K5442" s="81"/>
      <c r="L5442" s="81"/>
      <c r="M5442" s="81"/>
      <c r="N5442" s="81"/>
    </row>
    <row r="5443" spans="1:14" ht="14.25" customHeight="1" x14ac:dyDescent="0.25">
      <c r="A5443" s="352" t="s">
        <v>1347</v>
      </c>
      <c r="B5443" s="353"/>
      <c r="C5443" s="353">
        <v>5000</v>
      </c>
      <c r="D5443" s="354">
        <v>223.60533786689371</v>
      </c>
      <c r="E5443" s="355">
        <f>+C5443/D5443</f>
        <v>22.360825764259559</v>
      </c>
      <c r="F5443" s="356">
        <f>+E5443</f>
        <v>22.360825764259559</v>
      </c>
      <c r="G5443" s="81"/>
      <c r="H5443" s="81"/>
      <c r="I5443" s="81"/>
      <c r="J5443" s="81"/>
      <c r="K5443" s="81"/>
      <c r="L5443" s="81"/>
      <c r="M5443" s="81"/>
      <c r="N5443" s="81"/>
    </row>
    <row r="5444" spans="1:14" ht="14.25" customHeight="1" x14ac:dyDescent="0.25">
      <c r="A5444" s="357"/>
      <c r="B5444" s="358"/>
      <c r="C5444" s="359"/>
      <c r="D5444" s="359"/>
      <c r="E5444" s="360"/>
      <c r="F5444" s="361"/>
      <c r="G5444" s="81"/>
      <c r="H5444" s="81"/>
      <c r="I5444" s="81"/>
      <c r="J5444" s="81"/>
      <c r="K5444" s="81"/>
      <c r="L5444" s="81"/>
      <c r="M5444" s="81"/>
      <c r="N5444" s="81"/>
    </row>
    <row r="5445" spans="1:14" ht="14.25" customHeight="1" thickBot="1" x14ac:dyDescent="0.3">
      <c r="A5445" s="357"/>
      <c r="B5445" s="358"/>
      <c r="C5445" s="359"/>
      <c r="D5445" s="359"/>
      <c r="E5445" s="360"/>
      <c r="F5445" s="362"/>
      <c r="G5445" s="81"/>
      <c r="H5445" s="81"/>
      <c r="I5445" s="81"/>
      <c r="J5445" s="81"/>
      <c r="K5445" s="81"/>
      <c r="L5445" s="81"/>
      <c r="M5445" s="81"/>
      <c r="N5445" s="81"/>
    </row>
    <row r="5446" spans="1:14" ht="14.25" customHeight="1" thickBot="1" x14ac:dyDescent="0.3">
      <c r="A5446" s="357"/>
      <c r="B5446" s="358"/>
      <c r="C5446" s="363"/>
      <c r="D5446" s="638" t="s">
        <v>1348</v>
      </c>
      <c r="E5446" s="639"/>
      <c r="F5446" s="364">
        <f>SUM(F5443:F5445)</f>
        <v>22.360825764259559</v>
      </c>
      <c r="G5446" s="81"/>
      <c r="H5446" s="81"/>
      <c r="I5446" s="81"/>
      <c r="J5446" s="81"/>
      <c r="K5446" s="81"/>
      <c r="L5446" s="81"/>
      <c r="M5446" s="81"/>
      <c r="N5446" s="81"/>
    </row>
    <row r="5447" spans="1:14" ht="14.25" customHeight="1" thickBot="1" x14ac:dyDescent="0.3">
      <c r="A5447" s="365" t="s">
        <v>553</v>
      </c>
      <c r="B5447" s="366"/>
      <c r="C5447" s="367"/>
      <c r="D5447" s="368"/>
      <c r="E5447" s="369"/>
      <c r="F5447" s="370"/>
      <c r="G5447" s="81"/>
      <c r="H5447" s="81"/>
      <c r="I5447" s="81"/>
      <c r="J5447" s="81"/>
      <c r="K5447" s="81"/>
      <c r="L5447" s="81"/>
      <c r="M5447" s="81"/>
      <c r="N5447" s="81"/>
    </row>
    <row r="5448" spans="1:14" ht="14.25" customHeight="1" thickBot="1" x14ac:dyDescent="0.3">
      <c r="A5448" s="371" t="s">
        <v>505</v>
      </c>
      <c r="B5448" s="372" t="s">
        <v>50</v>
      </c>
      <c r="C5448" s="373" t="s">
        <v>1349</v>
      </c>
      <c r="D5448" s="373" t="s">
        <v>1350</v>
      </c>
      <c r="E5448" s="373" t="s">
        <v>1346</v>
      </c>
      <c r="F5448" s="374" t="s">
        <v>557</v>
      </c>
      <c r="G5448" s="81"/>
      <c r="H5448" s="81"/>
      <c r="I5448" s="81"/>
      <c r="J5448" s="81"/>
      <c r="K5448" s="81"/>
      <c r="L5448" s="81"/>
      <c r="M5448" s="81"/>
      <c r="N5448" s="81"/>
    </row>
    <row r="5449" spans="1:14" ht="14.25" customHeight="1" x14ac:dyDescent="0.25">
      <c r="A5449" s="357" t="s">
        <v>1351</v>
      </c>
      <c r="B5449" s="375">
        <v>1</v>
      </c>
      <c r="C5449" s="376">
        <v>196800</v>
      </c>
      <c r="D5449" s="377">
        <v>1.9402999999999999</v>
      </c>
      <c r="E5449" s="378">
        <v>95.304574339952651</v>
      </c>
      <c r="F5449" s="379">
        <f>(B5449*C5449*D5449)/E5449</f>
        <v>4006.6391633829912</v>
      </c>
      <c r="G5449" s="81"/>
      <c r="H5449" s="81"/>
      <c r="I5449" s="81"/>
      <c r="J5449" s="81"/>
      <c r="K5449" s="81"/>
      <c r="L5449" s="81"/>
      <c r="M5449" s="81"/>
      <c r="N5449" s="81"/>
    </row>
    <row r="5450" spans="1:14" ht="14.25" customHeight="1" x14ac:dyDescent="0.25">
      <c r="A5450" s="380"/>
      <c r="B5450" s="353"/>
      <c r="C5450" s="359"/>
      <c r="D5450" s="359"/>
      <c r="E5450" s="381"/>
      <c r="F5450" s="382"/>
      <c r="G5450" s="81"/>
      <c r="H5450" s="81"/>
      <c r="I5450" s="81"/>
      <c r="J5450" s="81"/>
      <c r="K5450" s="81"/>
      <c r="L5450" s="81"/>
      <c r="M5450" s="81"/>
      <c r="N5450" s="81"/>
    </row>
    <row r="5451" spans="1:14" ht="14.25" customHeight="1" x14ac:dyDescent="0.25">
      <c r="A5451" s="357"/>
      <c r="B5451" s="358"/>
      <c r="C5451" s="359"/>
      <c r="D5451" s="359"/>
      <c r="E5451" s="360"/>
      <c r="F5451" s="361"/>
      <c r="G5451" s="81"/>
      <c r="H5451" s="81"/>
      <c r="I5451" s="81"/>
      <c r="J5451" s="81"/>
      <c r="K5451" s="81"/>
      <c r="L5451" s="81"/>
      <c r="M5451" s="81"/>
      <c r="N5451" s="81"/>
    </row>
    <row r="5452" spans="1:14" ht="14.25" customHeight="1" thickBot="1" x14ac:dyDescent="0.3">
      <c r="A5452" s="352"/>
      <c r="B5452" s="353"/>
      <c r="C5452" s="359"/>
      <c r="D5452" s="359"/>
      <c r="E5452" s="381"/>
      <c r="F5452" s="383"/>
      <c r="G5452" s="81"/>
      <c r="H5452" s="81"/>
      <c r="I5452" s="81"/>
      <c r="J5452" s="81"/>
      <c r="K5452" s="81"/>
      <c r="L5452" s="81"/>
      <c r="M5452" s="81"/>
      <c r="N5452" s="81"/>
    </row>
    <row r="5453" spans="1:14" ht="14.25" customHeight="1" thickBot="1" x14ac:dyDescent="0.3">
      <c r="A5453" s="352"/>
      <c r="B5453" s="384"/>
      <c r="C5453" s="385"/>
      <c r="D5453" s="640" t="s">
        <v>1352</v>
      </c>
      <c r="E5453" s="641"/>
      <c r="F5453" s="364">
        <f>SUM(F5449:F5452)</f>
        <v>4006.6391633829912</v>
      </c>
      <c r="G5453" s="81"/>
      <c r="H5453" s="81"/>
      <c r="I5453" s="81"/>
      <c r="J5453" s="81"/>
      <c r="K5453" s="81"/>
      <c r="L5453" s="81"/>
      <c r="M5453" s="81"/>
      <c r="N5453" s="81"/>
    </row>
    <row r="5454" spans="1:14" ht="14.25" customHeight="1" thickBot="1" x14ac:dyDescent="0.3">
      <c r="A5454" s="386" t="s">
        <v>554</v>
      </c>
      <c r="B5454" s="387"/>
      <c r="C5454" s="388"/>
      <c r="D5454" s="388"/>
      <c r="E5454" s="389"/>
      <c r="F5454" s="390"/>
      <c r="G5454" s="81"/>
      <c r="H5454" s="81"/>
      <c r="I5454" s="81"/>
      <c r="J5454" s="81"/>
      <c r="K5454" s="81"/>
      <c r="L5454" s="81"/>
      <c r="M5454" s="81"/>
      <c r="N5454" s="81"/>
    </row>
    <row r="5455" spans="1:14" ht="14.25" customHeight="1" thickBot="1" x14ac:dyDescent="0.3">
      <c r="A5455" s="371" t="s">
        <v>550</v>
      </c>
      <c r="B5455" s="372"/>
      <c r="C5455" s="373" t="s">
        <v>1353</v>
      </c>
      <c r="D5455" s="373" t="s">
        <v>1354</v>
      </c>
      <c r="E5455" s="373" t="s">
        <v>1355</v>
      </c>
      <c r="F5455" s="374" t="s">
        <v>557</v>
      </c>
      <c r="G5455" s="81"/>
      <c r="H5455" s="81"/>
      <c r="I5455" s="81"/>
      <c r="J5455" s="81"/>
      <c r="K5455" s="81"/>
      <c r="L5455" s="81"/>
      <c r="M5455" s="81"/>
      <c r="N5455" s="81"/>
    </row>
    <row r="5456" spans="1:14" ht="14.25" customHeight="1" x14ac:dyDescent="0.25">
      <c r="A5456" s="391" t="s">
        <v>604</v>
      </c>
      <c r="B5456" s="392"/>
      <c r="C5456" s="393"/>
      <c r="D5456" s="392">
        <v>2.5</v>
      </c>
      <c r="E5456" s="394">
        <v>26.832000000000001</v>
      </c>
      <c r="F5456" s="427">
        <f>+E5456*D5456</f>
        <v>67.08</v>
      </c>
      <c r="G5456" s="81"/>
      <c r="H5456" s="81"/>
      <c r="I5456" s="81"/>
      <c r="J5456" s="81"/>
      <c r="K5456" s="81"/>
      <c r="L5456" s="81"/>
      <c r="M5456" s="81"/>
      <c r="N5456" s="81"/>
    </row>
    <row r="5457" spans="1:14" ht="14.25" customHeight="1" x14ac:dyDescent="0.25">
      <c r="A5457" s="396"/>
      <c r="B5457" s="397"/>
      <c r="C5457" s="398"/>
      <c r="D5457" s="398"/>
      <c r="E5457" s="399"/>
      <c r="F5457" s="400"/>
      <c r="G5457" s="81"/>
      <c r="H5457" s="81"/>
      <c r="I5457" s="81"/>
      <c r="J5457" s="81"/>
      <c r="K5457" s="81"/>
      <c r="L5457" s="81"/>
      <c r="M5457" s="81"/>
      <c r="N5457" s="81"/>
    </row>
    <row r="5458" spans="1:14" ht="14.25" customHeight="1" thickBot="1" x14ac:dyDescent="0.3">
      <c r="A5458" s="396"/>
      <c r="B5458" s="397"/>
      <c r="C5458" s="398"/>
      <c r="D5458" s="398"/>
      <c r="E5458" s="399"/>
      <c r="F5458" s="401"/>
      <c r="G5458" s="81"/>
      <c r="H5458" s="81"/>
      <c r="I5458" s="81"/>
      <c r="J5458" s="81"/>
      <c r="K5458" s="81"/>
      <c r="L5458" s="81"/>
      <c r="M5458" s="81"/>
      <c r="N5458" s="81"/>
    </row>
    <row r="5459" spans="1:14" ht="14.25" customHeight="1" thickBot="1" x14ac:dyDescent="0.3">
      <c r="A5459" s="352"/>
      <c r="B5459" s="384"/>
      <c r="C5459" s="385"/>
      <c r="D5459" s="640" t="s">
        <v>1356</v>
      </c>
      <c r="E5459" s="642"/>
      <c r="F5459" s="402">
        <f>SUM(F5456)</f>
        <v>67.08</v>
      </c>
      <c r="G5459" s="81"/>
      <c r="H5459" s="81"/>
      <c r="I5459" s="81"/>
      <c r="J5459" s="81"/>
      <c r="K5459" s="81"/>
      <c r="L5459" s="81"/>
      <c r="M5459" s="81"/>
      <c r="N5459" s="81"/>
    </row>
    <row r="5460" spans="1:14" ht="14.25" customHeight="1" thickBot="1" x14ac:dyDescent="0.3">
      <c r="A5460" s="643"/>
      <c r="B5460" s="644"/>
      <c r="C5460" s="644"/>
      <c r="D5460" s="644"/>
      <c r="E5460" s="403" t="s">
        <v>555</v>
      </c>
      <c r="F5460" s="404">
        <f>+F5459+F5453+F5446+F5440</f>
        <v>50046.079989147249</v>
      </c>
      <c r="G5460" s="81"/>
      <c r="H5460" s="81"/>
      <c r="I5460" s="81"/>
      <c r="J5460" s="81"/>
      <c r="K5460" s="81"/>
      <c r="L5460" s="81"/>
      <c r="M5460" s="81"/>
      <c r="N5460" s="81"/>
    </row>
    <row r="5461" spans="1:14" ht="14.25" customHeight="1" x14ac:dyDescent="0.25">
      <c r="A5461" s="168"/>
      <c r="B5461" s="168"/>
      <c r="C5461" s="168"/>
      <c r="D5461" s="168"/>
      <c r="E5461" s="168"/>
      <c r="F5461" s="168"/>
      <c r="G5461" s="81"/>
      <c r="H5461" s="81"/>
      <c r="I5461" s="81"/>
      <c r="J5461" s="81"/>
      <c r="K5461" s="81"/>
      <c r="L5461" s="81"/>
      <c r="M5461" s="81"/>
      <c r="N5461" s="81"/>
    </row>
    <row r="5462" spans="1:14" ht="14.25" customHeight="1" x14ac:dyDescent="0.25">
      <c r="A5462" s="168"/>
      <c r="B5462" s="168"/>
      <c r="C5462" s="168"/>
      <c r="D5462" s="168"/>
      <c r="E5462" s="168"/>
      <c r="F5462" s="168"/>
      <c r="G5462" s="81"/>
      <c r="H5462" s="81"/>
      <c r="I5462" s="81"/>
      <c r="J5462" s="81"/>
      <c r="K5462" s="81"/>
      <c r="L5462" s="81"/>
      <c r="M5462" s="81"/>
      <c r="N5462" s="81"/>
    </row>
    <row r="5463" spans="1:14" ht="14.25" customHeight="1" x14ac:dyDescent="0.25">
      <c r="A5463" s="645" t="s">
        <v>561</v>
      </c>
      <c r="B5463" s="646"/>
      <c r="C5463" s="646"/>
      <c r="D5463" s="646"/>
      <c r="E5463" s="646"/>
      <c r="F5463" s="647"/>
      <c r="G5463" s="81"/>
      <c r="H5463" s="81"/>
      <c r="I5463" s="81"/>
      <c r="J5463" s="81"/>
      <c r="K5463" s="81"/>
      <c r="L5463" s="81"/>
      <c r="M5463" s="81"/>
      <c r="N5463" s="81"/>
    </row>
    <row r="5464" spans="1:14" ht="14.25" customHeight="1" thickBot="1" x14ac:dyDescent="0.3">
      <c r="A5464" s="648"/>
      <c r="B5464" s="648"/>
      <c r="C5464" s="648"/>
      <c r="D5464" s="648"/>
      <c r="E5464" s="648"/>
      <c r="F5464" s="648"/>
      <c r="G5464" s="81"/>
      <c r="H5464" s="81"/>
      <c r="I5464" s="81"/>
      <c r="J5464" s="81"/>
      <c r="K5464" s="81"/>
      <c r="L5464" s="81"/>
      <c r="M5464" s="81"/>
      <c r="N5464" s="81"/>
    </row>
    <row r="5465" spans="1:14" ht="16.5" thickBot="1" x14ac:dyDescent="0.3">
      <c r="A5465" s="309" t="s">
        <v>1334</v>
      </c>
      <c r="B5465" s="310"/>
      <c r="C5465" s="430" t="e">
        <f>+'[110]PPTO UNIATLÁNTICO'!A5198</f>
        <v>#REF!</v>
      </c>
      <c r="D5465" s="312"/>
      <c r="E5465" s="312"/>
      <c r="F5465" s="313" t="s">
        <v>49</v>
      </c>
      <c r="G5465" s="81"/>
      <c r="H5465" s="81"/>
      <c r="I5465" s="81"/>
      <c r="J5465" s="81"/>
      <c r="K5465" s="81"/>
      <c r="L5465" s="81"/>
      <c r="M5465" s="81"/>
      <c r="N5465" s="81"/>
    </row>
    <row r="5466" spans="1:14" ht="14.25" customHeight="1" thickBot="1" x14ac:dyDescent="0.3">
      <c r="A5466" s="314" t="e">
        <f>+'[110]PPTO UNIATLÁNTICO'!B5198</f>
        <v>#REF!</v>
      </c>
      <c r="B5466" s="315"/>
      <c r="C5466" s="315"/>
      <c r="D5466" s="316"/>
      <c r="E5466" s="316"/>
      <c r="F5466" s="317" t="s">
        <v>59</v>
      </c>
      <c r="G5466" s="81"/>
      <c r="H5466" s="81"/>
      <c r="I5466" s="81"/>
      <c r="J5466" s="81"/>
      <c r="K5466" s="81"/>
      <c r="L5466" s="81"/>
      <c r="M5466" s="81"/>
      <c r="N5466" s="81"/>
    </row>
    <row r="5467" spans="1:14" ht="14.25" customHeight="1" thickBot="1" x14ac:dyDescent="0.3">
      <c r="A5467" s="652"/>
      <c r="B5467" s="653"/>
      <c r="C5467" s="653"/>
      <c r="D5467" s="653"/>
      <c r="E5467" s="653"/>
      <c r="F5467" s="654"/>
      <c r="G5467" s="81"/>
      <c r="H5467" s="81"/>
      <c r="I5467" s="81"/>
      <c r="J5467" s="81"/>
      <c r="K5467" s="81"/>
      <c r="L5467" s="81"/>
      <c r="M5467" s="81"/>
      <c r="N5467" s="81"/>
    </row>
    <row r="5468" spans="1:14" ht="14.25" customHeight="1" thickBot="1" x14ac:dyDescent="0.3">
      <c r="A5468" s="633" t="s">
        <v>1335</v>
      </c>
      <c r="B5468" s="634"/>
      <c r="C5468" s="634"/>
      <c r="D5468" s="634"/>
      <c r="E5468" s="634"/>
      <c r="F5468" s="635"/>
      <c r="G5468" s="81"/>
      <c r="H5468" s="81"/>
      <c r="I5468" s="81"/>
      <c r="J5468" s="81"/>
      <c r="K5468" s="81"/>
      <c r="L5468" s="81"/>
      <c r="M5468" s="81"/>
      <c r="N5468" s="81"/>
    </row>
    <row r="5469" spans="1:14" ht="14.25" customHeight="1" thickBot="1" x14ac:dyDescent="0.3">
      <c r="A5469" s="318" t="s">
        <v>550</v>
      </c>
      <c r="B5469" s="319" t="s">
        <v>49</v>
      </c>
      <c r="C5469" s="319" t="s">
        <v>50</v>
      </c>
      <c r="D5469" s="319" t="s">
        <v>1357</v>
      </c>
      <c r="E5469" s="320" t="s">
        <v>1337</v>
      </c>
      <c r="F5469" s="321" t="s">
        <v>1338</v>
      </c>
      <c r="G5469" s="81"/>
      <c r="H5469" s="81"/>
      <c r="I5469" s="81"/>
      <c r="J5469" s="81"/>
      <c r="K5469" s="81"/>
      <c r="L5469" s="81"/>
      <c r="M5469" s="81"/>
      <c r="N5469" s="81"/>
    </row>
    <row r="5470" spans="1:14" ht="14.25" customHeight="1" x14ac:dyDescent="0.25">
      <c r="A5470" s="419" t="s">
        <v>1364</v>
      </c>
      <c r="B5470" s="420" t="s">
        <v>59</v>
      </c>
      <c r="C5470" s="421">
        <v>2</v>
      </c>
      <c r="D5470" s="325"/>
      <c r="E5470" s="422">
        <v>4500</v>
      </c>
      <c r="F5470" s="327">
        <f>+C5470*E5470</f>
        <v>9000</v>
      </c>
      <c r="G5470" s="81"/>
      <c r="H5470" s="81"/>
      <c r="I5470" s="81"/>
      <c r="J5470" s="81"/>
      <c r="K5470" s="81"/>
      <c r="L5470" s="81"/>
      <c r="M5470" s="81"/>
      <c r="N5470" s="81"/>
    </row>
    <row r="5471" spans="1:14" ht="14.25" customHeight="1" x14ac:dyDescent="0.25">
      <c r="A5471" s="328" t="s">
        <v>1365</v>
      </c>
      <c r="B5471" s="329" t="s">
        <v>279</v>
      </c>
      <c r="C5471" s="330">
        <v>0.33</v>
      </c>
      <c r="D5471" s="331"/>
      <c r="E5471" s="336">
        <v>600</v>
      </c>
      <c r="F5471" s="333">
        <f>+C5471*E5471</f>
        <v>198</v>
      </c>
      <c r="G5471" s="81"/>
      <c r="H5471" s="117">
        <f>971035-F6384</f>
        <v>971035</v>
      </c>
      <c r="I5471" s="81"/>
      <c r="J5471" s="81"/>
      <c r="K5471" s="81"/>
      <c r="L5471" s="81"/>
      <c r="M5471" s="81"/>
      <c r="N5471" s="81"/>
    </row>
    <row r="5472" spans="1:14" ht="14.25" customHeight="1" x14ac:dyDescent="0.25">
      <c r="A5472" s="334" t="s">
        <v>1341</v>
      </c>
      <c r="B5472" s="329" t="s">
        <v>85</v>
      </c>
      <c r="C5472" s="330">
        <v>0.3</v>
      </c>
      <c r="D5472" s="331"/>
      <c r="E5472" s="336">
        <v>7500</v>
      </c>
      <c r="F5472" s="333">
        <f>+C5472*E5472</f>
        <v>2250</v>
      </c>
      <c r="G5472" s="81"/>
      <c r="H5472" s="81"/>
      <c r="I5472" s="81"/>
      <c r="J5472" s="81"/>
      <c r="K5472" s="81"/>
      <c r="L5472" s="81"/>
      <c r="M5472" s="81"/>
      <c r="N5472" s="81"/>
    </row>
    <row r="5473" spans="1:14" ht="14.25" customHeight="1" x14ac:dyDescent="0.25">
      <c r="A5473" s="334"/>
      <c r="B5473" s="335"/>
      <c r="C5473" s="330"/>
      <c r="D5473" s="331"/>
      <c r="E5473" s="336"/>
      <c r="F5473" s="333"/>
      <c r="G5473" s="81"/>
      <c r="H5473" s="81"/>
      <c r="I5473" s="81"/>
      <c r="J5473" s="81"/>
      <c r="K5473" s="81"/>
      <c r="L5473" s="81"/>
      <c r="M5473" s="81"/>
      <c r="N5473" s="81"/>
    </row>
    <row r="5474" spans="1:14" ht="14.25" customHeight="1" thickBot="1" x14ac:dyDescent="0.3">
      <c r="A5474" s="337"/>
      <c r="B5474" s="338"/>
      <c r="C5474" s="339"/>
      <c r="D5474" s="340"/>
      <c r="E5474" s="341" t="s">
        <v>1342</v>
      </c>
      <c r="F5474" s="342"/>
      <c r="G5474" s="81"/>
      <c r="H5474" s="81"/>
      <c r="I5474" s="81"/>
      <c r="J5474" s="81"/>
      <c r="K5474" s="81"/>
      <c r="L5474" s="81"/>
      <c r="M5474" s="81"/>
      <c r="N5474" s="81"/>
    </row>
    <row r="5475" spans="1:14" ht="14.25" customHeight="1" thickBot="1" x14ac:dyDescent="0.3">
      <c r="A5475" s="343"/>
      <c r="B5475" s="344"/>
      <c r="C5475" s="345"/>
      <c r="D5475" s="636" t="s">
        <v>1343</v>
      </c>
      <c r="E5475" s="637"/>
      <c r="F5475" s="346">
        <f>SUM(F5470:F5472)</f>
        <v>11448</v>
      </c>
      <c r="G5475" s="81"/>
      <c r="H5475" s="81"/>
      <c r="I5475" s="81"/>
      <c r="J5475" s="81"/>
      <c r="K5475" s="81"/>
      <c r="L5475" s="81"/>
      <c r="M5475" s="81"/>
      <c r="N5475" s="81"/>
    </row>
    <row r="5476" spans="1:14" ht="14.25" customHeight="1" thickBot="1" x14ac:dyDescent="0.3">
      <c r="A5476" s="633" t="s">
        <v>1344</v>
      </c>
      <c r="B5476" s="634"/>
      <c r="C5476" s="634"/>
      <c r="D5476" s="634"/>
      <c r="E5476" s="634"/>
      <c r="F5476" s="635"/>
      <c r="G5476" s="81"/>
      <c r="H5476" s="81"/>
      <c r="I5476" s="81"/>
      <c r="J5476" s="81"/>
      <c r="K5476" s="81"/>
      <c r="L5476" s="81"/>
      <c r="M5476" s="81"/>
      <c r="N5476" s="81"/>
    </row>
    <row r="5477" spans="1:14" ht="14.25" customHeight="1" thickBot="1" x14ac:dyDescent="0.3">
      <c r="A5477" s="347" t="s">
        <v>505</v>
      </c>
      <c r="B5477" s="344"/>
      <c r="C5477" s="348" t="s">
        <v>1345</v>
      </c>
      <c r="D5477" s="349" t="s">
        <v>1346</v>
      </c>
      <c r="E5477" s="350" t="s">
        <v>557</v>
      </c>
      <c r="F5477" s="351"/>
      <c r="G5477" s="81"/>
      <c r="H5477" s="81"/>
      <c r="I5477" s="81"/>
      <c r="J5477" s="81"/>
      <c r="K5477" s="81"/>
      <c r="L5477" s="81"/>
      <c r="M5477" s="81"/>
      <c r="N5477" s="81"/>
    </row>
    <row r="5478" spans="1:14" ht="14.25" customHeight="1" x14ac:dyDescent="0.25">
      <c r="A5478" s="352" t="s">
        <v>1347</v>
      </c>
      <c r="B5478" s="353"/>
      <c r="C5478" s="353">
        <v>5000</v>
      </c>
      <c r="D5478" s="354">
        <v>602.39817826152876</v>
      </c>
      <c r="E5478" s="355">
        <f>+C5478/D5478</f>
        <v>8.3001579029166148</v>
      </c>
      <c r="F5478" s="356">
        <f>+E5478</f>
        <v>8.3001579029166148</v>
      </c>
      <c r="G5478" s="81"/>
      <c r="H5478" s="81"/>
      <c r="I5478" s="81"/>
      <c r="J5478" s="81"/>
      <c r="K5478" s="81"/>
      <c r="L5478" s="81"/>
      <c r="M5478" s="81"/>
      <c r="N5478" s="81"/>
    </row>
    <row r="5479" spans="1:14" ht="14.25" customHeight="1" x14ac:dyDescent="0.25">
      <c r="A5479" s="357"/>
      <c r="B5479" s="358"/>
      <c r="C5479" s="359"/>
      <c r="D5479" s="359"/>
      <c r="E5479" s="360"/>
      <c r="F5479" s="361"/>
      <c r="G5479" s="81"/>
      <c r="H5479" s="81"/>
      <c r="I5479" s="81"/>
      <c r="J5479" s="81"/>
      <c r="K5479" s="81"/>
      <c r="L5479" s="81"/>
      <c r="M5479" s="81"/>
      <c r="N5479" s="81"/>
    </row>
    <row r="5480" spans="1:14" ht="14.25" customHeight="1" thickBot="1" x14ac:dyDescent="0.3">
      <c r="A5480" s="357"/>
      <c r="B5480" s="358"/>
      <c r="C5480" s="359"/>
      <c r="D5480" s="359"/>
      <c r="E5480" s="360"/>
      <c r="F5480" s="362"/>
      <c r="G5480" s="81"/>
      <c r="H5480" s="81"/>
      <c r="I5480" s="81"/>
      <c r="J5480" s="81"/>
      <c r="K5480" s="81"/>
      <c r="L5480" s="81"/>
      <c r="M5480" s="81"/>
      <c r="N5480" s="81"/>
    </row>
    <row r="5481" spans="1:14" ht="14.25" customHeight="1" thickBot="1" x14ac:dyDescent="0.3">
      <c r="A5481" s="357"/>
      <c r="B5481" s="358"/>
      <c r="C5481" s="363"/>
      <c r="D5481" s="638" t="s">
        <v>1348</v>
      </c>
      <c r="E5481" s="639"/>
      <c r="F5481" s="364">
        <f>SUM(F5478:F5480)</f>
        <v>8.3001579029166148</v>
      </c>
      <c r="G5481" s="81"/>
      <c r="H5481" s="81"/>
      <c r="I5481" s="81"/>
      <c r="J5481" s="81"/>
      <c r="K5481" s="81"/>
      <c r="L5481" s="81"/>
      <c r="M5481" s="81"/>
      <c r="N5481" s="81"/>
    </row>
    <row r="5482" spans="1:14" ht="14.25" customHeight="1" thickBot="1" x14ac:dyDescent="0.3">
      <c r="A5482" s="365" t="s">
        <v>553</v>
      </c>
      <c r="B5482" s="366"/>
      <c r="C5482" s="367"/>
      <c r="D5482" s="368"/>
      <c r="E5482" s="369"/>
      <c r="F5482" s="370"/>
      <c r="G5482" s="81"/>
      <c r="H5482" s="81"/>
      <c r="I5482" s="81"/>
      <c r="J5482" s="81"/>
      <c r="K5482" s="81"/>
      <c r="L5482" s="81"/>
      <c r="M5482" s="81"/>
      <c r="N5482" s="81"/>
    </row>
    <row r="5483" spans="1:14" ht="14.25" customHeight="1" thickBot="1" x14ac:dyDescent="0.3">
      <c r="A5483" s="371" t="s">
        <v>505</v>
      </c>
      <c r="B5483" s="372" t="s">
        <v>50</v>
      </c>
      <c r="C5483" s="373" t="s">
        <v>1349</v>
      </c>
      <c r="D5483" s="373" t="s">
        <v>1350</v>
      </c>
      <c r="E5483" s="373" t="s">
        <v>1346</v>
      </c>
      <c r="F5483" s="374" t="s">
        <v>557</v>
      </c>
      <c r="G5483" s="81"/>
      <c r="H5483" s="81"/>
      <c r="I5483" s="81"/>
      <c r="J5483" s="81"/>
      <c r="K5483" s="81"/>
      <c r="L5483" s="81"/>
      <c r="M5483" s="81"/>
      <c r="N5483" s="81"/>
    </row>
    <row r="5484" spans="1:14" ht="14.25" customHeight="1" x14ac:dyDescent="0.25">
      <c r="A5484" s="357" t="s">
        <v>1351</v>
      </c>
      <c r="B5484" s="375">
        <v>1</v>
      </c>
      <c r="C5484" s="376">
        <v>196800</v>
      </c>
      <c r="D5484" s="377">
        <v>1.9402999999999999</v>
      </c>
      <c r="E5484" s="378">
        <v>57.689008685620799</v>
      </c>
      <c r="F5484" s="379">
        <f>(B5484*C5484*D5484)/E5484</f>
        <v>6619.1298602636207</v>
      </c>
      <c r="G5484" s="81"/>
      <c r="H5484" s="81"/>
      <c r="I5484" s="81"/>
      <c r="J5484" s="81"/>
      <c r="K5484" s="81"/>
      <c r="L5484" s="81"/>
      <c r="M5484" s="81"/>
      <c r="N5484" s="81"/>
    </row>
    <row r="5485" spans="1:14" ht="14.25" customHeight="1" x14ac:dyDescent="0.25">
      <c r="A5485" s="380"/>
      <c r="B5485" s="353"/>
      <c r="C5485" s="359"/>
      <c r="D5485" s="359"/>
      <c r="E5485" s="381"/>
      <c r="F5485" s="382"/>
      <c r="G5485" s="81"/>
      <c r="H5485" s="81"/>
      <c r="I5485" s="81"/>
      <c r="J5485" s="81"/>
      <c r="K5485" s="81"/>
      <c r="L5485" s="81"/>
      <c r="M5485" s="81"/>
      <c r="N5485" s="81"/>
    </row>
    <row r="5486" spans="1:14" ht="14.25" customHeight="1" x14ac:dyDescent="0.25">
      <c r="A5486" s="357"/>
      <c r="B5486" s="358"/>
      <c r="C5486" s="359"/>
      <c r="D5486" s="359"/>
      <c r="E5486" s="360"/>
      <c r="F5486" s="361"/>
      <c r="G5486" s="81"/>
      <c r="H5486" s="81"/>
      <c r="I5486" s="81"/>
      <c r="J5486" s="81"/>
      <c r="K5486" s="81"/>
      <c r="L5486" s="81"/>
      <c r="M5486" s="81"/>
      <c r="N5486" s="81"/>
    </row>
    <row r="5487" spans="1:14" ht="14.25" customHeight="1" thickBot="1" x14ac:dyDescent="0.3">
      <c r="A5487" s="352"/>
      <c r="B5487" s="353"/>
      <c r="C5487" s="359"/>
      <c r="D5487" s="359"/>
      <c r="E5487" s="381"/>
      <c r="F5487" s="383"/>
      <c r="G5487" s="81"/>
      <c r="H5487" s="81"/>
      <c r="I5487" s="81"/>
      <c r="J5487" s="81"/>
      <c r="K5487" s="81"/>
      <c r="L5487" s="81"/>
      <c r="M5487" s="81"/>
      <c r="N5487" s="81"/>
    </row>
    <row r="5488" spans="1:14" ht="31.5" customHeight="1" thickBot="1" x14ac:dyDescent="0.3">
      <c r="A5488" s="352"/>
      <c r="B5488" s="384"/>
      <c r="C5488" s="385"/>
      <c r="D5488" s="640" t="s">
        <v>1352</v>
      </c>
      <c r="E5488" s="641"/>
      <c r="F5488" s="364">
        <f>SUM(F5484:F5487)</f>
        <v>6619.1298602636207</v>
      </c>
      <c r="G5488" s="81"/>
      <c r="H5488" s="81"/>
      <c r="I5488" s="81"/>
      <c r="J5488" s="81"/>
      <c r="K5488" s="81"/>
      <c r="L5488" s="81"/>
      <c r="M5488" s="81"/>
      <c r="N5488" s="81"/>
    </row>
    <row r="5489" spans="1:14" ht="14.25" customHeight="1" thickBot="1" x14ac:dyDescent="0.3">
      <c r="A5489" s="386" t="s">
        <v>554</v>
      </c>
      <c r="B5489" s="387"/>
      <c r="C5489" s="388"/>
      <c r="D5489" s="388"/>
      <c r="E5489" s="389"/>
      <c r="F5489" s="390"/>
      <c r="G5489" s="81"/>
      <c r="H5489" s="81"/>
      <c r="I5489" s="81"/>
      <c r="J5489" s="81"/>
      <c r="K5489" s="81"/>
      <c r="L5489" s="81"/>
      <c r="M5489" s="81"/>
      <c r="N5489" s="81"/>
    </row>
    <row r="5490" spans="1:14" ht="14.25" customHeight="1" thickBot="1" x14ac:dyDescent="0.3">
      <c r="A5490" s="371" t="s">
        <v>550</v>
      </c>
      <c r="B5490" s="372"/>
      <c r="C5490" s="373" t="s">
        <v>1353</v>
      </c>
      <c r="D5490" s="373" t="s">
        <v>1354</v>
      </c>
      <c r="E5490" s="373" t="s">
        <v>1355</v>
      </c>
      <c r="F5490" s="374" t="s">
        <v>557</v>
      </c>
      <c r="G5490" s="81"/>
      <c r="H5490" s="81"/>
      <c r="I5490" s="81"/>
      <c r="J5490" s="81"/>
      <c r="K5490" s="81"/>
      <c r="L5490" s="81"/>
      <c r="M5490" s="81"/>
      <c r="N5490" s="81"/>
    </row>
    <row r="5491" spans="1:14" ht="14.25" customHeight="1" x14ac:dyDescent="0.25">
      <c r="A5491" s="391" t="s">
        <v>604</v>
      </c>
      <c r="B5491" s="392"/>
      <c r="C5491" s="393"/>
      <c r="D5491" s="392">
        <v>2.5</v>
      </c>
      <c r="E5491" s="394">
        <v>9.9560000000000013</v>
      </c>
      <c r="F5491" s="427">
        <f>+E5491*D5491</f>
        <v>24.890000000000004</v>
      </c>
      <c r="G5491" s="81"/>
      <c r="H5491" s="81"/>
      <c r="I5491" s="81"/>
      <c r="J5491" s="81"/>
      <c r="K5491" s="81"/>
      <c r="L5491" s="81"/>
      <c r="M5491" s="81"/>
      <c r="N5491" s="81"/>
    </row>
    <row r="5492" spans="1:14" ht="14.25" customHeight="1" x14ac:dyDescent="0.25">
      <c r="A5492" s="396"/>
      <c r="B5492" s="397"/>
      <c r="C5492" s="398"/>
      <c r="D5492" s="398"/>
      <c r="E5492" s="399"/>
      <c r="F5492" s="400"/>
      <c r="G5492" s="81"/>
      <c r="H5492" s="81"/>
      <c r="I5492" s="81"/>
      <c r="J5492" s="81"/>
      <c r="K5492" s="81"/>
      <c r="L5492" s="81"/>
      <c r="M5492" s="81"/>
      <c r="N5492" s="81"/>
    </row>
    <row r="5493" spans="1:14" ht="14.25" customHeight="1" thickBot="1" x14ac:dyDescent="0.3">
      <c r="A5493" s="396"/>
      <c r="B5493" s="397"/>
      <c r="C5493" s="398"/>
      <c r="D5493" s="398"/>
      <c r="E5493" s="399"/>
      <c r="F5493" s="401"/>
      <c r="G5493" s="81"/>
      <c r="H5493" s="81"/>
      <c r="I5493" s="81"/>
      <c r="J5493" s="81"/>
      <c r="K5493" s="81"/>
      <c r="L5493" s="81"/>
      <c r="M5493" s="81"/>
      <c r="N5493" s="81"/>
    </row>
    <row r="5494" spans="1:14" ht="16.5" thickBot="1" x14ac:dyDescent="0.3">
      <c r="A5494" s="352"/>
      <c r="B5494" s="384"/>
      <c r="C5494" s="385"/>
      <c r="D5494" s="640" t="s">
        <v>1356</v>
      </c>
      <c r="E5494" s="642"/>
      <c r="F5494" s="402">
        <f>SUM(F5491)</f>
        <v>24.890000000000004</v>
      </c>
      <c r="G5494" s="81"/>
      <c r="H5494" s="81"/>
      <c r="I5494" s="81"/>
      <c r="J5494" s="81"/>
      <c r="K5494" s="81"/>
      <c r="L5494" s="81"/>
      <c r="M5494" s="81"/>
      <c r="N5494" s="81"/>
    </row>
    <row r="5495" spans="1:14" ht="16.5" thickBot="1" x14ac:dyDescent="0.3">
      <c r="A5495" s="643"/>
      <c r="B5495" s="644"/>
      <c r="C5495" s="644"/>
      <c r="D5495" s="644"/>
      <c r="E5495" s="403" t="s">
        <v>555</v>
      </c>
      <c r="F5495" s="404">
        <f>+F5494+F5488+F5481+F5475</f>
        <v>18100.320018166538</v>
      </c>
      <c r="G5495" s="81"/>
      <c r="H5495" s="81"/>
      <c r="I5495" s="81"/>
      <c r="J5495" s="81"/>
      <c r="K5495" s="81"/>
      <c r="L5495" s="81"/>
      <c r="M5495" s="81"/>
      <c r="N5495" s="81"/>
    </row>
    <row r="5496" spans="1:14" s="170" customFormat="1" ht="15.75" x14ac:dyDescent="0.25">
      <c r="A5496" s="168"/>
      <c r="B5496" s="168"/>
      <c r="C5496" s="168"/>
      <c r="D5496" s="168"/>
      <c r="E5496" s="168"/>
      <c r="F5496" s="168"/>
      <c r="G5496" s="81"/>
      <c r="H5496" s="81"/>
      <c r="I5496" s="81"/>
      <c r="J5496" s="81"/>
      <c r="K5496" s="81"/>
      <c r="L5496" s="81"/>
      <c r="M5496" s="81"/>
      <c r="N5496" s="81"/>
    </row>
    <row r="5497" spans="1:14" ht="15.75" x14ac:dyDescent="0.25">
      <c r="A5497" s="168"/>
      <c r="B5497" s="168"/>
      <c r="C5497" s="168"/>
      <c r="D5497" s="168"/>
      <c r="E5497" s="168"/>
      <c r="F5497" s="168"/>
      <c r="G5497" s="81"/>
      <c r="H5497" s="81"/>
      <c r="I5497" s="81"/>
      <c r="J5497" s="81"/>
      <c r="K5497" s="81"/>
      <c r="L5497" s="81"/>
      <c r="M5497" s="81"/>
      <c r="N5497" s="81"/>
    </row>
    <row r="5498" spans="1:14" ht="15.75" x14ac:dyDescent="0.25">
      <c r="A5498" s="645" t="s">
        <v>561</v>
      </c>
      <c r="B5498" s="646"/>
      <c r="C5498" s="646"/>
      <c r="D5498" s="646"/>
      <c r="E5498" s="646"/>
      <c r="F5498" s="647"/>
      <c r="G5498" s="81"/>
      <c r="H5498" s="81"/>
      <c r="I5498" s="81"/>
      <c r="J5498" s="81"/>
      <c r="K5498" s="81"/>
      <c r="L5498" s="81"/>
      <c r="M5498" s="81"/>
      <c r="N5498" s="81"/>
    </row>
    <row r="5499" spans="1:14" ht="16.5" thickBot="1" x14ac:dyDescent="0.3">
      <c r="A5499" s="648"/>
      <c r="B5499" s="648"/>
      <c r="C5499" s="648"/>
      <c r="D5499" s="648"/>
      <c r="E5499" s="648"/>
      <c r="F5499" s="648"/>
      <c r="G5499" s="81"/>
      <c r="H5499" s="81"/>
      <c r="I5499" s="81"/>
      <c r="J5499" s="81"/>
      <c r="K5499" s="81"/>
      <c r="L5499" s="81"/>
      <c r="M5499" s="81"/>
      <c r="N5499" s="81"/>
    </row>
    <row r="5500" spans="1:14" ht="16.5" thickBot="1" x14ac:dyDescent="0.3">
      <c r="A5500" s="309" t="s">
        <v>1334</v>
      </c>
      <c r="B5500" s="310"/>
      <c r="C5500" s="430" t="e">
        <f>+'[110]PPTO UNIATLÁNTICO'!A5199</f>
        <v>#REF!</v>
      </c>
      <c r="D5500" s="312"/>
      <c r="E5500" s="312"/>
      <c r="F5500" s="313" t="s">
        <v>49</v>
      </c>
      <c r="G5500" s="81"/>
      <c r="H5500" s="81"/>
      <c r="I5500" s="81"/>
      <c r="J5500" s="81"/>
      <c r="K5500" s="81"/>
      <c r="L5500" s="81"/>
      <c r="M5500" s="81"/>
      <c r="N5500" s="81"/>
    </row>
    <row r="5501" spans="1:14" ht="14.25" customHeight="1" thickBot="1" x14ac:dyDescent="0.3">
      <c r="A5501" s="314" t="e">
        <f>+'[110]PPTO UNIATLÁNTICO'!B5199</f>
        <v>#REF!</v>
      </c>
      <c r="B5501" s="315"/>
      <c r="C5501" s="315"/>
      <c r="D5501" s="316"/>
      <c r="E5501" s="316"/>
      <c r="F5501" s="317" t="s">
        <v>85</v>
      </c>
      <c r="G5501" s="81"/>
      <c r="H5501" s="81"/>
      <c r="I5501" s="81"/>
      <c r="J5501" s="81"/>
      <c r="K5501" s="81"/>
      <c r="L5501" s="81"/>
      <c r="M5501" s="81"/>
      <c r="N5501" s="81"/>
    </row>
    <row r="5502" spans="1:14" ht="14.25" customHeight="1" thickBot="1" x14ac:dyDescent="0.3">
      <c r="A5502" s="652"/>
      <c r="B5502" s="653"/>
      <c r="C5502" s="653"/>
      <c r="D5502" s="653"/>
      <c r="E5502" s="653"/>
      <c r="F5502" s="654"/>
      <c r="G5502" s="81"/>
      <c r="H5502" s="81"/>
      <c r="I5502" s="81"/>
      <c r="J5502" s="81"/>
      <c r="K5502" s="81"/>
      <c r="L5502" s="81"/>
      <c r="M5502" s="81"/>
      <c r="N5502" s="81"/>
    </row>
    <row r="5503" spans="1:14" ht="14.25" customHeight="1" thickBot="1" x14ac:dyDescent="0.3">
      <c r="A5503" s="633" t="s">
        <v>1335</v>
      </c>
      <c r="B5503" s="634"/>
      <c r="C5503" s="634"/>
      <c r="D5503" s="634"/>
      <c r="E5503" s="634"/>
      <c r="F5503" s="635"/>
      <c r="G5503" s="81"/>
      <c r="H5503" s="81"/>
      <c r="I5503" s="81"/>
      <c r="J5503" s="81"/>
      <c r="K5503" s="81"/>
      <c r="L5503" s="81"/>
      <c r="M5503" s="81"/>
      <c r="N5503" s="81"/>
    </row>
    <row r="5504" spans="1:14" ht="14.25" customHeight="1" thickBot="1" x14ac:dyDescent="0.3">
      <c r="A5504" s="318" t="s">
        <v>550</v>
      </c>
      <c r="B5504" s="319" t="s">
        <v>49</v>
      </c>
      <c r="C5504" s="319" t="s">
        <v>50</v>
      </c>
      <c r="D5504" s="319" t="s">
        <v>1357</v>
      </c>
      <c r="E5504" s="320" t="s">
        <v>1337</v>
      </c>
      <c r="F5504" s="321" t="s">
        <v>1338</v>
      </c>
      <c r="G5504" s="81"/>
      <c r="H5504" s="81"/>
      <c r="I5504" s="81"/>
      <c r="J5504" s="81"/>
      <c r="K5504" s="81"/>
      <c r="L5504" s="81"/>
      <c r="M5504" s="81"/>
      <c r="N5504" s="81"/>
    </row>
    <row r="5505" spans="1:14" ht="14.25" customHeight="1" x14ac:dyDescent="0.25">
      <c r="A5505" s="419" t="s">
        <v>1366</v>
      </c>
      <c r="B5505" s="420" t="s">
        <v>85</v>
      </c>
      <c r="C5505" s="421">
        <v>1</v>
      </c>
      <c r="D5505" s="325"/>
      <c r="E5505" s="422">
        <v>670592.50361988181</v>
      </c>
      <c r="F5505" s="327">
        <f>+C5505*E5505</f>
        <v>670592.50361988181</v>
      </c>
      <c r="G5505" s="81"/>
      <c r="H5505" s="81"/>
      <c r="I5505" s="81"/>
      <c r="J5505" s="81"/>
      <c r="K5505" s="81"/>
      <c r="L5505" s="81"/>
      <c r="M5505" s="81"/>
      <c r="N5505" s="81"/>
    </row>
    <row r="5506" spans="1:14" ht="14.25" customHeight="1" x14ac:dyDescent="0.25">
      <c r="A5506" s="328"/>
      <c r="B5506" s="329"/>
      <c r="C5506" s="330"/>
      <c r="D5506" s="331"/>
      <c r="E5506" s="336"/>
      <c r="F5506" s="333"/>
      <c r="G5506" s="81"/>
      <c r="H5506" s="81"/>
      <c r="I5506" s="81"/>
      <c r="J5506" s="81"/>
      <c r="K5506" s="81"/>
      <c r="L5506" s="81"/>
      <c r="M5506" s="81"/>
      <c r="N5506" s="81"/>
    </row>
    <row r="5507" spans="1:14" ht="14.25" customHeight="1" x14ac:dyDescent="0.25">
      <c r="A5507" s="334"/>
      <c r="B5507" s="329"/>
      <c r="C5507" s="330"/>
      <c r="D5507" s="331"/>
      <c r="E5507" s="336"/>
      <c r="F5507" s="333"/>
      <c r="G5507" s="81"/>
      <c r="H5507" s="81"/>
      <c r="I5507" s="81"/>
      <c r="J5507" s="81"/>
      <c r="K5507" s="81"/>
      <c r="L5507" s="81"/>
      <c r="M5507" s="81"/>
      <c r="N5507" s="81"/>
    </row>
    <row r="5508" spans="1:14" ht="14.25" customHeight="1" x14ac:dyDescent="0.25">
      <c r="A5508" s="334"/>
      <c r="B5508" s="335"/>
      <c r="C5508" s="330"/>
      <c r="D5508" s="331"/>
      <c r="E5508" s="336"/>
      <c r="F5508" s="333"/>
      <c r="G5508" s="81"/>
      <c r="H5508" s="81"/>
      <c r="I5508" s="81"/>
      <c r="J5508" s="81"/>
      <c r="K5508" s="81"/>
      <c r="L5508" s="81"/>
      <c r="M5508" s="81"/>
      <c r="N5508" s="81"/>
    </row>
    <row r="5509" spans="1:14" ht="14.25" customHeight="1" thickBot="1" x14ac:dyDescent="0.3">
      <c r="A5509" s="337"/>
      <c r="B5509" s="338"/>
      <c r="C5509" s="339"/>
      <c r="D5509" s="340"/>
      <c r="E5509" s="341" t="s">
        <v>1342</v>
      </c>
      <c r="F5509" s="342"/>
      <c r="G5509" s="81"/>
      <c r="H5509" s="81"/>
      <c r="I5509" s="81"/>
      <c r="J5509" s="81"/>
      <c r="K5509" s="81"/>
      <c r="L5509" s="81"/>
      <c r="M5509" s="81"/>
      <c r="N5509" s="81"/>
    </row>
    <row r="5510" spans="1:14" ht="14.25" customHeight="1" thickBot="1" x14ac:dyDescent="0.3">
      <c r="A5510" s="343"/>
      <c r="B5510" s="344"/>
      <c r="C5510" s="345"/>
      <c r="D5510" s="636" t="s">
        <v>1343</v>
      </c>
      <c r="E5510" s="637"/>
      <c r="F5510" s="346">
        <f>SUM(F5505:F5507)</f>
        <v>670592.50361988181</v>
      </c>
      <c r="G5510" s="81"/>
      <c r="H5510" s="81"/>
      <c r="I5510" s="81"/>
      <c r="J5510" s="81"/>
      <c r="K5510" s="81"/>
      <c r="L5510" s="81"/>
      <c r="M5510" s="81"/>
      <c r="N5510" s="81"/>
    </row>
    <row r="5511" spans="1:14" ht="14.25" customHeight="1" thickBot="1" x14ac:dyDescent="0.3">
      <c r="A5511" s="633" t="s">
        <v>1344</v>
      </c>
      <c r="B5511" s="634"/>
      <c r="C5511" s="634"/>
      <c r="D5511" s="634"/>
      <c r="E5511" s="634"/>
      <c r="F5511" s="635"/>
      <c r="G5511" s="81"/>
      <c r="H5511" s="81"/>
      <c r="I5511" s="81"/>
      <c r="J5511" s="81"/>
      <c r="K5511" s="81"/>
      <c r="L5511" s="81"/>
      <c r="M5511" s="81"/>
      <c r="N5511" s="81"/>
    </row>
    <row r="5512" spans="1:14" ht="14.25" customHeight="1" thickBot="1" x14ac:dyDescent="0.3">
      <c r="A5512" s="347" t="s">
        <v>505</v>
      </c>
      <c r="B5512" s="344"/>
      <c r="C5512" s="348" t="s">
        <v>1345</v>
      </c>
      <c r="D5512" s="349" t="s">
        <v>1346</v>
      </c>
      <c r="E5512" s="350" t="s">
        <v>557</v>
      </c>
      <c r="F5512" s="351"/>
      <c r="G5512" s="81"/>
      <c r="H5512" s="81"/>
      <c r="I5512" s="81"/>
      <c r="J5512" s="81"/>
      <c r="K5512" s="81"/>
      <c r="L5512" s="81"/>
      <c r="M5512" s="81"/>
      <c r="N5512" s="81"/>
    </row>
    <row r="5513" spans="1:14" ht="14.25" customHeight="1" x14ac:dyDescent="0.25">
      <c r="A5513" s="352" t="s">
        <v>1347</v>
      </c>
      <c r="B5513" s="353"/>
      <c r="C5513" s="353">
        <v>5000</v>
      </c>
      <c r="D5513" s="354">
        <v>13.888918315608338</v>
      </c>
      <c r="E5513" s="355">
        <f>+C5513/D5513</f>
        <v>359.99923726104794</v>
      </c>
      <c r="F5513" s="356">
        <f>+E5513</f>
        <v>359.99923726104794</v>
      </c>
      <c r="G5513" s="81"/>
      <c r="H5513" s="81"/>
      <c r="I5513" s="81"/>
      <c r="J5513" s="81"/>
      <c r="K5513" s="81"/>
      <c r="L5513" s="81"/>
      <c r="M5513" s="81"/>
      <c r="N5513" s="81"/>
    </row>
    <row r="5514" spans="1:14" ht="14.25" customHeight="1" x14ac:dyDescent="0.25">
      <c r="A5514" s="357"/>
      <c r="B5514" s="358"/>
      <c r="C5514" s="359"/>
      <c r="D5514" s="359"/>
      <c r="E5514" s="360"/>
      <c r="F5514" s="361"/>
      <c r="G5514" s="81"/>
      <c r="H5514" s="81"/>
      <c r="I5514" s="81"/>
      <c r="J5514" s="81"/>
      <c r="K5514" s="81"/>
      <c r="L5514" s="81"/>
      <c r="M5514" s="81"/>
      <c r="N5514" s="81"/>
    </row>
    <row r="5515" spans="1:14" ht="14.25" customHeight="1" thickBot="1" x14ac:dyDescent="0.3">
      <c r="A5515" s="357"/>
      <c r="B5515" s="358"/>
      <c r="C5515" s="359"/>
      <c r="D5515" s="359"/>
      <c r="E5515" s="360"/>
      <c r="F5515" s="362"/>
      <c r="G5515" s="81"/>
      <c r="H5515" s="81"/>
      <c r="I5515" s="81"/>
      <c r="J5515" s="81"/>
      <c r="K5515" s="81"/>
      <c r="L5515" s="81"/>
      <c r="M5515" s="81"/>
      <c r="N5515" s="81"/>
    </row>
    <row r="5516" spans="1:14" ht="14.25" customHeight="1" thickBot="1" x14ac:dyDescent="0.3">
      <c r="A5516" s="357"/>
      <c r="B5516" s="358"/>
      <c r="C5516" s="363"/>
      <c r="D5516" s="638" t="s">
        <v>1348</v>
      </c>
      <c r="E5516" s="639"/>
      <c r="F5516" s="364">
        <f>SUM(F5513:F5515)</f>
        <v>359.99923726104794</v>
      </c>
      <c r="G5516" s="81"/>
      <c r="H5516" s="81"/>
      <c r="I5516" s="81"/>
      <c r="J5516" s="81"/>
      <c r="K5516" s="81"/>
      <c r="L5516" s="81"/>
      <c r="M5516" s="81"/>
      <c r="N5516" s="81"/>
    </row>
    <row r="5517" spans="1:14" ht="14.25" customHeight="1" thickBot="1" x14ac:dyDescent="0.3">
      <c r="A5517" s="365" t="s">
        <v>553</v>
      </c>
      <c r="B5517" s="366"/>
      <c r="C5517" s="367"/>
      <c r="D5517" s="368"/>
      <c r="E5517" s="369"/>
      <c r="F5517" s="370"/>
      <c r="G5517" s="81"/>
      <c r="H5517" s="81"/>
      <c r="I5517" s="81"/>
      <c r="J5517" s="81"/>
      <c r="K5517" s="81"/>
      <c r="L5517" s="81"/>
      <c r="M5517" s="81"/>
      <c r="N5517" s="81"/>
    </row>
    <row r="5518" spans="1:14" ht="14.25" customHeight="1" thickBot="1" x14ac:dyDescent="0.3">
      <c r="A5518" s="371" t="s">
        <v>505</v>
      </c>
      <c r="B5518" s="372" t="s">
        <v>50</v>
      </c>
      <c r="C5518" s="373" t="s">
        <v>1349</v>
      </c>
      <c r="D5518" s="373" t="s">
        <v>1350</v>
      </c>
      <c r="E5518" s="373" t="s">
        <v>1346</v>
      </c>
      <c r="F5518" s="374" t="s">
        <v>557</v>
      </c>
      <c r="G5518" s="81"/>
      <c r="H5518" s="81"/>
      <c r="I5518" s="81"/>
      <c r="J5518" s="81"/>
      <c r="K5518" s="81"/>
      <c r="L5518" s="81"/>
      <c r="M5518" s="81"/>
      <c r="N5518" s="81"/>
    </row>
    <row r="5519" spans="1:14" ht="14.25" customHeight="1" x14ac:dyDescent="0.25">
      <c r="A5519" s="357" t="s">
        <v>1351</v>
      </c>
      <c r="B5519" s="375">
        <v>1</v>
      </c>
      <c r="C5519" s="376">
        <v>196800</v>
      </c>
      <c r="D5519" s="377">
        <v>1.9402999999999999</v>
      </c>
      <c r="E5519" s="378">
        <v>3.5</v>
      </c>
      <c r="F5519" s="379">
        <f>(B5519*C5519*D5519)/E5519</f>
        <v>109100.29714285713</v>
      </c>
      <c r="G5519" s="81"/>
      <c r="H5519" s="81"/>
      <c r="I5519" s="81"/>
      <c r="J5519" s="81"/>
      <c r="K5519" s="81"/>
      <c r="L5519" s="81"/>
      <c r="M5519" s="81"/>
      <c r="N5519" s="81"/>
    </row>
    <row r="5520" spans="1:14" ht="14.25" customHeight="1" x14ac:dyDescent="0.25">
      <c r="A5520" s="380"/>
      <c r="B5520" s="353"/>
      <c r="C5520" s="359"/>
      <c r="D5520" s="359"/>
      <c r="E5520" s="381"/>
      <c r="F5520" s="382"/>
      <c r="G5520" s="81"/>
      <c r="H5520" s="81"/>
      <c r="I5520" s="81"/>
      <c r="J5520" s="81"/>
      <c r="K5520" s="81"/>
      <c r="L5520" s="81"/>
      <c r="M5520" s="81"/>
      <c r="N5520" s="81"/>
    </row>
    <row r="5521" spans="1:14" ht="14.25" customHeight="1" x14ac:dyDescent="0.25">
      <c r="A5521" s="357"/>
      <c r="B5521" s="358"/>
      <c r="C5521" s="359"/>
      <c r="D5521" s="359"/>
      <c r="E5521" s="360"/>
      <c r="F5521" s="361"/>
      <c r="G5521" s="81"/>
      <c r="H5521" s="81"/>
      <c r="I5521" s="81"/>
      <c r="J5521" s="81"/>
      <c r="K5521" s="81"/>
      <c r="L5521" s="81"/>
      <c r="M5521" s="81"/>
      <c r="N5521" s="81"/>
    </row>
    <row r="5522" spans="1:14" ht="14.25" customHeight="1" thickBot="1" x14ac:dyDescent="0.3">
      <c r="A5522" s="352"/>
      <c r="B5522" s="353"/>
      <c r="C5522" s="359"/>
      <c r="D5522" s="359"/>
      <c r="E5522" s="381"/>
      <c r="F5522" s="383"/>
      <c r="G5522" s="81"/>
      <c r="H5522" s="81"/>
      <c r="I5522" s="81"/>
      <c r="J5522" s="81"/>
      <c r="K5522" s="81"/>
      <c r="L5522" s="81"/>
      <c r="M5522" s="81"/>
      <c r="N5522" s="81"/>
    </row>
    <row r="5523" spans="1:14" ht="14.25" customHeight="1" thickBot="1" x14ac:dyDescent="0.3">
      <c r="A5523" s="352"/>
      <c r="B5523" s="384"/>
      <c r="C5523" s="385"/>
      <c r="D5523" s="640" t="s">
        <v>1352</v>
      </c>
      <c r="E5523" s="641"/>
      <c r="F5523" s="364">
        <f>SUM(F5519:F5522)</f>
        <v>109100.29714285713</v>
      </c>
      <c r="G5523" s="81"/>
      <c r="H5523" s="81"/>
      <c r="I5523" s="81"/>
      <c r="J5523" s="81"/>
      <c r="K5523" s="81"/>
      <c r="L5523" s="81"/>
      <c r="M5523" s="81"/>
      <c r="N5523" s="81"/>
    </row>
    <row r="5524" spans="1:14" ht="14.25" customHeight="1" thickBot="1" x14ac:dyDescent="0.3">
      <c r="A5524" s="386" t="s">
        <v>554</v>
      </c>
      <c r="B5524" s="387"/>
      <c r="C5524" s="388"/>
      <c r="D5524" s="388"/>
      <c r="E5524" s="389"/>
      <c r="F5524" s="390"/>
      <c r="G5524" s="81"/>
      <c r="H5524" s="81"/>
      <c r="I5524" s="81"/>
      <c r="J5524" s="81"/>
      <c r="K5524" s="81"/>
      <c r="L5524" s="81"/>
      <c r="M5524" s="81"/>
      <c r="N5524" s="81"/>
    </row>
    <row r="5525" spans="1:14" ht="14.25" customHeight="1" thickBot="1" x14ac:dyDescent="0.3">
      <c r="A5525" s="371" t="s">
        <v>550</v>
      </c>
      <c r="B5525" s="372"/>
      <c r="C5525" s="373" t="s">
        <v>1353</v>
      </c>
      <c r="D5525" s="373" t="s">
        <v>1354</v>
      </c>
      <c r="E5525" s="373" t="s">
        <v>1355</v>
      </c>
      <c r="F5525" s="374" t="s">
        <v>557</v>
      </c>
      <c r="G5525" s="81"/>
      <c r="H5525" s="81"/>
      <c r="I5525" s="81"/>
      <c r="J5525" s="81"/>
      <c r="K5525" s="81"/>
      <c r="L5525" s="81"/>
      <c r="M5525" s="81"/>
      <c r="N5525" s="81"/>
    </row>
    <row r="5526" spans="1:14" ht="14.25" customHeight="1" x14ac:dyDescent="0.25">
      <c r="A5526" s="391" t="s">
        <v>604</v>
      </c>
      <c r="B5526" s="392"/>
      <c r="C5526" s="393"/>
      <c r="D5526" s="392">
        <v>2.5</v>
      </c>
      <c r="E5526" s="394">
        <v>432</v>
      </c>
      <c r="F5526" s="427">
        <f>+E5526*D5526</f>
        <v>1080</v>
      </c>
      <c r="G5526" s="81"/>
      <c r="H5526" s="81"/>
      <c r="I5526" s="81"/>
      <c r="J5526" s="81"/>
      <c r="K5526" s="81"/>
      <c r="L5526" s="81"/>
      <c r="M5526" s="81"/>
      <c r="N5526" s="81"/>
    </row>
    <row r="5527" spans="1:14" ht="14.25" customHeight="1" x14ac:dyDescent="0.25">
      <c r="A5527" s="396"/>
      <c r="B5527" s="397"/>
      <c r="C5527" s="398"/>
      <c r="D5527" s="398"/>
      <c r="E5527" s="399"/>
      <c r="F5527" s="400"/>
      <c r="G5527" s="81"/>
      <c r="H5527" s="81"/>
      <c r="I5527" s="81"/>
      <c r="J5527" s="81"/>
      <c r="K5527" s="81"/>
      <c r="L5527" s="81"/>
      <c r="M5527" s="81"/>
      <c r="N5527" s="81"/>
    </row>
    <row r="5528" spans="1:14" ht="14.25" customHeight="1" thickBot="1" x14ac:dyDescent="0.3">
      <c r="A5528" s="396"/>
      <c r="B5528" s="397"/>
      <c r="C5528" s="398"/>
      <c r="D5528" s="398"/>
      <c r="E5528" s="399"/>
      <c r="F5528" s="401"/>
      <c r="G5528" s="81"/>
      <c r="H5528" s="81"/>
      <c r="I5528" s="81"/>
      <c r="J5528" s="81"/>
      <c r="K5528" s="81"/>
      <c r="L5528" s="81"/>
      <c r="M5528" s="81"/>
      <c r="N5528" s="81"/>
    </row>
    <row r="5529" spans="1:14" ht="14.25" customHeight="1" thickBot="1" x14ac:dyDescent="0.3">
      <c r="A5529" s="352"/>
      <c r="B5529" s="384"/>
      <c r="C5529" s="385"/>
      <c r="D5529" s="640" t="s">
        <v>1356</v>
      </c>
      <c r="E5529" s="642"/>
      <c r="F5529" s="402">
        <f>SUM(F5526)</f>
        <v>1080</v>
      </c>
      <c r="G5529" s="81"/>
      <c r="H5529" s="81"/>
      <c r="I5529" s="81"/>
      <c r="J5529" s="81"/>
      <c r="K5529" s="81"/>
      <c r="L5529" s="81"/>
      <c r="M5529" s="81"/>
      <c r="N5529" s="81"/>
    </row>
    <row r="5530" spans="1:14" ht="14.25" customHeight="1" thickBot="1" x14ac:dyDescent="0.3">
      <c r="A5530" s="643"/>
      <c r="B5530" s="644"/>
      <c r="C5530" s="644"/>
      <c r="D5530" s="644"/>
      <c r="E5530" s="403" t="s">
        <v>555</v>
      </c>
      <c r="F5530" s="404">
        <f>+F5529+F5523+F5516+F5510</f>
        <v>781132.80000000005</v>
      </c>
      <c r="G5530" s="81"/>
      <c r="H5530" s="117">
        <f>1868506-F6443</f>
        <v>1868506</v>
      </c>
      <c r="I5530" s="81"/>
      <c r="J5530" s="81"/>
      <c r="K5530" s="81"/>
      <c r="L5530" s="81"/>
      <c r="M5530" s="81"/>
      <c r="N5530" s="81"/>
    </row>
    <row r="5531" spans="1:14" ht="14.25" customHeight="1" x14ac:dyDescent="0.25">
      <c r="A5531" s="168"/>
      <c r="B5531" s="168"/>
      <c r="C5531" s="168"/>
      <c r="D5531" s="168"/>
      <c r="E5531" s="168"/>
      <c r="F5531" s="168"/>
      <c r="G5531" s="81"/>
      <c r="H5531" s="81"/>
      <c r="I5531" s="81"/>
      <c r="J5531" s="81"/>
      <c r="K5531" s="81"/>
      <c r="L5531" s="81"/>
      <c r="M5531" s="81"/>
      <c r="N5531" s="81"/>
    </row>
    <row r="5532" spans="1:14" ht="14.25" customHeight="1" x14ac:dyDescent="0.25">
      <c r="A5532" s="168"/>
      <c r="B5532" s="168"/>
      <c r="C5532" s="168"/>
      <c r="D5532" s="168"/>
      <c r="E5532" s="168"/>
      <c r="F5532" s="168"/>
      <c r="G5532" s="81"/>
      <c r="H5532" s="81"/>
      <c r="I5532" s="81"/>
      <c r="J5532" s="81"/>
      <c r="K5532" s="81"/>
      <c r="L5532" s="81"/>
      <c r="M5532" s="81"/>
      <c r="N5532" s="81"/>
    </row>
    <row r="5533" spans="1:14" ht="14.25" customHeight="1" x14ac:dyDescent="0.25">
      <c r="A5533" s="645" t="s">
        <v>561</v>
      </c>
      <c r="B5533" s="646"/>
      <c r="C5533" s="646"/>
      <c r="D5533" s="646"/>
      <c r="E5533" s="646"/>
      <c r="F5533" s="647"/>
      <c r="G5533" s="81"/>
      <c r="H5533" s="81"/>
      <c r="I5533" s="81"/>
      <c r="J5533" s="81"/>
      <c r="K5533" s="81"/>
      <c r="L5533" s="81"/>
      <c r="M5533" s="81"/>
      <c r="N5533" s="81"/>
    </row>
    <row r="5534" spans="1:14" ht="14.25" customHeight="1" thickBot="1" x14ac:dyDescent="0.3">
      <c r="A5534" s="648"/>
      <c r="B5534" s="648"/>
      <c r="C5534" s="648"/>
      <c r="D5534" s="648"/>
      <c r="E5534" s="648"/>
      <c r="F5534" s="648"/>
      <c r="G5534" s="81"/>
      <c r="H5534" s="81"/>
      <c r="I5534" s="81"/>
      <c r="J5534" s="81"/>
      <c r="K5534" s="81"/>
      <c r="L5534" s="81"/>
      <c r="M5534" s="81"/>
      <c r="N5534" s="81"/>
    </row>
    <row r="5535" spans="1:14" ht="14.25" customHeight="1" thickBot="1" x14ac:dyDescent="0.3">
      <c r="A5535" s="309" t="s">
        <v>1334</v>
      </c>
      <c r="B5535" s="310"/>
      <c r="C5535" s="428" t="e">
        <f>+'[110]PPTO UNIATLÁNTICO'!A5200</f>
        <v>#REF!</v>
      </c>
      <c r="D5535" s="312"/>
      <c r="E5535" s="312"/>
      <c r="F5535" s="313" t="s">
        <v>49</v>
      </c>
      <c r="G5535" s="81"/>
      <c r="H5535" s="81"/>
      <c r="I5535" s="81"/>
      <c r="J5535" s="81"/>
      <c r="K5535" s="81"/>
      <c r="L5535" s="81"/>
      <c r="M5535" s="81"/>
      <c r="N5535" s="81"/>
    </row>
    <row r="5536" spans="1:14" ht="14.25" customHeight="1" thickBot="1" x14ac:dyDescent="0.3">
      <c r="A5536" s="314" t="e">
        <f>+'[110]PPTO UNIATLÁNTICO'!B5200</f>
        <v>#REF!</v>
      </c>
      <c r="B5536" s="315"/>
      <c r="C5536" s="315"/>
      <c r="D5536" s="316"/>
      <c r="E5536" s="316"/>
      <c r="F5536" s="317" t="s">
        <v>85</v>
      </c>
      <c r="G5536" s="81"/>
      <c r="H5536" s="81"/>
      <c r="I5536" s="81"/>
      <c r="J5536" s="81"/>
      <c r="K5536" s="81"/>
      <c r="L5536" s="81"/>
      <c r="M5536" s="81"/>
      <c r="N5536" s="81"/>
    </row>
    <row r="5537" spans="1:14" ht="14.25" customHeight="1" thickBot="1" x14ac:dyDescent="0.3">
      <c r="A5537" s="652"/>
      <c r="B5537" s="653"/>
      <c r="C5537" s="653"/>
      <c r="D5537" s="653"/>
      <c r="E5537" s="653"/>
      <c r="F5537" s="654"/>
      <c r="G5537" s="81"/>
      <c r="H5537" s="81"/>
      <c r="I5537" s="81"/>
      <c r="J5537" s="81"/>
      <c r="K5537" s="81"/>
      <c r="L5537" s="81"/>
      <c r="M5537" s="81"/>
      <c r="N5537" s="81"/>
    </row>
    <row r="5538" spans="1:14" ht="14.25" customHeight="1" thickBot="1" x14ac:dyDescent="0.3">
      <c r="A5538" s="633" t="s">
        <v>1335</v>
      </c>
      <c r="B5538" s="634"/>
      <c r="C5538" s="634"/>
      <c r="D5538" s="634"/>
      <c r="E5538" s="634"/>
      <c r="F5538" s="635"/>
      <c r="G5538" s="81"/>
      <c r="H5538" s="81"/>
      <c r="I5538" s="81"/>
      <c r="J5538" s="81"/>
      <c r="K5538" s="81"/>
      <c r="L5538" s="81"/>
      <c r="M5538" s="81"/>
      <c r="N5538" s="81"/>
    </row>
    <row r="5539" spans="1:14" ht="14.25" customHeight="1" thickBot="1" x14ac:dyDescent="0.3">
      <c r="A5539" s="318" t="s">
        <v>550</v>
      </c>
      <c r="B5539" s="319" t="s">
        <v>49</v>
      </c>
      <c r="C5539" s="319" t="s">
        <v>50</v>
      </c>
      <c r="D5539" s="319" t="s">
        <v>1357</v>
      </c>
      <c r="E5539" s="320" t="s">
        <v>1337</v>
      </c>
      <c r="F5539" s="321" t="s">
        <v>1338</v>
      </c>
      <c r="G5539" s="81"/>
      <c r="H5539" s="81"/>
      <c r="I5539" s="81"/>
      <c r="J5539" s="81"/>
      <c r="K5539" s="81"/>
      <c r="L5539" s="81"/>
      <c r="M5539" s="81"/>
      <c r="N5539" s="81"/>
    </row>
    <row r="5540" spans="1:14" ht="14.25" customHeight="1" x14ac:dyDescent="0.25">
      <c r="A5540" s="419" t="s">
        <v>1367</v>
      </c>
      <c r="B5540" s="420" t="s">
        <v>85</v>
      </c>
      <c r="C5540" s="421">
        <v>1</v>
      </c>
      <c r="D5540" s="325"/>
      <c r="E5540" s="422">
        <v>358878.74285714288</v>
      </c>
      <c r="F5540" s="327">
        <f>+C5540*E5540</f>
        <v>358878.74285714288</v>
      </c>
      <c r="G5540" s="81"/>
      <c r="H5540" s="81"/>
      <c r="I5540" s="81"/>
      <c r="J5540" s="81"/>
      <c r="K5540" s="81"/>
      <c r="L5540" s="81"/>
      <c r="M5540" s="81"/>
      <c r="N5540" s="81"/>
    </row>
    <row r="5541" spans="1:14" ht="14.25" customHeight="1" x14ac:dyDescent="0.25">
      <c r="A5541" s="328"/>
      <c r="B5541" s="329"/>
      <c r="C5541" s="330"/>
      <c r="D5541" s="331"/>
      <c r="E5541" s="336"/>
      <c r="F5541" s="333"/>
      <c r="G5541" s="81"/>
      <c r="H5541" s="81"/>
      <c r="I5541" s="81"/>
      <c r="J5541" s="81"/>
      <c r="K5541" s="81"/>
      <c r="L5541" s="81"/>
      <c r="M5541" s="81"/>
      <c r="N5541" s="81"/>
    </row>
    <row r="5542" spans="1:14" ht="14.25" customHeight="1" x14ac:dyDescent="0.25">
      <c r="A5542" s="334"/>
      <c r="B5542" s="329"/>
      <c r="C5542" s="330"/>
      <c r="D5542" s="331"/>
      <c r="E5542" s="336"/>
      <c r="F5542" s="333"/>
      <c r="G5542" s="81"/>
      <c r="H5542" s="81"/>
      <c r="I5542" s="81"/>
      <c r="J5542" s="81"/>
      <c r="K5542" s="81"/>
      <c r="L5542" s="81"/>
      <c r="M5542" s="81"/>
      <c r="N5542" s="81"/>
    </row>
    <row r="5543" spans="1:14" ht="14.25" customHeight="1" x14ac:dyDescent="0.25">
      <c r="A5543" s="334"/>
      <c r="B5543" s="335"/>
      <c r="C5543" s="330"/>
      <c r="D5543" s="331"/>
      <c r="E5543" s="336"/>
      <c r="F5543" s="333"/>
      <c r="G5543" s="81"/>
      <c r="H5543" s="81"/>
      <c r="I5543" s="81"/>
      <c r="J5543" s="81"/>
      <c r="K5543" s="81"/>
      <c r="L5543" s="81"/>
      <c r="M5543" s="81"/>
      <c r="N5543" s="81"/>
    </row>
    <row r="5544" spans="1:14" ht="14.25" customHeight="1" thickBot="1" x14ac:dyDescent="0.3">
      <c r="A5544" s="337"/>
      <c r="B5544" s="338"/>
      <c r="C5544" s="339"/>
      <c r="D5544" s="340"/>
      <c r="E5544" s="341" t="s">
        <v>1342</v>
      </c>
      <c r="F5544" s="342"/>
      <c r="G5544" s="81"/>
      <c r="H5544" s="81"/>
      <c r="I5544" s="81"/>
      <c r="J5544" s="81"/>
      <c r="K5544" s="81"/>
      <c r="L5544" s="81"/>
      <c r="M5544" s="81"/>
      <c r="N5544" s="81"/>
    </row>
    <row r="5545" spans="1:14" ht="14.25" customHeight="1" thickBot="1" x14ac:dyDescent="0.3">
      <c r="A5545" s="343"/>
      <c r="B5545" s="344"/>
      <c r="C5545" s="345"/>
      <c r="D5545" s="636" t="s">
        <v>1343</v>
      </c>
      <c r="E5545" s="637"/>
      <c r="F5545" s="346">
        <f>SUM(F5540:F5542)</f>
        <v>358878.74285714288</v>
      </c>
      <c r="G5545" s="81"/>
      <c r="H5545" s="81"/>
      <c r="I5545" s="81"/>
      <c r="J5545" s="81"/>
      <c r="K5545" s="81"/>
      <c r="L5545" s="81"/>
      <c r="M5545" s="81"/>
      <c r="N5545" s="81"/>
    </row>
    <row r="5546" spans="1:14" ht="14.25" customHeight="1" thickBot="1" x14ac:dyDescent="0.3">
      <c r="A5546" s="633" t="s">
        <v>1344</v>
      </c>
      <c r="B5546" s="634"/>
      <c r="C5546" s="634"/>
      <c r="D5546" s="634"/>
      <c r="E5546" s="634"/>
      <c r="F5546" s="635"/>
      <c r="G5546" s="81"/>
      <c r="H5546" s="81"/>
      <c r="I5546" s="81"/>
      <c r="J5546" s="81"/>
      <c r="K5546" s="81"/>
      <c r="L5546" s="81"/>
      <c r="M5546" s="81"/>
      <c r="N5546" s="81"/>
    </row>
    <row r="5547" spans="1:14" ht="33.75" customHeight="1" thickBot="1" x14ac:dyDescent="0.3">
      <c r="A5547" s="347" t="s">
        <v>505</v>
      </c>
      <c r="B5547" s="344"/>
      <c r="C5547" s="348" t="s">
        <v>1345</v>
      </c>
      <c r="D5547" s="349" t="s">
        <v>1346</v>
      </c>
      <c r="E5547" s="350" t="s">
        <v>557</v>
      </c>
      <c r="F5547" s="351"/>
      <c r="G5547" s="81"/>
      <c r="H5547" s="81"/>
      <c r="I5547" s="81"/>
      <c r="J5547" s="81"/>
      <c r="K5547" s="81"/>
      <c r="L5547" s="81"/>
      <c r="M5547" s="81"/>
      <c r="N5547" s="81"/>
    </row>
    <row r="5548" spans="1:14" ht="14.25" customHeight="1" x14ac:dyDescent="0.25">
      <c r="A5548" s="352" t="s">
        <v>1347</v>
      </c>
      <c r="B5548" s="353"/>
      <c r="C5548" s="353">
        <v>5000</v>
      </c>
      <c r="D5548" s="354">
        <v>20</v>
      </c>
      <c r="E5548" s="355">
        <f>+C5548/D5548</f>
        <v>250</v>
      </c>
      <c r="F5548" s="356">
        <f>+E5548</f>
        <v>250</v>
      </c>
      <c r="G5548" s="81"/>
      <c r="H5548" s="81"/>
      <c r="I5548" s="81"/>
      <c r="J5548" s="81"/>
      <c r="K5548" s="81"/>
      <c r="L5548" s="81"/>
      <c r="M5548" s="81"/>
      <c r="N5548" s="81"/>
    </row>
    <row r="5549" spans="1:14" ht="14.25" customHeight="1" x14ac:dyDescent="0.25">
      <c r="A5549" s="357"/>
      <c r="B5549" s="358"/>
      <c r="C5549" s="359"/>
      <c r="D5549" s="359"/>
      <c r="E5549" s="360"/>
      <c r="F5549" s="361"/>
      <c r="G5549" s="81"/>
      <c r="H5549" s="81"/>
      <c r="I5549" s="81"/>
      <c r="J5549" s="81"/>
      <c r="K5549" s="81"/>
      <c r="L5549" s="81"/>
      <c r="M5549" s="81"/>
      <c r="N5549" s="81"/>
    </row>
    <row r="5550" spans="1:14" ht="14.25" customHeight="1" thickBot="1" x14ac:dyDescent="0.3">
      <c r="A5550" s="357"/>
      <c r="B5550" s="358"/>
      <c r="C5550" s="359"/>
      <c r="D5550" s="359"/>
      <c r="E5550" s="360"/>
      <c r="F5550" s="362"/>
      <c r="G5550" s="81"/>
      <c r="H5550" s="81"/>
      <c r="I5550" s="81"/>
      <c r="J5550" s="81"/>
      <c r="K5550" s="81"/>
      <c r="L5550" s="81"/>
      <c r="M5550" s="81"/>
      <c r="N5550" s="81"/>
    </row>
    <row r="5551" spans="1:14" ht="14.25" customHeight="1" thickBot="1" x14ac:dyDescent="0.3">
      <c r="A5551" s="357"/>
      <c r="B5551" s="358"/>
      <c r="C5551" s="363"/>
      <c r="D5551" s="638" t="s">
        <v>1348</v>
      </c>
      <c r="E5551" s="639"/>
      <c r="F5551" s="364">
        <f>SUM(F5548:F5550)</f>
        <v>250</v>
      </c>
      <c r="G5551" s="81"/>
      <c r="H5551" s="81"/>
      <c r="I5551" s="81"/>
      <c r="J5551" s="81"/>
      <c r="K5551" s="81"/>
      <c r="L5551" s="81"/>
      <c r="M5551" s="81"/>
      <c r="N5551" s="81"/>
    </row>
    <row r="5552" spans="1:14" ht="14.25" customHeight="1" thickBot="1" x14ac:dyDescent="0.3">
      <c r="A5552" s="365" t="s">
        <v>553</v>
      </c>
      <c r="B5552" s="366"/>
      <c r="C5552" s="367"/>
      <c r="D5552" s="368"/>
      <c r="E5552" s="369"/>
      <c r="F5552" s="370"/>
      <c r="G5552" s="81"/>
      <c r="H5552" s="81"/>
      <c r="I5552" s="81"/>
      <c r="J5552" s="81"/>
      <c r="K5552" s="81"/>
      <c r="L5552" s="81"/>
      <c r="M5552" s="81"/>
      <c r="N5552" s="81"/>
    </row>
    <row r="5553" spans="1:14" ht="14.25" customHeight="1" thickBot="1" x14ac:dyDescent="0.3">
      <c r="A5553" s="371" t="s">
        <v>505</v>
      </c>
      <c r="B5553" s="372" t="s">
        <v>50</v>
      </c>
      <c r="C5553" s="373" t="s">
        <v>1349</v>
      </c>
      <c r="D5553" s="373" t="s">
        <v>1350</v>
      </c>
      <c r="E5553" s="373" t="s">
        <v>1346</v>
      </c>
      <c r="F5553" s="374" t="s">
        <v>557</v>
      </c>
      <c r="G5553" s="81"/>
      <c r="H5553" s="81"/>
      <c r="I5553" s="81"/>
      <c r="J5553" s="81"/>
      <c r="K5553" s="81"/>
      <c r="L5553" s="81"/>
      <c r="M5553" s="81"/>
      <c r="N5553" s="81"/>
    </row>
    <row r="5554" spans="1:14" ht="14.25" customHeight="1" x14ac:dyDescent="0.25">
      <c r="A5554" s="357" t="s">
        <v>1351</v>
      </c>
      <c r="B5554" s="375">
        <v>1</v>
      </c>
      <c r="C5554" s="376">
        <v>196800</v>
      </c>
      <c r="D5554" s="377">
        <v>1.9402999999999999</v>
      </c>
      <c r="E5554" s="378">
        <v>3.5</v>
      </c>
      <c r="F5554" s="379">
        <f>(B5554*C5554*D5554)/E5554</f>
        <v>109100.29714285713</v>
      </c>
      <c r="G5554" s="81"/>
      <c r="H5554" s="81"/>
      <c r="I5554" s="81"/>
      <c r="J5554" s="81"/>
      <c r="K5554" s="81"/>
      <c r="L5554" s="81"/>
      <c r="M5554" s="81"/>
      <c r="N5554" s="81"/>
    </row>
    <row r="5555" spans="1:14" ht="14.25" customHeight="1" x14ac:dyDescent="0.25">
      <c r="A5555" s="380"/>
      <c r="B5555" s="353"/>
      <c r="C5555" s="359"/>
      <c r="D5555" s="359"/>
      <c r="E5555" s="381"/>
      <c r="F5555" s="382"/>
      <c r="G5555" s="81"/>
      <c r="H5555" s="81"/>
      <c r="I5555" s="81"/>
      <c r="J5555" s="81"/>
      <c r="K5555" s="81"/>
      <c r="L5555" s="81"/>
      <c r="M5555" s="81"/>
      <c r="N5555" s="81"/>
    </row>
    <row r="5556" spans="1:14" ht="14.25" customHeight="1" x14ac:dyDescent="0.25">
      <c r="A5556" s="357"/>
      <c r="B5556" s="358"/>
      <c r="C5556" s="359"/>
      <c r="D5556" s="359"/>
      <c r="E5556" s="360"/>
      <c r="F5556" s="361"/>
      <c r="G5556" s="81"/>
      <c r="H5556" s="81"/>
      <c r="I5556" s="81"/>
      <c r="J5556" s="81"/>
      <c r="K5556" s="81"/>
      <c r="L5556" s="81"/>
      <c r="M5556" s="81"/>
      <c r="N5556" s="81"/>
    </row>
    <row r="5557" spans="1:14" ht="14.25" customHeight="1" thickBot="1" x14ac:dyDescent="0.3">
      <c r="A5557" s="352"/>
      <c r="B5557" s="353"/>
      <c r="C5557" s="359"/>
      <c r="D5557" s="359"/>
      <c r="E5557" s="381"/>
      <c r="F5557" s="383"/>
      <c r="G5557" s="81"/>
      <c r="H5557" s="81"/>
      <c r="I5557" s="81"/>
      <c r="J5557" s="81"/>
      <c r="K5557" s="81"/>
      <c r="L5557" s="81"/>
      <c r="M5557" s="81"/>
      <c r="N5557" s="81"/>
    </row>
    <row r="5558" spans="1:14" ht="14.25" customHeight="1" thickBot="1" x14ac:dyDescent="0.3">
      <c r="A5558" s="352"/>
      <c r="B5558" s="384"/>
      <c r="C5558" s="385"/>
      <c r="D5558" s="640" t="s">
        <v>1352</v>
      </c>
      <c r="E5558" s="641"/>
      <c r="F5558" s="364">
        <f>SUM(F5554:F5557)</f>
        <v>109100.29714285713</v>
      </c>
      <c r="G5558" s="81"/>
      <c r="H5558" s="81"/>
      <c r="I5558" s="81"/>
      <c r="J5558" s="81"/>
      <c r="K5558" s="81"/>
      <c r="L5558" s="81"/>
      <c r="M5558" s="81"/>
      <c r="N5558" s="81"/>
    </row>
    <row r="5559" spans="1:14" ht="14.25" customHeight="1" thickBot="1" x14ac:dyDescent="0.3">
      <c r="A5559" s="386" t="s">
        <v>554</v>
      </c>
      <c r="B5559" s="387"/>
      <c r="C5559" s="388"/>
      <c r="D5559" s="388"/>
      <c r="E5559" s="389"/>
      <c r="F5559" s="390"/>
      <c r="G5559" s="81"/>
      <c r="H5559" s="81"/>
      <c r="I5559" s="81"/>
      <c r="J5559" s="81"/>
      <c r="K5559" s="81"/>
      <c r="L5559" s="81"/>
      <c r="M5559" s="81"/>
      <c r="N5559" s="81"/>
    </row>
    <row r="5560" spans="1:14" ht="14.25" customHeight="1" thickBot="1" x14ac:dyDescent="0.3">
      <c r="A5560" s="371" t="s">
        <v>550</v>
      </c>
      <c r="B5560" s="372"/>
      <c r="C5560" s="373" t="s">
        <v>1353</v>
      </c>
      <c r="D5560" s="373" t="s">
        <v>1354</v>
      </c>
      <c r="E5560" s="373" t="s">
        <v>1355</v>
      </c>
      <c r="F5560" s="374" t="s">
        <v>557</v>
      </c>
      <c r="G5560" s="81"/>
      <c r="H5560" s="81"/>
      <c r="I5560" s="81"/>
      <c r="J5560" s="81"/>
      <c r="K5560" s="81"/>
      <c r="L5560" s="81"/>
      <c r="M5560" s="81"/>
      <c r="N5560" s="81"/>
    </row>
    <row r="5561" spans="1:14" ht="14.25" customHeight="1" x14ac:dyDescent="0.25">
      <c r="A5561" s="391" t="s">
        <v>604</v>
      </c>
      <c r="B5561" s="392"/>
      <c r="C5561" s="393"/>
      <c r="D5561" s="392">
        <v>2.5</v>
      </c>
      <c r="E5561" s="394">
        <v>237.59999999999997</v>
      </c>
      <c r="F5561" s="427">
        <f>+E5561*D5561</f>
        <v>593.99999999999989</v>
      </c>
      <c r="G5561" s="81"/>
      <c r="H5561" s="81"/>
      <c r="I5561" s="81"/>
      <c r="J5561" s="81"/>
      <c r="K5561" s="81"/>
      <c r="L5561" s="81"/>
      <c r="M5561" s="81"/>
      <c r="N5561" s="81"/>
    </row>
    <row r="5562" spans="1:14" ht="14.25" customHeight="1" x14ac:dyDescent="0.25">
      <c r="A5562" s="396"/>
      <c r="B5562" s="397"/>
      <c r="C5562" s="398"/>
      <c r="D5562" s="398"/>
      <c r="E5562" s="399"/>
      <c r="F5562" s="400"/>
      <c r="G5562" s="81"/>
      <c r="H5562" s="81"/>
      <c r="I5562" s="81"/>
      <c r="J5562" s="81"/>
      <c r="K5562" s="81"/>
      <c r="L5562" s="81"/>
      <c r="M5562" s="81"/>
      <c r="N5562" s="81"/>
    </row>
    <row r="5563" spans="1:14" ht="14.25" customHeight="1" thickBot="1" x14ac:dyDescent="0.3">
      <c r="A5563" s="396"/>
      <c r="B5563" s="397"/>
      <c r="C5563" s="398"/>
      <c r="D5563" s="398"/>
      <c r="E5563" s="399"/>
      <c r="F5563" s="401"/>
      <c r="G5563" s="81"/>
      <c r="H5563" s="81"/>
      <c r="I5563" s="81"/>
      <c r="J5563" s="81"/>
      <c r="K5563" s="81"/>
      <c r="L5563" s="81"/>
      <c r="M5563" s="81"/>
      <c r="N5563" s="81"/>
    </row>
    <row r="5564" spans="1:14" ht="14.25" customHeight="1" thickBot="1" x14ac:dyDescent="0.3">
      <c r="A5564" s="352"/>
      <c r="B5564" s="384"/>
      <c r="C5564" s="385"/>
      <c r="D5564" s="640" t="s">
        <v>1356</v>
      </c>
      <c r="E5564" s="642"/>
      <c r="F5564" s="402">
        <f>SUM(F5561)</f>
        <v>593.99999999999989</v>
      </c>
      <c r="G5564" s="81"/>
      <c r="H5564" s="81"/>
      <c r="I5564" s="81"/>
      <c r="J5564" s="81"/>
      <c r="K5564" s="81"/>
      <c r="L5564" s="81"/>
      <c r="M5564" s="81"/>
      <c r="N5564" s="81"/>
    </row>
    <row r="5565" spans="1:14" ht="14.25" customHeight="1" thickBot="1" x14ac:dyDescent="0.3">
      <c r="A5565" s="643"/>
      <c r="B5565" s="644"/>
      <c r="C5565" s="644"/>
      <c r="D5565" s="644"/>
      <c r="E5565" s="403" t="s">
        <v>555</v>
      </c>
      <c r="F5565" s="404">
        <f>+F5564+F5558+F5551+F5545</f>
        <v>468823.04000000004</v>
      </c>
      <c r="G5565" s="81"/>
      <c r="H5565" s="81"/>
      <c r="I5565" s="81"/>
      <c r="J5565" s="81"/>
      <c r="K5565" s="81"/>
      <c r="L5565" s="81"/>
      <c r="M5565" s="81"/>
      <c r="N5565" s="81"/>
    </row>
    <row r="5566" spans="1:14" ht="14.25" customHeight="1" x14ac:dyDescent="0.25">
      <c r="A5566" s="168"/>
      <c r="B5566" s="168"/>
      <c r="C5566" s="168"/>
      <c r="D5566" s="168"/>
      <c r="E5566" s="168"/>
      <c r="F5566" s="168"/>
      <c r="G5566" s="81"/>
      <c r="H5566" s="81"/>
      <c r="I5566" s="81"/>
      <c r="J5566" s="81"/>
      <c r="K5566" s="81"/>
      <c r="L5566" s="81"/>
      <c r="M5566" s="81"/>
      <c r="N5566" s="81"/>
    </row>
    <row r="5567" spans="1:14" ht="14.25" customHeight="1" x14ac:dyDescent="0.25">
      <c r="A5567" s="168"/>
      <c r="B5567" s="168"/>
      <c r="C5567" s="168"/>
      <c r="D5567" s="168"/>
      <c r="E5567" s="168"/>
      <c r="F5567" s="168"/>
      <c r="G5567" s="81"/>
      <c r="H5567" s="81"/>
      <c r="I5567" s="81"/>
      <c r="J5567" s="81"/>
      <c r="K5567" s="81"/>
      <c r="L5567" s="81"/>
      <c r="M5567" s="81"/>
      <c r="N5567" s="81"/>
    </row>
    <row r="5568" spans="1:14" ht="14.25" customHeight="1" x14ac:dyDescent="0.25">
      <c r="A5568" s="645" t="s">
        <v>561</v>
      </c>
      <c r="B5568" s="646"/>
      <c r="C5568" s="646"/>
      <c r="D5568" s="646"/>
      <c r="E5568" s="646"/>
      <c r="F5568" s="647"/>
      <c r="G5568" s="81"/>
      <c r="H5568" s="81"/>
      <c r="I5568" s="81"/>
      <c r="J5568" s="81"/>
      <c r="K5568" s="81"/>
      <c r="L5568" s="81"/>
      <c r="M5568" s="81"/>
      <c r="N5568" s="81"/>
    </row>
    <row r="5569" spans="1:14" ht="14.25" customHeight="1" thickBot="1" x14ac:dyDescent="0.3">
      <c r="A5569" s="648"/>
      <c r="B5569" s="648"/>
      <c r="C5569" s="648"/>
      <c r="D5569" s="648"/>
      <c r="E5569" s="648"/>
      <c r="F5569" s="648"/>
      <c r="G5569" s="81"/>
      <c r="H5569" s="81"/>
      <c r="I5569" s="81"/>
      <c r="J5569" s="81"/>
      <c r="K5569" s="81"/>
      <c r="L5569" s="81"/>
      <c r="M5569" s="81"/>
      <c r="N5569" s="81"/>
    </row>
    <row r="5570" spans="1:14" ht="14.25" customHeight="1" thickBot="1" x14ac:dyDescent="0.3">
      <c r="A5570" s="309" t="s">
        <v>1334</v>
      </c>
      <c r="B5570" s="310"/>
      <c r="C5570" s="430" t="e">
        <f>+'[110]PPTO UNIATLÁNTICO'!A5174</f>
        <v>#REF!</v>
      </c>
      <c r="D5570" s="312"/>
      <c r="E5570" s="312"/>
      <c r="F5570" s="313" t="s">
        <v>49</v>
      </c>
      <c r="G5570" s="81"/>
      <c r="H5570" s="81"/>
      <c r="I5570" s="81"/>
      <c r="J5570" s="81"/>
      <c r="K5570" s="81"/>
      <c r="L5570" s="81"/>
      <c r="M5570" s="81"/>
      <c r="N5570" s="81"/>
    </row>
    <row r="5571" spans="1:14" ht="14.25" customHeight="1" thickBot="1" x14ac:dyDescent="0.3">
      <c r="A5571" s="314" t="e">
        <f>+'[110]PPTO UNIATLÁNTICO'!B5174</f>
        <v>#REF!</v>
      </c>
      <c r="B5571" s="315"/>
      <c r="C5571" s="315"/>
      <c r="D5571" s="316"/>
      <c r="E5571" s="316"/>
      <c r="F5571" s="317" t="s">
        <v>59</v>
      </c>
      <c r="G5571" s="81"/>
      <c r="H5571" s="81"/>
      <c r="I5571" s="81"/>
      <c r="J5571" s="81"/>
      <c r="K5571" s="81"/>
      <c r="L5571" s="81"/>
      <c r="M5571" s="81"/>
      <c r="N5571" s="81"/>
    </row>
    <row r="5572" spans="1:14" ht="14.25" customHeight="1" thickBot="1" x14ac:dyDescent="0.3">
      <c r="A5572" s="652"/>
      <c r="B5572" s="653"/>
      <c r="C5572" s="653"/>
      <c r="D5572" s="653"/>
      <c r="E5572" s="653"/>
      <c r="F5572" s="654"/>
      <c r="G5572" s="81"/>
      <c r="H5572" s="81"/>
      <c r="I5572" s="81"/>
      <c r="J5572" s="81"/>
      <c r="K5572" s="81"/>
      <c r="L5572" s="81"/>
      <c r="M5572" s="81"/>
      <c r="N5572" s="81"/>
    </row>
    <row r="5573" spans="1:14" ht="14.25" customHeight="1" thickBot="1" x14ac:dyDescent="0.3">
      <c r="A5573" s="633" t="s">
        <v>1335</v>
      </c>
      <c r="B5573" s="634"/>
      <c r="C5573" s="634"/>
      <c r="D5573" s="634"/>
      <c r="E5573" s="634"/>
      <c r="F5573" s="635"/>
      <c r="G5573" s="81"/>
      <c r="H5573" s="81"/>
      <c r="I5573" s="81"/>
      <c r="J5573" s="81"/>
      <c r="K5573" s="81"/>
      <c r="L5573" s="81"/>
      <c r="M5573" s="81"/>
      <c r="N5573" s="81"/>
    </row>
    <row r="5574" spans="1:14" ht="14.25" customHeight="1" thickBot="1" x14ac:dyDescent="0.3">
      <c r="A5574" s="318" t="s">
        <v>550</v>
      </c>
      <c r="B5574" s="319" t="s">
        <v>49</v>
      </c>
      <c r="C5574" s="319" t="s">
        <v>50</v>
      </c>
      <c r="D5574" s="319" t="s">
        <v>1357</v>
      </c>
      <c r="E5574" s="320" t="s">
        <v>1337</v>
      </c>
      <c r="F5574" s="321" t="s">
        <v>1338</v>
      </c>
      <c r="G5574" s="81"/>
      <c r="H5574" s="81"/>
      <c r="I5574" s="81"/>
      <c r="J5574" s="81"/>
      <c r="K5574" s="81"/>
      <c r="L5574" s="81"/>
      <c r="M5574" s="81"/>
      <c r="N5574" s="81"/>
    </row>
    <row r="5575" spans="1:14" ht="14.25" customHeight="1" x14ac:dyDescent="0.25">
      <c r="A5575" s="419" t="s">
        <v>1363</v>
      </c>
      <c r="B5575" s="420" t="s">
        <v>560</v>
      </c>
      <c r="C5575" s="421">
        <v>4</v>
      </c>
      <c r="D5575" s="325"/>
      <c r="E5575" s="422">
        <v>5200</v>
      </c>
      <c r="F5575" s="327">
        <f>+C5575*E5575</f>
        <v>20800</v>
      </c>
      <c r="G5575" s="81"/>
      <c r="H5575" s="81"/>
      <c r="I5575" s="81"/>
      <c r="J5575" s="81"/>
      <c r="K5575" s="81"/>
      <c r="L5575" s="81"/>
      <c r="M5575" s="81"/>
      <c r="N5575" s="81"/>
    </row>
    <row r="5576" spans="1:14" ht="14.25" customHeight="1" x14ac:dyDescent="0.25">
      <c r="A5576" s="328" t="s">
        <v>1340</v>
      </c>
      <c r="B5576" s="329" t="s">
        <v>85</v>
      </c>
      <c r="C5576" s="330">
        <v>0.2</v>
      </c>
      <c r="D5576" s="331"/>
      <c r="E5576" s="332">
        <v>10500</v>
      </c>
      <c r="F5576" s="333">
        <f>+C5576*E5576</f>
        <v>2100</v>
      </c>
      <c r="G5576" s="81"/>
      <c r="H5576" s="81"/>
      <c r="I5576" s="81"/>
      <c r="J5576" s="81"/>
      <c r="K5576" s="81"/>
      <c r="L5576" s="81"/>
      <c r="M5576" s="81"/>
      <c r="N5576" s="81"/>
    </row>
    <row r="5577" spans="1:14" ht="14.25" customHeight="1" x14ac:dyDescent="0.25">
      <c r="A5577" s="334" t="s">
        <v>1341</v>
      </c>
      <c r="B5577" s="329" t="s">
        <v>85</v>
      </c>
      <c r="C5577" s="330">
        <v>0.3</v>
      </c>
      <c r="D5577" s="331"/>
      <c r="E5577" s="332">
        <v>7500</v>
      </c>
      <c r="F5577" s="333">
        <f>+C5577*E5577</f>
        <v>2250</v>
      </c>
      <c r="G5577" s="81"/>
      <c r="H5577" s="81"/>
      <c r="I5577" s="81"/>
      <c r="J5577" s="81"/>
      <c r="K5577" s="81"/>
      <c r="L5577" s="81"/>
      <c r="M5577" s="81"/>
      <c r="N5577" s="81"/>
    </row>
    <row r="5578" spans="1:14" ht="14.25" customHeight="1" x14ac:dyDescent="0.25">
      <c r="A5578" s="334"/>
      <c r="B5578" s="335"/>
      <c r="C5578" s="330"/>
      <c r="D5578" s="331"/>
      <c r="E5578" s="336"/>
      <c r="F5578" s="333"/>
      <c r="G5578" s="81"/>
      <c r="H5578" s="81"/>
      <c r="I5578" s="81"/>
      <c r="J5578" s="81"/>
      <c r="K5578" s="81"/>
      <c r="L5578" s="81"/>
      <c r="M5578" s="81"/>
      <c r="N5578" s="81"/>
    </row>
    <row r="5579" spans="1:14" ht="14.25" customHeight="1" thickBot="1" x14ac:dyDescent="0.3">
      <c r="A5579" s="337"/>
      <c r="B5579" s="338"/>
      <c r="C5579" s="339"/>
      <c r="D5579" s="340"/>
      <c r="E5579" s="341" t="s">
        <v>1342</v>
      </c>
      <c r="F5579" s="342"/>
      <c r="G5579" s="81"/>
      <c r="H5579" s="81"/>
      <c r="I5579" s="81"/>
      <c r="J5579" s="81"/>
      <c r="K5579" s="81"/>
      <c r="L5579" s="81"/>
      <c r="M5579" s="81"/>
      <c r="N5579" s="81"/>
    </row>
    <row r="5580" spans="1:14" ht="14.25" customHeight="1" thickBot="1" x14ac:dyDescent="0.3">
      <c r="A5580" s="343"/>
      <c r="B5580" s="344"/>
      <c r="C5580" s="345"/>
      <c r="D5580" s="636" t="s">
        <v>1343</v>
      </c>
      <c r="E5580" s="637"/>
      <c r="F5580" s="346">
        <f>SUM(F5575:F5577)</f>
        <v>25150</v>
      </c>
      <c r="G5580" s="81"/>
      <c r="H5580" s="81"/>
      <c r="I5580" s="81"/>
      <c r="J5580" s="81"/>
      <c r="K5580" s="81"/>
      <c r="L5580" s="81"/>
      <c r="M5580" s="81"/>
      <c r="N5580" s="81"/>
    </row>
    <row r="5581" spans="1:14" ht="14.25" customHeight="1" thickBot="1" x14ac:dyDescent="0.3">
      <c r="A5581" s="633" t="s">
        <v>1344</v>
      </c>
      <c r="B5581" s="634"/>
      <c r="C5581" s="634"/>
      <c r="D5581" s="634"/>
      <c r="E5581" s="634"/>
      <c r="F5581" s="635"/>
      <c r="G5581" s="81"/>
      <c r="H5581" s="81"/>
      <c r="I5581" s="81"/>
      <c r="J5581" s="81"/>
      <c r="K5581" s="81"/>
      <c r="L5581" s="81"/>
      <c r="M5581" s="81"/>
      <c r="N5581" s="81"/>
    </row>
    <row r="5582" spans="1:14" ht="14.25" customHeight="1" thickBot="1" x14ac:dyDescent="0.3">
      <c r="A5582" s="347" t="s">
        <v>505</v>
      </c>
      <c r="B5582" s="344"/>
      <c r="C5582" s="348" t="s">
        <v>1345</v>
      </c>
      <c r="D5582" s="349" t="s">
        <v>1346</v>
      </c>
      <c r="E5582" s="350" t="s">
        <v>557</v>
      </c>
      <c r="F5582" s="351"/>
      <c r="G5582" s="81"/>
      <c r="H5582" s="81"/>
      <c r="I5582" s="81"/>
      <c r="J5582" s="81"/>
      <c r="K5582" s="81"/>
      <c r="L5582" s="81"/>
      <c r="M5582" s="81"/>
      <c r="N5582" s="81"/>
    </row>
    <row r="5583" spans="1:14" ht="14.25" customHeight="1" x14ac:dyDescent="0.25">
      <c r="A5583" s="352" t="s">
        <v>1347</v>
      </c>
      <c r="B5583" s="353"/>
      <c r="C5583" s="353">
        <v>5000</v>
      </c>
      <c r="D5583" s="354">
        <v>20</v>
      </c>
      <c r="E5583" s="355">
        <f>+C5583/D5583</f>
        <v>250</v>
      </c>
      <c r="F5583" s="356">
        <f>+E5583</f>
        <v>250</v>
      </c>
      <c r="G5583" s="81"/>
      <c r="H5583" s="81"/>
      <c r="I5583" s="81"/>
      <c r="J5583" s="81"/>
      <c r="K5583" s="81"/>
      <c r="L5583" s="81"/>
      <c r="M5583" s="81"/>
      <c r="N5583" s="81"/>
    </row>
    <row r="5584" spans="1:14" ht="14.25" customHeight="1" x14ac:dyDescent="0.25">
      <c r="A5584" s="357"/>
      <c r="B5584" s="358"/>
      <c r="C5584" s="359"/>
      <c r="D5584" s="359"/>
      <c r="E5584" s="360"/>
      <c r="F5584" s="361"/>
      <c r="G5584" s="81"/>
      <c r="H5584" s="81"/>
      <c r="I5584" s="81"/>
      <c r="J5584" s="81"/>
      <c r="K5584" s="81"/>
      <c r="L5584" s="81"/>
      <c r="M5584" s="81"/>
      <c r="N5584" s="81"/>
    </row>
    <row r="5585" spans="1:14" ht="14.25" customHeight="1" thickBot="1" x14ac:dyDescent="0.3">
      <c r="A5585" s="357"/>
      <c r="B5585" s="358"/>
      <c r="C5585" s="359"/>
      <c r="D5585" s="359"/>
      <c r="E5585" s="360"/>
      <c r="F5585" s="362"/>
      <c r="G5585" s="81"/>
      <c r="H5585" s="81"/>
      <c r="I5585" s="81"/>
      <c r="J5585" s="81"/>
      <c r="K5585" s="81"/>
      <c r="L5585" s="81"/>
      <c r="M5585" s="81"/>
      <c r="N5585" s="81"/>
    </row>
    <row r="5586" spans="1:14" ht="14.25" customHeight="1" thickBot="1" x14ac:dyDescent="0.3">
      <c r="A5586" s="357"/>
      <c r="B5586" s="358"/>
      <c r="C5586" s="363"/>
      <c r="D5586" s="638" t="s">
        <v>1348</v>
      </c>
      <c r="E5586" s="639"/>
      <c r="F5586" s="364">
        <f>SUM(F5583:F5585)</f>
        <v>250</v>
      </c>
      <c r="G5586" s="81"/>
      <c r="H5586" s="81"/>
      <c r="I5586" s="81"/>
      <c r="J5586" s="81"/>
      <c r="K5586" s="81"/>
      <c r="L5586" s="81"/>
      <c r="M5586" s="81"/>
      <c r="N5586" s="81"/>
    </row>
    <row r="5587" spans="1:14" ht="14.25" customHeight="1" thickBot="1" x14ac:dyDescent="0.3">
      <c r="A5587" s="365" t="s">
        <v>553</v>
      </c>
      <c r="B5587" s="366"/>
      <c r="C5587" s="367"/>
      <c r="D5587" s="368"/>
      <c r="E5587" s="369"/>
      <c r="F5587" s="370"/>
      <c r="G5587" s="81"/>
      <c r="H5587" s="81"/>
      <c r="I5587" s="81"/>
      <c r="J5587" s="81"/>
      <c r="K5587" s="81"/>
      <c r="L5587" s="81"/>
      <c r="M5587" s="81"/>
      <c r="N5587" s="81"/>
    </row>
    <row r="5588" spans="1:14" ht="14.25" customHeight="1" thickBot="1" x14ac:dyDescent="0.3">
      <c r="A5588" s="371" t="s">
        <v>505</v>
      </c>
      <c r="B5588" s="372" t="s">
        <v>50</v>
      </c>
      <c r="C5588" s="373" t="s">
        <v>1349</v>
      </c>
      <c r="D5588" s="373" t="s">
        <v>1350</v>
      </c>
      <c r="E5588" s="373" t="s">
        <v>1346</v>
      </c>
      <c r="F5588" s="374" t="s">
        <v>557</v>
      </c>
      <c r="G5588" s="81"/>
      <c r="H5588" s="117"/>
      <c r="I5588" s="81"/>
      <c r="J5588" s="81"/>
      <c r="K5588" s="81"/>
      <c r="L5588" s="81"/>
      <c r="M5588" s="81"/>
      <c r="N5588" s="81"/>
    </row>
    <row r="5589" spans="1:14" ht="14.25" customHeight="1" x14ac:dyDescent="0.25">
      <c r="A5589" s="357" t="s">
        <v>1351</v>
      </c>
      <c r="B5589" s="375">
        <v>1</v>
      </c>
      <c r="C5589" s="376">
        <v>196800</v>
      </c>
      <c r="D5589" s="377">
        <v>1.9402999999999999</v>
      </c>
      <c r="E5589" s="378">
        <v>30.428608307386526</v>
      </c>
      <c r="F5589" s="379">
        <f>(B5589*C5589*D5589)/E5589</f>
        <v>12549.080002035646</v>
      </c>
      <c r="G5589" s="81"/>
      <c r="H5589" s="81"/>
      <c r="I5589" s="81"/>
      <c r="J5589" s="81"/>
      <c r="K5589" s="81"/>
      <c r="L5589" s="81"/>
      <c r="M5589" s="81"/>
      <c r="N5589" s="81"/>
    </row>
    <row r="5590" spans="1:14" ht="14.25" customHeight="1" x14ac:dyDescent="0.25">
      <c r="A5590" s="380"/>
      <c r="B5590" s="353"/>
      <c r="C5590" s="359"/>
      <c r="D5590" s="359"/>
      <c r="E5590" s="381"/>
      <c r="F5590" s="382"/>
      <c r="G5590" s="81"/>
      <c r="H5590" s="81"/>
      <c r="I5590" s="81"/>
      <c r="J5590" s="81"/>
      <c r="K5590" s="81"/>
      <c r="L5590" s="81"/>
      <c r="M5590" s="81"/>
      <c r="N5590" s="81"/>
    </row>
    <row r="5591" spans="1:14" ht="14.25" customHeight="1" x14ac:dyDescent="0.25">
      <c r="A5591" s="357"/>
      <c r="B5591" s="358"/>
      <c r="C5591" s="359"/>
      <c r="D5591" s="359"/>
      <c r="E5591" s="360"/>
      <c r="F5591" s="361"/>
      <c r="G5591" s="81"/>
      <c r="H5591" s="81"/>
      <c r="I5591" s="81"/>
      <c r="J5591" s="81"/>
      <c r="K5591" s="81"/>
      <c r="L5591" s="81"/>
      <c r="M5591" s="81"/>
      <c r="N5591" s="81"/>
    </row>
    <row r="5592" spans="1:14" ht="14.25" customHeight="1" thickBot="1" x14ac:dyDescent="0.3">
      <c r="A5592" s="352"/>
      <c r="B5592" s="353"/>
      <c r="C5592" s="359"/>
      <c r="D5592" s="359"/>
      <c r="E5592" s="381"/>
      <c r="F5592" s="383"/>
      <c r="G5592" s="81"/>
      <c r="H5592" s="81"/>
      <c r="I5592" s="81"/>
      <c r="J5592" s="81"/>
      <c r="K5592" s="81"/>
      <c r="L5592" s="81"/>
      <c r="M5592" s="81"/>
      <c r="N5592" s="81"/>
    </row>
    <row r="5593" spans="1:14" ht="14.25" customHeight="1" thickBot="1" x14ac:dyDescent="0.3">
      <c r="A5593" s="352"/>
      <c r="B5593" s="384"/>
      <c r="C5593" s="385"/>
      <c r="D5593" s="640" t="s">
        <v>1352</v>
      </c>
      <c r="E5593" s="641"/>
      <c r="F5593" s="364">
        <f>SUM(F5589:F5592)</f>
        <v>12549.080002035646</v>
      </c>
      <c r="G5593" s="81"/>
      <c r="H5593" s="81"/>
      <c r="I5593" s="81"/>
      <c r="J5593" s="81"/>
      <c r="K5593" s="81"/>
      <c r="L5593" s="81"/>
      <c r="M5593" s="81"/>
      <c r="N5593" s="81"/>
    </row>
    <row r="5594" spans="1:14" ht="14.25" customHeight="1" thickBot="1" x14ac:dyDescent="0.3">
      <c r="A5594" s="386" t="s">
        <v>554</v>
      </c>
      <c r="B5594" s="387"/>
      <c r="C5594" s="388"/>
      <c r="D5594" s="388"/>
      <c r="E5594" s="389"/>
      <c r="F5594" s="390"/>
      <c r="G5594" s="81"/>
      <c r="H5594" s="81"/>
      <c r="I5594" s="81"/>
      <c r="J5594" s="81"/>
      <c r="K5594" s="81"/>
      <c r="L5594" s="81"/>
      <c r="M5594" s="81"/>
      <c r="N5594" s="81"/>
    </row>
    <row r="5595" spans="1:14" ht="14.25" customHeight="1" thickBot="1" x14ac:dyDescent="0.3">
      <c r="A5595" s="371" t="s">
        <v>550</v>
      </c>
      <c r="B5595" s="372"/>
      <c r="C5595" s="373" t="s">
        <v>1353</v>
      </c>
      <c r="D5595" s="373" t="s">
        <v>1354</v>
      </c>
      <c r="E5595" s="373" t="s">
        <v>1355</v>
      </c>
      <c r="F5595" s="374" t="s">
        <v>557</v>
      </c>
      <c r="G5595" s="81"/>
      <c r="H5595" s="81"/>
      <c r="I5595" s="81"/>
      <c r="J5595" s="81"/>
      <c r="K5595" s="81"/>
      <c r="L5595" s="81"/>
      <c r="M5595" s="81"/>
      <c r="N5595" s="81"/>
    </row>
    <row r="5596" spans="1:14" ht="14.25" customHeight="1" x14ac:dyDescent="0.25">
      <c r="A5596" s="391" t="s">
        <v>604</v>
      </c>
      <c r="B5596" s="392"/>
      <c r="C5596" s="393"/>
      <c r="D5596" s="392">
        <v>2.5</v>
      </c>
      <c r="E5596" s="394">
        <v>26.832000000000001</v>
      </c>
      <c r="F5596" s="427">
        <f>+E5596*D5596</f>
        <v>67.08</v>
      </c>
      <c r="G5596" s="81"/>
      <c r="H5596" s="81"/>
      <c r="I5596" s="81"/>
      <c r="J5596" s="81"/>
      <c r="K5596" s="81"/>
      <c r="L5596" s="81"/>
      <c r="M5596" s="81"/>
      <c r="N5596" s="81"/>
    </row>
    <row r="5597" spans="1:14" ht="14.25" customHeight="1" x14ac:dyDescent="0.25">
      <c r="A5597" s="396"/>
      <c r="B5597" s="397"/>
      <c r="C5597" s="398"/>
      <c r="D5597" s="398"/>
      <c r="E5597" s="399"/>
      <c r="F5597" s="400"/>
      <c r="G5597" s="81"/>
      <c r="H5597" s="81"/>
      <c r="I5597" s="81"/>
      <c r="J5597" s="81"/>
      <c r="K5597" s="81"/>
      <c r="L5597" s="81"/>
      <c r="M5597" s="81"/>
      <c r="N5597" s="81"/>
    </row>
    <row r="5598" spans="1:14" ht="14.25" customHeight="1" thickBot="1" x14ac:dyDescent="0.3">
      <c r="A5598" s="396"/>
      <c r="B5598" s="397"/>
      <c r="C5598" s="398"/>
      <c r="D5598" s="398"/>
      <c r="E5598" s="399"/>
      <c r="F5598" s="401"/>
      <c r="G5598" s="81"/>
      <c r="H5598" s="81"/>
      <c r="I5598" s="81"/>
      <c r="J5598" s="81"/>
      <c r="K5598" s="81"/>
      <c r="L5598" s="81"/>
      <c r="M5598" s="81"/>
      <c r="N5598" s="81"/>
    </row>
    <row r="5599" spans="1:14" ht="14.25" customHeight="1" thickBot="1" x14ac:dyDescent="0.3">
      <c r="A5599" s="352"/>
      <c r="B5599" s="384"/>
      <c r="C5599" s="385"/>
      <c r="D5599" s="640" t="s">
        <v>1356</v>
      </c>
      <c r="E5599" s="642"/>
      <c r="F5599" s="402">
        <f>SUM(F5596)</f>
        <v>67.08</v>
      </c>
      <c r="G5599" s="81"/>
      <c r="H5599" s="81"/>
      <c r="I5599" s="81"/>
      <c r="J5599" s="81"/>
      <c r="K5599" s="81"/>
      <c r="L5599" s="81"/>
      <c r="M5599" s="81"/>
      <c r="N5599" s="81"/>
    </row>
    <row r="5600" spans="1:14" ht="14.25" customHeight="1" thickBot="1" x14ac:dyDescent="0.3">
      <c r="A5600" s="643"/>
      <c r="B5600" s="644"/>
      <c r="C5600" s="644"/>
      <c r="D5600" s="644"/>
      <c r="E5600" s="403" t="s">
        <v>555</v>
      </c>
      <c r="F5600" s="404">
        <f>+F5599+F5593+F5586+F5580</f>
        <v>38016.160002035642</v>
      </c>
      <c r="G5600" s="81"/>
      <c r="H5600" s="81"/>
      <c r="I5600" s="81"/>
      <c r="J5600" s="81"/>
      <c r="K5600" s="81"/>
      <c r="L5600" s="81"/>
      <c r="M5600" s="81"/>
      <c r="N5600" s="81"/>
    </row>
    <row r="5601" spans="1:14" ht="14.25" customHeight="1" x14ac:dyDescent="0.25">
      <c r="A5601" s="168"/>
      <c r="B5601" s="168"/>
      <c r="C5601" s="168"/>
      <c r="D5601" s="168"/>
      <c r="E5601" s="168"/>
      <c r="F5601" s="168"/>
      <c r="G5601" s="81"/>
      <c r="H5601" s="81"/>
      <c r="I5601" s="81"/>
      <c r="J5601" s="81"/>
      <c r="K5601" s="81"/>
      <c r="L5601" s="81"/>
      <c r="M5601" s="81"/>
      <c r="N5601" s="81"/>
    </row>
    <row r="5602" spans="1:14" ht="14.25" customHeight="1" x14ac:dyDescent="0.25">
      <c r="A5602" s="168"/>
      <c r="B5602" s="168"/>
      <c r="C5602" s="168"/>
      <c r="D5602" s="168"/>
      <c r="E5602" s="168"/>
      <c r="F5602" s="168"/>
      <c r="G5602" s="81"/>
      <c r="H5602" s="81"/>
      <c r="I5602" s="81"/>
      <c r="J5602" s="81"/>
      <c r="K5602" s="81"/>
      <c r="L5602" s="81"/>
      <c r="M5602" s="81"/>
      <c r="N5602" s="81"/>
    </row>
    <row r="5603" spans="1:14" ht="14.25" customHeight="1" x14ac:dyDescent="0.25">
      <c r="A5603" s="645" t="s">
        <v>561</v>
      </c>
      <c r="B5603" s="646"/>
      <c r="C5603" s="646"/>
      <c r="D5603" s="646"/>
      <c r="E5603" s="646"/>
      <c r="F5603" s="647"/>
      <c r="G5603" s="81"/>
      <c r="H5603" s="81"/>
      <c r="I5603" s="81"/>
      <c r="J5603" s="81"/>
      <c r="K5603" s="81"/>
      <c r="L5603" s="81"/>
      <c r="M5603" s="81"/>
      <c r="N5603" s="81"/>
    </row>
    <row r="5604" spans="1:14" ht="14.25" customHeight="1" thickBot="1" x14ac:dyDescent="0.3">
      <c r="A5604" s="648"/>
      <c r="B5604" s="648"/>
      <c r="C5604" s="648"/>
      <c r="D5604" s="648"/>
      <c r="E5604" s="648"/>
      <c r="F5604" s="648"/>
      <c r="G5604" s="81"/>
      <c r="H5604" s="81"/>
      <c r="I5604" s="81"/>
      <c r="J5604" s="81"/>
      <c r="K5604" s="81"/>
      <c r="L5604" s="81"/>
      <c r="M5604" s="81"/>
      <c r="N5604" s="81"/>
    </row>
    <row r="5605" spans="1:14" ht="14.25" customHeight="1" thickBot="1" x14ac:dyDescent="0.3">
      <c r="A5605" s="309" t="s">
        <v>1334</v>
      </c>
      <c r="B5605" s="310"/>
      <c r="C5605" s="311" t="e">
        <f>+'[110]PPTO UNIATLÁNTICO'!A5175</f>
        <v>#REF!</v>
      </c>
      <c r="D5605" s="312"/>
      <c r="E5605" s="312"/>
      <c r="F5605" s="313" t="s">
        <v>49</v>
      </c>
      <c r="G5605" s="81"/>
      <c r="H5605" s="81"/>
      <c r="I5605" s="81"/>
      <c r="J5605" s="81"/>
      <c r="K5605" s="81"/>
      <c r="L5605" s="81"/>
      <c r="M5605" s="81"/>
      <c r="N5605" s="81"/>
    </row>
    <row r="5606" spans="1:14" ht="14.25" customHeight="1" thickBot="1" x14ac:dyDescent="0.3">
      <c r="A5606" s="314" t="e">
        <f>+'[110]PPTO UNIATLÁNTICO'!B5175</f>
        <v>#REF!</v>
      </c>
      <c r="B5606" s="315"/>
      <c r="C5606" s="315"/>
      <c r="D5606" s="316"/>
      <c r="E5606" s="316"/>
      <c r="F5606" s="317" t="s">
        <v>59</v>
      </c>
      <c r="G5606" s="81"/>
      <c r="H5606" s="81"/>
      <c r="I5606" s="81"/>
      <c r="J5606" s="81"/>
      <c r="K5606" s="81"/>
      <c r="L5606" s="81"/>
      <c r="M5606" s="81"/>
      <c r="N5606" s="81"/>
    </row>
    <row r="5607" spans="1:14" ht="14.25" customHeight="1" thickBot="1" x14ac:dyDescent="0.3">
      <c r="A5607" s="652"/>
      <c r="B5607" s="653"/>
      <c r="C5607" s="653"/>
      <c r="D5607" s="653"/>
      <c r="E5607" s="653"/>
      <c r="F5607" s="654"/>
      <c r="G5607" s="81"/>
      <c r="H5607" s="81"/>
      <c r="I5607" s="81"/>
      <c r="J5607" s="81"/>
      <c r="K5607" s="81"/>
      <c r="L5607" s="81"/>
      <c r="M5607" s="81"/>
      <c r="N5607" s="81"/>
    </row>
    <row r="5608" spans="1:14" ht="14.25" customHeight="1" thickBot="1" x14ac:dyDescent="0.3">
      <c r="A5608" s="633" t="s">
        <v>1335</v>
      </c>
      <c r="B5608" s="634"/>
      <c r="C5608" s="634"/>
      <c r="D5608" s="634"/>
      <c r="E5608" s="634"/>
      <c r="F5608" s="635"/>
      <c r="G5608" s="81"/>
      <c r="H5608" s="81"/>
      <c r="I5608" s="81"/>
      <c r="J5608" s="81"/>
      <c r="K5608" s="81"/>
      <c r="L5608" s="81"/>
      <c r="M5608" s="81"/>
      <c r="N5608" s="81"/>
    </row>
    <row r="5609" spans="1:14" ht="14.25" customHeight="1" thickBot="1" x14ac:dyDescent="0.3">
      <c r="A5609" s="318" t="s">
        <v>550</v>
      </c>
      <c r="B5609" s="319" t="s">
        <v>49</v>
      </c>
      <c r="C5609" s="319" t="s">
        <v>50</v>
      </c>
      <c r="D5609" s="319" t="s">
        <v>1357</v>
      </c>
      <c r="E5609" s="320" t="s">
        <v>1337</v>
      </c>
      <c r="F5609" s="321" t="s">
        <v>1338</v>
      </c>
      <c r="G5609" s="81"/>
      <c r="H5609" s="81"/>
      <c r="I5609" s="81"/>
      <c r="J5609" s="81"/>
      <c r="K5609" s="81"/>
      <c r="L5609" s="81"/>
      <c r="M5609" s="81"/>
      <c r="N5609" s="81"/>
    </row>
    <row r="5610" spans="1:14" ht="14.25" customHeight="1" x14ac:dyDescent="0.25">
      <c r="A5610" s="419" t="s">
        <v>1364</v>
      </c>
      <c r="B5610" s="420" t="s">
        <v>59</v>
      </c>
      <c r="C5610" s="421">
        <v>1</v>
      </c>
      <c r="D5610" s="325"/>
      <c r="E5610" s="422">
        <v>4500</v>
      </c>
      <c r="F5610" s="327">
        <f>+C5610*E5610</f>
        <v>4500</v>
      </c>
      <c r="G5610" s="81"/>
      <c r="H5610" s="81"/>
      <c r="I5610" s="81"/>
      <c r="J5610" s="81"/>
      <c r="K5610" s="81"/>
      <c r="L5610" s="81"/>
      <c r="M5610" s="81"/>
      <c r="N5610" s="81"/>
    </row>
    <row r="5611" spans="1:14" ht="15.75" x14ac:dyDescent="0.25">
      <c r="A5611" s="328" t="s">
        <v>1365</v>
      </c>
      <c r="B5611" s="329" t="s">
        <v>279</v>
      </c>
      <c r="C5611" s="330">
        <v>0.33</v>
      </c>
      <c r="D5611" s="331"/>
      <c r="E5611" s="336">
        <v>600</v>
      </c>
      <c r="F5611" s="333">
        <f>+C5611*E5611</f>
        <v>198</v>
      </c>
      <c r="G5611" s="81"/>
      <c r="H5611" s="81"/>
      <c r="I5611" s="81"/>
      <c r="J5611" s="81"/>
      <c r="K5611" s="81"/>
      <c r="L5611" s="81"/>
      <c r="M5611" s="81"/>
      <c r="N5611" s="81"/>
    </row>
    <row r="5612" spans="1:14" ht="14.25" customHeight="1" x14ac:dyDescent="0.25">
      <c r="A5612" s="334" t="s">
        <v>1341</v>
      </c>
      <c r="B5612" s="329" t="s">
        <v>85</v>
      </c>
      <c r="C5612" s="330">
        <v>0.3</v>
      </c>
      <c r="D5612" s="331"/>
      <c r="E5612" s="336">
        <v>7500</v>
      </c>
      <c r="F5612" s="333">
        <f>+C5612*E5612</f>
        <v>2250</v>
      </c>
      <c r="G5612" s="81"/>
      <c r="H5612" s="81"/>
      <c r="I5612" s="81"/>
      <c r="J5612" s="81"/>
      <c r="K5612" s="81"/>
      <c r="L5612" s="81"/>
      <c r="M5612" s="81"/>
      <c r="N5612" s="81"/>
    </row>
    <row r="5613" spans="1:14" ht="14.25" customHeight="1" x14ac:dyDescent="0.25">
      <c r="A5613" s="334"/>
      <c r="B5613" s="335"/>
      <c r="C5613" s="330"/>
      <c r="D5613" s="331"/>
      <c r="E5613" s="336"/>
      <c r="F5613" s="333"/>
      <c r="G5613" s="81"/>
      <c r="H5613" s="81"/>
      <c r="I5613" s="81"/>
      <c r="J5613" s="81"/>
      <c r="K5613" s="81"/>
      <c r="L5613" s="81"/>
      <c r="M5613" s="81"/>
      <c r="N5613" s="81"/>
    </row>
    <row r="5614" spans="1:14" ht="14.25" customHeight="1" thickBot="1" x14ac:dyDescent="0.3">
      <c r="A5614" s="337"/>
      <c r="B5614" s="338"/>
      <c r="C5614" s="339"/>
      <c r="D5614" s="340"/>
      <c r="E5614" s="341" t="s">
        <v>1342</v>
      </c>
      <c r="F5614" s="342"/>
      <c r="G5614" s="81"/>
      <c r="H5614" s="81"/>
      <c r="I5614" s="81"/>
      <c r="J5614" s="81"/>
      <c r="K5614" s="81"/>
      <c r="L5614" s="81"/>
      <c r="M5614" s="81"/>
      <c r="N5614" s="81"/>
    </row>
    <row r="5615" spans="1:14" ht="14.25" customHeight="1" thickBot="1" x14ac:dyDescent="0.3">
      <c r="A5615" s="343"/>
      <c r="B5615" s="344"/>
      <c r="C5615" s="345"/>
      <c r="D5615" s="636" t="s">
        <v>1343</v>
      </c>
      <c r="E5615" s="637"/>
      <c r="F5615" s="346">
        <f>SUM(F5610:F5612)</f>
        <v>6948</v>
      </c>
      <c r="G5615" s="81"/>
      <c r="H5615" s="81"/>
      <c r="I5615" s="81"/>
      <c r="J5615" s="81"/>
      <c r="K5615" s="81"/>
      <c r="L5615" s="81"/>
      <c r="M5615" s="81"/>
      <c r="N5615" s="81"/>
    </row>
    <row r="5616" spans="1:14" ht="14.25" customHeight="1" thickBot="1" x14ac:dyDescent="0.3">
      <c r="A5616" s="633" t="s">
        <v>1344</v>
      </c>
      <c r="B5616" s="634"/>
      <c r="C5616" s="634"/>
      <c r="D5616" s="634"/>
      <c r="E5616" s="634"/>
      <c r="F5616" s="635"/>
      <c r="G5616" s="81"/>
      <c r="H5616" s="81"/>
      <c r="I5616" s="81"/>
      <c r="J5616" s="81"/>
      <c r="K5616" s="81"/>
      <c r="L5616" s="81"/>
      <c r="M5616" s="81"/>
      <c r="N5616" s="81"/>
    </row>
    <row r="5617" spans="1:14" ht="14.25" customHeight="1" thickBot="1" x14ac:dyDescent="0.3">
      <c r="A5617" s="347" t="s">
        <v>505</v>
      </c>
      <c r="B5617" s="344"/>
      <c r="C5617" s="348" t="s">
        <v>1345</v>
      </c>
      <c r="D5617" s="349" t="s">
        <v>1346</v>
      </c>
      <c r="E5617" s="350" t="s">
        <v>557</v>
      </c>
      <c r="F5617" s="351"/>
      <c r="G5617" s="81"/>
      <c r="H5617" s="81"/>
      <c r="I5617" s="81"/>
      <c r="J5617" s="81"/>
      <c r="K5617" s="81"/>
      <c r="L5617" s="81"/>
      <c r="M5617" s="81"/>
      <c r="N5617" s="81"/>
    </row>
    <row r="5618" spans="1:14" ht="14.25" customHeight="1" x14ac:dyDescent="0.25">
      <c r="A5618" s="352" t="s">
        <v>1347</v>
      </c>
      <c r="B5618" s="353"/>
      <c r="C5618" s="353">
        <v>5000</v>
      </c>
      <c r="D5618" s="354">
        <v>602.39817826152876</v>
      </c>
      <c r="E5618" s="355">
        <f>+C5618/D5618</f>
        <v>8.3001579029166148</v>
      </c>
      <c r="F5618" s="356">
        <f>+E5618</f>
        <v>8.3001579029166148</v>
      </c>
      <c r="G5618" s="81"/>
      <c r="H5618" s="81"/>
      <c r="I5618" s="81"/>
      <c r="J5618" s="81"/>
      <c r="K5618" s="81"/>
      <c r="L5618" s="81"/>
      <c r="M5618" s="81"/>
      <c r="N5618" s="81"/>
    </row>
    <row r="5619" spans="1:14" ht="14.25" customHeight="1" x14ac:dyDescent="0.25">
      <c r="A5619" s="357"/>
      <c r="B5619" s="358"/>
      <c r="C5619" s="359"/>
      <c r="D5619" s="359"/>
      <c r="E5619" s="360"/>
      <c r="F5619" s="361"/>
      <c r="G5619" s="81"/>
      <c r="H5619" s="81"/>
      <c r="I5619" s="81"/>
      <c r="J5619" s="81"/>
      <c r="K5619" s="81"/>
      <c r="L5619" s="81"/>
      <c r="M5619" s="81"/>
      <c r="N5619" s="81"/>
    </row>
    <row r="5620" spans="1:14" ht="14.25" customHeight="1" thickBot="1" x14ac:dyDescent="0.3">
      <c r="A5620" s="357"/>
      <c r="B5620" s="358"/>
      <c r="C5620" s="359"/>
      <c r="D5620" s="359"/>
      <c r="E5620" s="360"/>
      <c r="F5620" s="362"/>
      <c r="G5620" s="81"/>
      <c r="H5620" s="81"/>
      <c r="I5620" s="81"/>
      <c r="J5620" s="81"/>
      <c r="K5620" s="81"/>
      <c r="L5620" s="81"/>
      <c r="M5620" s="81"/>
      <c r="N5620" s="81"/>
    </row>
    <row r="5621" spans="1:14" ht="14.25" customHeight="1" thickBot="1" x14ac:dyDescent="0.3">
      <c r="A5621" s="357"/>
      <c r="B5621" s="358"/>
      <c r="C5621" s="363"/>
      <c r="D5621" s="638" t="s">
        <v>1348</v>
      </c>
      <c r="E5621" s="639"/>
      <c r="F5621" s="364">
        <f>SUM(F5618:F5620)</f>
        <v>8.3001579029166148</v>
      </c>
      <c r="G5621" s="81"/>
      <c r="H5621" s="81"/>
      <c r="I5621" s="81"/>
      <c r="J5621" s="81"/>
      <c r="K5621" s="81"/>
      <c r="L5621" s="81"/>
      <c r="M5621" s="81"/>
      <c r="N5621" s="81"/>
    </row>
    <row r="5622" spans="1:14" ht="14.25" customHeight="1" thickBot="1" x14ac:dyDescent="0.3">
      <c r="A5622" s="365" t="s">
        <v>553</v>
      </c>
      <c r="B5622" s="366"/>
      <c r="C5622" s="367"/>
      <c r="D5622" s="368"/>
      <c r="E5622" s="369"/>
      <c r="F5622" s="370"/>
      <c r="G5622" s="81"/>
      <c r="H5622" s="81"/>
      <c r="I5622" s="81"/>
      <c r="J5622" s="81"/>
      <c r="K5622" s="81"/>
      <c r="L5622" s="81"/>
      <c r="M5622" s="81"/>
      <c r="N5622" s="81"/>
    </row>
    <row r="5623" spans="1:14" ht="14.25" customHeight="1" thickBot="1" x14ac:dyDescent="0.3">
      <c r="A5623" s="371" t="s">
        <v>505</v>
      </c>
      <c r="B5623" s="372" t="s">
        <v>50</v>
      </c>
      <c r="C5623" s="373" t="s">
        <v>1349</v>
      </c>
      <c r="D5623" s="373" t="s">
        <v>1350</v>
      </c>
      <c r="E5623" s="373" t="s">
        <v>1346</v>
      </c>
      <c r="F5623" s="374" t="s">
        <v>557</v>
      </c>
      <c r="G5623" s="81"/>
      <c r="H5623" s="81"/>
      <c r="I5623" s="81"/>
      <c r="J5623" s="81"/>
      <c r="K5623" s="81"/>
      <c r="L5623" s="81"/>
      <c r="M5623" s="81"/>
      <c r="N5623" s="81"/>
    </row>
    <row r="5624" spans="1:14" ht="14.25" customHeight="1" x14ac:dyDescent="0.25">
      <c r="A5624" s="357" t="s">
        <v>1351</v>
      </c>
      <c r="B5624" s="375">
        <v>1</v>
      </c>
      <c r="C5624" s="376">
        <v>196800</v>
      </c>
      <c r="D5624" s="377">
        <v>1.9402999999999999</v>
      </c>
      <c r="E5624" s="378">
        <v>103.79289919286556</v>
      </c>
      <c r="F5624" s="379">
        <f>(B5624*C5624*D5624)/E5624</f>
        <v>3678.970748186282</v>
      </c>
      <c r="G5624" s="81"/>
      <c r="H5624" s="81"/>
      <c r="I5624" s="81"/>
      <c r="J5624" s="81"/>
      <c r="K5624" s="81"/>
      <c r="L5624" s="81"/>
      <c r="M5624" s="81"/>
      <c r="N5624" s="81"/>
    </row>
    <row r="5625" spans="1:14" ht="14.25" customHeight="1" x14ac:dyDescent="0.25">
      <c r="A5625" s="380"/>
      <c r="B5625" s="353"/>
      <c r="C5625" s="359"/>
      <c r="D5625" s="359"/>
      <c r="E5625" s="381"/>
      <c r="F5625" s="382"/>
      <c r="G5625" s="81"/>
      <c r="H5625" s="81"/>
      <c r="I5625" s="81"/>
      <c r="J5625" s="81"/>
      <c r="K5625" s="81"/>
      <c r="L5625" s="81"/>
      <c r="M5625" s="81"/>
      <c r="N5625" s="81"/>
    </row>
    <row r="5626" spans="1:14" ht="14.25" customHeight="1" x14ac:dyDescent="0.25">
      <c r="A5626" s="357"/>
      <c r="B5626" s="358"/>
      <c r="C5626" s="359"/>
      <c r="D5626" s="359"/>
      <c r="E5626" s="360"/>
      <c r="F5626" s="361"/>
      <c r="G5626" s="81"/>
      <c r="H5626" s="81"/>
      <c r="I5626" s="81"/>
      <c r="J5626" s="81"/>
      <c r="K5626" s="81"/>
      <c r="L5626" s="81"/>
      <c r="M5626" s="81"/>
      <c r="N5626" s="81"/>
    </row>
    <row r="5627" spans="1:14" ht="14.25" customHeight="1" thickBot="1" x14ac:dyDescent="0.3">
      <c r="A5627" s="352"/>
      <c r="B5627" s="353"/>
      <c r="C5627" s="359"/>
      <c r="D5627" s="359"/>
      <c r="E5627" s="381"/>
      <c r="F5627" s="383"/>
      <c r="G5627" s="81"/>
      <c r="H5627" s="81"/>
      <c r="I5627" s="81"/>
      <c r="J5627" s="81"/>
      <c r="K5627" s="81"/>
      <c r="L5627" s="81"/>
      <c r="M5627" s="81"/>
      <c r="N5627" s="81"/>
    </row>
    <row r="5628" spans="1:14" ht="14.25" customHeight="1" thickBot="1" x14ac:dyDescent="0.3">
      <c r="A5628" s="352"/>
      <c r="B5628" s="384"/>
      <c r="C5628" s="385"/>
      <c r="D5628" s="640" t="s">
        <v>1352</v>
      </c>
      <c r="E5628" s="641"/>
      <c r="F5628" s="364">
        <f>SUM(F5624:F5627)</f>
        <v>3678.970748186282</v>
      </c>
      <c r="G5628" s="81"/>
      <c r="H5628" s="81"/>
      <c r="I5628" s="81"/>
      <c r="J5628" s="81"/>
      <c r="K5628" s="81"/>
      <c r="L5628" s="81"/>
      <c r="M5628" s="81"/>
      <c r="N5628" s="81"/>
    </row>
    <row r="5629" spans="1:14" ht="14.25" customHeight="1" thickBot="1" x14ac:dyDescent="0.3">
      <c r="A5629" s="386" t="s">
        <v>554</v>
      </c>
      <c r="B5629" s="387"/>
      <c r="C5629" s="388"/>
      <c r="D5629" s="388"/>
      <c r="E5629" s="389"/>
      <c r="F5629" s="390"/>
      <c r="G5629" s="81"/>
      <c r="H5629" s="81"/>
      <c r="I5629" s="81"/>
      <c r="J5629" s="81"/>
      <c r="K5629" s="81"/>
      <c r="L5629" s="81"/>
      <c r="M5629" s="81"/>
      <c r="N5629" s="81"/>
    </row>
    <row r="5630" spans="1:14" ht="14.25" customHeight="1" thickBot="1" x14ac:dyDescent="0.3">
      <c r="A5630" s="371" t="s">
        <v>550</v>
      </c>
      <c r="B5630" s="372"/>
      <c r="C5630" s="373" t="s">
        <v>1353</v>
      </c>
      <c r="D5630" s="373" t="s">
        <v>1354</v>
      </c>
      <c r="E5630" s="373" t="s">
        <v>1355</v>
      </c>
      <c r="F5630" s="374" t="s">
        <v>557</v>
      </c>
      <c r="G5630" s="81"/>
      <c r="H5630" s="81"/>
      <c r="I5630" s="81"/>
      <c r="J5630" s="81"/>
      <c r="K5630" s="81"/>
      <c r="L5630" s="81"/>
      <c r="M5630" s="81"/>
      <c r="N5630" s="81"/>
    </row>
    <row r="5631" spans="1:14" ht="14.25" customHeight="1" x14ac:dyDescent="0.25">
      <c r="A5631" s="391" t="s">
        <v>604</v>
      </c>
      <c r="B5631" s="392"/>
      <c r="C5631" s="393"/>
      <c r="D5631" s="392">
        <v>2.5</v>
      </c>
      <c r="E5631" s="394">
        <v>9.9560000000000013</v>
      </c>
      <c r="F5631" s="427">
        <f>+E5631*D5631</f>
        <v>24.890000000000004</v>
      </c>
      <c r="G5631" s="81"/>
      <c r="H5631" s="81"/>
      <c r="I5631" s="81"/>
      <c r="J5631" s="81"/>
      <c r="K5631" s="81"/>
      <c r="L5631" s="81"/>
      <c r="M5631" s="81"/>
      <c r="N5631" s="81"/>
    </row>
    <row r="5632" spans="1:14" ht="14.25" customHeight="1" x14ac:dyDescent="0.25">
      <c r="A5632" s="396"/>
      <c r="B5632" s="397"/>
      <c r="C5632" s="398"/>
      <c r="D5632" s="398"/>
      <c r="E5632" s="399"/>
      <c r="F5632" s="400"/>
      <c r="G5632" s="81"/>
      <c r="H5632" s="81"/>
      <c r="I5632" s="81"/>
      <c r="J5632" s="81"/>
      <c r="K5632" s="81"/>
      <c r="L5632" s="81"/>
      <c r="M5632" s="81"/>
      <c r="N5632" s="81"/>
    </row>
    <row r="5633" spans="1:14" ht="14.25" customHeight="1" thickBot="1" x14ac:dyDescent="0.3">
      <c r="A5633" s="396"/>
      <c r="B5633" s="397"/>
      <c r="C5633" s="398"/>
      <c r="D5633" s="398"/>
      <c r="E5633" s="399"/>
      <c r="F5633" s="401"/>
      <c r="G5633" s="81"/>
      <c r="H5633" s="81"/>
      <c r="I5633" s="81"/>
      <c r="J5633" s="81"/>
      <c r="K5633" s="81"/>
      <c r="L5633" s="81"/>
      <c r="M5633" s="81"/>
      <c r="N5633" s="81"/>
    </row>
    <row r="5634" spans="1:14" ht="14.25" customHeight="1" thickBot="1" x14ac:dyDescent="0.3">
      <c r="A5634" s="352"/>
      <c r="B5634" s="384"/>
      <c r="C5634" s="385"/>
      <c r="D5634" s="640" t="s">
        <v>1356</v>
      </c>
      <c r="E5634" s="642"/>
      <c r="F5634" s="402">
        <f>SUM(F5631)</f>
        <v>24.890000000000004</v>
      </c>
      <c r="G5634" s="81"/>
      <c r="H5634" s="81"/>
      <c r="I5634" s="81"/>
      <c r="J5634" s="81"/>
      <c r="K5634" s="81"/>
      <c r="L5634" s="81"/>
      <c r="M5634" s="81"/>
      <c r="N5634" s="81"/>
    </row>
    <row r="5635" spans="1:14" ht="14.25" customHeight="1" thickBot="1" x14ac:dyDescent="0.3">
      <c r="A5635" s="643"/>
      <c r="B5635" s="644"/>
      <c r="C5635" s="644"/>
      <c r="D5635" s="644"/>
      <c r="E5635" s="403" t="s">
        <v>555</v>
      </c>
      <c r="F5635" s="404">
        <f>+F5634+F5628+F5621+F5615</f>
        <v>10660.160906089199</v>
      </c>
      <c r="G5635" s="81"/>
      <c r="H5635" s="81"/>
      <c r="I5635" s="81"/>
      <c r="J5635" s="81"/>
      <c r="K5635" s="81"/>
      <c r="L5635" s="81"/>
      <c r="M5635" s="81"/>
      <c r="N5635" s="81"/>
    </row>
    <row r="5636" spans="1:14" ht="14.25" customHeight="1" x14ac:dyDescent="0.25">
      <c r="A5636" s="168"/>
      <c r="B5636" s="168"/>
      <c r="C5636" s="168"/>
      <c r="D5636" s="168"/>
      <c r="E5636" s="168"/>
      <c r="F5636" s="168"/>
      <c r="G5636" s="81"/>
      <c r="H5636" s="81"/>
      <c r="I5636" s="81"/>
      <c r="J5636" s="81"/>
      <c r="K5636" s="81"/>
      <c r="L5636" s="81"/>
      <c r="M5636" s="81"/>
      <c r="N5636" s="81"/>
    </row>
    <row r="5637" spans="1:14" ht="14.25" customHeight="1" x14ac:dyDescent="0.25">
      <c r="A5637" s="168"/>
      <c r="B5637" s="168"/>
      <c r="C5637" s="168"/>
      <c r="D5637" s="168"/>
      <c r="E5637" s="168"/>
      <c r="F5637" s="168"/>
      <c r="G5637" s="81"/>
      <c r="H5637" s="81"/>
      <c r="I5637" s="81"/>
      <c r="J5637" s="81"/>
      <c r="K5637" s="81"/>
      <c r="L5637" s="81"/>
      <c r="M5637" s="81"/>
      <c r="N5637" s="81"/>
    </row>
    <row r="5638" spans="1:14" ht="14.25" customHeight="1" x14ac:dyDescent="0.25">
      <c r="A5638" s="168"/>
      <c r="B5638" s="168"/>
      <c r="C5638" s="168"/>
      <c r="D5638" s="168"/>
      <c r="E5638" s="168"/>
      <c r="F5638" s="168"/>
      <c r="G5638" s="81"/>
      <c r="H5638" s="81"/>
      <c r="I5638" s="81"/>
      <c r="J5638" s="81"/>
      <c r="K5638" s="81"/>
      <c r="L5638" s="81"/>
      <c r="M5638" s="81"/>
      <c r="N5638" s="81"/>
    </row>
    <row r="5639" spans="1:14" ht="14.25" customHeight="1" x14ac:dyDescent="0.25">
      <c r="A5639" s="645" t="s">
        <v>561</v>
      </c>
      <c r="B5639" s="646"/>
      <c r="C5639" s="646"/>
      <c r="D5639" s="646"/>
      <c r="E5639" s="646"/>
      <c r="F5639" s="647"/>
      <c r="G5639" s="81"/>
      <c r="H5639" s="81"/>
      <c r="I5639" s="81"/>
      <c r="J5639" s="81"/>
      <c r="K5639" s="81"/>
      <c r="L5639" s="81"/>
      <c r="M5639" s="81"/>
      <c r="N5639" s="81"/>
    </row>
    <row r="5640" spans="1:14" ht="14.25" customHeight="1" thickBot="1" x14ac:dyDescent="0.3">
      <c r="A5640" s="648"/>
      <c r="B5640" s="648"/>
      <c r="C5640" s="648"/>
      <c r="D5640" s="648"/>
      <c r="E5640" s="648"/>
      <c r="F5640" s="648"/>
      <c r="G5640" s="81"/>
      <c r="H5640" s="81"/>
      <c r="I5640" s="81"/>
      <c r="J5640" s="81"/>
      <c r="K5640" s="81"/>
      <c r="L5640" s="81"/>
      <c r="M5640" s="81"/>
      <c r="N5640" s="81"/>
    </row>
    <row r="5641" spans="1:14" ht="14.25" customHeight="1" thickBot="1" x14ac:dyDescent="0.3">
      <c r="A5641" s="309" t="s">
        <v>1334</v>
      </c>
      <c r="B5641" s="310"/>
      <c r="C5641" s="430" t="e">
        <f>+'[110]PPTO UNIATLÁNTICO'!A5178</f>
        <v>#REF!</v>
      </c>
      <c r="D5641" s="312"/>
      <c r="E5641" s="312"/>
      <c r="F5641" s="313" t="s">
        <v>49</v>
      </c>
      <c r="G5641" s="81"/>
      <c r="H5641" s="81"/>
      <c r="I5641" s="81"/>
      <c r="J5641" s="81"/>
      <c r="K5641" s="81"/>
      <c r="L5641" s="81"/>
      <c r="M5641" s="81"/>
      <c r="N5641" s="81"/>
    </row>
    <row r="5642" spans="1:14" ht="14.25" customHeight="1" thickBot="1" x14ac:dyDescent="0.3">
      <c r="A5642" s="314" t="e">
        <f>+'[110]PPTO UNIATLÁNTICO'!B5178</f>
        <v>#REF!</v>
      </c>
      <c r="B5642" s="315"/>
      <c r="C5642" s="315"/>
      <c r="D5642" s="316"/>
      <c r="E5642" s="316"/>
      <c r="F5642" s="317" t="s">
        <v>85</v>
      </c>
      <c r="G5642" s="81"/>
      <c r="H5642" s="81"/>
      <c r="I5642" s="81"/>
      <c r="J5642" s="81"/>
      <c r="K5642" s="81"/>
      <c r="L5642" s="81"/>
      <c r="M5642" s="81"/>
      <c r="N5642" s="81"/>
    </row>
    <row r="5643" spans="1:14" ht="14.25" customHeight="1" thickBot="1" x14ac:dyDescent="0.3">
      <c r="A5643" s="652"/>
      <c r="B5643" s="653"/>
      <c r="C5643" s="653"/>
      <c r="D5643" s="653"/>
      <c r="E5643" s="653"/>
      <c r="F5643" s="654"/>
      <c r="G5643" s="81"/>
      <c r="H5643" s="81"/>
      <c r="I5643" s="81"/>
      <c r="J5643" s="81"/>
      <c r="K5643" s="81"/>
      <c r="L5643" s="81"/>
      <c r="M5643" s="81"/>
      <c r="N5643" s="81"/>
    </row>
    <row r="5644" spans="1:14" ht="14.25" customHeight="1" thickBot="1" x14ac:dyDescent="0.3">
      <c r="A5644" s="633" t="s">
        <v>1335</v>
      </c>
      <c r="B5644" s="634"/>
      <c r="C5644" s="634"/>
      <c r="D5644" s="634"/>
      <c r="E5644" s="634"/>
      <c r="F5644" s="635"/>
      <c r="G5644" s="81"/>
      <c r="H5644" s="81"/>
      <c r="I5644" s="81"/>
      <c r="J5644" s="81"/>
      <c r="K5644" s="81"/>
      <c r="L5644" s="81"/>
      <c r="M5644" s="81"/>
      <c r="N5644" s="81"/>
    </row>
    <row r="5645" spans="1:14" ht="14.25" customHeight="1" thickBot="1" x14ac:dyDescent="0.3">
      <c r="A5645" s="318" t="s">
        <v>550</v>
      </c>
      <c r="B5645" s="319" t="s">
        <v>49</v>
      </c>
      <c r="C5645" s="319" t="s">
        <v>50</v>
      </c>
      <c r="D5645" s="319" t="s">
        <v>1357</v>
      </c>
      <c r="E5645" s="320" t="s">
        <v>1337</v>
      </c>
      <c r="F5645" s="321" t="s">
        <v>1338</v>
      </c>
      <c r="G5645" s="81"/>
      <c r="H5645" s="81"/>
      <c r="I5645" s="81"/>
      <c r="J5645" s="81"/>
      <c r="K5645" s="81"/>
      <c r="L5645" s="81"/>
      <c r="M5645" s="81"/>
      <c r="N5645" s="81"/>
    </row>
    <row r="5646" spans="1:14" ht="14.25" customHeight="1" x14ac:dyDescent="0.25">
      <c r="A5646" s="419" t="s">
        <v>1368</v>
      </c>
      <c r="B5646" s="420" t="s">
        <v>85</v>
      </c>
      <c r="C5646" s="421">
        <v>1</v>
      </c>
      <c r="D5646" s="325"/>
      <c r="E5646" s="422">
        <v>2250000</v>
      </c>
      <c r="F5646" s="327">
        <f>+C5646*E5646</f>
        <v>2250000</v>
      </c>
      <c r="G5646" s="81"/>
      <c r="H5646" s="117"/>
      <c r="I5646" s="81"/>
      <c r="J5646" s="81"/>
      <c r="K5646" s="81"/>
      <c r="L5646" s="81"/>
      <c r="M5646" s="81"/>
      <c r="N5646" s="81"/>
    </row>
    <row r="5647" spans="1:14" ht="14.25" customHeight="1" x14ac:dyDescent="0.25">
      <c r="A5647" s="328"/>
      <c r="B5647" s="329"/>
      <c r="C5647" s="330"/>
      <c r="D5647" s="331"/>
      <c r="E5647" s="336"/>
      <c r="F5647" s="333"/>
      <c r="G5647" s="81"/>
      <c r="H5647" s="81"/>
      <c r="I5647" s="81"/>
      <c r="J5647" s="81"/>
      <c r="K5647" s="81"/>
      <c r="L5647" s="81"/>
      <c r="M5647" s="81"/>
      <c r="N5647" s="81"/>
    </row>
    <row r="5648" spans="1:14" ht="14.25" customHeight="1" x14ac:dyDescent="0.25">
      <c r="A5648" s="334"/>
      <c r="B5648" s="329"/>
      <c r="C5648" s="330"/>
      <c r="D5648" s="331"/>
      <c r="E5648" s="336"/>
      <c r="F5648" s="333"/>
      <c r="G5648" s="81"/>
      <c r="H5648" s="81"/>
      <c r="I5648" s="81"/>
      <c r="J5648" s="81"/>
      <c r="K5648" s="81"/>
      <c r="L5648" s="81"/>
      <c r="M5648" s="81"/>
      <c r="N5648" s="81"/>
    </row>
    <row r="5649" spans="1:14" ht="14.25" customHeight="1" x14ac:dyDescent="0.25">
      <c r="A5649" s="334"/>
      <c r="B5649" s="335"/>
      <c r="C5649" s="330"/>
      <c r="D5649" s="331"/>
      <c r="E5649" s="336"/>
      <c r="F5649" s="333"/>
      <c r="G5649" s="81"/>
      <c r="H5649" s="81"/>
      <c r="I5649" s="81"/>
      <c r="J5649" s="81"/>
      <c r="K5649" s="81"/>
      <c r="L5649" s="81"/>
      <c r="M5649" s="81"/>
      <c r="N5649" s="81"/>
    </row>
    <row r="5650" spans="1:14" ht="14.25" customHeight="1" thickBot="1" x14ac:dyDescent="0.3">
      <c r="A5650" s="337"/>
      <c r="B5650" s="338"/>
      <c r="C5650" s="339"/>
      <c r="D5650" s="340"/>
      <c r="E5650" s="341" t="s">
        <v>1342</v>
      </c>
      <c r="F5650" s="342"/>
      <c r="G5650" s="81"/>
      <c r="H5650" s="81"/>
      <c r="I5650" s="81"/>
      <c r="J5650" s="81"/>
      <c r="K5650" s="81"/>
      <c r="L5650" s="81"/>
      <c r="M5650" s="81"/>
      <c r="N5650" s="81"/>
    </row>
    <row r="5651" spans="1:14" ht="14.25" customHeight="1" thickBot="1" x14ac:dyDescent="0.3">
      <c r="A5651" s="343"/>
      <c r="B5651" s="344"/>
      <c r="C5651" s="345"/>
      <c r="D5651" s="636" t="s">
        <v>1343</v>
      </c>
      <c r="E5651" s="637"/>
      <c r="F5651" s="346">
        <f>SUM(F5646:F5648)</f>
        <v>2250000</v>
      </c>
      <c r="G5651" s="81"/>
      <c r="H5651" s="81"/>
      <c r="I5651" s="81"/>
      <c r="J5651" s="81"/>
      <c r="K5651" s="81"/>
      <c r="L5651" s="81"/>
      <c r="M5651" s="81"/>
      <c r="N5651" s="81"/>
    </row>
    <row r="5652" spans="1:14" ht="14.25" customHeight="1" thickBot="1" x14ac:dyDescent="0.3">
      <c r="A5652" s="633" t="s">
        <v>1344</v>
      </c>
      <c r="B5652" s="634"/>
      <c r="C5652" s="634"/>
      <c r="D5652" s="634"/>
      <c r="E5652" s="634"/>
      <c r="F5652" s="635"/>
      <c r="G5652" s="81"/>
      <c r="H5652" s="81"/>
      <c r="I5652" s="81"/>
      <c r="J5652" s="81"/>
      <c r="K5652" s="81"/>
      <c r="L5652" s="81"/>
      <c r="M5652" s="81"/>
      <c r="N5652" s="81"/>
    </row>
    <row r="5653" spans="1:14" ht="14.25" customHeight="1" thickBot="1" x14ac:dyDescent="0.3">
      <c r="A5653" s="347" t="s">
        <v>505</v>
      </c>
      <c r="B5653" s="344"/>
      <c r="C5653" s="348" t="s">
        <v>1345</v>
      </c>
      <c r="D5653" s="349" t="s">
        <v>1346</v>
      </c>
      <c r="E5653" s="350" t="s">
        <v>557</v>
      </c>
      <c r="F5653" s="351"/>
      <c r="G5653" s="81"/>
      <c r="H5653" s="81"/>
      <c r="I5653" s="81"/>
      <c r="J5653" s="81"/>
      <c r="K5653" s="81"/>
      <c r="L5653" s="81"/>
      <c r="M5653" s="81"/>
      <c r="N5653" s="81"/>
    </row>
    <row r="5654" spans="1:14" ht="14.25" customHeight="1" x14ac:dyDescent="0.25">
      <c r="A5654" s="352" t="s">
        <v>1347</v>
      </c>
      <c r="B5654" s="353"/>
      <c r="C5654" s="353">
        <v>5000</v>
      </c>
      <c r="D5654" s="354">
        <v>2.7777777782455875</v>
      </c>
      <c r="E5654" s="355">
        <f>+C5654/D5654</f>
        <v>1799.9999996968593</v>
      </c>
      <c r="F5654" s="356">
        <f>+E5654</f>
        <v>1799.9999996968593</v>
      </c>
      <c r="G5654" s="81"/>
      <c r="H5654" s="81"/>
      <c r="I5654" s="81"/>
      <c r="J5654" s="81"/>
      <c r="K5654" s="81"/>
      <c r="L5654" s="81"/>
      <c r="M5654" s="81"/>
      <c r="N5654" s="81"/>
    </row>
    <row r="5655" spans="1:14" ht="14.25" customHeight="1" x14ac:dyDescent="0.25">
      <c r="A5655" s="357"/>
      <c r="B5655" s="358"/>
      <c r="C5655" s="359"/>
      <c r="D5655" s="359"/>
      <c r="E5655" s="360"/>
      <c r="F5655" s="361"/>
      <c r="G5655" s="81"/>
      <c r="H5655" s="81"/>
      <c r="I5655" s="81"/>
      <c r="J5655" s="81"/>
      <c r="K5655" s="81"/>
      <c r="L5655" s="81"/>
      <c r="M5655" s="81"/>
      <c r="N5655" s="81"/>
    </row>
    <row r="5656" spans="1:14" ht="14.25" customHeight="1" thickBot="1" x14ac:dyDescent="0.3">
      <c r="A5656" s="357"/>
      <c r="B5656" s="358"/>
      <c r="C5656" s="359"/>
      <c r="D5656" s="359"/>
      <c r="E5656" s="360"/>
      <c r="F5656" s="362"/>
      <c r="G5656" s="81"/>
      <c r="H5656" s="81"/>
      <c r="I5656" s="81"/>
      <c r="J5656" s="81"/>
      <c r="K5656" s="81"/>
      <c r="L5656" s="81"/>
      <c r="M5656" s="81"/>
      <c r="N5656" s="81"/>
    </row>
    <row r="5657" spans="1:14" ht="14.25" customHeight="1" thickBot="1" x14ac:dyDescent="0.3">
      <c r="A5657" s="357"/>
      <c r="B5657" s="358"/>
      <c r="C5657" s="363"/>
      <c r="D5657" s="638" t="s">
        <v>1348</v>
      </c>
      <c r="E5657" s="639"/>
      <c r="F5657" s="364">
        <f>SUM(F5654:F5656)</f>
        <v>1799.9999996968593</v>
      </c>
      <c r="G5657" s="81"/>
      <c r="H5657" s="81"/>
      <c r="I5657" s="81"/>
      <c r="J5657" s="81"/>
      <c r="K5657" s="81"/>
      <c r="L5657" s="81"/>
      <c r="M5657" s="81"/>
      <c r="N5657" s="81"/>
    </row>
    <row r="5658" spans="1:14" ht="14.25" customHeight="1" thickBot="1" x14ac:dyDescent="0.3">
      <c r="A5658" s="365" t="s">
        <v>553</v>
      </c>
      <c r="B5658" s="366"/>
      <c r="C5658" s="367"/>
      <c r="D5658" s="368"/>
      <c r="E5658" s="369"/>
      <c r="F5658" s="370"/>
      <c r="G5658" s="81"/>
      <c r="H5658" s="81"/>
      <c r="I5658" s="81"/>
      <c r="J5658" s="81"/>
      <c r="K5658" s="81"/>
      <c r="L5658" s="81"/>
      <c r="M5658" s="81"/>
      <c r="N5658" s="81"/>
    </row>
    <row r="5659" spans="1:14" ht="14.25" customHeight="1" thickBot="1" x14ac:dyDescent="0.3">
      <c r="A5659" s="371" t="s">
        <v>505</v>
      </c>
      <c r="B5659" s="372" t="s">
        <v>50</v>
      </c>
      <c r="C5659" s="373" t="s">
        <v>1349</v>
      </c>
      <c r="D5659" s="373" t="s">
        <v>1350</v>
      </c>
      <c r="E5659" s="373" t="s">
        <v>1346</v>
      </c>
      <c r="F5659" s="374" t="s">
        <v>557</v>
      </c>
      <c r="G5659" s="81"/>
      <c r="H5659" s="81"/>
      <c r="I5659" s="81"/>
      <c r="J5659" s="81"/>
      <c r="K5659" s="81"/>
      <c r="L5659" s="81"/>
      <c r="M5659" s="81"/>
      <c r="N5659" s="81"/>
    </row>
    <row r="5660" spans="1:14" ht="14.25" customHeight="1" x14ac:dyDescent="0.25">
      <c r="A5660" s="357" t="s">
        <v>1369</v>
      </c>
      <c r="B5660" s="375">
        <v>1</v>
      </c>
      <c r="C5660" s="376">
        <v>196800</v>
      </c>
      <c r="D5660" s="377">
        <v>1.9402999999999999</v>
      </c>
      <c r="E5660" s="378">
        <v>0.9168884719222935</v>
      </c>
      <c r="F5660" s="379">
        <f>(B5660*C5660*D5660)/E5660</f>
        <v>416463.99937762762</v>
      </c>
      <c r="G5660" s="81"/>
      <c r="H5660" s="81"/>
      <c r="I5660" s="81"/>
      <c r="J5660" s="81"/>
      <c r="K5660" s="81"/>
      <c r="L5660" s="81"/>
      <c r="M5660" s="81"/>
      <c r="N5660" s="81"/>
    </row>
    <row r="5661" spans="1:14" ht="14.25" customHeight="1" x14ac:dyDescent="0.25">
      <c r="A5661" s="380"/>
      <c r="B5661" s="353"/>
      <c r="C5661" s="359"/>
      <c r="D5661" s="359"/>
      <c r="E5661" s="381"/>
      <c r="F5661" s="382"/>
      <c r="G5661" s="81"/>
      <c r="H5661" s="81"/>
      <c r="I5661" s="81"/>
      <c r="J5661" s="81"/>
      <c r="K5661" s="81"/>
      <c r="L5661" s="81"/>
      <c r="M5661" s="81"/>
      <c r="N5661" s="81"/>
    </row>
    <row r="5662" spans="1:14" ht="14.25" customHeight="1" x14ac:dyDescent="0.25">
      <c r="A5662" s="357"/>
      <c r="B5662" s="358"/>
      <c r="C5662" s="359"/>
      <c r="D5662" s="359"/>
      <c r="E5662" s="360"/>
      <c r="F5662" s="361"/>
      <c r="G5662" s="81"/>
      <c r="H5662" s="81"/>
      <c r="I5662" s="81"/>
      <c r="J5662" s="81"/>
      <c r="K5662" s="81"/>
      <c r="L5662" s="81"/>
      <c r="M5662" s="81"/>
      <c r="N5662" s="81"/>
    </row>
    <row r="5663" spans="1:14" ht="42.75" customHeight="1" thickBot="1" x14ac:dyDescent="0.3">
      <c r="A5663" s="352"/>
      <c r="B5663" s="353"/>
      <c r="C5663" s="359"/>
      <c r="D5663" s="359"/>
      <c r="E5663" s="381"/>
      <c r="F5663" s="383"/>
      <c r="G5663" s="81"/>
      <c r="H5663" s="81"/>
      <c r="I5663" s="81"/>
      <c r="J5663" s="81"/>
      <c r="K5663" s="81"/>
      <c r="L5663" s="81"/>
      <c r="M5663" s="81"/>
      <c r="N5663" s="81"/>
    </row>
    <row r="5664" spans="1:14" ht="14.25" customHeight="1" thickBot="1" x14ac:dyDescent="0.3">
      <c r="A5664" s="352"/>
      <c r="B5664" s="384"/>
      <c r="C5664" s="385"/>
      <c r="D5664" s="640" t="s">
        <v>1352</v>
      </c>
      <c r="E5664" s="641"/>
      <c r="F5664" s="364">
        <f>SUM(F5660:F5663)</f>
        <v>416463.99937762762</v>
      </c>
      <c r="G5664" s="81"/>
      <c r="H5664" s="81"/>
      <c r="I5664" s="81"/>
      <c r="J5664" s="81"/>
      <c r="K5664" s="81"/>
      <c r="L5664" s="81"/>
      <c r="M5664" s="81"/>
      <c r="N5664" s="81"/>
    </row>
    <row r="5665" spans="1:14" ht="14.25" customHeight="1" thickBot="1" x14ac:dyDescent="0.3">
      <c r="A5665" s="386" t="s">
        <v>554</v>
      </c>
      <c r="B5665" s="387"/>
      <c r="C5665" s="388"/>
      <c r="D5665" s="388"/>
      <c r="E5665" s="389"/>
      <c r="F5665" s="390"/>
      <c r="G5665" s="81"/>
      <c r="H5665" s="81"/>
      <c r="I5665" s="81"/>
      <c r="J5665" s="81"/>
      <c r="K5665" s="81"/>
      <c r="L5665" s="81"/>
      <c r="M5665" s="81"/>
      <c r="N5665" s="81"/>
    </row>
    <row r="5666" spans="1:14" ht="14.25" customHeight="1" thickBot="1" x14ac:dyDescent="0.3">
      <c r="A5666" s="371" t="s">
        <v>550</v>
      </c>
      <c r="B5666" s="372"/>
      <c r="C5666" s="373" t="s">
        <v>1353</v>
      </c>
      <c r="D5666" s="373" t="s">
        <v>1354</v>
      </c>
      <c r="E5666" s="373" t="s">
        <v>1355</v>
      </c>
      <c r="F5666" s="374" t="s">
        <v>557</v>
      </c>
      <c r="G5666" s="81"/>
      <c r="H5666" s="81"/>
      <c r="I5666" s="81"/>
      <c r="J5666" s="81"/>
      <c r="K5666" s="81"/>
      <c r="L5666" s="81"/>
      <c r="M5666" s="81"/>
      <c r="N5666" s="81"/>
    </row>
    <row r="5667" spans="1:14" ht="14.25" customHeight="1" x14ac:dyDescent="0.25">
      <c r="A5667" s="391" t="s">
        <v>604</v>
      </c>
      <c r="B5667" s="392"/>
      <c r="C5667" s="393"/>
      <c r="D5667" s="392">
        <v>2.5</v>
      </c>
      <c r="E5667" s="394">
        <v>2160</v>
      </c>
      <c r="F5667" s="427">
        <f>+E5667*D5667</f>
        <v>5400</v>
      </c>
      <c r="G5667" s="81"/>
      <c r="H5667" s="81"/>
      <c r="I5667" s="81"/>
      <c r="J5667" s="81"/>
      <c r="K5667" s="81"/>
      <c r="L5667" s="81"/>
      <c r="M5667" s="81"/>
      <c r="N5667" s="81"/>
    </row>
    <row r="5668" spans="1:14" ht="14.25" customHeight="1" x14ac:dyDescent="0.25">
      <c r="A5668" s="396"/>
      <c r="B5668" s="397"/>
      <c r="C5668" s="398"/>
      <c r="D5668" s="398"/>
      <c r="E5668" s="399"/>
      <c r="F5668" s="400"/>
      <c r="G5668" s="81"/>
      <c r="H5668" s="81"/>
      <c r="I5668" s="81"/>
      <c r="J5668" s="81"/>
      <c r="K5668" s="81"/>
      <c r="L5668" s="81"/>
      <c r="M5668" s="81"/>
      <c r="N5668" s="81"/>
    </row>
    <row r="5669" spans="1:14" ht="14.25" customHeight="1" thickBot="1" x14ac:dyDescent="0.3">
      <c r="A5669" s="396"/>
      <c r="B5669" s="397"/>
      <c r="C5669" s="398"/>
      <c r="D5669" s="398"/>
      <c r="E5669" s="399"/>
      <c r="F5669" s="401"/>
      <c r="G5669" s="81"/>
      <c r="H5669" s="81"/>
      <c r="I5669" s="81"/>
      <c r="J5669" s="81"/>
      <c r="K5669" s="81"/>
      <c r="L5669" s="81"/>
      <c r="M5669" s="81"/>
      <c r="N5669" s="81"/>
    </row>
    <row r="5670" spans="1:14" ht="14.25" customHeight="1" thickBot="1" x14ac:dyDescent="0.3">
      <c r="A5670" s="352"/>
      <c r="B5670" s="384"/>
      <c r="C5670" s="385"/>
      <c r="D5670" s="640" t="s">
        <v>1356</v>
      </c>
      <c r="E5670" s="642"/>
      <c r="F5670" s="402">
        <f>SUM(F5667)</f>
        <v>5400</v>
      </c>
      <c r="G5670" s="81"/>
      <c r="H5670" s="81"/>
      <c r="I5670" s="81"/>
      <c r="J5670" s="81"/>
      <c r="K5670" s="81"/>
      <c r="L5670" s="81"/>
      <c r="M5670" s="81"/>
      <c r="N5670" s="81"/>
    </row>
    <row r="5671" spans="1:14" ht="14.25" customHeight="1" thickBot="1" x14ac:dyDescent="0.3">
      <c r="A5671" s="643"/>
      <c r="B5671" s="644"/>
      <c r="C5671" s="644"/>
      <c r="D5671" s="644"/>
      <c r="E5671" s="403" t="s">
        <v>555</v>
      </c>
      <c r="F5671" s="404">
        <f>+F5670+F5664+F5657+F5651</f>
        <v>2673663.9993773242</v>
      </c>
      <c r="G5671" s="81"/>
      <c r="H5671" s="81"/>
      <c r="I5671" s="81"/>
      <c r="J5671" s="81"/>
      <c r="K5671" s="81"/>
      <c r="L5671" s="81"/>
      <c r="M5671" s="81"/>
      <c r="N5671" s="81"/>
    </row>
    <row r="5672" spans="1:14" ht="14.25" customHeight="1" x14ac:dyDescent="0.25">
      <c r="A5672" s="299"/>
      <c r="B5672" s="135"/>
      <c r="C5672" s="135"/>
      <c r="D5672" s="135"/>
      <c r="E5672" s="135"/>
      <c r="F5672" s="136"/>
      <c r="G5672" s="81"/>
      <c r="H5672" s="81"/>
      <c r="I5672" s="81"/>
      <c r="J5672" s="81"/>
      <c r="K5672" s="81"/>
      <c r="L5672" s="81"/>
      <c r="M5672" s="81"/>
      <c r="N5672" s="81"/>
    </row>
    <row r="5673" spans="1:14" ht="14.25" customHeight="1" x14ac:dyDescent="0.25">
      <c r="A5673" s="299"/>
      <c r="B5673" s="135"/>
      <c r="C5673" s="135"/>
      <c r="D5673" s="135"/>
      <c r="E5673" s="135"/>
      <c r="F5673" s="136"/>
      <c r="G5673" s="81"/>
      <c r="H5673" s="81"/>
      <c r="I5673" s="81"/>
      <c r="J5673" s="81"/>
      <c r="K5673" s="81"/>
      <c r="L5673" s="81"/>
      <c r="M5673" s="81"/>
      <c r="N5673" s="81"/>
    </row>
    <row r="5674" spans="1:14" ht="14.25" customHeight="1" x14ac:dyDescent="0.25">
      <c r="A5674" s="645" t="s">
        <v>561</v>
      </c>
      <c r="B5674" s="646"/>
      <c r="C5674" s="646"/>
      <c r="D5674" s="646"/>
      <c r="E5674" s="646"/>
      <c r="F5674" s="647"/>
      <c r="G5674" s="81"/>
      <c r="H5674" s="81"/>
      <c r="I5674" s="81"/>
      <c r="J5674" s="81"/>
      <c r="K5674" s="81"/>
      <c r="L5674" s="81"/>
      <c r="M5674" s="81"/>
      <c r="N5674" s="81"/>
    </row>
    <row r="5675" spans="1:14" ht="14.25" customHeight="1" thickBot="1" x14ac:dyDescent="0.3">
      <c r="A5675" s="648"/>
      <c r="B5675" s="648"/>
      <c r="C5675" s="648"/>
      <c r="D5675" s="648"/>
      <c r="E5675" s="648"/>
      <c r="F5675" s="648"/>
      <c r="G5675" s="81"/>
      <c r="H5675" s="81"/>
      <c r="I5675" s="81"/>
      <c r="J5675" s="81"/>
      <c r="K5675" s="81"/>
      <c r="L5675" s="81"/>
      <c r="M5675" s="81"/>
      <c r="N5675" s="81"/>
    </row>
    <row r="5676" spans="1:14" ht="14.25" customHeight="1" thickBot="1" x14ac:dyDescent="0.3">
      <c r="A5676" s="309" t="s">
        <v>1334</v>
      </c>
      <c r="B5676" s="310"/>
      <c r="C5676" s="311" t="e">
        <f>+'[110]PPTO UNIATLÁNTICO'!A5679</f>
        <v>#REF!</v>
      </c>
      <c r="D5676" s="312"/>
      <c r="E5676" s="312"/>
      <c r="F5676" s="313" t="s">
        <v>49</v>
      </c>
      <c r="G5676" s="81"/>
      <c r="H5676" s="81"/>
      <c r="I5676" s="81"/>
      <c r="J5676" s="81"/>
      <c r="K5676" s="81"/>
      <c r="L5676" s="81"/>
      <c r="M5676" s="81"/>
      <c r="N5676" s="81"/>
    </row>
    <row r="5677" spans="1:14" ht="14.25" customHeight="1" thickBot="1" x14ac:dyDescent="0.3">
      <c r="A5677" s="314" t="e">
        <f>+'[110]PPTO UNIATLÁNTICO'!B5679</f>
        <v>#REF!</v>
      </c>
      <c r="B5677" s="315"/>
      <c r="C5677" s="315"/>
      <c r="D5677" s="316"/>
      <c r="E5677" s="316"/>
      <c r="F5677" s="317" t="s">
        <v>49</v>
      </c>
      <c r="G5677" s="81"/>
      <c r="H5677" s="81"/>
      <c r="I5677" s="81"/>
      <c r="J5677" s="81"/>
      <c r="K5677" s="81"/>
      <c r="L5677" s="81"/>
      <c r="M5677" s="81"/>
      <c r="N5677" s="81"/>
    </row>
    <row r="5678" spans="1:14" ht="14.25" customHeight="1" thickBot="1" x14ac:dyDescent="0.3">
      <c r="A5678" s="649"/>
      <c r="B5678" s="650"/>
      <c r="C5678" s="650"/>
      <c r="D5678" s="650"/>
      <c r="E5678" s="650"/>
      <c r="F5678" s="651"/>
      <c r="G5678" s="81"/>
      <c r="H5678" s="81"/>
      <c r="I5678" s="81"/>
      <c r="J5678" s="81"/>
      <c r="K5678" s="81"/>
      <c r="L5678" s="81"/>
      <c r="M5678" s="81"/>
      <c r="N5678" s="81"/>
    </row>
    <row r="5679" spans="1:14" ht="14.25" customHeight="1" thickBot="1" x14ac:dyDescent="0.3">
      <c r="A5679" s="633" t="s">
        <v>1335</v>
      </c>
      <c r="B5679" s="634"/>
      <c r="C5679" s="634"/>
      <c r="D5679" s="634"/>
      <c r="E5679" s="634"/>
      <c r="F5679" s="635"/>
      <c r="G5679" s="81"/>
      <c r="H5679" s="81"/>
      <c r="I5679" s="81"/>
      <c r="J5679" s="81"/>
      <c r="K5679" s="81"/>
      <c r="L5679" s="81"/>
      <c r="M5679" s="81"/>
      <c r="N5679" s="81"/>
    </row>
    <row r="5680" spans="1:14" ht="14.25" customHeight="1" thickBot="1" x14ac:dyDescent="0.3">
      <c r="A5680" s="318" t="s">
        <v>550</v>
      </c>
      <c r="B5680" s="319" t="s">
        <v>49</v>
      </c>
      <c r="C5680" s="319" t="s">
        <v>50</v>
      </c>
      <c r="D5680" s="319" t="s">
        <v>1336</v>
      </c>
      <c r="E5680" s="320" t="s">
        <v>1337</v>
      </c>
      <c r="F5680" s="321" t="s">
        <v>1338</v>
      </c>
      <c r="G5680" s="81"/>
      <c r="H5680" s="81"/>
      <c r="I5680" s="81"/>
      <c r="J5680" s="81"/>
      <c r="K5680" s="81"/>
      <c r="L5680" s="81"/>
      <c r="M5680" s="81"/>
      <c r="N5680" s="81"/>
    </row>
    <row r="5681" spans="1:14" ht="14.25" customHeight="1" x14ac:dyDescent="0.25">
      <c r="A5681" s="433" t="s">
        <v>1370</v>
      </c>
      <c r="B5681" s="434" t="s">
        <v>49</v>
      </c>
      <c r="C5681" s="435">
        <v>1</v>
      </c>
      <c r="D5681" s="436"/>
      <c r="E5681" s="434">
        <v>6328000</v>
      </c>
      <c r="F5681" s="437">
        <f>+C5681*E5681</f>
        <v>6328000</v>
      </c>
      <c r="G5681" s="81"/>
      <c r="H5681" s="81"/>
      <c r="I5681" s="81"/>
      <c r="J5681" s="81"/>
      <c r="K5681" s="81"/>
      <c r="L5681" s="81"/>
      <c r="M5681" s="81"/>
      <c r="N5681" s="81"/>
    </row>
    <row r="5682" spans="1:14" ht="14.25" customHeight="1" x14ac:dyDescent="0.25">
      <c r="A5682" s="438" t="s">
        <v>1371</v>
      </c>
      <c r="B5682" s="439" t="s">
        <v>49</v>
      </c>
      <c r="C5682" s="440">
        <v>2</v>
      </c>
      <c r="D5682" s="441"/>
      <c r="E5682" s="439">
        <v>3710000</v>
      </c>
      <c r="F5682" s="442">
        <f t="shared" ref="F5682:F5683" si="283">+C5682*E5682</f>
        <v>7420000</v>
      </c>
      <c r="G5682" s="81"/>
      <c r="H5682" s="81"/>
      <c r="I5682" s="81"/>
      <c r="J5682" s="81"/>
      <c r="K5682" s="81"/>
      <c r="L5682" s="81"/>
      <c r="M5682" s="81"/>
      <c r="N5682" s="81"/>
    </row>
    <row r="5683" spans="1:14" ht="14.25" customHeight="1" x14ac:dyDescent="0.25">
      <c r="A5683" s="438" t="s">
        <v>1372</v>
      </c>
      <c r="B5683" s="439" t="s">
        <v>49</v>
      </c>
      <c r="C5683" s="440">
        <v>1</v>
      </c>
      <c r="D5683" s="441"/>
      <c r="E5683" s="439">
        <v>5740000</v>
      </c>
      <c r="F5683" s="442">
        <f t="shared" si="283"/>
        <v>5740000</v>
      </c>
      <c r="G5683" s="81"/>
      <c r="H5683" s="81"/>
      <c r="I5683" s="81"/>
      <c r="J5683" s="81"/>
      <c r="K5683" s="81"/>
      <c r="L5683" s="81"/>
      <c r="M5683" s="81"/>
      <c r="N5683" s="81"/>
    </row>
    <row r="5684" spans="1:14" ht="14.25" customHeight="1" thickBot="1" x14ac:dyDescent="0.3">
      <c r="A5684" s="443"/>
      <c r="B5684" s="444"/>
      <c r="C5684" s="339"/>
      <c r="D5684" s="445"/>
      <c r="E5684" s="446" t="s">
        <v>1342</v>
      </c>
      <c r="F5684" s="447"/>
      <c r="G5684" s="81"/>
      <c r="H5684" s="81"/>
      <c r="I5684" s="81"/>
      <c r="J5684" s="81"/>
      <c r="K5684" s="81"/>
      <c r="L5684" s="81"/>
      <c r="M5684" s="81"/>
      <c r="N5684" s="81"/>
    </row>
    <row r="5685" spans="1:14" ht="14.25" customHeight="1" thickBot="1" x14ac:dyDescent="0.3">
      <c r="A5685" s="343"/>
      <c r="B5685" s="344"/>
      <c r="C5685" s="345"/>
      <c r="D5685" s="636" t="s">
        <v>1343</v>
      </c>
      <c r="E5685" s="637"/>
      <c r="F5685" s="346">
        <f>SUM(F5681:F5683)</f>
        <v>19488000</v>
      </c>
      <c r="G5685" s="81"/>
      <c r="H5685" s="81"/>
      <c r="I5685" s="81"/>
      <c r="J5685" s="81"/>
      <c r="K5685" s="81"/>
      <c r="L5685" s="81"/>
      <c r="M5685" s="81"/>
      <c r="N5685" s="81"/>
    </row>
    <row r="5686" spans="1:14" ht="14.25" customHeight="1" thickBot="1" x14ac:dyDescent="0.3">
      <c r="A5686" s="633" t="s">
        <v>1344</v>
      </c>
      <c r="B5686" s="634"/>
      <c r="C5686" s="634"/>
      <c r="D5686" s="634"/>
      <c r="E5686" s="634"/>
      <c r="F5686" s="635"/>
      <c r="G5686" s="81"/>
      <c r="H5686" s="81"/>
      <c r="I5686" s="81"/>
      <c r="J5686" s="81"/>
      <c r="K5686" s="81"/>
      <c r="L5686" s="81"/>
      <c r="M5686" s="81"/>
      <c r="N5686" s="81"/>
    </row>
    <row r="5687" spans="1:14" ht="14.25" customHeight="1" thickBot="1" x14ac:dyDescent="0.3">
      <c r="A5687" s="347" t="s">
        <v>505</v>
      </c>
      <c r="B5687" s="344"/>
      <c r="C5687" s="348" t="s">
        <v>1345</v>
      </c>
      <c r="D5687" s="349" t="s">
        <v>1346</v>
      </c>
      <c r="E5687" s="350" t="s">
        <v>557</v>
      </c>
      <c r="F5687" s="351"/>
      <c r="G5687" s="81"/>
      <c r="H5687" s="81"/>
      <c r="I5687" s="81"/>
      <c r="J5687" s="81"/>
      <c r="K5687" s="81"/>
      <c r="L5687" s="81"/>
      <c r="M5687" s="81"/>
      <c r="N5687" s="81"/>
    </row>
    <row r="5688" spans="1:14" ht="14.25" customHeight="1" x14ac:dyDescent="0.25">
      <c r="A5688" s="352" t="s">
        <v>1347</v>
      </c>
      <c r="B5688" s="353"/>
      <c r="C5688" s="353">
        <v>5000</v>
      </c>
      <c r="D5688" s="354">
        <v>0.25</v>
      </c>
      <c r="E5688" s="355">
        <f>+C5688/D5688</f>
        <v>20000</v>
      </c>
      <c r="F5688" s="356">
        <f>+E5688</f>
        <v>20000</v>
      </c>
      <c r="G5688" s="81"/>
      <c r="H5688" s="81"/>
      <c r="I5688" s="81"/>
      <c r="J5688" s="81"/>
      <c r="K5688" s="81"/>
      <c r="L5688" s="81"/>
      <c r="M5688" s="81"/>
      <c r="N5688" s="81"/>
    </row>
    <row r="5689" spans="1:14" ht="14.25" customHeight="1" x14ac:dyDescent="0.25">
      <c r="A5689" s="357"/>
      <c r="B5689" s="358"/>
      <c r="C5689" s="359"/>
      <c r="D5689" s="359"/>
      <c r="E5689" s="360"/>
      <c r="F5689" s="361"/>
      <c r="G5689" s="81"/>
      <c r="H5689" s="81"/>
      <c r="I5689" s="81"/>
      <c r="J5689" s="81"/>
      <c r="K5689" s="81"/>
      <c r="L5689" s="81"/>
      <c r="M5689" s="81"/>
      <c r="N5689" s="81"/>
    </row>
    <row r="5690" spans="1:14" ht="14.25" customHeight="1" thickBot="1" x14ac:dyDescent="0.3">
      <c r="A5690" s="357"/>
      <c r="B5690" s="358"/>
      <c r="C5690" s="359"/>
      <c r="D5690" s="359"/>
      <c r="E5690" s="360"/>
      <c r="F5690" s="362"/>
      <c r="G5690" s="81"/>
      <c r="H5690" s="81"/>
      <c r="I5690" s="81"/>
      <c r="J5690" s="81"/>
      <c r="K5690" s="81"/>
      <c r="L5690" s="81"/>
      <c r="M5690" s="81"/>
      <c r="N5690" s="81"/>
    </row>
    <row r="5691" spans="1:14" ht="16.5" thickBot="1" x14ac:dyDescent="0.3">
      <c r="A5691" s="357"/>
      <c r="B5691" s="358"/>
      <c r="C5691" s="363"/>
      <c r="D5691" s="638" t="s">
        <v>1348</v>
      </c>
      <c r="E5691" s="639"/>
      <c r="F5691" s="364">
        <f>SUM(F5688:F5690)</f>
        <v>20000</v>
      </c>
      <c r="G5691" s="81"/>
      <c r="H5691" s="81"/>
      <c r="I5691" s="81"/>
      <c r="J5691" s="81"/>
      <c r="K5691" s="81"/>
      <c r="L5691" s="81"/>
      <c r="M5691" s="81"/>
      <c r="N5691" s="81"/>
    </row>
    <row r="5692" spans="1:14" ht="14.25" customHeight="1" thickBot="1" x14ac:dyDescent="0.3">
      <c r="A5692" s="365" t="s">
        <v>553</v>
      </c>
      <c r="B5692" s="366"/>
      <c r="C5692" s="367"/>
      <c r="D5692" s="368"/>
      <c r="E5692" s="369"/>
      <c r="F5692" s="370"/>
      <c r="G5692" s="81"/>
      <c r="H5692" s="81"/>
      <c r="I5692" s="81"/>
      <c r="J5692" s="81"/>
      <c r="K5692" s="81"/>
      <c r="L5692" s="81"/>
      <c r="M5692" s="81"/>
      <c r="N5692" s="81"/>
    </row>
    <row r="5693" spans="1:14" ht="14.25" customHeight="1" thickBot="1" x14ac:dyDescent="0.3">
      <c r="A5693" s="371" t="s">
        <v>505</v>
      </c>
      <c r="B5693" s="372" t="s">
        <v>50</v>
      </c>
      <c r="C5693" s="373" t="s">
        <v>1349</v>
      </c>
      <c r="D5693" s="373" t="s">
        <v>1350</v>
      </c>
      <c r="E5693" s="373" t="s">
        <v>1346</v>
      </c>
      <c r="F5693" s="374" t="s">
        <v>557</v>
      </c>
      <c r="G5693" s="81"/>
      <c r="H5693" s="81"/>
      <c r="I5693" s="81"/>
      <c r="J5693" s="81"/>
      <c r="K5693" s="81"/>
      <c r="L5693" s="81"/>
      <c r="M5693" s="81"/>
      <c r="N5693" s="81"/>
    </row>
    <row r="5694" spans="1:14" ht="14.25" customHeight="1" x14ac:dyDescent="0.25">
      <c r="A5694" s="357" t="s">
        <v>1373</v>
      </c>
      <c r="B5694" s="375">
        <v>1</v>
      </c>
      <c r="C5694" s="376">
        <v>186800</v>
      </c>
      <c r="D5694" s="377">
        <v>1.9402999999999999</v>
      </c>
      <c r="E5694" s="378">
        <v>0.05</v>
      </c>
      <c r="F5694" s="379">
        <f>(B5694*C5694*D5694)/E5694</f>
        <v>7248960.7999999989</v>
      </c>
      <c r="G5694" s="81"/>
      <c r="H5694" s="81"/>
      <c r="I5694" s="81"/>
      <c r="J5694" s="81"/>
      <c r="K5694" s="81"/>
      <c r="L5694" s="81"/>
      <c r="M5694" s="81"/>
      <c r="N5694" s="81"/>
    </row>
    <row r="5695" spans="1:14" ht="14.25" customHeight="1" x14ac:dyDescent="0.25">
      <c r="A5695" s="380"/>
      <c r="B5695" s="353"/>
      <c r="C5695" s="359"/>
      <c r="D5695" s="359"/>
      <c r="E5695" s="381"/>
      <c r="F5695" s="382"/>
      <c r="G5695" s="81"/>
      <c r="H5695" s="81"/>
      <c r="I5695" s="81"/>
      <c r="J5695" s="81"/>
      <c r="K5695" s="81"/>
      <c r="L5695" s="81"/>
      <c r="M5695" s="81"/>
      <c r="N5695" s="81"/>
    </row>
    <row r="5696" spans="1:14" ht="14.25" customHeight="1" x14ac:dyDescent="0.25">
      <c r="A5696" s="357"/>
      <c r="B5696" s="358"/>
      <c r="C5696" s="359"/>
      <c r="D5696" s="359"/>
      <c r="E5696" s="360"/>
      <c r="F5696" s="361"/>
      <c r="G5696" s="81"/>
      <c r="H5696" s="81"/>
      <c r="I5696" s="81"/>
      <c r="J5696" s="81"/>
      <c r="K5696" s="81"/>
      <c r="L5696" s="81"/>
      <c r="M5696" s="81"/>
      <c r="N5696" s="81"/>
    </row>
    <row r="5697" spans="1:14" ht="14.25" customHeight="1" thickBot="1" x14ac:dyDescent="0.3">
      <c r="A5697" s="352"/>
      <c r="B5697" s="353"/>
      <c r="C5697" s="359"/>
      <c r="D5697" s="359"/>
      <c r="E5697" s="381"/>
      <c r="F5697" s="383"/>
      <c r="G5697" s="81"/>
      <c r="H5697" s="81"/>
      <c r="I5697" s="81"/>
      <c r="J5697" s="81"/>
      <c r="K5697" s="81"/>
      <c r="L5697" s="81"/>
      <c r="M5697" s="81"/>
      <c r="N5697" s="81"/>
    </row>
    <row r="5698" spans="1:14" ht="14.25" customHeight="1" thickBot="1" x14ac:dyDescent="0.3">
      <c r="A5698" s="352"/>
      <c r="B5698" s="384"/>
      <c r="C5698" s="385"/>
      <c r="D5698" s="640" t="s">
        <v>1352</v>
      </c>
      <c r="E5698" s="641"/>
      <c r="F5698" s="364">
        <f>SUM(F5694:F5697)</f>
        <v>7248960.7999999989</v>
      </c>
      <c r="G5698" s="81"/>
      <c r="H5698" s="81"/>
      <c r="I5698" s="81"/>
      <c r="J5698" s="81"/>
      <c r="K5698" s="81"/>
      <c r="L5698" s="81"/>
      <c r="M5698" s="81"/>
      <c r="N5698" s="81"/>
    </row>
    <row r="5699" spans="1:14" ht="16.5" thickBot="1" x14ac:dyDescent="0.3">
      <c r="A5699" s="386" t="s">
        <v>554</v>
      </c>
      <c r="B5699" s="387"/>
      <c r="C5699" s="388"/>
      <c r="D5699" s="388"/>
      <c r="E5699" s="389"/>
      <c r="F5699" s="390"/>
      <c r="G5699" s="81"/>
      <c r="H5699" s="81"/>
      <c r="I5699" s="81"/>
      <c r="J5699" s="81"/>
      <c r="K5699" s="81"/>
      <c r="L5699" s="81"/>
      <c r="M5699" s="81"/>
      <c r="N5699" s="81"/>
    </row>
    <row r="5700" spans="1:14" ht="14.25" customHeight="1" thickBot="1" x14ac:dyDescent="0.3">
      <c r="A5700" s="371" t="s">
        <v>550</v>
      </c>
      <c r="B5700" s="372"/>
      <c r="C5700" s="373" t="s">
        <v>1353</v>
      </c>
      <c r="D5700" s="373" t="s">
        <v>1354</v>
      </c>
      <c r="E5700" s="373" t="s">
        <v>1355</v>
      </c>
      <c r="F5700" s="374" t="s">
        <v>557</v>
      </c>
      <c r="G5700" s="81"/>
      <c r="H5700" s="81"/>
      <c r="I5700" s="81"/>
      <c r="J5700" s="81"/>
      <c r="K5700" s="81"/>
      <c r="L5700" s="81"/>
      <c r="M5700" s="81"/>
      <c r="N5700" s="81"/>
    </row>
    <row r="5701" spans="1:14" ht="14.25" customHeight="1" x14ac:dyDescent="0.25">
      <c r="A5701" s="391" t="s">
        <v>604</v>
      </c>
      <c r="B5701" s="392"/>
      <c r="C5701" s="393"/>
      <c r="D5701" s="448">
        <v>8.209760000000065</v>
      </c>
      <c r="E5701" s="394">
        <v>45000</v>
      </c>
      <c r="F5701" s="427">
        <f>+E5701*D5701</f>
        <v>369439.20000000292</v>
      </c>
      <c r="G5701" s="81"/>
      <c r="H5701" s="81"/>
      <c r="I5701" s="81"/>
      <c r="J5701" s="81"/>
      <c r="K5701" s="81"/>
      <c r="L5701" s="81"/>
      <c r="M5701" s="81"/>
      <c r="N5701" s="81"/>
    </row>
    <row r="5702" spans="1:14" ht="14.25" customHeight="1" x14ac:dyDescent="0.25">
      <c r="A5702" s="396"/>
      <c r="B5702" s="397"/>
      <c r="C5702" s="398"/>
      <c r="D5702" s="398"/>
      <c r="E5702" s="399"/>
      <c r="F5702" s="400"/>
      <c r="G5702" s="81"/>
      <c r="H5702" s="81"/>
      <c r="I5702" s="81"/>
      <c r="J5702" s="81"/>
      <c r="K5702" s="81"/>
      <c r="L5702" s="81"/>
      <c r="M5702" s="81"/>
      <c r="N5702" s="81"/>
    </row>
    <row r="5703" spans="1:14" ht="14.25" customHeight="1" thickBot="1" x14ac:dyDescent="0.3">
      <c r="A5703" s="396"/>
      <c r="B5703" s="397"/>
      <c r="C5703" s="398"/>
      <c r="D5703" s="398"/>
      <c r="E5703" s="399"/>
      <c r="F5703" s="401"/>
      <c r="G5703" s="81"/>
      <c r="H5703" s="81"/>
      <c r="I5703" s="81"/>
      <c r="J5703" s="81"/>
      <c r="K5703" s="81"/>
      <c r="L5703" s="81"/>
      <c r="M5703" s="81"/>
      <c r="N5703" s="81"/>
    </row>
    <row r="5704" spans="1:14" ht="14.25" customHeight="1" thickBot="1" x14ac:dyDescent="0.3">
      <c r="A5704" s="352"/>
      <c r="B5704" s="384"/>
      <c r="C5704" s="385"/>
      <c r="D5704" s="640" t="s">
        <v>1356</v>
      </c>
      <c r="E5704" s="642"/>
      <c r="F5704" s="402">
        <f>SUM(F5701)</f>
        <v>369439.20000000292</v>
      </c>
      <c r="G5704" s="81"/>
      <c r="H5704" s="81"/>
      <c r="I5704" s="81"/>
      <c r="J5704" s="81"/>
      <c r="K5704" s="81"/>
      <c r="L5704" s="81"/>
      <c r="M5704" s="81"/>
      <c r="N5704" s="81"/>
    </row>
    <row r="5705" spans="1:14" ht="14.25" customHeight="1" thickBot="1" x14ac:dyDescent="0.3">
      <c r="A5705" s="643"/>
      <c r="B5705" s="644"/>
      <c r="C5705" s="644"/>
      <c r="D5705" s="644"/>
      <c r="E5705" s="403" t="s">
        <v>555</v>
      </c>
      <c r="F5705" s="404">
        <f>+F5704+F5698+F5691+F5685</f>
        <v>27126400</v>
      </c>
      <c r="G5705" s="81"/>
      <c r="H5705" s="117">
        <f>172749-F6613</f>
        <v>0</v>
      </c>
      <c r="I5705" s="81"/>
      <c r="J5705" s="81"/>
      <c r="K5705" s="81"/>
      <c r="L5705" s="81"/>
      <c r="M5705" s="81"/>
      <c r="N5705" s="81"/>
    </row>
    <row r="5706" spans="1:14" ht="14.25" customHeight="1" x14ac:dyDescent="0.25">
      <c r="A5706" s="168"/>
      <c r="B5706" s="168"/>
      <c r="C5706" s="168"/>
      <c r="D5706" s="168"/>
      <c r="E5706" s="168"/>
      <c r="F5706" s="168"/>
      <c r="G5706" s="81"/>
      <c r="H5706" s="81"/>
      <c r="I5706" s="81"/>
      <c r="J5706" s="81"/>
      <c r="K5706" s="81"/>
      <c r="L5706" s="81"/>
      <c r="M5706" s="81"/>
      <c r="N5706" s="81"/>
    </row>
    <row r="5707" spans="1:14" ht="14.25" customHeight="1" x14ac:dyDescent="0.25">
      <c r="A5707" s="168"/>
      <c r="B5707" s="168"/>
      <c r="C5707" s="168"/>
      <c r="D5707" s="168"/>
      <c r="E5707" s="168"/>
      <c r="F5707" s="168"/>
      <c r="G5707" s="81"/>
      <c r="H5707" s="81"/>
      <c r="I5707" s="81"/>
      <c r="J5707" s="81"/>
      <c r="K5707" s="81"/>
      <c r="L5707" s="81"/>
      <c r="M5707" s="81"/>
      <c r="N5707" s="81"/>
    </row>
    <row r="5708" spans="1:14" ht="14.25" customHeight="1" x14ac:dyDescent="0.25">
      <c r="A5708" s="168"/>
      <c r="B5708" s="168"/>
      <c r="C5708" s="168"/>
      <c r="D5708" s="168"/>
      <c r="E5708" s="168"/>
      <c r="F5708" s="168"/>
      <c r="G5708" s="81"/>
      <c r="H5708" s="81"/>
      <c r="I5708" s="81"/>
      <c r="J5708" s="81"/>
      <c r="K5708" s="81"/>
      <c r="L5708" s="81"/>
      <c r="M5708" s="81"/>
      <c r="N5708" s="81"/>
    </row>
    <row r="5709" spans="1:14" ht="14.25" customHeight="1" x14ac:dyDescent="0.25">
      <c r="A5709" s="645" t="s">
        <v>561</v>
      </c>
      <c r="B5709" s="646"/>
      <c r="C5709" s="646"/>
      <c r="D5709" s="646"/>
      <c r="E5709" s="646"/>
      <c r="F5709" s="647"/>
      <c r="G5709" s="81"/>
      <c r="H5709" s="81"/>
      <c r="I5709" s="81"/>
      <c r="J5709" s="81"/>
      <c r="K5709" s="81"/>
      <c r="L5709" s="81"/>
      <c r="M5709" s="81"/>
      <c r="N5709" s="81"/>
    </row>
    <row r="5710" spans="1:14" ht="14.25" customHeight="1" thickBot="1" x14ac:dyDescent="0.3">
      <c r="A5710" s="648"/>
      <c r="B5710" s="648"/>
      <c r="C5710" s="648"/>
      <c r="D5710" s="648"/>
      <c r="E5710" s="648"/>
      <c r="F5710" s="648"/>
      <c r="G5710" s="81"/>
      <c r="H5710" s="81"/>
      <c r="I5710" s="81"/>
      <c r="J5710" s="81"/>
      <c r="K5710" s="81"/>
      <c r="L5710" s="81"/>
      <c r="M5710" s="81"/>
      <c r="N5710" s="81"/>
    </row>
    <row r="5711" spans="1:14" ht="14.25" customHeight="1" thickBot="1" x14ac:dyDescent="0.3">
      <c r="A5711" s="309" t="s">
        <v>1334</v>
      </c>
      <c r="B5711" s="310"/>
      <c r="C5711" s="311" t="e">
        <f>+'[110]PPTO UNIATLÁNTICO'!A5696</f>
        <v>#REF!</v>
      </c>
      <c r="D5711" s="312"/>
      <c r="E5711" s="312"/>
      <c r="F5711" s="313" t="s">
        <v>49</v>
      </c>
      <c r="G5711" s="81"/>
      <c r="H5711" s="81"/>
      <c r="I5711" s="81"/>
      <c r="J5711" s="81"/>
      <c r="K5711" s="81"/>
      <c r="L5711" s="81"/>
      <c r="M5711" s="81"/>
      <c r="N5711" s="81"/>
    </row>
    <row r="5712" spans="1:14" ht="14.25" customHeight="1" thickBot="1" x14ac:dyDescent="0.3">
      <c r="A5712" s="314" t="e">
        <f>+'[110]PPTO UNIATLÁNTICO'!B5696</f>
        <v>#REF!</v>
      </c>
      <c r="B5712" s="315"/>
      <c r="C5712" s="315"/>
      <c r="D5712" s="316"/>
      <c r="E5712" s="316"/>
      <c r="F5712" s="317" t="s">
        <v>1374</v>
      </c>
      <c r="G5712" s="81"/>
      <c r="H5712" s="81"/>
      <c r="I5712" s="81"/>
      <c r="J5712" s="81"/>
      <c r="K5712" s="81"/>
      <c r="L5712" s="81"/>
      <c r="M5712" s="81"/>
      <c r="N5712" s="81"/>
    </row>
    <row r="5713" spans="1:14" ht="14.25" customHeight="1" thickBot="1" x14ac:dyDescent="0.3">
      <c r="A5713" s="649" t="s">
        <v>1375</v>
      </c>
      <c r="B5713" s="650"/>
      <c r="C5713" s="650"/>
      <c r="D5713" s="650"/>
      <c r="E5713" s="650"/>
      <c r="F5713" s="651"/>
      <c r="G5713" s="81"/>
      <c r="H5713" s="81"/>
      <c r="I5713" s="81"/>
      <c r="J5713" s="81"/>
      <c r="K5713" s="81"/>
      <c r="L5713" s="81"/>
      <c r="M5713" s="81"/>
      <c r="N5713" s="81"/>
    </row>
    <row r="5714" spans="1:14" ht="14.25" customHeight="1" thickBot="1" x14ac:dyDescent="0.3">
      <c r="A5714" s="633" t="s">
        <v>1335</v>
      </c>
      <c r="B5714" s="634"/>
      <c r="C5714" s="634"/>
      <c r="D5714" s="634"/>
      <c r="E5714" s="634"/>
      <c r="F5714" s="635"/>
      <c r="G5714" s="81"/>
      <c r="H5714" s="81"/>
      <c r="I5714" s="81"/>
      <c r="J5714" s="81"/>
      <c r="K5714" s="81"/>
      <c r="L5714" s="81"/>
      <c r="M5714" s="81"/>
      <c r="N5714" s="81"/>
    </row>
    <row r="5715" spans="1:14" ht="14.25" customHeight="1" thickBot="1" x14ac:dyDescent="0.3">
      <c r="A5715" s="318" t="s">
        <v>550</v>
      </c>
      <c r="B5715" s="319" t="s">
        <v>49</v>
      </c>
      <c r="C5715" s="319" t="s">
        <v>50</v>
      </c>
      <c r="D5715" s="319" t="s">
        <v>1336</v>
      </c>
      <c r="E5715" s="320" t="s">
        <v>1337</v>
      </c>
      <c r="F5715" s="321" t="s">
        <v>1338</v>
      </c>
      <c r="G5715" s="81"/>
      <c r="H5715" s="81"/>
      <c r="I5715" s="81"/>
      <c r="J5715" s="81"/>
      <c r="K5715" s="81"/>
      <c r="L5715" s="81"/>
      <c r="M5715" s="81"/>
      <c r="N5715" s="81"/>
    </row>
    <row r="5716" spans="1:14" ht="14.25" customHeight="1" x14ac:dyDescent="0.25">
      <c r="A5716" s="433" t="s">
        <v>1376</v>
      </c>
      <c r="B5716" s="434"/>
      <c r="C5716" s="434">
        <v>1</v>
      </c>
      <c r="D5716" s="449"/>
      <c r="E5716" s="450">
        <v>5864000</v>
      </c>
      <c r="F5716" s="451">
        <f>+C5716*E5716</f>
        <v>5864000</v>
      </c>
      <c r="G5716" s="81"/>
      <c r="H5716" s="81"/>
      <c r="I5716" s="81"/>
      <c r="J5716" s="81"/>
      <c r="K5716" s="81"/>
      <c r="L5716" s="81"/>
      <c r="M5716" s="81"/>
      <c r="N5716" s="81"/>
    </row>
    <row r="5717" spans="1:14" ht="14.25" customHeight="1" thickBot="1" x14ac:dyDescent="0.3">
      <c r="A5717" s="337"/>
      <c r="B5717" s="338"/>
      <c r="C5717" s="339"/>
      <c r="D5717" s="340"/>
      <c r="E5717" s="341" t="s">
        <v>1342</v>
      </c>
      <c r="F5717" s="342"/>
      <c r="G5717" s="81"/>
      <c r="H5717" s="81"/>
      <c r="I5717" s="81"/>
      <c r="J5717" s="81"/>
      <c r="K5717" s="81"/>
      <c r="L5717" s="81"/>
      <c r="M5717" s="81"/>
      <c r="N5717" s="81"/>
    </row>
    <row r="5718" spans="1:14" ht="14.25" customHeight="1" thickBot="1" x14ac:dyDescent="0.3">
      <c r="A5718" s="343"/>
      <c r="B5718" s="344"/>
      <c r="C5718" s="345"/>
      <c r="D5718" s="636" t="s">
        <v>1343</v>
      </c>
      <c r="E5718" s="637"/>
      <c r="F5718" s="346">
        <f>SUM(F5716:F5716)</f>
        <v>5864000</v>
      </c>
      <c r="G5718" s="81"/>
      <c r="H5718" s="81"/>
      <c r="I5718" s="81"/>
      <c r="J5718" s="81"/>
      <c r="K5718" s="81"/>
      <c r="L5718" s="81"/>
      <c r="M5718" s="81"/>
      <c r="N5718" s="81"/>
    </row>
    <row r="5719" spans="1:14" ht="14.25" customHeight="1" thickBot="1" x14ac:dyDescent="0.3">
      <c r="A5719" s="633" t="s">
        <v>1344</v>
      </c>
      <c r="B5719" s="634"/>
      <c r="C5719" s="634"/>
      <c r="D5719" s="634"/>
      <c r="E5719" s="634"/>
      <c r="F5719" s="635"/>
      <c r="G5719" s="81"/>
      <c r="H5719" s="81"/>
      <c r="I5719" s="81"/>
      <c r="J5719" s="81"/>
      <c r="K5719" s="81"/>
      <c r="L5719" s="81"/>
      <c r="M5719" s="81"/>
      <c r="N5719" s="81"/>
    </row>
    <row r="5720" spans="1:14" ht="14.25" customHeight="1" thickBot="1" x14ac:dyDescent="0.3">
      <c r="A5720" s="347" t="s">
        <v>505</v>
      </c>
      <c r="B5720" s="344"/>
      <c r="C5720" s="348" t="s">
        <v>1345</v>
      </c>
      <c r="D5720" s="349" t="s">
        <v>1346</v>
      </c>
      <c r="E5720" s="350" t="s">
        <v>557</v>
      </c>
      <c r="F5720" s="351"/>
      <c r="G5720" s="81"/>
      <c r="H5720" s="81"/>
      <c r="I5720" s="81"/>
      <c r="J5720" s="81"/>
      <c r="K5720" s="81"/>
      <c r="L5720" s="81"/>
      <c r="M5720" s="81"/>
      <c r="N5720" s="81"/>
    </row>
    <row r="5721" spans="1:14" ht="14.25" customHeight="1" x14ac:dyDescent="0.25">
      <c r="A5721" s="352" t="s">
        <v>1347</v>
      </c>
      <c r="B5721" s="353"/>
      <c r="C5721" s="353">
        <v>5000</v>
      </c>
      <c r="D5721" s="354">
        <v>0.25</v>
      </c>
      <c r="E5721" s="355">
        <f>+C5721/D5721</f>
        <v>20000</v>
      </c>
      <c r="F5721" s="356">
        <f>+E5721</f>
        <v>20000</v>
      </c>
      <c r="G5721" s="81"/>
      <c r="H5721" s="81"/>
      <c r="I5721" s="81"/>
      <c r="J5721" s="81"/>
      <c r="K5721" s="81"/>
      <c r="L5721" s="81"/>
      <c r="M5721" s="81"/>
      <c r="N5721" s="81"/>
    </row>
    <row r="5722" spans="1:14" ht="22.5" customHeight="1" x14ac:dyDescent="0.25">
      <c r="A5722" s="357"/>
      <c r="B5722" s="358"/>
      <c r="C5722" s="359"/>
      <c r="D5722" s="359"/>
      <c r="E5722" s="360"/>
      <c r="F5722" s="361"/>
      <c r="G5722" s="81"/>
      <c r="H5722" s="81"/>
      <c r="I5722" s="81"/>
      <c r="J5722" s="81"/>
      <c r="K5722" s="81"/>
      <c r="L5722" s="81"/>
      <c r="M5722" s="81"/>
      <c r="N5722" s="81"/>
    </row>
    <row r="5723" spans="1:14" ht="14.25" customHeight="1" thickBot="1" x14ac:dyDescent="0.3">
      <c r="A5723" s="357"/>
      <c r="B5723" s="358"/>
      <c r="C5723" s="359"/>
      <c r="D5723" s="359"/>
      <c r="E5723" s="360"/>
      <c r="F5723" s="362"/>
      <c r="G5723" s="81"/>
      <c r="H5723" s="81"/>
      <c r="I5723" s="81"/>
      <c r="J5723" s="81"/>
      <c r="K5723" s="81"/>
      <c r="L5723" s="81"/>
      <c r="M5723" s="81"/>
      <c r="N5723" s="81"/>
    </row>
    <row r="5724" spans="1:14" ht="14.25" customHeight="1" thickBot="1" x14ac:dyDescent="0.3">
      <c r="A5724" s="357"/>
      <c r="B5724" s="358"/>
      <c r="C5724" s="363"/>
      <c r="D5724" s="638" t="s">
        <v>1348</v>
      </c>
      <c r="E5724" s="639"/>
      <c r="F5724" s="364">
        <f>SUM(F5721:F5723)</f>
        <v>20000</v>
      </c>
      <c r="G5724" s="81"/>
      <c r="H5724" s="81"/>
      <c r="I5724" s="81"/>
      <c r="J5724" s="81"/>
      <c r="K5724" s="81"/>
      <c r="L5724" s="81"/>
      <c r="M5724" s="81"/>
      <c r="N5724" s="81"/>
    </row>
    <row r="5725" spans="1:14" ht="14.25" customHeight="1" thickBot="1" x14ac:dyDescent="0.3">
      <c r="A5725" s="365" t="s">
        <v>553</v>
      </c>
      <c r="B5725" s="366"/>
      <c r="C5725" s="367"/>
      <c r="D5725" s="368"/>
      <c r="E5725" s="369"/>
      <c r="F5725" s="370"/>
      <c r="G5725" s="81"/>
      <c r="H5725" s="81"/>
      <c r="I5725" s="81"/>
      <c r="J5725" s="81"/>
      <c r="K5725" s="81"/>
      <c r="L5725" s="81"/>
      <c r="M5725" s="81"/>
      <c r="N5725" s="81"/>
    </row>
    <row r="5726" spans="1:14" ht="14.25" customHeight="1" thickBot="1" x14ac:dyDescent="0.3">
      <c r="A5726" s="371" t="s">
        <v>505</v>
      </c>
      <c r="B5726" s="372" t="s">
        <v>50</v>
      </c>
      <c r="C5726" s="373" t="s">
        <v>1349</v>
      </c>
      <c r="D5726" s="373" t="s">
        <v>1350</v>
      </c>
      <c r="E5726" s="373" t="s">
        <v>1346</v>
      </c>
      <c r="F5726" s="374" t="s">
        <v>557</v>
      </c>
      <c r="G5726" s="81"/>
      <c r="H5726" s="81"/>
      <c r="I5726" s="81"/>
      <c r="J5726" s="81"/>
      <c r="K5726" s="81"/>
      <c r="L5726" s="81"/>
      <c r="M5726" s="81"/>
      <c r="N5726" s="81"/>
    </row>
    <row r="5727" spans="1:14" ht="14.25" customHeight="1" x14ac:dyDescent="0.25">
      <c r="A5727" s="357" t="s">
        <v>1373</v>
      </c>
      <c r="B5727" s="375">
        <v>1</v>
      </c>
      <c r="C5727" s="376">
        <v>186800</v>
      </c>
      <c r="D5727" s="377">
        <v>1.9402999999999999</v>
      </c>
      <c r="E5727" s="378">
        <v>0.15581255104937702</v>
      </c>
      <c r="F5727" s="379">
        <f>(B5727*C5727*D5727)/E5727</f>
        <v>2326179.9999997444</v>
      </c>
      <c r="G5727" s="81"/>
      <c r="H5727" s="81"/>
      <c r="I5727" s="81"/>
      <c r="J5727" s="81"/>
      <c r="K5727" s="81"/>
      <c r="L5727" s="81"/>
      <c r="M5727" s="81"/>
      <c r="N5727" s="81"/>
    </row>
    <row r="5728" spans="1:14" ht="15.75" x14ac:dyDescent="0.25">
      <c r="A5728" s="380"/>
      <c r="B5728" s="353"/>
      <c r="C5728" s="359"/>
      <c r="D5728" s="359"/>
      <c r="E5728" s="381"/>
      <c r="F5728" s="382"/>
      <c r="G5728" s="81"/>
      <c r="H5728" s="81"/>
      <c r="I5728" s="81"/>
      <c r="J5728" s="81"/>
      <c r="K5728" s="81"/>
      <c r="L5728" s="81"/>
      <c r="M5728" s="81"/>
      <c r="N5728" s="81"/>
    </row>
    <row r="5729" spans="1:14" ht="14.25" customHeight="1" x14ac:dyDescent="0.25">
      <c r="A5729" s="357"/>
      <c r="B5729" s="358"/>
      <c r="C5729" s="359"/>
      <c r="D5729" s="359"/>
      <c r="E5729" s="360"/>
      <c r="F5729" s="361"/>
      <c r="G5729" s="81"/>
      <c r="H5729" s="81"/>
      <c r="I5729" s="81"/>
      <c r="J5729" s="81"/>
      <c r="K5729" s="81"/>
      <c r="L5729" s="81"/>
      <c r="M5729" s="81"/>
      <c r="N5729" s="81"/>
    </row>
    <row r="5730" spans="1:14" ht="14.25" customHeight="1" thickBot="1" x14ac:dyDescent="0.3">
      <c r="A5730" s="352"/>
      <c r="B5730" s="353"/>
      <c r="C5730" s="359"/>
      <c r="D5730" s="359"/>
      <c r="E5730" s="381"/>
      <c r="F5730" s="383"/>
      <c r="G5730" s="81"/>
      <c r="H5730" s="81"/>
      <c r="I5730" s="81"/>
      <c r="J5730" s="81"/>
      <c r="K5730" s="81"/>
      <c r="L5730" s="81"/>
      <c r="M5730" s="81"/>
      <c r="N5730" s="81"/>
    </row>
    <row r="5731" spans="1:14" ht="14.25" customHeight="1" thickBot="1" x14ac:dyDescent="0.3">
      <c r="A5731" s="352"/>
      <c r="B5731" s="384"/>
      <c r="C5731" s="385"/>
      <c r="D5731" s="640" t="s">
        <v>1352</v>
      </c>
      <c r="E5731" s="641"/>
      <c r="F5731" s="364">
        <f>SUM(F5727:F5730)</f>
        <v>2326179.9999997444</v>
      </c>
      <c r="G5731" s="81"/>
      <c r="H5731" s="81"/>
      <c r="I5731" s="81"/>
      <c r="J5731" s="81"/>
      <c r="K5731" s="81"/>
      <c r="L5731" s="81"/>
      <c r="M5731" s="81"/>
      <c r="N5731" s="81"/>
    </row>
    <row r="5732" spans="1:14" ht="14.25" customHeight="1" thickBot="1" x14ac:dyDescent="0.3">
      <c r="A5732" s="386" t="s">
        <v>554</v>
      </c>
      <c r="B5732" s="387"/>
      <c r="C5732" s="388"/>
      <c r="D5732" s="388"/>
      <c r="E5732" s="389"/>
      <c r="F5732" s="390"/>
      <c r="G5732" s="81"/>
      <c r="H5732" s="81"/>
      <c r="I5732" s="81"/>
      <c r="J5732" s="81"/>
      <c r="K5732" s="81"/>
      <c r="L5732" s="81"/>
      <c r="M5732" s="81"/>
      <c r="N5732" s="81"/>
    </row>
    <row r="5733" spans="1:14" ht="14.25" customHeight="1" thickBot="1" x14ac:dyDescent="0.3">
      <c r="A5733" s="371" t="s">
        <v>550</v>
      </c>
      <c r="B5733" s="372"/>
      <c r="C5733" s="373" t="s">
        <v>1353</v>
      </c>
      <c r="D5733" s="373" t="s">
        <v>1354</v>
      </c>
      <c r="E5733" s="373" t="s">
        <v>1355</v>
      </c>
      <c r="F5733" s="374" t="s">
        <v>557</v>
      </c>
      <c r="G5733" s="81"/>
      <c r="H5733" s="81"/>
      <c r="I5733" s="81"/>
      <c r="J5733" s="81"/>
      <c r="K5733" s="81"/>
      <c r="L5733" s="81"/>
      <c r="M5733" s="81"/>
      <c r="N5733" s="81"/>
    </row>
    <row r="5734" spans="1:14" ht="14.25" customHeight="1" x14ac:dyDescent="0.25">
      <c r="A5734" s="391" t="s">
        <v>604</v>
      </c>
      <c r="B5734" s="392"/>
      <c r="C5734" s="393"/>
      <c r="D5734" s="392">
        <v>2.5</v>
      </c>
      <c r="E5734" s="394">
        <v>15000</v>
      </c>
      <c r="F5734" s="427">
        <f>+E5734*D5734</f>
        <v>37500</v>
      </c>
      <c r="G5734" s="81"/>
      <c r="H5734" s="81"/>
      <c r="I5734" s="81"/>
      <c r="J5734" s="81"/>
      <c r="K5734" s="81"/>
      <c r="L5734" s="81"/>
      <c r="M5734" s="81"/>
      <c r="N5734" s="81"/>
    </row>
    <row r="5735" spans="1:14" ht="14.25" customHeight="1" x14ac:dyDescent="0.25">
      <c r="A5735" s="396"/>
      <c r="B5735" s="397"/>
      <c r="C5735" s="398"/>
      <c r="D5735" s="398"/>
      <c r="E5735" s="399"/>
      <c r="F5735" s="400"/>
      <c r="G5735" s="81"/>
      <c r="H5735" s="81"/>
      <c r="I5735" s="81"/>
      <c r="J5735" s="81"/>
      <c r="K5735" s="81"/>
      <c r="L5735" s="81"/>
      <c r="M5735" s="81"/>
      <c r="N5735" s="81"/>
    </row>
    <row r="5736" spans="1:14" ht="14.25" customHeight="1" thickBot="1" x14ac:dyDescent="0.3">
      <c r="A5736" s="396"/>
      <c r="B5736" s="397"/>
      <c r="C5736" s="398"/>
      <c r="D5736" s="398"/>
      <c r="E5736" s="399"/>
      <c r="F5736" s="401"/>
      <c r="G5736" s="81"/>
      <c r="H5736" s="81"/>
      <c r="I5736" s="81"/>
      <c r="J5736" s="81"/>
      <c r="K5736" s="81"/>
      <c r="L5736" s="81"/>
      <c r="M5736" s="81"/>
      <c r="N5736" s="81"/>
    </row>
    <row r="5737" spans="1:14" ht="14.25" customHeight="1" thickBot="1" x14ac:dyDescent="0.3">
      <c r="A5737" s="352"/>
      <c r="B5737" s="384"/>
      <c r="C5737" s="385"/>
      <c r="D5737" s="640" t="s">
        <v>1356</v>
      </c>
      <c r="E5737" s="642"/>
      <c r="F5737" s="402">
        <f>SUM(F5734)</f>
        <v>37500</v>
      </c>
      <c r="G5737" s="81"/>
      <c r="H5737" s="81"/>
      <c r="I5737" s="81"/>
      <c r="J5737" s="81"/>
      <c r="K5737" s="81"/>
      <c r="L5737" s="81"/>
      <c r="M5737" s="81"/>
      <c r="N5737" s="81"/>
    </row>
    <row r="5738" spans="1:14" ht="14.25" customHeight="1" thickBot="1" x14ac:dyDescent="0.3">
      <c r="A5738" s="643"/>
      <c r="B5738" s="644"/>
      <c r="C5738" s="644"/>
      <c r="D5738" s="644"/>
      <c r="E5738" s="403" t="s">
        <v>555</v>
      </c>
      <c r="F5738" s="404">
        <f>+F5737+F5731+F5724+F5718</f>
        <v>8247679.9999997448</v>
      </c>
      <c r="G5738" s="81"/>
      <c r="H5738" s="81"/>
      <c r="I5738" s="81"/>
      <c r="J5738" s="81"/>
      <c r="K5738" s="81"/>
      <c r="L5738" s="81"/>
      <c r="M5738" s="81"/>
      <c r="N5738" s="81"/>
    </row>
    <row r="5739" spans="1:14" ht="14.25" customHeight="1" x14ac:dyDescent="0.25">
      <c r="A5739" s="168"/>
      <c r="B5739" s="168"/>
      <c r="C5739" s="168"/>
      <c r="D5739" s="168"/>
      <c r="E5739" s="168"/>
      <c r="F5739" s="168"/>
      <c r="G5739" s="81"/>
      <c r="H5739" s="81"/>
      <c r="I5739" s="81"/>
      <c r="J5739" s="81"/>
      <c r="K5739" s="81"/>
      <c r="L5739" s="81"/>
      <c r="M5739" s="81"/>
      <c r="N5739" s="81"/>
    </row>
    <row r="5740" spans="1:14" ht="14.25" customHeight="1" x14ac:dyDescent="0.25">
      <c r="A5740" s="168"/>
      <c r="B5740" s="168"/>
      <c r="C5740" s="168"/>
      <c r="D5740" s="168"/>
      <c r="E5740" s="168"/>
      <c r="F5740" s="168"/>
      <c r="G5740" s="81"/>
      <c r="H5740" s="81"/>
      <c r="I5740" s="81"/>
      <c r="J5740" s="81"/>
      <c r="K5740" s="81"/>
      <c r="L5740" s="81"/>
      <c r="M5740" s="81"/>
      <c r="N5740" s="81"/>
    </row>
    <row r="5741" spans="1:14" ht="14.25" customHeight="1" x14ac:dyDescent="0.25">
      <c r="A5741" s="168"/>
      <c r="B5741" s="168"/>
      <c r="C5741" s="168"/>
      <c r="D5741" s="168"/>
      <c r="E5741" s="168"/>
      <c r="F5741" s="168"/>
      <c r="G5741" s="81"/>
      <c r="H5741" s="81"/>
      <c r="I5741" s="81"/>
      <c r="J5741" s="81"/>
      <c r="K5741" s="81"/>
      <c r="L5741" s="81"/>
      <c r="M5741" s="81"/>
      <c r="N5741" s="81"/>
    </row>
    <row r="5742" spans="1:14" ht="14.25" customHeight="1" x14ac:dyDescent="0.25">
      <c r="A5742" s="645" t="s">
        <v>561</v>
      </c>
      <c r="B5742" s="646"/>
      <c r="C5742" s="646"/>
      <c r="D5742" s="646"/>
      <c r="E5742" s="646"/>
      <c r="F5742" s="647"/>
      <c r="G5742" s="81"/>
      <c r="H5742" s="81"/>
      <c r="I5742" s="81"/>
      <c r="J5742" s="81"/>
      <c r="K5742" s="81"/>
      <c r="L5742" s="81"/>
      <c r="M5742" s="81"/>
      <c r="N5742" s="81"/>
    </row>
    <row r="5743" spans="1:14" ht="14.25" customHeight="1" thickBot="1" x14ac:dyDescent="0.3">
      <c r="A5743" s="648"/>
      <c r="B5743" s="648"/>
      <c r="C5743" s="648"/>
      <c r="D5743" s="648"/>
      <c r="E5743" s="648"/>
      <c r="F5743" s="648"/>
      <c r="G5743" s="81"/>
      <c r="H5743" s="81"/>
      <c r="I5743" s="81"/>
      <c r="J5743" s="81"/>
      <c r="K5743" s="81"/>
      <c r="L5743" s="81"/>
      <c r="M5743" s="81"/>
      <c r="N5743" s="81"/>
    </row>
    <row r="5744" spans="1:14" ht="14.25" customHeight="1" thickBot="1" x14ac:dyDescent="0.3">
      <c r="A5744" s="309" t="s">
        <v>1334</v>
      </c>
      <c r="B5744" s="310"/>
      <c r="C5744" s="311" t="e">
        <f>+'[110]PPTO UNIATLÁNTICO'!A5709</f>
        <v>#REF!</v>
      </c>
      <c r="D5744" s="312"/>
      <c r="E5744" s="312"/>
      <c r="F5744" s="313" t="s">
        <v>49</v>
      </c>
      <c r="G5744" s="81"/>
      <c r="H5744" s="81"/>
      <c r="I5744" s="81"/>
      <c r="J5744" s="81"/>
      <c r="K5744" s="81"/>
      <c r="L5744" s="81"/>
      <c r="M5744" s="81"/>
      <c r="N5744" s="81"/>
    </row>
    <row r="5745" spans="1:14" ht="14.25" customHeight="1" thickBot="1" x14ac:dyDescent="0.3">
      <c r="A5745" s="314" t="e">
        <f>+'[110]PPTO UNIATLÁNTICO'!B5709</f>
        <v>#REF!</v>
      </c>
      <c r="B5745" s="315"/>
      <c r="C5745" s="315"/>
      <c r="D5745" s="316"/>
      <c r="E5745" s="316"/>
      <c r="F5745" s="317" t="s">
        <v>49</v>
      </c>
      <c r="G5745" s="81"/>
      <c r="H5745" s="81"/>
      <c r="I5745" s="81"/>
      <c r="J5745" s="81"/>
      <c r="K5745" s="81"/>
      <c r="L5745" s="81"/>
      <c r="M5745" s="81"/>
      <c r="N5745" s="81"/>
    </row>
    <row r="5746" spans="1:14" ht="14.25" customHeight="1" thickBot="1" x14ac:dyDescent="0.3">
      <c r="A5746" s="649" t="s">
        <v>1377</v>
      </c>
      <c r="B5746" s="650"/>
      <c r="C5746" s="650"/>
      <c r="D5746" s="650"/>
      <c r="E5746" s="650"/>
      <c r="F5746" s="651"/>
      <c r="G5746" s="81"/>
      <c r="H5746" s="81"/>
      <c r="I5746" s="81"/>
      <c r="J5746" s="81"/>
      <c r="K5746" s="81"/>
      <c r="L5746" s="81"/>
      <c r="M5746" s="81"/>
      <c r="N5746" s="81"/>
    </row>
    <row r="5747" spans="1:14" ht="14.25" customHeight="1" thickBot="1" x14ac:dyDescent="0.3">
      <c r="A5747" s="633" t="s">
        <v>1335</v>
      </c>
      <c r="B5747" s="634"/>
      <c r="C5747" s="634"/>
      <c r="D5747" s="634"/>
      <c r="E5747" s="634"/>
      <c r="F5747" s="635"/>
      <c r="G5747" s="81"/>
      <c r="H5747" s="81"/>
      <c r="I5747" s="81"/>
      <c r="J5747" s="81"/>
      <c r="K5747" s="81"/>
      <c r="L5747" s="81"/>
      <c r="M5747" s="81"/>
      <c r="N5747" s="81"/>
    </row>
    <row r="5748" spans="1:14" ht="14.25" customHeight="1" thickBot="1" x14ac:dyDescent="0.3">
      <c r="A5748" s="318" t="s">
        <v>550</v>
      </c>
      <c r="B5748" s="319" t="s">
        <v>49</v>
      </c>
      <c r="C5748" s="319" t="s">
        <v>50</v>
      </c>
      <c r="D5748" s="319" t="s">
        <v>1336</v>
      </c>
      <c r="E5748" s="320" t="s">
        <v>1337</v>
      </c>
      <c r="F5748" s="321" t="s">
        <v>1338</v>
      </c>
      <c r="G5748" s="81"/>
      <c r="H5748" s="81"/>
      <c r="I5748" s="81"/>
      <c r="J5748" s="81"/>
      <c r="K5748" s="81"/>
      <c r="L5748" s="81"/>
      <c r="M5748" s="81"/>
      <c r="N5748" s="81"/>
    </row>
    <row r="5749" spans="1:14" ht="14.25" customHeight="1" x14ac:dyDescent="0.25">
      <c r="A5749" s="419" t="s">
        <v>1378</v>
      </c>
      <c r="B5749" s="434" t="s">
        <v>49</v>
      </c>
      <c r="C5749" s="435">
        <v>2</v>
      </c>
      <c r="D5749" s="436"/>
      <c r="E5749" s="434">
        <v>3314000</v>
      </c>
      <c r="F5749" s="437">
        <f>+C5749*E5749</f>
        <v>6628000</v>
      </c>
      <c r="G5749" s="81"/>
      <c r="H5749" s="81"/>
      <c r="I5749" s="81"/>
      <c r="J5749" s="81"/>
      <c r="K5749" s="81"/>
      <c r="L5749" s="81"/>
      <c r="M5749" s="81"/>
      <c r="N5749" s="81"/>
    </row>
    <row r="5750" spans="1:14" ht="14.25" customHeight="1" x14ac:dyDescent="0.25">
      <c r="A5750" s="438" t="s">
        <v>1379</v>
      </c>
      <c r="B5750" s="439" t="s">
        <v>564</v>
      </c>
      <c r="C5750" s="440">
        <v>1</v>
      </c>
      <c r="D5750" s="441"/>
      <c r="E5750" s="439">
        <v>3898000</v>
      </c>
      <c r="F5750" s="442">
        <f>+C5750*E5750</f>
        <v>3898000</v>
      </c>
      <c r="G5750" s="81"/>
      <c r="H5750" s="81"/>
      <c r="I5750" s="81"/>
      <c r="J5750" s="81"/>
      <c r="K5750" s="81"/>
      <c r="L5750" s="81"/>
      <c r="M5750" s="81"/>
      <c r="N5750" s="81"/>
    </row>
    <row r="5751" spans="1:14" ht="14.25" customHeight="1" thickBot="1" x14ac:dyDescent="0.3">
      <c r="A5751" s="337"/>
      <c r="B5751" s="338"/>
      <c r="C5751" s="339"/>
      <c r="D5751" s="340"/>
      <c r="E5751" s="341" t="s">
        <v>1342</v>
      </c>
      <c r="F5751" s="342"/>
      <c r="G5751" s="81"/>
      <c r="H5751" s="81"/>
      <c r="I5751" s="81"/>
      <c r="J5751" s="81"/>
      <c r="K5751" s="81"/>
      <c r="L5751" s="81"/>
      <c r="M5751" s="81"/>
      <c r="N5751" s="81"/>
    </row>
    <row r="5752" spans="1:14" ht="14.25" customHeight="1" thickBot="1" x14ac:dyDescent="0.3">
      <c r="A5752" s="343"/>
      <c r="B5752" s="344"/>
      <c r="C5752" s="345"/>
      <c r="D5752" s="636" t="s">
        <v>1343</v>
      </c>
      <c r="E5752" s="637"/>
      <c r="F5752" s="346">
        <f>SUM(F5749:F5751)</f>
        <v>10526000</v>
      </c>
      <c r="G5752" s="81"/>
      <c r="H5752" s="81"/>
      <c r="I5752" s="81"/>
      <c r="J5752" s="81"/>
      <c r="K5752" s="81"/>
      <c r="L5752" s="81"/>
      <c r="M5752" s="81"/>
      <c r="N5752" s="81"/>
    </row>
    <row r="5753" spans="1:14" ht="14.25" customHeight="1" thickBot="1" x14ac:dyDescent="0.3">
      <c r="A5753" s="633" t="s">
        <v>1344</v>
      </c>
      <c r="B5753" s="634"/>
      <c r="C5753" s="634"/>
      <c r="D5753" s="634"/>
      <c r="E5753" s="634"/>
      <c r="F5753" s="635"/>
      <c r="G5753" s="81"/>
      <c r="H5753" s="81"/>
      <c r="I5753" s="81"/>
      <c r="J5753" s="81"/>
      <c r="K5753" s="81"/>
      <c r="L5753" s="81"/>
      <c r="M5753" s="81"/>
      <c r="N5753" s="81"/>
    </row>
    <row r="5754" spans="1:14" ht="14.25" customHeight="1" thickBot="1" x14ac:dyDescent="0.3">
      <c r="A5754" s="347" t="s">
        <v>505</v>
      </c>
      <c r="B5754" s="344"/>
      <c r="C5754" s="348" t="s">
        <v>1345</v>
      </c>
      <c r="D5754" s="349" t="s">
        <v>1346</v>
      </c>
      <c r="E5754" s="350" t="s">
        <v>557</v>
      </c>
      <c r="F5754" s="351"/>
      <c r="G5754" s="81"/>
      <c r="H5754" s="81"/>
      <c r="I5754" s="81"/>
      <c r="J5754" s="81"/>
      <c r="K5754" s="81"/>
      <c r="L5754" s="81"/>
      <c r="M5754" s="81"/>
      <c r="N5754" s="81"/>
    </row>
    <row r="5755" spans="1:14" ht="14.25" customHeight="1" x14ac:dyDescent="0.25">
      <c r="A5755" s="352" t="s">
        <v>1347</v>
      </c>
      <c r="B5755" s="353"/>
      <c r="C5755" s="353">
        <v>5000</v>
      </c>
      <c r="D5755" s="354">
        <v>0.17499999999999999</v>
      </c>
      <c r="E5755" s="355">
        <v>28571.428571428572</v>
      </c>
      <c r="F5755" s="356">
        <f>+E5755</f>
        <v>28571.428571428572</v>
      </c>
      <c r="G5755" s="81"/>
      <c r="H5755" s="81"/>
      <c r="I5755" s="81"/>
      <c r="J5755" s="81"/>
      <c r="K5755" s="81"/>
      <c r="L5755" s="81"/>
      <c r="M5755" s="81"/>
      <c r="N5755" s="81"/>
    </row>
    <row r="5756" spans="1:14" ht="14.25" customHeight="1" x14ac:dyDescent="0.25">
      <c r="A5756" s="357"/>
      <c r="B5756" s="358"/>
      <c r="C5756" s="359"/>
      <c r="D5756" s="359"/>
      <c r="E5756" s="360"/>
      <c r="F5756" s="361"/>
      <c r="G5756" s="81"/>
      <c r="H5756" s="81"/>
      <c r="I5756" s="81"/>
      <c r="J5756" s="81"/>
      <c r="K5756" s="81"/>
      <c r="L5756" s="81"/>
      <c r="M5756" s="81"/>
      <c r="N5756" s="81"/>
    </row>
    <row r="5757" spans="1:14" ht="14.25" customHeight="1" thickBot="1" x14ac:dyDescent="0.3">
      <c r="A5757" s="357"/>
      <c r="B5757" s="358"/>
      <c r="C5757" s="359"/>
      <c r="D5757" s="359"/>
      <c r="E5757" s="360"/>
      <c r="F5757" s="362"/>
      <c r="G5757" s="81"/>
      <c r="H5757" s="81"/>
      <c r="I5757" s="81"/>
      <c r="J5757" s="81"/>
      <c r="K5757" s="81"/>
      <c r="L5757" s="81"/>
      <c r="M5757" s="81"/>
      <c r="N5757" s="81"/>
    </row>
    <row r="5758" spans="1:14" ht="14.25" customHeight="1" thickBot="1" x14ac:dyDescent="0.3">
      <c r="A5758" s="357"/>
      <c r="B5758" s="358"/>
      <c r="C5758" s="363"/>
      <c r="D5758" s="638" t="s">
        <v>1348</v>
      </c>
      <c r="E5758" s="639"/>
      <c r="F5758" s="364">
        <f>SUM(F5755:F5757)</f>
        <v>28571.428571428572</v>
      </c>
      <c r="G5758" s="81"/>
      <c r="H5758" s="81"/>
      <c r="I5758" s="81"/>
      <c r="J5758" s="81"/>
      <c r="K5758" s="81"/>
      <c r="L5758" s="81"/>
      <c r="M5758" s="81"/>
      <c r="N5758" s="81"/>
    </row>
    <row r="5759" spans="1:14" ht="14.25" customHeight="1" thickBot="1" x14ac:dyDescent="0.3">
      <c r="A5759" s="365" t="s">
        <v>553</v>
      </c>
      <c r="B5759" s="366"/>
      <c r="C5759" s="367"/>
      <c r="D5759" s="368"/>
      <c r="E5759" s="369"/>
      <c r="F5759" s="370"/>
      <c r="G5759" s="81"/>
      <c r="H5759" s="81"/>
      <c r="I5759" s="81"/>
      <c r="J5759" s="81"/>
      <c r="K5759" s="81"/>
      <c r="L5759" s="81"/>
      <c r="M5759" s="81"/>
      <c r="N5759" s="81"/>
    </row>
    <row r="5760" spans="1:14" ht="14.25" customHeight="1" thickBot="1" x14ac:dyDescent="0.3">
      <c r="A5760" s="371" t="s">
        <v>505</v>
      </c>
      <c r="B5760" s="372" t="s">
        <v>50</v>
      </c>
      <c r="C5760" s="373" t="s">
        <v>1349</v>
      </c>
      <c r="D5760" s="373" t="s">
        <v>1350</v>
      </c>
      <c r="E5760" s="373" t="s">
        <v>1346</v>
      </c>
      <c r="F5760" s="374" t="s">
        <v>557</v>
      </c>
      <c r="G5760" s="81"/>
      <c r="H5760" s="81"/>
      <c r="I5760" s="81"/>
      <c r="J5760" s="81"/>
      <c r="K5760" s="81"/>
      <c r="L5760" s="81"/>
      <c r="M5760" s="81"/>
      <c r="N5760" s="81"/>
    </row>
    <row r="5761" spans="1:14" ht="14.25" customHeight="1" x14ac:dyDescent="0.25">
      <c r="A5761" s="357" t="s">
        <v>1373</v>
      </c>
      <c r="B5761" s="375">
        <v>1</v>
      </c>
      <c r="C5761" s="376">
        <v>186800</v>
      </c>
      <c r="D5761" s="377">
        <v>1.9402999999999999</v>
      </c>
      <c r="E5761" s="378">
        <v>0.10876328088229641</v>
      </c>
      <c r="F5761" s="379">
        <f>(B5761*C5761*D5761)/E5761</f>
        <v>3332448.571427715</v>
      </c>
      <c r="G5761" s="81"/>
      <c r="H5761" s="81"/>
      <c r="I5761" s="81"/>
      <c r="J5761" s="81"/>
      <c r="K5761" s="81"/>
      <c r="L5761" s="81"/>
      <c r="M5761" s="81"/>
      <c r="N5761" s="81"/>
    </row>
    <row r="5762" spans="1:14" ht="14.25" customHeight="1" x14ac:dyDescent="0.25">
      <c r="A5762" s="380"/>
      <c r="B5762" s="353"/>
      <c r="C5762" s="359"/>
      <c r="D5762" s="359"/>
      <c r="E5762" s="381"/>
      <c r="F5762" s="382"/>
      <c r="G5762" s="81"/>
      <c r="H5762" s="117"/>
      <c r="I5762" s="81"/>
      <c r="J5762" s="81"/>
      <c r="K5762" s="81"/>
      <c r="L5762" s="81"/>
      <c r="M5762" s="81"/>
      <c r="N5762" s="81"/>
    </row>
    <row r="5763" spans="1:14" ht="14.25" customHeight="1" x14ac:dyDescent="0.25">
      <c r="A5763" s="357"/>
      <c r="B5763" s="358"/>
      <c r="C5763" s="359"/>
      <c r="D5763" s="359"/>
      <c r="E5763" s="360"/>
      <c r="F5763" s="361"/>
      <c r="G5763" s="81"/>
      <c r="H5763" s="81"/>
      <c r="I5763" s="81"/>
      <c r="J5763" s="81"/>
      <c r="K5763" s="81"/>
      <c r="L5763" s="81"/>
      <c r="M5763" s="81"/>
      <c r="N5763" s="81"/>
    </row>
    <row r="5764" spans="1:14" ht="14.25" customHeight="1" thickBot="1" x14ac:dyDescent="0.3">
      <c r="A5764" s="352"/>
      <c r="B5764" s="353"/>
      <c r="C5764" s="359"/>
      <c r="D5764" s="359"/>
      <c r="E5764" s="381"/>
      <c r="F5764" s="383"/>
      <c r="G5764" s="81"/>
      <c r="H5764" s="81"/>
      <c r="I5764" s="81"/>
      <c r="J5764" s="81"/>
      <c r="K5764" s="81"/>
      <c r="L5764" s="81"/>
      <c r="M5764" s="81"/>
      <c r="N5764" s="81"/>
    </row>
    <row r="5765" spans="1:14" ht="14.25" customHeight="1" thickBot="1" x14ac:dyDescent="0.3">
      <c r="A5765" s="352"/>
      <c r="B5765" s="384"/>
      <c r="C5765" s="385"/>
      <c r="D5765" s="640" t="s">
        <v>1352</v>
      </c>
      <c r="E5765" s="641"/>
      <c r="F5765" s="364">
        <f>SUM(F5761:F5764)</f>
        <v>3332448.571427715</v>
      </c>
      <c r="G5765" s="81"/>
      <c r="H5765" s="81"/>
      <c r="I5765" s="81"/>
      <c r="J5765" s="81"/>
      <c r="K5765" s="81"/>
      <c r="L5765" s="81"/>
      <c r="M5765" s="81"/>
      <c r="N5765" s="81"/>
    </row>
    <row r="5766" spans="1:14" ht="14.25" customHeight="1" thickBot="1" x14ac:dyDescent="0.3">
      <c r="A5766" s="386" t="s">
        <v>554</v>
      </c>
      <c r="B5766" s="387"/>
      <c r="C5766" s="388"/>
      <c r="D5766" s="388"/>
      <c r="E5766" s="389"/>
      <c r="F5766" s="390"/>
      <c r="G5766" s="81"/>
      <c r="H5766" s="81"/>
      <c r="I5766" s="81"/>
      <c r="J5766" s="81"/>
      <c r="K5766" s="81"/>
      <c r="L5766" s="81"/>
      <c r="M5766" s="81"/>
      <c r="N5766" s="81"/>
    </row>
    <row r="5767" spans="1:14" ht="14.25" customHeight="1" thickBot="1" x14ac:dyDescent="0.3">
      <c r="A5767" s="371" t="s">
        <v>550</v>
      </c>
      <c r="B5767" s="372"/>
      <c r="C5767" s="373" t="s">
        <v>1353</v>
      </c>
      <c r="D5767" s="373" t="s">
        <v>1354</v>
      </c>
      <c r="E5767" s="373" t="s">
        <v>1355</v>
      </c>
      <c r="F5767" s="374" t="s">
        <v>557</v>
      </c>
      <c r="G5767" s="81"/>
      <c r="H5767" s="81"/>
      <c r="I5767" s="81"/>
      <c r="J5767" s="81"/>
      <c r="K5767" s="81"/>
      <c r="L5767" s="81"/>
      <c r="M5767" s="81"/>
      <c r="N5767" s="81"/>
    </row>
    <row r="5768" spans="1:14" ht="14.25" customHeight="1" x14ac:dyDescent="0.25">
      <c r="A5768" s="391" t="s">
        <v>604</v>
      </c>
      <c r="B5768" s="392"/>
      <c r="C5768" s="393"/>
      <c r="D5768" s="392">
        <v>3.5</v>
      </c>
      <c r="E5768" s="394">
        <v>15000</v>
      </c>
      <c r="F5768" s="427">
        <f>+E5768*D5768</f>
        <v>52500</v>
      </c>
      <c r="G5768" s="81"/>
      <c r="H5768" s="81"/>
      <c r="I5768" s="81"/>
      <c r="J5768" s="81"/>
      <c r="K5768" s="81"/>
      <c r="L5768" s="81"/>
      <c r="M5768" s="81"/>
      <c r="N5768" s="81"/>
    </row>
    <row r="5769" spans="1:14" ht="14.25" customHeight="1" x14ac:dyDescent="0.25">
      <c r="A5769" s="396"/>
      <c r="B5769" s="397"/>
      <c r="C5769" s="398"/>
      <c r="D5769" s="398"/>
      <c r="E5769" s="399"/>
      <c r="F5769" s="400"/>
      <c r="G5769" s="81"/>
      <c r="H5769" s="81"/>
      <c r="I5769" s="81"/>
      <c r="J5769" s="81"/>
      <c r="K5769" s="81"/>
      <c r="L5769" s="81"/>
      <c r="M5769" s="81"/>
      <c r="N5769" s="81"/>
    </row>
    <row r="5770" spans="1:14" ht="14.25" customHeight="1" thickBot="1" x14ac:dyDescent="0.3">
      <c r="A5770" s="396"/>
      <c r="B5770" s="397"/>
      <c r="C5770" s="398"/>
      <c r="D5770" s="398"/>
      <c r="E5770" s="399"/>
      <c r="F5770" s="401"/>
      <c r="G5770" s="81"/>
      <c r="H5770" s="81"/>
      <c r="I5770" s="81"/>
      <c r="J5770" s="81"/>
      <c r="K5770" s="81"/>
      <c r="L5770" s="81"/>
      <c r="M5770" s="81"/>
      <c r="N5770" s="81"/>
    </row>
    <row r="5771" spans="1:14" ht="14.25" customHeight="1" thickBot="1" x14ac:dyDescent="0.3">
      <c r="A5771" s="352"/>
      <c r="B5771" s="384"/>
      <c r="C5771" s="385"/>
      <c r="D5771" s="640" t="s">
        <v>1356</v>
      </c>
      <c r="E5771" s="642"/>
      <c r="F5771" s="402">
        <f>SUM(F5768)</f>
        <v>52500</v>
      </c>
      <c r="G5771" s="81"/>
      <c r="H5771" s="81"/>
      <c r="I5771" s="81"/>
      <c r="J5771" s="81"/>
      <c r="K5771" s="81"/>
      <c r="L5771" s="81"/>
      <c r="M5771" s="81"/>
      <c r="N5771" s="81"/>
    </row>
    <row r="5772" spans="1:14" ht="14.25" customHeight="1" thickBot="1" x14ac:dyDescent="0.3">
      <c r="A5772" s="643"/>
      <c r="B5772" s="644"/>
      <c r="C5772" s="644"/>
      <c r="D5772" s="644"/>
      <c r="E5772" s="403" t="s">
        <v>555</v>
      </c>
      <c r="F5772" s="404">
        <f>+F5771+F5765+F5758+F5752</f>
        <v>13939519.999999143</v>
      </c>
      <c r="G5772" s="81"/>
      <c r="H5772" s="81"/>
      <c r="I5772" s="81"/>
      <c r="J5772" s="81"/>
      <c r="K5772" s="81"/>
      <c r="L5772" s="81"/>
      <c r="M5772" s="81"/>
      <c r="N5772" s="81"/>
    </row>
    <row r="5773" spans="1:14" ht="14.25" customHeight="1" x14ac:dyDescent="0.25">
      <c r="A5773" s="168"/>
      <c r="B5773" s="168"/>
      <c r="C5773" s="168"/>
      <c r="D5773" s="168"/>
      <c r="E5773" s="168"/>
      <c r="F5773" s="168"/>
      <c r="G5773" s="81"/>
      <c r="H5773" s="81"/>
      <c r="I5773" s="81"/>
      <c r="J5773" s="81"/>
      <c r="K5773" s="81"/>
      <c r="L5773" s="81"/>
      <c r="M5773" s="81"/>
      <c r="N5773" s="81"/>
    </row>
    <row r="5774" spans="1:14" ht="14.25" customHeight="1" x14ac:dyDescent="0.25">
      <c r="A5774" s="168"/>
      <c r="B5774" s="168"/>
      <c r="C5774" s="168"/>
      <c r="D5774" s="168"/>
      <c r="E5774" s="168"/>
      <c r="F5774" s="168"/>
      <c r="G5774" s="81"/>
      <c r="H5774" s="81"/>
      <c r="I5774" s="81"/>
      <c r="J5774" s="81"/>
      <c r="K5774" s="81"/>
      <c r="L5774" s="81"/>
      <c r="M5774" s="81"/>
      <c r="N5774" s="81"/>
    </row>
    <row r="5775" spans="1:14" ht="14.25" customHeight="1" x14ac:dyDescent="0.25">
      <c r="A5775" s="168"/>
      <c r="B5775" s="168"/>
      <c r="C5775" s="168"/>
      <c r="D5775" s="168"/>
      <c r="E5775" s="168"/>
      <c r="F5775" s="168"/>
      <c r="G5775" s="81"/>
      <c r="H5775" s="81"/>
      <c r="I5775" s="81"/>
      <c r="J5775" s="81"/>
      <c r="K5775" s="81"/>
      <c r="L5775" s="81"/>
      <c r="M5775" s="81"/>
      <c r="N5775" s="81"/>
    </row>
    <row r="5776" spans="1:14" ht="14.25" customHeight="1" x14ac:dyDescent="0.25">
      <c r="A5776" s="645" t="s">
        <v>561</v>
      </c>
      <c r="B5776" s="646"/>
      <c r="C5776" s="646"/>
      <c r="D5776" s="646"/>
      <c r="E5776" s="646"/>
      <c r="F5776" s="647"/>
      <c r="G5776" s="81"/>
      <c r="H5776" s="81"/>
      <c r="I5776" s="81"/>
      <c r="J5776" s="81"/>
      <c r="K5776" s="81"/>
      <c r="L5776" s="81"/>
      <c r="M5776" s="81"/>
      <c r="N5776" s="81"/>
    </row>
    <row r="5777" spans="1:14" ht="14.25" customHeight="1" thickBot="1" x14ac:dyDescent="0.3">
      <c r="A5777" s="648"/>
      <c r="B5777" s="648"/>
      <c r="C5777" s="648"/>
      <c r="D5777" s="648"/>
      <c r="E5777" s="648"/>
      <c r="F5777" s="648"/>
      <c r="G5777" s="81"/>
      <c r="H5777" s="81"/>
      <c r="I5777" s="81"/>
      <c r="J5777" s="81"/>
      <c r="K5777" s="81"/>
      <c r="L5777" s="81"/>
      <c r="M5777" s="81"/>
      <c r="N5777" s="81"/>
    </row>
    <row r="5778" spans="1:14" ht="14.25" customHeight="1" thickBot="1" x14ac:dyDescent="0.3">
      <c r="A5778" s="309" t="s">
        <v>1334</v>
      </c>
      <c r="B5778" s="310"/>
      <c r="C5778" s="311" t="e">
        <f>+'[110]PPTO UNIATLÁNTICO'!A5719</f>
        <v>#REF!</v>
      </c>
      <c r="D5778" s="312"/>
      <c r="E5778" s="312"/>
      <c r="F5778" s="313" t="s">
        <v>49</v>
      </c>
      <c r="G5778" s="81"/>
      <c r="H5778" s="81"/>
      <c r="I5778" s="81"/>
      <c r="J5778" s="81"/>
      <c r="K5778" s="81"/>
      <c r="L5778" s="81"/>
      <c r="M5778" s="81"/>
      <c r="N5778" s="81"/>
    </row>
    <row r="5779" spans="1:14" ht="14.25" customHeight="1" thickBot="1" x14ac:dyDescent="0.3">
      <c r="A5779" s="314" t="e">
        <f>+'[110]PPTO UNIATLÁNTICO'!B5719</f>
        <v>#REF!</v>
      </c>
      <c r="B5779" s="315"/>
      <c r="C5779" s="315"/>
      <c r="D5779" s="316"/>
      <c r="E5779" s="316"/>
      <c r="F5779" s="317" t="s">
        <v>49</v>
      </c>
      <c r="G5779" s="81"/>
      <c r="H5779" s="81"/>
      <c r="I5779" s="81"/>
      <c r="J5779" s="81"/>
      <c r="K5779" s="81"/>
      <c r="L5779" s="81"/>
      <c r="M5779" s="81"/>
      <c r="N5779" s="81"/>
    </row>
    <row r="5780" spans="1:14" ht="14.25" customHeight="1" thickBot="1" x14ac:dyDescent="0.3">
      <c r="A5780" s="649" t="e">
        <f>+'[110]PPTO UNIATLÁNTICO'!B5718</f>
        <v>#REF!</v>
      </c>
      <c r="B5780" s="650"/>
      <c r="C5780" s="650"/>
      <c r="D5780" s="650"/>
      <c r="E5780" s="650"/>
      <c r="F5780" s="651"/>
      <c r="G5780" s="81"/>
      <c r="H5780" s="81"/>
      <c r="I5780" s="81"/>
      <c r="J5780" s="81"/>
      <c r="K5780" s="81"/>
      <c r="L5780" s="81"/>
      <c r="M5780" s="81"/>
      <c r="N5780" s="81"/>
    </row>
    <row r="5781" spans="1:14" ht="14.25" customHeight="1" thickBot="1" x14ac:dyDescent="0.3">
      <c r="A5781" s="633" t="s">
        <v>1335</v>
      </c>
      <c r="B5781" s="634"/>
      <c r="C5781" s="634"/>
      <c r="D5781" s="634"/>
      <c r="E5781" s="634"/>
      <c r="F5781" s="635"/>
      <c r="G5781" s="81"/>
      <c r="H5781" s="81"/>
      <c r="I5781" s="81"/>
      <c r="J5781" s="81"/>
      <c r="K5781" s="81"/>
      <c r="L5781" s="81"/>
      <c r="M5781" s="81"/>
      <c r="N5781" s="81"/>
    </row>
    <row r="5782" spans="1:14" ht="14.25" customHeight="1" thickBot="1" x14ac:dyDescent="0.3">
      <c r="A5782" s="318" t="s">
        <v>550</v>
      </c>
      <c r="B5782" s="319" t="s">
        <v>49</v>
      </c>
      <c r="C5782" s="319" t="s">
        <v>50</v>
      </c>
      <c r="D5782" s="319" t="s">
        <v>1336</v>
      </c>
      <c r="E5782" s="320" t="s">
        <v>1337</v>
      </c>
      <c r="F5782" s="321" t="s">
        <v>1338</v>
      </c>
      <c r="G5782" s="81"/>
      <c r="H5782" s="81"/>
      <c r="I5782" s="81"/>
      <c r="J5782" s="81"/>
      <c r="K5782" s="81"/>
      <c r="L5782" s="81"/>
      <c r="M5782" s="81"/>
      <c r="N5782" s="81"/>
    </row>
    <row r="5783" spans="1:14" ht="14.25" customHeight="1" x14ac:dyDescent="0.25">
      <c r="A5783" s="419" t="s">
        <v>1380</v>
      </c>
      <c r="B5783" s="434" t="s">
        <v>1161</v>
      </c>
      <c r="C5783" s="434">
        <v>1</v>
      </c>
      <c r="D5783" s="436"/>
      <c r="E5783" s="434">
        <v>2317000</v>
      </c>
      <c r="F5783" s="437">
        <f>+C5783*E5783</f>
        <v>2317000</v>
      </c>
      <c r="G5783" s="81"/>
      <c r="H5783" s="81"/>
      <c r="I5783" s="81"/>
      <c r="J5783" s="81"/>
      <c r="K5783" s="81"/>
      <c r="L5783" s="81"/>
      <c r="M5783" s="81"/>
      <c r="N5783" s="81"/>
    </row>
    <row r="5784" spans="1:14" ht="14.25" customHeight="1" x14ac:dyDescent="0.25">
      <c r="A5784" s="452" t="s">
        <v>1379</v>
      </c>
      <c r="B5784" s="439" t="s">
        <v>1161</v>
      </c>
      <c r="C5784" s="439">
        <v>1</v>
      </c>
      <c r="D5784" s="441"/>
      <c r="E5784" s="439">
        <v>3286000</v>
      </c>
      <c r="F5784" s="442">
        <f>+C5784*E5784</f>
        <v>3286000</v>
      </c>
      <c r="G5784" s="81"/>
      <c r="H5784" s="81"/>
      <c r="I5784" s="81"/>
      <c r="J5784" s="81"/>
      <c r="K5784" s="81"/>
      <c r="L5784" s="81"/>
      <c r="M5784" s="81"/>
      <c r="N5784" s="81"/>
    </row>
    <row r="5785" spans="1:14" ht="14.25" customHeight="1" thickBot="1" x14ac:dyDescent="0.3">
      <c r="A5785" s="337"/>
      <c r="B5785" s="338"/>
      <c r="C5785" s="339"/>
      <c r="D5785" s="340"/>
      <c r="E5785" s="341" t="s">
        <v>1342</v>
      </c>
      <c r="F5785" s="342"/>
      <c r="G5785" s="81"/>
      <c r="H5785" s="81"/>
      <c r="I5785" s="81"/>
      <c r="J5785" s="81"/>
      <c r="K5785" s="81"/>
      <c r="L5785" s="81"/>
      <c r="M5785" s="81"/>
      <c r="N5785" s="81"/>
    </row>
    <row r="5786" spans="1:14" ht="14.25" customHeight="1" thickBot="1" x14ac:dyDescent="0.3">
      <c r="A5786" s="343"/>
      <c r="B5786" s="344"/>
      <c r="C5786" s="345"/>
      <c r="D5786" s="636" t="s">
        <v>1343</v>
      </c>
      <c r="E5786" s="637"/>
      <c r="F5786" s="346">
        <f>SUM(F5783:F5785)</f>
        <v>5603000</v>
      </c>
      <c r="G5786" s="81"/>
      <c r="H5786" s="81"/>
      <c r="I5786" s="81"/>
      <c r="J5786" s="81"/>
      <c r="K5786" s="81"/>
      <c r="L5786" s="81"/>
      <c r="M5786" s="81"/>
      <c r="N5786" s="81"/>
    </row>
    <row r="5787" spans="1:14" ht="14.25" customHeight="1" thickBot="1" x14ac:dyDescent="0.3">
      <c r="A5787" s="633" t="s">
        <v>1344</v>
      </c>
      <c r="B5787" s="634"/>
      <c r="C5787" s="634"/>
      <c r="D5787" s="634"/>
      <c r="E5787" s="634"/>
      <c r="F5787" s="635"/>
      <c r="G5787" s="81"/>
      <c r="H5787" s="81"/>
      <c r="I5787" s="81"/>
      <c r="J5787" s="81"/>
      <c r="K5787" s="81"/>
      <c r="L5787" s="81"/>
      <c r="M5787" s="81"/>
      <c r="N5787" s="81"/>
    </row>
    <row r="5788" spans="1:14" ht="14.25" customHeight="1" thickBot="1" x14ac:dyDescent="0.3">
      <c r="A5788" s="347" t="s">
        <v>505</v>
      </c>
      <c r="B5788" s="344"/>
      <c r="C5788" s="348" t="s">
        <v>1345</v>
      </c>
      <c r="D5788" s="349" t="s">
        <v>1346</v>
      </c>
      <c r="E5788" s="350" t="s">
        <v>557</v>
      </c>
      <c r="F5788" s="351"/>
      <c r="G5788" s="81"/>
      <c r="H5788" s="81"/>
      <c r="I5788" s="81"/>
      <c r="J5788" s="81"/>
      <c r="K5788" s="81"/>
      <c r="L5788" s="81"/>
      <c r="M5788" s="81"/>
      <c r="N5788" s="81"/>
    </row>
    <row r="5789" spans="1:14" ht="14.25" customHeight="1" x14ac:dyDescent="0.25">
      <c r="A5789" s="352" t="s">
        <v>1347</v>
      </c>
      <c r="B5789" s="353"/>
      <c r="C5789" s="353">
        <v>5000</v>
      </c>
      <c r="D5789" s="354">
        <v>0.17499999999999999</v>
      </c>
      <c r="E5789" s="355">
        <f>+C5789/D5789</f>
        <v>28571.428571428572</v>
      </c>
      <c r="F5789" s="356">
        <f>+E5789</f>
        <v>28571.428571428572</v>
      </c>
      <c r="G5789" s="81"/>
      <c r="H5789" s="81"/>
      <c r="I5789" s="81"/>
      <c r="J5789" s="81"/>
      <c r="K5789" s="81"/>
      <c r="L5789" s="81"/>
      <c r="M5789" s="81"/>
      <c r="N5789" s="81"/>
    </row>
    <row r="5790" spans="1:14" ht="14.25" customHeight="1" x14ac:dyDescent="0.25">
      <c r="A5790" s="357"/>
      <c r="B5790" s="358"/>
      <c r="C5790" s="359"/>
      <c r="D5790" s="359"/>
      <c r="E5790" s="360"/>
      <c r="F5790" s="361"/>
      <c r="G5790" s="81"/>
      <c r="H5790" s="81"/>
      <c r="I5790" s="81"/>
      <c r="J5790" s="81"/>
      <c r="K5790" s="81"/>
      <c r="L5790" s="81"/>
      <c r="M5790" s="81"/>
      <c r="N5790" s="81"/>
    </row>
    <row r="5791" spans="1:14" ht="14.25" customHeight="1" thickBot="1" x14ac:dyDescent="0.3">
      <c r="A5791" s="357"/>
      <c r="B5791" s="358"/>
      <c r="C5791" s="359"/>
      <c r="D5791" s="359"/>
      <c r="E5791" s="360"/>
      <c r="F5791" s="362"/>
      <c r="G5791" s="81"/>
      <c r="H5791" s="81"/>
      <c r="I5791" s="81"/>
      <c r="J5791" s="81"/>
      <c r="K5791" s="81"/>
      <c r="L5791" s="81"/>
      <c r="M5791" s="81"/>
      <c r="N5791" s="81"/>
    </row>
    <row r="5792" spans="1:14" ht="14.25" customHeight="1" thickBot="1" x14ac:dyDescent="0.3">
      <c r="A5792" s="357"/>
      <c r="B5792" s="358"/>
      <c r="C5792" s="363"/>
      <c r="D5792" s="638" t="s">
        <v>1348</v>
      </c>
      <c r="E5792" s="639"/>
      <c r="F5792" s="364">
        <f>SUM(F5789:F5791)</f>
        <v>28571.428571428572</v>
      </c>
      <c r="G5792" s="81"/>
      <c r="H5792" s="81"/>
      <c r="I5792" s="81"/>
      <c r="J5792" s="81"/>
      <c r="K5792" s="81"/>
      <c r="L5792" s="81"/>
      <c r="M5792" s="81"/>
      <c r="N5792" s="81"/>
    </row>
    <row r="5793" spans="1:14" ht="14.25" customHeight="1" thickBot="1" x14ac:dyDescent="0.3">
      <c r="A5793" s="365" t="s">
        <v>553</v>
      </c>
      <c r="B5793" s="366"/>
      <c r="C5793" s="367"/>
      <c r="D5793" s="368"/>
      <c r="E5793" s="369"/>
      <c r="F5793" s="370"/>
      <c r="G5793" s="81"/>
      <c r="H5793" s="81"/>
      <c r="I5793" s="81"/>
      <c r="J5793" s="81"/>
      <c r="K5793" s="81"/>
      <c r="L5793" s="81"/>
      <c r="M5793" s="81"/>
      <c r="N5793" s="81"/>
    </row>
    <row r="5794" spans="1:14" ht="14.25" customHeight="1" thickBot="1" x14ac:dyDescent="0.3">
      <c r="A5794" s="371" t="s">
        <v>505</v>
      </c>
      <c r="B5794" s="372" t="s">
        <v>50</v>
      </c>
      <c r="C5794" s="373" t="s">
        <v>1349</v>
      </c>
      <c r="D5794" s="373" t="s">
        <v>1350</v>
      </c>
      <c r="E5794" s="373" t="s">
        <v>1346</v>
      </c>
      <c r="F5794" s="374" t="s">
        <v>557</v>
      </c>
      <c r="G5794" s="81"/>
      <c r="H5794" s="81"/>
      <c r="I5794" s="81"/>
      <c r="J5794" s="81"/>
      <c r="K5794" s="81"/>
      <c r="L5794" s="81"/>
      <c r="M5794" s="81"/>
      <c r="N5794" s="81"/>
    </row>
    <row r="5795" spans="1:14" ht="14.25" customHeight="1" x14ac:dyDescent="0.25">
      <c r="A5795" s="357" t="s">
        <v>1373</v>
      </c>
      <c r="B5795" s="375">
        <v>1</v>
      </c>
      <c r="C5795" s="376">
        <v>186800</v>
      </c>
      <c r="D5795" s="377">
        <v>1.9402999999999999</v>
      </c>
      <c r="E5795" s="378">
        <v>0.16475745394906216</v>
      </c>
      <c r="F5795" s="379">
        <f>(B5795*C5795*D5795)/E5795</f>
        <v>2199888.5714272908</v>
      </c>
      <c r="G5795" s="81"/>
      <c r="H5795" s="81"/>
      <c r="I5795" s="81"/>
      <c r="J5795" s="81"/>
      <c r="K5795" s="81"/>
      <c r="L5795" s="81"/>
      <c r="M5795" s="81"/>
      <c r="N5795" s="81"/>
    </row>
    <row r="5796" spans="1:14" ht="14.25" customHeight="1" x14ac:dyDescent="0.25">
      <c r="A5796" s="380"/>
      <c r="B5796" s="353"/>
      <c r="C5796" s="359"/>
      <c r="D5796" s="359"/>
      <c r="E5796" s="381"/>
      <c r="F5796" s="382"/>
      <c r="G5796" s="81"/>
      <c r="H5796" s="81"/>
      <c r="I5796" s="81"/>
      <c r="J5796" s="81"/>
      <c r="K5796" s="81"/>
      <c r="L5796" s="81"/>
      <c r="M5796" s="81"/>
      <c r="N5796" s="81"/>
    </row>
    <row r="5797" spans="1:14" ht="14.25" customHeight="1" x14ac:dyDescent="0.25">
      <c r="A5797" s="357"/>
      <c r="B5797" s="358"/>
      <c r="C5797" s="359"/>
      <c r="D5797" s="359"/>
      <c r="E5797" s="360"/>
      <c r="F5797" s="361"/>
      <c r="G5797" s="81"/>
      <c r="H5797" s="81"/>
      <c r="I5797" s="81"/>
      <c r="J5797" s="81"/>
      <c r="K5797" s="81"/>
      <c r="L5797" s="81"/>
      <c r="M5797" s="81"/>
      <c r="N5797" s="81"/>
    </row>
    <row r="5798" spans="1:14" ht="14.25" customHeight="1" thickBot="1" x14ac:dyDescent="0.3">
      <c r="A5798" s="352"/>
      <c r="B5798" s="353"/>
      <c r="C5798" s="359"/>
      <c r="D5798" s="359"/>
      <c r="E5798" s="381"/>
      <c r="F5798" s="383"/>
      <c r="G5798" s="81"/>
      <c r="H5798" s="81"/>
      <c r="I5798" s="81"/>
      <c r="J5798" s="81"/>
      <c r="K5798" s="81"/>
      <c r="L5798" s="81"/>
      <c r="M5798" s="81"/>
      <c r="N5798" s="81"/>
    </row>
    <row r="5799" spans="1:14" ht="14.25" customHeight="1" thickBot="1" x14ac:dyDescent="0.3">
      <c r="A5799" s="352"/>
      <c r="B5799" s="384"/>
      <c r="C5799" s="385"/>
      <c r="D5799" s="640" t="s">
        <v>1352</v>
      </c>
      <c r="E5799" s="641"/>
      <c r="F5799" s="364">
        <f>SUM(F5795:F5798)</f>
        <v>2199888.5714272908</v>
      </c>
      <c r="G5799" s="81"/>
      <c r="H5799" s="81"/>
      <c r="I5799" s="81"/>
      <c r="J5799" s="81"/>
      <c r="K5799" s="81"/>
      <c r="L5799" s="81"/>
      <c r="M5799" s="81"/>
      <c r="N5799" s="81"/>
    </row>
    <row r="5800" spans="1:14" ht="14.25" customHeight="1" thickBot="1" x14ac:dyDescent="0.3">
      <c r="A5800" s="386" t="s">
        <v>554</v>
      </c>
      <c r="B5800" s="387"/>
      <c r="C5800" s="388"/>
      <c r="D5800" s="388"/>
      <c r="E5800" s="389"/>
      <c r="F5800" s="390"/>
      <c r="G5800" s="81"/>
      <c r="H5800" s="81"/>
      <c r="I5800" s="81"/>
      <c r="J5800" s="81"/>
      <c r="K5800" s="81"/>
      <c r="L5800" s="81"/>
      <c r="M5800" s="81"/>
      <c r="N5800" s="81"/>
    </row>
    <row r="5801" spans="1:14" ht="14.25" customHeight="1" thickBot="1" x14ac:dyDescent="0.3">
      <c r="A5801" s="371" t="s">
        <v>550</v>
      </c>
      <c r="B5801" s="372"/>
      <c r="C5801" s="373" t="s">
        <v>1353</v>
      </c>
      <c r="D5801" s="373" t="s">
        <v>1354</v>
      </c>
      <c r="E5801" s="373" t="s">
        <v>1355</v>
      </c>
      <c r="F5801" s="374" t="s">
        <v>557</v>
      </c>
      <c r="G5801" s="81"/>
      <c r="H5801" s="81"/>
      <c r="I5801" s="81"/>
      <c r="J5801" s="81"/>
      <c r="K5801" s="81"/>
      <c r="L5801" s="81"/>
      <c r="M5801" s="81"/>
      <c r="N5801" s="81"/>
    </row>
    <row r="5802" spans="1:14" ht="14.25" customHeight="1" x14ac:dyDescent="0.25">
      <c r="A5802" s="391" t="s">
        <v>604</v>
      </c>
      <c r="B5802" s="392"/>
      <c r="C5802" s="393"/>
      <c r="D5802" s="392">
        <v>3.5</v>
      </c>
      <c r="E5802" s="394">
        <v>45000</v>
      </c>
      <c r="F5802" s="427">
        <f>+E5802*D5802</f>
        <v>157500</v>
      </c>
      <c r="G5802" s="81"/>
      <c r="H5802" s="81"/>
      <c r="I5802" s="81"/>
      <c r="J5802" s="81"/>
      <c r="K5802" s="81"/>
      <c r="L5802" s="81"/>
      <c r="M5802" s="81"/>
      <c r="N5802" s="81"/>
    </row>
    <row r="5803" spans="1:14" ht="14.25" customHeight="1" x14ac:dyDescent="0.25">
      <c r="A5803" s="396"/>
      <c r="B5803" s="397"/>
      <c r="C5803" s="398"/>
      <c r="D5803" s="398"/>
      <c r="E5803" s="399"/>
      <c r="F5803" s="400"/>
      <c r="G5803" s="81"/>
      <c r="H5803" s="81"/>
      <c r="I5803" s="81"/>
      <c r="J5803" s="81"/>
      <c r="K5803" s="81"/>
      <c r="L5803" s="81"/>
      <c r="M5803" s="81"/>
      <c r="N5803" s="81"/>
    </row>
    <row r="5804" spans="1:14" ht="14.25" customHeight="1" thickBot="1" x14ac:dyDescent="0.3">
      <c r="A5804" s="396"/>
      <c r="B5804" s="397"/>
      <c r="C5804" s="398"/>
      <c r="D5804" s="398"/>
      <c r="E5804" s="399"/>
      <c r="F5804" s="401"/>
      <c r="G5804" s="81"/>
      <c r="H5804" s="81"/>
      <c r="I5804" s="81"/>
      <c r="J5804" s="81"/>
      <c r="K5804" s="81"/>
      <c r="L5804" s="81"/>
      <c r="M5804" s="81"/>
      <c r="N5804" s="81"/>
    </row>
    <row r="5805" spans="1:14" ht="16.5" thickBot="1" x14ac:dyDescent="0.3">
      <c r="A5805" s="352"/>
      <c r="B5805" s="384"/>
      <c r="C5805" s="385"/>
      <c r="D5805" s="640" t="s">
        <v>1356</v>
      </c>
      <c r="E5805" s="642"/>
      <c r="F5805" s="402">
        <f>SUM(F5802)</f>
        <v>157500</v>
      </c>
      <c r="G5805" s="81"/>
      <c r="H5805" s="81"/>
      <c r="I5805" s="81"/>
      <c r="J5805" s="81"/>
      <c r="K5805" s="81"/>
      <c r="L5805" s="81"/>
      <c r="M5805" s="81"/>
      <c r="N5805" s="81"/>
    </row>
    <row r="5806" spans="1:14" ht="16.5" thickBot="1" x14ac:dyDescent="0.3">
      <c r="A5806" s="643"/>
      <c r="B5806" s="644"/>
      <c r="C5806" s="644"/>
      <c r="D5806" s="644"/>
      <c r="E5806" s="403" t="s">
        <v>555</v>
      </c>
      <c r="F5806" s="404">
        <f>+F5805+F5799+F5792+F5786</f>
        <v>7988959.9999987194</v>
      </c>
      <c r="G5806" s="81"/>
      <c r="H5806" s="81"/>
      <c r="I5806" s="81"/>
      <c r="J5806" s="81"/>
      <c r="K5806" s="81"/>
      <c r="L5806" s="81"/>
      <c r="M5806" s="81"/>
      <c r="N5806" s="81"/>
    </row>
    <row r="5807" spans="1:14" ht="14.25" customHeight="1" x14ac:dyDescent="0.25">
      <c r="A5807" s="168"/>
      <c r="B5807" s="168"/>
      <c r="C5807" s="168"/>
      <c r="D5807" s="168"/>
      <c r="E5807" s="168"/>
      <c r="F5807" s="168"/>
      <c r="G5807" s="81"/>
      <c r="H5807" s="81"/>
      <c r="I5807" s="81"/>
      <c r="J5807" s="81"/>
      <c r="K5807" s="81"/>
      <c r="L5807" s="81"/>
      <c r="M5807" s="81"/>
      <c r="N5807" s="81"/>
    </row>
    <row r="5808" spans="1:14" ht="14.25" customHeight="1" x14ac:dyDescent="0.25">
      <c r="A5808" s="168"/>
      <c r="B5808" s="168"/>
      <c r="C5808" s="168"/>
      <c r="D5808" s="168"/>
      <c r="E5808" s="168"/>
      <c r="F5808" s="168"/>
      <c r="G5808" s="81"/>
      <c r="H5808" s="81"/>
      <c r="I5808" s="81"/>
      <c r="J5808" s="81"/>
      <c r="K5808" s="81"/>
      <c r="L5808" s="81"/>
      <c r="M5808" s="81"/>
      <c r="N5808" s="81"/>
    </row>
    <row r="5809" spans="1:14" ht="14.25" customHeight="1" x14ac:dyDescent="0.25">
      <c r="A5809" s="168"/>
      <c r="B5809" s="168"/>
      <c r="C5809" s="168"/>
      <c r="D5809" s="168"/>
      <c r="E5809" s="168"/>
      <c r="F5809" s="168"/>
      <c r="G5809" s="81"/>
      <c r="H5809" s="81"/>
      <c r="I5809" s="81"/>
      <c r="J5809" s="81"/>
      <c r="K5809" s="81"/>
      <c r="L5809" s="81"/>
      <c r="M5809" s="81"/>
      <c r="N5809" s="81"/>
    </row>
    <row r="5810" spans="1:14" ht="14.25" customHeight="1" x14ac:dyDescent="0.25">
      <c r="A5810" s="645" t="s">
        <v>561</v>
      </c>
      <c r="B5810" s="646"/>
      <c r="C5810" s="646"/>
      <c r="D5810" s="646"/>
      <c r="E5810" s="646"/>
      <c r="F5810" s="647"/>
      <c r="G5810" s="81"/>
      <c r="H5810" s="81"/>
      <c r="I5810" s="81"/>
      <c r="J5810" s="81"/>
      <c r="K5810" s="81"/>
      <c r="L5810" s="81"/>
      <c r="M5810" s="81"/>
      <c r="N5810" s="81"/>
    </row>
    <row r="5811" spans="1:14" ht="14.25" customHeight="1" thickBot="1" x14ac:dyDescent="0.3">
      <c r="A5811" s="648"/>
      <c r="B5811" s="648"/>
      <c r="C5811" s="648"/>
      <c r="D5811" s="648"/>
      <c r="E5811" s="648"/>
      <c r="F5811" s="648"/>
      <c r="G5811" s="81"/>
      <c r="H5811" s="81"/>
      <c r="I5811" s="81"/>
      <c r="J5811" s="81"/>
      <c r="K5811" s="81"/>
      <c r="L5811" s="81"/>
      <c r="M5811" s="81"/>
      <c r="N5811" s="81"/>
    </row>
    <row r="5812" spans="1:14" ht="14.25" customHeight="1" thickBot="1" x14ac:dyDescent="0.3">
      <c r="A5812" s="309" t="s">
        <v>1334</v>
      </c>
      <c r="B5812" s="310"/>
      <c r="C5812" s="311" t="e">
        <f>+'[110]PPTO UNIATLÁNTICO'!A5731</f>
        <v>#REF!</v>
      </c>
      <c r="D5812" s="312"/>
      <c r="E5812" s="312"/>
      <c r="F5812" s="313" t="s">
        <v>49</v>
      </c>
      <c r="G5812" s="81"/>
      <c r="H5812" s="81"/>
      <c r="I5812" s="81"/>
      <c r="J5812" s="81"/>
      <c r="K5812" s="81"/>
      <c r="L5812" s="81"/>
      <c r="M5812" s="81"/>
      <c r="N5812" s="81"/>
    </row>
    <row r="5813" spans="1:14" ht="16.5" thickBot="1" x14ac:dyDescent="0.3">
      <c r="A5813" s="314" t="e">
        <f>+'[110]PPTO UNIATLÁNTICO'!B5731</f>
        <v>#REF!</v>
      </c>
      <c r="B5813" s="315"/>
      <c r="C5813" s="315"/>
      <c r="D5813" s="316"/>
      <c r="E5813" s="316"/>
      <c r="F5813" s="317" t="s">
        <v>49</v>
      </c>
      <c r="G5813" s="81"/>
      <c r="H5813" s="81"/>
      <c r="I5813" s="81"/>
      <c r="J5813" s="81"/>
      <c r="K5813" s="81"/>
      <c r="L5813" s="81"/>
      <c r="M5813" s="81"/>
      <c r="N5813" s="81"/>
    </row>
    <row r="5814" spans="1:14" ht="14.25" customHeight="1" thickBot="1" x14ac:dyDescent="0.3">
      <c r="A5814" s="649" t="s">
        <v>1381</v>
      </c>
      <c r="B5814" s="650"/>
      <c r="C5814" s="650"/>
      <c r="D5814" s="650"/>
      <c r="E5814" s="650"/>
      <c r="F5814" s="651"/>
      <c r="G5814" s="81"/>
      <c r="H5814" s="81"/>
      <c r="I5814" s="81"/>
      <c r="J5814" s="81"/>
      <c r="K5814" s="81"/>
      <c r="L5814" s="81"/>
      <c r="M5814" s="81"/>
      <c r="N5814" s="81"/>
    </row>
    <row r="5815" spans="1:14" ht="14.25" customHeight="1" thickBot="1" x14ac:dyDescent="0.3">
      <c r="A5815" s="633" t="s">
        <v>1335</v>
      </c>
      <c r="B5815" s="634"/>
      <c r="C5815" s="634"/>
      <c r="D5815" s="634"/>
      <c r="E5815" s="634"/>
      <c r="F5815" s="635"/>
      <c r="G5815" s="81"/>
      <c r="H5815" s="81"/>
      <c r="I5815" s="81"/>
      <c r="J5815" s="81"/>
      <c r="K5815" s="81"/>
      <c r="L5815" s="81"/>
      <c r="M5815" s="81"/>
      <c r="N5815" s="81"/>
    </row>
    <row r="5816" spans="1:14" ht="14.25" customHeight="1" thickBot="1" x14ac:dyDescent="0.3">
      <c r="A5816" s="318" t="s">
        <v>550</v>
      </c>
      <c r="B5816" s="319" t="s">
        <v>49</v>
      </c>
      <c r="C5816" s="319" t="s">
        <v>50</v>
      </c>
      <c r="D5816" s="319" t="s">
        <v>1336</v>
      </c>
      <c r="E5816" s="320" t="s">
        <v>1337</v>
      </c>
      <c r="F5816" s="321" t="s">
        <v>1338</v>
      </c>
      <c r="G5816" s="81"/>
      <c r="H5816" s="81"/>
      <c r="I5816" s="81"/>
      <c r="J5816" s="81"/>
      <c r="K5816" s="81"/>
      <c r="L5816" s="81"/>
      <c r="M5816" s="81"/>
      <c r="N5816" s="81"/>
    </row>
    <row r="5817" spans="1:14" ht="14.25" customHeight="1" x14ac:dyDescent="0.25">
      <c r="A5817" s="419" t="s">
        <v>1378</v>
      </c>
      <c r="B5817" s="434" t="s">
        <v>1161</v>
      </c>
      <c r="C5817" s="434">
        <v>2</v>
      </c>
      <c r="D5817" s="436"/>
      <c r="E5817" s="434">
        <v>3314000</v>
      </c>
      <c r="F5817" s="437">
        <f>+C5817*E5817</f>
        <v>6628000</v>
      </c>
      <c r="G5817" s="81"/>
      <c r="H5817" s="81"/>
      <c r="I5817" s="81"/>
      <c r="J5817" s="81"/>
      <c r="K5817" s="81"/>
      <c r="L5817" s="81"/>
      <c r="M5817" s="81"/>
      <c r="N5817" s="81"/>
    </row>
    <row r="5818" spans="1:14" ht="14.25" customHeight="1" x14ac:dyDescent="0.25">
      <c r="A5818" s="452" t="s">
        <v>1382</v>
      </c>
      <c r="B5818" s="439" t="s">
        <v>1161</v>
      </c>
      <c r="C5818" s="439">
        <v>1</v>
      </c>
      <c r="D5818" s="441"/>
      <c r="E5818" s="439">
        <v>3898000</v>
      </c>
      <c r="F5818" s="442">
        <f>+C5818*E5818</f>
        <v>3898000</v>
      </c>
      <c r="G5818" s="81"/>
      <c r="H5818" s="81"/>
      <c r="I5818" s="81"/>
      <c r="J5818" s="81"/>
      <c r="K5818" s="81"/>
      <c r="L5818" s="81"/>
      <c r="M5818" s="81"/>
      <c r="N5818" s="81"/>
    </row>
    <row r="5819" spans="1:14" ht="14.25" customHeight="1" thickBot="1" x14ac:dyDescent="0.3">
      <c r="A5819" s="337"/>
      <c r="B5819" s="338"/>
      <c r="C5819" s="339"/>
      <c r="D5819" s="340"/>
      <c r="E5819" s="341" t="s">
        <v>1342</v>
      </c>
      <c r="F5819" s="342"/>
      <c r="G5819" s="81"/>
      <c r="H5819" s="117">
        <f>22646-F6727</f>
        <v>0</v>
      </c>
      <c r="I5819" s="81"/>
      <c r="J5819" s="81"/>
      <c r="K5819" s="81"/>
      <c r="L5819" s="81"/>
      <c r="M5819" s="81"/>
      <c r="N5819" s="81"/>
    </row>
    <row r="5820" spans="1:14" ht="14.25" customHeight="1" thickBot="1" x14ac:dyDescent="0.3">
      <c r="A5820" s="343"/>
      <c r="B5820" s="344"/>
      <c r="C5820" s="345"/>
      <c r="D5820" s="636" t="s">
        <v>1343</v>
      </c>
      <c r="E5820" s="637"/>
      <c r="F5820" s="346">
        <f>SUM(F5817:F5819)</f>
        <v>10526000</v>
      </c>
      <c r="G5820" s="81"/>
      <c r="H5820" s="81"/>
      <c r="I5820" s="81"/>
      <c r="J5820" s="81"/>
      <c r="K5820" s="81"/>
      <c r="L5820" s="81"/>
      <c r="M5820" s="81"/>
      <c r="N5820" s="81"/>
    </row>
    <row r="5821" spans="1:14" ht="14.25" customHeight="1" thickBot="1" x14ac:dyDescent="0.3">
      <c r="A5821" s="633" t="s">
        <v>1344</v>
      </c>
      <c r="B5821" s="634"/>
      <c r="C5821" s="634"/>
      <c r="D5821" s="634"/>
      <c r="E5821" s="634"/>
      <c r="F5821" s="635"/>
      <c r="G5821" s="81"/>
      <c r="H5821" s="81"/>
      <c r="I5821" s="81"/>
      <c r="J5821" s="81"/>
      <c r="K5821" s="81"/>
      <c r="L5821" s="81"/>
      <c r="M5821" s="81"/>
      <c r="N5821" s="81"/>
    </row>
    <row r="5822" spans="1:14" ht="14.25" customHeight="1" thickBot="1" x14ac:dyDescent="0.3">
      <c r="A5822" s="347" t="s">
        <v>505</v>
      </c>
      <c r="B5822" s="344"/>
      <c r="C5822" s="348" t="s">
        <v>1345</v>
      </c>
      <c r="D5822" s="349" t="s">
        <v>1346</v>
      </c>
      <c r="E5822" s="350" t="s">
        <v>557</v>
      </c>
      <c r="F5822" s="351"/>
      <c r="G5822" s="81"/>
      <c r="H5822" s="143"/>
      <c r="I5822" s="81"/>
      <c r="J5822" s="81"/>
      <c r="K5822" s="81"/>
      <c r="L5822" s="81"/>
      <c r="M5822" s="81"/>
      <c r="N5822" s="81"/>
    </row>
    <row r="5823" spans="1:14" ht="14.25" customHeight="1" x14ac:dyDescent="0.25">
      <c r="A5823" s="352" t="s">
        <v>1347</v>
      </c>
      <c r="B5823" s="353"/>
      <c r="C5823" s="353">
        <v>5000</v>
      </c>
      <c r="D5823" s="354">
        <v>0.17499999999999999</v>
      </c>
      <c r="E5823" s="355">
        <f>+C5823/D5823</f>
        <v>28571.428571428572</v>
      </c>
      <c r="F5823" s="356">
        <f>+E5823</f>
        <v>28571.428571428572</v>
      </c>
      <c r="G5823" s="81"/>
      <c r="H5823" s="81"/>
      <c r="I5823" s="81"/>
      <c r="J5823" s="81"/>
      <c r="K5823" s="81"/>
      <c r="L5823" s="81"/>
      <c r="M5823" s="81"/>
      <c r="N5823" s="81"/>
    </row>
    <row r="5824" spans="1:14" ht="14.25" customHeight="1" x14ac:dyDescent="0.25">
      <c r="A5824" s="357"/>
      <c r="B5824" s="358"/>
      <c r="C5824" s="359"/>
      <c r="D5824" s="359"/>
      <c r="E5824" s="360"/>
      <c r="F5824" s="361"/>
      <c r="G5824" s="81"/>
      <c r="H5824" s="81"/>
      <c r="I5824" s="81"/>
      <c r="J5824" s="81"/>
      <c r="K5824" s="81"/>
      <c r="L5824" s="81"/>
      <c r="M5824" s="81"/>
      <c r="N5824" s="81"/>
    </row>
    <row r="5825" spans="1:14" ht="14.25" customHeight="1" thickBot="1" x14ac:dyDescent="0.3">
      <c r="A5825" s="357"/>
      <c r="B5825" s="358"/>
      <c r="C5825" s="359"/>
      <c r="D5825" s="359"/>
      <c r="E5825" s="360"/>
      <c r="F5825" s="362"/>
      <c r="G5825" s="81"/>
      <c r="H5825" s="81"/>
      <c r="I5825" s="81"/>
      <c r="J5825" s="81"/>
      <c r="K5825" s="81"/>
      <c r="L5825" s="81"/>
      <c r="M5825" s="81"/>
      <c r="N5825" s="81"/>
    </row>
    <row r="5826" spans="1:14" ht="14.25" customHeight="1" thickBot="1" x14ac:dyDescent="0.3">
      <c r="A5826" s="357"/>
      <c r="B5826" s="358"/>
      <c r="C5826" s="363"/>
      <c r="D5826" s="638" t="s">
        <v>1348</v>
      </c>
      <c r="E5826" s="639"/>
      <c r="F5826" s="364">
        <f>SUM(F5823:F5825)</f>
        <v>28571.428571428572</v>
      </c>
      <c r="G5826" s="81"/>
      <c r="H5826" s="81"/>
      <c r="I5826" s="81"/>
      <c r="J5826" s="81"/>
      <c r="K5826" s="81"/>
      <c r="L5826" s="81"/>
      <c r="M5826" s="81"/>
      <c r="N5826" s="81"/>
    </row>
    <row r="5827" spans="1:14" ht="14.25" customHeight="1" thickBot="1" x14ac:dyDescent="0.3">
      <c r="A5827" s="365" t="s">
        <v>553</v>
      </c>
      <c r="B5827" s="366"/>
      <c r="C5827" s="367"/>
      <c r="D5827" s="368"/>
      <c r="E5827" s="369"/>
      <c r="F5827" s="370"/>
      <c r="G5827" s="81"/>
      <c r="H5827" s="81"/>
      <c r="I5827" s="81"/>
      <c r="J5827" s="81"/>
      <c r="K5827" s="81"/>
      <c r="L5827" s="81"/>
      <c r="M5827" s="81"/>
      <c r="N5827" s="81"/>
    </row>
    <row r="5828" spans="1:14" ht="14.25" customHeight="1" thickBot="1" x14ac:dyDescent="0.3">
      <c r="A5828" s="371" t="s">
        <v>505</v>
      </c>
      <c r="B5828" s="372" t="s">
        <v>50</v>
      </c>
      <c r="C5828" s="373" t="s">
        <v>1349</v>
      </c>
      <c r="D5828" s="373" t="s">
        <v>1350</v>
      </c>
      <c r="E5828" s="373" t="s">
        <v>1346</v>
      </c>
      <c r="F5828" s="374" t="s">
        <v>557</v>
      </c>
      <c r="G5828" s="81"/>
      <c r="H5828" s="81"/>
      <c r="I5828" s="81"/>
      <c r="J5828" s="81"/>
      <c r="K5828" s="81"/>
      <c r="L5828" s="81"/>
      <c r="M5828" s="81"/>
      <c r="N5828" s="81"/>
    </row>
    <row r="5829" spans="1:14" ht="14.25" customHeight="1" x14ac:dyDescent="0.25">
      <c r="A5829" s="357" t="s">
        <v>1373</v>
      </c>
      <c r="B5829" s="375">
        <v>1</v>
      </c>
      <c r="C5829" s="376">
        <v>186800</v>
      </c>
      <c r="D5829" s="377">
        <v>1.9402999999999999</v>
      </c>
      <c r="E5829" s="378">
        <v>0.10876328088229641</v>
      </c>
      <c r="F5829" s="379">
        <f>(B5829*C5829*D5829)/E5829</f>
        <v>3332448.571427715</v>
      </c>
      <c r="G5829" s="81"/>
      <c r="H5829" s="81"/>
      <c r="I5829" s="81"/>
      <c r="J5829" s="81"/>
      <c r="K5829" s="81"/>
      <c r="L5829" s="81"/>
      <c r="M5829" s="81"/>
      <c r="N5829" s="81"/>
    </row>
    <row r="5830" spans="1:14" ht="14.25" customHeight="1" x14ac:dyDescent="0.25">
      <c r="A5830" s="380"/>
      <c r="B5830" s="353"/>
      <c r="C5830" s="359"/>
      <c r="D5830" s="359"/>
      <c r="E5830" s="381"/>
      <c r="F5830" s="382"/>
      <c r="G5830" s="81"/>
      <c r="H5830" s="81"/>
      <c r="I5830" s="81"/>
      <c r="J5830" s="81"/>
      <c r="K5830" s="81"/>
      <c r="L5830" s="81"/>
      <c r="M5830" s="81"/>
      <c r="N5830" s="81"/>
    </row>
    <row r="5831" spans="1:14" ht="14.25" customHeight="1" x14ac:dyDescent="0.25">
      <c r="A5831" s="357"/>
      <c r="B5831" s="358"/>
      <c r="C5831" s="359"/>
      <c r="D5831" s="359"/>
      <c r="E5831" s="360"/>
      <c r="F5831" s="361"/>
      <c r="G5831" s="81"/>
      <c r="H5831" s="81"/>
      <c r="I5831" s="81"/>
      <c r="J5831" s="81"/>
      <c r="K5831" s="81"/>
      <c r="L5831" s="81"/>
      <c r="M5831" s="81"/>
      <c r="N5831" s="81"/>
    </row>
    <row r="5832" spans="1:14" ht="14.25" customHeight="1" thickBot="1" x14ac:dyDescent="0.3">
      <c r="A5832" s="352"/>
      <c r="B5832" s="353"/>
      <c r="C5832" s="359"/>
      <c r="D5832" s="359"/>
      <c r="E5832" s="381"/>
      <c r="F5832" s="383"/>
      <c r="G5832" s="81"/>
      <c r="H5832" s="81"/>
      <c r="I5832" s="81"/>
      <c r="J5832" s="81"/>
      <c r="K5832" s="81"/>
      <c r="L5832" s="81"/>
      <c r="M5832" s="81"/>
      <c r="N5832" s="81"/>
    </row>
    <row r="5833" spans="1:14" ht="14.25" customHeight="1" thickBot="1" x14ac:dyDescent="0.3">
      <c r="A5833" s="352"/>
      <c r="B5833" s="384"/>
      <c r="C5833" s="385"/>
      <c r="D5833" s="640" t="s">
        <v>1352</v>
      </c>
      <c r="E5833" s="641"/>
      <c r="F5833" s="364">
        <f>SUM(F5829:F5832)</f>
        <v>3332448.571427715</v>
      </c>
      <c r="G5833" s="81"/>
      <c r="H5833" s="81"/>
      <c r="I5833" s="81"/>
      <c r="J5833" s="81"/>
      <c r="K5833" s="81"/>
      <c r="L5833" s="81"/>
      <c r="M5833" s="81"/>
      <c r="N5833" s="81"/>
    </row>
    <row r="5834" spans="1:14" ht="14.25" customHeight="1" thickBot="1" x14ac:dyDescent="0.3">
      <c r="A5834" s="386" t="s">
        <v>554</v>
      </c>
      <c r="B5834" s="387"/>
      <c r="C5834" s="388"/>
      <c r="D5834" s="388"/>
      <c r="E5834" s="389"/>
      <c r="F5834" s="390"/>
      <c r="G5834" s="81"/>
      <c r="H5834" s="81"/>
      <c r="I5834" s="81"/>
      <c r="J5834" s="81"/>
      <c r="K5834" s="81"/>
      <c r="L5834" s="81"/>
      <c r="M5834" s="81"/>
      <c r="N5834" s="81"/>
    </row>
    <row r="5835" spans="1:14" ht="14.25" customHeight="1" thickBot="1" x14ac:dyDescent="0.3">
      <c r="A5835" s="371" t="s">
        <v>550</v>
      </c>
      <c r="B5835" s="372"/>
      <c r="C5835" s="373" t="s">
        <v>1353</v>
      </c>
      <c r="D5835" s="373" t="s">
        <v>1354</v>
      </c>
      <c r="E5835" s="373" t="s">
        <v>1355</v>
      </c>
      <c r="F5835" s="374" t="s">
        <v>557</v>
      </c>
      <c r="G5835" s="81"/>
      <c r="H5835" s="81"/>
      <c r="I5835" s="81"/>
      <c r="J5835" s="81"/>
      <c r="K5835" s="81"/>
      <c r="L5835" s="81"/>
      <c r="M5835" s="81"/>
      <c r="N5835" s="81"/>
    </row>
    <row r="5836" spans="1:14" ht="27" customHeight="1" x14ac:dyDescent="0.25">
      <c r="A5836" s="391" t="s">
        <v>604</v>
      </c>
      <c r="B5836" s="392"/>
      <c r="C5836" s="393"/>
      <c r="D5836" s="392">
        <v>3.5</v>
      </c>
      <c r="E5836" s="394">
        <v>15000</v>
      </c>
      <c r="F5836" s="427">
        <f>+E5836*D5836</f>
        <v>52500</v>
      </c>
      <c r="G5836" s="81"/>
      <c r="H5836" s="81"/>
      <c r="I5836" s="81"/>
      <c r="J5836" s="81"/>
      <c r="K5836" s="81"/>
      <c r="L5836" s="81"/>
      <c r="M5836" s="81"/>
      <c r="N5836" s="81"/>
    </row>
    <row r="5837" spans="1:14" ht="14.25" customHeight="1" x14ac:dyDescent="0.25">
      <c r="A5837" s="396"/>
      <c r="B5837" s="397"/>
      <c r="C5837" s="398"/>
      <c r="D5837" s="398"/>
      <c r="E5837" s="399"/>
      <c r="F5837" s="400"/>
      <c r="G5837" s="81"/>
      <c r="H5837" s="81"/>
      <c r="I5837" s="81"/>
      <c r="J5837" s="81"/>
      <c r="K5837" s="81"/>
      <c r="L5837" s="81"/>
      <c r="M5837" s="81"/>
      <c r="N5837" s="81"/>
    </row>
    <row r="5838" spans="1:14" ht="14.25" customHeight="1" thickBot="1" x14ac:dyDescent="0.3">
      <c r="A5838" s="396"/>
      <c r="B5838" s="397"/>
      <c r="C5838" s="398"/>
      <c r="D5838" s="398"/>
      <c r="E5838" s="399"/>
      <c r="F5838" s="401"/>
      <c r="G5838" s="81"/>
      <c r="H5838" s="81"/>
      <c r="I5838" s="81"/>
      <c r="J5838" s="81"/>
      <c r="K5838" s="81"/>
      <c r="L5838" s="81"/>
      <c r="M5838" s="81"/>
      <c r="N5838" s="81"/>
    </row>
    <row r="5839" spans="1:14" ht="14.25" customHeight="1" thickBot="1" x14ac:dyDescent="0.3">
      <c r="A5839" s="352"/>
      <c r="B5839" s="384"/>
      <c r="C5839" s="385"/>
      <c r="D5839" s="640" t="s">
        <v>1356</v>
      </c>
      <c r="E5839" s="642"/>
      <c r="F5839" s="402">
        <f>SUM(F5836)</f>
        <v>52500</v>
      </c>
      <c r="G5839" s="81"/>
      <c r="H5839" s="81"/>
      <c r="I5839" s="81"/>
      <c r="J5839" s="81"/>
      <c r="K5839" s="81"/>
      <c r="L5839" s="81"/>
      <c r="M5839" s="81"/>
      <c r="N5839" s="81"/>
    </row>
    <row r="5840" spans="1:14" ht="14.25" customHeight="1" thickBot="1" x14ac:dyDescent="0.3">
      <c r="A5840" s="643"/>
      <c r="B5840" s="644"/>
      <c r="C5840" s="644"/>
      <c r="D5840" s="644"/>
      <c r="E5840" s="403" t="s">
        <v>555</v>
      </c>
      <c r="F5840" s="404">
        <f>+F5839+F5833+F5826+F5820</f>
        <v>13939519.999999143</v>
      </c>
      <c r="G5840" s="81"/>
      <c r="H5840" s="81"/>
      <c r="I5840" s="81"/>
      <c r="J5840" s="81"/>
      <c r="K5840" s="81"/>
      <c r="L5840" s="81"/>
      <c r="M5840" s="81"/>
      <c r="N5840" s="81"/>
    </row>
    <row r="5841" spans="1:14" ht="14.25" customHeight="1" x14ac:dyDescent="0.25">
      <c r="A5841" s="168"/>
      <c r="B5841" s="168"/>
      <c r="C5841" s="168"/>
      <c r="D5841" s="168"/>
      <c r="E5841" s="168"/>
      <c r="F5841" s="168"/>
      <c r="G5841" s="81"/>
      <c r="H5841" s="81"/>
      <c r="I5841" s="81"/>
      <c r="J5841" s="81"/>
      <c r="K5841" s="81"/>
      <c r="L5841" s="81"/>
      <c r="M5841" s="81"/>
      <c r="N5841" s="81"/>
    </row>
    <row r="5842" spans="1:14" ht="14.25" customHeight="1" x14ac:dyDescent="0.25">
      <c r="A5842" s="168"/>
      <c r="B5842" s="168"/>
      <c r="C5842" s="168"/>
      <c r="D5842" s="168"/>
      <c r="E5842" s="168"/>
      <c r="F5842" s="168"/>
      <c r="G5842" s="81"/>
      <c r="H5842" s="81"/>
      <c r="I5842" s="81"/>
      <c r="J5842" s="81"/>
      <c r="K5842" s="81"/>
      <c r="L5842" s="81"/>
      <c r="M5842" s="81"/>
      <c r="N5842" s="81"/>
    </row>
    <row r="5843" spans="1:14" ht="14.25" customHeight="1" x14ac:dyDescent="0.25">
      <c r="A5843" s="168"/>
      <c r="B5843" s="168"/>
      <c r="C5843" s="168"/>
      <c r="D5843" s="168"/>
      <c r="E5843" s="168"/>
      <c r="F5843" s="168"/>
      <c r="G5843" s="81"/>
      <c r="H5843" s="81"/>
      <c r="I5843" s="81"/>
      <c r="J5843" s="81"/>
      <c r="K5843" s="81"/>
      <c r="L5843" s="81"/>
      <c r="M5843" s="81"/>
      <c r="N5843" s="81"/>
    </row>
    <row r="5844" spans="1:14" ht="14.25" customHeight="1" x14ac:dyDescent="0.25">
      <c r="A5844" s="645" t="s">
        <v>561</v>
      </c>
      <c r="B5844" s="646"/>
      <c r="C5844" s="646"/>
      <c r="D5844" s="646"/>
      <c r="E5844" s="646"/>
      <c r="F5844" s="647"/>
      <c r="G5844" s="81"/>
      <c r="H5844" s="81"/>
      <c r="I5844" s="81"/>
      <c r="J5844" s="81"/>
      <c r="K5844" s="81"/>
      <c r="L5844" s="81"/>
      <c r="M5844" s="81"/>
      <c r="N5844" s="81"/>
    </row>
    <row r="5845" spans="1:14" ht="14.25" customHeight="1" thickBot="1" x14ac:dyDescent="0.3">
      <c r="A5845" s="648"/>
      <c r="B5845" s="648"/>
      <c r="C5845" s="648"/>
      <c r="D5845" s="648"/>
      <c r="E5845" s="648"/>
      <c r="F5845" s="648"/>
      <c r="G5845" s="81"/>
      <c r="H5845" s="81"/>
      <c r="I5845" s="81"/>
      <c r="J5845" s="81"/>
      <c r="K5845" s="81"/>
      <c r="L5845" s="81"/>
      <c r="M5845" s="81"/>
      <c r="N5845" s="81"/>
    </row>
    <row r="5846" spans="1:14" ht="14.25" customHeight="1" thickBot="1" x14ac:dyDescent="0.3">
      <c r="A5846" s="309" t="s">
        <v>1334</v>
      </c>
      <c r="B5846" s="310"/>
      <c r="C5846" s="311">
        <v>1.2</v>
      </c>
      <c r="D5846" s="312"/>
      <c r="E5846" s="312"/>
      <c r="F5846" s="313" t="s">
        <v>49</v>
      </c>
      <c r="G5846" s="81"/>
      <c r="H5846" s="81"/>
      <c r="I5846" s="81"/>
      <c r="J5846" s="81"/>
      <c r="K5846" s="81"/>
      <c r="L5846" s="81"/>
      <c r="M5846" s="81"/>
      <c r="N5846" s="81"/>
    </row>
    <row r="5847" spans="1:14" ht="14.25" customHeight="1" thickBot="1" x14ac:dyDescent="0.3">
      <c r="A5847" s="314" t="e">
        <f>+'[110]PPTO UNIATLÁNTICO'!B5680</f>
        <v>#REF!</v>
      </c>
      <c r="B5847" s="315"/>
      <c r="C5847" s="315"/>
      <c r="D5847" s="316"/>
      <c r="E5847" s="316"/>
      <c r="F5847" s="317" t="e">
        <f>+'[110]PPTO UNIATLÁNTICO'!C5680</f>
        <v>#REF!</v>
      </c>
      <c r="G5847" s="81"/>
      <c r="H5847" s="81"/>
      <c r="I5847" s="81"/>
      <c r="J5847" s="81"/>
      <c r="K5847" s="81"/>
      <c r="L5847" s="81"/>
      <c r="M5847" s="81"/>
      <c r="N5847" s="81"/>
    </row>
    <row r="5848" spans="1:14" ht="14.25" customHeight="1" thickBot="1" x14ac:dyDescent="0.3">
      <c r="A5848" s="649" t="s">
        <v>1383</v>
      </c>
      <c r="B5848" s="650"/>
      <c r="C5848" s="650"/>
      <c r="D5848" s="650"/>
      <c r="E5848" s="650"/>
      <c r="F5848" s="651"/>
      <c r="G5848" s="81"/>
      <c r="H5848" s="81"/>
      <c r="I5848" s="81"/>
      <c r="J5848" s="81"/>
      <c r="K5848" s="81"/>
      <c r="L5848" s="81"/>
      <c r="M5848" s="81"/>
      <c r="N5848" s="81"/>
    </row>
    <row r="5849" spans="1:14" ht="14.25" customHeight="1" thickBot="1" x14ac:dyDescent="0.3">
      <c r="A5849" s="633" t="s">
        <v>1335</v>
      </c>
      <c r="B5849" s="634"/>
      <c r="C5849" s="634"/>
      <c r="D5849" s="634"/>
      <c r="E5849" s="634"/>
      <c r="F5849" s="635"/>
      <c r="G5849" s="81"/>
      <c r="H5849" s="81"/>
      <c r="I5849" s="81"/>
      <c r="J5849" s="81"/>
      <c r="K5849" s="81"/>
      <c r="L5849" s="81"/>
      <c r="M5849" s="81"/>
      <c r="N5849" s="81"/>
    </row>
    <row r="5850" spans="1:14" ht="14.25" customHeight="1" thickBot="1" x14ac:dyDescent="0.3">
      <c r="A5850" s="318" t="s">
        <v>550</v>
      </c>
      <c r="B5850" s="319" t="s">
        <v>49</v>
      </c>
      <c r="C5850" s="319" t="s">
        <v>50</v>
      </c>
      <c r="D5850" s="319" t="s">
        <v>1336</v>
      </c>
      <c r="E5850" s="320" t="s">
        <v>1337</v>
      </c>
      <c r="F5850" s="321" t="s">
        <v>1338</v>
      </c>
      <c r="G5850" s="81"/>
      <c r="H5850" s="81"/>
      <c r="I5850" s="81"/>
      <c r="J5850" s="81"/>
      <c r="K5850" s="81"/>
      <c r="L5850" s="81"/>
      <c r="M5850" s="81"/>
      <c r="N5850" s="81"/>
    </row>
    <row r="5851" spans="1:14" ht="14.25" customHeight="1" x14ac:dyDescent="0.25">
      <c r="A5851" s="419" t="s">
        <v>1384</v>
      </c>
      <c r="B5851" s="434" t="s">
        <v>64</v>
      </c>
      <c r="C5851" s="435">
        <v>0.25</v>
      </c>
      <c r="D5851" s="436"/>
      <c r="E5851" s="434">
        <f>298593*1.12</f>
        <v>334424.16000000003</v>
      </c>
      <c r="F5851" s="437">
        <f>+C5851*E5851</f>
        <v>83606.040000000008</v>
      </c>
      <c r="G5851" s="81"/>
      <c r="H5851" s="81"/>
      <c r="I5851" s="81"/>
      <c r="J5851" s="81"/>
      <c r="K5851" s="81"/>
      <c r="L5851" s="81"/>
      <c r="M5851" s="81"/>
      <c r="N5851" s="81"/>
    </row>
    <row r="5852" spans="1:14" ht="14.25" customHeight="1" x14ac:dyDescent="0.25">
      <c r="A5852" s="452" t="s">
        <v>1385</v>
      </c>
      <c r="B5852" s="439" t="s">
        <v>117</v>
      </c>
      <c r="C5852" s="440">
        <v>0.2</v>
      </c>
      <c r="D5852" s="441"/>
      <c r="E5852" s="439">
        <f>6800*1.12</f>
        <v>7616.0000000000009</v>
      </c>
      <c r="F5852" s="442">
        <f>+C5852*E5852</f>
        <v>1523.2000000000003</v>
      </c>
      <c r="G5852" s="81"/>
      <c r="H5852" s="81"/>
      <c r="I5852" s="81"/>
      <c r="J5852" s="81"/>
      <c r="K5852" s="81"/>
      <c r="L5852" s="81"/>
      <c r="M5852" s="81"/>
      <c r="N5852" s="81"/>
    </row>
    <row r="5853" spans="1:14" ht="14.25" customHeight="1" thickBot="1" x14ac:dyDescent="0.3">
      <c r="A5853" s="337"/>
      <c r="B5853" s="338"/>
      <c r="C5853" s="339"/>
      <c r="D5853" s="340"/>
      <c r="E5853" s="341" t="s">
        <v>1342</v>
      </c>
      <c r="F5853" s="342"/>
      <c r="G5853" s="81"/>
      <c r="H5853" s="81"/>
      <c r="I5853" s="81"/>
      <c r="J5853" s="81"/>
      <c r="K5853" s="81"/>
      <c r="L5853" s="81"/>
      <c r="M5853" s="81"/>
      <c r="N5853" s="81"/>
    </row>
    <row r="5854" spans="1:14" ht="14.25" customHeight="1" thickBot="1" x14ac:dyDescent="0.3">
      <c r="A5854" s="343"/>
      <c r="B5854" s="344"/>
      <c r="C5854" s="345"/>
      <c r="D5854" s="636" t="s">
        <v>1343</v>
      </c>
      <c r="E5854" s="637"/>
      <c r="F5854" s="346">
        <f>SUM(F5851:F5853)</f>
        <v>85129.24</v>
      </c>
      <c r="G5854" s="81"/>
      <c r="H5854" s="81"/>
      <c r="I5854" s="81"/>
      <c r="J5854" s="81"/>
      <c r="K5854" s="81"/>
      <c r="L5854" s="81"/>
      <c r="M5854" s="81"/>
      <c r="N5854" s="81"/>
    </row>
    <row r="5855" spans="1:14" ht="14.25" customHeight="1" thickBot="1" x14ac:dyDescent="0.3">
      <c r="A5855" s="633" t="s">
        <v>1344</v>
      </c>
      <c r="B5855" s="634"/>
      <c r="C5855" s="634"/>
      <c r="D5855" s="634"/>
      <c r="E5855" s="634"/>
      <c r="F5855" s="635"/>
      <c r="G5855" s="81"/>
      <c r="H5855" s="81"/>
      <c r="I5855" s="81"/>
      <c r="J5855" s="81"/>
      <c r="K5855" s="81"/>
      <c r="L5855" s="81"/>
      <c r="M5855" s="81"/>
      <c r="N5855" s="81"/>
    </row>
    <row r="5856" spans="1:14" ht="14.25" customHeight="1" thickBot="1" x14ac:dyDescent="0.3">
      <c r="A5856" s="347" t="s">
        <v>505</v>
      </c>
      <c r="B5856" s="344"/>
      <c r="C5856" s="348" t="s">
        <v>1345</v>
      </c>
      <c r="D5856" s="349" t="s">
        <v>1346</v>
      </c>
      <c r="E5856" s="350" t="s">
        <v>557</v>
      </c>
      <c r="F5856" s="351"/>
      <c r="G5856" s="81"/>
      <c r="H5856" s="81"/>
      <c r="I5856" s="81"/>
      <c r="J5856" s="81"/>
      <c r="K5856" s="81"/>
      <c r="L5856" s="81"/>
      <c r="M5856" s="81"/>
      <c r="N5856" s="81"/>
    </row>
    <row r="5857" spans="1:14" ht="14.25" customHeight="1" x14ac:dyDescent="0.25">
      <c r="A5857" s="352" t="s">
        <v>1347</v>
      </c>
      <c r="B5857" s="353"/>
      <c r="C5857" s="353">
        <v>5000</v>
      </c>
      <c r="D5857" s="354">
        <v>20</v>
      </c>
      <c r="E5857" s="355">
        <f>+C5857/D5857</f>
        <v>250</v>
      </c>
      <c r="F5857" s="356">
        <f>+E5857</f>
        <v>250</v>
      </c>
      <c r="G5857" s="81"/>
      <c r="H5857" s="81"/>
      <c r="I5857" s="81"/>
      <c r="J5857" s="81"/>
      <c r="K5857" s="81"/>
      <c r="L5857" s="81"/>
      <c r="M5857" s="81"/>
      <c r="N5857" s="81"/>
    </row>
    <row r="5858" spans="1:14" ht="14.25" customHeight="1" x14ac:dyDescent="0.25">
      <c r="A5858" s="357"/>
      <c r="B5858" s="358"/>
      <c r="C5858" s="359"/>
      <c r="D5858" s="359"/>
      <c r="E5858" s="360"/>
      <c r="F5858" s="361"/>
      <c r="G5858" s="81"/>
      <c r="H5858" s="81"/>
      <c r="I5858" s="81"/>
      <c r="J5858" s="81"/>
      <c r="K5858" s="81"/>
      <c r="L5858" s="81"/>
      <c r="M5858" s="81"/>
      <c r="N5858" s="81"/>
    </row>
    <row r="5859" spans="1:14" ht="14.25" customHeight="1" thickBot="1" x14ac:dyDescent="0.3">
      <c r="A5859" s="357"/>
      <c r="B5859" s="358"/>
      <c r="C5859" s="359"/>
      <c r="D5859" s="359"/>
      <c r="E5859" s="360"/>
      <c r="F5859" s="362"/>
      <c r="G5859" s="81"/>
      <c r="H5859" s="81"/>
      <c r="I5859" s="81"/>
      <c r="J5859" s="81"/>
      <c r="K5859" s="81"/>
      <c r="L5859" s="81"/>
      <c r="M5859" s="81"/>
      <c r="N5859" s="81"/>
    </row>
    <row r="5860" spans="1:14" ht="14.25" customHeight="1" thickBot="1" x14ac:dyDescent="0.3">
      <c r="A5860" s="357"/>
      <c r="B5860" s="358"/>
      <c r="C5860" s="363"/>
      <c r="D5860" s="638" t="s">
        <v>1348</v>
      </c>
      <c r="E5860" s="639"/>
      <c r="F5860" s="364">
        <f>SUM(F5857:F5859)</f>
        <v>250</v>
      </c>
      <c r="G5860" s="81"/>
      <c r="H5860" s="81"/>
      <c r="I5860" s="81"/>
      <c r="J5860" s="81"/>
      <c r="K5860" s="81"/>
      <c r="L5860" s="81"/>
      <c r="M5860" s="81"/>
      <c r="N5860" s="81"/>
    </row>
    <row r="5861" spans="1:14" ht="14.25" customHeight="1" thickBot="1" x14ac:dyDescent="0.3">
      <c r="A5861" s="365" t="s">
        <v>553</v>
      </c>
      <c r="B5861" s="366"/>
      <c r="C5861" s="367"/>
      <c r="D5861" s="368"/>
      <c r="E5861" s="369"/>
      <c r="F5861" s="370"/>
      <c r="G5861" s="81"/>
      <c r="H5861" s="81"/>
      <c r="I5861" s="81"/>
      <c r="J5861" s="81"/>
      <c r="K5861" s="81"/>
      <c r="L5861" s="81"/>
      <c r="M5861" s="81"/>
      <c r="N5861" s="81"/>
    </row>
    <row r="5862" spans="1:14" ht="14.25" customHeight="1" thickBot="1" x14ac:dyDescent="0.3">
      <c r="A5862" s="371" t="s">
        <v>505</v>
      </c>
      <c r="B5862" s="372" t="s">
        <v>50</v>
      </c>
      <c r="C5862" s="373" t="s">
        <v>1349</v>
      </c>
      <c r="D5862" s="373" t="s">
        <v>1350</v>
      </c>
      <c r="E5862" s="373" t="s">
        <v>1346</v>
      </c>
      <c r="F5862" s="374" t="s">
        <v>557</v>
      </c>
      <c r="G5862" s="81"/>
      <c r="H5862" s="81"/>
      <c r="I5862" s="81"/>
      <c r="J5862" s="81"/>
      <c r="K5862" s="81"/>
      <c r="L5862" s="81"/>
      <c r="M5862" s="81"/>
      <c r="N5862" s="81"/>
    </row>
    <row r="5863" spans="1:14" ht="14.25" customHeight="1" x14ac:dyDescent="0.25">
      <c r="A5863" s="357" t="s">
        <v>1373</v>
      </c>
      <c r="B5863" s="375">
        <v>1</v>
      </c>
      <c r="C5863" s="376">
        <v>186800</v>
      </c>
      <c r="D5863" s="377">
        <v>1.9402999999999999</v>
      </c>
      <c r="E5863" s="378">
        <v>8.6770755430764055</v>
      </c>
      <c r="F5863" s="379">
        <f>(B5863*C5863*D5863)/E5863</f>
        <v>41770.759998649984</v>
      </c>
      <c r="G5863" s="81"/>
      <c r="H5863" s="81"/>
      <c r="I5863" s="81"/>
      <c r="J5863" s="81"/>
      <c r="K5863" s="81"/>
      <c r="L5863" s="81"/>
      <c r="M5863" s="81"/>
      <c r="N5863" s="81"/>
    </row>
    <row r="5864" spans="1:14" ht="14.25" customHeight="1" x14ac:dyDescent="0.25">
      <c r="A5864" s="380"/>
      <c r="B5864" s="353"/>
      <c r="C5864" s="359"/>
      <c r="D5864" s="359"/>
      <c r="E5864" s="381"/>
      <c r="F5864" s="382"/>
      <c r="G5864" s="81"/>
      <c r="H5864" s="81"/>
      <c r="I5864" s="81"/>
      <c r="J5864" s="81"/>
      <c r="K5864" s="81"/>
      <c r="L5864" s="81"/>
      <c r="M5864" s="81"/>
      <c r="N5864" s="81"/>
    </row>
    <row r="5865" spans="1:14" ht="14.25" customHeight="1" x14ac:dyDescent="0.25">
      <c r="A5865" s="357"/>
      <c r="B5865" s="358"/>
      <c r="C5865" s="359"/>
      <c r="D5865" s="359"/>
      <c r="E5865" s="360"/>
      <c r="F5865" s="361"/>
      <c r="G5865" s="81"/>
      <c r="H5865" s="81"/>
      <c r="I5865" s="81"/>
      <c r="J5865" s="81"/>
      <c r="K5865" s="81"/>
      <c r="L5865" s="81"/>
      <c r="M5865" s="81"/>
      <c r="N5865" s="81"/>
    </row>
    <row r="5866" spans="1:14" ht="14.25" customHeight="1" thickBot="1" x14ac:dyDescent="0.3">
      <c r="A5866" s="352"/>
      <c r="B5866" s="353"/>
      <c r="C5866" s="359"/>
      <c r="D5866" s="359"/>
      <c r="E5866" s="381"/>
      <c r="F5866" s="383"/>
      <c r="G5866" s="81"/>
      <c r="H5866" s="81"/>
      <c r="I5866" s="81"/>
      <c r="J5866" s="81"/>
      <c r="K5866" s="81"/>
      <c r="L5866" s="81"/>
      <c r="M5866" s="81"/>
      <c r="N5866" s="81"/>
    </row>
    <row r="5867" spans="1:14" ht="14.25" customHeight="1" thickBot="1" x14ac:dyDescent="0.3">
      <c r="A5867" s="352"/>
      <c r="B5867" s="384"/>
      <c r="C5867" s="385"/>
      <c r="D5867" s="640" t="s">
        <v>1352</v>
      </c>
      <c r="E5867" s="641"/>
      <c r="F5867" s="364">
        <f>SUM(F5863:F5866)</f>
        <v>41770.759998649984</v>
      </c>
      <c r="G5867" s="81"/>
      <c r="H5867" s="81"/>
      <c r="I5867" s="81"/>
      <c r="J5867" s="81"/>
      <c r="K5867" s="81"/>
      <c r="L5867" s="81"/>
      <c r="M5867" s="81"/>
      <c r="N5867" s="81"/>
    </row>
    <row r="5868" spans="1:14" ht="14.25" customHeight="1" thickBot="1" x14ac:dyDescent="0.3">
      <c r="A5868" s="386" t="s">
        <v>554</v>
      </c>
      <c r="B5868" s="387"/>
      <c r="C5868" s="388"/>
      <c r="D5868" s="388"/>
      <c r="E5868" s="389"/>
      <c r="F5868" s="390"/>
      <c r="G5868" s="81"/>
      <c r="H5868" s="81"/>
      <c r="I5868" s="81"/>
      <c r="J5868" s="81"/>
      <c r="K5868" s="81"/>
      <c r="L5868" s="81"/>
      <c r="M5868" s="81"/>
      <c r="N5868" s="81"/>
    </row>
    <row r="5869" spans="1:14" ht="14.25" customHeight="1" thickBot="1" x14ac:dyDescent="0.3">
      <c r="A5869" s="371" t="s">
        <v>550</v>
      </c>
      <c r="B5869" s="372"/>
      <c r="C5869" s="373" t="s">
        <v>1353</v>
      </c>
      <c r="D5869" s="373" t="s">
        <v>1354</v>
      </c>
      <c r="E5869" s="373" t="s">
        <v>1355</v>
      </c>
      <c r="F5869" s="374" t="s">
        <v>557</v>
      </c>
      <c r="G5869" s="81"/>
      <c r="H5869" s="81"/>
      <c r="I5869" s="81"/>
      <c r="J5869" s="81"/>
      <c r="K5869" s="81"/>
      <c r="L5869" s="81"/>
      <c r="M5869" s="81"/>
      <c r="N5869" s="81"/>
    </row>
    <row r="5870" spans="1:14" ht="14.25" customHeight="1" x14ac:dyDescent="0.25">
      <c r="A5870" s="391" t="s">
        <v>604</v>
      </c>
      <c r="B5870" s="392"/>
      <c r="C5870" s="393"/>
      <c r="D5870" s="392">
        <v>2.5</v>
      </c>
      <c r="E5870" s="392">
        <v>100</v>
      </c>
      <c r="F5870" s="427">
        <f>+E5870*D5870</f>
        <v>250</v>
      </c>
      <c r="G5870" s="81"/>
      <c r="H5870" s="81"/>
      <c r="I5870" s="81"/>
      <c r="J5870" s="81"/>
      <c r="K5870" s="81"/>
      <c r="L5870" s="81"/>
      <c r="M5870" s="81"/>
      <c r="N5870" s="81"/>
    </row>
    <row r="5871" spans="1:14" ht="14.25" customHeight="1" x14ac:dyDescent="0.25">
      <c r="A5871" s="396"/>
      <c r="B5871" s="397"/>
      <c r="C5871" s="398"/>
      <c r="D5871" s="398"/>
      <c r="E5871" s="399"/>
      <c r="F5871" s="400"/>
      <c r="G5871" s="81"/>
      <c r="H5871" s="81"/>
      <c r="I5871" s="81"/>
      <c r="J5871" s="81"/>
      <c r="K5871" s="81"/>
      <c r="L5871" s="81"/>
      <c r="M5871" s="81"/>
      <c r="N5871" s="81"/>
    </row>
    <row r="5872" spans="1:14" ht="14.25" customHeight="1" thickBot="1" x14ac:dyDescent="0.3">
      <c r="A5872" s="396"/>
      <c r="B5872" s="397"/>
      <c r="C5872" s="398"/>
      <c r="D5872" s="398"/>
      <c r="E5872" s="399"/>
      <c r="F5872" s="401"/>
      <c r="G5872" s="81"/>
      <c r="H5872" s="81"/>
      <c r="I5872" s="81"/>
      <c r="J5872" s="81"/>
      <c r="K5872" s="81"/>
      <c r="L5872" s="81"/>
      <c r="M5872" s="81"/>
      <c r="N5872" s="81"/>
    </row>
    <row r="5873" spans="1:14" ht="14.25" customHeight="1" thickBot="1" x14ac:dyDescent="0.3">
      <c r="A5873" s="352"/>
      <c r="B5873" s="384"/>
      <c r="C5873" s="385"/>
      <c r="D5873" s="640" t="s">
        <v>1356</v>
      </c>
      <c r="E5873" s="642"/>
      <c r="F5873" s="402">
        <f>SUM(F5870)</f>
        <v>250</v>
      </c>
      <c r="G5873" s="81"/>
      <c r="H5873" s="81"/>
      <c r="I5873" s="81"/>
      <c r="J5873" s="81"/>
      <c r="K5873" s="81"/>
      <c r="L5873" s="81"/>
      <c r="M5873" s="81"/>
      <c r="N5873" s="81"/>
    </row>
    <row r="5874" spans="1:14" ht="14.25" customHeight="1" thickBot="1" x14ac:dyDescent="0.3">
      <c r="A5874" s="643"/>
      <c r="B5874" s="644"/>
      <c r="C5874" s="644"/>
      <c r="D5874" s="644"/>
      <c r="E5874" s="403" t="s">
        <v>555</v>
      </c>
      <c r="F5874" s="404">
        <f>+F5873+F5867+F5860+F5854</f>
        <v>127399.99999864999</v>
      </c>
      <c r="G5874" s="81"/>
      <c r="H5874" s="81"/>
      <c r="I5874" s="81"/>
      <c r="J5874" s="81"/>
      <c r="K5874" s="81"/>
      <c r="L5874" s="81"/>
      <c r="M5874" s="81"/>
      <c r="N5874" s="81"/>
    </row>
    <row r="5875" spans="1:14" ht="14.25" customHeight="1" x14ac:dyDescent="0.25">
      <c r="A5875" s="168"/>
      <c r="B5875" s="168"/>
      <c r="C5875" s="168"/>
      <c r="D5875" s="168"/>
      <c r="E5875" s="168"/>
      <c r="F5875" s="168"/>
      <c r="G5875" s="81"/>
      <c r="H5875" s="81"/>
      <c r="I5875" s="81"/>
      <c r="J5875" s="81"/>
      <c r="K5875" s="81"/>
      <c r="L5875" s="81"/>
      <c r="M5875" s="81"/>
      <c r="N5875" s="81"/>
    </row>
    <row r="5876" spans="1:14" ht="14.25" customHeight="1" x14ac:dyDescent="0.25">
      <c r="A5876" s="168"/>
      <c r="B5876" s="168"/>
      <c r="C5876" s="168"/>
      <c r="D5876" s="168"/>
      <c r="E5876" s="168"/>
      <c r="F5876" s="168"/>
      <c r="G5876" s="81"/>
      <c r="H5876" s="117"/>
      <c r="I5876" s="81"/>
      <c r="J5876" s="81"/>
      <c r="K5876" s="81"/>
      <c r="L5876" s="81"/>
      <c r="M5876" s="81"/>
      <c r="N5876" s="81"/>
    </row>
    <row r="5877" spans="1:14" ht="14.25" customHeight="1" x14ac:dyDescent="0.25">
      <c r="A5877" s="168"/>
      <c r="B5877" s="168"/>
      <c r="C5877" s="168"/>
      <c r="D5877" s="168"/>
      <c r="E5877" s="168"/>
      <c r="F5877" s="168"/>
      <c r="G5877" s="81"/>
      <c r="H5877" s="81"/>
      <c r="I5877" s="81"/>
      <c r="J5877" s="81"/>
      <c r="K5877" s="81"/>
      <c r="L5877" s="81"/>
      <c r="M5877" s="81"/>
      <c r="N5877" s="81"/>
    </row>
    <row r="5878" spans="1:14" ht="14.25" customHeight="1" x14ac:dyDescent="0.25">
      <c r="A5878" s="645" t="s">
        <v>561</v>
      </c>
      <c r="B5878" s="646"/>
      <c r="C5878" s="646"/>
      <c r="D5878" s="646"/>
      <c r="E5878" s="646"/>
      <c r="F5878" s="647"/>
      <c r="G5878" s="81"/>
      <c r="H5878" s="81"/>
      <c r="I5878" s="81"/>
      <c r="J5878" s="81"/>
      <c r="K5878" s="81"/>
      <c r="L5878" s="81"/>
      <c r="M5878" s="81"/>
      <c r="N5878" s="81"/>
    </row>
    <row r="5879" spans="1:14" ht="14.25" customHeight="1" thickBot="1" x14ac:dyDescent="0.3">
      <c r="A5879" s="648"/>
      <c r="B5879" s="648"/>
      <c r="C5879" s="648"/>
      <c r="D5879" s="648"/>
      <c r="E5879" s="648"/>
      <c r="F5879" s="648"/>
      <c r="G5879" s="81"/>
      <c r="H5879" s="81"/>
      <c r="I5879" s="81"/>
      <c r="J5879" s="81"/>
      <c r="K5879" s="81"/>
      <c r="L5879" s="81"/>
      <c r="M5879" s="81"/>
      <c r="N5879" s="81"/>
    </row>
    <row r="5880" spans="1:14" ht="14.25" customHeight="1" thickBot="1" x14ac:dyDescent="0.3">
      <c r="A5880" s="309" t="s">
        <v>1334</v>
      </c>
      <c r="B5880" s="311"/>
      <c r="C5880" s="311">
        <v>1.3</v>
      </c>
      <c r="D5880" s="312"/>
      <c r="E5880" s="312"/>
      <c r="F5880" s="313" t="s">
        <v>49</v>
      </c>
      <c r="G5880" s="81"/>
      <c r="H5880" s="81"/>
      <c r="I5880" s="81"/>
      <c r="J5880" s="81"/>
      <c r="K5880" s="81"/>
      <c r="L5880" s="81"/>
      <c r="M5880" s="81"/>
      <c r="N5880" s="81"/>
    </row>
    <row r="5881" spans="1:14" ht="14.25" customHeight="1" thickBot="1" x14ac:dyDescent="0.3">
      <c r="A5881" s="660" t="e">
        <f>+'[110]PPTO UNIATLÁNTICO'!B5681</f>
        <v>#REF!</v>
      </c>
      <c r="B5881" s="661"/>
      <c r="C5881" s="661"/>
      <c r="D5881" s="661"/>
      <c r="E5881" s="662"/>
      <c r="F5881" s="317" t="e">
        <f>+'[110]PPTO UNIATLÁNTICO'!C5681</f>
        <v>#REF!</v>
      </c>
      <c r="G5881" s="81"/>
      <c r="H5881" s="81"/>
      <c r="I5881" s="81"/>
      <c r="J5881" s="81"/>
      <c r="K5881" s="81"/>
      <c r="L5881" s="81"/>
      <c r="M5881" s="81"/>
      <c r="N5881" s="81"/>
    </row>
    <row r="5882" spans="1:14" ht="14.25" customHeight="1" thickBot="1" x14ac:dyDescent="0.3">
      <c r="A5882" s="649" t="s">
        <v>1386</v>
      </c>
      <c r="B5882" s="650"/>
      <c r="C5882" s="650"/>
      <c r="D5882" s="650"/>
      <c r="E5882" s="650"/>
      <c r="F5882" s="651"/>
      <c r="G5882" s="81"/>
      <c r="H5882" s="81"/>
      <c r="I5882" s="81"/>
      <c r="J5882" s="81"/>
      <c r="K5882" s="81"/>
      <c r="L5882" s="81"/>
      <c r="M5882" s="81"/>
      <c r="N5882" s="81"/>
    </row>
    <row r="5883" spans="1:14" ht="14.25" customHeight="1" thickBot="1" x14ac:dyDescent="0.3">
      <c r="A5883" s="633" t="s">
        <v>1335</v>
      </c>
      <c r="B5883" s="634"/>
      <c r="C5883" s="634"/>
      <c r="D5883" s="634"/>
      <c r="E5883" s="634"/>
      <c r="F5883" s="635"/>
      <c r="G5883" s="81"/>
      <c r="H5883" s="81"/>
      <c r="I5883" s="81"/>
      <c r="J5883" s="81"/>
      <c r="K5883" s="81"/>
      <c r="L5883" s="81"/>
      <c r="M5883" s="81"/>
      <c r="N5883" s="81"/>
    </row>
    <row r="5884" spans="1:14" ht="14.25" customHeight="1" thickBot="1" x14ac:dyDescent="0.3">
      <c r="A5884" s="318" t="s">
        <v>550</v>
      </c>
      <c r="B5884" s="319" t="s">
        <v>49</v>
      </c>
      <c r="C5884" s="319" t="s">
        <v>50</v>
      </c>
      <c r="D5884" s="319" t="s">
        <v>1336</v>
      </c>
      <c r="E5884" s="320" t="s">
        <v>1337</v>
      </c>
      <c r="F5884" s="321" t="s">
        <v>1338</v>
      </c>
      <c r="G5884" s="81"/>
      <c r="H5884" s="81"/>
      <c r="I5884" s="81"/>
      <c r="J5884" s="81"/>
      <c r="K5884" s="81"/>
      <c r="L5884" s="81"/>
      <c r="M5884" s="81"/>
      <c r="N5884" s="81"/>
    </row>
    <row r="5885" spans="1:14" ht="14.25" customHeight="1" x14ac:dyDescent="0.25">
      <c r="A5885" s="419" t="s">
        <v>1387</v>
      </c>
      <c r="B5885" s="434" t="s">
        <v>49</v>
      </c>
      <c r="C5885" s="435">
        <v>1</v>
      </c>
      <c r="D5885" s="436"/>
      <c r="E5885" s="453">
        <v>12880000.000000002</v>
      </c>
      <c r="F5885" s="437">
        <f>+C5885*E5885</f>
        <v>12880000.000000002</v>
      </c>
      <c r="G5885" s="81"/>
      <c r="H5885" s="81"/>
      <c r="I5885" s="81"/>
      <c r="J5885" s="81"/>
      <c r="K5885" s="81"/>
      <c r="L5885" s="81"/>
      <c r="M5885" s="81"/>
      <c r="N5885" s="81"/>
    </row>
    <row r="5886" spans="1:14" ht="14.25" customHeight="1" x14ac:dyDescent="0.25">
      <c r="A5886" s="452" t="s">
        <v>1388</v>
      </c>
      <c r="B5886" s="439" t="s">
        <v>49</v>
      </c>
      <c r="C5886" s="440">
        <v>1</v>
      </c>
      <c r="D5886" s="441"/>
      <c r="E5886" s="454">
        <v>784000.00000000012</v>
      </c>
      <c r="F5886" s="442">
        <f>+C5886*E5886</f>
        <v>784000.00000000012</v>
      </c>
      <c r="G5886" s="81"/>
      <c r="H5886" s="81"/>
      <c r="I5886" s="81"/>
      <c r="J5886" s="81"/>
      <c r="K5886" s="81"/>
      <c r="L5886" s="81"/>
      <c r="M5886" s="81"/>
      <c r="N5886" s="81"/>
    </row>
    <row r="5887" spans="1:14" ht="14.25" customHeight="1" x14ac:dyDescent="0.25">
      <c r="A5887" s="452"/>
      <c r="B5887" s="439"/>
      <c r="C5887" s="440"/>
      <c r="D5887" s="441"/>
      <c r="E5887" s="454"/>
      <c r="F5887" s="442"/>
      <c r="G5887" s="81"/>
      <c r="H5887" s="81"/>
      <c r="I5887" s="81"/>
      <c r="J5887" s="81"/>
      <c r="K5887" s="81"/>
      <c r="L5887" s="81"/>
      <c r="M5887" s="81"/>
      <c r="N5887" s="81"/>
    </row>
    <row r="5888" spans="1:14" ht="14.25" customHeight="1" x14ac:dyDescent="0.25">
      <c r="A5888" s="452"/>
      <c r="B5888" s="439"/>
      <c r="C5888" s="440"/>
      <c r="D5888" s="441"/>
      <c r="E5888" s="454"/>
      <c r="F5888" s="442"/>
      <c r="G5888" s="81"/>
      <c r="H5888" s="81"/>
      <c r="I5888" s="81"/>
      <c r="J5888" s="81"/>
      <c r="K5888" s="81"/>
      <c r="L5888" s="81"/>
      <c r="M5888" s="81"/>
      <c r="N5888" s="81"/>
    </row>
    <row r="5889" spans="1:14" ht="14.25" customHeight="1" thickBot="1" x14ac:dyDescent="0.3">
      <c r="A5889" s="443"/>
      <c r="B5889" s="444"/>
      <c r="C5889" s="339"/>
      <c r="D5889" s="445"/>
      <c r="E5889" s="446" t="s">
        <v>1342</v>
      </c>
      <c r="F5889" s="447"/>
      <c r="G5889" s="81"/>
      <c r="H5889" s="81"/>
      <c r="I5889" s="81"/>
      <c r="J5889" s="81"/>
      <c r="K5889" s="81"/>
      <c r="L5889" s="81"/>
      <c r="M5889" s="81"/>
      <c r="N5889" s="81"/>
    </row>
    <row r="5890" spans="1:14" ht="14.25" customHeight="1" thickBot="1" x14ac:dyDescent="0.3">
      <c r="A5890" s="343"/>
      <c r="B5890" s="344"/>
      <c r="C5890" s="345"/>
      <c r="D5890" s="636" t="s">
        <v>1343</v>
      </c>
      <c r="E5890" s="637"/>
      <c r="F5890" s="346">
        <f>SUM(F5885:F5889)</f>
        <v>13664000.000000002</v>
      </c>
      <c r="G5890" s="81"/>
      <c r="H5890" s="81"/>
      <c r="I5890" s="81"/>
      <c r="J5890" s="81"/>
      <c r="K5890" s="81"/>
      <c r="L5890" s="81"/>
      <c r="M5890" s="81"/>
      <c r="N5890" s="81"/>
    </row>
    <row r="5891" spans="1:14" ht="14.25" customHeight="1" thickBot="1" x14ac:dyDescent="0.3">
      <c r="A5891" s="633" t="s">
        <v>1344</v>
      </c>
      <c r="B5891" s="634"/>
      <c r="C5891" s="634"/>
      <c r="D5891" s="634"/>
      <c r="E5891" s="634"/>
      <c r="F5891" s="635"/>
      <c r="G5891" s="81"/>
      <c r="H5891" s="81"/>
      <c r="I5891" s="81"/>
      <c r="J5891" s="81"/>
      <c r="K5891" s="81"/>
      <c r="L5891" s="81"/>
      <c r="M5891" s="81"/>
      <c r="N5891" s="81"/>
    </row>
    <row r="5892" spans="1:14" ht="14.25" customHeight="1" thickBot="1" x14ac:dyDescent="0.3">
      <c r="A5892" s="347" t="s">
        <v>505</v>
      </c>
      <c r="B5892" s="344"/>
      <c r="C5892" s="348" t="s">
        <v>1345</v>
      </c>
      <c r="D5892" s="349" t="s">
        <v>1346</v>
      </c>
      <c r="E5892" s="350" t="s">
        <v>557</v>
      </c>
      <c r="F5892" s="351"/>
      <c r="G5892" s="81"/>
      <c r="H5892" s="81"/>
      <c r="I5892" s="81"/>
      <c r="J5892" s="81"/>
      <c r="K5892" s="81"/>
      <c r="L5892" s="81"/>
      <c r="M5892" s="81"/>
      <c r="N5892" s="81"/>
    </row>
    <row r="5893" spans="1:14" ht="14.25" customHeight="1" x14ac:dyDescent="0.25">
      <c r="A5893" s="352" t="s">
        <v>1347</v>
      </c>
      <c r="B5893" s="353"/>
      <c r="C5893" s="353">
        <v>5000</v>
      </c>
      <c r="D5893" s="354">
        <v>0.125</v>
      </c>
      <c r="E5893" s="355">
        <f>+C5893/D5893</f>
        <v>40000</v>
      </c>
      <c r="F5893" s="356">
        <f>+E5893</f>
        <v>40000</v>
      </c>
      <c r="G5893" s="81"/>
      <c r="H5893" s="81"/>
      <c r="I5893" s="81"/>
      <c r="J5893" s="81"/>
      <c r="K5893" s="81"/>
      <c r="L5893" s="81"/>
      <c r="M5893" s="81"/>
      <c r="N5893" s="81"/>
    </row>
    <row r="5894" spans="1:14" ht="14.25" customHeight="1" x14ac:dyDescent="0.25">
      <c r="A5894" s="357"/>
      <c r="B5894" s="358"/>
      <c r="C5894" s="359"/>
      <c r="D5894" s="359"/>
      <c r="E5894" s="360"/>
      <c r="F5894" s="361"/>
      <c r="G5894" s="81"/>
      <c r="H5894" s="81"/>
      <c r="I5894" s="81"/>
      <c r="J5894" s="81"/>
      <c r="K5894" s="81"/>
      <c r="L5894" s="81"/>
      <c r="M5894" s="81"/>
      <c r="N5894" s="81"/>
    </row>
    <row r="5895" spans="1:14" ht="14.25" customHeight="1" thickBot="1" x14ac:dyDescent="0.3">
      <c r="A5895" s="357"/>
      <c r="B5895" s="358"/>
      <c r="C5895" s="359"/>
      <c r="D5895" s="359"/>
      <c r="E5895" s="360"/>
      <c r="F5895" s="362"/>
      <c r="G5895" s="81"/>
      <c r="H5895" s="81"/>
      <c r="I5895" s="81"/>
      <c r="J5895" s="81"/>
      <c r="K5895" s="81"/>
      <c r="L5895" s="81"/>
      <c r="M5895" s="81"/>
      <c r="N5895" s="81"/>
    </row>
    <row r="5896" spans="1:14" ht="14.25" customHeight="1" thickBot="1" x14ac:dyDescent="0.3">
      <c r="A5896" s="357"/>
      <c r="B5896" s="358"/>
      <c r="C5896" s="363"/>
      <c r="D5896" s="638" t="s">
        <v>1348</v>
      </c>
      <c r="E5896" s="639"/>
      <c r="F5896" s="364">
        <f>SUM(F5893:F5895)</f>
        <v>40000</v>
      </c>
      <c r="G5896" s="81"/>
      <c r="H5896" s="81"/>
      <c r="I5896" s="81"/>
      <c r="J5896" s="81"/>
      <c r="K5896" s="81"/>
      <c r="L5896" s="81"/>
      <c r="M5896" s="81"/>
      <c r="N5896" s="81"/>
    </row>
    <row r="5897" spans="1:14" ht="14.25" customHeight="1" thickBot="1" x14ac:dyDescent="0.3">
      <c r="A5897" s="365" t="s">
        <v>553</v>
      </c>
      <c r="B5897" s="366"/>
      <c r="C5897" s="367"/>
      <c r="D5897" s="368"/>
      <c r="E5897" s="369"/>
      <c r="F5897" s="370"/>
      <c r="G5897" s="81"/>
      <c r="H5897" s="81"/>
      <c r="I5897" s="81"/>
      <c r="J5897" s="81"/>
      <c r="K5897" s="81"/>
      <c r="L5897" s="81"/>
      <c r="M5897" s="81"/>
      <c r="N5897" s="81"/>
    </row>
    <row r="5898" spans="1:14" ht="14.25" customHeight="1" thickBot="1" x14ac:dyDescent="0.3">
      <c r="A5898" s="371" t="s">
        <v>505</v>
      </c>
      <c r="B5898" s="372" t="s">
        <v>50</v>
      </c>
      <c r="C5898" s="373" t="s">
        <v>1349</v>
      </c>
      <c r="D5898" s="373" t="s">
        <v>1350</v>
      </c>
      <c r="E5898" s="373" t="s">
        <v>1346</v>
      </c>
      <c r="F5898" s="374" t="s">
        <v>557</v>
      </c>
      <c r="G5898" s="81"/>
      <c r="H5898" s="81"/>
      <c r="I5898" s="81"/>
      <c r="J5898" s="81"/>
      <c r="K5898" s="81"/>
      <c r="L5898" s="81"/>
      <c r="M5898" s="81"/>
      <c r="N5898" s="81"/>
    </row>
    <row r="5899" spans="1:14" ht="14.25" customHeight="1" x14ac:dyDescent="0.25">
      <c r="A5899" s="357" t="s">
        <v>1373</v>
      </c>
      <c r="B5899" s="375">
        <v>1</v>
      </c>
      <c r="C5899" s="376">
        <v>186800</v>
      </c>
      <c r="D5899" s="377">
        <v>1.9402999999999999</v>
      </c>
      <c r="E5899" s="378">
        <v>0.22100490243902812</v>
      </c>
      <c r="F5899" s="379">
        <f>(B5899*C5899*D5899)/E5899</f>
        <v>1639999.9999999723</v>
      </c>
      <c r="G5899" s="81"/>
      <c r="H5899" s="81"/>
      <c r="I5899" s="81"/>
      <c r="J5899" s="81"/>
      <c r="K5899" s="81"/>
      <c r="L5899" s="81"/>
      <c r="M5899" s="81"/>
      <c r="N5899" s="81"/>
    </row>
    <row r="5900" spans="1:14" ht="14.25" customHeight="1" x14ac:dyDescent="0.25">
      <c r="A5900" s="380"/>
      <c r="B5900" s="353"/>
      <c r="C5900" s="359"/>
      <c r="D5900" s="359"/>
      <c r="E5900" s="381"/>
      <c r="F5900" s="382"/>
      <c r="G5900" s="81"/>
      <c r="H5900" s="81"/>
      <c r="I5900" s="81"/>
      <c r="J5900" s="81"/>
      <c r="K5900" s="81"/>
      <c r="L5900" s="81"/>
      <c r="M5900" s="81"/>
      <c r="N5900" s="81"/>
    </row>
    <row r="5901" spans="1:14" ht="14.25" customHeight="1" x14ac:dyDescent="0.25">
      <c r="A5901" s="357"/>
      <c r="B5901" s="358"/>
      <c r="C5901" s="359"/>
      <c r="D5901" s="359"/>
      <c r="E5901" s="360"/>
      <c r="F5901" s="361"/>
      <c r="G5901" s="81"/>
      <c r="H5901" s="81"/>
      <c r="I5901" s="81"/>
      <c r="J5901" s="81"/>
      <c r="K5901" s="81"/>
      <c r="L5901" s="81"/>
      <c r="M5901" s="81"/>
      <c r="N5901" s="81"/>
    </row>
    <row r="5902" spans="1:14" ht="14.25" customHeight="1" thickBot="1" x14ac:dyDescent="0.3">
      <c r="A5902" s="352"/>
      <c r="B5902" s="353"/>
      <c r="C5902" s="359"/>
      <c r="D5902" s="359"/>
      <c r="E5902" s="381"/>
      <c r="F5902" s="383"/>
      <c r="G5902" s="81"/>
      <c r="H5902" s="81"/>
      <c r="I5902" s="81"/>
      <c r="J5902" s="81"/>
      <c r="K5902" s="81"/>
      <c r="L5902" s="81"/>
      <c r="M5902" s="81"/>
      <c r="N5902" s="81"/>
    </row>
    <row r="5903" spans="1:14" ht="14.25" customHeight="1" thickBot="1" x14ac:dyDescent="0.3">
      <c r="A5903" s="352"/>
      <c r="B5903" s="384"/>
      <c r="C5903" s="385"/>
      <c r="D5903" s="640" t="s">
        <v>1352</v>
      </c>
      <c r="E5903" s="641"/>
      <c r="F5903" s="364">
        <f>SUM(F5899:F5902)</f>
        <v>1639999.9999999723</v>
      </c>
      <c r="G5903" s="81"/>
      <c r="H5903" s="81"/>
      <c r="I5903" s="81"/>
      <c r="J5903" s="81"/>
      <c r="K5903" s="81"/>
      <c r="L5903" s="81"/>
      <c r="M5903" s="81"/>
      <c r="N5903" s="81"/>
    </row>
    <row r="5904" spans="1:14" ht="14.25" customHeight="1" thickBot="1" x14ac:dyDescent="0.3">
      <c r="A5904" s="386" t="s">
        <v>554</v>
      </c>
      <c r="B5904" s="387"/>
      <c r="C5904" s="388"/>
      <c r="D5904" s="388"/>
      <c r="E5904" s="389"/>
      <c r="F5904" s="390"/>
      <c r="G5904" s="81"/>
      <c r="H5904" s="81"/>
      <c r="I5904" s="81"/>
      <c r="J5904" s="81"/>
      <c r="K5904" s="81"/>
      <c r="L5904" s="81"/>
      <c r="M5904" s="81"/>
      <c r="N5904" s="81"/>
    </row>
    <row r="5905" spans="1:14" ht="14.25" customHeight="1" thickBot="1" x14ac:dyDescent="0.3">
      <c r="A5905" s="371" t="s">
        <v>550</v>
      </c>
      <c r="B5905" s="372"/>
      <c r="C5905" s="373" t="s">
        <v>1353</v>
      </c>
      <c r="D5905" s="373" t="s">
        <v>1354</v>
      </c>
      <c r="E5905" s="373" t="s">
        <v>1355</v>
      </c>
      <c r="F5905" s="374" t="s">
        <v>557</v>
      </c>
      <c r="G5905" s="81"/>
      <c r="H5905" s="81"/>
      <c r="I5905" s="81"/>
      <c r="J5905" s="81"/>
      <c r="K5905" s="81"/>
      <c r="L5905" s="81"/>
      <c r="M5905" s="81"/>
      <c r="N5905" s="81"/>
    </row>
    <row r="5906" spans="1:14" ht="14.25" customHeight="1" x14ac:dyDescent="0.25">
      <c r="A5906" s="391" t="s">
        <v>604</v>
      </c>
      <c r="B5906" s="392"/>
      <c r="C5906" s="393"/>
      <c r="D5906" s="392">
        <v>2.5</v>
      </c>
      <c r="E5906" s="455">
        <f>240000*1.12</f>
        <v>268800</v>
      </c>
      <c r="F5906" s="395">
        <f>+E5906*D5906</f>
        <v>672000</v>
      </c>
      <c r="G5906" s="81"/>
      <c r="H5906" s="81"/>
      <c r="I5906" s="81"/>
      <c r="J5906" s="81"/>
      <c r="K5906" s="81"/>
      <c r="L5906" s="81"/>
      <c r="M5906" s="81"/>
      <c r="N5906" s="81"/>
    </row>
    <row r="5907" spans="1:14" ht="14.25" customHeight="1" x14ac:dyDescent="0.25">
      <c r="A5907" s="396"/>
      <c r="B5907" s="397"/>
      <c r="C5907" s="398"/>
      <c r="D5907" s="398"/>
      <c r="E5907" s="399"/>
      <c r="F5907" s="400"/>
      <c r="G5907" s="81"/>
      <c r="H5907" s="81"/>
      <c r="I5907" s="81"/>
      <c r="J5907" s="81"/>
      <c r="K5907" s="81"/>
      <c r="L5907" s="81"/>
      <c r="M5907" s="81"/>
      <c r="N5907" s="81"/>
    </row>
    <row r="5908" spans="1:14" ht="14.25" customHeight="1" thickBot="1" x14ac:dyDescent="0.3">
      <c r="A5908" s="396"/>
      <c r="B5908" s="397"/>
      <c r="C5908" s="398"/>
      <c r="D5908" s="398"/>
      <c r="E5908" s="399"/>
      <c r="F5908" s="401"/>
      <c r="G5908" s="81"/>
      <c r="H5908" s="81"/>
      <c r="I5908" s="81"/>
      <c r="J5908" s="81"/>
      <c r="K5908" s="81"/>
      <c r="L5908" s="81"/>
      <c r="M5908" s="81"/>
      <c r="N5908" s="81"/>
    </row>
    <row r="5909" spans="1:14" ht="14.25" customHeight="1" thickBot="1" x14ac:dyDescent="0.3">
      <c r="A5909" s="352"/>
      <c r="B5909" s="384"/>
      <c r="C5909" s="385"/>
      <c r="D5909" s="640" t="s">
        <v>1356</v>
      </c>
      <c r="E5909" s="642"/>
      <c r="F5909" s="402">
        <f>SUM(F5906)</f>
        <v>672000</v>
      </c>
      <c r="G5909" s="81"/>
      <c r="H5909" s="81"/>
      <c r="I5909" s="81"/>
      <c r="J5909" s="81"/>
      <c r="K5909" s="81"/>
      <c r="L5909" s="81"/>
      <c r="M5909" s="81"/>
      <c r="N5909" s="81"/>
    </row>
    <row r="5910" spans="1:14" ht="14.25" customHeight="1" thickBot="1" x14ac:dyDescent="0.3">
      <c r="A5910" s="643"/>
      <c r="B5910" s="644"/>
      <c r="C5910" s="644"/>
      <c r="D5910" s="644"/>
      <c r="E5910" s="403" t="s">
        <v>555</v>
      </c>
      <c r="F5910" s="404">
        <f>+F5909+F5903+F5896+F5890</f>
        <v>16015999.999999974</v>
      </c>
      <c r="G5910" s="81"/>
      <c r="H5910" s="81"/>
      <c r="I5910" s="81"/>
      <c r="J5910" s="81"/>
      <c r="K5910" s="81"/>
      <c r="L5910" s="81"/>
      <c r="M5910" s="81"/>
      <c r="N5910" s="81"/>
    </row>
    <row r="5911" spans="1:14" ht="14.25" customHeight="1" x14ac:dyDescent="0.25">
      <c r="A5911" s="168"/>
      <c r="B5911" s="168"/>
      <c r="C5911" s="168"/>
      <c r="D5911" s="168"/>
      <c r="E5911" s="168"/>
      <c r="F5911" s="168"/>
      <c r="G5911" s="81"/>
      <c r="H5911" s="81"/>
      <c r="I5911" s="81"/>
      <c r="J5911" s="81"/>
      <c r="K5911" s="81"/>
      <c r="L5911" s="81"/>
      <c r="M5911" s="81"/>
      <c r="N5911" s="81"/>
    </row>
    <row r="5912" spans="1:14" ht="14.25" customHeight="1" x14ac:dyDescent="0.25">
      <c r="A5912" s="168"/>
      <c r="B5912" s="168"/>
      <c r="C5912" s="168"/>
      <c r="D5912" s="168"/>
      <c r="E5912" s="168"/>
      <c r="F5912" s="168"/>
      <c r="G5912" s="81"/>
      <c r="H5912" s="81"/>
      <c r="I5912" s="81"/>
      <c r="J5912" s="81"/>
      <c r="K5912" s="81"/>
      <c r="L5912" s="81"/>
      <c r="M5912" s="81"/>
      <c r="N5912" s="81"/>
    </row>
    <row r="5913" spans="1:14" ht="14.25" customHeight="1" x14ac:dyDescent="0.25">
      <c r="A5913" s="168"/>
      <c r="B5913" s="168"/>
      <c r="C5913" s="168"/>
      <c r="D5913" s="168"/>
      <c r="E5913" s="168"/>
      <c r="F5913" s="168"/>
      <c r="G5913" s="81"/>
      <c r="H5913" s="81"/>
      <c r="I5913" s="81"/>
      <c r="J5913" s="81"/>
      <c r="K5913" s="81"/>
      <c r="L5913" s="81"/>
      <c r="M5913" s="81"/>
      <c r="N5913" s="81"/>
    </row>
    <row r="5914" spans="1:14" ht="14.25" customHeight="1" x14ac:dyDescent="0.25">
      <c r="A5914" s="645" t="s">
        <v>561</v>
      </c>
      <c r="B5914" s="646"/>
      <c r="C5914" s="646"/>
      <c r="D5914" s="646"/>
      <c r="E5914" s="646"/>
      <c r="F5914" s="647"/>
      <c r="G5914" s="81"/>
      <c r="H5914" s="81"/>
      <c r="I5914" s="81"/>
      <c r="J5914" s="81"/>
      <c r="K5914" s="81"/>
      <c r="L5914" s="81"/>
      <c r="M5914" s="81"/>
      <c r="N5914" s="81"/>
    </row>
    <row r="5915" spans="1:14" ht="14.25" customHeight="1" thickBot="1" x14ac:dyDescent="0.3">
      <c r="A5915" s="648"/>
      <c r="B5915" s="648"/>
      <c r="C5915" s="648"/>
      <c r="D5915" s="648"/>
      <c r="E5915" s="648"/>
      <c r="F5915" s="648"/>
      <c r="G5915" s="81"/>
      <c r="H5915" s="81"/>
      <c r="I5915" s="81"/>
      <c r="J5915" s="81"/>
      <c r="K5915" s="81"/>
      <c r="L5915" s="81"/>
      <c r="M5915" s="81"/>
      <c r="N5915" s="81"/>
    </row>
    <row r="5916" spans="1:14" ht="14.25" customHeight="1" thickBot="1" x14ac:dyDescent="0.3">
      <c r="A5916" s="309" t="s">
        <v>1334</v>
      </c>
      <c r="B5916" s="310"/>
      <c r="C5916" s="311" t="e">
        <f>+'[110]PPTO UNIATLÁNTICO'!A5683</f>
        <v>#REF!</v>
      </c>
      <c r="D5916" s="312"/>
      <c r="E5916" s="312"/>
      <c r="F5916" s="313" t="s">
        <v>49</v>
      </c>
      <c r="G5916" s="81"/>
      <c r="H5916" s="81"/>
      <c r="I5916" s="81"/>
      <c r="J5916" s="81"/>
      <c r="K5916" s="81"/>
      <c r="L5916" s="81"/>
      <c r="M5916" s="81"/>
      <c r="N5916" s="81"/>
    </row>
    <row r="5917" spans="1:14" ht="14.25" customHeight="1" thickBot="1" x14ac:dyDescent="0.3">
      <c r="A5917" s="314" t="e">
        <f>+'[110]PPTO UNIATLÁNTICO'!B5683</f>
        <v>#REF!</v>
      </c>
      <c r="B5917" s="315"/>
      <c r="C5917" s="315"/>
      <c r="D5917" s="316"/>
      <c r="E5917" s="316"/>
      <c r="F5917" s="317" t="e">
        <f>+'[110]PPTO UNIATLÁNTICO'!C5683</f>
        <v>#REF!</v>
      </c>
      <c r="G5917" s="81"/>
      <c r="H5917" s="81"/>
      <c r="I5917" s="81"/>
      <c r="J5917" s="81"/>
      <c r="K5917" s="81"/>
      <c r="L5917" s="81"/>
      <c r="M5917" s="81"/>
      <c r="N5917" s="81"/>
    </row>
    <row r="5918" spans="1:14" ht="14.25" customHeight="1" thickBot="1" x14ac:dyDescent="0.3">
      <c r="A5918" s="649" t="s">
        <v>1389</v>
      </c>
      <c r="B5918" s="650"/>
      <c r="C5918" s="650"/>
      <c r="D5918" s="650"/>
      <c r="E5918" s="650"/>
      <c r="F5918" s="651"/>
      <c r="G5918" s="81"/>
      <c r="H5918" s="81"/>
      <c r="I5918" s="81"/>
      <c r="J5918" s="81"/>
      <c r="K5918" s="81"/>
      <c r="L5918" s="81"/>
      <c r="M5918" s="81"/>
      <c r="N5918" s="81"/>
    </row>
    <row r="5919" spans="1:14" ht="14.25" customHeight="1" thickBot="1" x14ac:dyDescent="0.3">
      <c r="A5919" s="633" t="s">
        <v>1335</v>
      </c>
      <c r="B5919" s="634"/>
      <c r="C5919" s="634"/>
      <c r="D5919" s="634"/>
      <c r="E5919" s="634"/>
      <c r="F5919" s="635"/>
      <c r="G5919" s="81"/>
      <c r="H5919" s="81"/>
      <c r="I5919" s="81"/>
      <c r="J5919" s="81"/>
      <c r="K5919" s="81"/>
      <c r="L5919" s="81"/>
      <c r="M5919" s="81"/>
      <c r="N5919" s="81"/>
    </row>
    <row r="5920" spans="1:14" ht="14.25" customHeight="1" thickBot="1" x14ac:dyDescent="0.3">
      <c r="A5920" s="318" t="s">
        <v>550</v>
      </c>
      <c r="B5920" s="319" t="s">
        <v>49</v>
      </c>
      <c r="C5920" s="319" t="s">
        <v>50</v>
      </c>
      <c r="D5920" s="319" t="s">
        <v>1336</v>
      </c>
      <c r="E5920" s="320" t="s">
        <v>1337</v>
      </c>
      <c r="F5920" s="321" t="s">
        <v>1338</v>
      </c>
      <c r="G5920" s="81"/>
      <c r="H5920" s="81"/>
      <c r="I5920" s="81"/>
      <c r="J5920" s="81"/>
      <c r="K5920" s="81"/>
      <c r="L5920" s="81"/>
      <c r="M5920" s="81"/>
      <c r="N5920" s="81"/>
    </row>
    <row r="5921" spans="1:14" ht="14.25" customHeight="1" x14ac:dyDescent="0.25">
      <c r="A5921" s="419" t="s">
        <v>1390</v>
      </c>
      <c r="B5921" s="434" t="s">
        <v>552</v>
      </c>
      <c r="C5921" s="435">
        <v>1</v>
      </c>
      <c r="D5921" s="436"/>
      <c r="E5921" s="453">
        <v>2912.0000000000005</v>
      </c>
      <c r="F5921" s="437">
        <f>+C5921*E5921</f>
        <v>2912.0000000000005</v>
      </c>
      <c r="G5921" s="81"/>
      <c r="H5921" s="81"/>
      <c r="I5921" s="81"/>
      <c r="J5921" s="81"/>
      <c r="K5921" s="81"/>
      <c r="L5921" s="81"/>
      <c r="M5921" s="81"/>
      <c r="N5921" s="81"/>
    </row>
    <row r="5922" spans="1:14" ht="14.25" customHeight="1" x14ac:dyDescent="0.25">
      <c r="A5922" s="452" t="s">
        <v>1391</v>
      </c>
      <c r="B5922" s="439" t="s">
        <v>1392</v>
      </c>
      <c r="C5922" s="440">
        <v>1</v>
      </c>
      <c r="D5922" s="441"/>
      <c r="E5922" s="454">
        <v>66380.326133333336</v>
      </c>
      <c r="F5922" s="442">
        <f>+C5922*E5922</f>
        <v>66380.326133333336</v>
      </c>
      <c r="G5922" s="81"/>
      <c r="H5922" s="81"/>
      <c r="I5922" s="81"/>
      <c r="J5922" s="81"/>
      <c r="K5922" s="81"/>
      <c r="L5922" s="81"/>
      <c r="M5922" s="81"/>
      <c r="N5922" s="81"/>
    </row>
    <row r="5923" spans="1:14" ht="14.25" customHeight="1" x14ac:dyDescent="0.25">
      <c r="A5923" s="452" t="s">
        <v>1393</v>
      </c>
      <c r="B5923" s="439" t="s">
        <v>1394</v>
      </c>
      <c r="C5923" s="440">
        <v>3.6772991850989527E-2</v>
      </c>
      <c r="D5923" s="441"/>
      <c r="E5923" s="454">
        <v>96208.000000000015</v>
      </c>
      <c r="F5923" s="442">
        <f t="shared" ref="F5923:F5927" si="284">+C5923*E5923</f>
        <v>3537.8560000000011</v>
      </c>
      <c r="G5923" s="81"/>
      <c r="H5923" s="81"/>
      <c r="I5923" s="81"/>
      <c r="J5923" s="81"/>
      <c r="K5923" s="81"/>
      <c r="L5923" s="81"/>
      <c r="M5923" s="81"/>
      <c r="N5923" s="81"/>
    </row>
    <row r="5924" spans="1:14" ht="14.25" customHeight="1" x14ac:dyDescent="0.25">
      <c r="A5924" s="452" t="s">
        <v>1395</v>
      </c>
      <c r="B5924" s="439" t="s">
        <v>1394</v>
      </c>
      <c r="C5924" s="440">
        <v>3.6789855072463767E-2</v>
      </c>
      <c r="D5924" s="441"/>
      <c r="E5924" s="454">
        <v>46368.000000000007</v>
      </c>
      <c r="F5924" s="442">
        <f t="shared" si="284"/>
        <v>1705.8720000000003</v>
      </c>
      <c r="G5924" s="81"/>
      <c r="H5924" s="81"/>
      <c r="I5924" s="81"/>
      <c r="J5924" s="81"/>
      <c r="K5924" s="81"/>
      <c r="L5924" s="81"/>
      <c r="M5924" s="81"/>
      <c r="N5924" s="81"/>
    </row>
    <row r="5925" spans="1:14" ht="14.25" customHeight="1" x14ac:dyDescent="0.25">
      <c r="A5925" s="452" t="s">
        <v>1396</v>
      </c>
      <c r="B5925" s="439" t="s">
        <v>1394</v>
      </c>
      <c r="C5925" s="440">
        <v>1</v>
      </c>
      <c r="D5925" s="441"/>
      <c r="E5925" s="454">
        <v>9595.3760000000002</v>
      </c>
      <c r="F5925" s="442">
        <f t="shared" si="284"/>
        <v>9595.3760000000002</v>
      </c>
      <c r="G5925" s="81"/>
      <c r="H5925" s="81"/>
      <c r="I5925" s="81"/>
      <c r="J5925" s="81"/>
      <c r="K5925" s="81"/>
      <c r="L5925" s="81"/>
      <c r="M5925" s="81"/>
      <c r="N5925" s="81"/>
    </row>
    <row r="5926" spans="1:14" ht="14.25" customHeight="1" x14ac:dyDescent="0.25">
      <c r="A5926" s="452" t="s">
        <v>1397</v>
      </c>
      <c r="B5926" s="439" t="s">
        <v>1394</v>
      </c>
      <c r="C5926" s="440">
        <v>1</v>
      </c>
      <c r="D5926" s="441"/>
      <c r="E5926" s="454">
        <v>4115.1040000000003</v>
      </c>
      <c r="F5926" s="442">
        <f t="shared" si="284"/>
        <v>4115.1040000000003</v>
      </c>
      <c r="G5926" s="81"/>
      <c r="H5926" s="81"/>
      <c r="I5926" s="81"/>
      <c r="J5926" s="81"/>
      <c r="K5926" s="81"/>
      <c r="L5926" s="81"/>
      <c r="M5926" s="81"/>
      <c r="N5926" s="81"/>
    </row>
    <row r="5927" spans="1:14" ht="14.25" customHeight="1" x14ac:dyDescent="0.25">
      <c r="A5927" s="456" t="s">
        <v>1398</v>
      </c>
      <c r="B5927" s="457" t="s">
        <v>1394</v>
      </c>
      <c r="C5927" s="458">
        <v>1</v>
      </c>
      <c r="D5927" s="459"/>
      <c r="E5927" s="460">
        <v>168500</v>
      </c>
      <c r="F5927" s="461">
        <f t="shared" si="284"/>
        <v>168500</v>
      </c>
      <c r="G5927" s="81"/>
      <c r="H5927" s="81"/>
      <c r="I5927" s="81"/>
      <c r="J5927" s="81"/>
      <c r="K5927" s="81"/>
      <c r="L5927" s="81"/>
      <c r="M5927" s="81"/>
      <c r="N5927" s="81"/>
    </row>
    <row r="5928" spans="1:14" ht="14.25" customHeight="1" thickBot="1" x14ac:dyDescent="0.3">
      <c r="A5928" s="443"/>
      <c r="B5928" s="444"/>
      <c r="C5928" s="339"/>
      <c r="D5928" s="445"/>
      <c r="E5928" s="446" t="s">
        <v>1342</v>
      </c>
      <c r="F5928" s="447"/>
      <c r="G5928" s="81"/>
      <c r="H5928" s="81"/>
      <c r="I5928" s="81"/>
      <c r="J5928" s="81"/>
      <c r="K5928" s="81"/>
      <c r="L5928" s="81"/>
      <c r="M5928" s="81"/>
      <c r="N5928" s="81"/>
    </row>
    <row r="5929" spans="1:14" ht="14.25" customHeight="1" thickBot="1" x14ac:dyDescent="0.3">
      <c r="A5929" s="343"/>
      <c r="B5929" s="344"/>
      <c r="C5929" s="345"/>
      <c r="D5929" s="636" t="s">
        <v>1343</v>
      </c>
      <c r="E5929" s="637"/>
      <c r="F5929" s="346">
        <f>SUM(F5921:F5928)</f>
        <v>256746.53413333336</v>
      </c>
      <c r="G5929" s="81"/>
      <c r="H5929" s="81"/>
      <c r="I5929" s="81"/>
      <c r="J5929" s="81"/>
      <c r="K5929" s="81"/>
      <c r="L5929" s="81"/>
      <c r="M5929" s="81"/>
      <c r="N5929" s="81"/>
    </row>
    <row r="5930" spans="1:14" ht="14.25" customHeight="1" thickBot="1" x14ac:dyDescent="0.3">
      <c r="A5930" s="633" t="s">
        <v>1344</v>
      </c>
      <c r="B5930" s="634"/>
      <c r="C5930" s="634"/>
      <c r="D5930" s="634"/>
      <c r="E5930" s="634"/>
      <c r="F5930" s="635"/>
      <c r="G5930" s="81"/>
      <c r="H5930" s="81"/>
      <c r="I5930" s="81"/>
      <c r="J5930" s="81"/>
      <c r="K5930" s="81"/>
      <c r="L5930" s="81"/>
      <c r="M5930" s="81"/>
      <c r="N5930" s="81"/>
    </row>
    <row r="5931" spans="1:14" ht="14.25" customHeight="1" thickBot="1" x14ac:dyDescent="0.3">
      <c r="A5931" s="347" t="s">
        <v>505</v>
      </c>
      <c r="B5931" s="344"/>
      <c r="C5931" s="348" t="s">
        <v>1345</v>
      </c>
      <c r="D5931" s="349" t="s">
        <v>1346</v>
      </c>
      <c r="E5931" s="350" t="s">
        <v>557</v>
      </c>
      <c r="F5931" s="351"/>
      <c r="G5931" s="81"/>
      <c r="H5931" s="117"/>
      <c r="I5931" s="81"/>
      <c r="J5931" s="81"/>
      <c r="K5931" s="81"/>
      <c r="L5931" s="81"/>
      <c r="M5931" s="81"/>
      <c r="N5931" s="81"/>
    </row>
    <row r="5932" spans="1:14" ht="14.25" customHeight="1" x14ac:dyDescent="0.25">
      <c r="A5932" s="352" t="s">
        <v>1347</v>
      </c>
      <c r="B5932" s="353"/>
      <c r="C5932" s="353">
        <v>5000</v>
      </c>
      <c r="D5932" s="354">
        <v>50</v>
      </c>
      <c r="E5932" s="355">
        <f>+C5932/D5932</f>
        <v>100</v>
      </c>
      <c r="F5932" s="356">
        <f>+E5932</f>
        <v>100</v>
      </c>
      <c r="G5932" s="81"/>
      <c r="H5932" s="81"/>
      <c r="I5932" s="81"/>
      <c r="J5932" s="81"/>
      <c r="K5932" s="81"/>
      <c r="L5932" s="81"/>
      <c r="M5932" s="81"/>
      <c r="N5932" s="81"/>
    </row>
    <row r="5933" spans="1:14" ht="14.25" customHeight="1" x14ac:dyDescent="0.25">
      <c r="A5933" s="357"/>
      <c r="B5933" s="358"/>
      <c r="C5933" s="359"/>
      <c r="D5933" s="359"/>
      <c r="E5933" s="360"/>
      <c r="F5933" s="361"/>
      <c r="G5933" s="81"/>
      <c r="H5933" s="81"/>
      <c r="I5933" s="81"/>
      <c r="J5933" s="81"/>
      <c r="K5933" s="81"/>
      <c r="L5933" s="81"/>
      <c r="M5933" s="81"/>
      <c r="N5933" s="81"/>
    </row>
    <row r="5934" spans="1:14" ht="14.25" customHeight="1" thickBot="1" x14ac:dyDescent="0.3">
      <c r="A5934" s="357"/>
      <c r="B5934" s="358"/>
      <c r="C5934" s="359"/>
      <c r="D5934" s="359"/>
      <c r="E5934" s="360"/>
      <c r="F5934" s="362"/>
      <c r="G5934" s="81"/>
      <c r="H5934" s="81"/>
      <c r="I5934" s="81"/>
      <c r="J5934" s="81"/>
      <c r="K5934" s="81"/>
      <c r="L5934" s="81"/>
      <c r="M5934" s="81"/>
      <c r="N5934" s="81"/>
    </row>
    <row r="5935" spans="1:14" ht="14.25" customHeight="1" thickBot="1" x14ac:dyDescent="0.3">
      <c r="A5935" s="357"/>
      <c r="B5935" s="358"/>
      <c r="C5935" s="363"/>
      <c r="D5935" s="638" t="s">
        <v>1348</v>
      </c>
      <c r="E5935" s="639"/>
      <c r="F5935" s="364">
        <f>SUM(F5932:F5934)</f>
        <v>100</v>
      </c>
      <c r="G5935" s="81"/>
      <c r="H5935" s="81"/>
      <c r="I5935" s="81"/>
      <c r="J5935" s="81"/>
      <c r="K5935" s="81"/>
      <c r="L5935" s="81"/>
      <c r="M5935" s="81"/>
      <c r="N5935" s="81"/>
    </row>
    <row r="5936" spans="1:14" ht="14.25" customHeight="1" thickBot="1" x14ac:dyDescent="0.3">
      <c r="A5936" s="365" t="s">
        <v>553</v>
      </c>
      <c r="B5936" s="366"/>
      <c r="C5936" s="367"/>
      <c r="D5936" s="368"/>
      <c r="E5936" s="369"/>
      <c r="F5936" s="370"/>
      <c r="G5936" s="81"/>
      <c r="H5936" s="81"/>
      <c r="I5936" s="81"/>
      <c r="J5936" s="81"/>
      <c r="K5936" s="81"/>
      <c r="L5936" s="81"/>
      <c r="M5936" s="81"/>
      <c r="N5936" s="81"/>
    </row>
    <row r="5937" spans="1:14" ht="14.25" customHeight="1" thickBot="1" x14ac:dyDescent="0.3">
      <c r="A5937" s="371" t="s">
        <v>505</v>
      </c>
      <c r="B5937" s="372" t="s">
        <v>50</v>
      </c>
      <c r="C5937" s="373" t="s">
        <v>1349</v>
      </c>
      <c r="D5937" s="373" t="s">
        <v>1350</v>
      </c>
      <c r="E5937" s="373" t="s">
        <v>1346</v>
      </c>
      <c r="F5937" s="374" t="s">
        <v>557</v>
      </c>
      <c r="G5937" s="81"/>
      <c r="H5937" s="81"/>
      <c r="I5937" s="81"/>
      <c r="J5937" s="81"/>
      <c r="K5937" s="81"/>
      <c r="L5937" s="81"/>
      <c r="M5937" s="81"/>
      <c r="N5937" s="81"/>
    </row>
    <row r="5938" spans="1:14" ht="14.25" customHeight="1" x14ac:dyDescent="0.25">
      <c r="A5938" s="357" t="s">
        <v>1373</v>
      </c>
      <c r="B5938" s="375">
        <v>1</v>
      </c>
      <c r="C5938" s="376">
        <v>186800</v>
      </c>
      <c r="D5938" s="377">
        <v>1.9402999999999999</v>
      </c>
      <c r="E5938" s="378">
        <v>5.757579033440261</v>
      </c>
      <c r="F5938" s="379">
        <f>(B5938*C5938*D5938)/E5938</f>
        <v>62951.465866970568</v>
      </c>
      <c r="G5938" s="81"/>
      <c r="H5938" s="81"/>
      <c r="I5938" s="81"/>
      <c r="J5938" s="81"/>
      <c r="K5938" s="81"/>
      <c r="L5938" s="81"/>
      <c r="M5938" s="81"/>
      <c r="N5938" s="81"/>
    </row>
    <row r="5939" spans="1:14" ht="14.25" customHeight="1" x14ac:dyDescent="0.25">
      <c r="A5939" s="380"/>
      <c r="B5939" s="353"/>
      <c r="C5939" s="359"/>
      <c r="D5939" s="359"/>
      <c r="E5939" s="381"/>
      <c r="F5939" s="382"/>
      <c r="G5939" s="81"/>
      <c r="H5939" s="81"/>
      <c r="I5939" s="81"/>
      <c r="J5939" s="81"/>
      <c r="K5939" s="81"/>
      <c r="L5939" s="81"/>
      <c r="M5939" s="81"/>
      <c r="N5939" s="81"/>
    </row>
    <row r="5940" spans="1:14" ht="14.25" customHeight="1" x14ac:dyDescent="0.25">
      <c r="A5940" s="357"/>
      <c r="B5940" s="358"/>
      <c r="C5940" s="359"/>
      <c r="D5940" s="359"/>
      <c r="E5940" s="360"/>
      <c r="F5940" s="361"/>
      <c r="G5940" s="81"/>
      <c r="H5940" s="81"/>
      <c r="I5940" s="81"/>
      <c r="J5940" s="81"/>
      <c r="K5940" s="81"/>
      <c r="L5940" s="81"/>
      <c r="M5940" s="81"/>
      <c r="N5940" s="81"/>
    </row>
    <row r="5941" spans="1:14" ht="14.25" customHeight="1" thickBot="1" x14ac:dyDescent="0.3">
      <c r="A5941" s="352"/>
      <c r="B5941" s="353"/>
      <c r="C5941" s="359"/>
      <c r="D5941" s="359"/>
      <c r="E5941" s="381"/>
      <c r="F5941" s="383"/>
      <c r="G5941" s="81"/>
      <c r="H5941" s="81"/>
      <c r="I5941" s="81"/>
      <c r="J5941" s="81"/>
      <c r="K5941" s="81"/>
      <c r="L5941" s="81"/>
      <c r="M5941" s="81"/>
      <c r="N5941" s="81"/>
    </row>
    <row r="5942" spans="1:14" ht="14.25" customHeight="1" thickBot="1" x14ac:dyDescent="0.3">
      <c r="A5942" s="352"/>
      <c r="B5942" s="384"/>
      <c r="C5942" s="385"/>
      <c r="D5942" s="640" t="s">
        <v>1352</v>
      </c>
      <c r="E5942" s="641"/>
      <c r="F5942" s="364">
        <f>SUM(F5938:F5941)</f>
        <v>62951.465866970568</v>
      </c>
      <c r="G5942" s="81"/>
      <c r="H5942" s="81"/>
      <c r="I5942" s="81"/>
      <c r="J5942" s="81"/>
      <c r="K5942" s="81"/>
      <c r="L5942" s="81"/>
      <c r="M5942" s="81"/>
      <c r="N5942" s="81"/>
    </row>
    <row r="5943" spans="1:14" ht="14.25" customHeight="1" thickBot="1" x14ac:dyDescent="0.3">
      <c r="A5943" s="386" t="s">
        <v>554</v>
      </c>
      <c r="B5943" s="387"/>
      <c r="C5943" s="388"/>
      <c r="D5943" s="388"/>
      <c r="E5943" s="389"/>
      <c r="F5943" s="390"/>
      <c r="G5943" s="81"/>
      <c r="H5943" s="81"/>
      <c r="I5943" s="81"/>
      <c r="J5943" s="81"/>
      <c r="K5943" s="81"/>
      <c r="L5943" s="81"/>
      <c r="M5943" s="81"/>
      <c r="N5943" s="81"/>
    </row>
    <row r="5944" spans="1:14" ht="14.25" customHeight="1" thickBot="1" x14ac:dyDescent="0.3">
      <c r="A5944" s="371" t="s">
        <v>550</v>
      </c>
      <c r="B5944" s="372"/>
      <c r="C5944" s="373" t="s">
        <v>1353</v>
      </c>
      <c r="D5944" s="373" t="s">
        <v>1354</v>
      </c>
      <c r="E5944" s="373" t="s">
        <v>1355</v>
      </c>
      <c r="F5944" s="374" t="s">
        <v>557</v>
      </c>
      <c r="G5944" s="81"/>
      <c r="H5944" s="81"/>
      <c r="I5944" s="81"/>
      <c r="J5944" s="81"/>
      <c r="K5944" s="81"/>
      <c r="L5944" s="81"/>
      <c r="M5944" s="81"/>
      <c r="N5944" s="81"/>
    </row>
    <row r="5945" spans="1:14" ht="14.25" customHeight="1" x14ac:dyDescent="0.25">
      <c r="A5945" s="391" t="s">
        <v>604</v>
      </c>
      <c r="B5945" s="392"/>
      <c r="C5945" s="393"/>
      <c r="D5945" s="392">
        <v>2.5</v>
      </c>
      <c r="E5945" s="455">
        <v>500</v>
      </c>
      <c r="F5945" s="395">
        <f>+E5945*D5945</f>
        <v>1250</v>
      </c>
      <c r="G5945" s="81"/>
      <c r="H5945" s="81"/>
      <c r="I5945" s="81"/>
      <c r="J5945" s="81"/>
      <c r="K5945" s="81"/>
      <c r="L5945" s="81"/>
      <c r="M5945" s="81"/>
      <c r="N5945" s="81"/>
    </row>
    <row r="5946" spans="1:14" ht="14.25" customHeight="1" x14ac:dyDescent="0.25">
      <c r="A5946" s="396"/>
      <c r="B5946" s="397"/>
      <c r="C5946" s="398"/>
      <c r="D5946" s="398"/>
      <c r="E5946" s="399"/>
      <c r="F5946" s="400"/>
      <c r="G5946" s="81"/>
      <c r="H5946" s="81"/>
      <c r="I5946" s="81"/>
      <c r="J5946" s="81"/>
      <c r="K5946" s="81"/>
      <c r="L5946" s="81"/>
      <c r="M5946" s="81"/>
      <c r="N5946" s="81"/>
    </row>
    <row r="5947" spans="1:14" ht="14.25" customHeight="1" thickBot="1" x14ac:dyDescent="0.3">
      <c r="A5947" s="396"/>
      <c r="B5947" s="397"/>
      <c r="C5947" s="398"/>
      <c r="D5947" s="398"/>
      <c r="E5947" s="399"/>
      <c r="F5947" s="401"/>
      <c r="G5947" s="81"/>
      <c r="H5947" s="81"/>
      <c r="I5947" s="81"/>
      <c r="J5947" s="81"/>
      <c r="K5947" s="81"/>
      <c r="L5947" s="81"/>
      <c r="M5947" s="81"/>
      <c r="N5947" s="81"/>
    </row>
    <row r="5948" spans="1:14" ht="14.25" customHeight="1" thickBot="1" x14ac:dyDescent="0.3">
      <c r="A5948" s="352"/>
      <c r="B5948" s="384"/>
      <c r="C5948" s="385"/>
      <c r="D5948" s="640" t="s">
        <v>1356</v>
      </c>
      <c r="E5948" s="642"/>
      <c r="F5948" s="402">
        <f>SUM(F5945)</f>
        <v>1250</v>
      </c>
      <c r="G5948" s="81"/>
      <c r="H5948" s="81"/>
      <c r="I5948" s="81"/>
      <c r="J5948" s="81"/>
      <c r="K5948" s="81"/>
      <c r="L5948" s="81"/>
      <c r="M5948" s="81"/>
      <c r="N5948" s="81"/>
    </row>
    <row r="5949" spans="1:14" ht="14.25" customHeight="1" thickBot="1" x14ac:dyDescent="0.3">
      <c r="A5949" s="643"/>
      <c r="B5949" s="644"/>
      <c r="C5949" s="644"/>
      <c r="D5949" s="644"/>
      <c r="E5949" s="403" t="s">
        <v>555</v>
      </c>
      <c r="F5949" s="404">
        <f>+F5948+F5942+F5935+F5929</f>
        <v>321048.00000030396</v>
      </c>
      <c r="G5949" s="81"/>
      <c r="H5949" s="81"/>
      <c r="I5949" s="81"/>
      <c r="J5949" s="81"/>
      <c r="K5949" s="81"/>
      <c r="L5949" s="81"/>
      <c r="M5949" s="81"/>
      <c r="N5949" s="81"/>
    </row>
    <row r="5950" spans="1:14" ht="14.25" customHeight="1" x14ac:dyDescent="0.25">
      <c r="A5950" s="168"/>
      <c r="B5950" s="168"/>
      <c r="C5950" s="168"/>
      <c r="D5950" s="168"/>
      <c r="E5950" s="168"/>
      <c r="F5950" s="168"/>
      <c r="G5950" s="81"/>
      <c r="H5950" s="81"/>
      <c r="I5950" s="81"/>
      <c r="J5950" s="81"/>
      <c r="K5950" s="81"/>
      <c r="L5950" s="81"/>
      <c r="M5950" s="81"/>
      <c r="N5950" s="81"/>
    </row>
    <row r="5951" spans="1:14" ht="14.25" customHeight="1" x14ac:dyDescent="0.25">
      <c r="A5951" s="168"/>
      <c r="B5951" s="168"/>
      <c r="C5951" s="168"/>
      <c r="D5951" s="168"/>
      <c r="E5951" s="168"/>
      <c r="F5951" s="168"/>
      <c r="G5951" s="81"/>
      <c r="H5951" s="81"/>
      <c r="I5951" s="81"/>
      <c r="J5951" s="81"/>
      <c r="K5951" s="81"/>
      <c r="L5951" s="81"/>
      <c r="M5951" s="81"/>
      <c r="N5951" s="81"/>
    </row>
    <row r="5952" spans="1:14" ht="14.25" customHeight="1" x14ac:dyDescent="0.25">
      <c r="A5952" s="168"/>
      <c r="B5952" s="168"/>
      <c r="C5952" s="168"/>
      <c r="D5952" s="168"/>
      <c r="E5952" s="168"/>
      <c r="F5952" s="168"/>
      <c r="G5952" s="81"/>
      <c r="H5952" s="81"/>
      <c r="I5952" s="81"/>
      <c r="J5952" s="81"/>
      <c r="K5952" s="81"/>
      <c r="L5952" s="81"/>
      <c r="M5952" s="81"/>
      <c r="N5952" s="81"/>
    </row>
    <row r="5953" spans="1:14" ht="14.25" customHeight="1" x14ac:dyDescent="0.25">
      <c r="A5953" s="645" t="s">
        <v>561</v>
      </c>
      <c r="B5953" s="646"/>
      <c r="C5953" s="646"/>
      <c r="D5953" s="646"/>
      <c r="E5953" s="646"/>
      <c r="F5953" s="647"/>
      <c r="G5953" s="81"/>
      <c r="H5953" s="81"/>
      <c r="I5953" s="81"/>
      <c r="J5953" s="81"/>
      <c r="K5953" s="81"/>
      <c r="L5953" s="81"/>
      <c r="M5953" s="81"/>
      <c r="N5953" s="81"/>
    </row>
    <row r="5954" spans="1:14" ht="14.25" customHeight="1" thickBot="1" x14ac:dyDescent="0.3">
      <c r="A5954" s="648"/>
      <c r="B5954" s="648"/>
      <c r="C5954" s="648"/>
      <c r="D5954" s="648"/>
      <c r="E5954" s="648"/>
      <c r="F5954" s="648"/>
      <c r="G5954" s="81"/>
      <c r="H5954" s="81"/>
      <c r="I5954" s="81"/>
      <c r="J5954" s="81"/>
      <c r="K5954" s="81"/>
      <c r="L5954" s="81"/>
      <c r="M5954" s="81"/>
      <c r="N5954" s="81"/>
    </row>
    <row r="5955" spans="1:14" ht="14.25" customHeight="1" thickBot="1" x14ac:dyDescent="0.3">
      <c r="A5955" s="309" t="s">
        <v>1334</v>
      </c>
      <c r="B5955" s="310"/>
      <c r="C5955" s="430" t="e">
        <f>+'[110]PPTO UNIATLÁNTICO'!A5682</f>
        <v>#REF!</v>
      </c>
      <c r="D5955" s="312"/>
      <c r="E5955" s="312"/>
      <c r="F5955" s="313" t="s">
        <v>49</v>
      </c>
      <c r="G5955" s="81"/>
      <c r="H5955" s="81"/>
      <c r="I5955" s="81"/>
      <c r="J5955" s="81"/>
      <c r="K5955" s="81"/>
      <c r="L5955" s="81"/>
      <c r="M5955" s="81"/>
      <c r="N5955" s="81"/>
    </row>
    <row r="5956" spans="1:14" ht="14.25" customHeight="1" thickBot="1" x14ac:dyDescent="0.3">
      <c r="A5956" s="314" t="e">
        <f>+'[110]PPTO UNIATLÁNTICO'!B5682</f>
        <v>#REF!</v>
      </c>
      <c r="B5956" s="315"/>
      <c r="C5956" s="315"/>
      <c r="D5956" s="316"/>
      <c r="E5956" s="316"/>
      <c r="F5956" s="317" t="e">
        <f>+'[110]PPTO UNIATLÁNTICO'!C5682</f>
        <v>#REF!</v>
      </c>
      <c r="G5956" s="81"/>
      <c r="H5956" s="81"/>
      <c r="I5956" s="81"/>
      <c r="J5956" s="81"/>
      <c r="K5956" s="81"/>
      <c r="L5956" s="81"/>
      <c r="M5956" s="81"/>
      <c r="N5956" s="81"/>
    </row>
    <row r="5957" spans="1:14" ht="14.25" customHeight="1" thickBot="1" x14ac:dyDescent="0.3">
      <c r="A5957" s="649" t="s">
        <v>1399</v>
      </c>
      <c r="B5957" s="650"/>
      <c r="C5957" s="650"/>
      <c r="D5957" s="650"/>
      <c r="E5957" s="650"/>
      <c r="F5957" s="651"/>
      <c r="G5957" s="81"/>
      <c r="H5957" s="81"/>
      <c r="I5957" s="81"/>
      <c r="J5957" s="81"/>
      <c r="K5957" s="81"/>
      <c r="L5957" s="81"/>
      <c r="M5957" s="81"/>
      <c r="N5957" s="81"/>
    </row>
    <row r="5958" spans="1:14" ht="14.25" customHeight="1" thickBot="1" x14ac:dyDescent="0.3">
      <c r="A5958" s="633" t="s">
        <v>1335</v>
      </c>
      <c r="B5958" s="634"/>
      <c r="C5958" s="634"/>
      <c r="D5958" s="634"/>
      <c r="E5958" s="634"/>
      <c r="F5958" s="635"/>
      <c r="G5958" s="81"/>
      <c r="H5958" s="81"/>
      <c r="I5958" s="81"/>
      <c r="J5958" s="81"/>
      <c r="K5958" s="81"/>
      <c r="L5958" s="81"/>
      <c r="M5958" s="81"/>
      <c r="N5958" s="81"/>
    </row>
    <row r="5959" spans="1:14" ht="14.25" customHeight="1" thickBot="1" x14ac:dyDescent="0.3">
      <c r="A5959" s="318" t="s">
        <v>550</v>
      </c>
      <c r="B5959" s="319" t="s">
        <v>49</v>
      </c>
      <c r="C5959" s="319" t="s">
        <v>50</v>
      </c>
      <c r="D5959" s="319" t="s">
        <v>1336</v>
      </c>
      <c r="E5959" s="320" t="s">
        <v>1337</v>
      </c>
      <c r="F5959" s="321" t="s">
        <v>1338</v>
      </c>
      <c r="G5959" s="81"/>
      <c r="H5959" s="81"/>
      <c r="I5959" s="81"/>
      <c r="J5959" s="81"/>
      <c r="K5959" s="81"/>
      <c r="L5959" s="81"/>
      <c r="M5959" s="81"/>
      <c r="N5959" s="81"/>
    </row>
    <row r="5960" spans="1:14" ht="14.25" customHeight="1" x14ac:dyDescent="0.25">
      <c r="A5960" s="419" t="s">
        <v>1390</v>
      </c>
      <c r="B5960" s="434" t="s">
        <v>552</v>
      </c>
      <c r="C5960" s="435">
        <v>1</v>
      </c>
      <c r="D5960" s="436"/>
      <c r="E5960" s="453">
        <v>98560.000000000015</v>
      </c>
      <c r="F5960" s="437">
        <f>+C5960*E5960</f>
        <v>98560.000000000015</v>
      </c>
      <c r="G5960" s="81"/>
      <c r="H5960" s="81"/>
      <c r="I5960" s="81"/>
      <c r="J5960" s="81"/>
      <c r="K5960" s="81"/>
      <c r="L5960" s="81"/>
      <c r="M5960" s="81"/>
      <c r="N5960" s="81"/>
    </row>
    <row r="5961" spans="1:14" ht="14.25" customHeight="1" x14ac:dyDescent="0.25">
      <c r="A5961" s="452" t="s">
        <v>1400</v>
      </c>
      <c r="B5961" s="439" t="s">
        <v>1394</v>
      </c>
      <c r="C5961" s="440">
        <v>1</v>
      </c>
      <c r="D5961" s="441"/>
      <c r="E5961" s="454">
        <v>1266160.0000000002</v>
      </c>
      <c r="F5961" s="442">
        <f>+C5961*E5961</f>
        <v>1266160.0000000002</v>
      </c>
      <c r="G5961" s="81"/>
      <c r="H5961" s="81"/>
      <c r="I5961" s="81"/>
      <c r="J5961" s="81"/>
      <c r="K5961" s="81"/>
      <c r="L5961" s="81"/>
      <c r="M5961" s="81"/>
      <c r="N5961" s="81"/>
    </row>
    <row r="5962" spans="1:14" ht="14.25" customHeight="1" x14ac:dyDescent="0.25">
      <c r="A5962" s="452" t="s">
        <v>1401</v>
      </c>
      <c r="B5962" s="439" t="s">
        <v>1394</v>
      </c>
      <c r="C5962" s="440">
        <v>1</v>
      </c>
      <c r="D5962" s="441"/>
      <c r="E5962" s="454">
        <v>221760.00000000003</v>
      </c>
      <c r="F5962" s="442">
        <f t="shared" ref="F5962" si="285">+C5962*E5962</f>
        <v>221760.00000000003</v>
      </c>
      <c r="G5962" s="81"/>
      <c r="H5962" s="81"/>
      <c r="I5962" s="81"/>
      <c r="J5962" s="81"/>
      <c r="K5962" s="81"/>
      <c r="L5962" s="81"/>
      <c r="M5962" s="81"/>
      <c r="N5962" s="81"/>
    </row>
    <row r="5963" spans="1:14" ht="14.25" customHeight="1" x14ac:dyDescent="0.25">
      <c r="A5963" s="456"/>
      <c r="B5963" s="457"/>
      <c r="C5963" s="458"/>
      <c r="D5963" s="459"/>
      <c r="E5963" s="460"/>
      <c r="F5963" s="461"/>
      <c r="G5963" s="81"/>
      <c r="H5963" s="81"/>
      <c r="I5963" s="81"/>
      <c r="J5963" s="81"/>
      <c r="K5963" s="81"/>
      <c r="L5963" s="81"/>
      <c r="M5963" s="81"/>
      <c r="N5963" s="81"/>
    </row>
    <row r="5964" spans="1:14" ht="14.25" customHeight="1" thickBot="1" x14ac:dyDescent="0.3">
      <c r="A5964" s="443"/>
      <c r="B5964" s="444"/>
      <c r="C5964" s="339"/>
      <c r="D5964" s="445"/>
      <c r="E5964" s="446" t="s">
        <v>1342</v>
      </c>
      <c r="F5964" s="447"/>
      <c r="G5964" s="81"/>
      <c r="H5964" s="81"/>
      <c r="I5964" s="81"/>
      <c r="J5964" s="81"/>
      <c r="K5964" s="81"/>
      <c r="L5964" s="81"/>
      <c r="M5964" s="81"/>
      <c r="N5964" s="81"/>
    </row>
    <row r="5965" spans="1:14" ht="14.25" customHeight="1" thickBot="1" x14ac:dyDescent="0.3">
      <c r="A5965" s="343"/>
      <c r="B5965" s="344"/>
      <c r="C5965" s="345"/>
      <c r="D5965" s="636" t="s">
        <v>1343</v>
      </c>
      <c r="E5965" s="637"/>
      <c r="F5965" s="346">
        <f>SUM(F5960:F5964)</f>
        <v>1586480.0000000002</v>
      </c>
      <c r="G5965" s="81"/>
      <c r="H5965" s="81"/>
      <c r="I5965" s="81"/>
      <c r="J5965" s="81"/>
      <c r="K5965" s="81"/>
      <c r="L5965" s="81"/>
      <c r="M5965" s="81"/>
      <c r="N5965" s="81"/>
    </row>
    <row r="5966" spans="1:14" ht="14.25" customHeight="1" thickBot="1" x14ac:dyDescent="0.3">
      <c r="A5966" s="633" t="s">
        <v>1344</v>
      </c>
      <c r="B5966" s="634"/>
      <c r="C5966" s="634"/>
      <c r="D5966" s="634"/>
      <c r="E5966" s="634"/>
      <c r="F5966" s="635"/>
      <c r="G5966" s="81"/>
      <c r="H5966" s="81"/>
      <c r="I5966" s="81"/>
      <c r="J5966" s="81"/>
      <c r="K5966" s="81"/>
      <c r="L5966" s="81"/>
      <c r="M5966" s="81"/>
      <c r="N5966" s="81"/>
    </row>
    <row r="5967" spans="1:14" ht="14.25" customHeight="1" thickBot="1" x14ac:dyDescent="0.3">
      <c r="A5967" s="347" t="s">
        <v>505</v>
      </c>
      <c r="B5967" s="344"/>
      <c r="C5967" s="348" t="s">
        <v>1345</v>
      </c>
      <c r="D5967" s="349" t="s">
        <v>1346</v>
      </c>
      <c r="E5967" s="350" t="s">
        <v>557</v>
      </c>
      <c r="F5967" s="351"/>
      <c r="G5967" s="81"/>
      <c r="H5967" s="81"/>
      <c r="I5967" s="81"/>
      <c r="J5967" s="81"/>
      <c r="K5967" s="81"/>
      <c r="L5967" s="81"/>
      <c r="M5967" s="81"/>
      <c r="N5967" s="81"/>
    </row>
    <row r="5968" spans="1:14" ht="14.25" customHeight="1" x14ac:dyDescent="0.25">
      <c r="A5968" s="352" t="s">
        <v>1347</v>
      </c>
      <c r="B5968" s="353"/>
      <c r="C5968" s="353">
        <v>5000</v>
      </c>
      <c r="D5968" s="354">
        <v>2.5</v>
      </c>
      <c r="E5968" s="355">
        <f>+C5968/D5968</f>
        <v>2000</v>
      </c>
      <c r="F5968" s="356">
        <f>+E5968</f>
        <v>2000</v>
      </c>
      <c r="G5968" s="81"/>
      <c r="H5968" s="81"/>
      <c r="I5968" s="81"/>
      <c r="J5968" s="81"/>
      <c r="K5968" s="81"/>
      <c r="L5968" s="81"/>
      <c r="M5968" s="81"/>
      <c r="N5968" s="81"/>
    </row>
    <row r="5969" spans="1:14" ht="14.25" customHeight="1" x14ac:dyDescent="0.25">
      <c r="A5969" s="357"/>
      <c r="B5969" s="358"/>
      <c r="C5969" s="359"/>
      <c r="D5969" s="359"/>
      <c r="E5969" s="360"/>
      <c r="F5969" s="361"/>
      <c r="G5969" s="81"/>
      <c r="H5969" s="81"/>
      <c r="I5969" s="81"/>
      <c r="J5969" s="81"/>
      <c r="K5969" s="81"/>
      <c r="L5969" s="81"/>
      <c r="M5969" s="81"/>
      <c r="N5969" s="81"/>
    </row>
    <row r="5970" spans="1:14" ht="14.25" customHeight="1" thickBot="1" x14ac:dyDescent="0.3">
      <c r="A5970" s="357"/>
      <c r="B5970" s="358"/>
      <c r="C5970" s="359"/>
      <c r="D5970" s="359"/>
      <c r="E5970" s="360"/>
      <c r="F5970" s="362"/>
      <c r="G5970" s="81"/>
      <c r="H5970" s="81"/>
      <c r="I5970" s="81"/>
      <c r="J5970" s="81"/>
      <c r="K5970" s="81"/>
      <c r="L5970" s="81"/>
      <c r="M5970" s="81"/>
      <c r="N5970" s="81"/>
    </row>
    <row r="5971" spans="1:14" ht="14.25" customHeight="1" thickBot="1" x14ac:dyDescent="0.3">
      <c r="A5971" s="357"/>
      <c r="B5971" s="358"/>
      <c r="C5971" s="363"/>
      <c r="D5971" s="638" t="s">
        <v>1348</v>
      </c>
      <c r="E5971" s="639"/>
      <c r="F5971" s="364">
        <f>SUM(F5968:F5970)</f>
        <v>2000</v>
      </c>
      <c r="G5971" s="81"/>
      <c r="H5971" s="81"/>
      <c r="I5971" s="81"/>
      <c r="J5971" s="81"/>
      <c r="K5971" s="81"/>
      <c r="L5971" s="81"/>
      <c r="M5971" s="81"/>
      <c r="N5971" s="81"/>
    </row>
    <row r="5972" spans="1:14" ht="14.25" customHeight="1" thickBot="1" x14ac:dyDescent="0.3">
      <c r="A5972" s="365" t="s">
        <v>553</v>
      </c>
      <c r="B5972" s="366"/>
      <c r="C5972" s="367"/>
      <c r="D5972" s="368"/>
      <c r="E5972" s="369"/>
      <c r="F5972" s="370"/>
      <c r="G5972" s="81"/>
      <c r="H5972" s="81"/>
      <c r="I5972" s="81"/>
      <c r="J5972" s="81"/>
      <c r="K5972" s="81"/>
      <c r="L5972" s="81"/>
      <c r="M5972" s="81"/>
      <c r="N5972" s="81"/>
    </row>
    <row r="5973" spans="1:14" ht="14.25" customHeight="1" thickBot="1" x14ac:dyDescent="0.3">
      <c r="A5973" s="371" t="s">
        <v>505</v>
      </c>
      <c r="B5973" s="372" t="s">
        <v>50</v>
      </c>
      <c r="C5973" s="373" t="s">
        <v>1349</v>
      </c>
      <c r="D5973" s="373" t="s">
        <v>1350</v>
      </c>
      <c r="E5973" s="373" t="s">
        <v>1346</v>
      </c>
      <c r="F5973" s="374" t="s">
        <v>557</v>
      </c>
      <c r="G5973" s="81"/>
      <c r="H5973" s="81"/>
      <c r="I5973" s="81"/>
      <c r="J5973" s="81"/>
      <c r="K5973" s="81"/>
      <c r="L5973" s="81"/>
      <c r="M5973" s="81"/>
      <c r="N5973" s="81"/>
    </row>
    <row r="5974" spans="1:14" ht="14.25" customHeight="1" x14ac:dyDescent="0.25">
      <c r="A5974" s="357" t="s">
        <v>1373</v>
      </c>
      <c r="B5974" s="375">
        <v>1</v>
      </c>
      <c r="C5974" s="376">
        <v>186800</v>
      </c>
      <c r="D5974" s="377">
        <v>1.9402999999999999</v>
      </c>
      <c r="E5974" s="378">
        <v>1.7719288183770587</v>
      </c>
      <c r="F5974" s="379">
        <f>(B5974*C5974*D5974)/E5974</f>
        <v>204550.00011342025</v>
      </c>
      <c r="G5974" s="81"/>
      <c r="H5974" s="81"/>
      <c r="I5974" s="81"/>
      <c r="J5974" s="81"/>
      <c r="K5974" s="81"/>
      <c r="L5974" s="81"/>
      <c r="M5974" s="81"/>
      <c r="N5974" s="81"/>
    </row>
    <row r="5975" spans="1:14" ht="14.25" customHeight="1" x14ac:dyDescent="0.25">
      <c r="A5975" s="380"/>
      <c r="B5975" s="353"/>
      <c r="C5975" s="359"/>
      <c r="D5975" s="359"/>
      <c r="E5975" s="381"/>
      <c r="F5975" s="382"/>
      <c r="G5975" s="81"/>
      <c r="H5975" s="81"/>
      <c r="I5975" s="81"/>
      <c r="J5975" s="81"/>
      <c r="K5975" s="81"/>
      <c r="L5975" s="81"/>
      <c r="M5975" s="81"/>
      <c r="N5975" s="81"/>
    </row>
    <row r="5976" spans="1:14" ht="14.25" customHeight="1" x14ac:dyDescent="0.25">
      <c r="A5976" s="357"/>
      <c r="B5976" s="358"/>
      <c r="C5976" s="359"/>
      <c r="D5976" s="359"/>
      <c r="E5976" s="360"/>
      <c r="F5976" s="361"/>
      <c r="G5976" s="81"/>
      <c r="H5976" s="81"/>
      <c r="I5976" s="81"/>
      <c r="J5976" s="81"/>
      <c r="K5976" s="81"/>
      <c r="L5976" s="81"/>
      <c r="M5976" s="81"/>
      <c r="N5976" s="81"/>
    </row>
    <row r="5977" spans="1:14" ht="14.25" customHeight="1" thickBot="1" x14ac:dyDescent="0.3">
      <c r="A5977" s="352"/>
      <c r="B5977" s="353"/>
      <c r="C5977" s="359"/>
      <c r="D5977" s="359"/>
      <c r="E5977" s="381"/>
      <c r="F5977" s="383"/>
      <c r="G5977" s="81"/>
      <c r="H5977" s="81"/>
      <c r="I5977" s="81"/>
      <c r="J5977" s="81"/>
      <c r="K5977" s="81"/>
      <c r="L5977" s="81"/>
      <c r="M5977" s="81"/>
      <c r="N5977" s="81"/>
    </row>
    <row r="5978" spans="1:14" ht="14.25" customHeight="1" thickBot="1" x14ac:dyDescent="0.3">
      <c r="A5978" s="352"/>
      <c r="B5978" s="384"/>
      <c r="C5978" s="385"/>
      <c r="D5978" s="640" t="s">
        <v>1352</v>
      </c>
      <c r="E5978" s="641"/>
      <c r="F5978" s="364">
        <f>SUM(F5974:F5977)</f>
        <v>204550.00011342025</v>
      </c>
      <c r="G5978" s="81"/>
      <c r="H5978" s="81"/>
      <c r="I5978" s="81"/>
      <c r="J5978" s="81"/>
      <c r="K5978" s="81"/>
      <c r="L5978" s="81"/>
      <c r="M5978" s="81"/>
      <c r="N5978" s="81"/>
    </row>
    <row r="5979" spans="1:14" ht="14.25" customHeight="1" thickBot="1" x14ac:dyDescent="0.3">
      <c r="A5979" s="386" t="s">
        <v>554</v>
      </c>
      <c r="B5979" s="387"/>
      <c r="C5979" s="388"/>
      <c r="D5979" s="388"/>
      <c r="E5979" s="389"/>
      <c r="F5979" s="390"/>
      <c r="G5979" s="81"/>
      <c r="H5979" s="81"/>
      <c r="I5979" s="81"/>
      <c r="J5979" s="81"/>
      <c r="K5979" s="81"/>
      <c r="L5979" s="81"/>
      <c r="M5979" s="81"/>
      <c r="N5979" s="81"/>
    </row>
    <row r="5980" spans="1:14" ht="14.25" customHeight="1" thickBot="1" x14ac:dyDescent="0.3">
      <c r="A5980" s="371" t="s">
        <v>550</v>
      </c>
      <c r="B5980" s="372"/>
      <c r="C5980" s="373" t="s">
        <v>1353</v>
      </c>
      <c r="D5980" s="373" t="s">
        <v>1354</v>
      </c>
      <c r="E5980" s="373" t="s">
        <v>1355</v>
      </c>
      <c r="F5980" s="374" t="s">
        <v>557</v>
      </c>
      <c r="G5980" s="81"/>
      <c r="H5980" s="81"/>
      <c r="I5980" s="81"/>
      <c r="J5980" s="81"/>
      <c r="K5980" s="81"/>
      <c r="L5980" s="81"/>
      <c r="M5980" s="81"/>
      <c r="N5980" s="81"/>
    </row>
    <row r="5981" spans="1:14" ht="14.25" customHeight="1" x14ac:dyDescent="0.25">
      <c r="A5981" s="391" t="s">
        <v>604</v>
      </c>
      <c r="B5981" s="392"/>
      <c r="C5981" s="393"/>
      <c r="D5981" s="392">
        <v>2.5</v>
      </c>
      <c r="E5981" s="455">
        <v>2500</v>
      </c>
      <c r="F5981" s="395">
        <f>+E5981*D5981</f>
        <v>6250</v>
      </c>
      <c r="G5981" s="81"/>
      <c r="H5981" s="81"/>
      <c r="I5981" s="81"/>
      <c r="J5981" s="81"/>
      <c r="K5981" s="81"/>
      <c r="L5981" s="81"/>
      <c r="M5981" s="81"/>
      <c r="N5981" s="81"/>
    </row>
    <row r="5982" spans="1:14" ht="14.25" customHeight="1" x14ac:dyDescent="0.25">
      <c r="A5982" s="396"/>
      <c r="B5982" s="397"/>
      <c r="C5982" s="398"/>
      <c r="D5982" s="398"/>
      <c r="E5982" s="399"/>
      <c r="F5982" s="400"/>
      <c r="G5982" s="81"/>
      <c r="H5982" s="81"/>
      <c r="I5982" s="81"/>
      <c r="J5982" s="81"/>
      <c r="K5982" s="81"/>
      <c r="L5982" s="81"/>
      <c r="M5982" s="81"/>
      <c r="N5982" s="81"/>
    </row>
    <row r="5983" spans="1:14" ht="14.25" customHeight="1" thickBot="1" x14ac:dyDescent="0.3">
      <c r="A5983" s="396"/>
      <c r="B5983" s="397"/>
      <c r="C5983" s="398"/>
      <c r="D5983" s="398"/>
      <c r="E5983" s="399"/>
      <c r="F5983" s="401"/>
      <c r="G5983" s="81"/>
      <c r="H5983" s="81"/>
      <c r="I5983" s="81"/>
      <c r="J5983" s="81"/>
      <c r="K5983" s="81"/>
      <c r="L5983" s="81"/>
      <c r="M5983" s="81"/>
      <c r="N5983" s="81"/>
    </row>
    <row r="5984" spans="1:14" ht="14.25" customHeight="1" thickBot="1" x14ac:dyDescent="0.3">
      <c r="A5984" s="352"/>
      <c r="B5984" s="384"/>
      <c r="C5984" s="385"/>
      <c r="D5984" s="640" t="s">
        <v>1356</v>
      </c>
      <c r="E5984" s="642"/>
      <c r="F5984" s="402">
        <f>SUM(F5981)</f>
        <v>6250</v>
      </c>
      <c r="G5984" s="81"/>
      <c r="H5984" s="81"/>
      <c r="I5984" s="81"/>
      <c r="J5984" s="81"/>
      <c r="K5984" s="81"/>
      <c r="L5984" s="81"/>
      <c r="M5984" s="81"/>
      <c r="N5984" s="81"/>
    </row>
    <row r="5985" spans="1:14" ht="14.25" customHeight="1" thickBot="1" x14ac:dyDescent="0.3">
      <c r="A5985" s="643"/>
      <c r="B5985" s="644"/>
      <c r="C5985" s="644"/>
      <c r="D5985" s="644"/>
      <c r="E5985" s="403" t="s">
        <v>555</v>
      </c>
      <c r="F5985" s="404">
        <f>+F5984+F5978+F5971+F5965</f>
        <v>1799280.0001134204</v>
      </c>
      <c r="G5985" s="81"/>
      <c r="H5985" s="81"/>
      <c r="I5985" s="81"/>
      <c r="J5985" s="81"/>
      <c r="K5985" s="81"/>
      <c r="L5985" s="81"/>
      <c r="M5985" s="81"/>
      <c r="N5985" s="81"/>
    </row>
    <row r="5986" spans="1:14" ht="14.25" customHeight="1" x14ac:dyDescent="0.25">
      <c r="A5986" s="168"/>
      <c r="B5986" s="168"/>
      <c r="C5986" s="168"/>
      <c r="D5986" s="168"/>
      <c r="E5986" s="168"/>
      <c r="F5986" s="168"/>
      <c r="G5986" s="81"/>
      <c r="H5986" s="117"/>
      <c r="I5986" s="81"/>
      <c r="J5986" s="81"/>
      <c r="K5986" s="81"/>
      <c r="L5986" s="81"/>
      <c r="M5986" s="81"/>
      <c r="N5986" s="81"/>
    </row>
    <row r="5987" spans="1:14" ht="14.25" customHeight="1" x14ac:dyDescent="0.25">
      <c r="A5987" s="168"/>
      <c r="B5987" s="168"/>
      <c r="C5987" s="168"/>
      <c r="D5987" s="168"/>
      <c r="E5987" s="168"/>
      <c r="F5987" s="168"/>
      <c r="G5987" s="81"/>
      <c r="H5987" s="81"/>
      <c r="I5987" s="81"/>
      <c r="J5987" s="81"/>
      <c r="K5987" s="81"/>
      <c r="L5987" s="81"/>
      <c r="M5987" s="81"/>
      <c r="N5987" s="81"/>
    </row>
    <row r="5988" spans="1:14" ht="14.25" customHeight="1" x14ac:dyDescent="0.25">
      <c r="A5988" s="168"/>
      <c r="B5988" s="168"/>
      <c r="C5988" s="168"/>
      <c r="D5988" s="168"/>
      <c r="E5988" s="168"/>
      <c r="F5988" s="168"/>
      <c r="G5988" s="81"/>
      <c r="H5988" s="81"/>
      <c r="I5988" s="81"/>
      <c r="J5988" s="81"/>
      <c r="K5988" s="81"/>
      <c r="L5988" s="81"/>
      <c r="M5988" s="81"/>
      <c r="N5988" s="81"/>
    </row>
    <row r="5989" spans="1:14" ht="14.25" customHeight="1" x14ac:dyDescent="0.25">
      <c r="A5989" s="645" t="s">
        <v>561</v>
      </c>
      <c r="B5989" s="646"/>
      <c r="C5989" s="646"/>
      <c r="D5989" s="646"/>
      <c r="E5989" s="646"/>
      <c r="F5989" s="647"/>
      <c r="G5989" s="81"/>
      <c r="H5989" s="81"/>
      <c r="I5989" s="81"/>
      <c r="J5989" s="81"/>
      <c r="K5989" s="81"/>
      <c r="L5989" s="81"/>
      <c r="M5989" s="81"/>
      <c r="N5989" s="81"/>
    </row>
    <row r="5990" spans="1:14" ht="14.25" customHeight="1" thickBot="1" x14ac:dyDescent="0.3">
      <c r="A5990" s="648"/>
      <c r="B5990" s="648"/>
      <c r="C5990" s="648"/>
      <c r="D5990" s="648"/>
      <c r="E5990" s="648"/>
      <c r="F5990" s="648"/>
      <c r="G5990" s="81"/>
      <c r="H5990" s="81"/>
      <c r="I5990" s="81"/>
      <c r="J5990" s="81"/>
      <c r="K5990" s="81"/>
      <c r="L5990" s="81"/>
      <c r="M5990" s="81"/>
      <c r="N5990" s="81"/>
    </row>
    <row r="5991" spans="1:14" ht="14.25" customHeight="1" thickBot="1" x14ac:dyDescent="0.3">
      <c r="A5991" s="309" t="s">
        <v>1334</v>
      </c>
      <c r="B5991" s="310"/>
      <c r="C5991" s="430" t="e">
        <f>+'[110]PPTO UNIATLÁNTICO'!A5701</f>
        <v>#REF!</v>
      </c>
      <c r="D5991" s="312"/>
      <c r="E5991" s="312"/>
      <c r="F5991" s="313" t="s">
        <v>49</v>
      </c>
      <c r="G5991" s="81"/>
      <c r="H5991" s="81"/>
      <c r="I5991" s="81"/>
      <c r="J5991" s="81"/>
      <c r="K5991" s="81"/>
      <c r="L5991" s="81"/>
      <c r="M5991" s="81"/>
      <c r="N5991" s="81"/>
    </row>
    <row r="5992" spans="1:14" ht="14.25" customHeight="1" thickBot="1" x14ac:dyDescent="0.3">
      <c r="A5992" s="660" t="s">
        <v>1402</v>
      </c>
      <c r="B5992" s="661"/>
      <c r="C5992" s="661"/>
      <c r="D5992" s="661"/>
      <c r="E5992" s="662"/>
      <c r="F5992" s="317" t="s">
        <v>49</v>
      </c>
      <c r="G5992" s="81"/>
      <c r="H5992" s="81"/>
      <c r="I5992" s="81"/>
      <c r="J5992" s="81"/>
      <c r="K5992" s="81"/>
      <c r="L5992" s="81"/>
      <c r="M5992" s="81"/>
      <c r="N5992" s="81"/>
    </row>
    <row r="5993" spans="1:14" ht="14.25" customHeight="1" thickBot="1" x14ac:dyDescent="0.3">
      <c r="A5993" s="649" t="s">
        <v>1403</v>
      </c>
      <c r="B5993" s="650"/>
      <c r="C5993" s="650"/>
      <c r="D5993" s="650"/>
      <c r="E5993" s="650"/>
      <c r="F5993" s="651"/>
      <c r="G5993" s="81"/>
      <c r="H5993" s="81"/>
      <c r="I5993" s="81"/>
      <c r="J5993" s="81"/>
      <c r="K5993" s="81"/>
      <c r="L5993" s="81"/>
      <c r="M5993" s="81"/>
      <c r="N5993" s="81"/>
    </row>
    <row r="5994" spans="1:14" ht="14.25" customHeight="1" thickBot="1" x14ac:dyDescent="0.3">
      <c r="A5994" s="633" t="s">
        <v>1335</v>
      </c>
      <c r="B5994" s="634"/>
      <c r="C5994" s="634"/>
      <c r="D5994" s="634"/>
      <c r="E5994" s="634"/>
      <c r="F5994" s="635"/>
      <c r="G5994" s="81"/>
      <c r="H5994" s="81"/>
      <c r="I5994" s="81"/>
      <c r="J5994" s="81"/>
      <c r="K5994" s="81"/>
      <c r="L5994" s="81"/>
      <c r="M5994" s="81"/>
      <c r="N5994" s="81"/>
    </row>
    <row r="5995" spans="1:14" ht="14.25" customHeight="1" thickBot="1" x14ac:dyDescent="0.3">
      <c r="A5995" s="318" t="s">
        <v>550</v>
      </c>
      <c r="B5995" s="319" t="s">
        <v>49</v>
      </c>
      <c r="C5995" s="319" t="s">
        <v>50</v>
      </c>
      <c r="D5995" s="319" t="s">
        <v>1336</v>
      </c>
      <c r="E5995" s="320" t="s">
        <v>1337</v>
      </c>
      <c r="F5995" s="321" t="s">
        <v>1338</v>
      </c>
      <c r="G5995" s="81"/>
      <c r="H5995" s="81"/>
      <c r="I5995" s="81"/>
      <c r="J5995" s="81"/>
      <c r="K5995" s="81"/>
      <c r="L5995" s="81"/>
      <c r="M5995" s="81"/>
      <c r="N5995" s="81"/>
    </row>
    <row r="5996" spans="1:14" ht="14.25" customHeight="1" x14ac:dyDescent="0.25">
      <c r="A5996" s="419" t="s">
        <v>1390</v>
      </c>
      <c r="B5996" s="434" t="s">
        <v>552</v>
      </c>
      <c r="C5996" s="435">
        <v>1</v>
      </c>
      <c r="D5996" s="436"/>
      <c r="E5996" s="453">
        <v>98560.000000000015</v>
      </c>
      <c r="F5996" s="437">
        <f>+C5996*E5996</f>
        <v>98560.000000000015</v>
      </c>
      <c r="G5996" s="81"/>
      <c r="H5996" s="81"/>
      <c r="I5996" s="81"/>
      <c r="J5996" s="81"/>
      <c r="K5996" s="81"/>
      <c r="L5996" s="81"/>
      <c r="M5996" s="81"/>
      <c r="N5996" s="81"/>
    </row>
    <row r="5997" spans="1:14" ht="14.25" customHeight="1" x14ac:dyDescent="0.25">
      <c r="A5997" s="452" t="s">
        <v>1404</v>
      </c>
      <c r="B5997" s="439" t="s">
        <v>1394</v>
      </c>
      <c r="C5997" s="440">
        <v>1</v>
      </c>
      <c r="D5997" s="441"/>
      <c r="E5997" s="454">
        <v>1624000.0000000002</v>
      </c>
      <c r="F5997" s="442">
        <f>+C5997*E5997</f>
        <v>1624000.0000000002</v>
      </c>
      <c r="G5997" s="81"/>
      <c r="H5997" s="81"/>
      <c r="I5997" s="81"/>
      <c r="J5997" s="81"/>
      <c r="K5997" s="81"/>
      <c r="L5997" s="81"/>
      <c r="M5997" s="81"/>
      <c r="N5997" s="81"/>
    </row>
    <row r="5998" spans="1:14" ht="14.25" customHeight="1" x14ac:dyDescent="0.25">
      <c r="A5998" s="452" t="s">
        <v>1405</v>
      </c>
      <c r="B5998" s="439" t="s">
        <v>1394</v>
      </c>
      <c r="C5998" s="440">
        <v>1</v>
      </c>
      <c r="D5998" s="441"/>
      <c r="E5998" s="454">
        <v>221760.00000000003</v>
      </c>
      <c r="F5998" s="442">
        <f t="shared" ref="F5998" si="286">+C5998*E5998</f>
        <v>221760.00000000003</v>
      </c>
      <c r="G5998" s="81"/>
      <c r="H5998" s="81"/>
      <c r="I5998" s="81"/>
      <c r="J5998" s="81"/>
      <c r="K5998" s="81"/>
      <c r="L5998" s="81"/>
      <c r="M5998" s="81"/>
      <c r="N5998" s="81"/>
    </row>
    <row r="5999" spans="1:14" ht="14.25" customHeight="1" x14ac:dyDescent="0.25">
      <c r="A5999" s="456"/>
      <c r="B5999" s="457"/>
      <c r="C5999" s="458"/>
      <c r="D5999" s="459"/>
      <c r="E5999" s="460"/>
      <c r="F5999" s="461"/>
      <c r="G5999" s="81"/>
      <c r="H5999" s="81"/>
      <c r="I5999" s="81"/>
      <c r="J5999" s="81"/>
      <c r="K5999" s="81"/>
      <c r="L5999" s="81"/>
      <c r="M5999" s="81"/>
      <c r="N5999" s="81"/>
    </row>
    <row r="6000" spans="1:14" ht="14.25" customHeight="1" thickBot="1" x14ac:dyDescent="0.3">
      <c r="A6000" s="443"/>
      <c r="B6000" s="444"/>
      <c r="C6000" s="339"/>
      <c r="D6000" s="445"/>
      <c r="E6000" s="446" t="s">
        <v>1342</v>
      </c>
      <c r="F6000" s="447"/>
      <c r="G6000" s="81"/>
      <c r="H6000" s="81"/>
      <c r="I6000" s="81"/>
      <c r="J6000" s="81"/>
      <c r="K6000" s="81"/>
      <c r="L6000" s="81"/>
      <c r="M6000" s="81"/>
      <c r="N6000" s="81"/>
    </row>
    <row r="6001" spans="1:14" ht="14.25" customHeight="1" thickBot="1" x14ac:dyDescent="0.3">
      <c r="A6001" s="343"/>
      <c r="B6001" s="344"/>
      <c r="C6001" s="345"/>
      <c r="D6001" s="636" t="s">
        <v>1343</v>
      </c>
      <c r="E6001" s="637"/>
      <c r="F6001" s="346">
        <f>SUM(F5996:F6000)</f>
        <v>1944320.0000000002</v>
      </c>
      <c r="G6001" s="81"/>
      <c r="H6001" s="81"/>
      <c r="I6001" s="81"/>
      <c r="J6001" s="81"/>
      <c r="K6001" s="81"/>
      <c r="L6001" s="81"/>
      <c r="M6001" s="81"/>
      <c r="N6001" s="81"/>
    </row>
    <row r="6002" spans="1:14" ht="14.25" customHeight="1" thickBot="1" x14ac:dyDescent="0.3">
      <c r="A6002" s="633" t="s">
        <v>1344</v>
      </c>
      <c r="B6002" s="634"/>
      <c r="C6002" s="634"/>
      <c r="D6002" s="634"/>
      <c r="E6002" s="634"/>
      <c r="F6002" s="635"/>
      <c r="G6002" s="81"/>
      <c r="H6002" s="81"/>
      <c r="I6002" s="81"/>
      <c r="J6002" s="81"/>
      <c r="K6002" s="81"/>
      <c r="L6002" s="81"/>
      <c r="M6002" s="81"/>
      <c r="N6002" s="81"/>
    </row>
    <row r="6003" spans="1:14" ht="30.75" customHeight="1" thickBot="1" x14ac:dyDescent="0.3">
      <c r="A6003" s="347" t="s">
        <v>505</v>
      </c>
      <c r="B6003" s="344"/>
      <c r="C6003" s="348" t="s">
        <v>1345</v>
      </c>
      <c r="D6003" s="349" t="s">
        <v>1346</v>
      </c>
      <c r="E6003" s="350" t="s">
        <v>557</v>
      </c>
      <c r="F6003" s="351"/>
      <c r="G6003" s="81"/>
      <c r="H6003" s="81"/>
      <c r="I6003" s="81"/>
      <c r="J6003" s="81"/>
      <c r="K6003" s="81"/>
      <c r="L6003" s="81"/>
      <c r="M6003" s="81"/>
      <c r="N6003" s="81"/>
    </row>
    <row r="6004" spans="1:14" ht="14.25" customHeight="1" x14ac:dyDescent="0.25">
      <c r="A6004" s="352" t="s">
        <v>1347</v>
      </c>
      <c r="B6004" s="353"/>
      <c r="C6004" s="353">
        <v>5000</v>
      </c>
      <c r="D6004" s="354">
        <v>2.5</v>
      </c>
      <c r="E6004" s="355">
        <f>+C6004/D6004</f>
        <v>2000</v>
      </c>
      <c r="F6004" s="356">
        <f>+E6004</f>
        <v>2000</v>
      </c>
      <c r="G6004" s="81"/>
      <c r="H6004" s="81"/>
      <c r="I6004" s="81"/>
      <c r="J6004" s="81"/>
      <c r="K6004" s="81"/>
      <c r="L6004" s="81"/>
      <c r="M6004" s="81"/>
      <c r="N6004" s="81"/>
    </row>
    <row r="6005" spans="1:14" ht="14.25" customHeight="1" x14ac:dyDescent="0.25">
      <c r="A6005" s="357"/>
      <c r="B6005" s="358"/>
      <c r="C6005" s="359"/>
      <c r="D6005" s="359"/>
      <c r="E6005" s="360"/>
      <c r="F6005" s="361"/>
      <c r="G6005" s="81"/>
      <c r="H6005" s="81"/>
      <c r="I6005" s="81"/>
      <c r="J6005" s="81"/>
      <c r="K6005" s="81"/>
      <c r="L6005" s="81"/>
      <c r="M6005" s="81"/>
      <c r="N6005" s="81"/>
    </row>
    <row r="6006" spans="1:14" ht="14.25" customHeight="1" thickBot="1" x14ac:dyDescent="0.3">
      <c r="A6006" s="357"/>
      <c r="B6006" s="358"/>
      <c r="C6006" s="359"/>
      <c r="D6006" s="359"/>
      <c r="E6006" s="360"/>
      <c r="F6006" s="362"/>
      <c r="G6006" s="81"/>
      <c r="H6006" s="81"/>
      <c r="I6006" s="81"/>
      <c r="J6006" s="81"/>
      <c r="K6006" s="81"/>
      <c r="L6006" s="81"/>
      <c r="M6006" s="81"/>
      <c r="N6006" s="81"/>
    </row>
    <row r="6007" spans="1:14" ht="14.25" customHeight="1" thickBot="1" x14ac:dyDescent="0.3">
      <c r="A6007" s="357"/>
      <c r="B6007" s="358"/>
      <c r="C6007" s="363"/>
      <c r="D6007" s="638" t="s">
        <v>1348</v>
      </c>
      <c r="E6007" s="639"/>
      <c r="F6007" s="364">
        <f>SUM(F6004:F6006)</f>
        <v>2000</v>
      </c>
      <c r="G6007" s="81"/>
      <c r="H6007" s="81"/>
      <c r="I6007" s="81"/>
      <c r="J6007" s="81"/>
      <c r="K6007" s="81"/>
      <c r="L6007" s="81"/>
      <c r="M6007" s="81"/>
      <c r="N6007" s="81"/>
    </row>
    <row r="6008" spans="1:14" ht="14.25" customHeight="1" thickBot="1" x14ac:dyDescent="0.3">
      <c r="A6008" s="365" t="s">
        <v>553</v>
      </c>
      <c r="B6008" s="366"/>
      <c r="C6008" s="367"/>
      <c r="D6008" s="368"/>
      <c r="E6008" s="369"/>
      <c r="F6008" s="370"/>
      <c r="G6008" s="81"/>
      <c r="H6008" s="81"/>
      <c r="I6008" s="81"/>
      <c r="J6008" s="81"/>
      <c r="K6008" s="81"/>
      <c r="L6008" s="81"/>
      <c r="M6008" s="81"/>
      <c r="N6008" s="81"/>
    </row>
    <row r="6009" spans="1:14" ht="14.25" customHeight="1" thickBot="1" x14ac:dyDescent="0.3">
      <c r="A6009" s="371" t="s">
        <v>505</v>
      </c>
      <c r="B6009" s="372" t="s">
        <v>50</v>
      </c>
      <c r="C6009" s="373" t="s">
        <v>1349</v>
      </c>
      <c r="D6009" s="373" t="s">
        <v>1350</v>
      </c>
      <c r="E6009" s="373" t="s">
        <v>1346</v>
      </c>
      <c r="F6009" s="374" t="s">
        <v>557</v>
      </c>
      <c r="G6009" s="81"/>
      <c r="H6009" s="81"/>
      <c r="I6009" s="81"/>
      <c r="J6009" s="81"/>
      <c r="K6009" s="81"/>
      <c r="L6009" s="81"/>
      <c r="M6009" s="81"/>
      <c r="N6009" s="81"/>
    </row>
    <row r="6010" spans="1:14" ht="14.25" customHeight="1" x14ac:dyDescent="0.25">
      <c r="A6010" s="357" t="s">
        <v>1373</v>
      </c>
      <c r="B6010" s="375">
        <v>1</v>
      </c>
      <c r="C6010" s="376">
        <v>186800</v>
      </c>
      <c r="D6010" s="377">
        <v>1.9402999999999999</v>
      </c>
      <c r="E6010" s="378">
        <v>3.0348157079228595</v>
      </c>
      <c r="F6010" s="379">
        <f>(B6010*C6010*D6010)/E6010</f>
        <v>119430.00000091369</v>
      </c>
      <c r="G6010" s="81"/>
      <c r="H6010" s="81"/>
      <c r="I6010" s="81"/>
      <c r="J6010" s="81"/>
      <c r="K6010" s="81"/>
      <c r="L6010" s="81"/>
      <c r="M6010" s="81"/>
      <c r="N6010" s="81"/>
    </row>
    <row r="6011" spans="1:14" ht="14.25" customHeight="1" x14ac:dyDescent="0.25">
      <c r="A6011" s="380"/>
      <c r="B6011" s="353"/>
      <c r="C6011" s="359"/>
      <c r="D6011" s="359"/>
      <c r="E6011" s="381"/>
      <c r="F6011" s="382"/>
      <c r="G6011" s="81"/>
      <c r="H6011" s="81"/>
      <c r="I6011" s="81"/>
      <c r="J6011" s="81"/>
      <c r="K6011" s="81"/>
      <c r="L6011" s="81"/>
      <c r="M6011" s="81"/>
      <c r="N6011" s="81"/>
    </row>
    <row r="6012" spans="1:14" ht="14.25" customHeight="1" x14ac:dyDescent="0.25">
      <c r="A6012" s="357"/>
      <c r="B6012" s="358"/>
      <c r="C6012" s="359"/>
      <c r="D6012" s="359"/>
      <c r="E6012" s="360"/>
      <c r="F6012" s="361"/>
      <c r="G6012" s="81"/>
      <c r="H6012" s="81"/>
      <c r="I6012" s="81"/>
      <c r="J6012" s="81"/>
      <c r="K6012" s="81"/>
      <c r="L6012" s="81"/>
      <c r="M6012" s="81"/>
      <c r="N6012" s="81"/>
    </row>
    <row r="6013" spans="1:14" ht="14.25" customHeight="1" thickBot="1" x14ac:dyDescent="0.3">
      <c r="A6013" s="352"/>
      <c r="B6013" s="353"/>
      <c r="C6013" s="359"/>
      <c r="D6013" s="359"/>
      <c r="E6013" s="381"/>
      <c r="F6013" s="383"/>
      <c r="G6013" s="81"/>
      <c r="H6013" s="81"/>
      <c r="I6013" s="81"/>
      <c r="J6013" s="81"/>
      <c r="K6013" s="81"/>
      <c r="L6013" s="81"/>
      <c r="M6013" s="81"/>
      <c r="N6013" s="81"/>
    </row>
    <row r="6014" spans="1:14" ht="14.25" customHeight="1" thickBot="1" x14ac:dyDescent="0.3">
      <c r="A6014" s="352"/>
      <c r="B6014" s="384"/>
      <c r="C6014" s="385"/>
      <c r="D6014" s="640" t="s">
        <v>1352</v>
      </c>
      <c r="E6014" s="641"/>
      <c r="F6014" s="364">
        <f>SUM(F6010:F6013)</f>
        <v>119430.00000091369</v>
      </c>
      <c r="G6014" s="81"/>
      <c r="H6014" s="81"/>
      <c r="I6014" s="81"/>
      <c r="J6014" s="81"/>
      <c r="K6014" s="81"/>
      <c r="L6014" s="81"/>
      <c r="M6014" s="81"/>
      <c r="N6014" s="81"/>
    </row>
    <row r="6015" spans="1:14" ht="14.25" customHeight="1" thickBot="1" x14ac:dyDescent="0.3">
      <c r="A6015" s="386" t="s">
        <v>554</v>
      </c>
      <c r="B6015" s="387"/>
      <c r="C6015" s="388"/>
      <c r="D6015" s="388"/>
      <c r="E6015" s="389"/>
      <c r="F6015" s="390"/>
      <c r="G6015" s="81"/>
      <c r="H6015" s="81"/>
      <c r="I6015" s="81"/>
      <c r="J6015" s="81"/>
      <c r="K6015" s="81"/>
      <c r="L6015" s="81"/>
      <c r="M6015" s="81"/>
      <c r="N6015" s="81"/>
    </row>
    <row r="6016" spans="1:14" ht="14.25" customHeight="1" thickBot="1" x14ac:dyDescent="0.3">
      <c r="A6016" s="371" t="s">
        <v>550</v>
      </c>
      <c r="B6016" s="372"/>
      <c r="C6016" s="373" t="s">
        <v>1353</v>
      </c>
      <c r="D6016" s="373" t="s">
        <v>1354</v>
      </c>
      <c r="E6016" s="373" t="s">
        <v>1355</v>
      </c>
      <c r="F6016" s="374" t="s">
        <v>557</v>
      </c>
      <c r="G6016" s="81"/>
      <c r="H6016" s="81"/>
      <c r="I6016" s="81"/>
      <c r="J6016" s="81"/>
      <c r="K6016" s="81"/>
      <c r="L6016" s="81"/>
      <c r="M6016" s="81"/>
      <c r="N6016" s="81"/>
    </row>
    <row r="6017" spans="1:14" ht="14.25" customHeight="1" x14ac:dyDescent="0.25">
      <c r="A6017" s="391" t="s">
        <v>604</v>
      </c>
      <c r="B6017" s="392"/>
      <c r="C6017" s="393"/>
      <c r="D6017" s="392">
        <v>2.5</v>
      </c>
      <c r="E6017" s="455">
        <v>2500</v>
      </c>
      <c r="F6017" s="395">
        <f>+E6017*D6017</f>
        <v>6250</v>
      </c>
      <c r="G6017" s="81"/>
      <c r="H6017" s="81"/>
      <c r="I6017" s="81"/>
      <c r="J6017" s="81"/>
      <c r="K6017" s="81"/>
      <c r="L6017" s="81"/>
      <c r="M6017" s="81"/>
      <c r="N6017" s="81"/>
    </row>
    <row r="6018" spans="1:14" ht="14.25" customHeight="1" x14ac:dyDescent="0.25">
      <c r="A6018" s="396"/>
      <c r="B6018" s="397"/>
      <c r="C6018" s="398"/>
      <c r="D6018" s="398"/>
      <c r="E6018" s="399"/>
      <c r="F6018" s="400"/>
      <c r="G6018" s="81"/>
      <c r="H6018" s="81"/>
      <c r="I6018" s="81"/>
      <c r="J6018" s="81"/>
      <c r="K6018" s="81"/>
      <c r="L6018" s="81"/>
      <c r="M6018" s="81"/>
      <c r="N6018" s="81"/>
    </row>
    <row r="6019" spans="1:14" ht="14.25" customHeight="1" thickBot="1" x14ac:dyDescent="0.3">
      <c r="A6019" s="396"/>
      <c r="B6019" s="397"/>
      <c r="C6019" s="398"/>
      <c r="D6019" s="398"/>
      <c r="E6019" s="399"/>
      <c r="F6019" s="401"/>
      <c r="G6019" s="81"/>
      <c r="H6019" s="81"/>
      <c r="I6019" s="81"/>
      <c r="J6019" s="81"/>
      <c r="K6019" s="81"/>
      <c r="L6019" s="81"/>
      <c r="M6019" s="81"/>
      <c r="N6019" s="81"/>
    </row>
    <row r="6020" spans="1:14" ht="14.25" customHeight="1" thickBot="1" x14ac:dyDescent="0.3">
      <c r="A6020" s="352"/>
      <c r="B6020" s="384"/>
      <c r="C6020" s="385"/>
      <c r="D6020" s="640" t="s">
        <v>1356</v>
      </c>
      <c r="E6020" s="642"/>
      <c r="F6020" s="402">
        <f>SUM(F6017)</f>
        <v>6250</v>
      </c>
      <c r="G6020" s="81"/>
      <c r="H6020" s="81"/>
      <c r="I6020" s="81"/>
      <c r="J6020" s="81"/>
      <c r="K6020" s="81"/>
      <c r="L6020" s="81"/>
      <c r="M6020" s="81"/>
      <c r="N6020" s="81"/>
    </row>
    <row r="6021" spans="1:14" ht="14.25" customHeight="1" thickBot="1" x14ac:dyDescent="0.3">
      <c r="A6021" s="643"/>
      <c r="B6021" s="644"/>
      <c r="C6021" s="644"/>
      <c r="D6021" s="644"/>
      <c r="E6021" s="403" t="s">
        <v>555</v>
      </c>
      <c r="F6021" s="404">
        <f>+F6020+F6014+F6007+F6001</f>
        <v>2072000.0000009139</v>
      </c>
      <c r="G6021" s="81"/>
      <c r="H6021" s="81"/>
      <c r="I6021" s="81"/>
      <c r="J6021" s="81"/>
      <c r="K6021" s="81"/>
      <c r="L6021" s="81"/>
      <c r="M6021" s="81"/>
      <c r="N6021" s="81"/>
    </row>
    <row r="6022" spans="1:14" ht="14.25" customHeight="1" x14ac:dyDescent="0.25">
      <c r="A6022" s="168"/>
      <c r="B6022" s="168"/>
      <c r="C6022" s="168"/>
      <c r="D6022" s="168"/>
      <c r="E6022" s="168"/>
      <c r="F6022" s="168"/>
      <c r="G6022" s="81"/>
      <c r="H6022" s="81"/>
      <c r="I6022" s="81"/>
      <c r="J6022" s="81"/>
      <c r="K6022" s="81"/>
      <c r="L6022" s="81"/>
      <c r="M6022" s="81"/>
      <c r="N6022" s="81"/>
    </row>
    <row r="6023" spans="1:14" ht="14.25" customHeight="1" x14ac:dyDescent="0.25">
      <c r="A6023" s="168"/>
      <c r="B6023" s="168"/>
      <c r="C6023" s="168"/>
      <c r="D6023" s="168"/>
      <c r="E6023" s="168"/>
      <c r="F6023" s="168"/>
      <c r="G6023" s="81"/>
      <c r="H6023" s="81"/>
      <c r="I6023" s="81"/>
      <c r="J6023" s="81"/>
      <c r="K6023" s="81"/>
      <c r="L6023" s="81"/>
      <c r="M6023" s="81"/>
      <c r="N6023" s="81"/>
    </row>
    <row r="6024" spans="1:14" ht="14.25" customHeight="1" x14ac:dyDescent="0.25">
      <c r="A6024" s="168"/>
      <c r="B6024" s="168"/>
      <c r="C6024" s="168"/>
      <c r="D6024" s="168"/>
      <c r="E6024" s="168"/>
      <c r="F6024" s="168"/>
      <c r="G6024" s="81"/>
      <c r="H6024" s="81"/>
      <c r="I6024" s="81"/>
      <c r="J6024" s="81"/>
      <c r="K6024" s="81"/>
      <c r="L6024" s="81"/>
      <c r="M6024" s="81"/>
      <c r="N6024" s="81"/>
    </row>
    <row r="6025" spans="1:14" ht="14.25" customHeight="1" x14ac:dyDescent="0.25">
      <c r="A6025" s="645" t="s">
        <v>561</v>
      </c>
      <c r="B6025" s="646"/>
      <c r="C6025" s="646"/>
      <c r="D6025" s="646"/>
      <c r="E6025" s="646"/>
      <c r="F6025" s="647"/>
      <c r="G6025" s="81"/>
      <c r="H6025" s="81"/>
      <c r="I6025" s="81"/>
      <c r="J6025" s="81"/>
      <c r="K6025" s="81"/>
      <c r="L6025" s="81"/>
      <c r="M6025" s="81"/>
      <c r="N6025" s="81"/>
    </row>
    <row r="6026" spans="1:14" ht="14.25" customHeight="1" thickBot="1" x14ac:dyDescent="0.3">
      <c r="A6026" s="648"/>
      <c r="B6026" s="648"/>
      <c r="C6026" s="648"/>
      <c r="D6026" s="648"/>
      <c r="E6026" s="648"/>
      <c r="F6026" s="648"/>
      <c r="G6026" s="81"/>
      <c r="H6026" s="81"/>
      <c r="I6026" s="81"/>
      <c r="J6026" s="81"/>
      <c r="K6026" s="81"/>
      <c r="L6026" s="81"/>
      <c r="M6026" s="81"/>
      <c r="N6026" s="81"/>
    </row>
    <row r="6027" spans="1:14" ht="14.25" customHeight="1" thickBot="1" x14ac:dyDescent="0.3">
      <c r="A6027" s="309" t="s">
        <v>1334</v>
      </c>
      <c r="B6027" s="310"/>
      <c r="C6027" s="311" t="e">
        <f>+'[110]PPTO UNIATLÁNTICO'!A5699</f>
        <v>#REF!</v>
      </c>
      <c r="D6027" s="312"/>
      <c r="E6027" s="312"/>
      <c r="F6027" s="313" t="s">
        <v>49</v>
      </c>
      <c r="G6027" s="81"/>
      <c r="H6027" s="81"/>
      <c r="I6027" s="81"/>
      <c r="J6027" s="81"/>
      <c r="K6027" s="81"/>
      <c r="L6027" s="81"/>
      <c r="M6027" s="81"/>
      <c r="N6027" s="81"/>
    </row>
    <row r="6028" spans="1:14" ht="14.25" customHeight="1" thickBot="1" x14ac:dyDescent="0.3">
      <c r="A6028" s="314" t="e">
        <f>+'[110]PPTO UNIATLÁNTICO'!B5699</f>
        <v>#REF!</v>
      </c>
      <c r="B6028" s="315"/>
      <c r="C6028" s="315"/>
      <c r="D6028" s="316"/>
      <c r="E6028" s="316"/>
      <c r="F6028" s="317" t="s">
        <v>49</v>
      </c>
      <c r="G6028" s="81"/>
      <c r="H6028" s="81"/>
      <c r="I6028" s="81"/>
      <c r="J6028" s="81"/>
      <c r="K6028" s="81"/>
      <c r="L6028" s="81"/>
      <c r="M6028" s="81"/>
      <c r="N6028" s="81"/>
    </row>
    <row r="6029" spans="1:14" ht="14.25" customHeight="1" thickBot="1" x14ac:dyDescent="0.3">
      <c r="A6029" s="649" t="s">
        <v>1389</v>
      </c>
      <c r="B6029" s="650"/>
      <c r="C6029" s="650"/>
      <c r="D6029" s="650"/>
      <c r="E6029" s="650"/>
      <c r="F6029" s="651"/>
      <c r="G6029" s="81"/>
      <c r="H6029" s="81"/>
      <c r="I6029" s="81"/>
      <c r="J6029" s="81"/>
      <c r="K6029" s="81"/>
      <c r="L6029" s="81"/>
      <c r="M6029" s="81"/>
      <c r="N6029" s="81"/>
    </row>
    <row r="6030" spans="1:14" ht="14.25" customHeight="1" thickBot="1" x14ac:dyDescent="0.3">
      <c r="A6030" s="633" t="s">
        <v>1335</v>
      </c>
      <c r="B6030" s="634"/>
      <c r="C6030" s="634"/>
      <c r="D6030" s="634"/>
      <c r="E6030" s="634"/>
      <c r="F6030" s="635"/>
      <c r="G6030" s="81"/>
      <c r="H6030" s="81"/>
      <c r="I6030" s="81"/>
      <c r="J6030" s="81"/>
      <c r="K6030" s="81"/>
      <c r="L6030" s="81"/>
      <c r="M6030" s="81"/>
      <c r="N6030" s="81"/>
    </row>
    <row r="6031" spans="1:14" ht="14.25" customHeight="1" x14ac:dyDescent="0.25">
      <c r="A6031" s="318" t="s">
        <v>550</v>
      </c>
      <c r="B6031" s="319" t="s">
        <v>49</v>
      </c>
      <c r="C6031" s="319" t="s">
        <v>50</v>
      </c>
      <c r="D6031" s="319" t="s">
        <v>1336</v>
      </c>
      <c r="E6031" s="320" t="s">
        <v>1337</v>
      </c>
      <c r="F6031" s="321" t="s">
        <v>1338</v>
      </c>
      <c r="G6031" s="81"/>
      <c r="H6031" s="81"/>
      <c r="I6031" s="81"/>
      <c r="J6031" s="81"/>
      <c r="K6031" s="81"/>
      <c r="L6031" s="81"/>
      <c r="M6031" s="81"/>
      <c r="N6031" s="81"/>
    </row>
    <row r="6032" spans="1:14" ht="14.25" customHeight="1" x14ac:dyDescent="0.25">
      <c r="A6032" s="456" t="e">
        <f>+A6028</f>
        <v>#REF!</v>
      </c>
      <c r="B6032" s="457" t="s">
        <v>1394</v>
      </c>
      <c r="C6032" s="458">
        <v>1</v>
      </c>
      <c r="D6032" s="459"/>
      <c r="E6032" s="460">
        <v>497145.99666666641</v>
      </c>
      <c r="F6032" s="461">
        <f t="shared" ref="F6032:F6033" si="287">+C6032*E6032</f>
        <v>497145.99666666641</v>
      </c>
      <c r="G6032" s="81"/>
      <c r="H6032" s="81"/>
      <c r="I6032" s="81"/>
      <c r="J6032" s="81"/>
      <c r="K6032" s="81"/>
      <c r="L6032" s="81"/>
      <c r="M6032" s="81"/>
      <c r="N6032" s="81"/>
    </row>
    <row r="6033" spans="1:14" ht="14.25" customHeight="1" x14ac:dyDescent="0.25">
      <c r="A6033" s="456" t="s">
        <v>1406</v>
      </c>
      <c r="B6033" s="457" t="s">
        <v>1394</v>
      </c>
      <c r="C6033" s="458">
        <v>1</v>
      </c>
      <c r="D6033" s="459"/>
      <c r="E6033" s="460">
        <v>14500</v>
      </c>
      <c r="F6033" s="461">
        <f t="shared" si="287"/>
        <v>14500</v>
      </c>
      <c r="G6033" s="81"/>
      <c r="H6033" s="81"/>
      <c r="I6033" s="81"/>
      <c r="J6033" s="81"/>
      <c r="K6033" s="81"/>
      <c r="L6033" s="81"/>
      <c r="M6033" s="81"/>
      <c r="N6033" s="81"/>
    </row>
    <row r="6034" spans="1:14" ht="14.25" customHeight="1" thickBot="1" x14ac:dyDescent="0.3">
      <c r="A6034" s="443"/>
      <c r="B6034" s="444"/>
      <c r="C6034" s="339"/>
      <c r="D6034" s="445"/>
      <c r="E6034" s="446" t="s">
        <v>1342</v>
      </c>
      <c r="F6034" s="447"/>
      <c r="G6034" s="81"/>
      <c r="H6034" s="81"/>
      <c r="I6034" s="81"/>
      <c r="J6034" s="81"/>
      <c r="K6034" s="81"/>
      <c r="L6034" s="81"/>
      <c r="M6034" s="81"/>
      <c r="N6034" s="81"/>
    </row>
    <row r="6035" spans="1:14" ht="14.25" customHeight="1" thickBot="1" x14ac:dyDescent="0.3">
      <c r="A6035" s="343"/>
      <c r="B6035" s="344"/>
      <c r="C6035" s="345"/>
      <c r="D6035" s="636" t="s">
        <v>1343</v>
      </c>
      <c r="E6035" s="637"/>
      <c r="F6035" s="346">
        <f>SUM(F6032:F6034)</f>
        <v>511645.99666666641</v>
      </c>
      <c r="G6035" s="81"/>
      <c r="H6035" s="81"/>
      <c r="I6035" s="81"/>
      <c r="J6035" s="81"/>
      <c r="K6035" s="81"/>
      <c r="L6035" s="81"/>
      <c r="M6035" s="81"/>
      <c r="N6035" s="81"/>
    </row>
    <row r="6036" spans="1:14" ht="14.25" customHeight="1" thickBot="1" x14ac:dyDescent="0.3">
      <c r="A6036" s="633" t="s">
        <v>1344</v>
      </c>
      <c r="B6036" s="634"/>
      <c r="C6036" s="634"/>
      <c r="D6036" s="634"/>
      <c r="E6036" s="634"/>
      <c r="F6036" s="635"/>
      <c r="G6036" s="81"/>
      <c r="H6036" s="81"/>
      <c r="I6036" s="81"/>
      <c r="J6036" s="81"/>
      <c r="K6036" s="81"/>
      <c r="L6036" s="81"/>
      <c r="M6036" s="81"/>
      <c r="N6036" s="81"/>
    </row>
    <row r="6037" spans="1:14" ht="14.25" customHeight="1" thickBot="1" x14ac:dyDescent="0.3">
      <c r="A6037" s="347" t="s">
        <v>505</v>
      </c>
      <c r="B6037" s="344"/>
      <c r="C6037" s="348" t="s">
        <v>1345</v>
      </c>
      <c r="D6037" s="349" t="s">
        <v>1346</v>
      </c>
      <c r="E6037" s="350" t="s">
        <v>557</v>
      </c>
      <c r="F6037" s="351"/>
      <c r="G6037" s="81"/>
      <c r="H6037" s="81"/>
      <c r="I6037" s="81"/>
      <c r="J6037" s="81"/>
      <c r="K6037" s="81"/>
      <c r="L6037" s="81"/>
      <c r="M6037" s="81"/>
      <c r="N6037" s="81"/>
    </row>
    <row r="6038" spans="1:14" ht="14.25" customHeight="1" x14ac:dyDescent="0.25">
      <c r="A6038" s="352" t="s">
        <v>1347</v>
      </c>
      <c r="B6038" s="353"/>
      <c r="C6038" s="353">
        <v>5000</v>
      </c>
      <c r="D6038" s="354">
        <v>50</v>
      </c>
      <c r="E6038" s="355">
        <f>+C6038/D6038</f>
        <v>100</v>
      </c>
      <c r="F6038" s="356">
        <f>+E6038</f>
        <v>100</v>
      </c>
      <c r="G6038" s="81"/>
      <c r="H6038" s="81"/>
      <c r="I6038" s="81"/>
      <c r="J6038" s="81"/>
      <c r="K6038" s="81"/>
      <c r="L6038" s="81"/>
      <c r="M6038" s="81"/>
      <c r="N6038" s="81"/>
    </row>
    <row r="6039" spans="1:14" ht="14.25" customHeight="1" x14ac:dyDescent="0.25">
      <c r="A6039" s="357"/>
      <c r="B6039" s="358"/>
      <c r="C6039" s="359"/>
      <c r="D6039" s="359"/>
      <c r="E6039" s="360"/>
      <c r="F6039" s="361"/>
      <c r="G6039" s="81"/>
      <c r="H6039" s="81"/>
      <c r="I6039" s="81"/>
      <c r="J6039" s="81"/>
      <c r="K6039" s="81"/>
      <c r="L6039" s="81"/>
      <c r="M6039" s="81"/>
      <c r="N6039" s="81"/>
    </row>
    <row r="6040" spans="1:14" ht="14.25" customHeight="1" thickBot="1" x14ac:dyDescent="0.3">
      <c r="A6040" s="357"/>
      <c r="B6040" s="358"/>
      <c r="C6040" s="359"/>
      <c r="D6040" s="359"/>
      <c r="E6040" s="360"/>
      <c r="F6040" s="362"/>
      <c r="G6040" s="81"/>
      <c r="H6040" s="81"/>
      <c r="I6040" s="81"/>
      <c r="J6040" s="81"/>
      <c r="K6040" s="81"/>
      <c r="L6040" s="81"/>
      <c r="M6040" s="81"/>
      <c r="N6040" s="81"/>
    </row>
    <row r="6041" spans="1:14" ht="14.25" customHeight="1" thickBot="1" x14ac:dyDescent="0.3">
      <c r="A6041" s="357"/>
      <c r="B6041" s="358"/>
      <c r="C6041" s="363"/>
      <c r="D6041" s="638" t="s">
        <v>1348</v>
      </c>
      <c r="E6041" s="639"/>
      <c r="F6041" s="364">
        <f>SUM(F6038:F6040)</f>
        <v>100</v>
      </c>
      <c r="G6041" s="81"/>
      <c r="H6041" s="81"/>
      <c r="I6041" s="81"/>
      <c r="J6041" s="81"/>
      <c r="K6041" s="81"/>
      <c r="L6041" s="81"/>
      <c r="M6041" s="81"/>
      <c r="N6041" s="81"/>
    </row>
    <row r="6042" spans="1:14" ht="14.25" customHeight="1" thickBot="1" x14ac:dyDescent="0.3">
      <c r="A6042" s="365" t="s">
        <v>553</v>
      </c>
      <c r="B6042" s="366"/>
      <c r="C6042" s="367"/>
      <c r="D6042" s="368"/>
      <c r="E6042" s="369"/>
      <c r="F6042" s="370"/>
      <c r="G6042" s="81"/>
      <c r="H6042" s="81"/>
      <c r="I6042" s="81"/>
      <c r="J6042" s="81"/>
      <c r="K6042" s="81"/>
      <c r="L6042" s="81"/>
      <c r="M6042" s="81"/>
      <c r="N6042" s="81"/>
    </row>
    <row r="6043" spans="1:14" ht="14.25" customHeight="1" thickBot="1" x14ac:dyDescent="0.3">
      <c r="A6043" s="371" t="s">
        <v>505</v>
      </c>
      <c r="B6043" s="372" t="s">
        <v>50</v>
      </c>
      <c r="C6043" s="373" t="s">
        <v>1349</v>
      </c>
      <c r="D6043" s="373" t="s">
        <v>1350</v>
      </c>
      <c r="E6043" s="373" t="s">
        <v>1346</v>
      </c>
      <c r="F6043" s="374" t="s">
        <v>557</v>
      </c>
      <c r="G6043" s="81"/>
      <c r="H6043" s="143"/>
      <c r="I6043" s="81"/>
      <c r="J6043" s="81"/>
      <c r="K6043" s="81"/>
      <c r="L6043" s="81"/>
      <c r="M6043" s="81"/>
      <c r="N6043" s="81"/>
    </row>
    <row r="6044" spans="1:14" ht="14.25" customHeight="1" x14ac:dyDescent="0.25">
      <c r="A6044" s="357" t="s">
        <v>1373</v>
      </c>
      <c r="B6044" s="375">
        <v>1</v>
      </c>
      <c r="C6044" s="376">
        <v>186800</v>
      </c>
      <c r="D6044" s="377">
        <v>1.9402999999999999</v>
      </c>
      <c r="E6044" s="378">
        <v>12</v>
      </c>
      <c r="F6044" s="379">
        <f>(B6044*C6044*D6044)/E6044</f>
        <v>30204.00333333333</v>
      </c>
      <c r="G6044" s="81"/>
      <c r="H6044" s="81"/>
      <c r="I6044" s="81"/>
      <c r="J6044" s="81"/>
      <c r="K6044" s="81"/>
      <c r="L6044" s="81"/>
      <c r="M6044" s="81"/>
      <c r="N6044" s="81"/>
    </row>
    <row r="6045" spans="1:14" ht="14.25" customHeight="1" x14ac:dyDescent="0.25">
      <c r="A6045" s="380"/>
      <c r="B6045" s="353"/>
      <c r="C6045" s="359"/>
      <c r="D6045" s="359"/>
      <c r="E6045" s="381"/>
      <c r="F6045" s="382"/>
      <c r="G6045" s="81"/>
      <c r="H6045" s="81"/>
      <c r="I6045" s="81"/>
      <c r="J6045" s="81"/>
      <c r="K6045" s="81"/>
      <c r="L6045" s="81"/>
      <c r="M6045" s="81"/>
      <c r="N6045" s="81"/>
    </row>
    <row r="6046" spans="1:14" ht="14.25" customHeight="1" x14ac:dyDescent="0.25">
      <c r="A6046" s="357"/>
      <c r="B6046" s="358"/>
      <c r="C6046" s="359"/>
      <c r="D6046" s="359"/>
      <c r="E6046" s="360"/>
      <c r="F6046" s="361"/>
      <c r="G6046" s="81"/>
      <c r="H6046" s="81"/>
      <c r="I6046" s="81"/>
      <c r="J6046" s="81"/>
      <c r="K6046" s="81"/>
      <c r="L6046" s="81"/>
      <c r="M6046" s="81"/>
      <c r="N6046" s="81"/>
    </row>
    <row r="6047" spans="1:14" ht="14.25" customHeight="1" thickBot="1" x14ac:dyDescent="0.3">
      <c r="A6047" s="352"/>
      <c r="B6047" s="353"/>
      <c r="C6047" s="359"/>
      <c r="D6047" s="359"/>
      <c r="E6047" s="381"/>
      <c r="F6047" s="383"/>
      <c r="G6047" s="81"/>
      <c r="H6047" s="81"/>
      <c r="I6047" s="81"/>
      <c r="J6047" s="81"/>
      <c r="K6047" s="81"/>
      <c r="L6047" s="81"/>
      <c r="M6047" s="81"/>
      <c r="N6047" s="81"/>
    </row>
    <row r="6048" spans="1:14" ht="14.25" customHeight="1" thickBot="1" x14ac:dyDescent="0.3">
      <c r="A6048" s="352"/>
      <c r="B6048" s="384"/>
      <c r="C6048" s="385"/>
      <c r="D6048" s="640" t="s">
        <v>1352</v>
      </c>
      <c r="E6048" s="641"/>
      <c r="F6048" s="364">
        <f>SUM(F6044:F6047)</f>
        <v>30204.00333333333</v>
      </c>
      <c r="G6048" s="81"/>
      <c r="H6048" s="81"/>
      <c r="I6048" s="81"/>
      <c r="J6048" s="81"/>
      <c r="K6048" s="81"/>
      <c r="L6048" s="81"/>
      <c r="M6048" s="81"/>
      <c r="N6048" s="81"/>
    </row>
    <row r="6049" spans="1:14" ht="14.25" customHeight="1" thickBot="1" x14ac:dyDescent="0.3">
      <c r="A6049" s="386" t="s">
        <v>554</v>
      </c>
      <c r="B6049" s="387"/>
      <c r="C6049" s="388"/>
      <c r="D6049" s="388"/>
      <c r="E6049" s="389"/>
      <c r="F6049" s="390"/>
      <c r="G6049" s="81"/>
      <c r="H6049" s="81"/>
      <c r="I6049" s="81"/>
      <c r="J6049" s="81"/>
      <c r="K6049" s="81"/>
      <c r="L6049" s="81"/>
      <c r="M6049" s="81"/>
      <c r="N6049" s="81"/>
    </row>
    <row r="6050" spans="1:14" ht="14.25" customHeight="1" thickBot="1" x14ac:dyDescent="0.3">
      <c r="A6050" s="371" t="s">
        <v>550</v>
      </c>
      <c r="B6050" s="372"/>
      <c r="C6050" s="373" t="s">
        <v>1353</v>
      </c>
      <c r="D6050" s="373" t="s">
        <v>1354</v>
      </c>
      <c r="E6050" s="373" t="s">
        <v>1355</v>
      </c>
      <c r="F6050" s="374" t="s">
        <v>557</v>
      </c>
      <c r="G6050" s="81"/>
      <c r="H6050" s="81"/>
      <c r="I6050" s="81"/>
      <c r="J6050" s="81"/>
      <c r="K6050" s="81"/>
      <c r="L6050" s="81"/>
      <c r="M6050" s="81"/>
      <c r="N6050" s="81"/>
    </row>
    <row r="6051" spans="1:14" ht="14.25" customHeight="1" x14ac:dyDescent="0.25">
      <c r="A6051" s="391" t="s">
        <v>604</v>
      </c>
      <c r="B6051" s="392"/>
      <c r="C6051" s="393"/>
      <c r="D6051" s="392">
        <v>2.5</v>
      </c>
      <c r="E6051" s="455">
        <v>500</v>
      </c>
      <c r="F6051" s="395">
        <f>+E6051*D6051</f>
        <v>1250</v>
      </c>
      <c r="G6051" s="81"/>
      <c r="H6051" s="81"/>
      <c r="I6051" s="81"/>
      <c r="J6051" s="81"/>
      <c r="K6051" s="81"/>
      <c r="L6051" s="81"/>
      <c r="M6051" s="81"/>
      <c r="N6051" s="81"/>
    </row>
    <row r="6052" spans="1:14" ht="14.25" customHeight="1" x14ac:dyDescent="0.25">
      <c r="A6052" s="396"/>
      <c r="B6052" s="397"/>
      <c r="C6052" s="398"/>
      <c r="D6052" s="398"/>
      <c r="E6052" s="399"/>
      <c r="F6052" s="400"/>
      <c r="G6052" s="81"/>
      <c r="H6052" s="81"/>
      <c r="I6052" s="81"/>
      <c r="J6052" s="81"/>
      <c r="K6052" s="81"/>
      <c r="L6052" s="81"/>
      <c r="M6052" s="81"/>
      <c r="N6052" s="81"/>
    </row>
    <row r="6053" spans="1:14" ht="14.25" customHeight="1" thickBot="1" x14ac:dyDescent="0.3">
      <c r="A6053" s="396"/>
      <c r="B6053" s="397"/>
      <c r="C6053" s="398"/>
      <c r="D6053" s="398"/>
      <c r="E6053" s="399"/>
      <c r="F6053" s="401"/>
      <c r="G6053" s="81"/>
      <c r="H6053" s="81"/>
      <c r="I6053" s="81"/>
      <c r="J6053" s="81"/>
      <c r="K6053" s="81"/>
      <c r="L6053" s="81"/>
      <c r="M6053" s="81"/>
      <c r="N6053" s="81"/>
    </row>
    <row r="6054" spans="1:14" ht="14.25" customHeight="1" thickBot="1" x14ac:dyDescent="0.3">
      <c r="A6054" s="352"/>
      <c r="B6054" s="384"/>
      <c r="C6054" s="385"/>
      <c r="D6054" s="640" t="s">
        <v>1356</v>
      </c>
      <c r="E6054" s="642"/>
      <c r="F6054" s="402">
        <f>SUM(F6051)</f>
        <v>1250</v>
      </c>
      <c r="G6054" s="81"/>
      <c r="H6054" s="81"/>
      <c r="I6054" s="81"/>
      <c r="J6054" s="81"/>
      <c r="K6054" s="81"/>
      <c r="L6054" s="81"/>
      <c r="M6054" s="81"/>
      <c r="N6054" s="81"/>
    </row>
    <row r="6055" spans="1:14" ht="14.25" customHeight="1" thickBot="1" x14ac:dyDescent="0.3">
      <c r="A6055" s="643"/>
      <c r="B6055" s="644"/>
      <c r="C6055" s="644"/>
      <c r="D6055" s="644"/>
      <c r="E6055" s="403" t="s">
        <v>555</v>
      </c>
      <c r="F6055" s="404">
        <f>+F6054+F6048+F6041+F6035</f>
        <v>543199.99999999977</v>
      </c>
      <c r="G6055" s="81"/>
      <c r="H6055" s="81"/>
      <c r="I6055" s="81"/>
      <c r="J6055" s="81"/>
      <c r="K6055" s="81"/>
      <c r="L6055" s="81"/>
      <c r="M6055" s="81"/>
      <c r="N6055" s="81"/>
    </row>
    <row r="6056" spans="1:14" ht="14.25" customHeight="1" x14ac:dyDescent="0.25">
      <c r="A6056" s="299"/>
      <c r="B6056" s="135"/>
      <c r="C6056" s="135"/>
      <c r="D6056" s="135"/>
      <c r="E6056" s="135"/>
      <c r="F6056" s="136"/>
      <c r="G6056" s="81"/>
      <c r="H6056" s="81"/>
      <c r="I6056" s="81"/>
      <c r="J6056" s="81"/>
      <c r="K6056" s="81"/>
      <c r="L6056" s="81"/>
      <c r="M6056" s="81"/>
      <c r="N6056" s="81"/>
    </row>
    <row r="6057" spans="1:14" ht="14.25" customHeight="1" x14ac:dyDescent="0.25">
      <c r="A6057" s="81"/>
      <c r="B6057" s="81"/>
      <c r="C6057" s="137"/>
      <c r="D6057" s="81"/>
      <c r="E6057" s="81"/>
      <c r="F6057" s="81"/>
      <c r="G6057" s="81"/>
      <c r="H6057" s="81"/>
      <c r="I6057" s="81"/>
      <c r="J6057" s="81"/>
      <c r="K6057" s="81"/>
      <c r="L6057" s="81"/>
      <c r="M6057" s="81"/>
      <c r="N6057" s="81"/>
    </row>
    <row r="6058" spans="1:14" ht="32.25" customHeight="1" x14ac:dyDescent="0.25">
      <c r="A6058" s="81"/>
      <c r="B6058" s="81"/>
      <c r="C6058" s="137"/>
      <c r="D6058" s="81"/>
      <c r="E6058" s="81"/>
      <c r="F6058" s="81"/>
      <c r="G6058" s="81"/>
      <c r="H6058" s="81"/>
      <c r="I6058" s="81"/>
      <c r="J6058" s="81"/>
      <c r="K6058" s="81"/>
      <c r="L6058" s="81"/>
      <c r="M6058" s="81"/>
      <c r="N6058" s="81"/>
    </row>
    <row r="6059" spans="1:14" ht="14.25" customHeight="1" x14ac:dyDescent="0.25">
      <c r="A6059" s="299"/>
      <c r="B6059" s="135"/>
      <c r="C6059" s="135"/>
      <c r="D6059" s="135"/>
      <c r="E6059" s="135"/>
      <c r="F6059" s="136"/>
      <c r="G6059" s="81"/>
      <c r="H6059" s="81"/>
      <c r="I6059" s="81"/>
      <c r="J6059" s="81"/>
      <c r="K6059" s="81"/>
      <c r="L6059" s="81"/>
      <c r="M6059" s="81"/>
      <c r="N6059" s="81"/>
    </row>
    <row r="6060" spans="1:14" ht="14.25" customHeight="1" x14ac:dyDescent="0.25">
      <c r="A6060" s="299"/>
      <c r="B6060" s="135"/>
      <c r="C6060" s="135"/>
      <c r="D6060" s="135"/>
      <c r="E6060" s="135"/>
      <c r="F6060" s="136"/>
      <c r="G6060" s="81"/>
      <c r="H6060" s="81"/>
      <c r="I6060" s="81"/>
      <c r="J6060" s="81"/>
      <c r="K6060" s="81"/>
      <c r="L6060" s="81"/>
      <c r="M6060" s="81"/>
      <c r="N6060" s="81"/>
    </row>
    <row r="6061" spans="1:14" ht="14.25" customHeight="1" x14ac:dyDescent="0.25">
      <c r="A6061" s="81"/>
      <c r="B6061" s="81"/>
      <c r="C6061" s="137"/>
      <c r="D6061" s="81"/>
      <c r="E6061" s="81"/>
      <c r="F6061" s="81"/>
      <c r="G6061" s="81"/>
      <c r="H6061" s="81"/>
      <c r="I6061" s="81"/>
      <c r="J6061" s="81"/>
      <c r="K6061" s="81"/>
      <c r="L6061" s="81"/>
      <c r="M6061" s="81"/>
      <c r="N6061" s="81"/>
    </row>
    <row r="6062" spans="1:14" ht="14.25" customHeight="1" x14ac:dyDescent="0.25">
      <c r="A6062" s="81"/>
      <c r="B6062" s="81"/>
      <c r="C6062" s="137"/>
      <c r="D6062" s="81"/>
      <c r="E6062" s="81"/>
      <c r="F6062" s="81"/>
      <c r="G6062" s="81"/>
      <c r="H6062" s="81"/>
      <c r="I6062" s="81"/>
      <c r="J6062" s="81"/>
      <c r="K6062" s="81"/>
      <c r="L6062" s="81"/>
      <c r="M6062" s="81"/>
      <c r="N6062" s="81"/>
    </row>
    <row r="6063" spans="1:14" ht="14.25" customHeight="1" x14ac:dyDescent="0.25">
      <c r="A6063" s="81"/>
      <c r="B6063" s="81"/>
      <c r="C6063" s="137"/>
      <c r="D6063" s="81"/>
      <c r="E6063" s="81"/>
      <c r="F6063" s="81"/>
      <c r="G6063" s="81"/>
      <c r="H6063" s="81"/>
      <c r="I6063" s="81"/>
      <c r="J6063" s="81"/>
      <c r="K6063" s="81"/>
      <c r="L6063" s="81"/>
      <c r="M6063" s="81"/>
      <c r="N6063" s="81"/>
    </row>
    <row r="6064" spans="1:14" ht="15.75" x14ac:dyDescent="0.25">
      <c r="A6064" s="81"/>
      <c r="B6064" s="81"/>
      <c r="C6064" s="137"/>
      <c r="D6064" s="81"/>
      <c r="E6064" s="81"/>
      <c r="F6064" s="81"/>
      <c r="G6064" s="81"/>
      <c r="H6064" s="81"/>
      <c r="I6064" s="81"/>
      <c r="J6064" s="81"/>
      <c r="K6064" s="81"/>
      <c r="L6064" s="81"/>
      <c r="M6064" s="81"/>
      <c r="N6064" s="81"/>
    </row>
    <row r="6065" spans="1:14" ht="16.5" thickBot="1" x14ac:dyDescent="0.3">
      <c r="A6065" s="81"/>
      <c r="B6065" s="81"/>
      <c r="C6065" s="81"/>
      <c r="D6065" s="81"/>
      <c r="E6065" s="81"/>
      <c r="F6065" s="81"/>
      <c r="G6065" s="81"/>
      <c r="H6065" s="81"/>
      <c r="I6065" s="81"/>
      <c r="J6065" s="81"/>
      <c r="K6065" s="81"/>
      <c r="L6065" s="81"/>
      <c r="M6065" s="81"/>
      <c r="N6065" s="81"/>
    </row>
    <row r="6066" spans="1:14" ht="14.25" customHeight="1" x14ac:dyDescent="0.25">
      <c r="A6066" s="83"/>
      <c r="B6066" s="84"/>
      <c r="C6066" s="85"/>
      <c r="D6066" s="86"/>
      <c r="E6066" s="86"/>
      <c r="F6066" s="87"/>
      <c r="G6066" s="81"/>
      <c r="H6066" s="81"/>
      <c r="I6066" s="81"/>
      <c r="J6066" s="81"/>
      <c r="K6066" s="81"/>
      <c r="L6066" s="81"/>
      <c r="M6066" s="81"/>
      <c r="N6066" s="81"/>
    </row>
    <row r="6067" spans="1:14" ht="14.25" customHeight="1" x14ac:dyDescent="0.25">
      <c r="A6067" s="599"/>
      <c r="B6067" s="600"/>
      <c r="C6067" s="600"/>
      <c r="D6067" s="600"/>
      <c r="E6067" s="600"/>
      <c r="F6067" s="601"/>
      <c r="G6067" s="81"/>
      <c r="H6067" s="81"/>
      <c r="I6067" s="81"/>
      <c r="J6067" s="81"/>
      <c r="K6067" s="81"/>
      <c r="L6067" s="81"/>
      <c r="M6067" s="81"/>
      <c r="N6067" s="81"/>
    </row>
    <row r="6068" spans="1:14" ht="14.25" customHeight="1" x14ac:dyDescent="0.25">
      <c r="A6068" s="602" t="s">
        <v>561</v>
      </c>
      <c r="B6068" s="600"/>
      <c r="C6068" s="600"/>
      <c r="D6068" s="600"/>
      <c r="E6068" s="600"/>
      <c r="F6068" s="601"/>
      <c r="G6068" s="81"/>
      <c r="H6068" s="81"/>
      <c r="I6068" s="81"/>
      <c r="J6068" s="81"/>
      <c r="K6068" s="81"/>
      <c r="L6068" s="81"/>
      <c r="M6068" s="81"/>
      <c r="N6068" s="81"/>
    </row>
    <row r="6069" spans="1:14" ht="14.25" customHeight="1" thickBot="1" x14ac:dyDescent="0.3">
      <c r="A6069" s="603"/>
      <c r="B6069" s="604"/>
      <c r="C6069" s="604"/>
      <c r="D6069" s="604"/>
      <c r="E6069" s="604"/>
      <c r="F6069" s="605"/>
      <c r="G6069" s="81"/>
      <c r="H6069" s="81"/>
      <c r="I6069" s="81"/>
      <c r="J6069" s="81"/>
      <c r="K6069" s="81"/>
      <c r="L6069" s="81"/>
      <c r="M6069" s="81"/>
      <c r="N6069" s="81"/>
    </row>
    <row r="6070" spans="1:14" ht="14.25" customHeight="1" x14ac:dyDescent="0.25">
      <c r="A6070" s="88"/>
      <c r="B6070" s="88"/>
      <c r="C6070" s="89"/>
      <c r="D6070" s="89"/>
      <c r="E6070" s="89"/>
      <c r="F6070" s="89"/>
      <c r="G6070" s="81"/>
      <c r="H6070" s="81"/>
      <c r="I6070" s="81"/>
      <c r="J6070" s="81"/>
      <c r="K6070" s="81"/>
      <c r="L6070" s="81"/>
      <c r="M6070" s="81"/>
      <c r="N6070" s="81"/>
    </row>
    <row r="6071" spans="1:14" ht="14.25" customHeight="1" x14ac:dyDescent="0.25">
      <c r="A6071" s="90" t="s">
        <v>47</v>
      </c>
      <c r="B6071" s="613" t="s">
        <v>304</v>
      </c>
      <c r="C6071" s="600"/>
      <c r="D6071" s="600"/>
      <c r="E6071" s="600"/>
      <c r="F6071" s="600"/>
      <c r="G6071" s="81"/>
      <c r="H6071" s="81"/>
      <c r="I6071" s="81"/>
      <c r="J6071" s="81"/>
      <c r="K6071" s="81"/>
      <c r="L6071" s="81"/>
      <c r="M6071" s="81"/>
      <c r="N6071" s="81"/>
    </row>
    <row r="6072" spans="1:14" ht="14.25" customHeight="1" x14ac:dyDescent="0.25">
      <c r="A6072" s="91"/>
      <c r="B6072" s="91"/>
      <c r="C6072" s="91"/>
      <c r="D6072" s="91"/>
      <c r="E6072" s="91"/>
      <c r="F6072" s="91"/>
      <c r="G6072" s="81"/>
      <c r="H6072" s="81"/>
      <c r="I6072" s="81"/>
      <c r="J6072" s="81"/>
      <c r="K6072" s="81"/>
      <c r="L6072" s="81"/>
      <c r="M6072" s="81"/>
      <c r="N6072" s="81"/>
    </row>
    <row r="6073" spans="1:14" ht="14.25" customHeight="1" x14ac:dyDescent="0.25">
      <c r="A6073" s="88" t="s">
        <v>49</v>
      </c>
      <c r="B6073" s="92" t="s">
        <v>56</v>
      </c>
      <c r="C6073" s="89"/>
      <c r="D6073" s="89"/>
      <c r="E6073" s="89"/>
      <c r="F6073" s="93"/>
      <c r="G6073" s="81"/>
      <c r="H6073" s="81"/>
      <c r="I6073" s="81"/>
      <c r="J6073" s="81"/>
      <c r="K6073" s="81"/>
      <c r="L6073" s="81"/>
      <c r="M6073" s="81"/>
      <c r="N6073" s="81"/>
    </row>
    <row r="6074" spans="1:14" ht="14.25" customHeight="1" x14ac:dyDescent="0.25">
      <c r="A6074" s="88"/>
      <c r="B6074" s="94"/>
      <c r="C6074" s="89"/>
      <c r="D6074" s="89"/>
      <c r="E6074" s="89"/>
      <c r="F6074" s="93"/>
      <c r="G6074" s="81"/>
      <c r="H6074" s="81"/>
      <c r="I6074" s="81"/>
      <c r="J6074" s="81"/>
      <c r="K6074" s="81"/>
      <c r="L6074" s="81"/>
      <c r="M6074" s="81"/>
      <c r="N6074" s="81"/>
    </row>
    <row r="6075" spans="1:14" ht="14.25" customHeight="1" x14ac:dyDescent="0.25">
      <c r="A6075" s="95" t="s">
        <v>562</v>
      </c>
      <c r="B6075" s="96"/>
      <c r="C6075" s="92"/>
      <c r="D6075" s="92"/>
      <c r="E6075" s="92"/>
      <c r="F6075" s="92"/>
      <c r="G6075" s="81"/>
      <c r="H6075" s="81"/>
      <c r="I6075" s="81"/>
      <c r="J6075" s="81"/>
      <c r="K6075" s="81"/>
      <c r="L6075" s="81"/>
      <c r="M6075" s="81"/>
      <c r="N6075" s="81"/>
    </row>
    <row r="6076" spans="1:14" ht="14.25" customHeight="1" x14ac:dyDescent="0.25">
      <c r="A6076" s="97" t="s">
        <v>563</v>
      </c>
      <c r="B6076" s="98" t="s">
        <v>564</v>
      </c>
      <c r="C6076" s="98" t="s">
        <v>565</v>
      </c>
      <c r="D6076" s="98" t="s">
        <v>566</v>
      </c>
      <c r="E6076" s="98" t="s">
        <v>567</v>
      </c>
      <c r="F6076" s="98" t="s">
        <v>568</v>
      </c>
      <c r="G6076" s="81"/>
      <c r="H6076" s="81"/>
      <c r="I6076" s="81"/>
      <c r="J6076" s="81"/>
      <c r="K6076" s="81"/>
      <c r="L6076" s="81"/>
      <c r="M6076" s="81"/>
      <c r="N6076" s="81"/>
    </row>
    <row r="6077" spans="1:14" ht="14.25" customHeight="1" x14ac:dyDescent="0.25">
      <c r="A6077" s="99" t="s">
        <v>763</v>
      </c>
      <c r="B6077" s="100" t="s">
        <v>56</v>
      </c>
      <c r="C6077" s="101">
        <v>146977</v>
      </c>
      <c r="D6077" s="149">
        <v>1</v>
      </c>
      <c r="E6077" s="102">
        <v>0.05</v>
      </c>
      <c r="F6077" s="101">
        <f t="shared" ref="F6077:F6079" si="288">C6077*(D6077+(D6077*E6077))</f>
        <v>154325.85</v>
      </c>
      <c r="G6077" s="81"/>
      <c r="H6077" s="81"/>
      <c r="I6077" s="81"/>
      <c r="J6077" s="81"/>
      <c r="K6077" s="81"/>
      <c r="L6077" s="81"/>
      <c r="M6077" s="81"/>
      <c r="N6077" s="81"/>
    </row>
    <row r="6078" spans="1:14" ht="14.25" customHeight="1" x14ac:dyDescent="0.25">
      <c r="A6078" s="99" t="s">
        <v>764</v>
      </c>
      <c r="B6078" s="100" t="s">
        <v>56</v>
      </c>
      <c r="C6078" s="101">
        <v>216726</v>
      </c>
      <c r="D6078" s="149">
        <v>1</v>
      </c>
      <c r="E6078" s="102">
        <v>0.05</v>
      </c>
      <c r="F6078" s="101">
        <f t="shared" si="288"/>
        <v>227562.30000000002</v>
      </c>
      <c r="G6078" s="81"/>
      <c r="H6078" s="81"/>
      <c r="I6078" s="81"/>
      <c r="J6078" s="81"/>
      <c r="K6078" s="81"/>
      <c r="L6078" s="81"/>
      <c r="M6078" s="81"/>
      <c r="N6078" s="81"/>
    </row>
    <row r="6079" spans="1:14" ht="14.25" customHeight="1" x14ac:dyDescent="0.25">
      <c r="A6079" s="99" t="s">
        <v>765</v>
      </c>
      <c r="B6079" s="100" t="s">
        <v>56</v>
      </c>
      <c r="C6079" s="101">
        <v>50720</v>
      </c>
      <c r="D6079" s="149">
        <v>1</v>
      </c>
      <c r="E6079" s="102">
        <v>0.05</v>
      </c>
      <c r="F6079" s="101">
        <f t="shared" si="288"/>
        <v>53256</v>
      </c>
      <c r="G6079" s="81"/>
      <c r="H6079" s="81"/>
      <c r="I6079" s="81"/>
      <c r="J6079" s="81"/>
      <c r="K6079" s="81"/>
      <c r="L6079" s="81"/>
      <c r="M6079" s="81"/>
      <c r="N6079" s="81"/>
    </row>
    <row r="6080" spans="1:14" ht="14.25" customHeight="1" x14ac:dyDescent="0.25">
      <c r="A6080" s="99"/>
      <c r="B6080" s="100"/>
      <c r="C6080" s="101"/>
      <c r="D6080" s="149"/>
      <c r="E6080" s="102"/>
      <c r="F6080" s="101"/>
      <c r="G6080" s="81"/>
      <c r="H6080" s="81"/>
      <c r="I6080" s="81"/>
      <c r="J6080" s="81"/>
      <c r="K6080" s="81"/>
      <c r="L6080" s="81"/>
      <c r="M6080" s="81"/>
      <c r="N6080" s="81"/>
    </row>
    <row r="6081" spans="1:14" ht="14.25" customHeight="1" x14ac:dyDescent="0.25">
      <c r="A6081" s="99"/>
      <c r="B6081" s="100"/>
      <c r="C6081" s="101"/>
      <c r="D6081" s="104"/>
      <c r="E6081" s="102"/>
      <c r="F6081" s="101"/>
      <c r="G6081" s="81"/>
      <c r="H6081" s="81"/>
      <c r="I6081" s="81"/>
      <c r="J6081" s="81"/>
      <c r="K6081" s="81"/>
      <c r="L6081" s="81"/>
      <c r="M6081" s="81"/>
      <c r="N6081" s="81"/>
    </row>
    <row r="6082" spans="1:14" ht="14.25" customHeight="1" x14ac:dyDescent="0.25">
      <c r="A6082" s="99"/>
      <c r="B6082" s="100"/>
      <c r="C6082" s="106"/>
      <c r="D6082" s="107"/>
      <c r="E6082" s="108"/>
      <c r="F6082" s="106"/>
      <c r="G6082" s="81"/>
      <c r="H6082" s="81"/>
      <c r="I6082" s="81"/>
      <c r="J6082" s="81"/>
      <c r="K6082" s="81"/>
      <c r="L6082" s="81"/>
      <c r="M6082" s="81"/>
      <c r="N6082" s="81"/>
    </row>
    <row r="6083" spans="1:14" ht="14.25" customHeight="1" x14ac:dyDescent="0.25">
      <c r="A6083" s="97" t="s">
        <v>548</v>
      </c>
      <c r="B6083" s="97"/>
      <c r="C6083" s="109"/>
      <c r="D6083" s="110"/>
      <c r="E6083" s="111"/>
      <c r="F6083" s="112">
        <f>SUM(F6077:F6082)</f>
        <v>435144.15</v>
      </c>
      <c r="G6083" s="81"/>
      <c r="H6083" s="81"/>
      <c r="I6083" s="81"/>
      <c r="J6083" s="81"/>
      <c r="K6083" s="81"/>
      <c r="L6083" s="81"/>
      <c r="M6083" s="81"/>
      <c r="N6083" s="81"/>
    </row>
    <row r="6084" spans="1:14" ht="14.25" customHeight="1" x14ac:dyDescent="0.25">
      <c r="A6084" s="88"/>
      <c r="B6084" s="88"/>
      <c r="C6084" s="113"/>
      <c r="D6084" s="113"/>
      <c r="E6084" s="114"/>
      <c r="F6084" s="113"/>
      <c r="G6084" s="81"/>
      <c r="H6084" s="81"/>
      <c r="I6084" s="81"/>
      <c r="J6084" s="81"/>
      <c r="K6084" s="81"/>
      <c r="L6084" s="81"/>
      <c r="M6084" s="81"/>
      <c r="N6084" s="81"/>
    </row>
    <row r="6085" spans="1:14" ht="14.25" customHeight="1" x14ac:dyDescent="0.25">
      <c r="A6085" s="96" t="s">
        <v>573</v>
      </c>
      <c r="B6085" s="96"/>
      <c r="C6085" s="92"/>
      <c r="D6085" s="92"/>
      <c r="E6085" s="92"/>
      <c r="F6085" s="92"/>
      <c r="G6085" s="81"/>
      <c r="H6085" s="81"/>
      <c r="I6085" s="81"/>
      <c r="J6085" s="81"/>
      <c r="K6085" s="81"/>
      <c r="L6085" s="81"/>
      <c r="M6085" s="81"/>
      <c r="N6085" s="81"/>
    </row>
    <row r="6086" spans="1:14" ht="14.25" customHeight="1" x14ac:dyDescent="0.25">
      <c r="A6086" s="611" t="s">
        <v>563</v>
      </c>
      <c r="B6086" s="608"/>
      <c r="C6086" s="609"/>
      <c r="D6086" s="98" t="s">
        <v>574</v>
      </c>
      <c r="E6086" s="98" t="s">
        <v>575</v>
      </c>
      <c r="F6086" s="98" t="s">
        <v>568</v>
      </c>
      <c r="G6086" s="81"/>
      <c r="H6086" s="81"/>
      <c r="I6086" s="81"/>
      <c r="J6086" s="81"/>
      <c r="K6086" s="81"/>
      <c r="L6086" s="81"/>
      <c r="M6086" s="81"/>
      <c r="N6086" s="81"/>
    </row>
    <row r="6087" spans="1:14" ht="14.25" customHeight="1" x14ac:dyDescent="0.25">
      <c r="A6087" s="607" t="s">
        <v>577</v>
      </c>
      <c r="B6087" s="608"/>
      <c r="C6087" s="609"/>
      <c r="D6087" s="116"/>
      <c r="E6087" s="107"/>
      <c r="F6087" s="106">
        <f>+F6102*5%</f>
        <v>5281.358512844814</v>
      </c>
      <c r="G6087" s="81"/>
      <c r="H6087" s="81"/>
      <c r="I6087" s="81"/>
      <c r="J6087" s="81"/>
      <c r="K6087" s="81"/>
      <c r="L6087" s="81"/>
      <c r="M6087" s="81"/>
      <c r="N6087" s="81"/>
    </row>
    <row r="6088" spans="1:14" ht="14.25" customHeight="1" x14ac:dyDescent="0.25">
      <c r="A6088" s="607" t="s">
        <v>639</v>
      </c>
      <c r="B6088" s="608"/>
      <c r="C6088" s="609"/>
      <c r="D6088" s="142">
        <v>5150</v>
      </c>
      <c r="E6088" s="107">
        <v>3.29</v>
      </c>
      <c r="F6088" s="106">
        <f t="shared" ref="F6088:F6091" si="289">D6088/E6088</f>
        <v>1565.3495440729482</v>
      </c>
      <c r="G6088" s="81"/>
      <c r="H6088" s="81"/>
      <c r="I6088" s="81"/>
      <c r="J6088" s="81"/>
      <c r="K6088" s="81"/>
      <c r="L6088" s="81"/>
      <c r="M6088" s="81"/>
      <c r="N6088" s="81"/>
    </row>
    <row r="6089" spans="1:14" ht="14.25" customHeight="1" x14ac:dyDescent="0.25">
      <c r="A6089" s="607" t="s">
        <v>702</v>
      </c>
      <c r="B6089" s="608"/>
      <c r="C6089" s="609"/>
      <c r="D6089" s="142">
        <v>3250</v>
      </c>
      <c r="E6089" s="107">
        <v>1.5</v>
      </c>
      <c r="F6089" s="106">
        <f t="shared" si="289"/>
        <v>2166.6666666666665</v>
      </c>
      <c r="G6089" s="81"/>
      <c r="H6089" s="81"/>
      <c r="I6089" s="81"/>
      <c r="J6089" s="81"/>
      <c r="K6089" s="81"/>
      <c r="L6089" s="81"/>
      <c r="M6089" s="81"/>
      <c r="N6089" s="81"/>
    </row>
    <row r="6090" spans="1:14" ht="14.25" customHeight="1" x14ac:dyDescent="0.25">
      <c r="A6090" s="607" t="s">
        <v>766</v>
      </c>
      <c r="B6090" s="608"/>
      <c r="C6090" s="609"/>
      <c r="D6090" s="142">
        <v>5730</v>
      </c>
      <c r="E6090" s="107">
        <v>0.8</v>
      </c>
      <c r="F6090" s="106">
        <f t="shared" si="289"/>
        <v>7162.5</v>
      </c>
      <c r="G6090" s="81"/>
      <c r="H6090" s="81"/>
      <c r="I6090" s="81"/>
      <c r="J6090" s="81"/>
      <c r="K6090" s="81"/>
      <c r="L6090" s="81"/>
      <c r="M6090" s="81"/>
      <c r="N6090" s="81"/>
    </row>
    <row r="6091" spans="1:14" ht="14.25" customHeight="1" x14ac:dyDescent="0.25">
      <c r="A6091" s="607" t="s">
        <v>657</v>
      </c>
      <c r="B6091" s="608"/>
      <c r="C6091" s="609"/>
      <c r="D6091" s="142">
        <v>1850</v>
      </c>
      <c r="E6091" s="107">
        <v>0.22935</v>
      </c>
      <c r="F6091" s="106">
        <f t="shared" si="289"/>
        <v>8066.2742533246128</v>
      </c>
      <c r="G6091" s="81"/>
      <c r="H6091" s="81"/>
      <c r="I6091" s="81"/>
      <c r="J6091" s="81"/>
      <c r="K6091" s="81"/>
      <c r="L6091" s="81"/>
      <c r="M6091" s="81"/>
      <c r="N6091" s="81"/>
    </row>
    <row r="6092" spans="1:14" ht="14.25" customHeight="1" x14ac:dyDescent="0.25">
      <c r="A6092" s="607"/>
      <c r="B6092" s="608"/>
      <c r="C6092" s="609"/>
      <c r="D6092" s="142"/>
      <c r="E6092" s="105"/>
      <c r="F6092" s="106"/>
      <c r="G6092" s="81"/>
      <c r="H6092" s="81"/>
      <c r="I6092" s="81"/>
      <c r="J6092" s="81"/>
      <c r="K6092" s="81"/>
      <c r="L6092" s="81"/>
      <c r="M6092" s="81"/>
      <c r="N6092" s="81"/>
    </row>
    <row r="6093" spans="1:14" ht="14.25" customHeight="1" x14ac:dyDescent="0.25">
      <c r="A6093" s="610"/>
      <c r="B6093" s="608"/>
      <c r="C6093" s="609"/>
      <c r="D6093" s="115"/>
      <c r="E6093" s="107"/>
      <c r="F6093" s="106"/>
      <c r="G6093" s="81"/>
      <c r="H6093" s="81"/>
      <c r="I6093" s="81"/>
      <c r="J6093" s="81"/>
      <c r="K6093" s="81"/>
      <c r="L6093" s="81"/>
      <c r="M6093" s="81"/>
      <c r="N6093" s="81"/>
    </row>
    <row r="6094" spans="1:14" ht="14.25" customHeight="1" x14ac:dyDescent="0.25">
      <c r="A6094" s="611" t="s">
        <v>548</v>
      </c>
      <c r="B6094" s="608"/>
      <c r="C6094" s="609"/>
      <c r="D6094" s="110"/>
      <c r="E6094" s="110"/>
      <c r="F6094" s="112">
        <f>SUM(F6087:F6093)</f>
        <v>24242.14897690904</v>
      </c>
      <c r="G6094" s="81"/>
      <c r="H6094" s="81"/>
      <c r="I6094" s="81"/>
      <c r="J6094" s="81"/>
      <c r="K6094" s="81"/>
      <c r="L6094" s="81"/>
      <c r="M6094" s="81"/>
      <c r="N6094" s="81"/>
    </row>
    <row r="6095" spans="1:14" ht="14.25" customHeight="1" x14ac:dyDescent="0.25">
      <c r="A6095" s="88"/>
      <c r="B6095" s="88"/>
      <c r="C6095" s="89"/>
      <c r="D6095" s="113"/>
      <c r="E6095" s="113"/>
      <c r="F6095" s="113"/>
      <c r="G6095" s="81"/>
      <c r="H6095" s="81"/>
      <c r="I6095" s="81"/>
      <c r="J6095" s="81"/>
      <c r="K6095" s="81"/>
      <c r="L6095" s="81"/>
      <c r="M6095" s="81"/>
      <c r="N6095" s="81"/>
    </row>
    <row r="6096" spans="1:14" ht="14.25" customHeight="1" x14ac:dyDescent="0.25">
      <c r="A6096" s="96" t="s">
        <v>578</v>
      </c>
      <c r="B6096" s="96"/>
      <c r="C6096" s="92"/>
      <c r="D6096" s="118"/>
      <c r="E6096" s="118"/>
      <c r="F6096" s="118"/>
      <c r="G6096" s="81"/>
      <c r="H6096" s="81"/>
      <c r="I6096" s="81"/>
      <c r="J6096" s="81"/>
      <c r="K6096" s="81"/>
      <c r="L6096" s="81"/>
      <c r="M6096" s="81"/>
      <c r="N6096" s="81"/>
    </row>
    <row r="6097" spans="1:14" ht="14.25" customHeight="1" x14ac:dyDescent="0.25">
      <c r="A6097" s="119" t="s">
        <v>563</v>
      </c>
      <c r="B6097" s="120" t="s">
        <v>579</v>
      </c>
      <c r="C6097" s="120" t="s">
        <v>580</v>
      </c>
      <c r="D6097" s="121" t="s">
        <v>581</v>
      </c>
      <c r="E6097" s="121" t="s">
        <v>575</v>
      </c>
      <c r="F6097" s="121" t="s">
        <v>568</v>
      </c>
      <c r="G6097" s="81"/>
      <c r="H6097" s="81"/>
      <c r="I6097" s="81"/>
      <c r="J6097" s="81"/>
      <c r="K6097" s="81"/>
      <c r="L6097" s="81"/>
      <c r="M6097" s="81"/>
      <c r="N6097" s="81"/>
    </row>
    <row r="6098" spans="1:14" ht="14.25" customHeight="1" x14ac:dyDescent="0.25">
      <c r="A6098" s="122" t="s">
        <v>593</v>
      </c>
      <c r="B6098" s="127">
        <v>1</v>
      </c>
      <c r="C6098" s="101">
        <v>30067</v>
      </c>
      <c r="D6098" s="101">
        <f t="shared" ref="D6098:D6099" si="290">+C6098*1.7</f>
        <v>51113.9</v>
      </c>
      <c r="E6098" s="107">
        <v>1.28729</v>
      </c>
      <c r="F6098" s="106">
        <f t="shared" ref="F6098:F6099" si="291">+B6098*(D6098)/E6098</f>
        <v>39706.592920010255</v>
      </c>
      <c r="G6098" s="81"/>
      <c r="H6098" s="117"/>
      <c r="I6098" s="81"/>
      <c r="J6098" s="81"/>
      <c r="K6098" s="81"/>
      <c r="L6098" s="81"/>
      <c r="M6098" s="81"/>
      <c r="N6098" s="81"/>
    </row>
    <row r="6099" spans="1:14" ht="14.25" customHeight="1" x14ac:dyDescent="0.25">
      <c r="A6099" s="122" t="s">
        <v>594</v>
      </c>
      <c r="B6099" s="127">
        <v>1</v>
      </c>
      <c r="C6099" s="101">
        <v>49917</v>
      </c>
      <c r="D6099" s="101">
        <f t="shared" si="290"/>
        <v>84858.9</v>
      </c>
      <c r="E6099" s="107">
        <f>E6098</f>
        <v>1.28729</v>
      </c>
      <c r="F6099" s="106">
        <f t="shared" si="291"/>
        <v>65920.57733688601</v>
      </c>
      <c r="G6099" s="81"/>
      <c r="H6099" s="81"/>
      <c r="I6099" s="81"/>
      <c r="J6099" s="81"/>
      <c r="K6099" s="81"/>
      <c r="L6099" s="81"/>
      <c r="M6099" s="81"/>
      <c r="N6099" s="81"/>
    </row>
    <row r="6100" spans="1:14" ht="14.25" customHeight="1" x14ac:dyDescent="0.25">
      <c r="A6100" s="122"/>
      <c r="B6100" s="127"/>
      <c r="C6100" s="101"/>
      <c r="D6100" s="101"/>
      <c r="E6100" s="107"/>
      <c r="F6100" s="106"/>
      <c r="G6100" s="81"/>
      <c r="H6100" s="81"/>
      <c r="I6100" s="81"/>
      <c r="J6100" s="81"/>
      <c r="K6100" s="81"/>
      <c r="L6100" s="81"/>
      <c r="M6100" s="81"/>
      <c r="N6100" s="81"/>
    </row>
    <row r="6101" spans="1:14" ht="14.25" customHeight="1" x14ac:dyDescent="0.25">
      <c r="A6101" s="122"/>
      <c r="B6101" s="127"/>
      <c r="C6101" s="101"/>
      <c r="D6101" s="101"/>
      <c r="E6101" s="125"/>
      <c r="F6101" s="106"/>
      <c r="G6101" s="81"/>
      <c r="H6101" s="81"/>
      <c r="I6101" s="81"/>
      <c r="J6101" s="81"/>
      <c r="K6101" s="81"/>
      <c r="L6101" s="81"/>
      <c r="M6101" s="81"/>
      <c r="N6101" s="81"/>
    </row>
    <row r="6102" spans="1:14" ht="14.25" customHeight="1" x14ac:dyDescent="0.25">
      <c r="A6102" s="97" t="s">
        <v>548</v>
      </c>
      <c r="B6102" s="128"/>
      <c r="C6102" s="110"/>
      <c r="D6102" s="110"/>
      <c r="E6102" s="110"/>
      <c r="F6102" s="112">
        <f>SUM(F6098:F6101)</f>
        <v>105627.17025689626</v>
      </c>
      <c r="G6102" s="81"/>
      <c r="H6102" s="81"/>
      <c r="I6102" s="81"/>
      <c r="J6102" s="81"/>
      <c r="K6102" s="81"/>
      <c r="L6102" s="81"/>
      <c r="M6102" s="81"/>
      <c r="N6102" s="81"/>
    </row>
    <row r="6103" spans="1:14" ht="14.25" customHeight="1" x14ac:dyDescent="0.25">
      <c r="A6103" s="96"/>
      <c r="B6103" s="129"/>
      <c r="C6103" s="118"/>
      <c r="D6103" s="118"/>
      <c r="E6103" s="118"/>
      <c r="F6103" s="118"/>
      <c r="G6103" s="81"/>
      <c r="H6103" s="81"/>
      <c r="I6103" s="81"/>
      <c r="J6103" s="81"/>
      <c r="K6103" s="81"/>
      <c r="L6103" s="81"/>
      <c r="M6103" s="81"/>
      <c r="N6103" s="81"/>
    </row>
    <row r="6104" spans="1:14" ht="14.25" customHeight="1" x14ac:dyDescent="0.25">
      <c r="A6104" s="95" t="s">
        <v>583</v>
      </c>
      <c r="B6104" s="96"/>
      <c r="C6104" s="92"/>
      <c r="D6104" s="92"/>
      <c r="E6104" s="92" t="s">
        <v>584</v>
      </c>
      <c r="F6104" s="92"/>
      <c r="G6104" s="81"/>
      <c r="H6104" s="81"/>
      <c r="I6104" s="81"/>
      <c r="J6104" s="81"/>
      <c r="K6104" s="81"/>
      <c r="L6104" s="81"/>
      <c r="M6104" s="81"/>
      <c r="N6104" s="81"/>
    </row>
    <row r="6105" spans="1:14" ht="14.25" customHeight="1" x14ac:dyDescent="0.25">
      <c r="A6105" s="97" t="s">
        <v>563</v>
      </c>
      <c r="B6105" s="98" t="s">
        <v>564</v>
      </c>
      <c r="C6105" s="98" t="s">
        <v>585</v>
      </c>
      <c r="D6105" s="98" t="s">
        <v>586</v>
      </c>
      <c r="E6105" s="120" t="s">
        <v>587</v>
      </c>
      <c r="F6105" s="98" t="s">
        <v>568</v>
      </c>
      <c r="G6105" s="81"/>
      <c r="H6105" s="81"/>
      <c r="I6105" s="81"/>
      <c r="J6105" s="81"/>
      <c r="K6105" s="81"/>
      <c r="L6105" s="81"/>
      <c r="M6105" s="81"/>
      <c r="N6105" s="81"/>
    </row>
    <row r="6106" spans="1:14" ht="14.25" customHeight="1" x14ac:dyDescent="0.25">
      <c r="A6106" s="103"/>
      <c r="B6106" s="100"/>
      <c r="C6106" s="101"/>
      <c r="D6106" s="140"/>
      <c r="E6106" s="107"/>
      <c r="F6106" s="109"/>
      <c r="G6106" s="81"/>
      <c r="H6106" s="81"/>
      <c r="I6106" s="81"/>
      <c r="J6106" s="81"/>
      <c r="K6106" s="81"/>
      <c r="L6106" s="81"/>
      <c r="M6106" s="81"/>
      <c r="N6106" s="81"/>
    </row>
    <row r="6107" spans="1:14" ht="14.25" customHeight="1" x14ac:dyDescent="0.25">
      <c r="A6107" s="103"/>
      <c r="B6107" s="100"/>
      <c r="C6107" s="107"/>
      <c r="D6107" s="107"/>
      <c r="E6107" s="108"/>
      <c r="F6107" s="109"/>
      <c r="G6107" s="81"/>
      <c r="H6107" s="81"/>
      <c r="I6107" s="81"/>
      <c r="J6107" s="81"/>
      <c r="K6107" s="81"/>
      <c r="L6107" s="81"/>
      <c r="M6107" s="81"/>
      <c r="N6107" s="81"/>
    </row>
    <row r="6108" spans="1:14" ht="14.25" customHeight="1" x14ac:dyDescent="0.25">
      <c r="A6108" s="97" t="s">
        <v>548</v>
      </c>
      <c r="B6108" s="98"/>
      <c r="C6108" s="110"/>
      <c r="D6108" s="110"/>
      <c r="E6108" s="111"/>
      <c r="F6108" s="112">
        <f>SUM(F6106:F6107)</f>
        <v>0</v>
      </c>
      <c r="G6108" s="81"/>
      <c r="H6108" s="81"/>
      <c r="I6108" s="81"/>
      <c r="J6108" s="81"/>
      <c r="K6108" s="81"/>
      <c r="L6108" s="81"/>
      <c r="M6108" s="81"/>
      <c r="N6108" s="81"/>
    </row>
    <row r="6109" spans="1:14" ht="14.25" customHeight="1" x14ac:dyDescent="0.25">
      <c r="A6109" s="88"/>
      <c r="B6109" s="89"/>
      <c r="C6109" s="113"/>
      <c r="D6109" s="113"/>
      <c r="E6109" s="114"/>
      <c r="F6109" s="113"/>
      <c r="G6109" s="81"/>
      <c r="H6109" s="81"/>
      <c r="I6109" s="81"/>
      <c r="J6109" s="81"/>
      <c r="K6109" s="81"/>
      <c r="L6109" s="81"/>
      <c r="M6109" s="81"/>
      <c r="N6109" s="81"/>
    </row>
    <row r="6110" spans="1:14" ht="14.25" customHeight="1" x14ac:dyDescent="0.25">
      <c r="A6110" s="88"/>
      <c r="B6110" s="89"/>
      <c r="C6110" s="113"/>
      <c r="D6110" s="113"/>
      <c r="E6110" s="114"/>
      <c r="F6110" s="113"/>
      <c r="G6110" s="81"/>
      <c r="H6110" s="81"/>
      <c r="I6110" s="81"/>
      <c r="J6110" s="81"/>
      <c r="K6110" s="81"/>
      <c r="L6110" s="81"/>
      <c r="M6110" s="81"/>
      <c r="N6110" s="81"/>
    </row>
    <row r="6111" spans="1:14" ht="14.25" customHeight="1" x14ac:dyDescent="0.25">
      <c r="A6111" s="612" t="s">
        <v>588</v>
      </c>
      <c r="B6111" s="608"/>
      <c r="C6111" s="608"/>
      <c r="D6111" s="608"/>
      <c r="E6111" s="609"/>
      <c r="F6111" s="131">
        <f>ROUND(F6083+F6094+F6102+F6108,0)</f>
        <v>565013</v>
      </c>
      <c r="G6111" s="81"/>
      <c r="H6111" s="81"/>
      <c r="I6111" s="81"/>
      <c r="J6111" s="81"/>
      <c r="K6111" s="81"/>
      <c r="L6111" s="81"/>
      <c r="M6111" s="81"/>
      <c r="N6111" s="81"/>
    </row>
    <row r="6112" spans="1:14" ht="14.25" customHeight="1" x14ac:dyDescent="0.25">
      <c r="A6112" s="612" t="s">
        <v>589</v>
      </c>
      <c r="B6112" s="608"/>
      <c r="C6112" s="608"/>
      <c r="D6112" s="608"/>
      <c r="E6112" s="609"/>
      <c r="F6112" s="132"/>
      <c r="G6112" s="81"/>
      <c r="H6112" s="81"/>
      <c r="I6112" s="81"/>
      <c r="J6112" s="81"/>
      <c r="K6112" s="81"/>
      <c r="L6112" s="81"/>
      <c r="M6112" s="81"/>
      <c r="N6112" s="81"/>
    </row>
    <row r="6113" spans="1:14" ht="14.25" customHeight="1" x14ac:dyDescent="0.25">
      <c r="A6113" s="612" t="s">
        <v>556</v>
      </c>
      <c r="B6113" s="608"/>
      <c r="C6113" s="608"/>
      <c r="D6113" s="608"/>
      <c r="E6113" s="609"/>
      <c r="F6113" s="133"/>
      <c r="G6113" s="81"/>
      <c r="H6113" s="81"/>
      <c r="I6113" s="81"/>
      <c r="J6113" s="81"/>
      <c r="K6113" s="81"/>
      <c r="L6113" s="81"/>
      <c r="M6113" s="81"/>
      <c r="N6113" s="81"/>
    </row>
    <row r="6114" spans="1:14" ht="14.25" customHeight="1" x14ac:dyDescent="0.25">
      <c r="A6114" s="134"/>
      <c r="B6114" s="135"/>
      <c r="C6114" s="135"/>
      <c r="D6114" s="135"/>
      <c r="E6114" s="135"/>
      <c r="F6114" s="136"/>
      <c r="G6114" s="81"/>
      <c r="H6114" s="81"/>
      <c r="I6114" s="81"/>
      <c r="J6114" s="81"/>
      <c r="K6114" s="81"/>
      <c r="L6114" s="81"/>
      <c r="M6114" s="81"/>
      <c r="N6114" s="81"/>
    </row>
    <row r="6115" spans="1:14" ht="14.25" customHeight="1" x14ac:dyDescent="0.25">
      <c r="A6115" s="81"/>
      <c r="B6115" s="81"/>
      <c r="C6115" s="137"/>
      <c r="D6115" s="81"/>
      <c r="E6115" s="81"/>
      <c r="F6115" s="81"/>
      <c r="G6115" s="81"/>
      <c r="H6115" s="81"/>
      <c r="I6115" s="81"/>
      <c r="J6115" s="81"/>
      <c r="K6115" s="81"/>
      <c r="L6115" s="81"/>
      <c r="M6115" s="81"/>
      <c r="N6115" s="81"/>
    </row>
    <row r="6116" spans="1:14" ht="14.25" customHeight="1" x14ac:dyDescent="0.25">
      <c r="A6116" s="81"/>
      <c r="B6116" s="81"/>
      <c r="C6116" s="137"/>
      <c r="D6116" s="81"/>
      <c r="E6116" s="81"/>
      <c r="F6116" s="81"/>
      <c r="G6116" s="81"/>
      <c r="H6116" s="81"/>
      <c r="I6116" s="81"/>
      <c r="J6116" s="81"/>
      <c r="K6116" s="81"/>
      <c r="L6116" s="81"/>
      <c r="M6116" s="81"/>
      <c r="N6116" s="81"/>
    </row>
    <row r="6117" spans="1:14" ht="14.25" customHeight="1" x14ac:dyDescent="0.25">
      <c r="A6117" s="81"/>
      <c r="B6117" s="81"/>
      <c r="C6117" s="137"/>
      <c r="D6117" s="81"/>
      <c r="E6117" s="81"/>
      <c r="F6117" s="81"/>
      <c r="G6117" s="81"/>
      <c r="H6117" s="81"/>
      <c r="I6117" s="81"/>
      <c r="J6117" s="81"/>
      <c r="K6117" s="81"/>
      <c r="L6117" s="81"/>
      <c r="M6117" s="81"/>
      <c r="N6117" s="81"/>
    </row>
    <row r="6118" spans="1:14" ht="14.25" customHeight="1" x14ac:dyDescent="0.25">
      <c r="A6118" s="81"/>
      <c r="B6118" s="81"/>
      <c r="C6118" s="137"/>
      <c r="D6118" s="81"/>
      <c r="E6118" s="81"/>
      <c r="F6118" s="81"/>
      <c r="G6118" s="81"/>
      <c r="H6118" s="81"/>
      <c r="I6118" s="81"/>
      <c r="J6118" s="81"/>
      <c r="K6118" s="81"/>
      <c r="L6118" s="81"/>
      <c r="M6118" s="81"/>
      <c r="N6118" s="81"/>
    </row>
    <row r="6119" spans="1:14" ht="14.25" customHeight="1" x14ac:dyDescent="0.25">
      <c r="A6119" s="81"/>
      <c r="B6119" s="81"/>
      <c r="C6119" s="137"/>
      <c r="D6119" s="81"/>
      <c r="E6119" s="81"/>
      <c r="F6119" s="81"/>
      <c r="G6119" s="81"/>
      <c r="H6119" s="81"/>
      <c r="I6119" s="81"/>
      <c r="J6119" s="81"/>
      <c r="K6119" s="81"/>
      <c r="L6119" s="81"/>
      <c r="M6119" s="81"/>
      <c r="N6119" s="81"/>
    </row>
    <row r="6120" spans="1:14" ht="14.25" customHeight="1" x14ac:dyDescent="0.25">
      <c r="A6120" s="81"/>
      <c r="B6120" s="81"/>
      <c r="C6120" s="137"/>
      <c r="D6120" s="81"/>
      <c r="E6120" s="81"/>
      <c r="F6120" s="81"/>
      <c r="G6120" s="81"/>
      <c r="H6120" s="81"/>
      <c r="I6120" s="81"/>
      <c r="J6120" s="81"/>
      <c r="K6120" s="81"/>
      <c r="L6120" s="81"/>
      <c r="M6120" s="81"/>
      <c r="N6120" s="81"/>
    </row>
    <row r="6121" spans="1:14" ht="14.25" customHeight="1" thickBot="1" x14ac:dyDescent="0.3">
      <c r="A6121" s="81"/>
      <c r="B6121" s="81"/>
      <c r="C6121" s="81"/>
      <c r="D6121" s="81"/>
      <c r="E6121" s="81"/>
      <c r="F6121" s="81"/>
      <c r="G6121" s="81"/>
      <c r="H6121" s="81"/>
      <c r="I6121" s="81"/>
      <c r="J6121" s="81"/>
      <c r="K6121" s="81"/>
      <c r="L6121" s="81"/>
      <c r="M6121" s="81"/>
      <c r="N6121" s="81"/>
    </row>
    <row r="6122" spans="1:14" ht="14.25" customHeight="1" x14ac:dyDescent="0.25">
      <c r="A6122" s="83"/>
      <c r="B6122" s="84"/>
      <c r="C6122" s="85"/>
      <c r="D6122" s="86"/>
      <c r="E6122" s="86"/>
      <c r="F6122" s="87"/>
      <c r="G6122" s="81"/>
      <c r="H6122" s="81"/>
      <c r="I6122" s="81"/>
      <c r="J6122" s="81"/>
      <c r="K6122" s="81"/>
      <c r="L6122" s="81"/>
      <c r="M6122" s="81"/>
      <c r="N6122" s="81"/>
    </row>
    <row r="6123" spans="1:14" ht="14.25" customHeight="1" x14ac:dyDescent="0.25">
      <c r="A6123" s="599"/>
      <c r="B6123" s="600"/>
      <c r="C6123" s="600"/>
      <c r="D6123" s="600"/>
      <c r="E6123" s="600"/>
      <c r="F6123" s="601"/>
      <c r="G6123" s="81"/>
      <c r="H6123" s="81"/>
      <c r="I6123" s="81"/>
      <c r="J6123" s="81"/>
      <c r="K6123" s="81"/>
      <c r="L6123" s="81"/>
      <c r="M6123" s="81"/>
      <c r="N6123" s="81"/>
    </row>
    <row r="6124" spans="1:14" ht="14.25" customHeight="1" x14ac:dyDescent="0.25">
      <c r="A6124" s="602" t="s">
        <v>561</v>
      </c>
      <c r="B6124" s="600"/>
      <c r="C6124" s="600"/>
      <c r="D6124" s="600"/>
      <c r="E6124" s="600"/>
      <c r="F6124" s="601"/>
      <c r="G6124" s="81"/>
      <c r="H6124" s="81"/>
      <c r="I6124" s="81"/>
      <c r="J6124" s="81"/>
      <c r="K6124" s="81"/>
      <c r="L6124" s="81"/>
      <c r="M6124" s="81"/>
      <c r="N6124" s="81"/>
    </row>
    <row r="6125" spans="1:14" ht="14.25" customHeight="1" thickBot="1" x14ac:dyDescent="0.3">
      <c r="A6125" s="603"/>
      <c r="B6125" s="604"/>
      <c r="C6125" s="604"/>
      <c r="D6125" s="604"/>
      <c r="E6125" s="604"/>
      <c r="F6125" s="605"/>
      <c r="G6125" s="81"/>
      <c r="H6125" s="81"/>
      <c r="I6125" s="81"/>
      <c r="J6125" s="81"/>
      <c r="K6125" s="81"/>
      <c r="L6125" s="81"/>
      <c r="M6125" s="81"/>
      <c r="N6125" s="81"/>
    </row>
    <row r="6126" spans="1:14" ht="14.25" customHeight="1" x14ac:dyDescent="0.25">
      <c r="A6126" s="88"/>
      <c r="B6126" s="88"/>
      <c r="C6126" s="89"/>
      <c r="D6126" s="89"/>
      <c r="E6126" s="89"/>
      <c r="F6126" s="89"/>
      <c r="G6126" s="81"/>
      <c r="H6126" s="81"/>
      <c r="I6126" s="81"/>
      <c r="J6126" s="81"/>
      <c r="K6126" s="81"/>
      <c r="L6126" s="81"/>
      <c r="M6126" s="81"/>
      <c r="N6126" s="81"/>
    </row>
    <row r="6127" spans="1:14" ht="14.25" customHeight="1" x14ac:dyDescent="0.25">
      <c r="A6127" s="90" t="s">
        <v>47</v>
      </c>
      <c r="B6127" s="613" t="s">
        <v>306</v>
      </c>
      <c r="C6127" s="600"/>
      <c r="D6127" s="600"/>
      <c r="E6127" s="600"/>
      <c r="F6127" s="600"/>
      <c r="G6127" s="81"/>
      <c r="H6127" s="81"/>
      <c r="I6127" s="81"/>
      <c r="J6127" s="81"/>
      <c r="K6127" s="81"/>
      <c r="L6127" s="81"/>
      <c r="M6127" s="81"/>
      <c r="N6127" s="81"/>
    </row>
    <row r="6128" spans="1:14" ht="14.25" customHeight="1" x14ac:dyDescent="0.25">
      <c r="A6128" s="91"/>
      <c r="B6128" s="91"/>
      <c r="C6128" s="91"/>
      <c r="D6128" s="91"/>
      <c r="E6128" s="91"/>
      <c r="F6128" s="91"/>
      <c r="G6128" s="81"/>
      <c r="H6128" s="81"/>
      <c r="I6128" s="81"/>
      <c r="J6128" s="81"/>
      <c r="K6128" s="81"/>
      <c r="L6128" s="81"/>
      <c r="M6128" s="81"/>
      <c r="N6128" s="81"/>
    </row>
    <row r="6129" spans="1:14" ht="14.25" customHeight="1" x14ac:dyDescent="0.25">
      <c r="A6129" s="88" t="s">
        <v>49</v>
      </c>
      <c r="B6129" s="92" t="s">
        <v>99</v>
      </c>
      <c r="C6129" s="89"/>
      <c r="D6129" s="89"/>
      <c r="E6129" s="89"/>
      <c r="F6129" s="93"/>
      <c r="G6129" s="81"/>
      <c r="H6129" s="81"/>
      <c r="I6129" s="81"/>
      <c r="J6129" s="81"/>
      <c r="K6129" s="81"/>
      <c r="L6129" s="81"/>
      <c r="M6129" s="81"/>
      <c r="N6129" s="81"/>
    </row>
    <row r="6130" spans="1:14" ht="14.25" customHeight="1" x14ac:dyDescent="0.25">
      <c r="A6130" s="88"/>
      <c r="B6130" s="94"/>
      <c r="C6130" s="89"/>
      <c r="D6130" s="89"/>
      <c r="E6130" s="89"/>
      <c r="F6130" s="93"/>
      <c r="G6130" s="81"/>
      <c r="H6130" s="81"/>
      <c r="I6130" s="81"/>
      <c r="J6130" s="81"/>
      <c r="K6130" s="81"/>
      <c r="L6130" s="81"/>
      <c r="M6130" s="81"/>
      <c r="N6130" s="81"/>
    </row>
    <row r="6131" spans="1:14" ht="14.25" customHeight="1" x14ac:dyDescent="0.25">
      <c r="A6131" s="95" t="s">
        <v>562</v>
      </c>
      <c r="B6131" s="96"/>
      <c r="C6131" s="92"/>
      <c r="D6131" s="92"/>
      <c r="E6131" s="92"/>
      <c r="F6131" s="92"/>
      <c r="G6131" s="81"/>
      <c r="H6131" s="81"/>
      <c r="I6131" s="81"/>
      <c r="J6131" s="81"/>
      <c r="K6131" s="81"/>
      <c r="L6131" s="81"/>
      <c r="M6131" s="81"/>
      <c r="N6131" s="81"/>
    </row>
    <row r="6132" spans="1:14" ht="14.25" customHeight="1" x14ac:dyDescent="0.25">
      <c r="A6132" s="97" t="s">
        <v>563</v>
      </c>
      <c r="B6132" s="98" t="s">
        <v>564</v>
      </c>
      <c r="C6132" s="98" t="s">
        <v>565</v>
      </c>
      <c r="D6132" s="98" t="s">
        <v>566</v>
      </c>
      <c r="E6132" s="98" t="s">
        <v>567</v>
      </c>
      <c r="F6132" s="98" t="s">
        <v>568</v>
      </c>
      <c r="G6132" s="81"/>
      <c r="H6132" s="81"/>
      <c r="I6132" s="81"/>
      <c r="J6132" s="81"/>
      <c r="K6132" s="81"/>
      <c r="L6132" s="81"/>
      <c r="M6132" s="81"/>
      <c r="N6132" s="81"/>
    </row>
    <row r="6133" spans="1:14" ht="14.25" customHeight="1" x14ac:dyDescent="0.25">
      <c r="A6133" s="99" t="s">
        <v>765</v>
      </c>
      <c r="B6133" s="100" t="s">
        <v>56</v>
      </c>
      <c r="C6133" s="101">
        <v>52720</v>
      </c>
      <c r="D6133" s="149">
        <v>0.48</v>
      </c>
      <c r="E6133" s="102">
        <v>0.05</v>
      </c>
      <c r="F6133" s="101">
        <f>C6133*(D6133+(D6133*E6133))</f>
        <v>26570.880000000001</v>
      </c>
      <c r="G6133" s="81"/>
      <c r="H6133" s="81"/>
      <c r="I6133" s="81"/>
      <c r="J6133" s="81"/>
      <c r="K6133" s="81"/>
      <c r="L6133" s="81"/>
      <c r="M6133" s="81"/>
      <c r="N6133" s="81"/>
    </row>
    <row r="6134" spans="1:14" ht="14.25" customHeight="1" x14ac:dyDescent="0.25">
      <c r="A6134" s="99"/>
      <c r="B6134" s="100"/>
      <c r="C6134" s="101"/>
      <c r="D6134" s="149"/>
      <c r="E6134" s="102"/>
      <c r="F6134" s="101"/>
      <c r="G6134" s="81"/>
      <c r="H6134" s="81"/>
      <c r="I6134" s="81"/>
      <c r="J6134" s="81"/>
      <c r="K6134" s="81"/>
      <c r="L6134" s="81"/>
      <c r="M6134" s="81"/>
      <c r="N6134" s="81"/>
    </row>
    <row r="6135" spans="1:14" ht="14.25" customHeight="1" x14ac:dyDescent="0.25">
      <c r="A6135" s="99"/>
      <c r="B6135" s="100"/>
      <c r="C6135" s="101"/>
      <c r="D6135" s="104"/>
      <c r="E6135" s="102"/>
      <c r="F6135" s="101"/>
      <c r="G6135" s="81"/>
      <c r="H6135" s="81"/>
      <c r="I6135" s="81"/>
      <c r="J6135" s="81"/>
      <c r="K6135" s="81"/>
      <c r="L6135" s="81"/>
      <c r="M6135" s="81"/>
      <c r="N6135" s="81"/>
    </row>
    <row r="6136" spans="1:14" ht="14.25" customHeight="1" x14ac:dyDescent="0.25">
      <c r="A6136" s="99"/>
      <c r="B6136" s="100"/>
      <c r="C6136" s="106"/>
      <c r="D6136" s="107"/>
      <c r="E6136" s="108"/>
      <c r="F6136" s="106"/>
      <c r="G6136" s="81"/>
      <c r="H6136" s="81"/>
      <c r="I6136" s="81"/>
      <c r="J6136" s="81"/>
      <c r="K6136" s="81"/>
      <c r="L6136" s="81"/>
      <c r="M6136" s="81"/>
      <c r="N6136" s="81"/>
    </row>
    <row r="6137" spans="1:14" ht="14.25" customHeight="1" x14ac:dyDescent="0.25">
      <c r="A6137" s="97" t="s">
        <v>548</v>
      </c>
      <c r="B6137" s="97"/>
      <c r="C6137" s="109"/>
      <c r="D6137" s="110"/>
      <c r="E6137" s="111"/>
      <c r="F6137" s="112">
        <f>SUM(F6133:F6136)</f>
        <v>26570.880000000001</v>
      </c>
      <c r="G6137" s="81"/>
      <c r="H6137" s="81"/>
      <c r="I6137" s="81"/>
      <c r="J6137" s="81"/>
      <c r="K6137" s="81"/>
      <c r="L6137" s="81"/>
      <c r="M6137" s="81"/>
      <c r="N6137" s="81"/>
    </row>
    <row r="6138" spans="1:14" ht="14.25" customHeight="1" x14ac:dyDescent="0.25">
      <c r="A6138" s="88"/>
      <c r="B6138" s="88"/>
      <c r="C6138" s="113"/>
      <c r="D6138" s="113"/>
      <c r="E6138" s="114"/>
      <c r="F6138" s="113"/>
      <c r="G6138" s="81"/>
      <c r="H6138" s="81"/>
      <c r="I6138" s="81"/>
      <c r="J6138" s="81"/>
      <c r="K6138" s="81"/>
      <c r="L6138" s="81"/>
      <c r="M6138" s="81"/>
      <c r="N6138" s="81"/>
    </row>
    <row r="6139" spans="1:14" ht="14.25" customHeight="1" x14ac:dyDescent="0.25">
      <c r="A6139" s="96" t="s">
        <v>573</v>
      </c>
      <c r="B6139" s="96"/>
      <c r="C6139" s="92"/>
      <c r="D6139" s="92"/>
      <c r="E6139" s="92"/>
      <c r="F6139" s="92"/>
      <c r="G6139" s="81"/>
      <c r="H6139" s="81"/>
      <c r="I6139" s="81"/>
      <c r="J6139" s="81"/>
      <c r="K6139" s="81"/>
      <c r="L6139" s="81"/>
      <c r="M6139" s="81"/>
      <c r="N6139" s="81"/>
    </row>
    <row r="6140" spans="1:14" ht="14.25" customHeight="1" x14ac:dyDescent="0.25">
      <c r="A6140" s="611" t="s">
        <v>563</v>
      </c>
      <c r="B6140" s="608"/>
      <c r="C6140" s="609"/>
      <c r="D6140" s="98" t="s">
        <v>574</v>
      </c>
      <c r="E6140" s="98" t="s">
        <v>575</v>
      </c>
      <c r="F6140" s="98" t="s">
        <v>568</v>
      </c>
      <c r="G6140" s="81"/>
      <c r="H6140" s="81"/>
      <c r="I6140" s="81"/>
      <c r="J6140" s="81"/>
      <c r="K6140" s="81"/>
      <c r="L6140" s="81"/>
      <c r="M6140" s="81"/>
      <c r="N6140" s="81"/>
    </row>
    <row r="6141" spans="1:14" ht="14.25" customHeight="1" x14ac:dyDescent="0.25">
      <c r="A6141" s="607" t="s">
        <v>577</v>
      </c>
      <c r="B6141" s="608"/>
      <c r="C6141" s="609"/>
      <c r="D6141" s="116"/>
      <c r="E6141" s="107"/>
      <c r="F6141" s="106">
        <f>+F6156*5%</f>
        <v>518.70327939281106</v>
      </c>
      <c r="G6141" s="81"/>
      <c r="H6141" s="81"/>
      <c r="I6141" s="81"/>
      <c r="J6141" s="81"/>
      <c r="K6141" s="81"/>
      <c r="L6141" s="81"/>
      <c r="M6141" s="81"/>
      <c r="N6141" s="81"/>
    </row>
    <row r="6142" spans="1:14" ht="14.25" customHeight="1" x14ac:dyDescent="0.25">
      <c r="A6142" s="607" t="s">
        <v>639</v>
      </c>
      <c r="B6142" s="608"/>
      <c r="C6142" s="609"/>
      <c r="D6142" s="142">
        <v>5150</v>
      </c>
      <c r="E6142" s="107">
        <v>14</v>
      </c>
      <c r="F6142" s="106">
        <f t="shared" ref="F6142:F6145" si="292">D6142/E6142</f>
        <v>367.85714285714283</v>
      </c>
      <c r="G6142" s="81"/>
      <c r="H6142" s="81"/>
      <c r="I6142" s="81"/>
      <c r="J6142" s="81"/>
      <c r="K6142" s="81"/>
      <c r="L6142" s="81"/>
      <c r="M6142" s="81"/>
      <c r="N6142" s="81"/>
    </row>
    <row r="6143" spans="1:14" ht="14.25" customHeight="1" x14ac:dyDescent="0.25">
      <c r="A6143" s="607" t="s">
        <v>702</v>
      </c>
      <c r="B6143" s="608"/>
      <c r="C6143" s="609"/>
      <c r="D6143" s="142">
        <v>3250</v>
      </c>
      <c r="E6143" s="107">
        <v>12</v>
      </c>
      <c r="F6143" s="106">
        <f t="shared" si="292"/>
        <v>270.83333333333331</v>
      </c>
      <c r="G6143" s="81"/>
      <c r="H6143" s="81"/>
      <c r="I6143" s="81"/>
      <c r="J6143" s="81"/>
      <c r="K6143" s="81"/>
      <c r="L6143" s="81"/>
      <c r="M6143" s="81"/>
      <c r="N6143" s="81"/>
    </row>
    <row r="6144" spans="1:14" ht="14.25" customHeight="1" x14ac:dyDescent="0.25">
      <c r="A6144" s="607" t="s">
        <v>766</v>
      </c>
      <c r="B6144" s="608"/>
      <c r="C6144" s="609"/>
      <c r="D6144" s="142">
        <v>5730</v>
      </c>
      <c r="E6144" s="107">
        <v>12</v>
      </c>
      <c r="F6144" s="106">
        <f t="shared" si="292"/>
        <v>477.5</v>
      </c>
      <c r="G6144" s="81"/>
      <c r="H6144" s="81"/>
      <c r="I6144" s="81"/>
      <c r="J6144" s="81"/>
      <c r="K6144" s="81"/>
      <c r="L6144" s="81"/>
      <c r="M6144" s="81"/>
      <c r="N6144" s="81"/>
    </row>
    <row r="6145" spans="1:14" ht="15.75" x14ac:dyDescent="0.25">
      <c r="A6145" s="607" t="s">
        <v>657</v>
      </c>
      <c r="B6145" s="608"/>
      <c r="C6145" s="609"/>
      <c r="D6145" s="142">
        <v>1850</v>
      </c>
      <c r="E6145" s="107">
        <v>5</v>
      </c>
      <c r="F6145" s="106">
        <f t="shared" si="292"/>
        <v>370</v>
      </c>
      <c r="G6145" s="81"/>
      <c r="H6145" s="81"/>
      <c r="I6145" s="81"/>
      <c r="J6145" s="81"/>
      <c r="K6145" s="81"/>
      <c r="L6145" s="81"/>
      <c r="M6145" s="81"/>
      <c r="N6145" s="81"/>
    </row>
    <row r="6146" spans="1:14" ht="14.25" customHeight="1" x14ac:dyDescent="0.25">
      <c r="A6146" s="607"/>
      <c r="B6146" s="608"/>
      <c r="C6146" s="609"/>
      <c r="D6146" s="142"/>
      <c r="E6146" s="105"/>
      <c r="F6146" s="106"/>
      <c r="G6146" s="81"/>
      <c r="H6146" s="81"/>
      <c r="I6146" s="81"/>
      <c r="J6146" s="81"/>
      <c r="K6146" s="81"/>
      <c r="L6146" s="81"/>
      <c r="M6146" s="81"/>
      <c r="N6146" s="81"/>
    </row>
    <row r="6147" spans="1:14" ht="14.25" customHeight="1" x14ac:dyDescent="0.25">
      <c r="A6147" s="610"/>
      <c r="B6147" s="608"/>
      <c r="C6147" s="609"/>
      <c r="D6147" s="115"/>
      <c r="E6147" s="107"/>
      <c r="F6147" s="106"/>
      <c r="G6147" s="81"/>
      <c r="H6147" s="81"/>
      <c r="I6147" s="81"/>
      <c r="J6147" s="81"/>
      <c r="K6147" s="81"/>
      <c r="L6147" s="81"/>
      <c r="M6147" s="81"/>
      <c r="N6147" s="81"/>
    </row>
    <row r="6148" spans="1:14" ht="14.25" customHeight="1" x14ac:dyDescent="0.25">
      <c r="A6148" s="611" t="s">
        <v>548</v>
      </c>
      <c r="B6148" s="608"/>
      <c r="C6148" s="609"/>
      <c r="D6148" s="110"/>
      <c r="E6148" s="110"/>
      <c r="F6148" s="112">
        <f>SUM(F6141:F6147)</f>
        <v>2004.8937555832872</v>
      </c>
      <c r="G6148" s="81"/>
      <c r="H6148" s="81"/>
      <c r="I6148" s="81"/>
      <c r="J6148" s="81"/>
      <c r="K6148" s="81"/>
      <c r="L6148" s="81"/>
      <c r="M6148" s="81"/>
      <c r="N6148" s="81"/>
    </row>
    <row r="6149" spans="1:14" ht="14.25" customHeight="1" x14ac:dyDescent="0.25">
      <c r="A6149" s="88"/>
      <c r="B6149" s="88"/>
      <c r="C6149" s="89"/>
      <c r="D6149" s="113"/>
      <c r="E6149" s="113"/>
      <c r="F6149" s="113"/>
      <c r="G6149" s="81"/>
      <c r="H6149" s="81"/>
      <c r="I6149" s="81"/>
      <c r="J6149" s="81"/>
      <c r="K6149" s="81"/>
      <c r="L6149" s="81"/>
      <c r="M6149" s="81"/>
      <c r="N6149" s="81"/>
    </row>
    <row r="6150" spans="1:14" ht="14.25" customHeight="1" x14ac:dyDescent="0.25">
      <c r="A6150" s="96" t="s">
        <v>578</v>
      </c>
      <c r="B6150" s="96"/>
      <c r="C6150" s="92"/>
      <c r="D6150" s="118"/>
      <c r="E6150" s="118"/>
      <c r="F6150" s="118"/>
      <c r="G6150" s="81"/>
      <c r="H6150" s="81"/>
      <c r="I6150" s="81"/>
      <c r="J6150" s="81"/>
      <c r="K6150" s="81"/>
      <c r="L6150" s="81"/>
      <c r="M6150" s="81"/>
      <c r="N6150" s="81"/>
    </row>
    <row r="6151" spans="1:14" ht="14.25" customHeight="1" x14ac:dyDescent="0.25">
      <c r="A6151" s="119" t="s">
        <v>563</v>
      </c>
      <c r="B6151" s="120" t="s">
        <v>579</v>
      </c>
      <c r="C6151" s="120" t="s">
        <v>580</v>
      </c>
      <c r="D6151" s="121" t="s">
        <v>581</v>
      </c>
      <c r="E6151" s="121" t="s">
        <v>575</v>
      </c>
      <c r="F6151" s="121" t="s">
        <v>568</v>
      </c>
      <c r="G6151" s="81"/>
      <c r="H6151" s="117"/>
      <c r="I6151" s="81"/>
      <c r="J6151" s="81"/>
      <c r="K6151" s="81"/>
      <c r="L6151" s="81"/>
      <c r="M6151" s="81"/>
      <c r="N6151" s="81"/>
    </row>
    <row r="6152" spans="1:14" ht="14.25" customHeight="1" x14ac:dyDescent="0.25">
      <c r="A6152" s="122" t="s">
        <v>593</v>
      </c>
      <c r="B6152" s="127">
        <v>1</v>
      </c>
      <c r="C6152" s="101">
        <v>32688</v>
      </c>
      <c r="D6152" s="101">
        <f t="shared" ref="D6152:D6153" si="293">+C6152*1.7</f>
        <v>55569.599999999999</v>
      </c>
      <c r="E6152" s="107">
        <v>13.965999999999999</v>
      </c>
      <c r="F6152" s="106">
        <f t="shared" ref="F6152:F6153" si="294">+B6152*(D6152)/E6152</f>
        <v>3978.9202348560793</v>
      </c>
      <c r="G6152" s="81"/>
      <c r="H6152" s="81"/>
      <c r="I6152" s="81"/>
      <c r="J6152" s="81"/>
      <c r="K6152" s="81"/>
      <c r="L6152" s="81"/>
      <c r="M6152" s="81"/>
      <c r="N6152" s="81"/>
    </row>
    <row r="6153" spans="1:14" ht="14.25" customHeight="1" x14ac:dyDescent="0.25">
      <c r="A6153" s="122" t="s">
        <v>594</v>
      </c>
      <c r="B6153" s="127">
        <v>1</v>
      </c>
      <c r="C6153" s="101">
        <v>52538</v>
      </c>
      <c r="D6153" s="101">
        <f t="shared" si="293"/>
        <v>89314.599999999991</v>
      </c>
      <c r="E6153" s="107">
        <f>E6152</f>
        <v>13.965999999999999</v>
      </c>
      <c r="F6153" s="106">
        <f t="shared" si="294"/>
        <v>6395.1453530001427</v>
      </c>
      <c r="G6153" s="81"/>
      <c r="H6153" s="81"/>
      <c r="I6153" s="81"/>
      <c r="J6153" s="81"/>
      <c r="K6153" s="81"/>
      <c r="L6153" s="81"/>
      <c r="M6153" s="81"/>
      <c r="N6153" s="81"/>
    </row>
    <row r="6154" spans="1:14" ht="14.25" customHeight="1" x14ac:dyDescent="0.25">
      <c r="A6154" s="122"/>
      <c r="B6154" s="127"/>
      <c r="C6154" s="101"/>
      <c r="D6154" s="101"/>
      <c r="E6154" s="107"/>
      <c r="F6154" s="106"/>
      <c r="G6154" s="81"/>
      <c r="H6154" s="81"/>
      <c r="I6154" s="81"/>
      <c r="J6154" s="81"/>
      <c r="K6154" s="81"/>
      <c r="L6154" s="81"/>
      <c r="M6154" s="81"/>
      <c r="N6154" s="81"/>
    </row>
    <row r="6155" spans="1:14" ht="14.25" customHeight="1" x14ac:dyDescent="0.25">
      <c r="A6155" s="122"/>
      <c r="B6155" s="127"/>
      <c r="C6155" s="101"/>
      <c r="D6155" s="101"/>
      <c r="E6155" s="125"/>
      <c r="F6155" s="106"/>
      <c r="G6155" s="81"/>
      <c r="H6155" s="81"/>
      <c r="I6155" s="81"/>
      <c r="J6155" s="81"/>
      <c r="K6155" s="81"/>
      <c r="L6155" s="81"/>
      <c r="M6155" s="81"/>
      <c r="N6155" s="81"/>
    </row>
    <row r="6156" spans="1:14" ht="14.25" customHeight="1" x14ac:dyDescent="0.25">
      <c r="A6156" s="97" t="s">
        <v>548</v>
      </c>
      <c r="B6156" s="128"/>
      <c r="C6156" s="110"/>
      <c r="D6156" s="110"/>
      <c r="E6156" s="110"/>
      <c r="F6156" s="112">
        <f>SUM(F6152:F6155)</f>
        <v>10374.065587856221</v>
      </c>
      <c r="G6156" s="81"/>
      <c r="H6156" s="81"/>
      <c r="I6156" s="81"/>
      <c r="J6156" s="81"/>
      <c r="K6156" s="81"/>
      <c r="L6156" s="81"/>
      <c r="M6156" s="81"/>
      <c r="N6156" s="81"/>
    </row>
    <row r="6157" spans="1:14" ht="14.25" customHeight="1" x14ac:dyDescent="0.25">
      <c r="A6157" s="96"/>
      <c r="B6157" s="129"/>
      <c r="C6157" s="118"/>
      <c r="D6157" s="118"/>
      <c r="E6157" s="118"/>
      <c r="F6157" s="118"/>
      <c r="G6157" s="81"/>
      <c r="H6157" s="81"/>
      <c r="I6157" s="81"/>
      <c r="J6157" s="81"/>
      <c r="K6157" s="81"/>
      <c r="L6157" s="81"/>
      <c r="M6157" s="81"/>
      <c r="N6157" s="81"/>
    </row>
    <row r="6158" spans="1:14" ht="14.25" customHeight="1" x14ac:dyDescent="0.25">
      <c r="A6158" s="95" t="s">
        <v>583</v>
      </c>
      <c r="B6158" s="96"/>
      <c r="C6158" s="92"/>
      <c r="D6158" s="92"/>
      <c r="E6158" s="92" t="s">
        <v>584</v>
      </c>
      <c r="F6158" s="92"/>
      <c r="G6158" s="81"/>
      <c r="H6158" s="81"/>
      <c r="I6158" s="81"/>
      <c r="J6158" s="81"/>
      <c r="K6158" s="81"/>
      <c r="L6158" s="81"/>
      <c r="M6158" s="81"/>
      <c r="N6158" s="81"/>
    </row>
    <row r="6159" spans="1:14" ht="14.25" customHeight="1" x14ac:dyDescent="0.25">
      <c r="A6159" s="97" t="s">
        <v>563</v>
      </c>
      <c r="B6159" s="98" t="s">
        <v>564</v>
      </c>
      <c r="C6159" s="98" t="s">
        <v>585</v>
      </c>
      <c r="D6159" s="98" t="s">
        <v>586</v>
      </c>
      <c r="E6159" s="120" t="s">
        <v>587</v>
      </c>
      <c r="F6159" s="98" t="s">
        <v>568</v>
      </c>
      <c r="G6159" s="81"/>
      <c r="H6159" s="81"/>
      <c r="I6159" s="81"/>
      <c r="J6159" s="81"/>
      <c r="K6159" s="81"/>
      <c r="L6159" s="81"/>
      <c r="M6159" s="81"/>
      <c r="N6159" s="81"/>
    </row>
    <row r="6160" spans="1:14" ht="14.25" customHeight="1" x14ac:dyDescent="0.25">
      <c r="A6160" s="103"/>
      <c r="B6160" s="100"/>
      <c r="C6160" s="101"/>
      <c r="D6160" s="140"/>
      <c r="E6160" s="107"/>
      <c r="F6160" s="109"/>
      <c r="G6160" s="81"/>
      <c r="H6160" s="81"/>
      <c r="I6160" s="81"/>
      <c r="J6160" s="81"/>
      <c r="K6160" s="81"/>
      <c r="L6160" s="81"/>
      <c r="M6160" s="81"/>
      <c r="N6160" s="81"/>
    </row>
    <row r="6161" spans="1:14" ht="14.25" customHeight="1" x14ac:dyDescent="0.25">
      <c r="A6161" s="103"/>
      <c r="B6161" s="100"/>
      <c r="C6161" s="107"/>
      <c r="D6161" s="107"/>
      <c r="E6161" s="108"/>
      <c r="F6161" s="109"/>
      <c r="G6161" s="81"/>
      <c r="H6161" s="81"/>
      <c r="I6161" s="81"/>
      <c r="J6161" s="81"/>
      <c r="K6161" s="81"/>
      <c r="L6161" s="81"/>
      <c r="M6161" s="81"/>
      <c r="N6161" s="81"/>
    </row>
    <row r="6162" spans="1:14" ht="14.25" customHeight="1" x14ac:dyDescent="0.25">
      <c r="A6162" s="97" t="s">
        <v>548</v>
      </c>
      <c r="B6162" s="98"/>
      <c r="C6162" s="110"/>
      <c r="D6162" s="110"/>
      <c r="E6162" s="111"/>
      <c r="F6162" s="112">
        <f>SUM(F6160:F6161)</f>
        <v>0</v>
      </c>
      <c r="G6162" s="81"/>
      <c r="H6162" s="81"/>
      <c r="I6162" s="81"/>
      <c r="J6162" s="81"/>
      <c r="K6162" s="81"/>
      <c r="L6162" s="81"/>
      <c r="M6162" s="81"/>
      <c r="N6162" s="81"/>
    </row>
    <row r="6163" spans="1:14" ht="14.25" customHeight="1" x14ac:dyDescent="0.25">
      <c r="A6163" s="88"/>
      <c r="B6163" s="89"/>
      <c r="C6163" s="113"/>
      <c r="D6163" s="113"/>
      <c r="E6163" s="114"/>
      <c r="F6163" s="113"/>
      <c r="G6163" s="81"/>
      <c r="H6163" s="81"/>
      <c r="I6163" s="81"/>
      <c r="J6163" s="81"/>
      <c r="K6163" s="81"/>
      <c r="L6163" s="81"/>
      <c r="M6163" s="81"/>
      <c r="N6163" s="81"/>
    </row>
    <row r="6164" spans="1:14" ht="14.25" customHeight="1" x14ac:dyDescent="0.25">
      <c r="A6164" s="88"/>
      <c r="B6164" s="89"/>
      <c r="C6164" s="113"/>
      <c r="D6164" s="113"/>
      <c r="E6164" s="114"/>
      <c r="F6164" s="113"/>
      <c r="G6164" s="81"/>
      <c r="H6164" s="81"/>
      <c r="I6164" s="81"/>
      <c r="J6164" s="81"/>
      <c r="K6164" s="81"/>
      <c r="L6164" s="81"/>
      <c r="M6164" s="81"/>
      <c r="N6164" s="81"/>
    </row>
    <row r="6165" spans="1:14" ht="14.25" customHeight="1" x14ac:dyDescent="0.25">
      <c r="A6165" s="612" t="s">
        <v>588</v>
      </c>
      <c r="B6165" s="608"/>
      <c r="C6165" s="608"/>
      <c r="D6165" s="608"/>
      <c r="E6165" s="609"/>
      <c r="F6165" s="131">
        <f>ROUND(F6137+F6148+F6156+F6162,0)</f>
        <v>38950</v>
      </c>
      <c r="G6165" s="81"/>
      <c r="H6165" s="81"/>
      <c r="I6165" s="81"/>
      <c r="J6165" s="81"/>
      <c r="K6165" s="81"/>
      <c r="L6165" s="81"/>
      <c r="M6165" s="81"/>
      <c r="N6165" s="81"/>
    </row>
    <row r="6166" spans="1:14" ht="14.25" customHeight="1" x14ac:dyDescent="0.25">
      <c r="A6166" s="612" t="s">
        <v>589</v>
      </c>
      <c r="B6166" s="608"/>
      <c r="C6166" s="608"/>
      <c r="D6166" s="608"/>
      <c r="E6166" s="609"/>
      <c r="F6166" s="132"/>
      <c r="G6166" s="81"/>
      <c r="H6166" s="81"/>
      <c r="I6166" s="81"/>
      <c r="J6166" s="81"/>
      <c r="K6166" s="81"/>
      <c r="L6166" s="81"/>
      <c r="M6166" s="81"/>
      <c r="N6166" s="81"/>
    </row>
    <row r="6167" spans="1:14" ht="14.25" customHeight="1" x14ac:dyDescent="0.25">
      <c r="A6167" s="612" t="s">
        <v>556</v>
      </c>
      <c r="B6167" s="608"/>
      <c r="C6167" s="608"/>
      <c r="D6167" s="608"/>
      <c r="E6167" s="609"/>
      <c r="F6167" s="133"/>
      <c r="G6167" s="81"/>
      <c r="H6167" s="81"/>
      <c r="I6167" s="81"/>
      <c r="J6167" s="81"/>
      <c r="K6167" s="81"/>
      <c r="L6167" s="81"/>
      <c r="M6167" s="81"/>
      <c r="N6167" s="81"/>
    </row>
    <row r="6168" spans="1:14" ht="24.75" customHeight="1" x14ac:dyDescent="0.25">
      <c r="A6168" s="134"/>
      <c r="B6168" s="135"/>
      <c r="C6168" s="135"/>
      <c r="D6168" s="135"/>
      <c r="E6168" s="135"/>
      <c r="F6168" s="136"/>
      <c r="G6168" s="81"/>
      <c r="H6168" s="81"/>
      <c r="I6168" s="81"/>
      <c r="J6168" s="81"/>
      <c r="K6168" s="81"/>
      <c r="L6168" s="81"/>
      <c r="M6168" s="81"/>
      <c r="N6168" s="81"/>
    </row>
    <row r="6169" spans="1:14" ht="14.25" customHeight="1" thickBot="1" x14ac:dyDescent="0.3">
      <c r="A6169" s="81"/>
      <c r="B6169" s="81"/>
      <c r="C6169" s="81"/>
      <c r="D6169" s="81"/>
      <c r="E6169" s="81"/>
      <c r="F6169" s="81"/>
      <c r="G6169" s="81"/>
      <c r="H6169" s="81"/>
      <c r="I6169" s="81"/>
      <c r="J6169" s="81"/>
      <c r="K6169" s="81"/>
      <c r="L6169" s="81"/>
      <c r="M6169" s="81"/>
      <c r="N6169" s="81"/>
    </row>
    <row r="6170" spans="1:14" ht="14.25" customHeight="1" x14ac:dyDescent="0.25">
      <c r="A6170" s="83"/>
      <c r="B6170" s="84"/>
      <c r="C6170" s="85"/>
      <c r="D6170" s="86"/>
      <c r="E6170" s="86"/>
      <c r="F6170" s="87"/>
      <c r="G6170" s="81"/>
      <c r="H6170" s="81"/>
      <c r="I6170" s="81"/>
      <c r="J6170" s="81"/>
      <c r="K6170" s="81"/>
      <c r="L6170" s="81"/>
      <c r="M6170" s="81"/>
      <c r="N6170" s="81"/>
    </row>
    <row r="6171" spans="1:14" ht="14.25" customHeight="1" x14ac:dyDescent="0.25">
      <c r="A6171" s="599"/>
      <c r="B6171" s="600"/>
      <c r="C6171" s="600"/>
      <c r="D6171" s="600"/>
      <c r="E6171" s="600"/>
      <c r="F6171" s="601"/>
      <c r="G6171" s="81"/>
      <c r="H6171" s="81"/>
      <c r="I6171" s="81"/>
      <c r="J6171" s="81"/>
      <c r="K6171" s="81"/>
      <c r="L6171" s="81"/>
      <c r="M6171" s="81"/>
      <c r="N6171" s="81"/>
    </row>
    <row r="6172" spans="1:14" ht="14.25" customHeight="1" x14ac:dyDescent="0.25">
      <c r="A6172" s="602" t="s">
        <v>561</v>
      </c>
      <c r="B6172" s="600"/>
      <c r="C6172" s="600"/>
      <c r="D6172" s="600"/>
      <c r="E6172" s="600"/>
      <c r="F6172" s="601"/>
      <c r="G6172" s="81"/>
      <c r="H6172" s="81"/>
      <c r="I6172" s="81"/>
      <c r="J6172" s="81"/>
      <c r="K6172" s="81"/>
      <c r="L6172" s="81"/>
      <c r="M6172" s="81"/>
      <c r="N6172" s="81"/>
    </row>
    <row r="6173" spans="1:14" ht="14.25" customHeight="1" thickBot="1" x14ac:dyDescent="0.3">
      <c r="A6173" s="603"/>
      <c r="B6173" s="604"/>
      <c r="C6173" s="604"/>
      <c r="D6173" s="604"/>
      <c r="E6173" s="604"/>
      <c r="F6173" s="605"/>
      <c r="G6173" s="81"/>
      <c r="H6173" s="81"/>
      <c r="I6173" s="81"/>
      <c r="J6173" s="81"/>
      <c r="K6173" s="81"/>
      <c r="L6173" s="81"/>
      <c r="M6173" s="81"/>
      <c r="N6173" s="81"/>
    </row>
    <row r="6174" spans="1:14" ht="14.25" customHeight="1" x14ac:dyDescent="0.25">
      <c r="A6174" s="302"/>
      <c r="B6174" s="302"/>
      <c r="C6174" s="303"/>
      <c r="D6174" s="303"/>
      <c r="E6174" s="303"/>
      <c r="F6174" s="303"/>
      <c r="G6174" s="81"/>
      <c r="H6174" s="81"/>
      <c r="I6174" s="81"/>
      <c r="J6174" s="81"/>
      <c r="K6174" s="81"/>
      <c r="L6174" s="81"/>
      <c r="M6174" s="81"/>
      <c r="N6174" s="81"/>
    </row>
    <row r="6175" spans="1:14" ht="14.25" customHeight="1" x14ac:dyDescent="0.25">
      <c r="A6175" s="90" t="s">
        <v>47</v>
      </c>
      <c r="B6175" s="613" t="s">
        <v>311</v>
      </c>
      <c r="C6175" s="600"/>
      <c r="D6175" s="600"/>
      <c r="E6175" s="600"/>
      <c r="F6175" s="600"/>
      <c r="G6175" s="81"/>
      <c r="H6175" s="81"/>
      <c r="I6175" s="81"/>
      <c r="J6175" s="81"/>
      <c r="K6175" s="81"/>
      <c r="L6175" s="81"/>
      <c r="M6175" s="81"/>
      <c r="N6175" s="81"/>
    </row>
    <row r="6176" spans="1:14" ht="14.25" customHeight="1" x14ac:dyDescent="0.25">
      <c r="A6176" s="91"/>
      <c r="B6176" s="91"/>
      <c r="C6176" s="91"/>
      <c r="D6176" s="91"/>
      <c r="E6176" s="91"/>
      <c r="F6176" s="91"/>
      <c r="G6176" s="81"/>
      <c r="H6176" s="81"/>
      <c r="I6176" s="81"/>
      <c r="J6176" s="81"/>
      <c r="K6176" s="81"/>
      <c r="L6176" s="81"/>
      <c r="M6176" s="81"/>
      <c r="N6176" s="81"/>
    </row>
    <row r="6177" spans="1:14" ht="14.25" customHeight="1" x14ac:dyDescent="0.25">
      <c r="A6177" s="88" t="s">
        <v>49</v>
      </c>
      <c r="B6177" s="92" t="s">
        <v>56</v>
      </c>
      <c r="C6177" s="89"/>
      <c r="D6177" s="89"/>
      <c r="E6177" s="89"/>
      <c r="F6177" s="93"/>
      <c r="G6177" s="81"/>
      <c r="H6177" s="81"/>
      <c r="I6177" s="81"/>
      <c r="J6177" s="81"/>
      <c r="K6177" s="81"/>
      <c r="L6177" s="81"/>
      <c r="M6177" s="81"/>
      <c r="N6177" s="81"/>
    </row>
    <row r="6178" spans="1:14" ht="14.25" customHeight="1" x14ac:dyDescent="0.25">
      <c r="A6178" s="88"/>
      <c r="B6178" s="94"/>
      <c r="C6178" s="89"/>
      <c r="D6178" s="89"/>
      <c r="E6178" s="89"/>
      <c r="F6178" s="93"/>
      <c r="G6178" s="81"/>
      <c r="H6178" s="81"/>
      <c r="I6178" s="81"/>
      <c r="J6178" s="81"/>
      <c r="K6178" s="81"/>
      <c r="L6178" s="81"/>
      <c r="M6178" s="81"/>
      <c r="N6178" s="81"/>
    </row>
    <row r="6179" spans="1:14" ht="14.25" customHeight="1" x14ac:dyDescent="0.25">
      <c r="A6179" s="95" t="s">
        <v>562</v>
      </c>
      <c r="B6179" s="96"/>
      <c r="C6179" s="92"/>
      <c r="D6179" s="92"/>
      <c r="E6179" s="92"/>
      <c r="F6179" s="92"/>
      <c r="G6179" s="81"/>
      <c r="H6179" s="81"/>
      <c r="I6179" s="81"/>
      <c r="J6179" s="81"/>
      <c r="K6179" s="81"/>
      <c r="L6179" s="81"/>
      <c r="M6179" s="81"/>
      <c r="N6179" s="81"/>
    </row>
    <row r="6180" spans="1:14" ht="14.25" customHeight="1" x14ac:dyDescent="0.25">
      <c r="A6180" s="97" t="s">
        <v>563</v>
      </c>
      <c r="B6180" s="98" t="s">
        <v>564</v>
      </c>
      <c r="C6180" s="98" t="s">
        <v>565</v>
      </c>
      <c r="D6180" s="98" t="s">
        <v>566</v>
      </c>
      <c r="E6180" s="98" t="s">
        <v>567</v>
      </c>
      <c r="F6180" s="98" t="s">
        <v>568</v>
      </c>
      <c r="G6180" s="81"/>
      <c r="H6180" s="81"/>
      <c r="I6180" s="81"/>
      <c r="J6180" s="81"/>
      <c r="K6180" s="81"/>
      <c r="L6180" s="81"/>
      <c r="M6180" s="81"/>
      <c r="N6180" s="81"/>
    </row>
    <row r="6181" spans="1:14" ht="14.25" customHeight="1" x14ac:dyDescent="0.25">
      <c r="A6181" s="99" t="s">
        <v>770</v>
      </c>
      <c r="B6181" s="100" t="s">
        <v>56</v>
      </c>
      <c r="C6181" s="101">
        <v>515180</v>
      </c>
      <c r="D6181" s="149">
        <v>1</v>
      </c>
      <c r="E6181" s="102"/>
      <c r="F6181" s="101">
        <f t="shared" ref="F6181:F6182" si="295">C6181*(D6181+(D6181*E6181))</f>
        <v>515180</v>
      </c>
      <c r="G6181" s="81"/>
      <c r="H6181" s="81"/>
      <c r="I6181" s="81"/>
      <c r="J6181" s="81"/>
      <c r="K6181" s="81"/>
      <c r="L6181" s="81"/>
      <c r="M6181" s="81"/>
      <c r="N6181" s="81"/>
    </row>
    <row r="6182" spans="1:14" ht="14.25" customHeight="1" x14ac:dyDescent="0.25">
      <c r="A6182" s="99" t="s">
        <v>769</v>
      </c>
      <c r="B6182" s="100" t="s">
        <v>99</v>
      </c>
      <c r="C6182" s="101">
        <v>1150</v>
      </c>
      <c r="D6182" s="104">
        <v>8</v>
      </c>
      <c r="E6182" s="102">
        <v>0.05</v>
      </c>
      <c r="F6182" s="101">
        <f t="shared" si="295"/>
        <v>9660</v>
      </c>
      <c r="G6182" s="81"/>
      <c r="H6182" s="81"/>
      <c r="I6182" s="81"/>
      <c r="J6182" s="81"/>
      <c r="K6182" s="81"/>
      <c r="L6182" s="81"/>
      <c r="M6182" s="81"/>
      <c r="N6182" s="81"/>
    </row>
    <row r="6183" spans="1:14" ht="14.25" customHeight="1" x14ac:dyDescent="0.25">
      <c r="A6183" s="99"/>
      <c r="B6183" s="100"/>
      <c r="C6183" s="106"/>
      <c r="D6183" s="107"/>
      <c r="E6183" s="108"/>
      <c r="F6183" s="106"/>
      <c r="G6183" s="81"/>
      <c r="H6183" s="81"/>
      <c r="I6183" s="81"/>
      <c r="J6183" s="81"/>
      <c r="K6183" s="81"/>
      <c r="L6183" s="81"/>
      <c r="M6183" s="81"/>
      <c r="N6183" s="81"/>
    </row>
    <row r="6184" spans="1:14" ht="14.25" customHeight="1" x14ac:dyDescent="0.25">
      <c r="A6184" s="97" t="s">
        <v>548</v>
      </c>
      <c r="B6184" s="97"/>
      <c r="C6184" s="109"/>
      <c r="D6184" s="110"/>
      <c r="E6184" s="111"/>
      <c r="F6184" s="112">
        <f>SUM(F6181:F6183)</f>
        <v>524840</v>
      </c>
      <c r="G6184" s="81"/>
      <c r="H6184" s="81"/>
      <c r="I6184" s="81"/>
      <c r="J6184" s="81"/>
      <c r="K6184" s="81"/>
      <c r="L6184" s="81"/>
      <c r="M6184" s="81"/>
      <c r="N6184" s="81"/>
    </row>
    <row r="6185" spans="1:14" ht="14.25" customHeight="1" x14ac:dyDescent="0.25">
      <c r="A6185" s="88"/>
      <c r="B6185" s="88"/>
      <c r="C6185" s="113"/>
      <c r="D6185" s="113"/>
      <c r="E6185" s="114"/>
      <c r="F6185" s="113"/>
      <c r="G6185" s="81"/>
      <c r="H6185" s="81"/>
      <c r="I6185" s="81"/>
      <c r="J6185" s="81"/>
      <c r="K6185" s="81"/>
      <c r="L6185" s="81"/>
      <c r="M6185" s="81"/>
      <c r="N6185" s="81"/>
    </row>
    <row r="6186" spans="1:14" ht="14.25" customHeight="1" x14ac:dyDescent="0.25">
      <c r="A6186" s="96" t="s">
        <v>573</v>
      </c>
      <c r="B6186" s="96"/>
      <c r="C6186" s="92"/>
      <c r="D6186" s="92"/>
      <c r="E6186" s="92"/>
      <c r="F6186" s="92"/>
      <c r="G6186" s="81"/>
      <c r="H6186" s="81"/>
      <c r="I6186" s="81"/>
      <c r="J6186" s="81"/>
      <c r="K6186" s="81"/>
      <c r="L6186" s="81"/>
      <c r="M6186" s="81"/>
      <c r="N6186" s="81"/>
    </row>
    <row r="6187" spans="1:14" ht="14.25" customHeight="1" x14ac:dyDescent="0.25">
      <c r="A6187" s="611" t="s">
        <v>563</v>
      </c>
      <c r="B6187" s="608"/>
      <c r="C6187" s="609"/>
      <c r="D6187" s="98" t="s">
        <v>574</v>
      </c>
      <c r="E6187" s="98" t="s">
        <v>575</v>
      </c>
      <c r="F6187" s="98" t="s">
        <v>568</v>
      </c>
      <c r="G6187" s="81"/>
      <c r="H6187" s="81"/>
      <c r="I6187" s="81"/>
      <c r="J6187" s="81"/>
      <c r="K6187" s="81"/>
      <c r="L6187" s="81"/>
      <c r="M6187" s="81"/>
      <c r="N6187" s="81"/>
    </row>
    <row r="6188" spans="1:14" ht="14.25" customHeight="1" x14ac:dyDescent="0.25">
      <c r="A6188" s="607" t="s">
        <v>577</v>
      </c>
      <c r="B6188" s="608"/>
      <c r="C6188" s="609"/>
      <c r="D6188" s="116"/>
      <c r="E6188" s="107"/>
      <c r="F6188" s="106">
        <f>+F6203*5%</f>
        <v>7625.484210526316</v>
      </c>
      <c r="G6188" s="81"/>
      <c r="H6188" s="81"/>
      <c r="I6188" s="81"/>
      <c r="J6188" s="81"/>
      <c r="K6188" s="81"/>
      <c r="L6188" s="81"/>
      <c r="M6188" s="81"/>
      <c r="N6188" s="81"/>
    </row>
    <row r="6189" spans="1:14" ht="14.25" customHeight="1" x14ac:dyDescent="0.25">
      <c r="A6189" s="607"/>
      <c r="B6189" s="608"/>
      <c r="C6189" s="609"/>
      <c r="D6189" s="142"/>
      <c r="E6189" s="107"/>
      <c r="F6189" s="106"/>
      <c r="G6189" s="81"/>
      <c r="H6189" s="81"/>
      <c r="I6189" s="81"/>
      <c r="J6189" s="81"/>
      <c r="K6189" s="81"/>
      <c r="L6189" s="81"/>
      <c r="M6189" s="81"/>
      <c r="N6189" s="81"/>
    </row>
    <row r="6190" spans="1:14" ht="14.25" customHeight="1" x14ac:dyDescent="0.25">
      <c r="A6190" s="607"/>
      <c r="B6190" s="608"/>
      <c r="C6190" s="609"/>
      <c r="D6190" s="142"/>
      <c r="E6190" s="107"/>
      <c r="F6190" s="106"/>
      <c r="G6190" s="81"/>
      <c r="H6190" s="81"/>
      <c r="I6190" s="81"/>
      <c r="J6190" s="81"/>
      <c r="K6190" s="81"/>
      <c r="L6190" s="81"/>
      <c r="M6190" s="81"/>
      <c r="N6190" s="81"/>
    </row>
    <row r="6191" spans="1:14" ht="14.25" customHeight="1" x14ac:dyDescent="0.25">
      <c r="A6191" s="607"/>
      <c r="B6191" s="608"/>
      <c r="C6191" s="609"/>
      <c r="D6191" s="142"/>
      <c r="E6191" s="107"/>
      <c r="F6191" s="106"/>
      <c r="G6191" s="81"/>
      <c r="H6191" s="81"/>
      <c r="I6191" s="81"/>
      <c r="J6191" s="81"/>
      <c r="K6191" s="81"/>
      <c r="L6191" s="81"/>
      <c r="M6191" s="81"/>
      <c r="N6191" s="81"/>
    </row>
    <row r="6192" spans="1:14" ht="14.25" customHeight="1" x14ac:dyDescent="0.25">
      <c r="A6192" s="607"/>
      <c r="B6192" s="608"/>
      <c r="C6192" s="609"/>
      <c r="D6192" s="142"/>
      <c r="E6192" s="107"/>
      <c r="F6192" s="106"/>
      <c r="G6192" s="81"/>
      <c r="H6192" s="81"/>
      <c r="I6192" s="81"/>
      <c r="J6192" s="81"/>
      <c r="K6192" s="81"/>
      <c r="L6192" s="81"/>
      <c r="M6192" s="81"/>
      <c r="N6192" s="81"/>
    </row>
    <row r="6193" spans="1:14" ht="15.75" x14ac:dyDescent="0.25">
      <c r="A6193" s="607"/>
      <c r="B6193" s="608"/>
      <c r="C6193" s="609"/>
      <c r="D6193" s="142"/>
      <c r="E6193" s="105"/>
      <c r="F6193" s="106"/>
      <c r="G6193" s="81"/>
      <c r="H6193" s="81"/>
      <c r="I6193" s="81"/>
      <c r="J6193" s="81"/>
      <c r="K6193" s="81"/>
      <c r="L6193" s="81"/>
      <c r="M6193" s="81"/>
      <c r="N6193" s="81"/>
    </row>
    <row r="6194" spans="1:14" ht="14.25" customHeight="1" x14ac:dyDescent="0.25">
      <c r="A6194" s="610"/>
      <c r="B6194" s="608"/>
      <c r="C6194" s="609"/>
      <c r="D6194" s="115"/>
      <c r="E6194" s="107"/>
      <c r="F6194" s="106"/>
      <c r="G6194" s="81"/>
      <c r="H6194" s="81"/>
      <c r="I6194" s="81"/>
      <c r="J6194" s="81"/>
      <c r="K6194" s="81"/>
      <c r="L6194" s="81"/>
      <c r="M6194" s="81"/>
      <c r="N6194" s="81"/>
    </row>
    <row r="6195" spans="1:14" ht="14.25" customHeight="1" x14ac:dyDescent="0.25">
      <c r="A6195" s="611" t="s">
        <v>548</v>
      </c>
      <c r="B6195" s="608"/>
      <c r="C6195" s="609"/>
      <c r="D6195" s="110"/>
      <c r="E6195" s="110"/>
      <c r="F6195" s="112">
        <f>SUM(F6188:F6194)</f>
        <v>7625.484210526316</v>
      </c>
      <c r="G6195" s="81"/>
      <c r="H6195" s="81"/>
      <c r="I6195" s="81"/>
      <c r="J6195" s="81"/>
      <c r="K6195" s="81"/>
      <c r="L6195" s="81"/>
      <c r="M6195" s="81"/>
      <c r="N6195" s="81"/>
    </row>
    <row r="6196" spans="1:14" ht="14.25" customHeight="1" x14ac:dyDescent="0.25">
      <c r="A6196" s="88"/>
      <c r="B6196" s="88"/>
      <c r="C6196" s="89"/>
      <c r="D6196" s="113"/>
      <c r="E6196" s="113"/>
      <c r="F6196" s="113"/>
      <c r="G6196" s="81"/>
      <c r="H6196" s="81"/>
      <c r="I6196" s="81"/>
      <c r="J6196" s="81"/>
      <c r="K6196" s="81"/>
      <c r="L6196" s="81"/>
      <c r="M6196" s="81"/>
      <c r="N6196" s="81"/>
    </row>
    <row r="6197" spans="1:14" ht="14.25" customHeight="1" x14ac:dyDescent="0.25">
      <c r="A6197" s="96" t="s">
        <v>578</v>
      </c>
      <c r="B6197" s="96"/>
      <c r="C6197" s="92"/>
      <c r="D6197" s="118"/>
      <c r="E6197" s="118"/>
      <c r="F6197" s="118"/>
      <c r="G6197" s="81"/>
      <c r="H6197" s="81"/>
      <c r="I6197" s="81"/>
      <c r="J6197" s="81"/>
      <c r="K6197" s="81"/>
      <c r="L6197" s="81"/>
      <c r="M6197" s="81"/>
      <c r="N6197" s="81"/>
    </row>
    <row r="6198" spans="1:14" ht="14.25" customHeight="1" x14ac:dyDescent="0.25">
      <c r="A6198" s="119" t="s">
        <v>563</v>
      </c>
      <c r="B6198" s="120" t="s">
        <v>579</v>
      </c>
      <c r="C6198" s="120" t="s">
        <v>580</v>
      </c>
      <c r="D6198" s="121" t="s">
        <v>581</v>
      </c>
      <c r="E6198" s="121" t="s">
        <v>575</v>
      </c>
      <c r="F6198" s="121" t="s">
        <v>568</v>
      </c>
      <c r="G6198" s="81"/>
      <c r="H6198" s="81"/>
      <c r="I6198" s="81"/>
      <c r="J6198" s="81"/>
      <c r="K6198" s="81"/>
      <c r="L6198" s="81"/>
      <c r="M6198" s="81"/>
      <c r="N6198" s="81"/>
    </row>
    <row r="6199" spans="1:14" ht="14.25" customHeight="1" x14ac:dyDescent="0.25">
      <c r="A6199" s="122" t="s">
        <v>593</v>
      </c>
      <c r="B6199" s="127">
        <v>1</v>
      </c>
      <c r="C6199" s="101">
        <v>32688</v>
      </c>
      <c r="D6199" s="101">
        <f t="shared" ref="D6199:D6200" si="296">+C6199*1.7</f>
        <v>55569.599999999999</v>
      </c>
      <c r="E6199" s="107">
        <v>0.95</v>
      </c>
      <c r="F6199" s="106">
        <f t="shared" ref="F6199:F6200" si="297">+B6199*(D6199)/E6199</f>
        <v>58494.315789473687</v>
      </c>
      <c r="G6199" s="81"/>
      <c r="H6199" s="81"/>
      <c r="I6199" s="81"/>
      <c r="J6199" s="81"/>
      <c r="K6199" s="81"/>
      <c r="L6199" s="81"/>
      <c r="M6199" s="81"/>
      <c r="N6199" s="81"/>
    </row>
    <row r="6200" spans="1:14" ht="14.25" customHeight="1" x14ac:dyDescent="0.25">
      <c r="A6200" s="122" t="s">
        <v>594</v>
      </c>
      <c r="B6200" s="127">
        <v>1</v>
      </c>
      <c r="C6200" s="101">
        <v>52538</v>
      </c>
      <c r="D6200" s="101">
        <f t="shared" si="296"/>
        <v>89314.599999999991</v>
      </c>
      <c r="E6200" s="107">
        <f>E6199</f>
        <v>0.95</v>
      </c>
      <c r="F6200" s="106">
        <f t="shared" si="297"/>
        <v>94015.368421052626</v>
      </c>
      <c r="G6200" s="81"/>
      <c r="H6200" s="81"/>
      <c r="I6200" s="81"/>
      <c r="J6200" s="81"/>
      <c r="K6200" s="81"/>
      <c r="L6200" s="81"/>
      <c r="M6200" s="81"/>
      <c r="N6200" s="81"/>
    </row>
    <row r="6201" spans="1:14" ht="15.75" x14ac:dyDescent="0.25">
      <c r="A6201" s="122"/>
      <c r="B6201" s="127"/>
      <c r="C6201" s="101"/>
      <c r="D6201" s="101"/>
      <c r="E6201" s="107"/>
      <c r="F6201" s="106"/>
      <c r="G6201" s="81"/>
      <c r="H6201" s="81"/>
      <c r="I6201" s="81"/>
      <c r="J6201" s="81"/>
      <c r="K6201" s="81"/>
      <c r="L6201" s="81"/>
      <c r="M6201" s="81"/>
      <c r="N6201" s="81"/>
    </row>
    <row r="6202" spans="1:14" ht="14.25" customHeight="1" x14ac:dyDescent="0.25">
      <c r="A6202" s="122"/>
      <c r="B6202" s="127"/>
      <c r="C6202" s="101"/>
      <c r="D6202" s="101"/>
      <c r="E6202" s="125"/>
      <c r="F6202" s="106"/>
      <c r="G6202" s="81"/>
      <c r="H6202" s="81"/>
      <c r="I6202" s="81"/>
      <c r="J6202" s="81"/>
      <c r="K6202" s="81"/>
      <c r="L6202" s="81"/>
      <c r="M6202" s="81"/>
      <c r="N6202" s="81"/>
    </row>
    <row r="6203" spans="1:14" ht="14.25" customHeight="1" x14ac:dyDescent="0.25">
      <c r="A6203" s="97" t="s">
        <v>548</v>
      </c>
      <c r="B6203" s="128"/>
      <c r="C6203" s="110"/>
      <c r="D6203" s="110"/>
      <c r="E6203" s="110"/>
      <c r="F6203" s="112">
        <f>SUM(F6199:F6202)</f>
        <v>152509.68421052632</v>
      </c>
      <c r="G6203" s="81"/>
      <c r="H6203" s="81"/>
      <c r="I6203" s="81"/>
      <c r="J6203" s="81"/>
      <c r="K6203" s="81"/>
      <c r="L6203" s="81"/>
      <c r="M6203" s="81"/>
      <c r="N6203" s="81"/>
    </row>
    <row r="6204" spans="1:14" ht="14.25" customHeight="1" x14ac:dyDescent="0.25">
      <c r="A6204" s="96"/>
      <c r="B6204" s="129"/>
      <c r="C6204" s="118"/>
      <c r="D6204" s="118"/>
      <c r="E6204" s="118"/>
      <c r="F6204" s="118"/>
      <c r="G6204" s="81"/>
      <c r="H6204" s="81"/>
      <c r="I6204" s="81"/>
      <c r="J6204" s="81"/>
      <c r="K6204" s="81"/>
      <c r="L6204" s="81"/>
      <c r="M6204" s="81"/>
      <c r="N6204" s="81"/>
    </row>
    <row r="6205" spans="1:14" ht="14.25" customHeight="1" x14ac:dyDescent="0.25">
      <c r="A6205" s="95" t="s">
        <v>583</v>
      </c>
      <c r="B6205" s="96"/>
      <c r="C6205" s="92"/>
      <c r="D6205" s="92"/>
      <c r="E6205" s="92" t="s">
        <v>584</v>
      </c>
      <c r="F6205" s="92"/>
      <c r="G6205" s="81"/>
      <c r="H6205" s="81"/>
      <c r="I6205" s="81"/>
      <c r="J6205" s="81"/>
      <c r="K6205" s="81"/>
      <c r="L6205" s="81"/>
      <c r="M6205" s="81"/>
      <c r="N6205" s="81"/>
    </row>
    <row r="6206" spans="1:14" ht="14.25" customHeight="1" x14ac:dyDescent="0.25">
      <c r="A6206" s="97" t="s">
        <v>563</v>
      </c>
      <c r="B6206" s="98" t="s">
        <v>564</v>
      </c>
      <c r="C6206" s="98" t="s">
        <v>585</v>
      </c>
      <c r="D6206" s="98" t="s">
        <v>586</v>
      </c>
      <c r="E6206" s="120" t="s">
        <v>587</v>
      </c>
      <c r="F6206" s="98" t="s">
        <v>568</v>
      </c>
      <c r="G6206" s="81"/>
      <c r="H6206" s="81"/>
      <c r="I6206" s="81"/>
      <c r="J6206" s="81"/>
      <c r="K6206" s="81"/>
      <c r="L6206" s="81"/>
      <c r="M6206" s="81"/>
      <c r="N6206" s="81"/>
    </row>
    <row r="6207" spans="1:14" ht="14.25" customHeight="1" x14ac:dyDescent="0.25">
      <c r="A6207" s="103"/>
      <c r="B6207" s="100"/>
      <c r="C6207" s="101"/>
      <c r="D6207" s="140"/>
      <c r="E6207" s="107"/>
      <c r="F6207" s="109"/>
      <c r="G6207" s="81"/>
      <c r="H6207" s="117">
        <f>506765-F7170</f>
        <v>0</v>
      </c>
      <c r="I6207" s="81"/>
      <c r="J6207" s="81"/>
      <c r="K6207" s="81"/>
      <c r="L6207" s="81"/>
      <c r="M6207" s="81"/>
      <c r="N6207" s="81"/>
    </row>
    <row r="6208" spans="1:14" ht="14.25" customHeight="1" x14ac:dyDescent="0.25">
      <c r="A6208" s="103"/>
      <c r="B6208" s="100"/>
      <c r="C6208" s="107"/>
      <c r="D6208" s="107"/>
      <c r="E6208" s="108"/>
      <c r="F6208" s="109"/>
      <c r="G6208" s="81"/>
      <c r="H6208" s="81"/>
      <c r="I6208" s="81"/>
      <c r="J6208" s="81"/>
      <c r="K6208" s="81"/>
      <c r="L6208" s="81"/>
      <c r="M6208" s="81"/>
      <c r="N6208" s="81"/>
    </row>
    <row r="6209" spans="1:14" ht="14.25" customHeight="1" x14ac:dyDescent="0.25">
      <c r="A6209" s="97" t="s">
        <v>548</v>
      </c>
      <c r="B6209" s="98"/>
      <c r="C6209" s="110"/>
      <c r="D6209" s="110"/>
      <c r="E6209" s="111"/>
      <c r="F6209" s="112">
        <f>SUM(F6207:F6208)</f>
        <v>0</v>
      </c>
      <c r="G6209" s="81"/>
      <c r="H6209" s="81"/>
      <c r="I6209" s="81"/>
      <c r="J6209" s="81"/>
      <c r="K6209" s="81"/>
      <c r="L6209" s="81"/>
      <c r="M6209" s="81"/>
      <c r="N6209" s="81"/>
    </row>
    <row r="6210" spans="1:14" ht="14.25" customHeight="1" x14ac:dyDescent="0.25">
      <c r="A6210" s="88"/>
      <c r="B6210" s="89"/>
      <c r="C6210" s="113"/>
      <c r="D6210" s="113"/>
      <c r="E6210" s="114"/>
      <c r="F6210" s="113"/>
      <c r="G6210" s="81"/>
      <c r="H6210" s="81"/>
      <c r="I6210" s="81"/>
      <c r="J6210" s="81"/>
      <c r="K6210" s="81"/>
      <c r="L6210" s="81"/>
      <c r="M6210" s="81"/>
      <c r="N6210" s="81"/>
    </row>
    <row r="6211" spans="1:14" ht="14.25" customHeight="1" x14ac:dyDescent="0.25">
      <c r="A6211" s="88"/>
      <c r="B6211" s="89"/>
      <c r="C6211" s="113"/>
      <c r="D6211" s="113"/>
      <c r="E6211" s="114"/>
      <c r="F6211" s="113"/>
      <c r="G6211" s="81"/>
      <c r="H6211" s="81"/>
      <c r="I6211" s="81"/>
      <c r="J6211" s="81"/>
      <c r="K6211" s="81"/>
      <c r="L6211" s="81"/>
      <c r="M6211" s="81"/>
      <c r="N6211" s="81"/>
    </row>
    <row r="6212" spans="1:14" ht="14.25" customHeight="1" x14ac:dyDescent="0.25">
      <c r="A6212" s="612" t="s">
        <v>588</v>
      </c>
      <c r="B6212" s="608"/>
      <c r="C6212" s="608"/>
      <c r="D6212" s="608"/>
      <c r="E6212" s="609"/>
      <c r="F6212" s="131">
        <f>ROUND(F6184+F6195+F6203+F6209,0)</f>
        <v>684975</v>
      </c>
      <c r="G6212" s="81"/>
      <c r="H6212" s="81"/>
      <c r="I6212" s="81"/>
      <c r="J6212" s="81"/>
      <c r="K6212" s="81"/>
      <c r="L6212" s="81"/>
      <c r="M6212" s="81"/>
      <c r="N6212" s="81"/>
    </row>
    <row r="6213" spans="1:14" ht="14.25" customHeight="1" x14ac:dyDescent="0.25">
      <c r="A6213" s="612" t="s">
        <v>589</v>
      </c>
      <c r="B6213" s="608"/>
      <c r="C6213" s="608"/>
      <c r="D6213" s="608"/>
      <c r="E6213" s="609"/>
      <c r="F6213" s="132"/>
      <c r="G6213" s="81"/>
      <c r="H6213" s="81"/>
      <c r="I6213" s="81"/>
      <c r="J6213" s="81"/>
      <c r="K6213" s="81"/>
      <c r="L6213" s="81"/>
      <c r="M6213" s="81"/>
      <c r="N6213" s="81"/>
    </row>
    <row r="6214" spans="1:14" ht="14.25" customHeight="1" x14ac:dyDescent="0.25">
      <c r="A6214" s="612" t="s">
        <v>556</v>
      </c>
      <c r="B6214" s="608"/>
      <c r="C6214" s="608"/>
      <c r="D6214" s="608"/>
      <c r="E6214" s="609"/>
      <c r="F6214" s="133"/>
      <c r="G6214" s="81"/>
      <c r="H6214" s="81"/>
      <c r="I6214" s="81"/>
      <c r="J6214" s="81"/>
      <c r="K6214" s="81"/>
      <c r="L6214" s="81"/>
      <c r="M6214" s="81"/>
      <c r="N6214" s="81"/>
    </row>
    <row r="6215" spans="1:14" ht="14.25" customHeight="1" x14ac:dyDescent="0.25">
      <c r="A6215" s="134"/>
      <c r="B6215" s="135"/>
      <c r="C6215" s="135"/>
      <c r="D6215" s="135"/>
      <c r="E6215" s="135"/>
      <c r="F6215" s="136"/>
      <c r="G6215" s="81"/>
      <c r="H6215" s="81"/>
      <c r="I6215" s="81"/>
      <c r="J6215" s="81"/>
      <c r="K6215" s="81"/>
      <c r="L6215" s="81"/>
      <c r="M6215" s="81"/>
      <c r="N6215" s="81"/>
    </row>
    <row r="6216" spans="1:14" ht="14.25" customHeight="1" x14ac:dyDescent="0.25">
      <c r="A6216" s="134"/>
      <c r="B6216" s="135"/>
      <c r="C6216" s="135"/>
      <c r="D6216" s="135"/>
      <c r="E6216" s="135"/>
      <c r="F6216" s="136"/>
      <c r="G6216" s="81"/>
      <c r="H6216" s="81"/>
      <c r="I6216" s="81"/>
      <c r="J6216" s="81"/>
      <c r="K6216" s="81"/>
      <c r="L6216" s="81"/>
      <c r="M6216" s="81"/>
      <c r="N6216" s="81"/>
    </row>
    <row r="6217" spans="1:14" ht="14.25" customHeight="1" x14ac:dyDescent="0.25">
      <c r="A6217" s="134"/>
      <c r="B6217" s="135"/>
      <c r="C6217" s="135"/>
      <c r="D6217" s="135"/>
      <c r="E6217" s="135"/>
      <c r="F6217" s="136"/>
      <c r="G6217" s="81"/>
      <c r="H6217" s="81"/>
      <c r="I6217" s="81"/>
      <c r="J6217" s="81"/>
      <c r="K6217" s="81"/>
      <c r="L6217" s="81"/>
      <c r="M6217" s="81"/>
      <c r="N6217" s="81"/>
    </row>
    <row r="6218" spans="1:14" ht="14.25" customHeight="1" x14ac:dyDescent="0.25">
      <c r="A6218" s="134"/>
      <c r="B6218" s="135"/>
      <c r="C6218" s="135"/>
      <c r="D6218" s="135"/>
      <c r="E6218" s="135"/>
      <c r="F6218" s="136"/>
      <c r="G6218" s="81"/>
      <c r="H6218" s="81"/>
      <c r="I6218" s="81"/>
      <c r="J6218" s="81"/>
      <c r="K6218" s="81"/>
      <c r="L6218" s="81"/>
      <c r="M6218" s="81"/>
      <c r="N6218" s="81"/>
    </row>
    <row r="6219" spans="1:14" ht="14.25" customHeight="1" x14ac:dyDescent="0.25">
      <c r="A6219" s="81"/>
      <c r="B6219" s="81"/>
      <c r="C6219" s="137"/>
      <c r="D6219" s="81"/>
      <c r="E6219" s="81"/>
      <c r="F6219" s="81"/>
      <c r="G6219" s="81"/>
      <c r="H6219" s="81"/>
      <c r="I6219" s="81"/>
      <c r="J6219" s="81"/>
      <c r="K6219" s="81"/>
      <c r="L6219" s="81"/>
      <c r="M6219" s="81"/>
      <c r="N6219" s="81"/>
    </row>
    <row r="6220" spans="1:14" ht="14.25" customHeight="1" x14ac:dyDescent="0.25">
      <c r="A6220" s="81"/>
      <c r="B6220" s="81"/>
      <c r="C6220" s="137"/>
      <c r="D6220" s="81"/>
      <c r="E6220" s="81"/>
      <c r="F6220" s="81"/>
      <c r="G6220" s="81"/>
      <c r="H6220" s="81"/>
      <c r="I6220" s="81"/>
      <c r="J6220" s="81"/>
      <c r="K6220" s="81"/>
      <c r="L6220" s="81"/>
      <c r="M6220" s="81"/>
      <c r="N6220" s="81"/>
    </row>
    <row r="6221" spans="1:14" ht="14.25" customHeight="1" x14ac:dyDescent="0.25">
      <c r="A6221" s="81"/>
      <c r="B6221" s="81"/>
      <c r="C6221" s="137"/>
      <c r="D6221" s="81"/>
      <c r="E6221" s="81"/>
      <c r="F6221" s="81"/>
      <c r="G6221" s="81"/>
      <c r="H6221" s="81"/>
      <c r="I6221" s="81"/>
      <c r="J6221" s="81"/>
      <c r="K6221" s="81"/>
      <c r="L6221" s="81"/>
      <c r="M6221" s="81"/>
      <c r="N6221" s="81"/>
    </row>
    <row r="6222" spans="1:14" ht="14.25" customHeight="1" x14ac:dyDescent="0.25">
      <c r="A6222" s="81"/>
      <c r="B6222" s="81"/>
      <c r="C6222" s="137"/>
      <c r="D6222" s="81"/>
      <c r="E6222" s="81"/>
      <c r="F6222" s="81"/>
      <c r="G6222" s="81"/>
      <c r="H6222" s="81"/>
      <c r="I6222" s="81"/>
      <c r="J6222" s="81"/>
      <c r="K6222" s="81"/>
      <c r="L6222" s="81"/>
      <c r="M6222" s="81"/>
      <c r="N6222" s="81"/>
    </row>
    <row r="6223" spans="1:14" ht="14.25" customHeight="1" thickBot="1" x14ac:dyDescent="0.3">
      <c r="A6223" s="81"/>
      <c r="B6223" s="81"/>
      <c r="C6223" s="81"/>
      <c r="D6223" s="81"/>
      <c r="E6223" s="81"/>
      <c r="F6223" s="81"/>
      <c r="G6223" s="81"/>
      <c r="H6223" s="81"/>
      <c r="I6223" s="81"/>
      <c r="J6223" s="81"/>
      <c r="K6223" s="81"/>
      <c r="L6223" s="81"/>
      <c r="M6223" s="81"/>
      <c r="N6223" s="81"/>
    </row>
    <row r="6224" spans="1:14" ht="14.25" customHeight="1" x14ac:dyDescent="0.25">
      <c r="A6224" s="83"/>
      <c r="B6224" s="84"/>
      <c r="C6224" s="85"/>
      <c r="D6224" s="86"/>
      <c r="E6224" s="86"/>
      <c r="F6224" s="87"/>
      <c r="G6224" s="81"/>
      <c r="H6224" s="81"/>
      <c r="I6224" s="81"/>
      <c r="J6224" s="81"/>
      <c r="K6224" s="81"/>
      <c r="L6224" s="81"/>
      <c r="M6224" s="81"/>
      <c r="N6224" s="81"/>
    </row>
    <row r="6225" spans="1:14" ht="14.25" customHeight="1" x14ac:dyDescent="0.25">
      <c r="A6225" s="599"/>
      <c r="B6225" s="600"/>
      <c r="C6225" s="600"/>
      <c r="D6225" s="600"/>
      <c r="E6225" s="600"/>
      <c r="F6225" s="601"/>
      <c r="G6225" s="81"/>
      <c r="H6225" s="81"/>
      <c r="I6225" s="81"/>
      <c r="J6225" s="81"/>
      <c r="K6225" s="81"/>
      <c r="L6225" s="81"/>
      <c r="M6225" s="81"/>
      <c r="N6225" s="81"/>
    </row>
    <row r="6226" spans="1:14" ht="14.25" customHeight="1" x14ac:dyDescent="0.25">
      <c r="A6226" s="602" t="s">
        <v>561</v>
      </c>
      <c r="B6226" s="600"/>
      <c r="C6226" s="600"/>
      <c r="D6226" s="600"/>
      <c r="E6226" s="600"/>
      <c r="F6226" s="601"/>
      <c r="G6226" s="81"/>
      <c r="H6226" s="81"/>
      <c r="I6226" s="81"/>
      <c r="J6226" s="81"/>
      <c r="K6226" s="81"/>
      <c r="L6226" s="81"/>
      <c r="M6226" s="81"/>
      <c r="N6226" s="81"/>
    </row>
    <row r="6227" spans="1:14" ht="14.25" customHeight="1" thickBot="1" x14ac:dyDescent="0.3">
      <c r="A6227" s="603"/>
      <c r="B6227" s="604"/>
      <c r="C6227" s="604"/>
      <c r="D6227" s="604"/>
      <c r="E6227" s="604"/>
      <c r="F6227" s="605"/>
      <c r="G6227" s="81"/>
      <c r="H6227" s="81"/>
      <c r="I6227" s="81"/>
      <c r="J6227" s="81"/>
      <c r="K6227" s="81"/>
      <c r="L6227" s="81"/>
      <c r="M6227" s="81"/>
      <c r="N6227" s="81"/>
    </row>
    <row r="6228" spans="1:14" ht="14.25" customHeight="1" x14ac:dyDescent="0.25">
      <c r="A6228" s="88"/>
      <c r="B6228" s="88"/>
      <c r="C6228" s="89"/>
      <c r="D6228" s="89"/>
      <c r="E6228" s="89"/>
      <c r="F6228" s="89"/>
      <c r="G6228" s="81"/>
      <c r="H6228" s="81"/>
      <c r="I6228" s="81"/>
      <c r="J6228" s="81"/>
      <c r="K6228" s="81"/>
      <c r="L6228" s="81"/>
      <c r="M6228" s="81"/>
      <c r="N6228" s="81"/>
    </row>
    <row r="6229" spans="1:14" ht="14.25" customHeight="1" x14ac:dyDescent="0.25">
      <c r="A6229" s="90" t="s">
        <v>47</v>
      </c>
      <c r="B6229" s="613" t="s">
        <v>313</v>
      </c>
      <c r="C6229" s="600"/>
      <c r="D6229" s="600"/>
      <c r="E6229" s="600"/>
      <c r="F6229" s="600"/>
      <c r="G6229" s="81"/>
      <c r="H6229" s="81"/>
      <c r="I6229" s="81"/>
      <c r="J6229" s="81"/>
      <c r="K6229" s="81"/>
      <c r="L6229" s="81"/>
      <c r="M6229" s="81"/>
      <c r="N6229" s="81"/>
    </row>
    <row r="6230" spans="1:14" ht="14.25" customHeight="1" x14ac:dyDescent="0.25">
      <c r="A6230" s="91"/>
      <c r="B6230" s="91"/>
      <c r="C6230" s="91"/>
      <c r="D6230" s="91"/>
      <c r="E6230" s="91"/>
      <c r="F6230" s="91"/>
      <c r="G6230" s="81"/>
      <c r="H6230" s="81"/>
      <c r="I6230" s="81"/>
      <c r="J6230" s="81"/>
      <c r="K6230" s="81"/>
      <c r="L6230" s="81"/>
      <c r="M6230" s="81"/>
      <c r="N6230" s="81"/>
    </row>
    <row r="6231" spans="1:14" ht="14.25" customHeight="1" x14ac:dyDescent="0.25">
      <c r="A6231" s="88" t="s">
        <v>49</v>
      </c>
      <c r="B6231" s="92" t="s">
        <v>56</v>
      </c>
      <c r="C6231" s="89"/>
      <c r="D6231" s="89"/>
      <c r="E6231" s="89"/>
      <c r="F6231" s="93"/>
      <c r="G6231" s="81"/>
      <c r="H6231" s="81"/>
      <c r="I6231" s="81"/>
      <c r="J6231" s="81"/>
      <c r="K6231" s="81"/>
      <c r="L6231" s="81"/>
      <c r="M6231" s="81"/>
      <c r="N6231" s="81"/>
    </row>
    <row r="6232" spans="1:14" ht="14.25" customHeight="1" x14ac:dyDescent="0.25">
      <c r="A6232" s="88"/>
      <c r="B6232" s="94"/>
      <c r="C6232" s="89"/>
      <c r="D6232" s="89"/>
      <c r="E6232" s="89"/>
      <c r="F6232" s="93"/>
      <c r="G6232" s="81"/>
      <c r="H6232" s="81"/>
      <c r="I6232" s="81"/>
      <c r="J6232" s="81"/>
      <c r="K6232" s="81"/>
      <c r="L6232" s="81"/>
      <c r="M6232" s="81"/>
      <c r="N6232" s="81"/>
    </row>
    <row r="6233" spans="1:14" ht="14.25" customHeight="1" x14ac:dyDescent="0.25">
      <c r="A6233" s="95" t="s">
        <v>562</v>
      </c>
      <c r="B6233" s="96"/>
      <c r="C6233" s="92"/>
      <c r="D6233" s="92"/>
      <c r="E6233" s="92"/>
      <c r="F6233" s="92"/>
      <c r="G6233" s="81"/>
      <c r="H6233" s="81"/>
      <c r="I6233" s="81"/>
      <c r="J6233" s="81"/>
      <c r="K6233" s="81"/>
      <c r="L6233" s="81"/>
      <c r="M6233" s="81"/>
      <c r="N6233" s="81"/>
    </row>
    <row r="6234" spans="1:14" ht="14.25" customHeight="1" x14ac:dyDescent="0.25">
      <c r="A6234" s="97" t="s">
        <v>563</v>
      </c>
      <c r="B6234" s="98" t="s">
        <v>564</v>
      </c>
      <c r="C6234" s="98" t="s">
        <v>565</v>
      </c>
      <c r="D6234" s="98" t="s">
        <v>566</v>
      </c>
      <c r="E6234" s="98" t="s">
        <v>567</v>
      </c>
      <c r="F6234" s="98" t="s">
        <v>568</v>
      </c>
      <c r="G6234" s="81"/>
      <c r="H6234" s="81"/>
      <c r="I6234" s="81"/>
      <c r="J6234" s="81"/>
      <c r="K6234" s="81"/>
      <c r="L6234" s="81"/>
      <c r="M6234" s="81"/>
      <c r="N6234" s="81"/>
    </row>
    <row r="6235" spans="1:14" ht="14.25" customHeight="1" x14ac:dyDescent="0.25">
      <c r="A6235" s="99" t="s">
        <v>770</v>
      </c>
      <c r="B6235" s="100" t="s">
        <v>56</v>
      </c>
      <c r="C6235" s="101">
        <v>515180</v>
      </c>
      <c r="D6235" s="149">
        <v>1</v>
      </c>
      <c r="E6235" s="102"/>
      <c r="F6235" s="101">
        <f t="shared" ref="F6235:F6236" si="298">C6235*(D6235+(D6235*E6235))</f>
        <v>515180</v>
      </c>
      <c r="G6235" s="81"/>
      <c r="H6235" s="81"/>
      <c r="I6235" s="81"/>
      <c r="J6235" s="81"/>
      <c r="K6235" s="81"/>
      <c r="L6235" s="81"/>
      <c r="M6235" s="81"/>
      <c r="N6235" s="81"/>
    </row>
    <row r="6236" spans="1:14" ht="14.25" customHeight="1" x14ac:dyDescent="0.25">
      <c r="A6236" s="99" t="s">
        <v>769</v>
      </c>
      <c r="B6236" s="100" t="s">
        <v>99</v>
      </c>
      <c r="C6236" s="101">
        <v>1150</v>
      </c>
      <c r="D6236" s="104">
        <v>8</v>
      </c>
      <c r="E6236" s="102">
        <v>0.05</v>
      </c>
      <c r="F6236" s="101">
        <f t="shared" si="298"/>
        <v>9660</v>
      </c>
      <c r="G6236" s="81"/>
      <c r="H6236" s="81"/>
      <c r="I6236" s="81"/>
      <c r="J6236" s="81"/>
      <c r="K6236" s="81"/>
      <c r="L6236" s="81"/>
      <c r="M6236" s="81"/>
      <c r="N6236" s="81"/>
    </row>
    <row r="6237" spans="1:14" ht="14.25" customHeight="1" x14ac:dyDescent="0.25">
      <c r="A6237" s="99"/>
      <c r="B6237" s="100"/>
      <c r="C6237" s="106"/>
      <c r="D6237" s="107"/>
      <c r="E6237" s="108"/>
      <c r="F6237" s="106"/>
      <c r="G6237" s="81"/>
      <c r="H6237" s="81"/>
      <c r="I6237" s="81"/>
      <c r="J6237" s="81"/>
      <c r="K6237" s="81"/>
      <c r="L6237" s="81"/>
      <c r="M6237" s="81"/>
      <c r="N6237" s="81"/>
    </row>
    <row r="6238" spans="1:14" ht="14.25" customHeight="1" x14ac:dyDescent="0.25">
      <c r="A6238" s="97" t="s">
        <v>548</v>
      </c>
      <c r="B6238" s="97"/>
      <c r="C6238" s="109"/>
      <c r="D6238" s="110"/>
      <c r="E6238" s="111"/>
      <c r="F6238" s="112">
        <f>SUM(F6235:F6237)</f>
        <v>524840</v>
      </c>
      <c r="G6238" s="81"/>
      <c r="H6238" s="81"/>
      <c r="I6238" s="81"/>
      <c r="J6238" s="81"/>
      <c r="K6238" s="81"/>
      <c r="L6238" s="81"/>
      <c r="M6238" s="81"/>
      <c r="N6238" s="81"/>
    </row>
    <row r="6239" spans="1:14" ht="14.25" customHeight="1" x14ac:dyDescent="0.25">
      <c r="A6239" s="88"/>
      <c r="B6239" s="88"/>
      <c r="C6239" s="113"/>
      <c r="D6239" s="113"/>
      <c r="E6239" s="114"/>
      <c r="F6239" s="113"/>
      <c r="G6239" s="81"/>
      <c r="H6239" s="81"/>
      <c r="I6239" s="81"/>
      <c r="J6239" s="81"/>
      <c r="K6239" s="81"/>
      <c r="L6239" s="81"/>
      <c r="M6239" s="81"/>
      <c r="N6239" s="81"/>
    </row>
    <row r="6240" spans="1:14" ht="14.25" customHeight="1" x14ac:dyDescent="0.25">
      <c r="A6240" s="96" t="s">
        <v>573</v>
      </c>
      <c r="B6240" s="96"/>
      <c r="C6240" s="92"/>
      <c r="D6240" s="92"/>
      <c r="E6240" s="92"/>
      <c r="F6240" s="92"/>
      <c r="G6240" s="81"/>
      <c r="H6240" s="81"/>
      <c r="I6240" s="81"/>
      <c r="J6240" s="81"/>
      <c r="K6240" s="81"/>
      <c r="L6240" s="81"/>
      <c r="M6240" s="81"/>
      <c r="N6240" s="81"/>
    </row>
    <row r="6241" spans="1:14" ht="14.25" customHeight="1" x14ac:dyDescent="0.25">
      <c r="A6241" s="611" t="s">
        <v>563</v>
      </c>
      <c r="B6241" s="608"/>
      <c r="C6241" s="609"/>
      <c r="D6241" s="98" t="s">
        <v>574</v>
      </c>
      <c r="E6241" s="98" t="s">
        <v>575</v>
      </c>
      <c r="F6241" s="98" t="s">
        <v>568</v>
      </c>
      <c r="G6241" s="81"/>
      <c r="H6241" s="81"/>
      <c r="I6241" s="81"/>
      <c r="J6241" s="81"/>
      <c r="K6241" s="81"/>
      <c r="L6241" s="81"/>
      <c r="M6241" s="81"/>
      <c r="N6241" s="81"/>
    </row>
    <row r="6242" spans="1:14" ht="14.25" customHeight="1" x14ac:dyDescent="0.25">
      <c r="A6242" s="607" t="s">
        <v>577</v>
      </c>
      <c r="B6242" s="608"/>
      <c r="C6242" s="609"/>
      <c r="D6242" s="116"/>
      <c r="E6242" s="107"/>
      <c r="F6242" s="106">
        <f>+F6257*5%</f>
        <v>7625.484210526316</v>
      </c>
      <c r="G6242" s="81"/>
      <c r="H6242" s="81"/>
      <c r="I6242" s="81"/>
      <c r="J6242" s="81"/>
      <c r="K6242" s="81"/>
      <c r="L6242" s="81"/>
      <c r="M6242" s="81"/>
      <c r="N6242" s="81"/>
    </row>
    <row r="6243" spans="1:14" ht="14.25" customHeight="1" x14ac:dyDescent="0.25">
      <c r="A6243" s="607"/>
      <c r="B6243" s="608"/>
      <c r="C6243" s="609"/>
      <c r="D6243" s="142"/>
      <c r="E6243" s="107"/>
      <c r="F6243" s="106"/>
      <c r="G6243" s="81"/>
      <c r="H6243" s="81"/>
      <c r="I6243" s="81"/>
      <c r="J6243" s="81"/>
      <c r="K6243" s="81"/>
      <c r="L6243" s="81"/>
      <c r="M6243" s="81"/>
      <c r="N6243" s="81"/>
    </row>
    <row r="6244" spans="1:14" ht="14.25" customHeight="1" x14ac:dyDescent="0.25">
      <c r="A6244" s="607"/>
      <c r="B6244" s="608"/>
      <c r="C6244" s="609"/>
      <c r="D6244" s="142"/>
      <c r="E6244" s="107"/>
      <c r="F6244" s="106"/>
      <c r="G6244" s="81"/>
      <c r="H6244" s="81"/>
      <c r="I6244" s="81"/>
      <c r="J6244" s="81"/>
      <c r="K6244" s="81"/>
      <c r="L6244" s="81"/>
      <c r="M6244" s="81"/>
      <c r="N6244" s="81"/>
    </row>
    <row r="6245" spans="1:14" ht="14.25" customHeight="1" x14ac:dyDescent="0.25">
      <c r="A6245" s="607"/>
      <c r="B6245" s="608"/>
      <c r="C6245" s="609"/>
      <c r="D6245" s="142"/>
      <c r="E6245" s="107"/>
      <c r="F6245" s="106"/>
      <c r="G6245" s="81"/>
      <c r="H6245" s="81"/>
      <c r="I6245" s="81"/>
      <c r="J6245" s="81"/>
      <c r="K6245" s="81"/>
      <c r="L6245" s="81"/>
      <c r="M6245" s="81"/>
      <c r="N6245" s="81"/>
    </row>
    <row r="6246" spans="1:14" ht="14.25" customHeight="1" x14ac:dyDescent="0.25">
      <c r="A6246" s="607"/>
      <c r="B6246" s="608"/>
      <c r="C6246" s="609"/>
      <c r="D6246" s="142"/>
      <c r="E6246" s="107"/>
      <c r="F6246" s="106"/>
      <c r="G6246" s="81"/>
      <c r="H6246" s="81"/>
      <c r="I6246" s="81"/>
      <c r="J6246" s="81"/>
      <c r="K6246" s="81"/>
      <c r="L6246" s="81"/>
      <c r="M6246" s="81"/>
      <c r="N6246" s="81"/>
    </row>
    <row r="6247" spans="1:14" ht="14.25" customHeight="1" x14ac:dyDescent="0.25">
      <c r="A6247" s="607"/>
      <c r="B6247" s="608"/>
      <c r="C6247" s="609"/>
      <c r="D6247" s="142"/>
      <c r="E6247" s="105"/>
      <c r="F6247" s="106"/>
      <c r="G6247" s="81"/>
      <c r="H6247" s="81"/>
      <c r="I6247" s="81"/>
      <c r="J6247" s="81"/>
      <c r="K6247" s="81"/>
      <c r="L6247" s="81"/>
      <c r="M6247" s="81"/>
      <c r="N6247" s="81"/>
    </row>
    <row r="6248" spans="1:14" ht="14.25" customHeight="1" x14ac:dyDescent="0.25">
      <c r="A6248" s="610"/>
      <c r="B6248" s="608"/>
      <c r="C6248" s="609"/>
      <c r="D6248" s="115"/>
      <c r="E6248" s="107"/>
      <c r="F6248" s="106"/>
      <c r="G6248" s="81"/>
      <c r="H6248" s="81"/>
      <c r="I6248" s="81"/>
      <c r="J6248" s="81"/>
      <c r="K6248" s="81"/>
      <c r="L6248" s="81"/>
      <c r="M6248" s="81"/>
      <c r="N6248" s="81"/>
    </row>
    <row r="6249" spans="1:14" ht="14.25" customHeight="1" x14ac:dyDescent="0.25">
      <c r="A6249" s="611" t="s">
        <v>548</v>
      </c>
      <c r="B6249" s="608"/>
      <c r="C6249" s="609"/>
      <c r="D6249" s="110"/>
      <c r="E6249" s="110"/>
      <c r="F6249" s="112">
        <f>SUM(F6242:F6248)</f>
        <v>7625.484210526316</v>
      </c>
      <c r="G6249" s="81"/>
      <c r="H6249" s="81"/>
      <c r="I6249" s="81"/>
      <c r="J6249" s="81"/>
      <c r="K6249" s="81"/>
      <c r="L6249" s="81"/>
      <c r="M6249" s="81"/>
      <c r="N6249" s="81"/>
    </row>
    <row r="6250" spans="1:14" ht="14.25" customHeight="1" x14ac:dyDescent="0.25">
      <c r="A6250" s="88"/>
      <c r="B6250" s="88"/>
      <c r="C6250" s="89"/>
      <c r="D6250" s="113"/>
      <c r="E6250" s="113"/>
      <c r="F6250" s="113"/>
      <c r="G6250" s="81"/>
      <c r="H6250" s="81"/>
      <c r="I6250" s="81"/>
      <c r="J6250" s="81"/>
      <c r="K6250" s="81"/>
      <c r="L6250" s="81"/>
      <c r="M6250" s="81"/>
      <c r="N6250" s="81"/>
    </row>
    <row r="6251" spans="1:14" ht="14.25" customHeight="1" x14ac:dyDescent="0.25">
      <c r="A6251" s="96" t="s">
        <v>578</v>
      </c>
      <c r="B6251" s="96"/>
      <c r="C6251" s="92"/>
      <c r="D6251" s="118"/>
      <c r="E6251" s="118"/>
      <c r="F6251" s="118"/>
      <c r="G6251" s="81"/>
      <c r="H6251" s="81"/>
      <c r="I6251" s="81"/>
      <c r="J6251" s="81"/>
      <c r="K6251" s="81"/>
      <c r="L6251" s="81"/>
      <c r="M6251" s="81"/>
      <c r="N6251" s="81"/>
    </row>
    <row r="6252" spans="1:14" ht="14.25" customHeight="1" x14ac:dyDescent="0.25">
      <c r="A6252" s="119" t="s">
        <v>563</v>
      </c>
      <c r="B6252" s="120" t="s">
        <v>579</v>
      </c>
      <c r="C6252" s="120" t="s">
        <v>580</v>
      </c>
      <c r="D6252" s="121" t="s">
        <v>581</v>
      </c>
      <c r="E6252" s="121" t="s">
        <v>575</v>
      </c>
      <c r="F6252" s="121" t="s">
        <v>568</v>
      </c>
      <c r="G6252" s="81"/>
      <c r="H6252" s="81"/>
      <c r="I6252" s="81"/>
      <c r="J6252" s="81"/>
      <c r="K6252" s="81"/>
      <c r="L6252" s="81"/>
      <c r="M6252" s="81"/>
      <c r="N6252" s="81"/>
    </row>
    <row r="6253" spans="1:14" ht="14.25" customHeight="1" x14ac:dyDescent="0.25">
      <c r="A6253" s="122" t="s">
        <v>593</v>
      </c>
      <c r="B6253" s="127">
        <v>1</v>
      </c>
      <c r="C6253" s="101">
        <v>32688</v>
      </c>
      <c r="D6253" s="101">
        <f t="shared" ref="D6253:D6254" si="299">+C6253*1.7</f>
        <v>55569.599999999999</v>
      </c>
      <c r="E6253" s="107">
        <v>0.95</v>
      </c>
      <c r="F6253" s="106">
        <f t="shared" ref="F6253:F6254" si="300">+B6253*(D6253)/E6253</f>
        <v>58494.315789473687</v>
      </c>
      <c r="G6253" s="81"/>
      <c r="H6253" s="81"/>
      <c r="I6253" s="81"/>
      <c r="J6253" s="81"/>
      <c r="K6253" s="81"/>
      <c r="L6253" s="81"/>
      <c r="M6253" s="81"/>
      <c r="N6253" s="81"/>
    </row>
    <row r="6254" spans="1:14" ht="14.25" customHeight="1" x14ac:dyDescent="0.25">
      <c r="A6254" s="122" t="s">
        <v>594</v>
      </c>
      <c r="B6254" s="127">
        <v>1</v>
      </c>
      <c r="C6254" s="101">
        <v>52538</v>
      </c>
      <c r="D6254" s="101">
        <f t="shared" si="299"/>
        <v>89314.599999999991</v>
      </c>
      <c r="E6254" s="107">
        <f>E6253</f>
        <v>0.95</v>
      </c>
      <c r="F6254" s="106">
        <f t="shared" si="300"/>
        <v>94015.368421052626</v>
      </c>
      <c r="G6254" s="81"/>
      <c r="H6254" s="81"/>
      <c r="I6254" s="81"/>
      <c r="J6254" s="81"/>
      <c r="K6254" s="81"/>
      <c r="L6254" s="81"/>
      <c r="M6254" s="81"/>
      <c r="N6254" s="81"/>
    </row>
    <row r="6255" spans="1:14" ht="14.25" customHeight="1" x14ac:dyDescent="0.25">
      <c r="A6255" s="122"/>
      <c r="B6255" s="127"/>
      <c r="C6255" s="101"/>
      <c r="D6255" s="101"/>
      <c r="E6255" s="107"/>
      <c r="F6255" s="106"/>
      <c r="G6255" s="81"/>
      <c r="H6255" s="81"/>
      <c r="I6255" s="81"/>
      <c r="J6255" s="81"/>
      <c r="K6255" s="81"/>
      <c r="L6255" s="81"/>
      <c r="M6255" s="81"/>
      <c r="N6255" s="81"/>
    </row>
    <row r="6256" spans="1:14" ht="14.25" customHeight="1" x14ac:dyDescent="0.25">
      <c r="A6256" s="122"/>
      <c r="B6256" s="127"/>
      <c r="C6256" s="101"/>
      <c r="D6256" s="101"/>
      <c r="E6256" s="125"/>
      <c r="F6256" s="106"/>
      <c r="G6256" s="81"/>
      <c r="H6256" s="81"/>
      <c r="I6256" s="81"/>
      <c r="J6256" s="81"/>
      <c r="K6256" s="81"/>
      <c r="L6256" s="81"/>
      <c r="M6256" s="81"/>
      <c r="N6256" s="81"/>
    </row>
    <row r="6257" spans="1:14" ht="14.25" customHeight="1" x14ac:dyDescent="0.25">
      <c r="A6257" s="97" t="s">
        <v>548</v>
      </c>
      <c r="B6257" s="128"/>
      <c r="C6257" s="110"/>
      <c r="D6257" s="110"/>
      <c r="E6257" s="110"/>
      <c r="F6257" s="112">
        <f>SUM(F6253:F6256)</f>
        <v>152509.68421052632</v>
      </c>
      <c r="G6257" s="81"/>
      <c r="H6257" s="81"/>
      <c r="I6257" s="81"/>
      <c r="J6257" s="81"/>
      <c r="K6257" s="81"/>
      <c r="L6257" s="81"/>
      <c r="M6257" s="81"/>
      <c r="N6257" s="81"/>
    </row>
    <row r="6258" spans="1:14" ht="14.25" customHeight="1" x14ac:dyDescent="0.25">
      <c r="A6258" s="96"/>
      <c r="B6258" s="129"/>
      <c r="C6258" s="118"/>
      <c r="D6258" s="118"/>
      <c r="E6258" s="118"/>
      <c r="F6258" s="118"/>
      <c r="G6258" s="81"/>
      <c r="H6258" s="81"/>
      <c r="I6258" s="81"/>
      <c r="J6258" s="81"/>
      <c r="K6258" s="81"/>
      <c r="L6258" s="81"/>
      <c r="M6258" s="81"/>
      <c r="N6258" s="81"/>
    </row>
    <row r="6259" spans="1:14" ht="14.25" customHeight="1" x14ac:dyDescent="0.25">
      <c r="A6259" s="95" t="s">
        <v>583</v>
      </c>
      <c r="B6259" s="96"/>
      <c r="C6259" s="92"/>
      <c r="D6259" s="92"/>
      <c r="E6259" s="92" t="s">
        <v>584</v>
      </c>
      <c r="F6259" s="92"/>
      <c r="G6259" s="81"/>
      <c r="H6259" s="81"/>
      <c r="I6259" s="81"/>
      <c r="J6259" s="81"/>
      <c r="K6259" s="81"/>
      <c r="L6259" s="81"/>
      <c r="M6259" s="81"/>
      <c r="N6259" s="81"/>
    </row>
    <row r="6260" spans="1:14" ht="14.25" customHeight="1" x14ac:dyDescent="0.25">
      <c r="A6260" s="97" t="s">
        <v>563</v>
      </c>
      <c r="B6260" s="98" t="s">
        <v>564</v>
      </c>
      <c r="C6260" s="98" t="s">
        <v>585</v>
      </c>
      <c r="D6260" s="98" t="s">
        <v>586</v>
      </c>
      <c r="E6260" s="120" t="s">
        <v>587</v>
      </c>
      <c r="F6260" s="98" t="s">
        <v>568</v>
      </c>
      <c r="G6260" s="81"/>
      <c r="H6260" s="81"/>
      <c r="I6260" s="81"/>
      <c r="J6260" s="81"/>
      <c r="K6260" s="81"/>
      <c r="L6260" s="81"/>
      <c r="M6260" s="81"/>
      <c r="N6260" s="81"/>
    </row>
    <row r="6261" spans="1:14" ht="14.25" customHeight="1" x14ac:dyDescent="0.25">
      <c r="A6261" s="103"/>
      <c r="B6261" s="100"/>
      <c r="C6261" s="101"/>
      <c r="D6261" s="140"/>
      <c r="E6261" s="107"/>
      <c r="F6261" s="109"/>
      <c r="G6261" s="81"/>
      <c r="H6261" s="81"/>
      <c r="I6261" s="81"/>
      <c r="J6261" s="81"/>
      <c r="K6261" s="81"/>
      <c r="L6261" s="81"/>
      <c r="M6261" s="81"/>
      <c r="N6261" s="81"/>
    </row>
    <row r="6262" spans="1:14" ht="14.25" customHeight="1" x14ac:dyDescent="0.25">
      <c r="A6262" s="103"/>
      <c r="B6262" s="100"/>
      <c r="C6262" s="107"/>
      <c r="D6262" s="107"/>
      <c r="E6262" s="108"/>
      <c r="F6262" s="109"/>
      <c r="G6262" s="81"/>
      <c r="H6262" s="81"/>
      <c r="I6262" s="81"/>
      <c r="J6262" s="81"/>
      <c r="K6262" s="81"/>
      <c r="L6262" s="81"/>
      <c r="M6262" s="81"/>
      <c r="N6262" s="81"/>
    </row>
    <row r="6263" spans="1:14" ht="14.25" customHeight="1" x14ac:dyDescent="0.25">
      <c r="A6263" s="97" t="s">
        <v>548</v>
      </c>
      <c r="B6263" s="98"/>
      <c r="C6263" s="110"/>
      <c r="D6263" s="110"/>
      <c r="E6263" s="111"/>
      <c r="F6263" s="112">
        <f>SUM(F6261:F6262)</f>
        <v>0</v>
      </c>
      <c r="G6263" s="81"/>
      <c r="H6263" s="117"/>
      <c r="I6263" s="81"/>
      <c r="J6263" s="81"/>
      <c r="K6263" s="81"/>
      <c r="L6263" s="81"/>
      <c r="M6263" s="81"/>
      <c r="N6263" s="81"/>
    </row>
    <row r="6264" spans="1:14" ht="14.25" customHeight="1" x14ac:dyDescent="0.25">
      <c r="A6264" s="88"/>
      <c r="B6264" s="89"/>
      <c r="C6264" s="113"/>
      <c r="D6264" s="113"/>
      <c r="E6264" s="114"/>
      <c r="F6264" s="113"/>
      <c r="G6264" s="81"/>
      <c r="H6264" s="81"/>
      <c r="I6264" s="81"/>
      <c r="J6264" s="81"/>
      <c r="K6264" s="81"/>
      <c r="L6264" s="81"/>
      <c r="M6264" s="81"/>
      <c r="N6264" s="81"/>
    </row>
    <row r="6265" spans="1:14" ht="14.25" customHeight="1" x14ac:dyDescent="0.25">
      <c r="A6265" s="88"/>
      <c r="B6265" s="89"/>
      <c r="C6265" s="113"/>
      <c r="D6265" s="113"/>
      <c r="E6265" s="114"/>
      <c r="F6265" s="113"/>
      <c r="G6265" s="81"/>
      <c r="H6265" s="81"/>
      <c r="I6265" s="81"/>
      <c r="J6265" s="81"/>
      <c r="K6265" s="81"/>
      <c r="L6265" s="81"/>
      <c r="M6265" s="81"/>
      <c r="N6265" s="81"/>
    </row>
    <row r="6266" spans="1:14" ht="14.25" customHeight="1" x14ac:dyDescent="0.25">
      <c r="A6266" s="612" t="s">
        <v>588</v>
      </c>
      <c r="B6266" s="608"/>
      <c r="C6266" s="608"/>
      <c r="D6266" s="608"/>
      <c r="E6266" s="609"/>
      <c r="F6266" s="131">
        <f>ROUND(F6238+F6249+F6257+F6263,0)</f>
        <v>684975</v>
      </c>
      <c r="G6266" s="81"/>
      <c r="H6266" s="143"/>
      <c r="I6266" s="81"/>
      <c r="J6266" s="81"/>
      <c r="K6266" s="81"/>
      <c r="L6266" s="81"/>
      <c r="M6266" s="81"/>
      <c r="N6266" s="81"/>
    </row>
    <row r="6267" spans="1:14" ht="14.25" customHeight="1" x14ac:dyDescent="0.25">
      <c r="A6267" s="612" t="s">
        <v>589</v>
      </c>
      <c r="B6267" s="608"/>
      <c r="C6267" s="608"/>
      <c r="D6267" s="608"/>
      <c r="E6267" s="609"/>
      <c r="F6267" s="132"/>
      <c r="G6267" s="81"/>
      <c r="H6267" s="81"/>
      <c r="I6267" s="81"/>
      <c r="J6267" s="81"/>
      <c r="K6267" s="81"/>
      <c r="L6267" s="81"/>
      <c r="M6267" s="81"/>
      <c r="N6267" s="81"/>
    </row>
    <row r="6268" spans="1:14" ht="14.25" customHeight="1" x14ac:dyDescent="0.25">
      <c r="A6268" s="612" t="s">
        <v>556</v>
      </c>
      <c r="B6268" s="608"/>
      <c r="C6268" s="608"/>
      <c r="D6268" s="608"/>
      <c r="E6268" s="609"/>
      <c r="F6268" s="133"/>
      <c r="G6268" s="81"/>
      <c r="H6268" s="81"/>
      <c r="I6268" s="81"/>
      <c r="J6268" s="81"/>
      <c r="K6268" s="81"/>
      <c r="L6268" s="81"/>
      <c r="M6268" s="81"/>
      <c r="N6268" s="81"/>
    </row>
    <row r="6269" spans="1:14" ht="14.25" customHeight="1" x14ac:dyDescent="0.25">
      <c r="A6269" s="134"/>
      <c r="B6269" s="135"/>
      <c r="C6269" s="135"/>
      <c r="D6269" s="135"/>
      <c r="E6269" s="135"/>
      <c r="F6269" s="136"/>
      <c r="G6269" s="81"/>
      <c r="H6269" s="81"/>
      <c r="I6269" s="81"/>
      <c r="J6269" s="81"/>
      <c r="K6269" s="81"/>
      <c r="L6269" s="81"/>
      <c r="M6269" s="81"/>
      <c r="N6269" s="81"/>
    </row>
    <row r="6270" spans="1:14" ht="14.25" customHeight="1" x14ac:dyDescent="0.25">
      <c r="A6270" s="134"/>
      <c r="B6270" s="135"/>
      <c r="C6270" s="135"/>
      <c r="D6270" s="135"/>
      <c r="E6270" s="135"/>
      <c r="F6270" s="136"/>
      <c r="G6270" s="81"/>
      <c r="H6270" s="81"/>
      <c r="I6270" s="81"/>
      <c r="J6270" s="81"/>
      <c r="K6270" s="81"/>
      <c r="L6270" s="81"/>
      <c r="M6270" s="81"/>
      <c r="N6270" s="81"/>
    </row>
    <row r="6271" spans="1:14" ht="14.25" customHeight="1" x14ac:dyDescent="0.25">
      <c r="A6271" s="134"/>
      <c r="B6271" s="135"/>
      <c r="C6271" s="135"/>
      <c r="D6271" s="135"/>
      <c r="E6271" s="135"/>
      <c r="F6271" s="136"/>
      <c r="G6271" s="81"/>
      <c r="H6271" s="81"/>
      <c r="I6271" s="81"/>
      <c r="J6271" s="81"/>
      <c r="K6271" s="81"/>
      <c r="L6271" s="81"/>
      <c r="M6271" s="81"/>
      <c r="N6271" s="81"/>
    </row>
    <row r="6272" spans="1:14" ht="14.25" customHeight="1" x14ac:dyDescent="0.25">
      <c r="A6272" s="134"/>
      <c r="B6272" s="135"/>
      <c r="C6272" s="135"/>
      <c r="D6272" s="135"/>
      <c r="E6272" s="135"/>
      <c r="F6272" s="136"/>
      <c r="G6272" s="81"/>
      <c r="H6272" s="81"/>
      <c r="I6272" s="81"/>
      <c r="J6272" s="81"/>
      <c r="K6272" s="81"/>
      <c r="L6272" s="81"/>
      <c r="M6272" s="81"/>
      <c r="N6272" s="81"/>
    </row>
    <row r="6273" spans="1:14" ht="14.25" customHeight="1" x14ac:dyDescent="0.25">
      <c r="A6273" s="81"/>
      <c r="B6273" s="81"/>
      <c r="C6273" s="137"/>
      <c r="D6273" s="81"/>
      <c r="E6273" s="81"/>
      <c r="F6273" s="81"/>
      <c r="G6273" s="81"/>
      <c r="H6273" s="81"/>
      <c r="I6273" s="81"/>
      <c r="J6273" s="81"/>
      <c r="K6273" s="81"/>
      <c r="L6273" s="81"/>
      <c r="M6273" s="81"/>
      <c r="N6273" s="81"/>
    </row>
    <row r="6274" spans="1:14" ht="14.25" customHeight="1" x14ac:dyDescent="0.25">
      <c r="A6274" s="81"/>
      <c r="B6274" s="81"/>
      <c r="C6274" s="137"/>
      <c r="D6274" s="81"/>
      <c r="E6274" s="81"/>
      <c r="F6274" s="81"/>
      <c r="G6274" s="81"/>
      <c r="H6274" s="81"/>
      <c r="I6274" s="81"/>
      <c r="J6274" s="81"/>
      <c r="K6274" s="81"/>
      <c r="L6274" s="81"/>
      <c r="M6274" s="81"/>
      <c r="N6274" s="81"/>
    </row>
    <row r="6275" spans="1:14" ht="14.25" customHeight="1" x14ac:dyDescent="0.25">
      <c r="A6275" s="81"/>
      <c r="B6275" s="81"/>
      <c r="C6275" s="137"/>
      <c r="D6275" s="81"/>
      <c r="E6275" s="81"/>
      <c r="F6275" s="81"/>
      <c r="G6275" s="81"/>
      <c r="H6275" s="81"/>
      <c r="I6275" s="81"/>
      <c r="J6275" s="81"/>
      <c r="K6275" s="81"/>
      <c r="L6275" s="81"/>
      <c r="M6275" s="81"/>
      <c r="N6275" s="81"/>
    </row>
    <row r="6276" spans="1:14" ht="14.25" customHeight="1" x14ac:dyDescent="0.25">
      <c r="A6276" s="81"/>
      <c r="B6276" s="81"/>
      <c r="C6276" s="137"/>
      <c r="D6276" s="81"/>
      <c r="E6276" s="81"/>
      <c r="F6276" s="81"/>
      <c r="G6276" s="81"/>
      <c r="H6276" s="81"/>
      <c r="I6276" s="81"/>
      <c r="J6276" s="81"/>
      <c r="K6276" s="81"/>
      <c r="L6276" s="81"/>
      <c r="M6276" s="81"/>
      <c r="N6276" s="81"/>
    </row>
    <row r="6277" spans="1:14" ht="14.25" customHeight="1" thickBot="1" x14ac:dyDescent="0.3">
      <c r="A6277" s="81"/>
      <c r="B6277" s="81"/>
      <c r="C6277" s="81"/>
      <c r="D6277" s="81"/>
      <c r="E6277" s="81"/>
      <c r="F6277" s="81"/>
      <c r="G6277" s="81"/>
      <c r="H6277" s="81"/>
      <c r="I6277" s="81"/>
      <c r="J6277" s="81"/>
      <c r="K6277" s="81"/>
      <c r="L6277" s="81"/>
      <c r="M6277" s="81"/>
      <c r="N6277" s="81"/>
    </row>
    <row r="6278" spans="1:14" ht="14.25" customHeight="1" x14ac:dyDescent="0.25">
      <c r="A6278" s="83"/>
      <c r="B6278" s="84"/>
      <c r="C6278" s="85"/>
      <c r="D6278" s="86"/>
      <c r="E6278" s="86"/>
      <c r="F6278" s="87"/>
      <c r="G6278" s="81"/>
      <c r="H6278" s="81"/>
      <c r="I6278" s="81"/>
      <c r="J6278" s="81"/>
      <c r="K6278" s="81"/>
      <c r="L6278" s="81"/>
      <c r="M6278" s="81"/>
      <c r="N6278" s="81"/>
    </row>
    <row r="6279" spans="1:14" ht="14.25" customHeight="1" x14ac:dyDescent="0.25">
      <c r="A6279" s="599"/>
      <c r="B6279" s="600"/>
      <c r="C6279" s="600"/>
      <c r="D6279" s="600"/>
      <c r="E6279" s="600"/>
      <c r="F6279" s="601"/>
      <c r="G6279" s="81"/>
      <c r="H6279" s="81"/>
      <c r="I6279" s="81"/>
      <c r="J6279" s="81"/>
      <c r="K6279" s="81"/>
      <c r="L6279" s="81"/>
      <c r="M6279" s="81"/>
      <c r="N6279" s="81"/>
    </row>
    <row r="6280" spans="1:14" ht="14.25" customHeight="1" x14ac:dyDescent="0.25">
      <c r="A6280" s="602" t="s">
        <v>561</v>
      </c>
      <c r="B6280" s="600"/>
      <c r="C6280" s="600"/>
      <c r="D6280" s="600"/>
      <c r="E6280" s="600"/>
      <c r="F6280" s="601"/>
      <c r="G6280" s="81"/>
      <c r="H6280" s="81"/>
      <c r="I6280" s="81"/>
      <c r="J6280" s="81"/>
      <c r="K6280" s="81"/>
      <c r="L6280" s="81"/>
      <c r="M6280" s="81"/>
      <c r="N6280" s="81"/>
    </row>
    <row r="6281" spans="1:14" ht="14.25" customHeight="1" thickBot="1" x14ac:dyDescent="0.3">
      <c r="A6281" s="603"/>
      <c r="B6281" s="604"/>
      <c r="C6281" s="604"/>
      <c r="D6281" s="604"/>
      <c r="E6281" s="604"/>
      <c r="F6281" s="605"/>
      <c r="G6281" s="81"/>
      <c r="H6281" s="81"/>
      <c r="I6281" s="81"/>
      <c r="J6281" s="81"/>
      <c r="K6281" s="81"/>
      <c r="L6281" s="81"/>
      <c r="M6281" s="81"/>
      <c r="N6281" s="81"/>
    </row>
    <row r="6282" spans="1:14" ht="14.25" customHeight="1" x14ac:dyDescent="0.25">
      <c r="A6282" s="88"/>
      <c r="B6282" s="88"/>
      <c r="C6282" s="89"/>
      <c r="D6282" s="89"/>
      <c r="E6282" s="89"/>
      <c r="F6282" s="89"/>
      <c r="G6282" s="81"/>
      <c r="H6282" s="81"/>
      <c r="I6282" s="81"/>
      <c r="J6282" s="81"/>
      <c r="K6282" s="81"/>
      <c r="L6282" s="81"/>
      <c r="M6282" s="81"/>
      <c r="N6282" s="81"/>
    </row>
    <row r="6283" spans="1:14" ht="14.25" customHeight="1" x14ac:dyDescent="0.25">
      <c r="A6283" s="90" t="s">
        <v>47</v>
      </c>
      <c r="B6283" s="613" t="s">
        <v>315</v>
      </c>
      <c r="C6283" s="600"/>
      <c r="D6283" s="600"/>
      <c r="E6283" s="600"/>
      <c r="F6283" s="600"/>
      <c r="G6283" s="81"/>
      <c r="H6283" s="81"/>
      <c r="I6283" s="81"/>
      <c r="J6283" s="81"/>
      <c r="K6283" s="81"/>
      <c r="L6283" s="81"/>
      <c r="M6283" s="81"/>
      <c r="N6283" s="81"/>
    </row>
    <row r="6284" spans="1:14" ht="14.25" customHeight="1" x14ac:dyDescent="0.25">
      <c r="A6284" s="91"/>
      <c r="B6284" s="91"/>
      <c r="C6284" s="91"/>
      <c r="D6284" s="91"/>
      <c r="E6284" s="91"/>
      <c r="F6284" s="91"/>
      <c r="G6284" s="81"/>
      <c r="H6284" s="81"/>
      <c r="I6284" s="81"/>
      <c r="J6284" s="81"/>
      <c r="K6284" s="81"/>
      <c r="L6284" s="81"/>
      <c r="M6284" s="81"/>
      <c r="N6284" s="81"/>
    </row>
    <row r="6285" spans="1:14" ht="14.25" customHeight="1" x14ac:dyDescent="0.25">
      <c r="A6285" s="88" t="s">
        <v>49</v>
      </c>
      <c r="B6285" s="92" t="s">
        <v>56</v>
      </c>
      <c r="C6285" s="89"/>
      <c r="D6285" s="89"/>
      <c r="E6285" s="89"/>
      <c r="F6285" s="93"/>
      <c r="G6285" s="81"/>
      <c r="H6285" s="81"/>
      <c r="I6285" s="81"/>
      <c r="J6285" s="81"/>
      <c r="K6285" s="81"/>
      <c r="L6285" s="81"/>
      <c r="M6285" s="81"/>
      <c r="N6285" s="81"/>
    </row>
    <row r="6286" spans="1:14" ht="14.25" customHeight="1" x14ac:dyDescent="0.25">
      <c r="A6286" s="88"/>
      <c r="B6286" s="94"/>
      <c r="C6286" s="89"/>
      <c r="D6286" s="89"/>
      <c r="E6286" s="89"/>
      <c r="F6286" s="93"/>
      <c r="G6286" s="81"/>
      <c r="H6286" s="81"/>
      <c r="I6286" s="81"/>
      <c r="J6286" s="81"/>
      <c r="K6286" s="81"/>
      <c r="L6286" s="81"/>
      <c r="M6286" s="81"/>
      <c r="N6286" s="81"/>
    </row>
    <row r="6287" spans="1:14" ht="14.25" customHeight="1" x14ac:dyDescent="0.25">
      <c r="A6287" s="95" t="s">
        <v>562</v>
      </c>
      <c r="B6287" s="96"/>
      <c r="C6287" s="92"/>
      <c r="D6287" s="92"/>
      <c r="E6287" s="92"/>
      <c r="F6287" s="92"/>
      <c r="G6287" s="81"/>
      <c r="H6287" s="81"/>
      <c r="I6287" s="81"/>
      <c r="J6287" s="81"/>
      <c r="K6287" s="81"/>
      <c r="L6287" s="81"/>
      <c r="M6287" s="81"/>
      <c r="N6287" s="81"/>
    </row>
    <row r="6288" spans="1:14" ht="14.25" customHeight="1" x14ac:dyDescent="0.25">
      <c r="A6288" s="97" t="s">
        <v>563</v>
      </c>
      <c r="B6288" s="98" t="s">
        <v>564</v>
      </c>
      <c r="C6288" s="98" t="s">
        <v>565</v>
      </c>
      <c r="D6288" s="98" t="s">
        <v>566</v>
      </c>
      <c r="E6288" s="98" t="s">
        <v>567</v>
      </c>
      <c r="F6288" s="98" t="s">
        <v>568</v>
      </c>
      <c r="G6288" s="81"/>
      <c r="H6288" s="81"/>
      <c r="I6288" s="81"/>
      <c r="J6288" s="81"/>
      <c r="K6288" s="81"/>
      <c r="L6288" s="81"/>
      <c r="M6288" s="81"/>
      <c r="N6288" s="81"/>
    </row>
    <row r="6289" spans="1:14" ht="14.25" customHeight="1" x14ac:dyDescent="0.25">
      <c r="A6289" s="99" t="s">
        <v>549</v>
      </c>
      <c r="B6289" s="100" t="s">
        <v>56</v>
      </c>
      <c r="C6289" s="101">
        <v>70820</v>
      </c>
      <c r="D6289" s="149">
        <v>1</v>
      </c>
      <c r="E6289" s="102">
        <v>0.05</v>
      </c>
      <c r="F6289" s="101">
        <f t="shared" ref="F6289:F6295" si="301">C6289*(D6289+(D6289*E6289))</f>
        <v>74361</v>
      </c>
      <c r="G6289" s="81"/>
      <c r="H6289" s="81"/>
      <c r="I6289" s="81"/>
      <c r="J6289" s="81"/>
      <c r="K6289" s="81"/>
      <c r="L6289" s="81"/>
      <c r="M6289" s="81"/>
      <c r="N6289" s="81"/>
    </row>
    <row r="6290" spans="1:14" ht="14.25" customHeight="1" x14ac:dyDescent="0.25">
      <c r="A6290" s="99" t="s">
        <v>765</v>
      </c>
      <c r="B6290" s="100" t="s">
        <v>99</v>
      </c>
      <c r="C6290" s="101">
        <v>7050</v>
      </c>
      <c r="D6290" s="149">
        <v>3</v>
      </c>
      <c r="E6290" s="102">
        <v>0.05</v>
      </c>
      <c r="F6290" s="101">
        <f t="shared" si="301"/>
        <v>22207.5</v>
      </c>
      <c r="G6290" s="81"/>
      <c r="H6290" s="81"/>
      <c r="I6290" s="81"/>
      <c r="J6290" s="81"/>
      <c r="K6290" s="81"/>
      <c r="L6290" s="81"/>
      <c r="M6290" s="81"/>
      <c r="N6290" s="81"/>
    </row>
    <row r="6291" spans="1:14" ht="14.25" customHeight="1" x14ac:dyDescent="0.25">
      <c r="A6291" s="99" t="s">
        <v>641</v>
      </c>
      <c r="B6291" s="100" t="s">
        <v>64</v>
      </c>
      <c r="C6291" s="101">
        <v>441370</v>
      </c>
      <c r="D6291" s="149">
        <v>6.8000000000000005E-2</v>
      </c>
      <c r="E6291" s="102">
        <v>0.05</v>
      </c>
      <c r="F6291" s="101">
        <f t="shared" si="301"/>
        <v>31513.818000000003</v>
      </c>
      <c r="G6291" s="81"/>
      <c r="H6291" s="81"/>
      <c r="I6291" s="81"/>
      <c r="J6291" s="81"/>
      <c r="K6291" s="81"/>
      <c r="L6291" s="81"/>
      <c r="M6291" s="81"/>
      <c r="N6291" s="81"/>
    </row>
    <row r="6292" spans="1:14" ht="14.25" customHeight="1" x14ac:dyDescent="0.25">
      <c r="A6292" s="99" t="s">
        <v>646</v>
      </c>
      <c r="B6292" s="100" t="s">
        <v>64</v>
      </c>
      <c r="C6292" s="101">
        <v>45000</v>
      </c>
      <c r="D6292" s="149">
        <v>0.28000000000000003</v>
      </c>
      <c r="E6292" s="102"/>
      <c r="F6292" s="101">
        <f t="shared" si="301"/>
        <v>12600.000000000002</v>
      </c>
      <c r="G6292" s="81"/>
      <c r="H6292" s="81"/>
      <c r="I6292" s="81"/>
      <c r="J6292" s="81"/>
      <c r="K6292" s="81"/>
      <c r="L6292" s="81"/>
      <c r="M6292" s="81"/>
      <c r="N6292" s="81"/>
    </row>
    <row r="6293" spans="1:14" ht="14.25" customHeight="1" x14ac:dyDescent="0.25">
      <c r="A6293" s="99" t="s">
        <v>119</v>
      </c>
      <c r="B6293" s="100" t="s">
        <v>117</v>
      </c>
      <c r="C6293" s="101">
        <v>4300</v>
      </c>
      <c r="D6293" s="104">
        <v>17</v>
      </c>
      <c r="E6293" s="102">
        <v>0.05</v>
      </c>
      <c r="F6293" s="101">
        <f t="shared" si="301"/>
        <v>76755</v>
      </c>
      <c r="G6293" s="81"/>
      <c r="H6293" s="81"/>
      <c r="I6293" s="81"/>
      <c r="J6293" s="81"/>
      <c r="K6293" s="81"/>
      <c r="L6293" s="81"/>
      <c r="M6293" s="81"/>
      <c r="N6293" s="81"/>
    </row>
    <row r="6294" spans="1:14" ht="14.25" customHeight="1" x14ac:dyDescent="0.25">
      <c r="A6294" s="99" t="s">
        <v>645</v>
      </c>
      <c r="B6294" s="100" t="s">
        <v>117</v>
      </c>
      <c r="C6294" s="101">
        <v>4700</v>
      </c>
      <c r="D6294" s="149">
        <v>0.7</v>
      </c>
      <c r="E6294" s="102">
        <v>0.05</v>
      </c>
      <c r="F6294" s="101">
        <f t="shared" si="301"/>
        <v>3454.5</v>
      </c>
      <c r="G6294" s="81"/>
      <c r="H6294" s="81"/>
      <c r="I6294" s="81"/>
      <c r="J6294" s="81"/>
      <c r="K6294" s="81"/>
      <c r="L6294" s="81"/>
      <c r="M6294" s="81"/>
      <c r="N6294" s="81"/>
    </row>
    <row r="6295" spans="1:14" ht="14.25" customHeight="1" x14ac:dyDescent="0.25">
      <c r="A6295" s="99" t="s">
        <v>662</v>
      </c>
      <c r="B6295" s="100" t="s">
        <v>64</v>
      </c>
      <c r="C6295" s="101">
        <v>373380</v>
      </c>
      <c r="D6295" s="149">
        <v>0.09</v>
      </c>
      <c r="E6295" s="102">
        <v>0.05</v>
      </c>
      <c r="F6295" s="101">
        <f t="shared" si="301"/>
        <v>35284.410000000003</v>
      </c>
      <c r="G6295" s="81"/>
      <c r="H6295" s="81"/>
      <c r="I6295" s="81"/>
      <c r="J6295" s="81"/>
      <c r="K6295" s="81"/>
      <c r="L6295" s="81"/>
      <c r="M6295" s="81"/>
      <c r="N6295" s="81"/>
    </row>
    <row r="6296" spans="1:14" ht="14.25" customHeight="1" x14ac:dyDescent="0.25">
      <c r="A6296" s="99"/>
      <c r="B6296" s="100"/>
      <c r="C6296" s="101"/>
      <c r="D6296" s="104"/>
      <c r="E6296" s="102"/>
      <c r="F6296" s="101"/>
      <c r="G6296" s="81"/>
      <c r="H6296" s="81"/>
      <c r="I6296" s="81"/>
      <c r="J6296" s="81"/>
      <c r="K6296" s="81"/>
      <c r="L6296" s="81"/>
      <c r="M6296" s="81"/>
      <c r="N6296" s="81"/>
    </row>
    <row r="6297" spans="1:14" ht="14.25" customHeight="1" x14ac:dyDescent="0.25">
      <c r="A6297" s="99"/>
      <c r="B6297" s="100"/>
      <c r="C6297" s="106"/>
      <c r="D6297" s="107"/>
      <c r="E6297" s="108"/>
      <c r="F6297" s="106"/>
      <c r="G6297" s="81"/>
      <c r="H6297" s="81"/>
      <c r="I6297" s="81"/>
      <c r="J6297" s="81"/>
      <c r="K6297" s="81"/>
      <c r="L6297" s="81"/>
      <c r="M6297" s="81"/>
      <c r="N6297" s="81"/>
    </row>
    <row r="6298" spans="1:14" ht="14.25" customHeight="1" x14ac:dyDescent="0.25">
      <c r="A6298" s="97" t="s">
        <v>548</v>
      </c>
      <c r="B6298" s="97"/>
      <c r="C6298" s="109"/>
      <c r="D6298" s="110"/>
      <c r="E6298" s="111"/>
      <c r="F6298" s="112">
        <f>SUM(F6289:F6297)</f>
        <v>256176.228</v>
      </c>
      <c r="G6298" s="81"/>
      <c r="H6298" s="81"/>
      <c r="I6298" s="81"/>
      <c r="J6298" s="81"/>
      <c r="K6298" s="81"/>
      <c r="L6298" s="81"/>
      <c r="M6298" s="81"/>
      <c r="N6298" s="81"/>
    </row>
    <row r="6299" spans="1:14" ht="14.25" customHeight="1" x14ac:dyDescent="0.25">
      <c r="A6299" s="88"/>
      <c r="B6299" s="88"/>
      <c r="C6299" s="113"/>
      <c r="D6299" s="113"/>
      <c r="E6299" s="114"/>
      <c r="F6299" s="113"/>
      <c r="G6299" s="81"/>
      <c r="H6299" s="81"/>
      <c r="I6299" s="81"/>
      <c r="J6299" s="81"/>
      <c r="K6299" s="81"/>
      <c r="L6299" s="81"/>
      <c r="M6299" s="81"/>
      <c r="N6299" s="81"/>
    </row>
    <row r="6300" spans="1:14" ht="14.25" customHeight="1" x14ac:dyDescent="0.25">
      <c r="A6300" s="96" t="s">
        <v>573</v>
      </c>
      <c r="B6300" s="96"/>
      <c r="C6300" s="92"/>
      <c r="D6300" s="92"/>
      <c r="E6300" s="92"/>
      <c r="F6300" s="92"/>
      <c r="G6300" s="81"/>
      <c r="H6300" s="81"/>
      <c r="I6300" s="81"/>
      <c r="J6300" s="81"/>
      <c r="K6300" s="81"/>
      <c r="L6300" s="81"/>
      <c r="M6300" s="81"/>
      <c r="N6300" s="81"/>
    </row>
    <row r="6301" spans="1:14" ht="14.25" customHeight="1" x14ac:dyDescent="0.25">
      <c r="A6301" s="611" t="s">
        <v>563</v>
      </c>
      <c r="B6301" s="608"/>
      <c r="C6301" s="609"/>
      <c r="D6301" s="98" t="s">
        <v>574</v>
      </c>
      <c r="E6301" s="98" t="s">
        <v>575</v>
      </c>
      <c r="F6301" s="98" t="s">
        <v>568</v>
      </c>
      <c r="G6301" s="81"/>
      <c r="H6301" s="81"/>
      <c r="I6301" s="81"/>
      <c r="J6301" s="81"/>
      <c r="K6301" s="81"/>
      <c r="L6301" s="81"/>
      <c r="M6301" s="81"/>
      <c r="N6301" s="81"/>
    </row>
    <row r="6302" spans="1:14" ht="14.25" customHeight="1" x14ac:dyDescent="0.25">
      <c r="A6302" s="607" t="s">
        <v>577</v>
      </c>
      <c r="B6302" s="608"/>
      <c r="C6302" s="609"/>
      <c r="D6302" s="116"/>
      <c r="E6302" s="107"/>
      <c r="F6302" s="106">
        <f>+F6317*5%</f>
        <v>4879.7345997103494</v>
      </c>
      <c r="G6302" s="81"/>
      <c r="H6302" s="81"/>
      <c r="I6302" s="81"/>
      <c r="J6302" s="81"/>
      <c r="K6302" s="81"/>
      <c r="L6302" s="81"/>
      <c r="M6302" s="81"/>
      <c r="N6302" s="81"/>
    </row>
    <row r="6303" spans="1:14" ht="14.25" customHeight="1" x14ac:dyDescent="0.25">
      <c r="A6303" s="607" t="s">
        <v>642</v>
      </c>
      <c r="B6303" s="608"/>
      <c r="C6303" s="609"/>
      <c r="D6303" s="142">
        <v>8750</v>
      </c>
      <c r="E6303" s="105">
        <v>1.5</v>
      </c>
      <c r="F6303" s="106">
        <f t="shared" ref="F6303:F6305" si="302">D6303/E6303</f>
        <v>5833.333333333333</v>
      </c>
      <c r="G6303" s="81"/>
      <c r="H6303" s="81"/>
      <c r="I6303" s="81"/>
      <c r="J6303" s="81"/>
      <c r="K6303" s="81"/>
      <c r="L6303" s="81"/>
      <c r="M6303" s="81"/>
      <c r="N6303" s="81"/>
    </row>
    <row r="6304" spans="1:14" ht="14.25" customHeight="1" x14ac:dyDescent="0.25">
      <c r="A6304" s="607" t="s">
        <v>643</v>
      </c>
      <c r="B6304" s="608"/>
      <c r="C6304" s="609"/>
      <c r="D6304" s="142">
        <v>12350</v>
      </c>
      <c r="E6304" s="105">
        <v>0.4</v>
      </c>
      <c r="F6304" s="106">
        <f t="shared" si="302"/>
        <v>30875</v>
      </c>
      <c r="G6304" s="81"/>
      <c r="H6304" s="81"/>
      <c r="I6304" s="81"/>
      <c r="J6304" s="81"/>
      <c r="K6304" s="81"/>
      <c r="L6304" s="81"/>
      <c r="M6304" s="81"/>
      <c r="N6304" s="81"/>
    </row>
    <row r="6305" spans="1:14" ht="14.25" customHeight="1" x14ac:dyDescent="0.25">
      <c r="A6305" s="607" t="s">
        <v>657</v>
      </c>
      <c r="B6305" s="608"/>
      <c r="C6305" s="609"/>
      <c r="D6305" s="142">
        <v>1850</v>
      </c>
      <c r="E6305" s="105">
        <v>7.0000000000000007E-2</v>
      </c>
      <c r="F6305" s="106">
        <f t="shared" si="302"/>
        <v>26428.571428571428</v>
      </c>
      <c r="G6305" s="81"/>
      <c r="H6305" s="81"/>
      <c r="I6305" s="81"/>
      <c r="J6305" s="81"/>
      <c r="K6305" s="81"/>
      <c r="L6305" s="81"/>
      <c r="M6305" s="81"/>
      <c r="N6305" s="81"/>
    </row>
    <row r="6306" spans="1:14" ht="14.25" customHeight="1" x14ac:dyDescent="0.25">
      <c r="A6306" s="607"/>
      <c r="B6306" s="608"/>
      <c r="C6306" s="609"/>
      <c r="D6306" s="142"/>
      <c r="E6306" s="107"/>
      <c r="F6306" s="106"/>
      <c r="G6306" s="81"/>
      <c r="H6306" s="81"/>
      <c r="I6306" s="81"/>
      <c r="J6306" s="81"/>
      <c r="K6306" s="81"/>
      <c r="L6306" s="81"/>
      <c r="M6306" s="81"/>
      <c r="N6306" s="81"/>
    </row>
    <row r="6307" spans="1:14" ht="14.25" customHeight="1" x14ac:dyDescent="0.25">
      <c r="A6307" s="607"/>
      <c r="B6307" s="608"/>
      <c r="C6307" s="609"/>
      <c r="D6307" s="142"/>
      <c r="E6307" s="105"/>
      <c r="F6307" s="106"/>
      <c r="G6307" s="81"/>
      <c r="H6307" s="81"/>
      <c r="I6307" s="81"/>
      <c r="J6307" s="81"/>
      <c r="K6307" s="81"/>
      <c r="L6307" s="81"/>
      <c r="M6307" s="81"/>
      <c r="N6307" s="81"/>
    </row>
    <row r="6308" spans="1:14" ht="14.25" customHeight="1" x14ac:dyDescent="0.25">
      <c r="A6308" s="610"/>
      <c r="B6308" s="608"/>
      <c r="C6308" s="609"/>
      <c r="D6308" s="115"/>
      <c r="E6308" s="107"/>
      <c r="F6308" s="106"/>
      <c r="G6308" s="81"/>
      <c r="H6308" s="81"/>
      <c r="I6308" s="81"/>
      <c r="J6308" s="81"/>
      <c r="K6308" s="81"/>
      <c r="L6308" s="81"/>
      <c r="M6308" s="81"/>
      <c r="N6308" s="81"/>
    </row>
    <row r="6309" spans="1:14" ht="14.25" customHeight="1" x14ac:dyDescent="0.25">
      <c r="A6309" s="611" t="s">
        <v>548</v>
      </c>
      <c r="B6309" s="608"/>
      <c r="C6309" s="609"/>
      <c r="D6309" s="110"/>
      <c r="E6309" s="110"/>
      <c r="F6309" s="112">
        <f>SUM(F6302:F6308)</f>
        <v>68016.639361615118</v>
      </c>
      <c r="G6309" s="81"/>
      <c r="H6309" s="81"/>
      <c r="I6309" s="81"/>
      <c r="J6309" s="81"/>
      <c r="K6309" s="81"/>
      <c r="L6309" s="81"/>
      <c r="M6309" s="81"/>
      <c r="N6309" s="81"/>
    </row>
    <row r="6310" spans="1:14" ht="14.25" customHeight="1" x14ac:dyDescent="0.25">
      <c r="A6310" s="88"/>
      <c r="B6310" s="88"/>
      <c r="C6310" s="89"/>
      <c r="D6310" s="113"/>
      <c r="E6310" s="113"/>
      <c r="F6310" s="113"/>
      <c r="G6310" s="81"/>
      <c r="H6310" s="81"/>
      <c r="I6310" s="81"/>
      <c r="J6310" s="81"/>
      <c r="K6310" s="81"/>
      <c r="L6310" s="81"/>
      <c r="M6310" s="81"/>
      <c r="N6310" s="81"/>
    </row>
    <row r="6311" spans="1:14" ht="14.25" customHeight="1" x14ac:dyDescent="0.25">
      <c r="A6311" s="96" t="s">
        <v>578</v>
      </c>
      <c r="B6311" s="96"/>
      <c r="C6311" s="92"/>
      <c r="D6311" s="118"/>
      <c r="E6311" s="118"/>
      <c r="F6311" s="118"/>
      <c r="G6311" s="81"/>
      <c r="H6311" s="81"/>
      <c r="I6311" s="81"/>
      <c r="J6311" s="81"/>
      <c r="K6311" s="81"/>
      <c r="L6311" s="81"/>
      <c r="M6311" s="81"/>
      <c r="N6311" s="81"/>
    </row>
    <row r="6312" spans="1:14" ht="14.25" customHeight="1" x14ac:dyDescent="0.25">
      <c r="A6312" s="119" t="s">
        <v>563</v>
      </c>
      <c r="B6312" s="120" t="s">
        <v>579</v>
      </c>
      <c r="C6312" s="120" t="s">
        <v>580</v>
      </c>
      <c r="D6312" s="121" t="s">
        <v>581</v>
      </c>
      <c r="E6312" s="121" t="s">
        <v>575</v>
      </c>
      <c r="F6312" s="121" t="s">
        <v>568</v>
      </c>
      <c r="G6312" s="81"/>
      <c r="H6312" s="81"/>
      <c r="I6312" s="81"/>
      <c r="J6312" s="81"/>
      <c r="K6312" s="81"/>
      <c r="L6312" s="81"/>
      <c r="M6312" s="81"/>
      <c r="N6312" s="81"/>
    </row>
    <row r="6313" spans="1:14" ht="15.75" x14ac:dyDescent="0.25">
      <c r="A6313" s="122" t="s">
        <v>593</v>
      </c>
      <c r="B6313" s="127">
        <v>1</v>
      </c>
      <c r="C6313" s="101">
        <v>32688</v>
      </c>
      <c r="D6313" s="101">
        <f t="shared" ref="D6313:D6314" si="303">+C6313*1.7</f>
        <v>55569.599999999999</v>
      </c>
      <c r="E6313" s="105">
        <v>1.48455</v>
      </c>
      <c r="F6313" s="106">
        <f t="shared" ref="F6313:F6314" si="304">+B6313*(D6313)/E6313</f>
        <v>37431.949075477416</v>
      </c>
      <c r="G6313" s="81"/>
      <c r="H6313" s="81"/>
      <c r="I6313" s="81"/>
      <c r="J6313" s="81"/>
      <c r="K6313" s="81"/>
      <c r="L6313" s="81"/>
      <c r="M6313" s="81"/>
      <c r="N6313" s="81"/>
    </row>
    <row r="6314" spans="1:14" ht="14.25" customHeight="1" x14ac:dyDescent="0.25">
      <c r="A6314" s="122" t="s">
        <v>594</v>
      </c>
      <c r="B6314" s="127">
        <v>1</v>
      </c>
      <c r="C6314" s="101">
        <v>52538</v>
      </c>
      <c r="D6314" s="101">
        <f t="shared" si="303"/>
        <v>89314.599999999991</v>
      </c>
      <c r="E6314" s="105">
        <f>E6313</f>
        <v>1.48455</v>
      </c>
      <c r="F6314" s="106">
        <f t="shared" si="304"/>
        <v>60162.742918729571</v>
      </c>
      <c r="G6314" s="81"/>
      <c r="H6314" s="81"/>
      <c r="I6314" s="81"/>
      <c r="J6314" s="81"/>
      <c r="K6314" s="81"/>
      <c r="L6314" s="81"/>
      <c r="M6314" s="81"/>
      <c r="N6314" s="81"/>
    </row>
    <row r="6315" spans="1:14" ht="14.25" customHeight="1" x14ac:dyDescent="0.25">
      <c r="A6315" s="122"/>
      <c r="B6315" s="127"/>
      <c r="C6315" s="101"/>
      <c r="D6315" s="101"/>
      <c r="E6315" s="107"/>
      <c r="F6315" s="106"/>
      <c r="G6315" s="81"/>
      <c r="H6315" s="81"/>
      <c r="I6315" s="81"/>
      <c r="J6315" s="81"/>
      <c r="K6315" s="81"/>
      <c r="L6315" s="81"/>
      <c r="M6315" s="81"/>
      <c r="N6315" s="81"/>
    </row>
    <row r="6316" spans="1:14" ht="14.25" customHeight="1" x14ac:dyDescent="0.25">
      <c r="A6316" s="122"/>
      <c r="B6316" s="127"/>
      <c r="C6316" s="101"/>
      <c r="D6316" s="101"/>
      <c r="E6316" s="125"/>
      <c r="F6316" s="106"/>
      <c r="G6316" s="81"/>
      <c r="H6316" s="81"/>
      <c r="I6316" s="81"/>
      <c r="J6316" s="81"/>
      <c r="K6316" s="81"/>
      <c r="L6316" s="81"/>
      <c r="M6316" s="81"/>
      <c r="N6316" s="81"/>
    </row>
    <row r="6317" spans="1:14" ht="14.25" customHeight="1" x14ac:dyDescent="0.25">
      <c r="A6317" s="97" t="s">
        <v>548</v>
      </c>
      <c r="B6317" s="128"/>
      <c r="C6317" s="110"/>
      <c r="D6317" s="110"/>
      <c r="E6317" s="110"/>
      <c r="F6317" s="112">
        <f>SUM(F6313:F6316)</f>
        <v>97594.69199420698</v>
      </c>
      <c r="G6317" s="81"/>
      <c r="H6317" s="81"/>
      <c r="I6317" s="81"/>
      <c r="J6317" s="81"/>
      <c r="K6317" s="81"/>
      <c r="L6317" s="81"/>
      <c r="M6317" s="81"/>
      <c r="N6317" s="81"/>
    </row>
    <row r="6318" spans="1:14" ht="14.25" customHeight="1" x14ac:dyDescent="0.25">
      <c r="A6318" s="96"/>
      <c r="B6318" s="129"/>
      <c r="C6318" s="118"/>
      <c r="D6318" s="118"/>
      <c r="E6318" s="118"/>
      <c r="F6318" s="118"/>
      <c r="G6318" s="81"/>
      <c r="H6318" s="81"/>
      <c r="I6318" s="81"/>
      <c r="J6318" s="81"/>
      <c r="K6318" s="81"/>
      <c r="L6318" s="81"/>
      <c r="M6318" s="81"/>
      <c r="N6318" s="81"/>
    </row>
    <row r="6319" spans="1:14" ht="14.25" customHeight="1" x14ac:dyDescent="0.25">
      <c r="A6319" s="95" t="s">
        <v>583</v>
      </c>
      <c r="B6319" s="96"/>
      <c r="C6319" s="92"/>
      <c r="D6319" s="92"/>
      <c r="E6319" s="92" t="s">
        <v>584</v>
      </c>
      <c r="F6319" s="92"/>
      <c r="G6319" s="81"/>
      <c r="H6319" s="117"/>
      <c r="I6319" s="81"/>
      <c r="J6319" s="81"/>
      <c r="K6319" s="81"/>
      <c r="L6319" s="81"/>
      <c r="M6319" s="81"/>
      <c r="N6319" s="81"/>
    </row>
    <row r="6320" spans="1:14" ht="14.25" customHeight="1" x14ac:dyDescent="0.25">
      <c r="A6320" s="97" t="s">
        <v>563</v>
      </c>
      <c r="B6320" s="98" t="s">
        <v>564</v>
      </c>
      <c r="C6320" s="98" t="s">
        <v>585</v>
      </c>
      <c r="D6320" s="98" t="s">
        <v>586</v>
      </c>
      <c r="E6320" s="120" t="s">
        <v>587</v>
      </c>
      <c r="F6320" s="98" t="s">
        <v>568</v>
      </c>
      <c r="G6320" s="81"/>
      <c r="H6320" s="81"/>
      <c r="I6320" s="81"/>
      <c r="J6320" s="81"/>
      <c r="K6320" s="81"/>
      <c r="L6320" s="81"/>
      <c r="M6320" s="81"/>
      <c r="N6320" s="81"/>
    </row>
    <row r="6321" spans="1:14" ht="14.25" customHeight="1" x14ac:dyDescent="0.25">
      <c r="A6321" s="103" t="s">
        <v>604</v>
      </c>
      <c r="B6321" s="100" t="s">
        <v>605</v>
      </c>
      <c r="C6321" s="101">
        <v>1000</v>
      </c>
      <c r="D6321" s="140">
        <v>5.6</v>
      </c>
      <c r="E6321" s="107">
        <v>1.27542</v>
      </c>
      <c r="F6321" s="109">
        <f>+C6321*D6321*E6321</f>
        <v>7142.3519999999999</v>
      </c>
      <c r="G6321" s="81"/>
      <c r="H6321" s="81"/>
      <c r="I6321" s="81"/>
      <c r="J6321" s="81"/>
      <c r="K6321" s="81"/>
      <c r="L6321" s="81"/>
      <c r="M6321" s="81"/>
      <c r="N6321" s="81"/>
    </row>
    <row r="6322" spans="1:14" ht="14.25" customHeight="1" x14ac:dyDescent="0.25">
      <c r="A6322" s="103"/>
      <c r="B6322" s="100"/>
      <c r="C6322" s="107"/>
      <c r="D6322" s="107"/>
      <c r="E6322" s="108"/>
      <c r="F6322" s="109"/>
      <c r="G6322" s="81"/>
      <c r="H6322" s="81"/>
      <c r="I6322" s="81"/>
      <c r="J6322" s="81"/>
      <c r="K6322" s="81"/>
      <c r="L6322" s="81"/>
      <c r="M6322" s="81"/>
      <c r="N6322" s="81"/>
    </row>
    <row r="6323" spans="1:14" ht="14.25" customHeight="1" x14ac:dyDescent="0.25">
      <c r="A6323" s="97" t="s">
        <v>548</v>
      </c>
      <c r="B6323" s="98"/>
      <c r="C6323" s="110"/>
      <c r="D6323" s="110"/>
      <c r="E6323" s="111"/>
      <c r="F6323" s="112">
        <f>SUM(F6321:F6322)</f>
        <v>7142.3519999999999</v>
      </c>
      <c r="G6323" s="81"/>
      <c r="H6323" s="143"/>
      <c r="I6323" s="81"/>
      <c r="J6323" s="81"/>
      <c r="K6323" s="81"/>
      <c r="L6323" s="81"/>
      <c r="M6323" s="81"/>
      <c r="N6323" s="81"/>
    </row>
    <row r="6324" spans="1:14" ht="14.25" customHeight="1" x14ac:dyDescent="0.25">
      <c r="A6324" s="88"/>
      <c r="B6324" s="89"/>
      <c r="C6324" s="113"/>
      <c r="D6324" s="113"/>
      <c r="E6324" s="114"/>
      <c r="F6324" s="113"/>
      <c r="G6324" s="81"/>
      <c r="H6324" s="81"/>
      <c r="I6324" s="81"/>
      <c r="J6324" s="81"/>
      <c r="K6324" s="81"/>
      <c r="L6324" s="81"/>
      <c r="M6324" s="81"/>
      <c r="N6324" s="81"/>
    </row>
    <row r="6325" spans="1:14" ht="14.25" customHeight="1" x14ac:dyDescent="0.25">
      <c r="A6325" s="88"/>
      <c r="B6325" s="89"/>
      <c r="C6325" s="113"/>
      <c r="D6325" s="113"/>
      <c r="E6325" s="114"/>
      <c r="F6325" s="113"/>
      <c r="G6325" s="81"/>
      <c r="H6325" s="81"/>
      <c r="I6325" s="81"/>
      <c r="J6325" s="81"/>
      <c r="K6325" s="81"/>
      <c r="L6325" s="81"/>
      <c r="M6325" s="81"/>
      <c r="N6325" s="81"/>
    </row>
    <row r="6326" spans="1:14" ht="14.25" customHeight="1" x14ac:dyDescent="0.25">
      <c r="A6326" s="612" t="s">
        <v>588</v>
      </c>
      <c r="B6326" s="608"/>
      <c r="C6326" s="608"/>
      <c r="D6326" s="608"/>
      <c r="E6326" s="609"/>
      <c r="F6326" s="131">
        <f>ROUND(F6298+F6309+F6317+F6323,0)</f>
        <v>428930</v>
      </c>
      <c r="G6326" s="81"/>
      <c r="H6326" s="81"/>
      <c r="I6326" s="81"/>
      <c r="J6326" s="81"/>
      <c r="K6326" s="81"/>
      <c r="L6326" s="81"/>
      <c r="M6326" s="81"/>
      <c r="N6326" s="81"/>
    </row>
    <row r="6327" spans="1:14" ht="14.25" customHeight="1" x14ac:dyDescent="0.25">
      <c r="A6327" s="612" t="s">
        <v>589</v>
      </c>
      <c r="B6327" s="608"/>
      <c r="C6327" s="608"/>
      <c r="D6327" s="608"/>
      <c r="E6327" s="609"/>
      <c r="F6327" s="132"/>
      <c r="G6327" s="81"/>
      <c r="H6327" s="81"/>
      <c r="I6327" s="81"/>
      <c r="J6327" s="81"/>
      <c r="K6327" s="81"/>
      <c r="L6327" s="81"/>
      <c r="M6327" s="81"/>
      <c r="N6327" s="81"/>
    </row>
    <row r="6328" spans="1:14" ht="14.25" customHeight="1" x14ac:dyDescent="0.25">
      <c r="A6328" s="612" t="s">
        <v>556</v>
      </c>
      <c r="B6328" s="608"/>
      <c r="C6328" s="608"/>
      <c r="D6328" s="608"/>
      <c r="E6328" s="609"/>
      <c r="F6328" s="133"/>
      <c r="G6328" s="81"/>
      <c r="H6328" s="81"/>
      <c r="I6328" s="81"/>
      <c r="J6328" s="81"/>
      <c r="K6328" s="81"/>
      <c r="L6328" s="81"/>
      <c r="M6328" s="81"/>
      <c r="N6328" s="81"/>
    </row>
    <row r="6329" spans="1:14" ht="14.25" customHeight="1" x14ac:dyDescent="0.25">
      <c r="A6329" s="134"/>
      <c r="B6329" s="135"/>
      <c r="C6329" s="135"/>
      <c r="D6329" s="135"/>
      <c r="E6329" s="135"/>
      <c r="F6329" s="136"/>
      <c r="G6329" s="81"/>
      <c r="H6329" s="81"/>
      <c r="I6329" s="81"/>
      <c r="J6329" s="81"/>
      <c r="K6329" s="81"/>
      <c r="L6329" s="81"/>
      <c r="M6329" s="81"/>
      <c r="N6329" s="81"/>
    </row>
    <row r="6330" spans="1:14" ht="14.25" customHeight="1" x14ac:dyDescent="0.25">
      <c r="A6330" s="134"/>
      <c r="B6330" s="135"/>
      <c r="C6330" s="135"/>
      <c r="D6330" s="135"/>
      <c r="E6330" s="135"/>
      <c r="F6330" s="136"/>
      <c r="G6330" s="81"/>
      <c r="H6330" s="81"/>
      <c r="I6330" s="81"/>
      <c r="J6330" s="81"/>
      <c r="K6330" s="81"/>
      <c r="L6330" s="81"/>
      <c r="M6330" s="81"/>
      <c r="N6330" s="81"/>
    </row>
    <row r="6331" spans="1:14" ht="14.25" customHeight="1" x14ac:dyDescent="0.25">
      <c r="A6331" s="134"/>
      <c r="B6331" s="135"/>
      <c r="C6331" s="135"/>
      <c r="D6331" s="135"/>
      <c r="E6331" s="135"/>
      <c r="F6331" s="136"/>
      <c r="G6331" s="81"/>
      <c r="H6331" s="81"/>
      <c r="I6331" s="81"/>
      <c r="J6331" s="81"/>
      <c r="K6331" s="81"/>
      <c r="L6331" s="81"/>
      <c r="M6331" s="81"/>
      <c r="N6331" s="81"/>
    </row>
    <row r="6332" spans="1:14" ht="14.25" customHeight="1" x14ac:dyDescent="0.25">
      <c r="A6332" s="134"/>
      <c r="B6332" s="135"/>
      <c r="C6332" s="135"/>
      <c r="D6332" s="135"/>
      <c r="E6332" s="135"/>
      <c r="F6332" s="136"/>
      <c r="G6332" s="81"/>
      <c r="H6332" s="81"/>
      <c r="I6332" s="81"/>
      <c r="J6332" s="81"/>
      <c r="K6332" s="81"/>
      <c r="L6332" s="81"/>
      <c r="M6332" s="81"/>
      <c r="N6332" s="81"/>
    </row>
    <row r="6333" spans="1:14" ht="14.25" customHeight="1" x14ac:dyDescent="0.25">
      <c r="A6333" s="81"/>
      <c r="B6333" s="81"/>
      <c r="C6333" s="137"/>
      <c r="D6333" s="81"/>
      <c r="E6333" s="81"/>
      <c r="F6333" s="81"/>
      <c r="G6333" s="81"/>
      <c r="H6333" s="81"/>
      <c r="I6333" s="81"/>
      <c r="J6333" s="81"/>
      <c r="K6333" s="81"/>
      <c r="L6333" s="81"/>
      <c r="M6333" s="81"/>
      <c r="N6333" s="81"/>
    </row>
    <row r="6334" spans="1:14" ht="14.25" customHeight="1" x14ac:dyDescent="0.25">
      <c r="A6334" s="81"/>
      <c r="B6334" s="81"/>
      <c r="C6334" s="137"/>
      <c r="D6334" s="81"/>
      <c r="E6334" s="81"/>
      <c r="F6334" s="81"/>
      <c r="G6334" s="81"/>
      <c r="H6334" s="81"/>
      <c r="I6334" s="81"/>
      <c r="J6334" s="81"/>
      <c r="K6334" s="81"/>
      <c r="L6334" s="81"/>
      <c r="M6334" s="81"/>
      <c r="N6334" s="81"/>
    </row>
    <row r="6335" spans="1:14" ht="14.25" customHeight="1" x14ac:dyDescent="0.25">
      <c r="A6335" s="81"/>
      <c r="B6335" s="81"/>
      <c r="C6335" s="137"/>
      <c r="D6335" s="81"/>
      <c r="E6335" s="81"/>
      <c r="F6335" s="81"/>
      <c r="G6335" s="81"/>
      <c r="H6335" s="81"/>
      <c r="I6335" s="81"/>
      <c r="J6335" s="81"/>
      <c r="K6335" s="81"/>
      <c r="L6335" s="81"/>
      <c r="M6335" s="81"/>
      <c r="N6335" s="81"/>
    </row>
    <row r="6336" spans="1:14" ht="32.25" customHeight="1" x14ac:dyDescent="0.25">
      <c r="A6336" s="81"/>
      <c r="B6336" s="81"/>
      <c r="C6336" s="137"/>
      <c r="D6336" s="81"/>
      <c r="E6336" s="81"/>
      <c r="F6336" s="81"/>
      <c r="G6336" s="81"/>
      <c r="H6336" s="81"/>
      <c r="I6336" s="81"/>
      <c r="J6336" s="81"/>
      <c r="K6336" s="81"/>
      <c r="L6336" s="81"/>
      <c r="M6336" s="81"/>
      <c r="N6336" s="81"/>
    </row>
    <row r="6337" spans="1:14" ht="14.25" customHeight="1" thickBot="1" x14ac:dyDescent="0.3">
      <c r="A6337" s="81"/>
      <c r="B6337" s="81"/>
      <c r="C6337" s="81"/>
      <c r="D6337" s="81"/>
      <c r="E6337" s="81"/>
      <c r="F6337" s="81"/>
      <c r="G6337" s="81"/>
      <c r="H6337" s="81"/>
      <c r="I6337" s="81"/>
      <c r="J6337" s="81"/>
      <c r="K6337" s="81"/>
      <c r="L6337" s="81"/>
      <c r="M6337" s="81"/>
      <c r="N6337" s="81"/>
    </row>
    <row r="6338" spans="1:14" ht="14.25" customHeight="1" x14ac:dyDescent="0.25">
      <c r="A6338" s="83"/>
      <c r="B6338" s="84"/>
      <c r="C6338" s="85"/>
      <c r="D6338" s="86"/>
      <c r="E6338" s="86"/>
      <c r="F6338" s="87"/>
      <c r="G6338" s="81"/>
      <c r="H6338" s="81"/>
      <c r="I6338" s="81"/>
      <c r="J6338" s="81"/>
      <c r="K6338" s="81"/>
      <c r="L6338" s="81"/>
      <c r="M6338" s="81"/>
      <c r="N6338" s="81"/>
    </row>
    <row r="6339" spans="1:14" ht="14.25" customHeight="1" x14ac:dyDescent="0.25">
      <c r="A6339" s="599"/>
      <c r="B6339" s="600"/>
      <c r="C6339" s="600"/>
      <c r="D6339" s="600"/>
      <c r="E6339" s="600"/>
      <c r="F6339" s="601"/>
      <c r="G6339" s="81"/>
      <c r="H6339" s="81"/>
      <c r="I6339" s="81"/>
      <c r="J6339" s="81"/>
      <c r="K6339" s="81"/>
      <c r="L6339" s="81"/>
      <c r="M6339" s="81"/>
      <c r="N6339" s="81"/>
    </row>
    <row r="6340" spans="1:14" ht="14.25" customHeight="1" x14ac:dyDescent="0.25">
      <c r="A6340" s="602" t="s">
        <v>561</v>
      </c>
      <c r="B6340" s="600"/>
      <c r="C6340" s="600"/>
      <c r="D6340" s="600"/>
      <c r="E6340" s="600"/>
      <c r="F6340" s="601"/>
      <c r="G6340" s="81"/>
      <c r="H6340" s="81"/>
      <c r="I6340" s="81"/>
      <c r="J6340" s="81"/>
      <c r="K6340" s="81"/>
      <c r="L6340" s="81"/>
      <c r="M6340" s="81"/>
      <c r="N6340" s="81"/>
    </row>
    <row r="6341" spans="1:14" ht="14.25" customHeight="1" thickBot="1" x14ac:dyDescent="0.3">
      <c r="A6341" s="603"/>
      <c r="B6341" s="604"/>
      <c r="C6341" s="604"/>
      <c r="D6341" s="604"/>
      <c r="E6341" s="604"/>
      <c r="F6341" s="605"/>
      <c r="G6341" s="81"/>
      <c r="H6341" s="81"/>
      <c r="I6341" s="81"/>
      <c r="J6341" s="81"/>
      <c r="K6341" s="81"/>
      <c r="L6341" s="81"/>
      <c r="M6341" s="81"/>
      <c r="N6341" s="81"/>
    </row>
    <row r="6342" spans="1:14" ht="14.25" customHeight="1" x14ac:dyDescent="0.25">
      <c r="A6342" s="88"/>
      <c r="B6342" s="88"/>
      <c r="C6342" s="89"/>
      <c r="D6342" s="89"/>
      <c r="E6342" s="89"/>
      <c r="F6342" s="89"/>
      <c r="G6342" s="81"/>
      <c r="H6342" s="81"/>
      <c r="I6342" s="81"/>
      <c r="J6342" s="81"/>
      <c r="K6342" s="81"/>
      <c r="L6342" s="81"/>
      <c r="M6342" s="81"/>
      <c r="N6342" s="81"/>
    </row>
    <row r="6343" spans="1:14" ht="14.25" customHeight="1" x14ac:dyDescent="0.25">
      <c r="A6343" s="90" t="s">
        <v>47</v>
      </c>
      <c r="B6343" s="613" t="s">
        <v>1407</v>
      </c>
      <c r="C6343" s="600"/>
      <c r="D6343" s="600"/>
      <c r="E6343" s="600"/>
      <c r="F6343" s="600"/>
      <c r="G6343" s="81"/>
      <c r="H6343" s="81"/>
      <c r="I6343" s="81"/>
      <c r="J6343" s="81"/>
      <c r="K6343" s="81"/>
      <c r="L6343" s="81"/>
      <c r="M6343" s="81"/>
      <c r="N6343" s="81"/>
    </row>
    <row r="6344" spans="1:14" ht="14.25" customHeight="1" x14ac:dyDescent="0.25">
      <c r="A6344" s="91"/>
      <c r="B6344" s="91"/>
      <c r="C6344" s="91"/>
      <c r="D6344" s="91"/>
      <c r="E6344" s="91"/>
      <c r="F6344" s="91"/>
      <c r="G6344" s="81"/>
      <c r="H6344" s="81"/>
      <c r="I6344" s="81"/>
      <c r="J6344" s="81"/>
      <c r="K6344" s="81"/>
      <c r="L6344" s="81"/>
      <c r="M6344" s="81"/>
      <c r="N6344" s="81"/>
    </row>
    <row r="6345" spans="1:14" ht="14.25" customHeight="1" x14ac:dyDescent="0.25">
      <c r="A6345" s="88" t="s">
        <v>49</v>
      </c>
      <c r="B6345" s="92" t="s">
        <v>99</v>
      </c>
      <c r="C6345" s="89"/>
      <c r="D6345" s="89"/>
      <c r="E6345" s="89"/>
      <c r="F6345" s="93"/>
      <c r="G6345" s="81"/>
      <c r="H6345" s="81"/>
      <c r="I6345" s="81"/>
      <c r="J6345" s="81"/>
      <c r="K6345" s="81"/>
      <c r="L6345" s="81"/>
      <c r="M6345" s="81"/>
      <c r="N6345" s="81"/>
    </row>
    <row r="6346" spans="1:14" ht="14.25" customHeight="1" x14ac:dyDescent="0.25">
      <c r="A6346" s="88"/>
      <c r="B6346" s="94"/>
      <c r="C6346" s="89"/>
      <c r="D6346" s="89"/>
      <c r="E6346" s="89"/>
      <c r="F6346" s="93"/>
      <c r="G6346" s="81"/>
      <c r="H6346" s="81"/>
      <c r="I6346" s="81"/>
      <c r="J6346" s="81"/>
      <c r="K6346" s="81"/>
      <c r="L6346" s="81"/>
      <c r="M6346" s="81"/>
      <c r="N6346" s="81"/>
    </row>
    <row r="6347" spans="1:14" ht="14.25" customHeight="1" x14ac:dyDescent="0.25">
      <c r="A6347" s="95" t="s">
        <v>562</v>
      </c>
      <c r="B6347" s="96"/>
      <c r="C6347" s="92"/>
      <c r="D6347" s="92"/>
      <c r="E6347" s="92"/>
      <c r="F6347" s="92"/>
      <c r="G6347" s="81"/>
      <c r="H6347" s="81"/>
      <c r="I6347" s="81"/>
      <c r="J6347" s="81"/>
      <c r="K6347" s="81"/>
      <c r="L6347" s="81"/>
      <c r="M6347" s="81"/>
      <c r="N6347" s="81"/>
    </row>
    <row r="6348" spans="1:14" ht="14.25" customHeight="1" x14ac:dyDescent="0.25">
      <c r="A6348" s="97" t="s">
        <v>563</v>
      </c>
      <c r="B6348" s="98" t="s">
        <v>564</v>
      </c>
      <c r="C6348" s="98" t="s">
        <v>565</v>
      </c>
      <c r="D6348" s="98" t="s">
        <v>566</v>
      </c>
      <c r="E6348" s="98" t="s">
        <v>567</v>
      </c>
      <c r="F6348" s="98" t="s">
        <v>568</v>
      </c>
      <c r="G6348" s="81"/>
      <c r="H6348" s="81"/>
      <c r="I6348" s="81"/>
      <c r="J6348" s="81"/>
      <c r="K6348" s="81"/>
      <c r="L6348" s="81"/>
      <c r="M6348" s="81"/>
      <c r="N6348" s="81"/>
    </row>
    <row r="6349" spans="1:14" ht="14.25" customHeight="1" x14ac:dyDescent="0.25">
      <c r="A6349" s="99" t="s">
        <v>1408</v>
      </c>
      <c r="B6349" s="100" t="s">
        <v>99</v>
      </c>
      <c r="C6349" s="101">
        <v>480255</v>
      </c>
      <c r="D6349" s="149">
        <v>1</v>
      </c>
      <c r="E6349" s="102"/>
      <c r="F6349" s="101">
        <f t="shared" ref="F6349:F6353" si="305">C6349*(D6349+(D6349*E6349))</f>
        <v>480255</v>
      </c>
      <c r="G6349" s="81"/>
      <c r="H6349" s="81"/>
      <c r="I6349" s="81"/>
      <c r="J6349" s="81"/>
      <c r="K6349" s="81"/>
      <c r="L6349" s="81"/>
      <c r="M6349" s="81"/>
      <c r="N6349" s="81"/>
    </row>
    <row r="6350" spans="1:14" ht="14.25" customHeight="1" x14ac:dyDescent="0.25">
      <c r="A6350" s="99" t="s">
        <v>771</v>
      </c>
      <c r="B6350" s="100" t="s">
        <v>99</v>
      </c>
      <c r="C6350" s="101">
        <v>185880</v>
      </c>
      <c r="D6350" s="149">
        <v>1</v>
      </c>
      <c r="E6350" s="102"/>
      <c r="F6350" s="101">
        <f t="shared" si="305"/>
        <v>185880</v>
      </c>
      <c r="G6350" s="81"/>
      <c r="H6350" s="81"/>
      <c r="I6350" s="81"/>
      <c r="J6350" s="81"/>
      <c r="K6350" s="81"/>
      <c r="L6350" s="81"/>
      <c r="M6350" s="81"/>
      <c r="N6350" s="81"/>
    </row>
    <row r="6351" spans="1:14" ht="14.25" customHeight="1" x14ac:dyDescent="0.25">
      <c r="A6351" s="99" t="s">
        <v>767</v>
      </c>
      <c r="B6351" s="100" t="s">
        <v>99</v>
      </c>
      <c r="C6351" s="101">
        <v>10950</v>
      </c>
      <c r="D6351" s="149">
        <v>4</v>
      </c>
      <c r="E6351" s="102"/>
      <c r="F6351" s="101">
        <f t="shared" si="305"/>
        <v>43800</v>
      </c>
      <c r="G6351" s="81"/>
      <c r="H6351" s="81"/>
      <c r="I6351" s="81"/>
      <c r="J6351" s="81"/>
      <c r="K6351" s="81"/>
      <c r="L6351" s="81"/>
      <c r="M6351" s="81"/>
      <c r="N6351" s="81"/>
    </row>
    <row r="6352" spans="1:14" ht="14.25" customHeight="1" x14ac:dyDescent="0.25">
      <c r="A6352" s="99" t="s">
        <v>768</v>
      </c>
      <c r="B6352" s="100" t="s">
        <v>99</v>
      </c>
      <c r="C6352" s="101">
        <v>47500</v>
      </c>
      <c r="D6352" s="149">
        <v>1</v>
      </c>
      <c r="E6352" s="102"/>
      <c r="F6352" s="101">
        <f t="shared" si="305"/>
        <v>47500</v>
      </c>
      <c r="G6352" s="81"/>
      <c r="H6352" s="81"/>
      <c r="I6352" s="81"/>
      <c r="J6352" s="81"/>
      <c r="K6352" s="81"/>
      <c r="L6352" s="81"/>
      <c r="M6352" s="81"/>
      <c r="N6352" s="81"/>
    </row>
    <row r="6353" spans="1:14" ht="14.25" customHeight="1" x14ac:dyDescent="0.25">
      <c r="A6353" s="99" t="s">
        <v>769</v>
      </c>
      <c r="B6353" s="100" t="s">
        <v>99</v>
      </c>
      <c r="C6353" s="101">
        <v>1150</v>
      </c>
      <c r="D6353" s="104">
        <v>10</v>
      </c>
      <c r="E6353" s="102">
        <v>0.05</v>
      </c>
      <c r="F6353" s="101">
        <f t="shared" si="305"/>
        <v>12075</v>
      </c>
      <c r="G6353" s="81"/>
      <c r="H6353" s="81"/>
      <c r="I6353" s="81"/>
      <c r="J6353" s="81"/>
      <c r="K6353" s="81"/>
      <c r="L6353" s="81"/>
      <c r="M6353" s="81"/>
      <c r="N6353" s="81"/>
    </row>
    <row r="6354" spans="1:14" ht="14.25" customHeight="1" x14ac:dyDescent="0.25">
      <c r="A6354" s="99"/>
      <c r="B6354" s="100"/>
      <c r="C6354" s="106"/>
      <c r="D6354" s="107"/>
      <c r="E6354" s="108"/>
      <c r="F6354" s="106"/>
      <c r="G6354" s="81"/>
      <c r="H6354" s="81"/>
      <c r="I6354" s="81"/>
      <c r="J6354" s="81"/>
      <c r="K6354" s="81"/>
      <c r="L6354" s="81"/>
      <c r="M6354" s="81"/>
      <c r="N6354" s="81"/>
    </row>
    <row r="6355" spans="1:14" ht="14.25" customHeight="1" x14ac:dyDescent="0.25">
      <c r="A6355" s="97" t="s">
        <v>548</v>
      </c>
      <c r="B6355" s="97"/>
      <c r="C6355" s="109"/>
      <c r="D6355" s="110"/>
      <c r="E6355" s="111"/>
      <c r="F6355" s="112">
        <f>SUM(F6349:F6354)</f>
        <v>769510</v>
      </c>
      <c r="G6355" s="81"/>
      <c r="H6355" s="81"/>
      <c r="I6355" s="81"/>
      <c r="J6355" s="81"/>
      <c r="K6355" s="81"/>
      <c r="L6355" s="81"/>
      <c r="M6355" s="81"/>
      <c r="N6355" s="81"/>
    </row>
    <row r="6356" spans="1:14" ht="14.25" customHeight="1" x14ac:dyDescent="0.25">
      <c r="A6356" s="88"/>
      <c r="B6356" s="88"/>
      <c r="C6356" s="113"/>
      <c r="D6356" s="113"/>
      <c r="E6356" s="114"/>
      <c r="F6356" s="113"/>
      <c r="G6356" s="81"/>
      <c r="H6356" s="81"/>
      <c r="I6356" s="81"/>
      <c r="J6356" s="81"/>
      <c r="K6356" s="81"/>
      <c r="L6356" s="81"/>
      <c r="M6356" s="81"/>
      <c r="N6356" s="81"/>
    </row>
    <row r="6357" spans="1:14" ht="14.25" customHeight="1" x14ac:dyDescent="0.25">
      <c r="A6357" s="96" t="s">
        <v>573</v>
      </c>
      <c r="B6357" s="96"/>
      <c r="C6357" s="92"/>
      <c r="D6357" s="92"/>
      <c r="E6357" s="92"/>
      <c r="F6357" s="92"/>
      <c r="G6357" s="81"/>
      <c r="H6357" s="81"/>
      <c r="I6357" s="81"/>
      <c r="J6357" s="81"/>
      <c r="K6357" s="81"/>
      <c r="L6357" s="81"/>
      <c r="M6357" s="81"/>
      <c r="N6357" s="81"/>
    </row>
    <row r="6358" spans="1:14" ht="14.25" customHeight="1" x14ac:dyDescent="0.25">
      <c r="A6358" s="611" t="s">
        <v>563</v>
      </c>
      <c r="B6358" s="608"/>
      <c r="C6358" s="609"/>
      <c r="D6358" s="98" t="s">
        <v>574</v>
      </c>
      <c r="E6358" s="98" t="s">
        <v>575</v>
      </c>
      <c r="F6358" s="98" t="s">
        <v>568</v>
      </c>
      <c r="G6358" s="81"/>
      <c r="H6358" s="81"/>
      <c r="I6358" s="81"/>
      <c r="J6358" s="81"/>
      <c r="K6358" s="81"/>
      <c r="L6358" s="81"/>
      <c r="M6358" s="81"/>
      <c r="N6358" s="81"/>
    </row>
    <row r="6359" spans="1:14" ht="14.25" customHeight="1" x14ac:dyDescent="0.25">
      <c r="A6359" s="607" t="s">
        <v>577</v>
      </c>
      <c r="B6359" s="608"/>
      <c r="C6359" s="609"/>
      <c r="D6359" s="116"/>
      <c r="E6359" s="107"/>
      <c r="F6359" s="106">
        <f>+F6374*5%</f>
        <v>9596.4418421348946</v>
      </c>
      <c r="G6359" s="81"/>
      <c r="H6359" s="81"/>
      <c r="I6359" s="81"/>
      <c r="J6359" s="81"/>
      <c r="K6359" s="81"/>
      <c r="L6359" s="81"/>
      <c r="M6359" s="81"/>
      <c r="N6359" s="81"/>
    </row>
    <row r="6360" spans="1:14" ht="14.25" customHeight="1" x14ac:dyDescent="0.25">
      <c r="A6360" s="607"/>
      <c r="B6360" s="608"/>
      <c r="C6360" s="609"/>
      <c r="D6360" s="142"/>
      <c r="E6360" s="107"/>
      <c r="F6360" s="106"/>
      <c r="G6360" s="81"/>
      <c r="H6360" s="81"/>
      <c r="I6360" s="81"/>
      <c r="J6360" s="81"/>
      <c r="K6360" s="81"/>
      <c r="L6360" s="81"/>
      <c r="M6360" s="81"/>
      <c r="N6360" s="81"/>
    </row>
    <row r="6361" spans="1:14" ht="14.25" customHeight="1" x14ac:dyDescent="0.25">
      <c r="A6361" s="607"/>
      <c r="B6361" s="608"/>
      <c r="C6361" s="609"/>
      <c r="D6361" s="142"/>
      <c r="E6361" s="107"/>
      <c r="F6361" s="106"/>
      <c r="G6361" s="81"/>
      <c r="H6361" s="81"/>
      <c r="I6361" s="81"/>
      <c r="J6361" s="81"/>
      <c r="K6361" s="81"/>
      <c r="L6361" s="81"/>
      <c r="M6361" s="81"/>
      <c r="N6361" s="81"/>
    </row>
    <row r="6362" spans="1:14" ht="14.25" customHeight="1" x14ac:dyDescent="0.25">
      <c r="A6362" s="607"/>
      <c r="B6362" s="608"/>
      <c r="C6362" s="609"/>
      <c r="D6362" s="142"/>
      <c r="E6362" s="107"/>
      <c r="F6362" s="106"/>
      <c r="G6362" s="81"/>
      <c r="H6362" s="81"/>
      <c r="I6362" s="81"/>
      <c r="J6362" s="81"/>
      <c r="K6362" s="81"/>
      <c r="L6362" s="81"/>
      <c r="M6362" s="81"/>
      <c r="N6362" s="81"/>
    </row>
    <row r="6363" spans="1:14" ht="14.25" customHeight="1" x14ac:dyDescent="0.25">
      <c r="A6363" s="607"/>
      <c r="B6363" s="608"/>
      <c r="C6363" s="609"/>
      <c r="D6363" s="142"/>
      <c r="E6363" s="107"/>
      <c r="F6363" s="106"/>
      <c r="G6363" s="81"/>
      <c r="H6363" s="81"/>
      <c r="I6363" s="81"/>
      <c r="J6363" s="81"/>
      <c r="K6363" s="81"/>
      <c r="L6363" s="81"/>
      <c r="M6363" s="81"/>
      <c r="N6363" s="81"/>
    </row>
    <row r="6364" spans="1:14" ht="14.25" customHeight="1" x14ac:dyDescent="0.25">
      <c r="A6364" s="607"/>
      <c r="B6364" s="608"/>
      <c r="C6364" s="609"/>
      <c r="D6364" s="142"/>
      <c r="E6364" s="105"/>
      <c r="F6364" s="106"/>
      <c r="G6364" s="81"/>
      <c r="H6364" s="81"/>
      <c r="I6364" s="81"/>
      <c r="J6364" s="81"/>
      <c r="K6364" s="81"/>
      <c r="L6364" s="81"/>
      <c r="M6364" s="81"/>
      <c r="N6364" s="81"/>
    </row>
    <row r="6365" spans="1:14" ht="14.25" customHeight="1" x14ac:dyDescent="0.25">
      <c r="A6365" s="610"/>
      <c r="B6365" s="608"/>
      <c r="C6365" s="609"/>
      <c r="D6365" s="115"/>
      <c r="E6365" s="107"/>
      <c r="F6365" s="106"/>
      <c r="G6365" s="81"/>
      <c r="H6365" s="81"/>
      <c r="I6365" s="81"/>
      <c r="J6365" s="81"/>
      <c r="K6365" s="81"/>
      <c r="L6365" s="81"/>
      <c r="M6365" s="81"/>
      <c r="N6365" s="81"/>
    </row>
    <row r="6366" spans="1:14" ht="14.25" customHeight="1" x14ac:dyDescent="0.25">
      <c r="A6366" s="611" t="s">
        <v>548</v>
      </c>
      <c r="B6366" s="608"/>
      <c r="C6366" s="609"/>
      <c r="D6366" s="110"/>
      <c r="E6366" s="110"/>
      <c r="F6366" s="112">
        <f>SUM(F6359:F6365)</f>
        <v>9596.4418421348946</v>
      </c>
      <c r="G6366" s="81"/>
      <c r="H6366" s="81"/>
      <c r="I6366" s="81"/>
      <c r="J6366" s="81"/>
      <c r="K6366" s="81"/>
      <c r="L6366" s="81"/>
      <c r="M6366" s="81"/>
      <c r="N6366" s="81"/>
    </row>
    <row r="6367" spans="1:14" ht="14.25" customHeight="1" x14ac:dyDescent="0.25">
      <c r="A6367" s="88"/>
      <c r="B6367" s="88"/>
      <c r="C6367" s="89"/>
      <c r="D6367" s="113"/>
      <c r="E6367" s="113"/>
      <c r="F6367" s="113"/>
      <c r="G6367" s="81"/>
      <c r="H6367" s="81"/>
      <c r="I6367" s="81"/>
      <c r="J6367" s="81"/>
      <c r="K6367" s="81"/>
      <c r="L6367" s="81"/>
      <c r="M6367" s="81"/>
      <c r="N6367" s="81"/>
    </row>
    <row r="6368" spans="1:14" ht="14.25" customHeight="1" x14ac:dyDescent="0.25">
      <c r="A6368" s="96" t="s">
        <v>578</v>
      </c>
      <c r="B6368" s="96"/>
      <c r="C6368" s="92"/>
      <c r="D6368" s="118"/>
      <c r="E6368" s="118"/>
      <c r="F6368" s="118"/>
      <c r="G6368" s="81"/>
      <c r="H6368" s="81"/>
      <c r="I6368" s="81"/>
      <c r="J6368" s="81"/>
      <c r="K6368" s="81"/>
      <c r="L6368" s="81"/>
      <c r="M6368" s="81"/>
      <c r="N6368" s="81"/>
    </row>
    <row r="6369" spans="1:14" ht="14.25" customHeight="1" x14ac:dyDescent="0.25">
      <c r="A6369" s="119" t="s">
        <v>563</v>
      </c>
      <c r="B6369" s="120" t="s">
        <v>579</v>
      </c>
      <c r="C6369" s="120" t="s">
        <v>580</v>
      </c>
      <c r="D6369" s="121" t="s">
        <v>581</v>
      </c>
      <c r="E6369" s="121" t="s">
        <v>575</v>
      </c>
      <c r="F6369" s="121" t="s">
        <v>568</v>
      </c>
      <c r="G6369" s="81"/>
      <c r="H6369" s="81"/>
      <c r="I6369" s="81"/>
      <c r="J6369" s="81"/>
      <c r="K6369" s="81"/>
      <c r="L6369" s="81"/>
      <c r="M6369" s="81"/>
      <c r="N6369" s="81"/>
    </row>
    <row r="6370" spans="1:14" ht="14.25" customHeight="1" x14ac:dyDescent="0.25">
      <c r="A6370" s="122" t="s">
        <v>593</v>
      </c>
      <c r="B6370" s="127">
        <v>1</v>
      </c>
      <c r="C6370" s="101">
        <v>32688</v>
      </c>
      <c r="D6370" s="101">
        <f t="shared" ref="D6370:D6371" si="306">+C6370*1.7</f>
        <v>55569.599999999999</v>
      </c>
      <c r="E6370" s="107">
        <v>0.75488500000000003</v>
      </c>
      <c r="F6370" s="106">
        <f t="shared" ref="F6370:F6371" si="307">+B6370*(D6370)/E6370</f>
        <v>73613.331832000898</v>
      </c>
      <c r="G6370" s="81"/>
      <c r="H6370" s="81"/>
      <c r="I6370" s="81"/>
      <c r="J6370" s="81"/>
      <c r="K6370" s="81"/>
      <c r="L6370" s="81"/>
      <c r="M6370" s="81"/>
      <c r="N6370" s="81"/>
    </row>
    <row r="6371" spans="1:14" ht="14.25" customHeight="1" x14ac:dyDescent="0.25">
      <c r="A6371" s="122" t="s">
        <v>594</v>
      </c>
      <c r="B6371" s="127">
        <v>1</v>
      </c>
      <c r="C6371" s="101">
        <v>52538</v>
      </c>
      <c r="D6371" s="101">
        <f t="shared" si="306"/>
        <v>89314.599999999991</v>
      </c>
      <c r="E6371" s="107">
        <f>E6370</f>
        <v>0.75488500000000003</v>
      </c>
      <c r="F6371" s="106">
        <f t="shared" si="307"/>
        <v>118315.50501069697</v>
      </c>
      <c r="G6371" s="81"/>
      <c r="H6371" s="81"/>
      <c r="I6371" s="81"/>
      <c r="J6371" s="81"/>
      <c r="K6371" s="81"/>
      <c r="L6371" s="81"/>
      <c r="M6371" s="81"/>
      <c r="N6371" s="81"/>
    </row>
    <row r="6372" spans="1:14" ht="14.25" customHeight="1" x14ac:dyDescent="0.25">
      <c r="A6372" s="122"/>
      <c r="B6372" s="127"/>
      <c r="C6372" s="101"/>
      <c r="D6372" s="101"/>
      <c r="E6372" s="107"/>
      <c r="F6372" s="106"/>
      <c r="G6372" s="81"/>
      <c r="H6372" s="81"/>
      <c r="I6372" s="81"/>
      <c r="J6372" s="81"/>
      <c r="K6372" s="81"/>
      <c r="L6372" s="81"/>
      <c r="M6372" s="81"/>
      <c r="N6372" s="81"/>
    </row>
    <row r="6373" spans="1:14" ht="14.25" customHeight="1" x14ac:dyDescent="0.25">
      <c r="A6373" s="122"/>
      <c r="B6373" s="127"/>
      <c r="C6373" s="101"/>
      <c r="D6373" s="101"/>
      <c r="E6373" s="125"/>
      <c r="F6373" s="106"/>
      <c r="G6373" s="81"/>
      <c r="H6373" s="81"/>
      <c r="I6373" s="81"/>
      <c r="J6373" s="81"/>
      <c r="K6373" s="81"/>
      <c r="L6373" s="81"/>
      <c r="M6373" s="81"/>
      <c r="N6373" s="81"/>
    </row>
    <row r="6374" spans="1:14" ht="14.25" customHeight="1" x14ac:dyDescent="0.25">
      <c r="A6374" s="97" t="s">
        <v>548</v>
      </c>
      <c r="B6374" s="128"/>
      <c r="C6374" s="110"/>
      <c r="D6374" s="110"/>
      <c r="E6374" s="110"/>
      <c r="F6374" s="112">
        <f>SUM(F6370:F6373)</f>
        <v>191928.83684269787</v>
      </c>
      <c r="G6374" s="81"/>
      <c r="H6374" s="81"/>
      <c r="I6374" s="81"/>
      <c r="J6374" s="81"/>
      <c r="K6374" s="81"/>
      <c r="L6374" s="81"/>
      <c r="M6374" s="81"/>
      <c r="N6374" s="81"/>
    </row>
    <row r="6375" spans="1:14" ht="14.25" customHeight="1" x14ac:dyDescent="0.25">
      <c r="A6375" s="96"/>
      <c r="B6375" s="129"/>
      <c r="C6375" s="118"/>
      <c r="D6375" s="118"/>
      <c r="E6375" s="118"/>
      <c r="F6375" s="118"/>
      <c r="G6375" s="81"/>
      <c r="H6375" s="117"/>
      <c r="I6375" s="81"/>
      <c r="J6375" s="81"/>
      <c r="K6375" s="81"/>
      <c r="L6375" s="81"/>
      <c r="M6375" s="81"/>
      <c r="N6375" s="81"/>
    </row>
    <row r="6376" spans="1:14" ht="14.25" customHeight="1" x14ac:dyDescent="0.25">
      <c r="A6376" s="95" t="s">
        <v>583</v>
      </c>
      <c r="B6376" s="96"/>
      <c r="C6376" s="92"/>
      <c r="D6376" s="92"/>
      <c r="E6376" s="92" t="s">
        <v>584</v>
      </c>
      <c r="F6376" s="92"/>
      <c r="G6376" s="81"/>
      <c r="H6376" s="81"/>
      <c r="I6376" s="81"/>
      <c r="J6376" s="81"/>
      <c r="K6376" s="81"/>
      <c r="L6376" s="81"/>
      <c r="M6376" s="81"/>
      <c r="N6376" s="81"/>
    </row>
    <row r="6377" spans="1:14" ht="14.25" customHeight="1" x14ac:dyDescent="0.25">
      <c r="A6377" s="97" t="s">
        <v>563</v>
      </c>
      <c r="B6377" s="98" t="s">
        <v>564</v>
      </c>
      <c r="C6377" s="98" t="s">
        <v>585</v>
      </c>
      <c r="D6377" s="98" t="s">
        <v>586</v>
      </c>
      <c r="E6377" s="120" t="s">
        <v>587</v>
      </c>
      <c r="F6377" s="98" t="s">
        <v>568</v>
      </c>
      <c r="G6377" s="81"/>
      <c r="H6377" s="81"/>
      <c r="I6377" s="81"/>
      <c r="J6377" s="81"/>
      <c r="K6377" s="81"/>
      <c r="L6377" s="81"/>
      <c r="M6377" s="81"/>
      <c r="N6377" s="81"/>
    </row>
    <row r="6378" spans="1:14" ht="14.25" customHeight="1" x14ac:dyDescent="0.25">
      <c r="A6378" s="103"/>
      <c r="B6378" s="100"/>
      <c r="C6378" s="101"/>
      <c r="D6378" s="140"/>
      <c r="E6378" s="107"/>
      <c r="F6378" s="109"/>
      <c r="G6378" s="81"/>
      <c r="H6378" s="143"/>
      <c r="I6378" s="81"/>
      <c r="J6378" s="81"/>
      <c r="K6378" s="81"/>
      <c r="L6378" s="81"/>
      <c r="M6378" s="81"/>
      <c r="N6378" s="81"/>
    </row>
    <row r="6379" spans="1:14" ht="14.25" customHeight="1" x14ac:dyDescent="0.25">
      <c r="A6379" s="103"/>
      <c r="B6379" s="100"/>
      <c r="C6379" s="107"/>
      <c r="D6379" s="107"/>
      <c r="E6379" s="108"/>
      <c r="F6379" s="109"/>
      <c r="G6379" s="81"/>
      <c r="H6379" s="81"/>
      <c r="I6379" s="81"/>
      <c r="J6379" s="81"/>
      <c r="K6379" s="81"/>
      <c r="L6379" s="81"/>
      <c r="M6379" s="81"/>
      <c r="N6379" s="81"/>
    </row>
    <row r="6380" spans="1:14" ht="14.25" customHeight="1" x14ac:dyDescent="0.25">
      <c r="A6380" s="97" t="s">
        <v>548</v>
      </c>
      <c r="B6380" s="98"/>
      <c r="C6380" s="110"/>
      <c r="D6380" s="110"/>
      <c r="E6380" s="111"/>
      <c r="F6380" s="112">
        <f>SUM(F6378:F6379)</f>
        <v>0</v>
      </c>
      <c r="G6380" s="81"/>
      <c r="H6380" s="81"/>
      <c r="I6380" s="81"/>
      <c r="J6380" s="81"/>
      <c r="K6380" s="81"/>
      <c r="L6380" s="81"/>
      <c r="M6380" s="81"/>
      <c r="N6380" s="81"/>
    </row>
    <row r="6381" spans="1:14" ht="14.25" customHeight="1" x14ac:dyDescent="0.25">
      <c r="A6381" s="88"/>
      <c r="B6381" s="89"/>
      <c r="C6381" s="113"/>
      <c r="D6381" s="113"/>
      <c r="E6381" s="114"/>
      <c r="F6381" s="113"/>
      <c r="G6381" s="81"/>
      <c r="H6381" s="81"/>
      <c r="I6381" s="81"/>
      <c r="J6381" s="81"/>
      <c r="K6381" s="81"/>
      <c r="L6381" s="81"/>
      <c r="M6381" s="81"/>
      <c r="N6381" s="81"/>
    </row>
    <row r="6382" spans="1:14" ht="14.25" customHeight="1" x14ac:dyDescent="0.25">
      <c r="A6382" s="88"/>
      <c r="B6382" s="89"/>
      <c r="C6382" s="113"/>
      <c r="D6382" s="113"/>
      <c r="E6382" s="114"/>
      <c r="F6382" s="113"/>
      <c r="G6382" s="81"/>
      <c r="H6382" s="81"/>
      <c r="I6382" s="81"/>
      <c r="J6382" s="81"/>
      <c r="K6382" s="81"/>
      <c r="L6382" s="81"/>
      <c r="M6382" s="81"/>
      <c r="N6382" s="81"/>
    </row>
    <row r="6383" spans="1:14" ht="14.25" customHeight="1" x14ac:dyDescent="0.25">
      <c r="A6383" s="612" t="s">
        <v>588</v>
      </c>
      <c r="B6383" s="608"/>
      <c r="C6383" s="608"/>
      <c r="D6383" s="608"/>
      <c r="E6383" s="609"/>
      <c r="F6383" s="131">
        <f>ROUND(F6355+F6366+F6374+F6380,0)</f>
        <v>971035</v>
      </c>
      <c r="G6383" s="81"/>
      <c r="H6383" s="81"/>
      <c r="I6383" s="81"/>
      <c r="J6383" s="81"/>
      <c r="K6383" s="81"/>
      <c r="L6383" s="81"/>
      <c r="M6383" s="81"/>
      <c r="N6383" s="81"/>
    </row>
    <row r="6384" spans="1:14" ht="14.25" customHeight="1" x14ac:dyDescent="0.25">
      <c r="A6384" s="612" t="s">
        <v>589</v>
      </c>
      <c r="B6384" s="608"/>
      <c r="C6384" s="608"/>
      <c r="D6384" s="608"/>
      <c r="E6384" s="609"/>
      <c r="F6384" s="132"/>
      <c r="G6384" s="81"/>
      <c r="H6384" s="81"/>
      <c r="I6384" s="81"/>
      <c r="J6384" s="81"/>
      <c r="K6384" s="81"/>
      <c r="L6384" s="81"/>
      <c r="M6384" s="81"/>
      <c r="N6384" s="81"/>
    </row>
    <row r="6385" spans="1:14" ht="14.25" customHeight="1" x14ac:dyDescent="0.25">
      <c r="A6385" s="612" t="s">
        <v>556</v>
      </c>
      <c r="B6385" s="608"/>
      <c r="C6385" s="608"/>
      <c r="D6385" s="608"/>
      <c r="E6385" s="609"/>
      <c r="F6385" s="133"/>
      <c r="G6385" s="81"/>
      <c r="H6385" s="81"/>
      <c r="I6385" s="81"/>
      <c r="J6385" s="81"/>
      <c r="K6385" s="81"/>
      <c r="L6385" s="81"/>
      <c r="M6385" s="81"/>
      <c r="N6385" s="81"/>
    </row>
    <row r="6386" spans="1:14" ht="14.25" customHeight="1" x14ac:dyDescent="0.25">
      <c r="A6386" s="299"/>
      <c r="B6386" s="135"/>
      <c r="C6386" s="135"/>
      <c r="D6386" s="135"/>
      <c r="E6386" s="135"/>
      <c r="F6386" s="136"/>
      <c r="G6386" s="81"/>
      <c r="H6386" s="81"/>
      <c r="I6386" s="81"/>
      <c r="J6386" s="81"/>
      <c r="K6386" s="81"/>
      <c r="L6386" s="81"/>
      <c r="M6386" s="81"/>
      <c r="N6386" s="81"/>
    </row>
    <row r="6387" spans="1:14" ht="14.25" customHeight="1" x14ac:dyDescent="0.25">
      <c r="A6387" s="299"/>
      <c r="B6387" s="135"/>
      <c r="C6387" s="135"/>
      <c r="D6387" s="135"/>
      <c r="E6387" s="135"/>
      <c r="F6387" s="136"/>
      <c r="G6387" s="81"/>
      <c r="H6387" s="81"/>
      <c r="I6387" s="81"/>
      <c r="J6387" s="81"/>
      <c r="K6387" s="81"/>
      <c r="L6387" s="81"/>
      <c r="M6387" s="81"/>
      <c r="N6387" s="81"/>
    </row>
    <row r="6388" spans="1:14" ht="14.25" customHeight="1" x14ac:dyDescent="0.25">
      <c r="A6388" s="299"/>
      <c r="B6388" s="135"/>
      <c r="C6388" s="135"/>
      <c r="D6388" s="135"/>
      <c r="E6388" s="135"/>
      <c r="F6388" s="136"/>
      <c r="G6388" s="81"/>
      <c r="H6388" s="81"/>
      <c r="I6388" s="81"/>
      <c r="J6388" s="81"/>
      <c r="K6388" s="81"/>
      <c r="L6388" s="81"/>
      <c r="M6388" s="81"/>
      <c r="N6388" s="81"/>
    </row>
    <row r="6389" spans="1:14" ht="14.25" customHeight="1" x14ac:dyDescent="0.25">
      <c r="A6389" s="299"/>
      <c r="B6389" s="135"/>
      <c r="C6389" s="135"/>
      <c r="D6389" s="135"/>
      <c r="E6389" s="135"/>
      <c r="F6389" s="136"/>
      <c r="G6389" s="81"/>
      <c r="H6389" s="81"/>
      <c r="I6389" s="81"/>
      <c r="J6389" s="81"/>
      <c r="K6389" s="81"/>
      <c r="L6389" s="81"/>
      <c r="M6389" s="81"/>
      <c r="N6389" s="81"/>
    </row>
    <row r="6390" spans="1:14" ht="14.25" customHeight="1" x14ac:dyDescent="0.25">
      <c r="A6390" s="81"/>
      <c r="B6390" s="81"/>
      <c r="C6390" s="137"/>
      <c r="D6390" s="81"/>
      <c r="E6390" s="81"/>
      <c r="F6390" s="81"/>
      <c r="G6390" s="81"/>
      <c r="H6390" s="81"/>
      <c r="I6390" s="81"/>
      <c r="J6390" s="81"/>
      <c r="K6390" s="81"/>
      <c r="L6390" s="81"/>
      <c r="M6390" s="81"/>
      <c r="N6390" s="81"/>
    </row>
    <row r="6391" spans="1:14" ht="14.25" customHeight="1" x14ac:dyDescent="0.25">
      <c r="A6391" s="81"/>
      <c r="B6391" s="81"/>
      <c r="C6391" s="137"/>
      <c r="D6391" s="81"/>
      <c r="E6391" s="81"/>
      <c r="F6391" s="81"/>
      <c r="G6391" s="81"/>
      <c r="H6391" s="81"/>
      <c r="I6391" s="81"/>
      <c r="J6391" s="81"/>
      <c r="K6391" s="81"/>
      <c r="L6391" s="81"/>
      <c r="M6391" s="81"/>
      <c r="N6391" s="81"/>
    </row>
    <row r="6392" spans="1:14" ht="14.25" customHeight="1" x14ac:dyDescent="0.25">
      <c r="A6392" s="81"/>
      <c r="B6392" s="81"/>
      <c r="C6392" s="137"/>
      <c r="D6392" s="81"/>
      <c r="E6392" s="81"/>
      <c r="F6392" s="81"/>
      <c r="G6392" s="81"/>
      <c r="H6392" s="81"/>
      <c r="I6392" s="81"/>
      <c r="J6392" s="81"/>
      <c r="K6392" s="81"/>
      <c r="L6392" s="81"/>
      <c r="M6392" s="81"/>
      <c r="N6392" s="81"/>
    </row>
    <row r="6393" spans="1:14" ht="14.25" customHeight="1" x14ac:dyDescent="0.25">
      <c r="A6393" s="81"/>
      <c r="B6393" s="81"/>
      <c r="C6393" s="137"/>
      <c r="D6393" s="81"/>
      <c r="E6393" s="81"/>
      <c r="F6393" s="81"/>
      <c r="G6393" s="81"/>
      <c r="H6393" s="81"/>
      <c r="I6393" s="81"/>
      <c r="J6393" s="81"/>
      <c r="K6393" s="81"/>
      <c r="L6393" s="81"/>
      <c r="M6393" s="81"/>
      <c r="N6393" s="81"/>
    </row>
    <row r="6394" spans="1:14" ht="14.25" customHeight="1" thickBot="1" x14ac:dyDescent="0.3">
      <c r="A6394" s="81"/>
      <c r="B6394" s="81"/>
      <c r="C6394" s="81"/>
      <c r="D6394" s="81"/>
      <c r="E6394" s="81"/>
      <c r="F6394" s="81"/>
      <c r="G6394" s="81"/>
      <c r="H6394" s="81"/>
      <c r="I6394" s="81"/>
      <c r="J6394" s="81"/>
      <c r="K6394" s="81"/>
      <c r="L6394" s="81"/>
      <c r="M6394" s="81"/>
      <c r="N6394" s="81"/>
    </row>
    <row r="6395" spans="1:14" ht="14.25" customHeight="1" x14ac:dyDescent="0.25">
      <c r="A6395" s="83"/>
      <c r="B6395" s="84"/>
      <c r="C6395" s="85"/>
      <c r="D6395" s="86"/>
      <c r="E6395" s="86"/>
      <c r="F6395" s="87"/>
      <c r="G6395" s="81"/>
      <c r="H6395" s="81"/>
      <c r="I6395" s="81"/>
      <c r="J6395" s="81"/>
      <c r="K6395" s="81"/>
      <c r="L6395" s="81"/>
      <c r="M6395" s="81"/>
      <c r="N6395" s="81"/>
    </row>
    <row r="6396" spans="1:14" ht="14.25" customHeight="1" x14ac:dyDescent="0.25">
      <c r="A6396" s="599"/>
      <c r="B6396" s="600"/>
      <c r="C6396" s="600"/>
      <c r="D6396" s="600"/>
      <c r="E6396" s="600"/>
      <c r="F6396" s="601"/>
      <c r="G6396" s="81"/>
      <c r="H6396" s="81"/>
      <c r="I6396" s="81"/>
      <c r="J6396" s="81"/>
      <c r="K6396" s="81"/>
      <c r="L6396" s="81"/>
      <c r="M6396" s="81"/>
      <c r="N6396" s="81"/>
    </row>
    <row r="6397" spans="1:14" ht="14.25" customHeight="1" x14ac:dyDescent="0.25">
      <c r="A6397" s="602" t="s">
        <v>561</v>
      </c>
      <c r="B6397" s="600"/>
      <c r="C6397" s="600"/>
      <c r="D6397" s="600"/>
      <c r="E6397" s="600"/>
      <c r="F6397" s="601"/>
      <c r="G6397" s="81"/>
      <c r="H6397" s="81"/>
      <c r="I6397" s="81"/>
      <c r="J6397" s="81"/>
      <c r="K6397" s="81"/>
      <c r="L6397" s="81"/>
      <c r="M6397" s="81"/>
      <c r="N6397" s="81"/>
    </row>
    <row r="6398" spans="1:14" ht="15.95" customHeight="1" thickBot="1" x14ac:dyDescent="0.3">
      <c r="A6398" s="603"/>
      <c r="B6398" s="604"/>
      <c r="C6398" s="604"/>
      <c r="D6398" s="604"/>
      <c r="E6398" s="604"/>
      <c r="F6398" s="605"/>
      <c r="G6398" s="81"/>
      <c r="H6398" s="81"/>
      <c r="I6398" s="81"/>
      <c r="J6398" s="81"/>
      <c r="K6398" s="81"/>
      <c r="L6398" s="81"/>
      <c r="M6398" s="81"/>
      <c r="N6398" s="81"/>
    </row>
    <row r="6399" spans="1:14" ht="14.25" customHeight="1" x14ac:dyDescent="0.25">
      <c r="A6399" s="88"/>
      <c r="B6399" s="88"/>
      <c r="C6399" s="89"/>
      <c r="D6399" s="89"/>
      <c r="E6399" s="89"/>
      <c r="F6399" s="89"/>
      <c r="G6399" s="81"/>
      <c r="H6399" s="81"/>
      <c r="I6399" s="81"/>
      <c r="J6399" s="81"/>
      <c r="K6399" s="81"/>
      <c r="L6399" s="81"/>
      <c r="M6399" s="81"/>
      <c r="N6399" s="81"/>
    </row>
    <row r="6400" spans="1:14" ht="14.25" customHeight="1" x14ac:dyDescent="0.25">
      <c r="A6400" s="90" t="s">
        <v>47</v>
      </c>
      <c r="B6400" s="613" t="s">
        <v>1409</v>
      </c>
      <c r="C6400" s="600"/>
      <c r="D6400" s="600"/>
      <c r="E6400" s="600"/>
      <c r="F6400" s="600"/>
      <c r="G6400" s="81"/>
      <c r="H6400" s="81"/>
      <c r="I6400" s="81"/>
      <c r="J6400" s="81"/>
      <c r="K6400" s="81"/>
      <c r="L6400" s="81"/>
      <c r="M6400" s="81"/>
      <c r="N6400" s="81"/>
    </row>
    <row r="6401" spans="1:14" ht="14.25" customHeight="1" x14ac:dyDescent="0.25">
      <c r="A6401" s="91"/>
      <c r="B6401" s="91"/>
      <c r="C6401" s="91"/>
      <c r="D6401" s="91"/>
      <c r="E6401" s="91"/>
      <c r="F6401" s="91"/>
      <c r="G6401" s="81"/>
      <c r="H6401" s="81"/>
      <c r="I6401" s="81"/>
      <c r="J6401" s="81"/>
      <c r="K6401" s="81"/>
      <c r="L6401" s="81"/>
      <c r="M6401" s="81"/>
      <c r="N6401" s="81"/>
    </row>
    <row r="6402" spans="1:14" ht="14.25" customHeight="1" x14ac:dyDescent="0.25">
      <c r="A6402" s="88" t="s">
        <v>49</v>
      </c>
      <c r="B6402" s="92" t="s">
        <v>99</v>
      </c>
      <c r="C6402" s="89"/>
      <c r="D6402" s="89"/>
      <c r="E6402" s="89"/>
      <c r="F6402" s="93"/>
      <c r="G6402" s="81"/>
      <c r="H6402" s="81"/>
      <c r="I6402" s="81"/>
      <c r="J6402" s="81"/>
      <c r="K6402" s="81"/>
      <c r="L6402" s="81"/>
      <c r="M6402" s="81"/>
      <c r="N6402" s="81"/>
    </row>
    <row r="6403" spans="1:14" ht="14.25" customHeight="1" x14ac:dyDescent="0.25">
      <c r="A6403" s="88"/>
      <c r="B6403" s="94"/>
      <c r="C6403" s="89"/>
      <c r="D6403" s="89"/>
      <c r="E6403" s="89"/>
      <c r="F6403" s="93"/>
      <c r="G6403" s="81"/>
      <c r="H6403" s="81"/>
      <c r="I6403" s="81"/>
      <c r="J6403" s="81"/>
      <c r="K6403" s="81"/>
      <c r="L6403" s="81"/>
      <c r="M6403" s="81"/>
      <c r="N6403" s="81"/>
    </row>
    <row r="6404" spans="1:14" ht="14.25" customHeight="1" x14ac:dyDescent="0.25">
      <c r="A6404" s="95" t="s">
        <v>562</v>
      </c>
      <c r="B6404" s="96"/>
      <c r="C6404" s="92"/>
      <c r="D6404" s="92"/>
      <c r="E6404" s="92"/>
      <c r="F6404" s="92"/>
      <c r="G6404" s="81"/>
      <c r="H6404" s="81"/>
      <c r="I6404" s="81"/>
      <c r="J6404" s="81"/>
      <c r="K6404" s="81"/>
      <c r="L6404" s="81"/>
      <c r="M6404" s="81"/>
      <c r="N6404" s="81"/>
    </row>
    <row r="6405" spans="1:14" ht="14.25" customHeight="1" x14ac:dyDescent="0.25">
      <c r="A6405" s="97" t="s">
        <v>563</v>
      </c>
      <c r="B6405" s="98" t="s">
        <v>564</v>
      </c>
      <c r="C6405" s="98" t="s">
        <v>565</v>
      </c>
      <c r="D6405" s="98" t="s">
        <v>566</v>
      </c>
      <c r="E6405" s="98" t="s">
        <v>567</v>
      </c>
      <c r="F6405" s="98" t="s">
        <v>568</v>
      </c>
      <c r="G6405" s="81"/>
      <c r="H6405" s="81"/>
      <c r="I6405" s="81"/>
      <c r="J6405" s="81"/>
      <c r="K6405" s="81"/>
      <c r="L6405" s="81"/>
      <c r="M6405" s="81"/>
      <c r="N6405" s="81"/>
    </row>
    <row r="6406" spans="1:14" ht="14.25" customHeight="1" x14ac:dyDescent="0.25">
      <c r="A6406" s="99" t="s">
        <v>1410</v>
      </c>
      <c r="B6406" s="100" t="s">
        <v>99</v>
      </c>
      <c r="C6406" s="101">
        <v>903250</v>
      </c>
      <c r="D6406" s="149">
        <v>1</v>
      </c>
      <c r="E6406" s="102"/>
      <c r="F6406" s="101">
        <f t="shared" ref="F6406:F6411" si="308">C6406*(D6406+(D6406*E6406))</f>
        <v>903250</v>
      </c>
      <c r="G6406" s="81"/>
      <c r="H6406" s="81"/>
      <c r="I6406" s="81"/>
      <c r="J6406" s="81"/>
      <c r="K6406" s="81"/>
      <c r="L6406" s="81"/>
      <c r="M6406" s="81"/>
      <c r="N6406" s="81"/>
    </row>
    <row r="6407" spans="1:14" ht="14.25" customHeight="1" x14ac:dyDescent="0.25">
      <c r="A6407" s="99" t="s">
        <v>772</v>
      </c>
      <c r="B6407" s="100" t="s">
        <v>99</v>
      </c>
      <c r="C6407" s="101">
        <v>239686</v>
      </c>
      <c r="D6407" s="149">
        <v>1</v>
      </c>
      <c r="E6407" s="102"/>
      <c r="F6407" s="101">
        <f t="shared" si="308"/>
        <v>239686</v>
      </c>
      <c r="G6407" s="81"/>
      <c r="H6407" s="81"/>
      <c r="I6407" s="81"/>
      <c r="J6407" s="81"/>
      <c r="K6407" s="81"/>
      <c r="L6407" s="81"/>
      <c r="M6407" s="81"/>
      <c r="N6407" s="81"/>
    </row>
    <row r="6408" spans="1:14" ht="14.25" customHeight="1" x14ac:dyDescent="0.25">
      <c r="A6408" s="99" t="s">
        <v>767</v>
      </c>
      <c r="B6408" s="100" t="s">
        <v>99</v>
      </c>
      <c r="C6408" s="101">
        <v>10950</v>
      </c>
      <c r="D6408" s="149">
        <v>8</v>
      </c>
      <c r="E6408" s="102"/>
      <c r="F6408" s="101">
        <f t="shared" si="308"/>
        <v>87600</v>
      </c>
      <c r="G6408" s="81"/>
      <c r="H6408" s="81"/>
      <c r="I6408" s="81"/>
      <c r="J6408" s="81"/>
      <c r="K6408" s="81"/>
      <c r="L6408" s="81"/>
      <c r="M6408" s="81"/>
      <c r="N6408" s="81"/>
    </row>
    <row r="6409" spans="1:14" ht="14.25" customHeight="1" x14ac:dyDescent="0.25">
      <c r="A6409" s="99" t="s">
        <v>773</v>
      </c>
      <c r="B6409" s="100" t="s">
        <v>99</v>
      </c>
      <c r="C6409" s="101">
        <v>87500</v>
      </c>
      <c r="D6409" s="149">
        <v>1</v>
      </c>
      <c r="E6409" s="102"/>
      <c r="F6409" s="101">
        <f t="shared" si="308"/>
        <v>87500</v>
      </c>
      <c r="G6409" s="81"/>
      <c r="H6409" s="81"/>
      <c r="I6409" s="81"/>
      <c r="J6409" s="81"/>
      <c r="K6409" s="81"/>
      <c r="L6409" s="81"/>
      <c r="M6409" s="81"/>
      <c r="N6409" s="81"/>
    </row>
    <row r="6410" spans="1:14" ht="14.25" customHeight="1" x14ac:dyDescent="0.25">
      <c r="A6410" s="99" t="s">
        <v>769</v>
      </c>
      <c r="B6410" s="100" t="s">
        <v>99</v>
      </c>
      <c r="C6410" s="101">
        <v>1150</v>
      </c>
      <c r="D6410" s="104">
        <v>20</v>
      </c>
      <c r="E6410" s="102">
        <v>0.05</v>
      </c>
      <c r="F6410" s="101">
        <f t="shared" si="308"/>
        <v>24150</v>
      </c>
      <c r="G6410" s="81"/>
      <c r="H6410" s="81"/>
      <c r="I6410" s="81"/>
      <c r="J6410" s="81"/>
      <c r="K6410" s="81"/>
      <c r="L6410" s="81"/>
      <c r="M6410" s="81"/>
      <c r="N6410" s="81"/>
    </row>
    <row r="6411" spans="1:14" ht="14.25" customHeight="1" x14ac:dyDescent="0.25">
      <c r="A6411" s="99" t="s">
        <v>774</v>
      </c>
      <c r="B6411" s="100" t="s">
        <v>99</v>
      </c>
      <c r="C6411" s="101">
        <v>85350</v>
      </c>
      <c r="D6411" s="104">
        <v>2</v>
      </c>
      <c r="E6411" s="102"/>
      <c r="F6411" s="101">
        <f t="shared" si="308"/>
        <v>170700</v>
      </c>
      <c r="G6411" s="81"/>
      <c r="H6411" s="81"/>
      <c r="I6411" s="81"/>
      <c r="J6411" s="81"/>
      <c r="K6411" s="81"/>
      <c r="L6411" s="81"/>
      <c r="M6411" s="81"/>
      <c r="N6411" s="81"/>
    </row>
    <row r="6412" spans="1:14" ht="14.25" customHeight="1" x14ac:dyDescent="0.25">
      <c r="A6412" s="99"/>
      <c r="B6412" s="100"/>
      <c r="C6412" s="106"/>
      <c r="D6412" s="107"/>
      <c r="E6412" s="108"/>
      <c r="F6412" s="106"/>
      <c r="G6412" s="81"/>
      <c r="H6412" s="81"/>
      <c r="I6412" s="81"/>
      <c r="J6412" s="81"/>
      <c r="K6412" s="81"/>
      <c r="L6412" s="81"/>
      <c r="M6412" s="81"/>
      <c r="N6412" s="81"/>
    </row>
    <row r="6413" spans="1:14" ht="14.25" customHeight="1" x14ac:dyDescent="0.25">
      <c r="A6413" s="97" t="s">
        <v>548</v>
      </c>
      <c r="B6413" s="97"/>
      <c r="C6413" s="109"/>
      <c r="D6413" s="110"/>
      <c r="E6413" s="111"/>
      <c r="F6413" s="112">
        <f>SUM(F6406:F6412)</f>
        <v>1512886</v>
      </c>
      <c r="G6413" s="81"/>
      <c r="H6413" s="81"/>
      <c r="I6413" s="81"/>
      <c r="J6413" s="81"/>
      <c r="K6413" s="81"/>
      <c r="L6413" s="81"/>
      <c r="M6413" s="81"/>
      <c r="N6413" s="81"/>
    </row>
    <row r="6414" spans="1:14" ht="14.25" customHeight="1" x14ac:dyDescent="0.25">
      <c r="A6414" s="88"/>
      <c r="B6414" s="88"/>
      <c r="C6414" s="113"/>
      <c r="D6414" s="113"/>
      <c r="E6414" s="114"/>
      <c r="F6414" s="113"/>
      <c r="G6414" s="81"/>
      <c r="H6414" s="81"/>
      <c r="I6414" s="81"/>
      <c r="J6414" s="81"/>
      <c r="K6414" s="81"/>
      <c r="L6414" s="81"/>
      <c r="M6414" s="81"/>
      <c r="N6414" s="81"/>
    </row>
    <row r="6415" spans="1:14" ht="14.25" customHeight="1" x14ac:dyDescent="0.25">
      <c r="A6415" s="96" t="s">
        <v>573</v>
      </c>
      <c r="B6415" s="96"/>
      <c r="C6415" s="92"/>
      <c r="D6415" s="92"/>
      <c r="E6415" s="92"/>
      <c r="F6415" s="92"/>
      <c r="G6415" s="81"/>
      <c r="H6415" s="81"/>
      <c r="I6415" s="81"/>
      <c r="J6415" s="81"/>
      <c r="K6415" s="81"/>
      <c r="L6415" s="81"/>
      <c r="M6415" s="81"/>
      <c r="N6415" s="81"/>
    </row>
    <row r="6416" spans="1:14" ht="14.25" customHeight="1" x14ac:dyDescent="0.25">
      <c r="A6416" s="611" t="s">
        <v>563</v>
      </c>
      <c r="B6416" s="608"/>
      <c r="C6416" s="609"/>
      <c r="D6416" s="98" t="s">
        <v>574</v>
      </c>
      <c r="E6416" s="98" t="s">
        <v>575</v>
      </c>
      <c r="F6416" s="98" t="s">
        <v>568</v>
      </c>
      <c r="G6416" s="81"/>
      <c r="H6416" s="81"/>
      <c r="I6416" s="81"/>
      <c r="J6416" s="81"/>
      <c r="K6416" s="81"/>
      <c r="L6416" s="81"/>
      <c r="M6416" s="81"/>
      <c r="N6416" s="81"/>
    </row>
    <row r="6417" spans="1:14" ht="15.75" x14ac:dyDescent="0.25">
      <c r="A6417" s="607" t="s">
        <v>577</v>
      </c>
      <c r="B6417" s="608"/>
      <c r="C6417" s="609"/>
      <c r="D6417" s="116"/>
      <c r="E6417" s="107"/>
      <c r="F6417" s="106">
        <f>+F6432*5%</f>
        <v>16934.270566454099</v>
      </c>
      <c r="G6417" s="81"/>
      <c r="H6417" s="81"/>
      <c r="I6417" s="81"/>
      <c r="J6417" s="81"/>
      <c r="K6417" s="81"/>
      <c r="L6417" s="81"/>
      <c r="M6417" s="81"/>
      <c r="N6417" s="81"/>
    </row>
    <row r="6418" spans="1:14" ht="14.25" customHeight="1" x14ac:dyDescent="0.25">
      <c r="A6418" s="607"/>
      <c r="B6418" s="608"/>
      <c r="C6418" s="609"/>
      <c r="D6418" s="142"/>
      <c r="E6418" s="107"/>
      <c r="F6418" s="106"/>
      <c r="G6418" s="81"/>
      <c r="H6418" s="81"/>
      <c r="I6418" s="81"/>
      <c r="J6418" s="81"/>
      <c r="K6418" s="81"/>
      <c r="L6418" s="81"/>
      <c r="M6418" s="81"/>
      <c r="N6418" s="81"/>
    </row>
    <row r="6419" spans="1:14" ht="14.25" customHeight="1" x14ac:dyDescent="0.25">
      <c r="A6419" s="607"/>
      <c r="B6419" s="608"/>
      <c r="C6419" s="609"/>
      <c r="D6419" s="142"/>
      <c r="E6419" s="107"/>
      <c r="F6419" s="106"/>
      <c r="G6419" s="81"/>
      <c r="H6419" s="81"/>
      <c r="I6419" s="81"/>
      <c r="J6419" s="81"/>
      <c r="K6419" s="81"/>
      <c r="L6419" s="81"/>
      <c r="M6419" s="81"/>
      <c r="N6419" s="81"/>
    </row>
    <row r="6420" spans="1:14" ht="14.25" customHeight="1" x14ac:dyDescent="0.25">
      <c r="A6420" s="607"/>
      <c r="B6420" s="608"/>
      <c r="C6420" s="609"/>
      <c r="D6420" s="142"/>
      <c r="E6420" s="107"/>
      <c r="F6420" s="106"/>
      <c r="G6420" s="81"/>
      <c r="H6420" s="81"/>
      <c r="I6420" s="81"/>
      <c r="J6420" s="81"/>
      <c r="K6420" s="81"/>
      <c r="L6420" s="81"/>
      <c r="M6420" s="81"/>
      <c r="N6420" s="81"/>
    </row>
    <row r="6421" spans="1:14" ht="14.25" customHeight="1" x14ac:dyDescent="0.25">
      <c r="A6421" s="607"/>
      <c r="B6421" s="608"/>
      <c r="C6421" s="609"/>
      <c r="D6421" s="142"/>
      <c r="E6421" s="107"/>
      <c r="F6421" s="106"/>
      <c r="G6421" s="81"/>
      <c r="H6421" s="81"/>
      <c r="I6421" s="81"/>
      <c r="J6421" s="81"/>
      <c r="K6421" s="81"/>
      <c r="L6421" s="81"/>
      <c r="M6421" s="81"/>
      <c r="N6421" s="81"/>
    </row>
    <row r="6422" spans="1:14" ht="14.25" customHeight="1" x14ac:dyDescent="0.25">
      <c r="A6422" s="607"/>
      <c r="B6422" s="608"/>
      <c r="C6422" s="609"/>
      <c r="D6422" s="142"/>
      <c r="E6422" s="105"/>
      <c r="F6422" s="106"/>
      <c r="G6422" s="81"/>
      <c r="H6422" s="81"/>
      <c r="I6422" s="81"/>
      <c r="J6422" s="81"/>
      <c r="K6422" s="81"/>
      <c r="L6422" s="81"/>
      <c r="M6422" s="81"/>
      <c r="N6422" s="81"/>
    </row>
    <row r="6423" spans="1:14" ht="14.25" customHeight="1" x14ac:dyDescent="0.25">
      <c r="A6423" s="610"/>
      <c r="B6423" s="608"/>
      <c r="C6423" s="609"/>
      <c r="D6423" s="115"/>
      <c r="E6423" s="107"/>
      <c r="F6423" s="106"/>
      <c r="G6423" s="81"/>
      <c r="H6423" s="81"/>
      <c r="I6423" s="81"/>
      <c r="J6423" s="81"/>
      <c r="K6423" s="81"/>
      <c r="L6423" s="81"/>
      <c r="M6423" s="81"/>
      <c r="N6423" s="81"/>
    </row>
    <row r="6424" spans="1:14" ht="14.25" customHeight="1" x14ac:dyDescent="0.25">
      <c r="A6424" s="611" t="s">
        <v>548</v>
      </c>
      <c r="B6424" s="608"/>
      <c r="C6424" s="609"/>
      <c r="D6424" s="110"/>
      <c r="E6424" s="110"/>
      <c r="F6424" s="112">
        <f>SUM(F6417:F6423)</f>
        <v>16934.270566454099</v>
      </c>
      <c r="G6424" s="81"/>
      <c r="H6424" s="81"/>
      <c r="I6424" s="81"/>
      <c r="J6424" s="81"/>
      <c r="K6424" s="81"/>
      <c r="L6424" s="81"/>
      <c r="M6424" s="81"/>
      <c r="N6424" s="81"/>
    </row>
    <row r="6425" spans="1:14" ht="14.25" customHeight="1" x14ac:dyDescent="0.25">
      <c r="A6425" s="88"/>
      <c r="B6425" s="88"/>
      <c r="C6425" s="89"/>
      <c r="D6425" s="113"/>
      <c r="E6425" s="113"/>
      <c r="F6425" s="113"/>
      <c r="G6425" s="81"/>
      <c r="H6425" s="81"/>
      <c r="I6425" s="81"/>
      <c r="J6425" s="81"/>
      <c r="K6425" s="81"/>
      <c r="L6425" s="81"/>
      <c r="M6425" s="81"/>
      <c r="N6425" s="81"/>
    </row>
    <row r="6426" spans="1:14" ht="14.25" customHeight="1" x14ac:dyDescent="0.25">
      <c r="A6426" s="96" t="s">
        <v>578</v>
      </c>
      <c r="B6426" s="96"/>
      <c r="C6426" s="92"/>
      <c r="D6426" s="118"/>
      <c r="E6426" s="118"/>
      <c r="F6426" s="118"/>
      <c r="G6426" s="81"/>
      <c r="H6426" s="81"/>
      <c r="I6426" s="81"/>
      <c r="J6426" s="81"/>
      <c r="K6426" s="81"/>
      <c r="L6426" s="81"/>
      <c r="M6426" s="81"/>
      <c r="N6426" s="81"/>
    </row>
    <row r="6427" spans="1:14" ht="14.25" customHeight="1" x14ac:dyDescent="0.25">
      <c r="A6427" s="119" t="s">
        <v>563</v>
      </c>
      <c r="B6427" s="120" t="s">
        <v>579</v>
      </c>
      <c r="C6427" s="120" t="s">
        <v>580</v>
      </c>
      <c r="D6427" s="121" t="s">
        <v>581</v>
      </c>
      <c r="E6427" s="121" t="s">
        <v>575</v>
      </c>
      <c r="F6427" s="121" t="s">
        <v>568</v>
      </c>
      <c r="G6427" s="81"/>
      <c r="H6427" s="81"/>
      <c r="I6427" s="81"/>
      <c r="J6427" s="81"/>
      <c r="K6427" s="81"/>
      <c r="L6427" s="81"/>
      <c r="M6427" s="81"/>
      <c r="N6427" s="81"/>
    </row>
    <row r="6428" spans="1:14" ht="14.25" customHeight="1" x14ac:dyDescent="0.25">
      <c r="A6428" s="122" t="s">
        <v>593</v>
      </c>
      <c r="B6428" s="127">
        <v>1</v>
      </c>
      <c r="C6428" s="101">
        <v>32688</v>
      </c>
      <c r="D6428" s="101">
        <f t="shared" ref="D6428:D6429" si="309">+C6428*1.7</f>
        <v>55569.599999999999</v>
      </c>
      <c r="E6428" s="107">
        <v>0.427784</v>
      </c>
      <c r="F6428" s="106">
        <f t="shared" ref="F6428:F6429" si="310">+B6428*(D6428)/E6428</f>
        <v>129901.07156882912</v>
      </c>
      <c r="G6428" s="81"/>
      <c r="H6428" s="81"/>
      <c r="I6428" s="81"/>
      <c r="J6428" s="81"/>
      <c r="K6428" s="81"/>
      <c r="L6428" s="81"/>
      <c r="M6428" s="81"/>
      <c r="N6428" s="81"/>
    </row>
    <row r="6429" spans="1:14" ht="14.25" customHeight="1" x14ac:dyDescent="0.25">
      <c r="A6429" s="122" t="s">
        <v>594</v>
      </c>
      <c r="B6429" s="127">
        <v>1</v>
      </c>
      <c r="C6429" s="101">
        <v>52538</v>
      </c>
      <c r="D6429" s="101">
        <f t="shared" si="309"/>
        <v>89314.599999999991</v>
      </c>
      <c r="E6429" s="107">
        <f>E6428</f>
        <v>0.427784</v>
      </c>
      <c r="F6429" s="106">
        <f t="shared" si="310"/>
        <v>208784.33976025283</v>
      </c>
      <c r="G6429" s="81"/>
      <c r="H6429" s="81"/>
      <c r="I6429" s="81"/>
      <c r="J6429" s="81"/>
      <c r="K6429" s="81"/>
      <c r="L6429" s="81"/>
      <c r="M6429" s="81"/>
      <c r="N6429" s="81"/>
    </row>
    <row r="6430" spans="1:14" ht="14.25" customHeight="1" x14ac:dyDescent="0.25">
      <c r="A6430" s="122"/>
      <c r="B6430" s="127"/>
      <c r="C6430" s="101"/>
      <c r="D6430" s="101"/>
      <c r="E6430" s="107"/>
      <c r="F6430" s="106"/>
      <c r="G6430" s="81"/>
      <c r="H6430" s="81"/>
      <c r="I6430" s="81"/>
      <c r="J6430" s="81"/>
      <c r="K6430" s="81"/>
      <c r="L6430" s="81"/>
      <c r="M6430" s="81"/>
      <c r="N6430" s="81"/>
    </row>
    <row r="6431" spans="1:14" ht="14.25" customHeight="1" x14ac:dyDescent="0.25">
      <c r="A6431" s="122"/>
      <c r="B6431" s="127"/>
      <c r="C6431" s="101"/>
      <c r="D6431" s="101"/>
      <c r="E6431" s="125"/>
      <c r="F6431" s="106"/>
      <c r="G6431" s="81"/>
      <c r="H6431" s="117">
        <f>187790-F7394</f>
        <v>0</v>
      </c>
      <c r="I6431" s="81"/>
      <c r="J6431" s="81"/>
      <c r="K6431" s="81"/>
      <c r="L6431" s="81"/>
      <c r="M6431" s="81"/>
      <c r="N6431" s="81"/>
    </row>
    <row r="6432" spans="1:14" ht="14.25" customHeight="1" x14ac:dyDescent="0.25">
      <c r="A6432" s="97" t="s">
        <v>548</v>
      </c>
      <c r="B6432" s="128"/>
      <c r="C6432" s="110"/>
      <c r="D6432" s="110"/>
      <c r="E6432" s="110"/>
      <c r="F6432" s="112">
        <f>SUM(F6428:F6431)</f>
        <v>338685.41132908198</v>
      </c>
      <c r="G6432" s="81"/>
      <c r="H6432" s="81"/>
      <c r="I6432" s="81"/>
      <c r="J6432" s="81"/>
      <c r="K6432" s="81"/>
      <c r="L6432" s="81"/>
      <c r="M6432" s="81"/>
      <c r="N6432" s="81"/>
    </row>
    <row r="6433" spans="1:14" ht="14.25" customHeight="1" x14ac:dyDescent="0.25">
      <c r="A6433" s="96"/>
      <c r="B6433" s="129"/>
      <c r="C6433" s="118"/>
      <c r="D6433" s="118"/>
      <c r="E6433" s="118"/>
      <c r="F6433" s="118"/>
      <c r="G6433" s="81"/>
      <c r="H6433" s="81"/>
      <c r="I6433" s="81"/>
      <c r="J6433" s="81"/>
      <c r="K6433" s="81"/>
      <c r="L6433" s="81"/>
      <c r="M6433" s="81"/>
      <c r="N6433" s="81"/>
    </row>
    <row r="6434" spans="1:14" ht="14.25" customHeight="1" x14ac:dyDescent="0.25">
      <c r="A6434" s="95" t="s">
        <v>583</v>
      </c>
      <c r="B6434" s="96"/>
      <c r="C6434" s="92"/>
      <c r="D6434" s="92"/>
      <c r="E6434" s="92" t="s">
        <v>584</v>
      </c>
      <c r="F6434" s="92"/>
      <c r="G6434" s="81"/>
      <c r="H6434" s="143"/>
      <c r="I6434" s="81"/>
      <c r="J6434" s="81"/>
      <c r="K6434" s="81"/>
      <c r="L6434" s="81"/>
      <c r="M6434" s="81"/>
      <c r="N6434" s="81"/>
    </row>
    <row r="6435" spans="1:14" ht="14.25" customHeight="1" x14ac:dyDescent="0.25">
      <c r="A6435" s="97" t="s">
        <v>563</v>
      </c>
      <c r="B6435" s="98" t="s">
        <v>564</v>
      </c>
      <c r="C6435" s="98" t="s">
        <v>585</v>
      </c>
      <c r="D6435" s="98" t="s">
        <v>586</v>
      </c>
      <c r="E6435" s="120" t="s">
        <v>587</v>
      </c>
      <c r="F6435" s="98" t="s">
        <v>568</v>
      </c>
      <c r="G6435" s="81"/>
      <c r="H6435" s="81"/>
      <c r="I6435" s="81"/>
      <c r="J6435" s="81"/>
      <c r="K6435" s="81"/>
      <c r="L6435" s="81"/>
      <c r="M6435" s="81"/>
      <c r="N6435" s="81"/>
    </row>
    <row r="6436" spans="1:14" ht="14.25" customHeight="1" x14ac:dyDescent="0.25">
      <c r="A6436" s="103"/>
      <c r="B6436" s="100"/>
      <c r="C6436" s="101"/>
      <c r="D6436" s="140"/>
      <c r="E6436" s="107"/>
      <c r="F6436" s="109"/>
      <c r="G6436" s="81"/>
      <c r="H6436" s="81"/>
      <c r="I6436" s="81"/>
      <c r="J6436" s="81"/>
      <c r="K6436" s="81"/>
      <c r="L6436" s="81"/>
      <c r="M6436" s="81"/>
      <c r="N6436" s="81"/>
    </row>
    <row r="6437" spans="1:14" ht="14.25" customHeight="1" x14ac:dyDescent="0.25">
      <c r="A6437" s="103"/>
      <c r="B6437" s="100"/>
      <c r="C6437" s="107"/>
      <c r="D6437" s="107"/>
      <c r="E6437" s="108"/>
      <c r="F6437" s="109"/>
      <c r="G6437" s="81"/>
      <c r="H6437" s="81"/>
      <c r="I6437" s="81"/>
      <c r="J6437" s="81"/>
      <c r="K6437" s="81"/>
      <c r="L6437" s="81"/>
      <c r="M6437" s="81"/>
      <c r="N6437" s="81"/>
    </row>
    <row r="6438" spans="1:14" ht="14.25" customHeight="1" x14ac:dyDescent="0.25">
      <c r="A6438" s="97" t="s">
        <v>548</v>
      </c>
      <c r="B6438" s="98"/>
      <c r="C6438" s="110"/>
      <c r="D6438" s="110"/>
      <c r="E6438" s="111"/>
      <c r="F6438" s="112">
        <f>SUM(F6436:F6437)</f>
        <v>0</v>
      </c>
      <c r="G6438" s="81"/>
      <c r="H6438" s="81"/>
      <c r="I6438" s="81"/>
      <c r="J6438" s="81"/>
      <c r="K6438" s="81"/>
      <c r="L6438" s="81"/>
      <c r="M6438" s="81"/>
      <c r="N6438" s="81"/>
    </row>
    <row r="6439" spans="1:14" ht="14.25" customHeight="1" x14ac:dyDescent="0.25">
      <c r="A6439" s="88"/>
      <c r="B6439" s="89"/>
      <c r="C6439" s="113"/>
      <c r="D6439" s="113"/>
      <c r="E6439" s="114"/>
      <c r="F6439" s="113"/>
      <c r="G6439" s="81"/>
      <c r="H6439" s="81"/>
      <c r="I6439" s="81"/>
      <c r="J6439" s="81"/>
      <c r="K6439" s="81"/>
      <c r="L6439" s="81"/>
      <c r="M6439" s="81"/>
      <c r="N6439" s="81"/>
    </row>
    <row r="6440" spans="1:14" ht="14.25" customHeight="1" x14ac:dyDescent="0.25">
      <c r="A6440" s="88"/>
      <c r="B6440" s="89"/>
      <c r="C6440" s="113"/>
      <c r="D6440" s="113"/>
      <c r="E6440" s="114"/>
      <c r="F6440" s="113"/>
      <c r="G6440" s="81"/>
      <c r="H6440" s="81"/>
      <c r="I6440" s="81"/>
      <c r="J6440" s="81"/>
      <c r="K6440" s="81"/>
      <c r="L6440" s="81"/>
      <c r="M6440" s="81"/>
      <c r="N6440" s="81"/>
    </row>
    <row r="6441" spans="1:14" ht="14.25" customHeight="1" x14ac:dyDescent="0.25">
      <c r="A6441" s="612" t="s">
        <v>588</v>
      </c>
      <c r="B6441" s="608"/>
      <c r="C6441" s="608"/>
      <c r="D6441" s="608"/>
      <c r="E6441" s="609"/>
      <c r="F6441" s="131">
        <f>ROUND(F6413+F6424+F6432+F6438,0)</f>
        <v>1868506</v>
      </c>
      <c r="G6441" s="81"/>
      <c r="H6441" s="81"/>
      <c r="I6441" s="81"/>
      <c r="J6441" s="81"/>
      <c r="K6441" s="81"/>
      <c r="L6441" s="81"/>
      <c r="M6441" s="81"/>
      <c r="N6441" s="81"/>
    </row>
    <row r="6442" spans="1:14" ht="14.25" customHeight="1" x14ac:dyDescent="0.25">
      <c r="A6442" s="612" t="s">
        <v>589</v>
      </c>
      <c r="B6442" s="608"/>
      <c r="C6442" s="608"/>
      <c r="D6442" s="608"/>
      <c r="E6442" s="609"/>
      <c r="F6442" s="132"/>
      <c r="G6442" s="81"/>
      <c r="H6442" s="81"/>
      <c r="I6442" s="81"/>
      <c r="J6442" s="81"/>
      <c r="K6442" s="81"/>
      <c r="L6442" s="81"/>
      <c r="M6442" s="81"/>
      <c r="N6442" s="81"/>
    </row>
    <row r="6443" spans="1:14" ht="14.25" customHeight="1" x14ac:dyDescent="0.25">
      <c r="A6443" s="612" t="s">
        <v>556</v>
      </c>
      <c r="B6443" s="608"/>
      <c r="C6443" s="608"/>
      <c r="D6443" s="608"/>
      <c r="E6443" s="609"/>
      <c r="F6443" s="133"/>
      <c r="G6443" s="81"/>
      <c r="H6443" s="81"/>
      <c r="I6443" s="81"/>
      <c r="J6443" s="81"/>
      <c r="K6443" s="81"/>
      <c r="L6443" s="81"/>
      <c r="M6443" s="81"/>
      <c r="N6443" s="81"/>
    </row>
    <row r="6444" spans="1:14" ht="14.25" customHeight="1" x14ac:dyDescent="0.25">
      <c r="A6444" s="134"/>
      <c r="B6444" s="135"/>
      <c r="C6444" s="135"/>
      <c r="D6444" s="135"/>
      <c r="E6444" s="135"/>
      <c r="F6444" s="136"/>
      <c r="G6444" s="81"/>
      <c r="H6444" s="81"/>
      <c r="I6444" s="81"/>
      <c r="J6444" s="81"/>
      <c r="K6444" s="81"/>
      <c r="L6444" s="81"/>
      <c r="M6444" s="81"/>
      <c r="N6444" s="81"/>
    </row>
    <row r="6445" spans="1:14" ht="14.25" customHeight="1" x14ac:dyDescent="0.25">
      <c r="A6445" s="81"/>
      <c r="B6445" s="81"/>
      <c r="C6445" s="137"/>
      <c r="D6445" s="81"/>
      <c r="E6445" s="81"/>
      <c r="F6445" s="81"/>
      <c r="G6445" s="81"/>
      <c r="H6445" s="81"/>
      <c r="I6445" s="81"/>
      <c r="J6445" s="81"/>
      <c r="K6445" s="81"/>
      <c r="L6445" s="81"/>
      <c r="M6445" s="81"/>
      <c r="N6445" s="81"/>
    </row>
    <row r="6446" spans="1:14" ht="14.25" customHeight="1" x14ac:dyDescent="0.25">
      <c r="A6446" s="81"/>
      <c r="B6446" s="81"/>
      <c r="C6446" s="137"/>
      <c r="D6446" s="81"/>
      <c r="E6446" s="81"/>
      <c r="F6446" s="81"/>
      <c r="G6446" s="81"/>
      <c r="H6446" s="81"/>
      <c r="I6446" s="81"/>
      <c r="J6446" s="81"/>
      <c r="K6446" s="81"/>
      <c r="L6446" s="81"/>
      <c r="M6446" s="81"/>
      <c r="N6446" s="81"/>
    </row>
    <row r="6447" spans="1:14" ht="14.25" customHeight="1" x14ac:dyDescent="0.25">
      <c r="A6447" s="81"/>
      <c r="B6447" s="81"/>
      <c r="C6447" s="137"/>
      <c r="D6447" s="81"/>
      <c r="E6447" s="81"/>
      <c r="F6447" s="81"/>
      <c r="G6447" s="81"/>
      <c r="H6447" s="81"/>
      <c r="I6447" s="81"/>
      <c r="J6447" s="81"/>
      <c r="K6447" s="81"/>
      <c r="L6447" s="81"/>
      <c r="M6447" s="81"/>
      <c r="N6447" s="81"/>
    </row>
    <row r="6448" spans="1:14" ht="14.25" customHeight="1" x14ac:dyDescent="0.25">
      <c r="A6448" s="81"/>
      <c r="B6448" s="81"/>
      <c r="C6448" s="137"/>
      <c r="D6448" s="81"/>
      <c r="E6448" s="81"/>
      <c r="F6448" s="81"/>
      <c r="G6448" s="81"/>
      <c r="H6448" s="81"/>
      <c r="I6448" s="81"/>
      <c r="J6448" s="81"/>
      <c r="K6448" s="81"/>
      <c r="L6448" s="81"/>
      <c r="M6448" s="81"/>
      <c r="N6448" s="81"/>
    </row>
    <row r="6449" spans="1:14" ht="16.5" thickBot="1" x14ac:dyDescent="0.3">
      <c r="A6449" s="81"/>
      <c r="B6449" s="81"/>
      <c r="C6449" s="81"/>
      <c r="D6449" s="81"/>
      <c r="E6449" s="81"/>
      <c r="F6449" s="81"/>
      <c r="G6449" s="81"/>
      <c r="H6449" s="81"/>
      <c r="I6449" s="81"/>
      <c r="J6449" s="81"/>
      <c r="K6449" s="81"/>
      <c r="L6449" s="81"/>
      <c r="M6449" s="81"/>
      <c r="N6449" s="81"/>
    </row>
    <row r="6450" spans="1:14" ht="14.25" customHeight="1" x14ac:dyDescent="0.25">
      <c r="A6450" s="83"/>
      <c r="B6450" s="84"/>
      <c r="C6450" s="85"/>
      <c r="D6450" s="86"/>
      <c r="E6450" s="86"/>
      <c r="F6450" s="87"/>
      <c r="G6450" s="81"/>
      <c r="H6450" s="81"/>
      <c r="I6450" s="81"/>
      <c r="J6450" s="81"/>
      <c r="K6450" s="81"/>
      <c r="L6450" s="81"/>
      <c r="M6450" s="81"/>
      <c r="N6450" s="81"/>
    </row>
    <row r="6451" spans="1:14" ht="14.25" customHeight="1" x14ac:dyDescent="0.25">
      <c r="A6451" s="599"/>
      <c r="B6451" s="600"/>
      <c r="C6451" s="600"/>
      <c r="D6451" s="600"/>
      <c r="E6451" s="600"/>
      <c r="F6451" s="601"/>
      <c r="G6451" s="81"/>
      <c r="H6451" s="81"/>
      <c r="I6451" s="81"/>
      <c r="J6451" s="81"/>
      <c r="K6451" s="81"/>
      <c r="L6451" s="81"/>
      <c r="M6451" s="81"/>
      <c r="N6451" s="81"/>
    </row>
    <row r="6452" spans="1:14" ht="14.25" customHeight="1" x14ac:dyDescent="0.25">
      <c r="A6452" s="602" t="s">
        <v>561</v>
      </c>
      <c r="B6452" s="600"/>
      <c r="C6452" s="600"/>
      <c r="D6452" s="600"/>
      <c r="E6452" s="600"/>
      <c r="F6452" s="601"/>
      <c r="G6452" s="81"/>
      <c r="H6452" s="81"/>
      <c r="I6452" s="81"/>
      <c r="J6452" s="81"/>
      <c r="K6452" s="81"/>
      <c r="L6452" s="81"/>
      <c r="M6452" s="81"/>
      <c r="N6452" s="81"/>
    </row>
    <row r="6453" spans="1:14" ht="14.25" customHeight="1" thickBot="1" x14ac:dyDescent="0.3">
      <c r="A6453" s="603"/>
      <c r="B6453" s="604"/>
      <c r="C6453" s="604"/>
      <c r="D6453" s="604"/>
      <c r="E6453" s="604"/>
      <c r="F6453" s="605"/>
      <c r="G6453" s="81"/>
      <c r="H6453" s="81"/>
      <c r="I6453" s="81"/>
      <c r="J6453" s="81"/>
      <c r="K6453" s="81"/>
      <c r="L6453" s="81"/>
      <c r="M6453" s="81"/>
      <c r="N6453" s="81"/>
    </row>
    <row r="6454" spans="1:14" ht="14.25" customHeight="1" x14ac:dyDescent="0.25">
      <c r="A6454" s="88"/>
      <c r="B6454" s="88"/>
      <c r="C6454" s="89"/>
      <c r="D6454" s="89"/>
      <c r="E6454" s="89"/>
      <c r="F6454" s="89"/>
      <c r="G6454" s="81"/>
      <c r="H6454" s="81"/>
      <c r="I6454" s="81"/>
      <c r="J6454" s="81"/>
      <c r="K6454" s="81"/>
      <c r="L6454" s="81"/>
      <c r="M6454" s="81"/>
      <c r="N6454" s="81"/>
    </row>
    <row r="6455" spans="1:14" ht="14.25" customHeight="1" x14ac:dyDescent="0.25">
      <c r="A6455" s="90" t="s">
        <v>47</v>
      </c>
      <c r="B6455" s="613" t="s">
        <v>319</v>
      </c>
      <c r="C6455" s="600"/>
      <c r="D6455" s="600"/>
      <c r="E6455" s="600"/>
      <c r="F6455" s="600"/>
      <c r="G6455" s="81"/>
      <c r="H6455" s="81"/>
      <c r="I6455" s="81"/>
      <c r="J6455" s="81"/>
      <c r="K6455" s="81"/>
      <c r="L6455" s="81"/>
      <c r="M6455" s="81"/>
      <c r="N6455" s="81"/>
    </row>
    <row r="6456" spans="1:14" ht="14.25" customHeight="1" x14ac:dyDescent="0.25">
      <c r="A6456" s="91"/>
      <c r="B6456" s="91"/>
      <c r="C6456" s="91"/>
      <c r="D6456" s="91"/>
      <c r="E6456" s="91"/>
      <c r="F6456" s="91"/>
      <c r="G6456" s="81"/>
      <c r="H6456" s="81"/>
      <c r="I6456" s="81"/>
      <c r="J6456" s="81"/>
      <c r="K6456" s="81"/>
      <c r="L6456" s="81"/>
      <c r="M6456" s="81"/>
      <c r="N6456" s="81"/>
    </row>
    <row r="6457" spans="1:14" ht="14.25" customHeight="1" x14ac:dyDescent="0.25">
      <c r="A6457" s="88" t="s">
        <v>49</v>
      </c>
      <c r="B6457" s="92" t="s">
        <v>99</v>
      </c>
      <c r="C6457" s="89"/>
      <c r="D6457" s="89"/>
      <c r="E6457" s="89"/>
      <c r="F6457" s="93"/>
      <c r="G6457" s="81"/>
      <c r="H6457" s="81"/>
      <c r="I6457" s="81"/>
      <c r="J6457" s="81"/>
      <c r="K6457" s="81"/>
      <c r="L6457" s="81"/>
      <c r="M6457" s="81"/>
      <c r="N6457" s="81"/>
    </row>
    <row r="6458" spans="1:14" ht="14.25" customHeight="1" x14ac:dyDescent="0.25">
      <c r="A6458" s="88"/>
      <c r="B6458" s="94"/>
      <c r="C6458" s="89"/>
      <c r="D6458" s="89"/>
      <c r="E6458" s="89"/>
      <c r="F6458" s="93"/>
      <c r="G6458" s="81"/>
      <c r="H6458" s="81"/>
      <c r="I6458" s="81"/>
      <c r="J6458" s="81"/>
      <c r="K6458" s="81"/>
      <c r="L6458" s="81"/>
      <c r="M6458" s="81"/>
      <c r="N6458" s="81"/>
    </row>
    <row r="6459" spans="1:14" ht="14.25" customHeight="1" x14ac:dyDescent="0.25">
      <c r="A6459" s="95" t="s">
        <v>562</v>
      </c>
      <c r="B6459" s="96"/>
      <c r="C6459" s="92"/>
      <c r="D6459" s="92"/>
      <c r="E6459" s="92"/>
      <c r="F6459" s="92"/>
      <c r="G6459" s="81"/>
      <c r="H6459" s="81"/>
      <c r="I6459" s="81"/>
      <c r="J6459" s="81"/>
      <c r="K6459" s="81"/>
      <c r="L6459" s="81"/>
      <c r="M6459" s="81"/>
      <c r="N6459" s="81"/>
    </row>
    <row r="6460" spans="1:14" ht="14.25" customHeight="1" x14ac:dyDescent="0.25">
      <c r="A6460" s="97" t="s">
        <v>563</v>
      </c>
      <c r="B6460" s="98" t="s">
        <v>564</v>
      </c>
      <c r="C6460" s="98" t="s">
        <v>565</v>
      </c>
      <c r="D6460" s="98" t="s">
        <v>566</v>
      </c>
      <c r="E6460" s="98" t="s">
        <v>567</v>
      </c>
      <c r="F6460" s="98" t="s">
        <v>568</v>
      </c>
      <c r="G6460" s="81"/>
      <c r="H6460" s="81"/>
      <c r="I6460" s="81"/>
      <c r="J6460" s="81"/>
      <c r="K6460" s="81"/>
      <c r="L6460" s="81"/>
      <c r="M6460" s="81"/>
      <c r="N6460" s="81"/>
    </row>
    <row r="6461" spans="1:14" ht="14.25" customHeight="1" x14ac:dyDescent="0.25">
      <c r="A6461" s="99" t="s">
        <v>775</v>
      </c>
      <c r="B6461" s="100" t="s">
        <v>651</v>
      </c>
      <c r="C6461" s="101">
        <v>15850</v>
      </c>
      <c r="D6461" s="149">
        <v>2</v>
      </c>
      <c r="E6461" s="102">
        <v>0.05</v>
      </c>
      <c r="F6461" s="101">
        <f t="shared" ref="F6461:F6466" si="311">C6461*(D6461+(D6461*E6461))</f>
        <v>33285</v>
      </c>
      <c r="G6461" s="81"/>
      <c r="H6461" s="81"/>
      <c r="I6461" s="81"/>
      <c r="J6461" s="81"/>
      <c r="K6461" s="81"/>
      <c r="L6461" s="81"/>
      <c r="M6461" s="81"/>
      <c r="N6461" s="81"/>
    </row>
    <row r="6462" spans="1:14" ht="14.25" customHeight="1" x14ac:dyDescent="0.25">
      <c r="A6462" s="99" t="s">
        <v>650</v>
      </c>
      <c r="B6462" s="100" t="s">
        <v>651</v>
      </c>
      <c r="C6462" s="101">
        <v>75350</v>
      </c>
      <c r="D6462" s="149">
        <v>1.2</v>
      </c>
      <c r="E6462" s="102">
        <v>0.05</v>
      </c>
      <c r="F6462" s="101">
        <f t="shared" si="311"/>
        <v>94941</v>
      </c>
      <c r="G6462" s="81"/>
      <c r="H6462" s="81"/>
      <c r="I6462" s="81"/>
      <c r="J6462" s="81"/>
      <c r="K6462" s="81"/>
      <c r="L6462" s="81"/>
      <c r="M6462" s="81"/>
      <c r="N6462" s="81"/>
    </row>
    <row r="6463" spans="1:14" ht="14.25" customHeight="1" x14ac:dyDescent="0.25">
      <c r="A6463" s="99" t="s">
        <v>652</v>
      </c>
      <c r="B6463" s="100" t="s">
        <v>651</v>
      </c>
      <c r="C6463" s="101">
        <v>52450</v>
      </c>
      <c r="D6463" s="149">
        <v>1.2</v>
      </c>
      <c r="E6463" s="102">
        <v>0.05</v>
      </c>
      <c r="F6463" s="101">
        <f t="shared" si="311"/>
        <v>66087</v>
      </c>
      <c r="G6463" s="81"/>
      <c r="H6463" s="81"/>
      <c r="I6463" s="81"/>
      <c r="J6463" s="81"/>
      <c r="K6463" s="81"/>
      <c r="L6463" s="81"/>
      <c r="M6463" s="81"/>
      <c r="N6463" s="81"/>
    </row>
    <row r="6464" spans="1:14" ht="14.25" customHeight="1" x14ac:dyDescent="0.25">
      <c r="A6464" s="99" t="s">
        <v>653</v>
      </c>
      <c r="B6464" s="100" t="s">
        <v>99</v>
      </c>
      <c r="C6464" s="101">
        <v>1200</v>
      </c>
      <c r="D6464" s="104">
        <v>6</v>
      </c>
      <c r="E6464" s="102">
        <v>0.05</v>
      </c>
      <c r="F6464" s="101">
        <f t="shared" si="311"/>
        <v>7560</v>
      </c>
      <c r="G6464" s="81"/>
      <c r="H6464" s="81"/>
      <c r="I6464" s="81"/>
      <c r="J6464" s="81"/>
      <c r="K6464" s="81"/>
      <c r="L6464" s="81"/>
      <c r="M6464" s="81"/>
      <c r="N6464" s="81"/>
    </row>
    <row r="6465" spans="1:14" ht="14.25" customHeight="1" x14ac:dyDescent="0.25">
      <c r="A6465" s="99"/>
      <c r="B6465" s="100"/>
      <c r="C6465" s="101"/>
      <c r="D6465" s="104"/>
      <c r="E6465" s="102"/>
      <c r="F6465" s="101">
        <f t="shared" si="311"/>
        <v>0</v>
      </c>
      <c r="G6465" s="81"/>
      <c r="H6465" s="81"/>
      <c r="I6465" s="81"/>
      <c r="J6465" s="81"/>
      <c r="K6465" s="81"/>
      <c r="L6465" s="81"/>
      <c r="M6465" s="81"/>
      <c r="N6465" s="81"/>
    </row>
    <row r="6466" spans="1:14" ht="14.25" customHeight="1" x14ac:dyDescent="0.25">
      <c r="A6466" s="99"/>
      <c r="B6466" s="100"/>
      <c r="C6466" s="101"/>
      <c r="D6466" s="104"/>
      <c r="E6466" s="102"/>
      <c r="F6466" s="101">
        <f t="shared" si="311"/>
        <v>0</v>
      </c>
      <c r="G6466" s="81"/>
      <c r="H6466" s="81"/>
      <c r="I6466" s="81"/>
      <c r="J6466" s="81"/>
      <c r="K6466" s="81"/>
      <c r="L6466" s="81"/>
      <c r="M6466" s="81"/>
      <c r="N6466" s="81"/>
    </row>
    <row r="6467" spans="1:14" ht="14.25" customHeight="1" x14ac:dyDescent="0.25">
      <c r="A6467" s="99"/>
      <c r="B6467" s="100"/>
      <c r="C6467" s="106"/>
      <c r="D6467" s="107"/>
      <c r="E6467" s="108"/>
      <c r="F6467" s="106"/>
      <c r="G6467" s="81"/>
      <c r="H6467" s="81"/>
      <c r="I6467" s="81"/>
      <c r="J6467" s="81"/>
      <c r="K6467" s="81"/>
      <c r="L6467" s="81"/>
      <c r="M6467" s="81"/>
      <c r="N6467" s="81"/>
    </row>
    <row r="6468" spans="1:14" ht="15.75" x14ac:dyDescent="0.25">
      <c r="A6468" s="97" t="s">
        <v>548</v>
      </c>
      <c r="B6468" s="97"/>
      <c r="C6468" s="109"/>
      <c r="D6468" s="110"/>
      <c r="E6468" s="111"/>
      <c r="F6468" s="112">
        <f>SUM(F6461:F6467)</f>
        <v>201873</v>
      </c>
      <c r="G6468" s="81"/>
      <c r="H6468" s="81"/>
      <c r="I6468" s="81"/>
      <c r="J6468" s="81"/>
      <c r="K6468" s="81"/>
      <c r="L6468" s="81"/>
      <c r="M6468" s="81"/>
      <c r="N6468" s="81"/>
    </row>
    <row r="6469" spans="1:14" ht="14.25" customHeight="1" x14ac:dyDescent="0.25">
      <c r="A6469" s="88"/>
      <c r="B6469" s="88"/>
      <c r="C6469" s="113"/>
      <c r="D6469" s="113"/>
      <c r="E6469" s="114"/>
      <c r="F6469" s="113"/>
      <c r="G6469" s="81"/>
      <c r="H6469" s="81"/>
      <c r="I6469" s="81"/>
      <c r="J6469" s="81"/>
      <c r="K6469" s="81"/>
      <c r="L6469" s="81"/>
      <c r="M6469" s="81"/>
      <c r="N6469" s="81"/>
    </row>
    <row r="6470" spans="1:14" ht="14.25" customHeight="1" x14ac:dyDescent="0.25">
      <c r="A6470" s="96" t="s">
        <v>573</v>
      </c>
      <c r="B6470" s="96"/>
      <c r="C6470" s="92"/>
      <c r="D6470" s="92"/>
      <c r="E6470" s="92"/>
      <c r="F6470" s="92"/>
      <c r="G6470" s="81"/>
      <c r="H6470" s="81"/>
      <c r="I6470" s="81"/>
      <c r="J6470" s="81"/>
      <c r="K6470" s="81"/>
      <c r="L6470" s="81"/>
      <c r="M6470" s="81"/>
      <c r="N6470" s="81"/>
    </row>
    <row r="6471" spans="1:14" ht="14.25" customHeight="1" x14ac:dyDescent="0.25">
      <c r="A6471" s="611" t="s">
        <v>563</v>
      </c>
      <c r="B6471" s="608"/>
      <c r="C6471" s="609"/>
      <c r="D6471" s="98" t="s">
        <v>574</v>
      </c>
      <c r="E6471" s="98" t="s">
        <v>575</v>
      </c>
      <c r="F6471" s="98" t="s">
        <v>568</v>
      </c>
      <c r="G6471" s="81"/>
      <c r="H6471" s="81"/>
      <c r="I6471" s="81"/>
      <c r="J6471" s="81"/>
      <c r="K6471" s="81"/>
      <c r="L6471" s="81"/>
      <c r="M6471" s="81"/>
      <c r="N6471" s="81"/>
    </row>
    <row r="6472" spans="1:14" ht="14.25" customHeight="1" x14ac:dyDescent="0.25">
      <c r="A6472" s="607" t="s">
        <v>577</v>
      </c>
      <c r="B6472" s="608"/>
      <c r="C6472" s="609"/>
      <c r="D6472" s="116"/>
      <c r="E6472" s="107"/>
      <c r="F6472" s="106">
        <f>+F6487*5%</f>
        <v>6312.5969431325057</v>
      </c>
      <c r="G6472" s="81"/>
      <c r="H6472" s="81"/>
      <c r="I6472" s="81"/>
      <c r="J6472" s="81"/>
      <c r="K6472" s="81"/>
      <c r="L6472" s="81"/>
      <c r="M6472" s="81"/>
      <c r="N6472" s="81"/>
    </row>
    <row r="6473" spans="1:14" ht="14.25" customHeight="1" x14ac:dyDescent="0.25">
      <c r="A6473" s="607" t="s">
        <v>654</v>
      </c>
      <c r="B6473" s="608"/>
      <c r="C6473" s="609"/>
      <c r="D6473" s="142">
        <v>4200</v>
      </c>
      <c r="E6473" s="105">
        <v>0.3</v>
      </c>
      <c r="F6473" s="106">
        <f t="shared" ref="F6473:F6474" si="312">D6473/E6473</f>
        <v>14000</v>
      </c>
      <c r="G6473" s="81"/>
      <c r="H6473" s="81"/>
      <c r="I6473" s="81"/>
      <c r="J6473" s="81"/>
      <c r="K6473" s="81"/>
      <c r="L6473" s="81"/>
      <c r="M6473" s="81"/>
      <c r="N6473" s="81"/>
    </row>
    <row r="6474" spans="1:14" ht="14.25" customHeight="1" x14ac:dyDescent="0.25">
      <c r="A6474" s="607" t="s">
        <v>655</v>
      </c>
      <c r="B6474" s="608"/>
      <c r="C6474" s="609"/>
      <c r="D6474" s="142">
        <v>625</v>
      </c>
      <c r="E6474" s="105">
        <v>0.4</v>
      </c>
      <c r="F6474" s="106">
        <f t="shared" si="312"/>
        <v>1562.5</v>
      </c>
      <c r="G6474" s="81"/>
      <c r="H6474" s="81"/>
      <c r="I6474" s="81"/>
      <c r="J6474" s="81"/>
      <c r="K6474" s="81"/>
      <c r="L6474" s="81"/>
      <c r="M6474" s="81"/>
      <c r="N6474" s="81"/>
    </row>
    <row r="6475" spans="1:14" ht="14.25" customHeight="1" x14ac:dyDescent="0.25">
      <c r="A6475" s="607"/>
      <c r="B6475" s="608"/>
      <c r="C6475" s="609"/>
      <c r="D6475" s="142"/>
      <c r="E6475" s="107"/>
      <c r="F6475" s="106"/>
      <c r="G6475" s="81"/>
      <c r="H6475" s="81"/>
      <c r="I6475" s="81"/>
      <c r="J6475" s="81"/>
      <c r="K6475" s="81"/>
      <c r="L6475" s="81"/>
      <c r="M6475" s="81"/>
      <c r="N6475" s="81"/>
    </row>
    <row r="6476" spans="1:14" ht="14.25" customHeight="1" x14ac:dyDescent="0.25">
      <c r="A6476" s="607"/>
      <c r="B6476" s="608"/>
      <c r="C6476" s="609"/>
      <c r="D6476" s="142"/>
      <c r="E6476" s="107"/>
      <c r="F6476" s="106"/>
      <c r="G6476" s="81"/>
      <c r="H6476" s="81"/>
      <c r="I6476" s="81"/>
      <c r="J6476" s="81"/>
      <c r="K6476" s="81"/>
      <c r="L6476" s="81"/>
      <c r="M6476" s="81"/>
      <c r="N6476" s="81"/>
    </row>
    <row r="6477" spans="1:14" ht="14.25" customHeight="1" x14ac:dyDescent="0.25">
      <c r="A6477" s="607"/>
      <c r="B6477" s="608"/>
      <c r="C6477" s="609"/>
      <c r="D6477" s="142"/>
      <c r="E6477" s="105"/>
      <c r="F6477" s="106"/>
      <c r="G6477" s="81"/>
      <c r="H6477" s="81"/>
      <c r="I6477" s="81"/>
      <c r="J6477" s="81"/>
      <c r="K6477" s="81"/>
      <c r="L6477" s="81"/>
      <c r="M6477" s="81"/>
      <c r="N6477" s="81"/>
    </row>
    <row r="6478" spans="1:14" ht="14.25" customHeight="1" x14ac:dyDescent="0.25">
      <c r="A6478" s="610"/>
      <c r="B6478" s="608"/>
      <c r="C6478" s="609"/>
      <c r="D6478" s="115"/>
      <c r="E6478" s="107"/>
      <c r="F6478" s="106"/>
      <c r="G6478" s="81"/>
      <c r="H6478" s="81"/>
      <c r="I6478" s="81"/>
      <c r="J6478" s="81"/>
      <c r="K6478" s="81"/>
      <c r="L6478" s="81"/>
      <c r="M6478" s="81"/>
      <c r="N6478" s="81"/>
    </row>
    <row r="6479" spans="1:14" ht="14.25" customHeight="1" x14ac:dyDescent="0.25">
      <c r="A6479" s="611" t="s">
        <v>548</v>
      </c>
      <c r="B6479" s="608"/>
      <c r="C6479" s="609"/>
      <c r="D6479" s="110"/>
      <c r="E6479" s="110"/>
      <c r="F6479" s="112">
        <f>SUM(F6472:F6478)</f>
        <v>21875.096943132507</v>
      </c>
      <c r="G6479" s="81"/>
      <c r="H6479" s="81"/>
      <c r="I6479" s="81"/>
      <c r="J6479" s="81"/>
      <c r="K6479" s="81"/>
      <c r="L6479" s="81"/>
      <c r="M6479" s="81"/>
      <c r="N6479" s="81"/>
    </row>
    <row r="6480" spans="1:14" ht="14.25" customHeight="1" x14ac:dyDescent="0.25">
      <c r="A6480" s="88"/>
      <c r="B6480" s="88"/>
      <c r="C6480" s="89"/>
      <c r="D6480" s="113"/>
      <c r="E6480" s="113"/>
      <c r="F6480" s="113"/>
      <c r="G6480" s="81"/>
      <c r="H6480" s="81"/>
      <c r="I6480" s="81"/>
      <c r="J6480" s="81"/>
      <c r="K6480" s="81"/>
      <c r="L6480" s="81"/>
      <c r="M6480" s="81"/>
      <c r="N6480" s="81"/>
    </row>
    <row r="6481" spans="1:14" ht="14.25" customHeight="1" x14ac:dyDescent="0.25">
      <c r="A6481" s="96" t="s">
        <v>578</v>
      </c>
      <c r="B6481" s="96"/>
      <c r="C6481" s="92"/>
      <c r="D6481" s="118"/>
      <c r="E6481" s="118"/>
      <c r="F6481" s="118"/>
      <c r="G6481" s="81"/>
      <c r="H6481" s="81"/>
      <c r="I6481" s="81"/>
      <c r="J6481" s="81"/>
      <c r="K6481" s="81"/>
      <c r="L6481" s="81"/>
      <c r="M6481" s="81"/>
      <c r="N6481" s="81"/>
    </row>
    <row r="6482" spans="1:14" ht="14.25" customHeight="1" x14ac:dyDescent="0.25">
      <c r="A6482" s="119" t="s">
        <v>563</v>
      </c>
      <c r="B6482" s="120" t="s">
        <v>579</v>
      </c>
      <c r="C6482" s="120" t="s">
        <v>580</v>
      </c>
      <c r="D6482" s="121" t="s">
        <v>581</v>
      </c>
      <c r="E6482" s="121" t="s">
        <v>575</v>
      </c>
      <c r="F6482" s="121" t="s">
        <v>568</v>
      </c>
      <c r="G6482" s="81"/>
      <c r="H6482" s="117"/>
      <c r="I6482" s="81"/>
      <c r="J6482" s="81"/>
      <c r="K6482" s="81"/>
      <c r="L6482" s="81"/>
      <c r="M6482" s="81"/>
      <c r="N6482" s="81"/>
    </row>
    <row r="6483" spans="1:14" ht="14.25" customHeight="1" x14ac:dyDescent="0.25">
      <c r="A6483" s="122" t="s">
        <v>593</v>
      </c>
      <c r="B6483" s="127">
        <v>1</v>
      </c>
      <c r="C6483" s="101">
        <v>32688</v>
      </c>
      <c r="D6483" s="101">
        <f t="shared" ref="D6483:D6484" si="313">+C6483*1.7</f>
        <v>55569.599999999999</v>
      </c>
      <c r="E6483" s="107">
        <v>1.14758</v>
      </c>
      <c r="F6483" s="106">
        <f t="shared" ref="F6483:F6484" si="314">+B6483*(D6483)/E6483</f>
        <v>48423.29075097161</v>
      </c>
      <c r="G6483" s="81"/>
      <c r="H6483" s="81"/>
      <c r="I6483" s="81"/>
      <c r="J6483" s="81"/>
      <c r="K6483" s="81"/>
      <c r="L6483" s="81"/>
      <c r="M6483" s="81"/>
      <c r="N6483" s="81"/>
    </row>
    <row r="6484" spans="1:14" ht="14.25" customHeight="1" x14ac:dyDescent="0.25">
      <c r="A6484" s="122" t="s">
        <v>594</v>
      </c>
      <c r="B6484" s="127">
        <v>1</v>
      </c>
      <c r="C6484" s="101">
        <v>52538</v>
      </c>
      <c r="D6484" s="101">
        <f t="shared" si="313"/>
        <v>89314.599999999991</v>
      </c>
      <c r="E6484" s="107">
        <f>E6483</f>
        <v>1.14758</v>
      </c>
      <c r="F6484" s="106">
        <f t="shared" si="314"/>
        <v>77828.648111678485</v>
      </c>
      <c r="G6484" s="81"/>
      <c r="H6484" s="143"/>
      <c r="I6484" s="81"/>
      <c r="J6484" s="81"/>
      <c r="K6484" s="81"/>
      <c r="L6484" s="81"/>
      <c r="M6484" s="81"/>
      <c r="N6484" s="81"/>
    </row>
    <row r="6485" spans="1:14" ht="14.25" customHeight="1" x14ac:dyDescent="0.25">
      <c r="A6485" s="122"/>
      <c r="B6485" s="127"/>
      <c r="C6485" s="101"/>
      <c r="D6485" s="101"/>
      <c r="E6485" s="107"/>
      <c r="F6485" s="106"/>
      <c r="G6485" s="81"/>
      <c r="H6485" s="81"/>
      <c r="I6485" s="81"/>
      <c r="J6485" s="81"/>
      <c r="K6485" s="81"/>
      <c r="L6485" s="81"/>
      <c r="M6485" s="81"/>
      <c r="N6485" s="81"/>
    </row>
    <row r="6486" spans="1:14" ht="14.25" customHeight="1" x14ac:dyDescent="0.25">
      <c r="A6486" s="122"/>
      <c r="B6486" s="127"/>
      <c r="C6486" s="101"/>
      <c r="D6486" s="101"/>
      <c r="E6486" s="125"/>
      <c r="F6486" s="106"/>
      <c r="G6486" s="81"/>
      <c r="H6486" s="81"/>
      <c r="I6486" s="81"/>
      <c r="J6486" s="81"/>
      <c r="K6486" s="81"/>
      <c r="L6486" s="81"/>
      <c r="M6486" s="81"/>
      <c r="N6486" s="81"/>
    </row>
    <row r="6487" spans="1:14" ht="14.25" customHeight="1" x14ac:dyDescent="0.25">
      <c r="A6487" s="97" t="s">
        <v>548</v>
      </c>
      <c r="B6487" s="128"/>
      <c r="C6487" s="110"/>
      <c r="D6487" s="110"/>
      <c r="E6487" s="110"/>
      <c r="F6487" s="112">
        <f>SUM(F6483:F6486)</f>
        <v>126251.9388626501</v>
      </c>
      <c r="G6487" s="81"/>
      <c r="H6487" s="81"/>
      <c r="I6487" s="81"/>
      <c r="J6487" s="81"/>
      <c r="K6487" s="81"/>
      <c r="L6487" s="81"/>
      <c r="M6487" s="81"/>
      <c r="N6487" s="81"/>
    </row>
    <row r="6488" spans="1:14" ht="14.25" customHeight="1" x14ac:dyDescent="0.25">
      <c r="A6488" s="96"/>
      <c r="B6488" s="129"/>
      <c r="C6488" s="118"/>
      <c r="D6488" s="118"/>
      <c r="E6488" s="118"/>
      <c r="F6488" s="118"/>
      <c r="G6488" s="81"/>
      <c r="H6488" s="81"/>
      <c r="I6488" s="81"/>
      <c r="J6488" s="81"/>
      <c r="K6488" s="81"/>
      <c r="L6488" s="81"/>
      <c r="M6488" s="81"/>
      <c r="N6488" s="81"/>
    </row>
    <row r="6489" spans="1:14" ht="14.25" customHeight="1" x14ac:dyDescent="0.25">
      <c r="A6489" s="95" t="s">
        <v>583</v>
      </c>
      <c r="B6489" s="96"/>
      <c r="C6489" s="92"/>
      <c r="D6489" s="92"/>
      <c r="E6489" s="92" t="s">
        <v>584</v>
      </c>
      <c r="F6489" s="92"/>
      <c r="G6489" s="81"/>
      <c r="H6489" s="81"/>
      <c r="I6489" s="81"/>
      <c r="J6489" s="81"/>
      <c r="K6489" s="81"/>
      <c r="L6489" s="81"/>
      <c r="M6489" s="81"/>
      <c r="N6489" s="81"/>
    </row>
    <row r="6490" spans="1:14" ht="14.25" customHeight="1" x14ac:dyDescent="0.25">
      <c r="A6490" s="97" t="s">
        <v>563</v>
      </c>
      <c r="B6490" s="98" t="s">
        <v>564</v>
      </c>
      <c r="C6490" s="98" t="s">
        <v>585</v>
      </c>
      <c r="D6490" s="98" t="s">
        <v>586</v>
      </c>
      <c r="E6490" s="120" t="s">
        <v>587</v>
      </c>
      <c r="F6490" s="98" t="s">
        <v>568</v>
      </c>
      <c r="G6490" s="81"/>
      <c r="H6490" s="81"/>
      <c r="I6490" s="81"/>
      <c r="J6490" s="81"/>
      <c r="K6490" s="81"/>
      <c r="L6490" s="81"/>
      <c r="M6490" s="81"/>
      <c r="N6490" s="81"/>
    </row>
    <row r="6491" spans="1:14" ht="14.25" customHeight="1" x14ac:dyDescent="0.25">
      <c r="A6491" s="103"/>
      <c r="B6491" s="100"/>
      <c r="C6491" s="101"/>
      <c r="D6491" s="140"/>
      <c r="E6491" s="107"/>
      <c r="F6491" s="109"/>
      <c r="G6491" s="81"/>
      <c r="H6491" s="81"/>
      <c r="I6491" s="81"/>
      <c r="J6491" s="81"/>
      <c r="K6491" s="81"/>
      <c r="L6491" s="81"/>
      <c r="M6491" s="81"/>
      <c r="N6491" s="81"/>
    </row>
    <row r="6492" spans="1:14" ht="14.25" customHeight="1" x14ac:dyDescent="0.25">
      <c r="A6492" s="103"/>
      <c r="B6492" s="100"/>
      <c r="C6492" s="107"/>
      <c r="D6492" s="107"/>
      <c r="E6492" s="108"/>
      <c r="F6492" s="109"/>
      <c r="G6492" s="81"/>
      <c r="H6492" s="81"/>
      <c r="I6492" s="81"/>
      <c r="J6492" s="81"/>
      <c r="K6492" s="81"/>
      <c r="L6492" s="81"/>
      <c r="M6492" s="81"/>
      <c r="N6492" s="81"/>
    </row>
    <row r="6493" spans="1:14" ht="14.25" customHeight="1" x14ac:dyDescent="0.25">
      <c r="A6493" s="97" t="s">
        <v>548</v>
      </c>
      <c r="B6493" s="98"/>
      <c r="C6493" s="110"/>
      <c r="D6493" s="110"/>
      <c r="E6493" s="111"/>
      <c r="F6493" s="112">
        <f>SUM(F6491:F6492)</f>
        <v>0</v>
      </c>
      <c r="G6493" s="81"/>
      <c r="H6493" s="81"/>
      <c r="I6493" s="81"/>
      <c r="J6493" s="81"/>
      <c r="K6493" s="81"/>
      <c r="L6493" s="81"/>
      <c r="M6493" s="81"/>
      <c r="N6493" s="81"/>
    </row>
    <row r="6494" spans="1:14" ht="14.25" customHeight="1" x14ac:dyDescent="0.25">
      <c r="A6494" s="88"/>
      <c r="B6494" s="89"/>
      <c r="C6494" s="113"/>
      <c r="D6494" s="113"/>
      <c r="E6494" s="114"/>
      <c r="F6494" s="113"/>
      <c r="G6494" s="81"/>
      <c r="H6494" s="81"/>
      <c r="I6494" s="81"/>
      <c r="J6494" s="81"/>
      <c r="K6494" s="81"/>
      <c r="L6494" s="81"/>
      <c r="M6494" s="81"/>
      <c r="N6494" s="81"/>
    </row>
    <row r="6495" spans="1:14" ht="14.25" customHeight="1" x14ac:dyDescent="0.25">
      <c r="A6495" s="88"/>
      <c r="B6495" s="89"/>
      <c r="C6495" s="113"/>
      <c r="D6495" s="113"/>
      <c r="E6495" s="114"/>
      <c r="F6495" s="113"/>
      <c r="G6495" s="81"/>
      <c r="H6495" s="81"/>
      <c r="I6495" s="81"/>
      <c r="J6495" s="81"/>
      <c r="K6495" s="81"/>
      <c r="L6495" s="81"/>
      <c r="M6495" s="81"/>
      <c r="N6495" s="81"/>
    </row>
    <row r="6496" spans="1:14" ht="14.25" customHeight="1" x14ac:dyDescent="0.25">
      <c r="A6496" s="612" t="s">
        <v>588</v>
      </c>
      <c r="B6496" s="608"/>
      <c r="C6496" s="608"/>
      <c r="D6496" s="608"/>
      <c r="E6496" s="609"/>
      <c r="F6496" s="131">
        <f>ROUND(F6468+F6479+F6487+F6493,0)</f>
        <v>350000</v>
      </c>
      <c r="G6496" s="81"/>
      <c r="H6496" s="81"/>
      <c r="I6496" s="81"/>
      <c r="J6496" s="81"/>
      <c r="K6496" s="81"/>
      <c r="L6496" s="81"/>
      <c r="M6496" s="81"/>
      <c r="N6496" s="81"/>
    </row>
    <row r="6497" spans="1:14" ht="14.25" customHeight="1" x14ac:dyDescent="0.25">
      <c r="A6497" s="612" t="s">
        <v>589</v>
      </c>
      <c r="B6497" s="608"/>
      <c r="C6497" s="608"/>
      <c r="D6497" s="608"/>
      <c r="E6497" s="609"/>
      <c r="F6497" s="132"/>
      <c r="G6497" s="81"/>
      <c r="H6497" s="81"/>
      <c r="I6497" s="81"/>
      <c r="J6497" s="81"/>
      <c r="K6497" s="81"/>
      <c r="L6497" s="81"/>
      <c r="M6497" s="81"/>
      <c r="N6497" s="81"/>
    </row>
    <row r="6498" spans="1:14" ht="14.25" customHeight="1" x14ac:dyDescent="0.25">
      <c r="A6498" s="612" t="s">
        <v>556</v>
      </c>
      <c r="B6498" s="608"/>
      <c r="C6498" s="608"/>
      <c r="D6498" s="608"/>
      <c r="E6498" s="609"/>
      <c r="F6498" s="133"/>
      <c r="G6498" s="81"/>
      <c r="H6498" s="81"/>
      <c r="I6498" s="81"/>
      <c r="J6498" s="81"/>
      <c r="K6498" s="81"/>
      <c r="L6498" s="81"/>
      <c r="M6498" s="81"/>
      <c r="N6498" s="81"/>
    </row>
    <row r="6499" spans="1:14" ht="14.25" customHeight="1" x14ac:dyDescent="0.25">
      <c r="A6499" s="134"/>
      <c r="B6499" s="135"/>
      <c r="C6499" s="135"/>
      <c r="D6499" s="135"/>
      <c r="E6499" s="135"/>
      <c r="F6499" s="136"/>
      <c r="G6499" s="81"/>
      <c r="H6499" s="81"/>
      <c r="I6499" s="81"/>
      <c r="J6499" s="81"/>
      <c r="K6499" s="81"/>
      <c r="L6499" s="81"/>
      <c r="M6499" s="81"/>
      <c r="N6499" s="81"/>
    </row>
    <row r="6500" spans="1:14" ht="14.25" customHeight="1" x14ac:dyDescent="0.25">
      <c r="A6500" s="134"/>
      <c r="B6500" s="135"/>
      <c r="C6500" s="135"/>
      <c r="D6500" s="135"/>
      <c r="E6500" s="135"/>
      <c r="F6500" s="136"/>
      <c r="G6500" s="81"/>
      <c r="H6500" s="81"/>
      <c r="I6500" s="81"/>
      <c r="J6500" s="81"/>
      <c r="K6500" s="81"/>
      <c r="L6500" s="81"/>
      <c r="M6500" s="81"/>
      <c r="N6500" s="81"/>
    </row>
    <row r="6501" spans="1:14" ht="14.25" customHeight="1" x14ac:dyDescent="0.25">
      <c r="A6501" s="134"/>
      <c r="B6501" s="135"/>
      <c r="C6501" s="135"/>
      <c r="D6501" s="135"/>
      <c r="E6501" s="135"/>
      <c r="F6501" s="136"/>
      <c r="G6501" s="81"/>
      <c r="H6501" s="81"/>
      <c r="I6501" s="81"/>
      <c r="J6501" s="81"/>
      <c r="K6501" s="81"/>
      <c r="L6501" s="81"/>
      <c r="M6501" s="81"/>
      <c r="N6501" s="81"/>
    </row>
    <row r="6502" spans="1:14" ht="14.25" customHeight="1" x14ac:dyDescent="0.25">
      <c r="A6502" s="134"/>
      <c r="B6502" s="135"/>
      <c r="C6502" s="135"/>
      <c r="D6502" s="135"/>
      <c r="E6502" s="135"/>
      <c r="F6502" s="136"/>
      <c r="G6502" s="81"/>
      <c r="H6502" s="81"/>
      <c r="I6502" s="81"/>
      <c r="J6502" s="81"/>
      <c r="K6502" s="81"/>
      <c r="L6502" s="81"/>
      <c r="M6502" s="81"/>
      <c r="N6502" s="81"/>
    </row>
    <row r="6503" spans="1:14" ht="14.25" customHeight="1" x14ac:dyDescent="0.25">
      <c r="A6503" s="81"/>
      <c r="B6503" s="81"/>
      <c r="C6503" s="137"/>
      <c r="D6503" s="81"/>
      <c r="E6503" s="81"/>
      <c r="F6503" s="81"/>
      <c r="G6503" s="81"/>
      <c r="H6503" s="81"/>
      <c r="I6503" s="81"/>
      <c r="J6503" s="81"/>
      <c r="K6503" s="81"/>
      <c r="L6503" s="81"/>
      <c r="M6503" s="81"/>
      <c r="N6503" s="81"/>
    </row>
    <row r="6504" spans="1:14" ht="14.25" customHeight="1" x14ac:dyDescent="0.25">
      <c r="A6504" s="81"/>
      <c r="B6504" s="81"/>
      <c r="C6504" s="137"/>
      <c r="D6504" s="81"/>
      <c r="E6504" s="81"/>
      <c r="F6504" s="81"/>
      <c r="G6504" s="81"/>
      <c r="H6504" s="81"/>
      <c r="I6504" s="81"/>
      <c r="J6504" s="81"/>
      <c r="K6504" s="81"/>
      <c r="L6504" s="81"/>
      <c r="M6504" s="81"/>
      <c r="N6504" s="81"/>
    </row>
    <row r="6505" spans="1:14" ht="14.25" customHeight="1" x14ac:dyDescent="0.25">
      <c r="A6505" s="81"/>
      <c r="B6505" s="81"/>
      <c r="C6505" s="137"/>
      <c r="D6505" s="81"/>
      <c r="E6505" s="81"/>
      <c r="F6505" s="81"/>
      <c r="G6505" s="81"/>
      <c r="H6505" s="81"/>
      <c r="I6505" s="81"/>
      <c r="J6505" s="81"/>
      <c r="K6505" s="81"/>
      <c r="L6505" s="81"/>
      <c r="M6505" s="81"/>
      <c r="N6505" s="81"/>
    </row>
    <row r="6506" spans="1:14" ht="14.25" customHeight="1" x14ac:dyDescent="0.25">
      <c r="A6506" s="81"/>
      <c r="B6506" s="81"/>
      <c r="C6506" s="137"/>
      <c r="D6506" s="81"/>
      <c r="E6506" s="81"/>
      <c r="F6506" s="81"/>
      <c r="G6506" s="81"/>
      <c r="H6506" s="81"/>
      <c r="I6506" s="81"/>
      <c r="J6506" s="81"/>
      <c r="K6506" s="81"/>
      <c r="L6506" s="81"/>
      <c r="M6506" s="81"/>
      <c r="N6506" s="81"/>
    </row>
    <row r="6507" spans="1:14" ht="14.25" customHeight="1" thickBot="1" x14ac:dyDescent="0.3">
      <c r="A6507" s="81"/>
      <c r="B6507" s="81"/>
      <c r="C6507" s="81"/>
      <c r="D6507" s="81"/>
      <c r="E6507" s="81"/>
      <c r="F6507" s="81"/>
      <c r="G6507" s="81"/>
      <c r="H6507" s="81"/>
      <c r="I6507" s="81"/>
      <c r="J6507" s="81"/>
      <c r="K6507" s="81"/>
      <c r="L6507" s="81"/>
      <c r="M6507" s="81"/>
      <c r="N6507" s="81"/>
    </row>
    <row r="6508" spans="1:14" ht="14.25" customHeight="1" x14ac:dyDescent="0.25">
      <c r="A6508" s="83"/>
      <c r="B6508" s="84"/>
      <c r="C6508" s="85"/>
      <c r="D6508" s="86"/>
      <c r="E6508" s="86"/>
      <c r="F6508" s="87"/>
      <c r="G6508" s="81"/>
      <c r="H6508" s="81"/>
      <c r="I6508" s="81"/>
      <c r="J6508" s="81"/>
      <c r="K6508" s="81"/>
      <c r="L6508" s="81"/>
      <c r="M6508" s="81"/>
      <c r="N6508" s="81"/>
    </row>
    <row r="6509" spans="1:14" ht="14.25" customHeight="1" x14ac:dyDescent="0.25">
      <c r="A6509" s="599"/>
      <c r="B6509" s="600"/>
      <c r="C6509" s="600"/>
      <c r="D6509" s="600"/>
      <c r="E6509" s="600"/>
      <c r="F6509" s="601"/>
      <c r="G6509" s="81"/>
      <c r="H6509" s="81"/>
      <c r="I6509" s="81"/>
      <c r="J6509" s="81"/>
      <c r="K6509" s="81"/>
      <c r="L6509" s="81"/>
      <c r="M6509" s="81"/>
      <c r="N6509" s="81"/>
    </row>
    <row r="6510" spans="1:14" ht="14.25" customHeight="1" x14ac:dyDescent="0.25">
      <c r="A6510" s="602" t="s">
        <v>561</v>
      </c>
      <c r="B6510" s="600"/>
      <c r="C6510" s="600"/>
      <c r="D6510" s="600"/>
      <c r="E6510" s="600"/>
      <c r="F6510" s="601"/>
      <c r="G6510" s="81"/>
      <c r="H6510" s="81"/>
      <c r="I6510" s="81"/>
      <c r="J6510" s="81"/>
      <c r="K6510" s="81"/>
      <c r="L6510" s="81"/>
      <c r="M6510" s="81"/>
      <c r="N6510" s="81"/>
    </row>
    <row r="6511" spans="1:14" ht="14.25" customHeight="1" thickBot="1" x14ac:dyDescent="0.3">
      <c r="A6511" s="603"/>
      <c r="B6511" s="604"/>
      <c r="C6511" s="604"/>
      <c r="D6511" s="604"/>
      <c r="E6511" s="604"/>
      <c r="F6511" s="605"/>
      <c r="G6511" s="81"/>
      <c r="H6511" s="81"/>
      <c r="I6511" s="81"/>
      <c r="J6511" s="81"/>
      <c r="K6511" s="81"/>
      <c r="L6511" s="81"/>
      <c r="M6511" s="81"/>
      <c r="N6511" s="81"/>
    </row>
    <row r="6512" spans="1:14" ht="14.25" customHeight="1" x14ac:dyDescent="0.25">
      <c r="A6512" s="88"/>
      <c r="B6512" s="88"/>
      <c r="C6512" s="89"/>
      <c r="D6512" s="89"/>
      <c r="E6512" s="89"/>
      <c r="F6512" s="89"/>
      <c r="G6512" s="81"/>
      <c r="H6512" s="81"/>
      <c r="I6512" s="81"/>
      <c r="J6512" s="81"/>
      <c r="K6512" s="81"/>
      <c r="L6512" s="81"/>
      <c r="M6512" s="81"/>
      <c r="N6512" s="81"/>
    </row>
    <row r="6513" spans="1:14" ht="14.25" customHeight="1" x14ac:dyDescent="0.25">
      <c r="A6513" s="90" t="s">
        <v>47</v>
      </c>
      <c r="B6513" s="613" t="s">
        <v>321</v>
      </c>
      <c r="C6513" s="600"/>
      <c r="D6513" s="600"/>
      <c r="E6513" s="600"/>
      <c r="F6513" s="600"/>
      <c r="G6513" s="81"/>
      <c r="H6513" s="81"/>
      <c r="I6513" s="81"/>
      <c r="J6513" s="81"/>
      <c r="K6513" s="81"/>
      <c r="L6513" s="81"/>
      <c r="M6513" s="81"/>
      <c r="N6513" s="81"/>
    </row>
    <row r="6514" spans="1:14" ht="14.25" customHeight="1" x14ac:dyDescent="0.25">
      <c r="A6514" s="91"/>
      <c r="B6514" s="91"/>
      <c r="C6514" s="91"/>
      <c r="D6514" s="91"/>
      <c r="E6514" s="91"/>
      <c r="F6514" s="91"/>
      <c r="G6514" s="81"/>
      <c r="H6514" s="81"/>
      <c r="I6514" s="81"/>
      <c r="J6514" s="81"/>
      <c r="K6514" s="81"/>
      <c r="L6514" s="81"/>
      <c r="M6514" s="81"/>
      <c r="N6514" s="81"/>
    </row>
    <row r="6515" spans="1:14" ht="14.25" customHeight="1" x14ac:dyDescent="0.25">
      <c r="A6515" s="88" t="s">
        <v>49</v>
      </c>
      <c r="B6515" s="92" t="s">
        <v>59</v>
      </c>
      <c r="C6515" s="89"/>
      <c r="D6515" s="89"/>
      <c r="E6515" s="89"/>
      <c r="F6515" s="93"/>
      <c r="G6515" s="81"/>
      <c r="H6515" s="81"/>
      <c r="I6515" s="81"/>
      <c r="J6515" s="81"/>
      <c r="K6515" s="81"/>
      <c r="L6515" s="81"/>
      <c r="M6515" s="81"/>
      <c r="N6515" s="81"/>
    </row>
    <row r="6516" spans="1:14" ht="14.25" customHeight="1" x14ac:dyDescent="0.25">
      <c r="A6516" s="88"/>
      <c r="B6516" s="94"/>
      <c r="C6516" s="89"/>
      <c r="D6516" s="89"/>
      <c r="E6516" s="89"/>
      <c r="F6516" s="93"/>
      <c r="G6516" s="81"/>
      <c r="H6516" s="81"/>
      <c r="I6516" s="81"/>
      <c r="J6516" s="81"/>
      <c r="K6516" s="81"/>
      <c r="L6516" s="81"/>
      <c r="M6516" s="81"/>
      <c r="N6516" s="81"/>
    </row>
    <row r="6517" spans="1:14" ht="14.25" customHeight="1" x14ac:dyDescent="0.25">
      <c r="A6517" s="95" t="s">
        <v>562</v>
      </c>
      <c r="B6517" s="96"/>
      <c r="C6517" s="92"/>
      <c r="D6517" s="92"/>
      <c r="E6517" s="92"/>
      <c r="F6517" s="92"/>
      <c r="G6517" s="81"/>
      <c r="H6517" s="81"/>
      <c r="I6517" s="81"/>
      <c r="J6517" s="81"/>
      <c r="K6517" s="81"/>
      <c r="L6517" s="81"/>
      <c r="M6517" s="81"/>
      <c r="N6517" s="81"/>
    </row>
    <row r="6518" spans="1:14" ht="14.25" customHeight="1" x14ac:dyDescent="0.25">
      <c r="A6518" s="97" t="s">
        <v>563</v>
      </c>
      <c r="B6518" s="98" t="s">
        <v>564</v>
      </c>
      <c r="C6518" s="98" t="s">
        <v>565</v>
      </c>
      <c r="D6518" s="98" t="s">
        <v>566</v>
      </c>
      <c r="E6518" s="98" t="s">
        <v>567</v>
      </c>
      <c r="F6518" s="98" t="s">
        <v>568</v>
      </c>
      <c r="G6518" s="81"/>
      <c r="H6518" s="81"/>
      <c r="I6518" s="81"/>
      <c r="J6518" s="81"/>
      <c r="K6518" s="81"/>
      <c r="L6518" s="81"/>
      <c r="M6518" s="81"/>
      <c r="N6518" s="81"/>
    </row>
    <row r="6519" spans="1:14" ht="14.25" customHeight="1" x14ac:dyDescent="0.25">
      <c r="A6519" s="99" t="s">
        <v>776</v>
      </c>
      <c r="B6519" s="100" t="s">
        <v>59</v>
      </c>
      <c r="C6519" s="101">
        <v>175350</v>
      </c>
      <c r="D6519" s="149">
        <v>1</v>
      </c>
      <c r="E6519" s="102">
        <v>0.05</v>
      </c>
      <c r="F6519" s="101">
        <f>C6519*(D6519+(D6519*E6519))</f>
        <v>184117.5</v>
      </c>
      <c r="G6519" s="81"/>
      <c r="H6519" s="81"/>
      <c r="I6519" s="81"/>
      <c r="J6519" s="81"/>
      <c r="K6519" s="81"/>
      <c r="L6519" s="81"/>
      <c r="M6519" s="81"/>
      <c r="N6519" s="81"/>
    </row>
    <row r="6520" spans="1:14" ht="14.25" customHeight="1" x14ac:dyDescent="0.25">
      <c r="A6520" s="99"/>
      <c r="B6520" s="100"/>
      <c r="C6520" s="101"/>
      <c r="D6520" s="149"/>
      <c r="E6520" s="102"/>
      <c r="F6520" s="101"/>
      <c r="G6520" s="81"/>
      <c r="H6520" s="81"/>
      <c r="I6520" s="81"/>
      <c r="J6520" s="81"/>
      <c r="K6520" s="81"/>
      <c r="L6520" s="81"/>
      <c r="M6520" s="81"/>
      <c r="N6520" s="81"/>
    </row>
    <row r="6521" spans="1:14" ht="14.25" customHeight="1" x14ac:dyDescent="0.25">
      <c r="A6521" s="99"/>
      <c r="B6521" s="100"/>
      <c r="C6521" s="101"/>
      <c r="D6521" s="149"/>
      <c r="E6521" s="102"/>
      <c r="F6521" s="101"/>
      <c r="G6521" s="81"/>
      <c r="H6521" s="81"/>
      <c r="I6521" s="81"/>
      <c r="J6521" s="81"/>
      <c r="K6521" s="81"/>
      <c r="L6521" s="81"/>
      <c r="M6521" s="81"/>
      <c r="N6521" s="81"/>
    </row>
    <row r="6522" spans="1:14" ht="14.25" customHeight="1" x14ac:dyDescent="0.25">
      <c r="A6522" s="99"/>
      <c r="B6522" s="100"/>
      <c r="C6522" s="101"/>
      <c r="D6522" s="104"/>
      <c r="E6522" s="102"/>
      <c r="F6522" s="101"/>
      <c r="G6522" s="81"/>
      <c r="H6522" s="81"/>
      <c r="I6522" s="81"/>
      <c r="J6522" s="81"/>
      <c r="K6522" s="81"/>
      <c r="L6522" s="81"/>
      <c r="M6522" s="81"/>
      <c r="N6522" s="81"/>
    </row>
    <row r="6523" spans="1:14" ht="14.25" customHeight="1" x14ac:dyDescent="0.25">
      <c r="A6523" s="99"/>
      <c r="B6523" s="100"/>
      <c r="C6523" s="101"/>
      <c r="D6523" s="104"/>
      <c r="E6523" s="102"/>
      <c r="F6523" s="101"/>
      <c r="G6523" s="81"/>
      <c r="H6523" s="81"/>
      <c r="I6523" s="81"/>
      <c r="J6523" s="81"/>
      <c r="K6523" s="81"/>
      <c r="L6523" s="81"/>
      <c r="M6523" s="81"/>
      <c r="N6523" s="81"/>
    </row>
    <row r="6524" spans="1:14" ht="15.75" x14ac:dyDescent="0.25">
      <c r="A6524" s="99"/>
      <c r="B6524" s="100"/>
      <c r="C6524" s="101"/>
      <c r="D6524" s="104"/>
      <c r="E6524" s="102"/>
      <c r="F6524" s="101"/>
      <c r="G6524" s="81"/>
      <c r="H6524" s="81"/>
      <c r="I6524" s="81"/>
      <c r="J6524" s="81"/>
      <c r="K6524" s="81"/>
      <c r="L6524" s="81"/>
      <c r="M6524" s="81"/>
      <c r="N6524" s="81"/>
    </row>
    <row r="6525" spans="1:14" ht="14.25" customHeight="1" x14ac:dyDescent="0.25">
      <c r="A6525" s="99"/>
      <c r="B6525" s="100"/>
      <c r="C6525" s="106"/>
      <c r="D6525" s="107"/>
      <c r="E6525" s="108"/>
      <c r="F6525" s="106"/>
      <c r="G6525" s="81"/>
      <c r="H6525" s="81"/>
      <c r="I6525" s="81"/>
      <c r="J6525" s="81"/>
      <c r="K6525" s="81"/>
      <c r="L6525" s="81"/>
      <c r="M6525" s="81"/>
      <c r="N6525" s="81"/>
    </row>
    <row r="6526" spans="1:14" ht="14.25" customHeight="1" x14ac:dyDescent="0.25">
      <c r="A6526" s="97" t="s">
        <v>548</v>
      </c>
      <c r="B6526" s="97"/>
      <c r="C6526" s="109"/>
      <c r="D6526" s="110"/>
      <c r="E6526" s="111"/>
      <c r="F6526" s="112">
        <f>SUM(F6519:F6525)</f>
        <v>184117.5</v>
      </c>
      <c r="G6526" s="81"/>
      <c r="H6526" s="81"/>
      <c r="I6526" s="81"/>
      <c r="J6526" s="81"/>
      <c r="K6526" s="81"/>
      <c r="L6526" s="81"/>
      <c r="M6526" s="81"/>
      <c r="N6526" s="81"/>
    </row>
    <row r="6527" spans="1:14" ht="14.25" customHeight="1" x14ac:dyDescent="0.25">
      <c r="A6527" s="88"/>
      <c r="B6527" s="88"/>
      <c r="C6527" s="113"/>
      <c r="D6527" s="113"/>
      <c r="E6527" s="114"/>
      <c r="F6527" s="113"/>
      <c r="G6527" s="81"/>
      <c r="H6527" s="81"/>
      <c r="I6527" s="81"/>
      <c r="J6527" s="81"/>
      <c r="K6527" s="81"/>
      <c r="L6527" s="81"/>
      <c r="M6527" s="81"/>
      <c r="N6527" s="81"/>
    </row>
    <row r="6528" spans="1:14" ht="14.25" customHeight="1" x14ac:dyDescent="0.25">
      <c r="A6528" s="96" t="s">
        <v>573</v>
      </c>
      <c r="B6528" s="96"/>
      <c r="C6528" s="92"/>
      <c r="D6528" s="92"/>
      <c r="E6528" s="92"/>
      <c r="F6528" s="92"/>
      <c r="G6528" s="81"/>
      <c r="H6528" s="81"/>
      <c r="I6528" s="81"/>
      <c r="J6528" s="81"/>
      <c r="K6528" s="81"/>
      <c r="L6528" s="81"/>
      <c r="M6528" s="81"/>
      <c r="N6528" s="81"/>
    </row>
    <row r="6529" spans="1:14" ht="14.25" customHeight="1" x14ac:dyDescent="0.25">
      <c r="A6529" s="611" t="s">
        <v>563</v>
      </c>
      <c r="B6529" s="608"/>
      <c r="C6529" s="609"/>
      <c r="D6529" s="98" t="s">
        <v>574</v>
      </c>
      <c r="E6529" s="98" t="s">
        <v>575</v>
      </c>
      <c r="F6529" s="98" t="s">
        <v>568</v>
      </c>
      <c r="G6529" s="81"/>
      <c r="H6529" s="81"/>
      <c r="I6529" s="81"/>
      <c r="J6529" s="81"/>
      <c r="K6529" s="81"/>
      <c r="L6529" s="81"/>
      <c r="M6529" s="81"/>
      <c r="N6529" s="81"/>
    </row>
    <row r="6530" spans="1:14" ht="14.25" customHeight="1" x14ac:dyDescent="0.25">
      <c r="A6530" s="607" t="s">
        <v>577</v>
      </c>
      <c r="B6530" s="608"/>
      <c r="C6530" s="609"/>
      <c r="D6530" s="116"/>
      <c r="E6530" s="107"/>
      <c r="F6530" s="106">
        <f>+F6545*5%</f>
        <v>652.86679884643115</v>
      </c>
      <c r="G6530" s="81"/>
      <c r="H6530" s="81"/>
      <c r="I6530" s="81"/>
      <c r="J6530" s="81"/>
      <c r="K6530" s="81"/>
      <c r="L6530" s="81"/>
      <c r="M6530" s="81"/>
      <c r="N6530" s="81"/>
    </row>
    <row r="6531" spans="1:14" ht="14.25" customHeight="1" x14ac:dyDescent="0.25">
      <c r="A6531" s="607"/>
      <c r="B6531" s="608"/>
      <c r="C6531" s="609"/>
      <c r="D6531" s="142"/>
      <c r="E6531" s="105"/>
      <c r="F6531" s="106"/>
      <c r="G6531" s="81"/>
      <c r="H6531" s="81"/>
      <c r="I6531" s="81"/>
      <c r="J6531" s="81"/>
      <c r="K6531" s="81"/>
      <c r="L6531" s="81"/>
      <c r="M6531" s="81"/>
      <c r="N6531" s="81"/>
    </row>
    <row r="6532" spans="1:14" ht="14.25" customHeight="1" x14ac:dyDescent="0.25">
      <c r="A6532" s="607"/>
      <c r="B6532" s="608"/>
      <c r="C6532" s="609"/>
      <c r="D6532" s="142"/>
      <c r="E6532" s="105"/>
      <c r="F6532" s="106"/>
      <c r="G6532" s="81"/>
      <c r="H6532" s="81"/>
      <c r="I6532" s="81"/>
      <c r="J6532" s="81"/>
      <c r="K6532" s="81"/>
      <c r="L6532" s="81"/>
      <c r="M6532" s="81"/>
      <c r="N6532" s="81"/>
    </row>
    <row r="6533" spans="1:14" ht="14.25" customHeight="1" x14ac:dyDescent="0.25">
      <c r="A6533" s="607"/>
      <c r="B6533" s="608"/>
      <c r="C6533" s="609"/>
      <c r="D6533" s="142"/>
      <c r="E6533" s="107"/>
      <c r="F6533" s="106"/>
      <c r="G6533" s="81"/>
      <c r="H6533" s="81"/>
      <c r="I6533" s="81"/>
      <c r="J6533" s="81"/>
      <c r="K6533" s="81"/>
      <c r="L6533" s="81"/>
      <c r="M6533" s="81"/>
      <c r="N6533" s="81"/>
    </row>
    <row r="6534" spans="1:14" ht="14.25" customHeight="1" x14ac:dyDescent="0.25">
      <c r="A6534" s="607"/>
      <c r="B6534" s="608"/>
      <c r="C6534" s="609"/>
      <c r="D6534" s="142"/>
      <c r="E6534" s="107"/>
      <c r="F6534" s="106"/>
      <c r="G6534" s="81"/>
      <c r="H6534" s="81"/>
      <c r="I6534" s="81"/>
      <c r="J6534" s="81"/>
      <c r="K6534" s="81"/>
      <c r="L6534" s="81"/>
      <c r="M6534" s="81"/>
      <c r="N6534" s="81"/>
    </row>
    <row r="6535" spans="1:14" ht="14.25" customHeight="1" x14ac:dyDescent="0.25">
      <c r="A6535" s="607"/>
      <c r="B6535" s="608"/>
      <c r="C6535" s="609"/>
      <c r="D6535" s="142"/>
      <c r="E6535" s="105"/>
      <c r="F6535" s="106"/>
      <c r="G6535" s="81"/>
      <c r="H6535" s="81"/>
      <c r="I6535" s="81"/>
      <c r="J6535" s="81"/>
      <c r="K6535" s="81"/>
      <c r="L6535" s="81"/>
      <c r="M6535" s="81"/>
      <c r="N6535" s="81"/>
    </row>
    <row r="6536" spans="1:14" ht="14.25" customHeight="1" x14ac:dyDescent="0.25">
      <c r="A6536" s="610"/>
      <c r="B6536" s="608"/>
      <c r="C6536" s="609"/>
      <c r="D6536" s="115"/>
      <c r="E6536" s="107"/>
      <c r="F6536" s="106"/>
      <c r="G6536" s="81"/>
      <c r="H6536" s="81"/>
      <c r="I6536" s="81"/>
      <c r="J6536" s="81"/>
      <c r="K6536" s="81"/>
      <c r="L6536" s="81"/>
      <c r="M6536" s="81"/>
      <c r="N6536" s="81"/>
    </row>
    <row r="6537" spans="1:14" ht="14.25" customHeight="1" x14ac:dyDescent="0.25">
      <c r="A6537" s="611" t="s">
        <v>548</v>
      </c>
      <c r="B6537" s="608"/>
      <c r="C6537" s="609"/>
      <c r="D6537" s="110"/>
      <c r="E6537" s="110"/>
      <c r="F6537" s="112">
        <f>SUM(F6530:F6536)</f>
        <v>652.86679884643115</v>
      </c>
      <c r="G6537" s="81"/>
      <c r="H6537" s="81"/>
      <c r="I6537" s="81"/>
      <c r="J6537" s="81"/>
      <c r="K6537" s="81"/>
      <c r="L6537" s="81"/>
      <c r="M6537" s="81"/>
      <c r="N6537" s="81"/>
    </row>
    <row r="6538" spans="1:14" ht="14.25" customHeight="1" x14ac:dyDescent="0.25">
      <c r="A6538" s="88"/>
      <c r="B6538" s="88"/>
      <c r="C6538" s="89"/>
      <c r="D6538" s="113"/>
      <c r="E6538" s="113"/>
      <c r="F6538" s="113"/>
      <c r="G6538" s="81"/>
      <c r="H6538" s="117"/>
      <c r="I6538" s="81"/>
      <c r="J6538" s="81"/>
      <c r="K6538" s="81"/>
      <c r="L6538" s="81"/>
      <c r="M6538" s="81"/>
      <c r="N6538" s="81"/>
    </row>
    <row r="6539" spans="1:14" ht="14.25" customHeight="1" x14ac:dyDescent="0.25">
      <c r="A6539" s="96" t="s">
        <v>578</v>
      </c>
      <c r="B6539" s="96"/>
      <c r="C6539" s="92"/>
      <c r="D6539" s="118"/>
      <c r="E6539" s="118"/>
      <c r="F6539" s="118"/>
      <c r="G6539" s="81"/>
      <c r="H6539" s="81"/>
      <c r="I6539" s="81"/>
      <c r="J6539" s="81"/>
      <c r="K6539" s="81"/>
      <c r="L6539" s="81"/>
      <c r="M6539" s="81"/>
      <c r="N6539" s="81"/>
    </row>
    <row r="6540" spans="1:14" ht="14.25" customHeight="1" x14ac:dyDescent="0.25">
      <c r="A6540" s="119" t="s">
        <v>563</v>
      </c>
      <c r="B6540" s="120" t="s">
        <v>579</v>
      </c>
      <c r="C6540" s="120" t="s">
        <v>580</v>
      </c>
      <c r="D6540" s="121" t="s">
        <v>581</v>
      </c>
      <c r="E6540" s="121" t="s">
        <v>575</v>
      </c>
      <c r="F6540" s="121" t="s">
        <v>568</v>
      </c>
      <c r="G6540" s="81"/>
      <c r="H6540" s="81"/>
      <c r="I6540" s="81"/>
      <c r="J6540" s="81"/>
      <c r="K6540" s="81"/>
      <c r="L6540" s="81"/>
      <c r="M6540" s="81"/>
      <c r="N6540" s="81"/>
    </row>
    <row r="6541" spans="1:14" ht="14.25" customHeight="1" x14ac:dyDescent="0.25">
      <c r="A6541" s="122" t="s">
        <v>593</v>
      </c>
      <c r="B6541" s="127">
        <v>1</v>
      </c>
      <c r="C6541" s="101">
        <v>32688</v>
      </c>
      <c r="D6541" s="101">
        <f t="shared" ref="D6541:D6542" si="315">+C6541*1.7</f>
        <v>55569.599999999999</v>
      </c>
      <c r="E6541" s="107">
        <v>11.096</v>
      </c>
      <c r="F6541" s="106">
        <f t="shared" ref="F6541:F6542" si="316">+B6541*(D6541)/E6541</f>
        <v>5008.0749819754865</v>
      </c>
      <c r="G6541" s="81"/>
      <c r="H6541" s="81"/>
      <c r="I6541" s="81"/>
      <c r="J6541" s="81"/>
      <c r="K6541" s="81"/>
      <c r="L6541" s="81"/>
      <c r="M6541" s="81"/>
      <c r="N6541" s="81"/>
    </row>
    <row r="6542" spans="1:14" ht="14.25" customHeight="1" x14ac:dyDescent="0.25">
      <c r="A6542" s="122" t="s">
        <v>594</v>
      </c>
      <c r="B6542" s="127">
        <v>1</v>
      </c>
      <c r="C6542" s="101">
        <v>52538</v>
      </c>
      <c r="D6542" s="101">
        <f t="shared" si="315"/>
        <v>89314.599999999991</v>
      </c>
      <c r="E6542" s="107">
        <f>E6541</f>
        <v>11.096</v>
      </c>
      <c r="F6542" s="106">
        <f t="shared" si="316"/>
        <v>8049.2609949531352</v>
      </c>
      <c r="G6542" s="81"/>
      <c r="H6542" s="81"/>
      <c r="I6542" s="81"/>
      <c r="J6542" s="81"/>
      <c r="K6542" s="81"/>
      <c r="L6542" s="81"/>
      <c r="M6542" s="81"/>
      <c r="N6542" s="81"/>
    </row>
    <row r="6543" spans="1:14" ht="14.25" customHeight="1" x14ac:dyDescent="0.25">
      <c r="A6543" s="122"/>
      <c r="B6543" s="127"/>
      <c r="C6543" s="101"/>
      <c r="D6543" s="101"/>
      <c r="E6543" s="107"/>
      <c r="F6543" s="106"/>
      <c r="G6543" s="81"/>
      <c r="H6543" s="81"/>
      <c r="I6543" s="81"/>
      <c r="J6543" s="81"/>
      <c r="K6543" s="81"/>
      <c r="L6543" s="81"/>
      <c r="M6543" s="81"/>
      <c r="N6543" s="81"/>
    </row>
    <row r="6544" spans="1:14" ht="14.25" customHeight="1" x14ac:dyDescent="0.25">
      <c r="A6544" s="122"/>
      <c r="B6544" s="127"/>
      <c r="C6544" s="101"/>
      <c r="D6544" s="101"/>
      <c r="E6544" s="125"/>
      <c r="F6544" s="106"/>
      <c r="G6544" s="81"/>
      <c r="H6544" s="81"/>
      <c r="I6544" s="81"/>
      <c r="J6544" s="81"/>
      <c r="K6544" s="81"/>
      <c r="L6544" s="81"/>
      <c r="M6544" s="81"/>
      <c r="N6544" s="81"/>
    </row>
    <row r="6545" spans="1:14" ht="14.25" customHeight="1" x14ac:dyDescent="0.25">
      <c r="A6545" s="97" t="s">
        <v>548</v>
      </c>
      <c r="B6545" s="128"/>
      <c r="C6545" s="110"/>
      <c r="D6545" s="110"/>
      <c r="E6545" s="110"/>
      <c r="F6545" s="112">
        <f>SUM(F6541:F6544)</f>
        <v>13057.335976928622</v>
      </c>
      <c r="G6545" s="81"/>
      <c r="H6545" s="81"/>
      <c r="I6545" s="81"/>
      <c r="J6545" s="81"/>
      <c r="K6545" s="81"/>
      <c r="L6545" s="81"/>
      <c r="M6545" s="81"/>
      <c r="N6545" s="81"/>
    </row>
    <row r="6546" spans="1:14" ht="14.25" customHeight="1" x14ac:dyDescent="0.25">
      <c r="A6546" s="96"/>
      <c r="B6546" s="129"/>
      <c r="C6546" s="118"/>
      <c r="D6546" s="118"/>
      <c r="E6546" s="118"/>
      <c r="F6546" s="118"/>
      <c r="G6546" s="81"/>
      <c r="H6546" s="81"/>
      <c r="I6546" s="81"/>
      <c r="J6546" s="81"/>
      <c r="K6546" s="81"/>
      <c r="L6546" s="81"/>
      <c r="M6546" s="81"/>
      <c r="N6546" s="81"/>
    </row>
    <row r="6547" spans="1:14" ht="14.25" customHeight="1" x14ac:dyDescent="0.25">
      <c r="A6547" s="95" t="s">
        <v>583</v>
      </c>
      <c r="B6547" s="96"/>
      <c r="C6547" s="92"/>
      <c r="D6547" s="92"/>
      <c r="E6547" s="92" t="s">
        <v>584</v>
      </c>
      <c r="F6547" s="92"/>
      <c r="G6547" s="81"/>
      <c r="H6547" s="81"/>
      <c r="I6547" s="81"/>
      <c r="J6547" s="81"/>
      <c r="K6547" s="81"/>
      <c r="L6547" s="81"/>
      <c r="M6547" s="81"/>
      <c r="N6547" s="81"/>
    </row>
    <row r="6548" spans="1:14" ht="14.25" customHeight="1" x14ac:dyDescent="0.25">
      <c r="A6548" s="97" t="s">
        <v>563</v>
      </c>
      <c r="B6548" s="98" t="s">
        <v>564</v>
      </c>
      <c r="C6548" s="98" t="s">
        <v>585</v>
      </c>
      <c r="D6548" s="98" t="s">
        <v>586</v>
      </c>
      <c r="E6548" s="120" t="s">
        <v>587</v>
      </c>
      <c r="F6548" s="98" t="s">
        <v>568</v>
      </c>
      <c r="G6548" s="81"/>
      <c r="H6548" s="81"/>
      <c r="I6548" s="81"/>
      <c r="J6548" s="81"/>
      <c r="K6548" s="81"/>
      <c r="L6548" s="81"/>
      <c r="M6548" s="81"/>
      <c r="N6548" s="81"/>
    </row>
    <row r="6549" spans="1:14" ht="14.25" customHeight="1" x14ac:dyDescent="0.25">
      <c r="A6549" s="103" t="s">
        <v>604</v>
      </c>
      <c r="B6549" s="100" t="s">
        <v>605</v>
      </c>
      <c r="C6549" s="101">
        <v>1000</v>
      </c>
      <c r="D6549" s="140">
        <v>0.7</v>
      </c>
      <c r="E6549" s="107">
        <v>1.27542</v>
      </c>
      <c r="F6549" s="109">
        <f>+C6549*D6549*E6549</f>
        <v>892.79399999999998</v>
      </c>
      <c r="G6549" s="81"/>
      <c r="H6549" s="81"/>
      <c r="I6549" s="81"/>
      <c r="J6549" s="81"/>
      <c r="K6549" s="81"/>
      <c r="L6549" s="81"/>
      <c r="M6549" s="81"/>
      <c r="N6549" s="81"/>
    </row>
    <row r="6550" spans="1:14" ht="14.25" customHeight="1" x14ac:dyDescent="0.25">
      <c r="A6550" s="103"/>
      <c r="B6550" s="100"/>
      <c r="C6550" s="107"/>
      <c r="D6550" s="107"/>
      <c r="E6550" s="108"/>
      <c r="F6550" s="109"/>
      <c r="G6550" s="81"/>
      <c r="H6550" s="81"/>
      <c r="I6550" s="81"/>
      <c r="J6550" s="81"/>
      <c r="K6550" s="81"/>
      <c r="L6550" s="81"/>
      <c r="M6550" s="81"/>
      <c r="N6550" s="81"/>
    </row>
    <row r="6551" spans="1:14" ht="14.25" customHeight="1" x14ac:dyDescent="0.25">
      <c r="A6551" s="97" t="s">
        <v>548</v>
      </c>
      <c r="B6551" s="98"/>
      <c r="C6551" s="110"/>
      <c r="D6551" s="110"/>
      <c r="E6551" s="111"/>
      <c r="F6551" s="112">
        <f>SUM(F6549:F6550)</f>
        <v>892.79399999999998</v>
      </c>
      <c r="G6551" s="81"/>
      <c r="H6551" s="81"/>
      <c r="I6551" s="81"/>
      <c r="J6551" s="81"/>
      <c r="K6551" s="81"/>
      <c r="L6551" s="81"/>
      <c r="M6551" s="81"/>
      <c r="N6551" s="81"/>
    </row>
    <row r="6552" spans="1:14" ht="14.25" customHeight="1" x14ac:dyDescent="0.25">
      <c r="A6552" s="88"/>
      <c r="B6552" s="89"/>
      <c r="C6552" s="113"/>
      <c r="D6552" s="113"/>
      <c r="E6552" s="114"/>
      <c r="F6552" s="113"/>
      <c r="G6552" s="81"/>
      <c r="H6552" s="81"/>
      <c r="I6552" s="81"/>
      <c r="J6552" s="81"/>
      <c r="K6552" s="81"/>
      <c r="L6552" s="81"/>
      <c r="M6552" s="81"/>
      <c r="N6552" s="81"/>
    </row>
    <row r="6553" spans="1:14" ht="14.25" customHeight="1" x14ac:dyDescent="0.25">
      <c r="A6553" s="88"/>
      <c r="B6553" s="89"/>
      <c r="C6553" s="113"/>
      <c r="D6553" s="113"/>
      <c r="E6553" s="114"/>
      <c r="F6553" s="113"/>
      <c r="G6553" s="81"/>
      <c r="H6553" s="81"/>
      <c r="I6553" s="81"/>
      <c r="J6553" s="81"/>
      <c r="K6553" s="81"/>
      <c r="L6553" s="81"/>
      <c r="M6553" s="81"/>
      <c r="N6553" s="81"/>
    </row>
    <row r="6554" spans="1:14" ht="14.25" customHeight="1" x14ac:dyDescent="0.25">
      <c r="A6554" s="612" t="s">
        <v>588</v>
      </c>
      <c r="B6554" s="608"/>
      <c r="C6554" s="608"/>
      <c r="D6554" s="608"/>
      <c r="E6554" s="609"/>
      <c r="F6554" s="131">
        <f>ROUND(F6526+F6537+F6545+F6551,0)</f>
        <v>198720</v>
      </c>
      <c r="G6554" s="81"/>
      <c r="H6554" s="81"/>
      <c r="I6554" s="81"/>
      <c r="J6554" s="81"/>
      <c r="K6554" s="81"/>
      <c r="L6554" s="81"/>
      <c r="M6554" s="81"/>
      <c r="N6554" s="81"/>
    </row>
    <row r="6555" spans="1:14" ht="29.25" customHeight="1" x14ac:dyDescent="0.25">
      <c r="A6555" s="612" t="s">
        <v>589</v>
      </c>
      <c r="B6555" s="608"/>
      <c r="C6555" s="608"/>
      <c r="D6555" s="608"/>
      <c r="E6555" s="609"/>
      <c r="F6555" s="132"/>
      <c r="G6555" s="81"/>
      <c r="H6555" s="81"/>
      <c r="I6555" s="81"/>
      <c r="J6555" s="81"/>
      <c r="K6555" s="81"/>
      <c r="L6555" s="81"/>
      <c r="M6555" s="81"/>
      <c r="N6555" s="81"/>
    </row>
    <row r="6556" spans="1:14" ht="14.25" customHeight="1" x14ac:dyDescent="0.25">
      <c r="A6556" s="612" t="s">
        <v>556</v>
      </c>
      <c r="B6556" s="608"/>
      <c r="C6556" s="608"/>
      <c r="D6556" s="608"/>
      <c r="E6556" s="609"/>
      <c r="F6556" s="133"/>
      <c r="G6556" s="81"/>
      <c r="H6556" s="81"/>
      <c r="I6556" s="81"/>
      <c r="J6556" s="81"/>
      <c r="K6556" s="81"/>
      <c r="L6556" s="81"/>
      <c r="M6556" s="81"/>
      <c r="N6556" s="81"/>
    </row>
    <row r="6557" spans="1:14" ht="14.25" customHeight="1" x14ac:dyDescent="0.25">
      <c r="A6557" s="134"/>
      <c r="B6557" s="135"/>
      <c r="C6557" s="135"/>
      <c r="D6557" s="135"/>
      <c r="E6557" s="135"/>
      <c r="F6557" s="136"/>
      <c r="G6557" s="81"/>
      <c r="H6557" s="81"/>
      <c r="I6557" s="81"/>
      <c r="J6557" s="81"/>
      <c r="K6557" s="81"/>
      <c r="L6557" s="81"/>
      <c r="M6557" s="81"/>
      <c r="N6557" s="81"/>
    </row>
    <row r="6558" spans="1:14" ht="14.25" customHeight="1" x14ac:dyDescent="0.25">
      <c r="A6558" s="134"/>
      <c r="B6558" s="135"/>
      <c r="C6558" s="135"/>
      <c r="D6558" s="135"/>
      <c r="E6558" s="135"/>
      <c r="F6558" s="136"/>
      <c r="G6558" s="81"/>
      <c r="H6558" s="81"/>
      <c r="I6558" s="81"/>
      <c r="J6558" s="81"/>
      <c r="K6558" s="81"/>
      <c r="L6558" s="81"/>
      <c r="M6558" s="81"/>
      <c r="N6558" s="81"/>
    </row>
    <row r="6559" spans="1:14" ht="14.25" customHeight="1" x14ac:dyDescent="0.25">
      <c r="A6559" s="134"/>
      <c r="B6559" s="135"/>
      <c r="C6559" s="135"/>
      <c r="D6559" s="135"/>
      <c r="E6559" s="135"/>
      <c r="F6559" s="136"/>
      <c r="G6559" s="81"/>
      <c r="H6559" s="81"/>
      <c r="I6559" s="81"/>
      <c r="J6559" s="81"/>
      <c r="K6559" s="81"/>
      <c r="L6559" s="81"/>
      <c r="M6559" s="81"/>
      <c r="N6559" s="81"/>
    </row>
    <row r="6560" spans="1:14" ht="14.25" customHeight="1" x14ac:dyDescent="0.25">
      <c r="A6560" s="134"/>
      <c r="B6560" s="135"/>
      <c r="C6560" s="135"/>
      <c r="D6560" s="135"/>
      <c r="E6560" s="135"/>
      <c r="F6560" s="136"/>
      <c r="G6560" s="81"/>
      <c r="H6560" s="81"/>
      <c r="I6560" s="81"/>
      <c r="J6560" s="81"/>
      <c r="K6560" s="81"/>
      <c r="L6560" s="81"/>
      <c r="M6560" s="81"/>
      <c r="N6560" s="81"/>
    </row>
    <row r="6561" spans="1:14" ht="15.75" x14ac:dyDescent="0.25">
      <c r="A6561" s="81"/>
      <c r="B6561" s="81"/>
      <c r="C6561" s="137"/>
      <c r="D6561" s="81"/>
      <c r="E6561" s="81"/>
      <c r="F6561" s="81"/>
      <c r="G6561" s="81"/>
      <c r="H6561" s="81"/>
      <c r="I6561" s="81"/>
      <c r="J6561" s="81"/>
      <c r="K6561" s="81"/>
      <c r="L6561" s="81"/>
      <c r="M6561" s="81"/>
      <c r="N6561" s="81"/>
    </row>
    <row r="6562" spans="1:14" ht="14.25" customHeight="1" x14ac:dyDescent="0.25">
      <c r="A6562" s="81"/>
      <c r="B6562" s="81"/>
      <c r="C6562" s="137"/>
      <c r="D6562" s="81"/>
      <c r="E6562" s="81"/>
      <c r="F6562" s="81"/>
      <c r="G6562" s="81"/>
      <c r="H6562" s="81"/>
      <c r="I6562" s="81"/>
      <c r="J6562" s="81"/>
      <c r="K6562" s="81"/>
      <c r="L6562" s="81"/>
      <c r="M6562" s="81"/>
      <c r="N6562" s="81"/>
    </row>
    <row r="6563" spans="1:14" ht="15.75" x14ac:dyDescent="0.25">
      <c r="A6563" s="81"/>
      <c r="B6563" s="81"/>
      <c r="C6563" s="137"/>
      <c r="D6563" s="81"/>
      <c r="E6563" s="81"/>
      <c r="F6563" s="81"/>
      <c r="G6563" s="81"/>
      <c r="H6563" s="81"/>
      <c r="I6563" s="81"/>
      <c r="J6563" s="81"/>
      <c r="K6563" s="81"/>
      <c r="L6563" s="81"/>
      <c r="M6563" s="81"/>
      <c r="N6563" s="81"/>
    </row>
    <row r="6564" spans="1:14" ht="14.25" customHeight="1" x14ac:dyDescent="0.25">
      <c r="A6564" s="81"/>
      <c r="B6564" s="81"/>
      <c r="C6564" s="137"/>
      <c r="D6564" s="81"/>
      <c r="E6564" s="81"/>
      <c r="F6564" s="81"/>
      <c r="G6564" s="81"/>
      <c r="H6564" s="81"/>
      <c r="I6564" s="81"/>
      <c r="J6564" s="81"/>
      <c r="K6564" s="81"/>
      <c r="L6564" s="81"/>
      <c r="M6564" s="81"/>
      <c r="N6564" s="81"/>
    </row>
    <row r="6565" spans="1:14" ht="14.25" customHeight="1" thickBot="1" x14ac:dyDescent="0.3">
      <c r="A6565" s="81"/>
      <c r="B6565" s="81"/>
      <c r="C6565" s="81"/>
      <c r="D6565" s="81"/>
      <c r="E6565" s="81"/>
      <c r="F6565" s="81"/>
      <c r="G6565" s="81"/>
      <c r="H6565" s="81"/>
      <c r="I6565" s="81"/>
      <c r="J6565" s="81"/>
      <c r="K6565" s="81"/>
      <c r="L6565" s="81"/>
      <c r="M6565" s="81"/>
      <c r="N6565" s="81"/>
    </row>
    <row r="6566" spans="1:14" ht="14.25" customHeight="1" x14ac:dyDescent="0.25">
      <c r="A6566" s="83"/>
      <c r="B6566" s="84"/>
      <c r="C6566" s="85"/>
      <c r="D6566" s="86"/>
      <c r="E6566" s="86"/>
      <c r="F6566" s="87"/>
      <c r="G6566" s="81"/>
      <c r="H6566" s="81"/>
      <c r="I6566" s="81"/>
      <c r="J6566" s="81"/>
      <c r="K6566" s="81"/>
      <c r="L6566" s="81"/>
      <c r="M6566" s="81"/>
      <c r="N6566" s="81"/>
    </row>
    <row r="6567" spans="1:14" ht="14.25" customHeight="1" x14ac:dyDescent="0.25">
      <c r="A6567" s="599"/>
      <c r="B6567" s="600"/>
      <c r="C6567" s="600"/>
      <c r="D6567" s="600"/>
      <c r="E6567" s="600"/>
      <c r="F6567" s="601"/>
      <c r="G6567" s="81"/>
      <c r="H6567" s="81"/>
      <c r="I6567" s="81"/>
      <c r="J6567" s="81"/>
      <c r="K6567" s="81"/>
      <c r="L6567" s="81"/>
      <c r="M6567" s="81"/>
      <c r="N6567" s="81"/>
    </row>
    <row r="6568" spans="1:14" ht="14.25" customHeight="1" x14ac:dyDescent="0.25">
      <c r="A6568" s="602" t="s">
        <v>561</v>
      </c>
      <c r="B6568" s="600"/>
      <c r="C6568" s="600"/>
      <c r="D6568" s="600"/>
      <c r="E6568" s="600"/>
      <c r="F6568" s="601"/>
      <c r="G6568" s="81"/>
      <c r="H6568" s="81"/>
      <c r="I6568" s="81"/>
      <c r="J6568" s="81"/>
      <c r="K6568" s="81"/>
      <c r="L6568" s="81"/>
      <c r="M6568" s="81"/>
      <c r="N6568" s="81"/>
    </row>
    <row r="6569" spans="1:14" ht="14.25" customHeight="1" thickBot="1" x14ac:dyDescent="0.3">
      <c r="A6569" s="603"/>
      <c r="B6569" s="604"/>
      <c r="C6569" s="604"/>
      <c r="D6569" s="604"/>
      <c r="E6569" s="604"/>
      <c r="F6569" s="605"/>
      <c r="G6569" s="81"/>
      <c r="H6569" s="81"/>
      <c r="I6569" s="81"/>
      <c r="J6569" s="81"/>
      <c r="K6569" s="81"/>
      <c r="L6569" s="81"/>
      <c r="M6569" s="81"/>
      <c r="N6569" s="81"/>
    </row>
    <row r="6570" spans="1:14" ht="14.25" customHeight="1" x14ac:dyDescent="0.25">
      <c r="A6570" s="88"/>
      <c r="B6570" s="88"/>
      <c r="C6570" s="89"/>
      <c r="D6570" s="89"/>
      <c r="E6570" s="89"/>
      <c r="F6570" s="89"/>
      <c r="G6570" s="81"/>
      <c r="H6570" s="81"/>
      <c r="I6570" s="81"/>
      <c r="J6570" s="81"/>
      <c r="K6570" s="81"/>
      <c r="L6570" s="81"/>
      <c r="M6570" s="81"/>
      <c r="N6570" s="81"/>
    </row>
    <row r="6571" spans="1:14" ht="14.25" customHeight="1" x14ac:dyDescent="0.25">
      <c r="A6571" s="90" t="s">
        <v>47</v>
      </c>
      <c r="B6571" s="613" t="s">
        <v>323</v>
      </c>
      <c r="C6571" s="600"/>
      <c r="D6571" s="600"/>
      <c r="E6571" s="600"/>
      <c r="F6571" s="600"/>
      <c r="G6571" s="81"/>
      <c r="H6571" s="81"/>
      <c r="I6571" s="81"/>
      <c r="J6571" s="81"/>
      <c r="K6571" s="81"/>
      <c r="L6571" s="81"/>
      <c r="M6571" s="81"/>
      <c r="N6571" s="81"/>
    </row>
    <row r="6572" spans="1:14" ht="14.25" customHeight="1" x14ac:dyDescent="0.25">
      <c r="A6572" s="91"/>
      <c r="B6572" s="91"/>
      <c r="C6572" s="91"/>
      <c r="D6572" s="91"/>
      <c r="E6572" s="91"/>
      <c r="F6572" s="91"/>
      <c r="G6572" s="81"/>
      <c r="H6572" s="81"/>
      <c r="I6572" s="81"/>
      <c r="J6572" s="81"/>
      <c r="K6572" s="81"/>
      <c r="L6572" s="81"/>
      <c r="M6572" s="81"/>
      <c r="N6572" s="81"/>
    </row>
    <row r="6573" spans="1:14" ht="14.25" customHeight="1" x14ac:dyDescent="0.25">
      <c r="A6573" s="88" t="s">
        <v>49</v>
      </c>
      <c r="B6573" s="92" t="s">
        <v>56</v>
      </c>
      <c r="C6573" s="89"/>
      <c r="D6573" s="89"/>
      <c r="E6573" s="89"/>
      <c r="F6573" s="93"/>
      <c r="G6573" s="81"/>
      <c r="H6573" s="81"/>
      <c r="I6573" s="81"/>
      <c r="J6573" s="81"/>
      <c r="K6573" s="81"/>
      <c r="L6573" s="81"/>
      <c r="M6573" s="81"/>
      <c r="N6573" s="81"/>
    </row>
    <row r="6574" spans="1:14" ht="14.25" customHeight="1" x14ac:dyDescent="0.25">
      <c r="A6574" s="88"/>
      <c r="B6574" s="94"/>
      <c r="C6574" s="89"/>
      <c r="D6574" s="89"/>
      <c r="E6574" s="89"/>
      <c r="F6574" s="93"/>
      <c r="G6574" s="81"/>
      <c r="H6574" s="81"/>
      <c r="I6574" s="81"/>
      <c r="J6574" s="81"/>
      <c r="K6574" s="81"/>
      <c r="L6574" s="81"/>
      <c r="M6574" s="81"/>
      <c r="N6574" s="81"/>
    </row>
    <row r="6575" spans="1:14" ht="14.25" customHeight="1" x14ac:dyDescent="0.25">
      <c r="A6575" s="95" t="s">
        <v>562</v>
      </c>
      <c r="B6575" s="96"/>
      <c r="C6575" s="92"/>
      <c r="D6575" s="92"/>
      <c r="E6575" s="92"/>
      <c r="F6575" s="92"/>
      <c r="G6575" s="81"/>
      <c r="H6575" s="81"/>
      <c r="I6575" s="81"/>
      <c r="J6575" s="81"/>
      <c r="K6575" s="81"/>
      <c r="L6575" s="81"/>
      <c r="M6575" s="81"/>
      <c r="N6575" s="81"/>
    </row>
    <row r="6576" spans="1:14" ht="14.25" customHeight="1" x14ac:dyDescent="0.25">
      <c r="A6576" s="97" t="s">
        <v>563</v>
      </c>
      <c r="B6576" s="98" t="s">
        <v>564</v>
      </c>
      <c r="C6576" s="98" t="s">
        <v>565</v>
      </c>
      <c r="D6576" s="98" t="s">
        <v>566</v>
      </c>
      <c r="E6576" s="98" t="s">
        <v>567</v>
      </c>
      <c r="F6576" s="98" t="s">
        <v>568</v>
      </c>
      <c r="G6576" s="81"/>
      <c r="H6576" s="81"/>
      <c r="I6576" s="81"/>
      <c r="J6576" s="81"/>
      <c r="K6576" s="81"/>
      <c r="L6576" s="81"/>
      <c r="M6576" s="81"/>
      <c r="N6576" s="81"/>
    </row>
    <row r="6577" spans="1:14" ht="14.25" customHeight="1" x14ac:dyDescent="0.25">
      <c r="A6577" s="99" t="s">
        <v>777</v>
      </c>
      <c r="B6577" s="100" t="s">
        <v>59</v>
      </c>
      <c r="C6577" s="101">
        <v>34000</v>
      </c>
      <c r="D6577" s="149">
        <v>0.85</v>
      </c>
      <c r="E6577" s="102">
        <v>0.05</v>
      </c>
      <c r="F6577" s="101">
        <f t="shared" ref="F6577:F6584" si="317">C6577*(D6577+(D6577*E6577))</f>
        <v>30345</v>
      </c>
      <c r="G6577" s="81"/>
      <c r="H6577" s="81"/>
      <c r="I6577" s="81"/>
      <c r="J6577" s="81"/>
      <c r="K6577" s="81"/>
      <c r="L6577" s="81"/>
      <c r="M6577" s="81"/>
      <c r="N6577" s="81"/>
    </row>
    <row r="6578" spans="1:14" ht="14.25" customHeight="1" x14ac:dyDescent="0.25">
      <c r="A6578" s="99" t="s">
        <v>778</v>
      </c>
      <c r="B6578" s="100" t="s">
        <v>59</v>
      </c>
      <c r="C6578" s="101">
        <v>26800</v>
      </c>
      <c r="D6578" s="149">
        <v>0.85</v>
      </c>
      <c r="E6578" s="102">
        <v>0.05</v>
      </c>
      <c r="F6578" s="101">
        <f t="shared" si="317"/>
        <v>23919</v>
      </c>
      <c r="G6578" s="81"/>
      <c r="H6578" s="81"/>
      <c r="I6578" s="81"/>
      <c r="J6578" s="81"/>
      <c r="K6578" s="81"/>
      <c r="L6578" s="81"/>
      <c r="M6578" s="81"/>
      <c r="N6578" s="81"/>
    </row>
    <row r="6579" spans="1:14" ht="14.25" customHeight="1" x14ac:dyDescent="0.25">
      <c r="A6579" s="99" t="s">
        <v>779</v>
      </c>
      <c r="B6579" s="100" t="s">
        <v>99</v>
      </c>
      <c r="C6579" s="101">
        <v>31000</v>
      </c>
      <c r="D6579" s="149">
        <v>0.4</v>
      </c>
      <c r="E6579" s="102">
        <v>0.05</v>
      </c>
      <c r="F6579" s="101">
        <f t="shared" si="317"/>
        <v>13020.000000000002</v>
      </c>
      <c r="G6579" s="81"/>
      <c r="H6579" s="81"/>
      <c r="I6579" s="81"/>
      <c r="J6579" s="81"/>
      <c r="K6579" s="81"/>
      <c r="L6579" s="81"/>
      <c r="M6579" s="81"/>
      <c r="N6579" s="81"/>
    </row>
    <row r="6580" spans="1:14" ht="15.75" x14ac:dyDescent="0.25">
      <c r="A6580" s="99" t="s">
        <v>780</v>
      </c>
      <c r="B6580" s="100" t="s">
        <v>99</v>
      </c>
      <c r="C6580" s="101">
        <v>8500</v>
      </c>
      <c r="D6580" s="104">
        <v>0.5</v>
      </c>
      <c r="E6580" s="102">
        <v>0.05</v>
      </c>
      <c r="F6580" s="101">
        <f t="shared" si="317"/>
        <v>4462.5</v>
      </c>
      <c r="G6580" s="81"/>
      <c r="H6580" s="81"/>
      <c r="I6580" s="81"/>
      <c r="J6580" s="81"/>
      <c r="K6580" s="81"/>
      <c r="L6580" s="81"/>
      <c r="M6580" s="81"/>
      <c r="N6580" s="81"/>
    </row>
    <row r="6581" spans="1:14" ht="14.25" customHeight="1" x14ac:dyDescent="0.25">
      <c r="A6581" s="99" t="s">
        <v>649</v>
      </c>
      <c r="B6581" s="100" t="s">
        <v>117</v>
      </c>
      <c r="C6581" s="101">
        <v>8420</v>
      </c>
      <c r="D6581" s="149">
        <v>0.5</v>
      </c>
      <c r="E6581" s="102">
        <v>0.05</v>
      </c>
      <c r="F6581" s="101">
        <f t="shared" si="317"/>
        <v>4420.5</v>
      </c>
      <c r="G6581" s="81"/>
      <c r="H6581" s="81"/>
      <c r="I6581" s="81"/>
      <c r="J6581" s="81"/>
      <c r="K6581" s="81"/>
      <c r="L6581" s="81"/>
      <c r="M6581" s="81"/>
      <c r="N6581" s="81"/>
    </row>
    <row r="6582" spans="1:14" ht="14.25" customHeight="1" x14ac:dyDescent="0.25">
      <c r="A6582" s="99" t="s">
        <v>650</v>
      </c>
      <c r="B6582" s="100" t="s">
        <v>651</v>
      </c>
      <c r="C6582" s="101">
        <v>68350</v>
      </c>
      <c r="D6582" s="149">
        <v>0.1</v>
      </c>
      <c r="E6582" s="102">
        <v>0.05</v>
      </c>
      <c r="F6582" s="101">
        <f t="shared" si="317"/>
        <v>7176.7500000000009</v>
      </c>
      <c r="G6582" s="81"/>
      <c r="H6582" s="81"/>
      <c r="I6582" s="81"/>
      <c r="J6582" s="81"/>
      <c r="K6582" s="81"/>
      <c r="L6582" s="81"/>
      <c r="M6582" s="81"/>
      <c r="N6582" s="81"/>
    </row>
    <row r="6583" spans="1:14" ht="14.25" customHeight="1" x14ac:dyDescent="0.25">
      <c r="A6583" s="99" t="s">
        <v>652</v>
      </c>
      <c r="B6583" s="100" t="s">
        <v>651</v>
      </c>
      <c r="C6583" s="101">
        <v>52450</v>
      </c>
      <c r="D6583" s="149">
        <v>0.1</v>
      </c>
      <c r="E6583" s="102">
        <v>0.05</v>
      </c>
      <c r="F6583" s="101">
        <f t="shared" si="317"/>
        <v>5507.2500000000009</v>
      </c>
      <c r="G6583" s="81"/>
      <c r="H6583" s="81"/>
      <c r="I6583" s="81"/>
      <c r="J6583" s="81"/>
      <c r="K6583" s="81"/>
      <c r="L6583" s="81"/>
      <c r="M6583" s="81"/>
      <c r="N6583" s="81"/>
    </row>
    <row r="6584" spans="1:14" ht="14.25" customHeight="1" x14ac:dyDescent="0.25">
      <c r="A6584" s="99" t="s">
        <v>781</v>
      </c>
      <c r="B6584" s="100" t="s">
        <v>56</v>
      </c>
      <c r="C6584" s="101">
        <v>26250</v>
      </c>
      <c r="D6584" s="104">
        <v>1</v>
      </c>
      <c r="E6584" s="102">
        <v>0.05</v>
      </c>
      <c r="F6584" s="101">
        <f t="shared" si="317"/>
        <v>27562.5</v>
      </c>
      <c r="G6584" s="81"/>
      <c r="H6584" s="81"/>
      <c r="I6584" s="81"/>
      <c r="J6584" s="81"/>
      <c r="K6584" s="81"/>
      <c r="L6584" s="81"/>
      <c r="M6584" s="81"/>
      <c r="N6584" s="81"/>
    </row>
    <row r="6585" spans="1:14" ht="14.25" customHeight="1" x14ac:dyDescent="0.25">
      <c r="A6585" s="99"/>
      <c r="B6585" s="100"/>
      <c r="C6585" s="106"/>
      <c r="D6585" s="107"/>
      <c r="E6585" s="108"/>
      <c r="F6585" s="106"/>
      <c r="G6585" s="81"/>
      <c r="H6585" s="81"/>
      <c r="I6585" s="81"/>
      <c r="J6585" s="81"/>
      <c r="K6585" s="81"/>
      <c r="L6585" s="81"/>
      <c r="M6585" s="81"/>
      <c r="N6585" s="81"/>
    </row>
    <row r="6586" spans="1:14" ht="14.25" customHeight="1" x14ac:dyDescent="0.25">
      <c r="A6586" s="97" t="s">
        <v>548</v>
      </c>
      <c r="B6586" s="97"/>
      <c r="C6586" s="109"/>
      <c r="D6586" s="110"/>
      <c r="E6586" s="111"/>
      <c r="F6586" s="112">
        <f>SUM(F6577:F6585)</f>
        <v>116413.5</v>
      </c>
      <c r="G6586" s="81"/>
      <c r="H6586" s="81"/>
      <c r="I6586" s="81"/>
      <c r="J6586" s="81"/>
      <c r="K6586" s="81"/>
      <c r="L6586" s="81"/>
      <c r="M6586" s="81"/>
      <c r="N6586" s="81"/>
    </row>
    <row r="6587" spans="1:14" ht="14.25" customHeight="1" x14ac:dyDescent="0.25">
      <c r="A6587" s="88"/>
      <c r="B6587" s="88"/>
      <c r="C6587" s="113"/>
      <c r="D6587" s="113"/>
      <c r="E6587" s="114"/>
      <c r="F6587" s="113"/>
      <c r="G6587" s="81"/>
      <c r="H6587" s="81"/>
      <c r="I6587" s="81"/>
      <c r="J6587" s="81"/>
      <c r="K6587" s="81"/>
      <c r="L6587" s="81"/>
      <c r="M6587" s="81"/>
      <c r="N6587" s="81"/>
    </row>
    <row r="6588" spans="1:14" ht="15.75" x14ac:dyDescent="0.25">
      <c r="A6588" s="96" t="s">
        <v>573</v>
      </c>
      <c r="B6588" s="96"/>
      <c r="C6588" s="92"/>
      <c r="D6588" s="92"/>
      <c r="E6588" s="92"/>
      <c r="F6588" s="92"/>
      <c r="G6588" s="81"/>
      <c r="H6588" s="81"/>
      <c r="I6588" s="81"/>
      <c r="J6588" s="81"/>
      <c r="K6588" s="81"/>
      <c r="L6588" s="81"/>
      <c r="M6588" s="81"/>
      <c r="N6588" s="81"/>
    </row>
    <row r="6589" spans="1:14" ht="14.25" customHeight="1" x14ac:dyDescent="0.25">
      <c r="A6589" s="611" t="s">
        <v>563</v>
      </c>
      <c r="B6589" s="608"/>
      <c r="C6589" s="609"/>
      <c r="D6589" s="98" t="s">
        <v>574</v>
      </c>
      <c r="E6589" s="98" t="s">
        <v>575</v>
      </c>
      <c r="F6589" s="98" t="s">
        <v>568</v>
      </c>
      <c r="G6589" s="81"/>
      <c r="H6589" s="81"/>
      <c r="I6589" s="81"/>
      <c r="J6589" s="81"/>
      <c r="K6589" s="81"/>
      <c r="L6589" s="81"/>
      <c r="M6589" s="81"/>
      <c r="N6589" s="81"/>
    </row>
    <row r="6590" spans="1:14" ht="14.25" customHeight="1" x14ac:dyDescent="0.25">
      <c r="A6590" s="607" t="s">
        <v>577</v>
      </c>
      <c r="B6590" s="608"/>
      <c r="C6590" s="609"/>
      <c r="D6590" s="116"/>
      <c r="E6590" s="107"/>
      <c r="F6590" s="106">
        <v>139</v>
      </c>
      <c r="G6590" s="81"/>
      <c r="H6590" s="81"/>
      <c r="I6590" s="81"/>
      <c r="J6590" s="81"/>
      <c r="K6590" s="81"/>
      <c r="L6590" s="81"/>
      <c r="M6590" s="81"/>
      <c r="N6590" s="81"/>
    </row>
    <row r="6591" spans="1:14" ht="14.25" customHeight="1" x14ac:dyDescent="0.25">
      <c r="A6591" s="607" t="s">
        <v>654</v>
      </c>
      <c r="B6591" s="608"/>
      <c r="C6591" s="609"/>
      <c r="D6591" s="142">
        <v>4200</v>
      </c>
      <c r="E6591" s="105">
        <v>2</v>
      </c>
      <c r="F6591" s="106">
        <f t="shared" ref="F6591:F6594" si="318">D6591/E6591</f>
        <v>2100</v>
      </c>
      <c r="G6591" s="81"/>
      <c r="H6591" s="81"/>
      <c r="I6591" s="81"/>
      <c r="J6591" s="81"/>
      <c r="K6591" s="81"/>
      <c r="L6591" s="81"/>
      <c r="M6591" s="81"/>
      <c r="N6591" s="81"/>
    </row>
    <row r="6592" spans="1:14" ht="14.25" customHeight="1" x14ac:dyDescent="0.25">
      <c r="A6592" s="607" t="s">
        <v>655</v>
      </c>
      <c r="B6592" s="608"/>
      <c r="C6592" s="609"/>
      <c r="D6592" s="142">
        <v>625</v>
      </c>
      <c r="E6592" s="105">
        <v>0.5</v>
      </c>
      <c r="F6592" s="106">
        <f t="shared" si="318"/>
        <v>1250</v>
      </c>
      <c r="G6592" s="81"/>
      <c r="H6592" s="81"/>
      <c r="I6592" s="81"/>
      <c r="J6592" s="81"/>
      <c r="K6592" s="81"/>
      <c r="L6592" s="81"/>
      <c r="M6592" s="81"/>
      <c r="N6592" s="81"/>
    </row>
    <row r="6593" spans="1:14" ht="14.25" customHeight="1" x14ac:dyDescent="0.25">
      <c r="A6593" s="607" t="s">
        <v>637</v>
      </c>
      <c r="B6593" s="608"/>
      <c r="C6593" s="609"/>
      <c r="D6593" s="142">
        <v>9150</v>
      </c>
      <c r="E6593" s="107">
        <v>1</v>
      </c>
      <c r="F6593" s="106">
        <f t="shared" si="318"/>
        <v>9150</v>
      </c>
      <c r="G6593" s="81"/>
      <c r="H6593" s="81"/>
      <c r="I6593" s="81"/>
      <c r="J6593" s="81"/>
      <c r="K6593" s="81"/>
      <c r="L6593" s="81"/>
      <c r="M6593" s="81"/>
      <c r="N6593" s="81"/>
    </row>
    <row r="6594" spans="1:14" ht="14.25" customHeight="1" x14ac:dyDescent="0.25">
      <c r="A6594" s="607" t="s">
        <v>639</v>
      </c>
      <c r="B6594" s="608"/>
      <c r="C6594" s="609"/>
      <c r="D6594" s="142">
        <v>5150</v>
      </c>
      <c r="E6594" s="107">
        <v>2</v>
      </c>
      <c r="F6594" s="106">
        <f t="shared" si="318"/>
        <v>2575</v>
      </c>
      <c r="G6594" s="81"/>
      <c r="H6594" s="117"/>
      <c r="I6594" s="81"/>
      <c r="J6594" s="81"/>
      <c r="K6594" s="81"/>
      <c r="L6594" s="81"/>
      <c r="M6594" s="81"/>
      <c r="N6594" s="81"/>
    </row>
    <row r="6595" spans="1:14" ht="14.25" customHeight="1" x14ac:dyDescent="0.25">
      <c r="A6595" s="610"/>
      <c r="B6595" s="608"/>
      <c r="C6595" s="609"/>
      <c r="D6595" s="115"/>
      <c r="E6595" s="107"/>
      <c r="F6595" s="106"/>
      <c r="G6595" s="81"/>
      <c r="H6595" s="81"/>
      <c r="I6595" s="81"/>
      <c r="J6595" s="81"/>
      <c r="K6595" s="81"/>
      <c r="L6595" s="81"/>
      <c r="M6595" s="81"/>
      <c r="N6595" s="81"/>
    </row>
    <row r="6596" spans="1:14" ht="14.25" customHeight="1" x14ac:dyDescent="0.25">
      <c r="A6596" s="611" t="s">
        <v>548</v>
      </c>
      <c r="B6596" s="608"/>
      <c r="C6596" s="609"/>
      <c r="D6596" s="110"/>
      <c r="E6596" s="110"/>
      <c r="F6596" s="112">
        <f>SUM(F6590:F6595)</f>
        <v>15214</v>
      </c>
      <c r="G6596" s="81"/>
      <c r="H6596" s="81"/>
      <c r="I6596" s="81"/>
      <c r="J6596" s="81"/>
      <c r="K6596" s="81"/>
      <c r="L6596" s="81"/>
      <c r="M6596" s="81"/>
      <c r="N6596" s="81"/>
    </row>
    <row r="6597" spans="1:14" ht="14.25" customHeight="1" x14ac:dyDescent="0.25">
      <c r="A6597" s="88"/>
      <c r="B6597" s="88"/>
      <c r="C6597" s="89"/>
      <c r="D6597" s="113"/>
      <c r="E6597" s="113"/>
      <c r="F6597" s="113"/>
      <c r="G6597" s="81"/>
      <c r="H6597" s="81"/>
      <c r="I6597" s="81"/>
      <c r="J6597" s="81"/>
      <c r="K6597" s="81"/>
      <c r="L6597" s="81"/>
      <c r="M6597" s="81"/>
      <c r="N6597" s="81"/>
    </row>
    <row r="6598" spans="1:14" ht="14.25" customHeight="1" x14ac:dyDescent="0.25">
      <c r="A6598" s="96" t="s">
        <v>578</v>
      </c>
      <c r="B6598" s="96"/>
      <c r="C6598" s="92"/>
      <c r="D6598" s="118"/>
      <c r="E6598" s="118"/>
      <c r="F6598" s="118"/>
      <c r="G6598" s="81"/>
      <c r="H6598" s="81"/>
      <c r="I6598" s="81"/>
      <c r="J6598" s="81"/>
      <c r="K6598" s="81"/>
      <c r="L6598" s="81"/>
      <c r="M6598" s="81"/>
      <c r="N6598" s="81"/>
    </row>
    <row r="6599" spans="1:14" ht="14.25" customHeight="1" x14ac:dyDescent="0.25">
      <c r="A6599" s="119" t="s">
        <v>563</v>
      </c>
      <c r="B6599" s="120" t="s">
        <v>579</v>
      </c>
      <c r="C6599" s="120" t="s">
        <v>580</v>
      </c>
      <c r="D6599" s="121" t="s">
        <v>581</v>
      </c>
      <c r="E6599" s="121" t="s">
        <v>575</v>
      </c>
      <c r="F6599" s="121" t="s">
        <v>568</v>
      </c>
      <c r="G6599" s="81"/>
      <c r="H6599" s="81"/>
      <c r="I6599" s="81"/>
      <c r="J6599" s="81"/>
      <c r="K6599" s="81"/>
      <c r="L6599" s="81"/>
      <c r="M6599" s="81"/>
      <c r="N6599" s="81"/>
    </row>
    <row r="6600" spans="1:14" ht="14.25" customHeight="1" x14ac:dyDescent="0.25">
      <c r="A6600" s="122" t="s">
        <v>593</v>
      </c>
      <c r="B6600" s="127">
        <v>1</v>
      </c>
      <c r="C6600" s="101">
        <v>32688</v>
      </c>
      <c r="D6600" s="101">
        <f t="shared" ref="D6600:D6601" si="319">+C6600*1.7</f>
        <v>55569.599999999999</v>
      </c>
      <c r="E6600" s="107">
        <v>4</v>
      </c>
      <c r="F6600" s="106">
        <f t="shared" ref="F6600:F6601" si="320">+B6600*(D6600)/E6600</f>
        <v>13892.4</v>
      </c>
      <c r="G6600" s="81"/>
      <c r="H6600" s="81"/>
      <c r="I6600" s="81"/>
      <c r="J6600" s="81"/>
      <c r="K6600" s="81"/>
      <c r="L6600" s="81"/>
      <c r="M6600" s="81"/>
      <c r="N6600" s="81"/>
    </row>
    <row r="6601" spans="1:14" ht="14.25" customHeight="1" x14ac:dyDescent="0.25">
      <c r="A6601" s="122" t="s">
        <v>594</v>
      </c>
      <c r="B6601" s="127">
        <v>1</v>
      </c>
      <c r="C6601" s="101">
        <v>52538</v>
      </c>
      <c r="D6601" s="101">
        <f t="shared" si="319"/>
        <v>89314.599999999991</v>
      </c>
      <c r="E6601" s="107">
        <f>E6600</f>
        <v>4</v>
      </c>
      <c r="F6601" s="106">
        <f t="shared" si="320"/>
        <v>22328.649999999998</v>
      </c>
      <c r="G6601" s="81"/>
      <c r="H6601" s="81"/>
      <c r="I6601" s="81"/>
      <c r="J6601" s="81"/>
      <c r="K6601" s="81"/>
      <c r="L6601" s="81"/>
      <c r="M6601" s="81"/>
      <c r="N6601" s="81"/>
    </row>
    <row r="6602" spans="1:14" ht="14.25" customHeight="1" x14ac:dyDescent="0.25">
      <c r="A6602" s="122"/>
      <c r="B6602" s="127"/>
      <c r="C6602" s="101"/>
      <c r="D6602" s="101"/>
      <c r="E6602" s="107"/>
      <c r="F6602" s="106"/>
      <c r="G6602" s="81"/>
      <c r="H6602" s="81"/>
      <c r="I6602" s="81"/>
      <c r="J6602" s="81"/>
      <c r="K6602" s="81"/>
      <c r="L6602" s="81"/>
      <c r="M6602" s="81"/>
      <c r="N6602" s="81"/>
    </row>
    <row r="6603" spans="1:14" ht="14.25" customHeight="1" x14ac:dyDescent="0.25">
      <c r="A6603" s="122"/>
      <c r="B6603" s="127"/>
      <c r="C6603" s="101"/>
      <c r="D6603" s="101"/>
      <c r="E6603" s="125"/>
      <c r="F6603" s="106"/>
      <c r="G6603" s="81"/>
      <c r="H6603" s="81"/>
      <c r="I6603" s="81"/>
      <c r="J6603" s="81"/>
      <c r="K6603" s="81"/>
      <c r="L6603" s="81"/>
      <c r="M6603" s="81"/>
      <c r="N6603" s="81"/>
    </row>
    <row r="6604" spans="1:14" ht="14.25" customHeight="1" x14ac:dyDescent="0.25">
      <c r="A6604" s="97" t="s">
        <v>548</v>
      </c>
      <c r="B6604" s="128"/>
      <c r="C6604" s="110"/>
      <c r="D6604" s="110"/>
      <c r="E6604" s="110"/>
      <c r="F6604" s="112">
        <f>SUM(F6600:F6603)</f>
        <v>36221.049999999996</v>
      </c>
      <c r="G6604" s="81"/>
      <c r="H6604" s="81"/>
      <c r="I6604" s="81"/>
      <c r="J6604" s="81"/>
      <c r="K6604" s="81"/>
      <c r="L6604" s="81"/>
      <c r="M6604" s="81"/>
      <c r="N6604" s="81"/>
    </row>
    <row r="6605" spans="1:14" ht="14.25" customHeight="1" x14ac:dyDescent="0.25">
      <c r="A6605" s="96"/>
      <c r="B6605" s="129"/>
      <c r="C6605" s="118"/>
      <c r="D6605" s="118"/>
      <c r="E6605" s="118"/>
      <c r="F6605" s="118"/>
      <c r="G6605" s="81"/>
      <c r="H6605" s="81"/>
      <c r="I6605" s="81"/>
      <c r="J6605" s="81"/>
      <c r="K6605" s="81"/>
      <c r="L6605" s="81"/>
      <c r="M6605" s="81"/>
      <c r="N6605" s="81"/>
    </row>
    <row r="6606" spans="1:14" ht="14.25" customHeight="1" x14ac:dyDescent="0.25">
      <c r="A6606" s="95" t="s">
        <v>583</v>
      </c>
      <c r="B6606" s="96"/>
      <c r="C6606" s="92"/>
      <c r="D6606" s="92"/>
      <c r="E6606" s="92" t="s">
        <v>584</v>
      </c>
      <c r="F6606" s="92"/>
      <c r="G6606" s="81"/>
      <c r="H6606" s="81"/>
      <c r="I6606" s="81"/>
      <c r="J6606" s="81"/>
      <c r="K6606" s="81"/>
      <c r="L6606" s="81"/>
      <c r="M6606" s="81"/>
      <c r="N6606" s="81"/>
    </row>
    <row r="6607" spans="1:14" ht="14.25" customHeight="1" x14ac:dyDescent="0.25">
      <c r="A6607" s="97" t="s">
        <v>563</v>
      </c>
      <c r="B6607" s="98" t="s">
        <v>564</v>
      </c>
      <c r="C6607" s="98" t="s">
        <v>585</v>
      </c>
      <c r="D6607" s="98" t="s">
        <v>586</v>
      </c>
      <c r="E6607" s="120" t="s">
        <v>587</v>
      </c>
      <c r="F6607" s="98" t="s">
        <v>568</v>
      </c>
      <c r="G6607" s="81"/>
      <c r="H6607" s="81"/>
      <c r="I6607" s="81"/>
      <c r="J6607" s="81"/>
      <c r="K6607" s="81"/>
      <c r="L6607" s="81"/>
      <c r="M6607" s="81"/>
      <c r="N6607" s="81"/>
    </row>
    <row r="6608" spans="1:14" ht="14.25" customHeight="1" x14ac:dyDescent="0.25">
      <c r="A6608" s="103" t="s">
        <v>604</v>
      </c>
      <c r="B6608" s="100" t="s">
        <v>605</v>
      </c>
      <c r="C6608" s="101">
        <v>1000</v>
      </c>
      <c r="D6608" s="140">
        <v>0.7</v>
      </c>
      <c r="E6608" s="107">
        <v>7</v>
      </c>
      <c r="F6608" s="109">
        <f>+C6608*D6608*E6608</f>
        <v>4900</v>
      </c>
      <c r="G6608" s="81"/>
      <c r="H6608" s="81"/>
      <c r="I6608" s="81"/>
      <c r="J6608" s="81"/>
      <c r="K6608" s="81"/>
      <c r="L6608" s="81"/>
      <c r="M6608" s="81"/>
      <c r="N6608" s="81"/>
    </row>
    <row r="6609" spans="1:14" ht="14.25" customHeight="1" x14ac:dyDescent="0.25">
      <c r="A6609" s="103"/>
      <c r="B6609" s="100"/>
      <c r="C6609" s="107"/>
      <c r="D6609" s="107"/>
      <c r="E6609" s="108"/>
      <c r="F6609" s="109"/>
      <c r="G6609" s="81"/>
      <c r="H6609" s="81"/>
      <c r="I6609" s="81"/>
      <c r="J6609" s="81"/>
      <c r="K6609" s="81"/>
      <c r="L6609" s="81"/>
      <c r="M6609" s="81"/>
      <c r="N6609" s="81"/>
    </row>
    <row r="6610" spans="1:14" ht="14.25" customHeight="1" x14ac:dyDescent="0.25">
      <c r="A6610" s="97" t="s">
        <v>548</v>
      </c>
      <c r="B6610" s="98"/>
      <c r="C6610" s="110"/>
      <c r="D6610" s="110"/>
      <c r="E6610" s="111"/>
      <c r="F6610" s="112">
        <f>SUM(F6608:F6609)</f>
        <v>4900</v>
      </c>
      <c r="G6610" s="81"/>
      <c r="H6610" s="81"/>
      <c r="I6610" s="81"/>
      <c r="J6610" s="81"/>
      <c r="K6610" s="81"/>
      <c r="L6610" s="81"/>
      <c r="M6610" s="81"/>
      <c r="N6610" s="81"/>
    </row>
    <row r="6611" spans="1:14" ht="14.25" customHeight="1" x14ac:dyDescent="0.25">
      <c r="A6611" s="88"/>
      <c r="B6611" s="89"/>
      <c r="C6611" s="113"/>
      <c r="D6611" s="113"/>
      <c r="E6611" s="114"/>
      <c r="F6611" s="113"/>
      <c r="G6611" s="81"/>
      <c r="H6611" s="81"/>
      <c r="I6611" s="81"/>
      <c r="J6611" s="81"/>
      <c r="K6611" s="81"/>
      <c r="L6611" s="81"/>
      <c r="M6611" s="81"/>
      <c r="N6611" s="81"/>
    </row>
    <row r="6612" spans="1:14" ht="14.25" customHeight="1" x14ac:dyDescent="0.25">
      <c r="A6612" s="88"/>
      <c r="B6612" s="89"/>
      <c r="C6612" s="113"/>
      <c r="D6612" s="113"/>
      <c r="E6612" s="114"/>
      <c r="F6612" s="113"/>
      <c r="G6612" s="81"/>
      <c r="H6612" s="81"/>
      <c r="I6612" s="81"/>
      <c r="J6612" s="81"/>
      <c r="K6612" s="81"/>
      <c r="L6612" s="81"/>
      <c r="M6612" s="81"/>
      <c r="N6612" s="81"/>
    </row>
    <row r="6613" spans="1:14" ht="14.25" customHeight="1" x14ac:dyDescent="0.25">
      <c r="A6613" s="612" t="s">
        <v>588</v>
      </c>
      <c r="B6613" s="608"/>
      <c r="C6613" s="608"/>
      <c r="D6613" s="608"/>
      <c r="E6613" s="609"/>
      <c r="F6613" s="131">
        <f>ROUND(F6586+F6596+F6604+F6610,0)</f>
        <v>172749</v>
      </c>
      <c r="G6613" s="81"/>
      <c r="H6613" s="81"/>
      <c r="I6613" s="81"/>
      <c r="J6613" s="81"/>
      <c r="K6613" s="81"/>
      <c r="L6613" s="81"/>
      <c r="M6613" s="81"/>
      <c r="N6613" s="81"/>
    </row>
    <row r="6614" spans="1:14" ht="14.25" customHeight="1" x14ac:dyDescent="0.25">
      <c r="A6614" s="612" t="s">
        <v>589</v>
      </c>
      <c r="B6614" s="608"/>
      <c r="C6614" s="608"/>
      <c r="D6614" s="608"/>
      <c r="E6614" s="609"/>
      <c r="F6614" s="132"/>
      <c r="G6614" s="81"/>
      <c r="H6614" s="81"/>
      <c r="I6614" s="81"/>
      <c r="J6614" s="81"/>
      <c r="K6614" s="81"/>
      <c r="L6614" s="81"/>
      <c r="M6614" s="81"/>
      <c r="N6614" s="81"/>
    </row>
    <row r="6615" spans="1:14" ht="14.25" customHeight="1" x14ac:dyDescent="0.25">
      <c r="A6615" s="612" t="s">
        <v>556</v>
      </c>
      <c r="B6615" s="608"/>
      <c r="C6615" s="608"/>
      <c r="D6615" s="608"/>
      <c r="E6615" s="609"/>
      <c r="F6615" s="133"/>
      <c r="G6615" s="81"/>
      <c r="H6615" s="81"/>
      <c r="I6615" s="81"/>
      <c r="J6615" s="81"/>
      <c r="K6615" s="81"/>
      <c r="L6615" s="81"/>
      <c r="M6615" s="81"/>
      <c r="N6615" s="81"/>
    </row>
    <row r="6616" spans="1:14" ht="14.25" customHeight="1" x14ac:dyDescent="0.25">
      <c r="A6616" s="134"/>
      <c r="B6616" s="135"/>
      <c r="C6616" s="135"/>
      <c r="D6616" s="135"/>
      <c r="E6616" s="135"/>
      <c r="F6616" s="136"/>
      <c r="G6616" s="81"/>
      <c r="H6616" s="81"/>
      <c r="I6616" s="81"/>
      <c r="J6616" s="81"/>
      <c r="K6616" s="81"/>
      <c r="L6616" s="81"/>
      <c r="M6616" s="81"/>
      <c r="N6616" s="81"/>
    </row>
    <row r="6617" spans="1:14" ht="14.25" customHeight="1" x14ac:dyDescent="0.25">
      <c r="A6617" s="134"/>
      <c r="B6617" s="135"/>
      <c r="C6617" s="135"/>
      <c r="D6617" s="135"/>
      <c r="E6617" s="135"/>
      <c r="F6617" s="136"/>
      <c r="G6617" s="81"/>
      <c r="H6617" s="81"/>
      <c r="I6617" s="81"/>
      <c r="J6617" s="81"/>
      <c r="K6617" s="81"/>
      <c r="L6617" s="81"/>
      <c r="M6617" s="81"/>
      <c r="N6617" s="81"/>
    </row>
    <row r="6618" spans="1:14" ht="14.25" customHeight="1" x14ac:dyDescent="0.25">
      <c r="A6618" s="134"/>
      <c r="B6618" s="135"/>
      <c r="C6618" s="135"/>
      <c r="D6618" s="135"/>
      <c r="E6618" s="135"/>
      <c r="F6618" s="136"/>
      <c r="G6618" s="81"/>
      <c r="H6618" s="81"/>
      <c r="I6618" s="81"/>
      <c r="J6618" s="81"/>
      <c r="K6618" s="81"/>
      <c r="L6618" s="81"/>
      <c r="M6618" s="81"/>
      <c r="N6618" s="81"/>
    </row>
    <row r="6619" spans="1:14" ht="14.25" customHeight="1" x14ac:dyDescent="0.25">
      <c r="A6619" s="134"/>
      <c r="B6619" s="135"/>
      <c r="C6619" s="135"/>
      <c r="D6619" s="135"/>
      <c r="E6619" s="135"/>
      <c r="F6619" s="136"/>
      <c r="G6619" s="81"/>
      <c r="H6619" s="81"/>
      <c r="I6619" s="81"/>
      <c r="J6619" s="81"/>
      <c r="K6619" s="81"/>
      <c r="L6619" s="81"/>
      <c r="M6619" s="81"/>
      <c r="N6619" s="81"/>
    </row>
    <row r="6620" spans="1:14" ht="14.25" customHeight="1" x14ac:dyDescent="0.25">
      <c r="A6620" s="81"/>
      <c r="B6620" s="81"/>
      <c r="C6620" s="137"/>
      <c r="D6620" s="81"/>
      <c r="E6620" s="81"/>
      <c r="F6620" s="81"/>
      <c r="G6620" s="81"/>
      <c r="H6620" s="81"/>
      <c r="I6620" s="81"/>
      <c r="J6620" s="81"/>
      <c r="K6620" s="81"/>
      <c r="L6620" s="81"/>
      <c r="M6620" s="81"/>
      <c r="N6620" s="81"/>
    </row>
    <row r="6621" spans="1:14" ht="14.25" customHeight="1" x14ac:dyDescent="0.25">
      <c r="A6621" s="81"/>
      <c r="B6621" s="81"/>
      <c r="C6621" s="137"/>
      <c r="D6621" s="81"/>
      <c r="E6621" s="81"/>
      <c r="F6621" s="81"/>
      <c r="G6621" s="81"/>
      <c r="H6621" s="81"/>
      <c r="I6621" s="81"/>
      <c r="J6621" s="81"/>
      <c r="K6621" s="81"/>
      <c r="L6621" s="81"/>
      <c r="M6621" s="81"/>
      <c r="N6621" s="81"/>
    </row>
    <row r="6622" spans="1:14" ht="14.25" customHeight="1" x14ac:dyDescent="0.25">
      <c r="A6622" s="81"/>
      <c r="B6622" s="81"/>
      <c r="C6622" s="137"/>
      <c r="D6622" s="81"/>
      <c r="E6622" s="81"/>
      <c r="F6622" s="81"/>
      <c r="G6622" s="81"/>
      <c r="H6622" s="81"/>
      <c r="I6622" s="81"/>
      <c r="J6622" s="81"/>
      <c r="K6622" s="81"/>
      <c r="L6622" s="81"/>
      <c r="M6622" s="81"/>
      <c r="N6622" s="81"/>
    </row>
    <row r="6623" spans="1:14" ht="14.25" customHeight="1" x14ac:dyDescent="0.25">
      <c r="A6623" s="81"/>
      <c r="B6623" s="81"/>
      <c r="C6623" s="137"/>
      <c r="D6623" s="81"/>
      <c r="E6623" s="81"/>
      <c r="F6623" s="81"/>
      <c r="G6623" s="81"/>
      <c r="H6623" s="81"/>
      <c r="I6623" s="81"/>
      <c r="J6623" s="81"/>
      <c r="K6623" s="81"/>
      <c r="L6623" s="81"/>
      <c r="M6623" s="81"/>
      <c r="N6623" s="81"/>
    </row>
    <row r="6624" spans="1:14" ht="14.25" customHeight="1" thickBot="1" x14ac:dyDescent="0.3">
      <c r="A6624" s="81"/>
      <c r="B6624" s="81"/>
      <c r="C6624" s="81"/>
      <c r="D6624" s="81"/>
      <c r="E6624" s="81"/>
      <c r="F6624" s="81"/>
      <c r="G6624" s="81"/>
      <c r="H6624" s="81"/>
      <c r="I6624" s="81"/>
      <c r="J6624" s="81"/>
      <c r="K6624" s="81"/>
      <c r="L6624" s="81"/>
      <c r="M6624" s="81"/>
      <c r="N6624" s="81"/>
    </row>
    <row r="6625" spans="1:14" ht="14.25" customHeight="1" x14ac:dyDescent="0.25">
      <c r="A6625" s="83"/>
      <c r="B6625" s="84"/>
      <c r="C6625" s="85"/>
      <c r="D6625" s="86"/>
      <c r="E6625" s="86"/>
      <c r="F6625" s="87"/>
      <c r="G6625" s="81"/>
      <c r="H6625" s="81"/>
      <c r="I6625" s="81"/>
      <c r="J6625" s="81"/>
      <c r="K6625" s="81"/>
      <c r="L6625" s="81"/>
      <c r="M6625" s="81"/>
      <c r="N6625" s="81"/>
    </row>
    <row r="6626" spans="1:14" ht="14.25" customHeight="1" x14ac:dyDescent="0.25">
      <c r="A6626" s="599"/>
      <c r="B6626" s="600"/>
      <c r="C6626" s="600"/>
      <c r="D6626" s="600"/>
      <c r="E6626" s="600"/>
      <c r="F6626" s="601"/>
      <c r="G6626" s="81"/>
      <c r="H6626" s="81"/>
      <c r="I6626" s="81"/>
      <c r="J6626" s="81"/>
      <c r="K6626" s="81"/>
      <c r="L6626" s="81"/>
      <c r="M6626" s="81"/>
      <c r="N6626" s="81"/>
    </row>
    <row r="6627" spans="1:14" ht="14.25" customHeight="1" x14ac:dyDescent="0.25">
      <c r="A6627" s="602" t="s">
        <v>561</v>
      </c>
      <c r="B6627" s="600"/>
      <c r="C6627" s="600"/>
      <c r="D6627" s="600"/>
      <c r="E6627" s="600"/>
      <c r="F6627" s="601"/>
      <c r="G6627" s="81"/>
      <c r="H6627" s="81"/>
      <c r="I6627" s="81"/>
      <c r="J6627" s="81"/>
      <c r="K6627" s="81"/>
      <c r="L6627" s="81"/>
      <c r="M6627" s="81"/>
      <c r="N6627" s="81"/>
    </row>
    <row r="6628" spans="1:14" ht="14.25" customHeight="1" thickBot="1" x14ac:dyDescent="0.3">
      <c r="A6628" s="603"/>
      <c r="B6628" s="604"/>
      <c r="C6628" s="604"/>
      <c r="D6628" s="604"/>
      <c r="E6628" s="604"/>
      <c r="F6628" s="605"/>
      <c r="G6628" s="81"/>
      <c r="H6628" s="81"/>
      <c r="I6628" s="81"/>
      <c r="J6628" s="81"/>
      <c r="K6628" s="81"/>
      <c r="L6628" s="81"/>
      <c r="M6628" s="81"/>
      <c r="N6628" s="81"/>
    </row>
    <row r="6629" spans="1:14" ht="14.25" customHeight="1" x14ac:dyDescent="0.25">
      <c r="A6629" s="88"/>
      <c r="B6629" s="88"/>
      <c r="C6629" s="89"/>
      <c r="D6629" s="89"/>
      <c r="E6629" s="89"/>
      <c r="F6629" s="89"/>
      <c r="G6629" s="81"/>
      <c r="H6629" s="81"/>
      <c r="I6629" s="81"/>
      <c r="J6629" s="81"/>
      <c r="K6629" s="81"/>
      <c r="L6629" s="81"/>
      <c r="M6629" s="81"/>
      <c r="N6629" s="81"/>
    </row>
    <row r="6630" spans="1:14" ht="14.25" customHeight="1" x14ac:dyDescent="0.25">
      <c r="A6630" s="90" t="s">
        <v>47</v>
      </c>
      <c r="B6630" s="613" t="s">
        <v>325</v>
      </c>
      <c r="C6630" s="600"/>
      <c r="D6630" s="600"/>
      <c r="E6630" s="600"/>
      <c r="F6630" s="600"/>
      <c r="G6630" s="81"/>
      <c r="H6630" s="81"/>
      <c r="I6630" s="81"/>
      <c r="J6630" s="81"/>
      <c r="K6630" s="81"/>
      <c r="L6630" s="81"/>
      <c r="M6630" s="81"/>
      <c r="N6630" s="81"/>
    </row>
    <row r="6631" spans="1:14" ht="14.25" customHeight="1" x14ac:dyDescent="0.25">
      <c r="A6631" s="91"/>
      <c r="B6631" s="91"/>
      <c r="C6631" s="91"/>
      <c r="D6631" s="91"/>
      <c r="E6631" s="91"/>
      <c r="F6631" s="91"/>
      <c r="G6631" s="81"/>
      <c r="H6631" s="81"/>
      <c r="I6631" s="81"/>
      <c r="J6631" s="81"/>
      <c r="K6631" s="81"/>
      <c r="L6631" s="81"/>
      <c r="M6631" s="81"/>
      <c r="N6631" s="81"/>
    </row>
    <row r="6632" spans="1:14" ht="14.25" customHeight="1" x14ac:dyDescent="0.25">
      <c r="A6632" s="88" t="s">
        <v>49</v>
      </c>
      <c r="B6632" s="92" t="s">
        <v>59</v>
      </c>
      <c r="C6632" s="89"/>
      <c r="D6632" s="89"/>
      <c r="E6632" s="89"/>
      <c r="F6632" s="93"/>
      <c r="G6632" s="81"/>
      <c r="H6632" s="81"/>
      <c r="I6632" s="81"/>
      <c r="J6632" s="81"/>
      <c r="K6632" s="81"/>
      <c r="L6632" s="81"/>
      <c r="M6632" s="81"/>
      <c r="N6632" s="81"/>
    </row>
    <row r="6633" spans="1:14" ht="14.25" customHeight="1" x14ac:dyDescent="0.25">
      <c r="A6633" s="88"/>
      <c r="B6633" s="94"/>
      <c r="C6633" s="89"/>
      <c r="D6633" s="89"/>
      <c r="E6633" s="89"/>
      <c r="F6633" s="93"/>
      <c r="G6633" s="81"/>
      <c r="H6633" s="81"/>
      <c r="I6633" s="81"/>
      <c r="J6633" s="81"/>
      <c r="K6633" s="81"/>
      <c r="L6633" s="81"/>
      <c r="M6633" s="81"/>
      <c r="N6633" s="81"/>
    </row>
    <row r="6634" spans="1:14" ht="14.25" customHeight="1" x14ac:dyDescent="0.25">
      <c r="A6634" s="95" t="s">
        <v>562</v>
      </c>
      <c r="B6634" s="96"/>
      <c r="C6634" s="92"/>
      <c r="D6634" s="92"/>
      <c r="E6634" s="92"/>
      <c r="F6634" s="92"/>
      <c r="G6634" s="81"/>
      <c r="H6634" s="81"/>
      <c r="I6634" s="81"/>
      <c r="J6634" s="81"/>
      <c r="K6634" s="81"/>
      <c r="L6634" s="81"/>
      <c r="M6634" s="81"/>
      <c r="N6634" s="81"/>
    </row>
    <row r="6635" spans="1:14" ht="15.75" x14ac:dyDescent="0.25">
      <c r="A6635" s="97" t="s">
        <v>563</v>
      </c>
      <c r="B6635" s="98" t="s">
        <v>564</v>
      </c>
      <c r="C6635" s="98" t="s">
        <v>565</v>
      </c>
      <c r="D6635" s="98" t="s">
        <v>566</v>
      </c>
      <c r="E6635" s="98" t="s">
        <v>567</v>
      </c>
      <c r="F6635" s="98" t="s">
        <v>568</v>
      </c>
      <c r="G6635" s="81"/>
      <c r="H6635" s="81"/>
      <c r="I6635" s="81"/>
      <c r="J6635" s="81"/>
      <c r="K6635" s="81"/>
      <c r="L6635" s="81"/>
      <c r="M6635" s="81"/>
      <c r="N6635" s="81"/>
    </row>
    <row r="6636" spans="1:14" ht="14.25" customHeight="1" x14ac:dyDescent="0.25">
      <c r="A6636" s="99" t="s">
        <v>782</v>
      </c>
      <c r="B6636" s="100" t="s">
        <v>695</v>
      </c>
      <c r="C6636" s="101">
        <v>303970</v>
      </c>
      <c r="D6636" s="149">
        <f>1/8</f>
        <v>0.125</v>
      </c>
      <c r="E6636" s="102">
        <v>0.05</v>
      </c>
      <c r="F6636" s="101">
        <f t="shared" ref="F6636:F6638" si="321">C6636*(D6636+(D6636*E6636))</f>
        <v>39896.0625</v>
      </c>
      <c r="G6636" s="81"/>
      <c r="H6636" s="81"/>
      <c r="I6636" s="81"/>
      <c r="J6636" s="81"/>
      <c r="K6636" s="81"/>
      <c r="L6636" s="81"/>
      <c r="M6636" s="81"/>
      <c r="N6636" s="81"/>
    </row>
    <row r="6637" spans="1:14" ht="14.25" customHeight="1" x14ac:dyDescent="0.25">
      <c r="A6637" s="99" t="s">
        <v>783</v>
      </c>
      <c r="B6637" s="100" t="s">
        <v>784</v>
      </c>
      <c r="C6637" s="101">
        <v>5200</v>
      </c>
      <c r="D6637" s="149">
        <v>0.35</v>
      </c>
      <c r="E6637" s="102">
        <v>0.05</v>
      </c>
      <c r="F6637" s="101">
        <f t="shared" si="321"/>
        <v>1911</v>
      </c>
      <c r="G6637" s="81"/>
      <c r="H6637" s="81"/>
      <c r="I6637" s="81"/>
      <c r="J6637" s="81"/>
      <c r="K6637" s="81"/>
      <c r="L6637" s="81"/>
      <c r="M6637" s="81"/>
      <c r="N6637" s="81"/>
    </row>
    <row r="6638" spans="1:14" ht="14.25" customHeight="1" x14ac:dyDescent="0.25">
      <c r="A6638" s="99"/>
      <c r="B6638" s="100"/>
      <c r="C6638" s="101"/>
      <c r="D6638" s="149"/>
      <c r="E6638" s="102"/>
      <c r="F6638" s="101">
        <f t="shared" si="321"/>
        <v>0</v>
      </c>
      <c r="G6638" s="81"/>
      <c r="H6638" s="81"/>
      <c r="I6638" s="81"/>
      <c r="J6638" s="81"/>
      <c r="K6638" s="81"/>
      <c r="L6638" s="81"/>
      <c r="M6638" s="81"/>
      <c r="N6638" s="81"/>
    </row>
    <row r="6639" spans="1:14" ht="14.25" customHeight="1" x14ac:dyDescent="0.25">
      <c r="A6639" s="99"/>
      <c r="B6639" s="100"/>
      <c r="C6639" s="101"/>
      <c r="D6639" s="104"/>
      <c r="E6639" s="102"/>
      <c r="F6639" s="101"/>
      <c r="G6639" s="81"/>
      <c r="H6639" s="81"/>
      <c r="I6639" s="81"/>
      <c r="J6639" s="81"/>
      <c r="K6639" s="81"/>
      <c r="L6639" s="81"/>
      <c r="M6639" s="81"/>
      <c r="N6639" s="81"/>
    </row>
    <row r="6640" spans="1:14" ht="14.25" customHeight="1" x14ac:dyDescent="0.25">
      <c r="A6640" s="99"/>
      <c r="B6640" s="100"/>
      <c r="C6640" s="101"/>
      <c r="D6640" s="149"/>
      <c r="E6640" s="102"/>
      <c r="F6640" s="101"/>
      <c r="G6640" s="81"/>
      <c r="H6640" s="81"/>
      <c r="I6640" s="81"/>
      <c r="J6640" s="81"/>
      <c r="K6640" s="81"/>
      <c r="L6640" s="81"/>
      <c r="M6640" s="81"/>
      <c r="N6640" s="81"/>
    </row>
    <row r="6641" spans="1:14" ht="14.25" customHeight="1" x14ac:dyDescent="0.25">
      <c r="A6641" s="99"/>
      <c r="B6641" s="100"/>
      <c r="C6641" s="101"/>
      <c r="D6641" s="104"/>
      <c r="E6641" s="102"/>
      <c r="F6641" s="101"/>
      <c r="G6641" s="81"/>
      <c r="H6641" s="81"/>
      <c r="I6641" s="81"/>
      <c r="J6641" s="81"/>
      <c r="K6641" s="81"/>
      <c r="L6641" s="81"/>
      <c r="M6641" s="81"/>
      <c r="N6641" s="81"/>
    </row>
    <row r="6642" spans="1:14" ht="14.25" customHeight="1" x14ac:dyDescent="0.25">
      <c r="A6642" s="99"/>
      <c r="B6642" s="100"/>
      <c r="C6642" s="106"/>
      <c r="D6642" s="107"/>
      <c r="E6642" s="108"/>
      <c r="F6642" s="106"/>
      <c r="G6642" s="81"/>
      <c r="H6642" s="81"/>
      <c r="I6642" s="81"/>
      <c r="J6642" s="81"/>
      <c r="K6642" s="81"/>
      <c r="L6642" s="81"/>
      <c r="M6642" s="81"/>
      <c r="N6642" s="81"/>
    </row>
    <row r="6643" spans="1:14" ht="14.25" customHeight="1" x14ac:dyDescent="0.25">
      <c r="A6643" s="97" t="s">
        <v>548</v>
      </c>
      <c r="B6643" s="97"/>
      <c r="C6643" s="109"/>
      <c r="D6643" s="110"/>
      <c r="E6643" s="111"/>
      <c r="F6643" s="112">
        <f>SUM(F6636:F6642)</f>
        <v>41807.0625</v>
      </c>
      <c r="G6643" s="81"/>
      <c r="H6643" s="81"/>
      <c r="I6643" s="81"/>
      <c r="J6643" s="81"/>
      <c r="K6643" s="81"/>
      <c r="L6643" s="81"/>
      <c r="M6643" s="81"/>
      <c r="N6643" s="81"/>
    </row>
    <row r="6644" spans="1:14" ht="14.25" customHeight="1" x14ac:dyDescent="0.25">
      <c r="A6644" s="88"/>
      <c r="B6644" s="88"/>
      <c r="C6644" s="113"/>
      <c r="D6644" s="113"/>
      <c r="E6644" s="114"/>
      <c r="F6644" s="113"/>
      <c r="G6644" s="81"/>
      <c r="H6644" s="81"/>
      <c r="I6644" s="81"/>
      <c r="J6644" s="81"/>
      <c r="K6644" s="81"/>
      <c r="L6644" s="81"/>
      <c r="M6644" s="81"/>
      <c r="N6644" s="81"/>
    </row>
    <row r="6645" spans="1:14" ht="14.25" customHeight="1" x14ac:dyDescent="0.25">
      <c r="A6645" s="96" t="s">
        <v>573</v>
      </c>
      <c r="B6645" s="96"/>
      <c r="C6645" s="92"/>
      <c r="D6645" s="92"/>
      <c r="E6645" s="92"/>
      <c r="F6645" s="92"/>
      <c r="G6645" s="81"/>
      <c r="H6645" s="81"/>
      <c r="I6645" s="81"/>
      <c r="J6645" s="81"/>
      <c r="K6645" s="81"/>
      <c r="L6645" s="81"/>
      <c r="M6645" s="81"/>
      <c r="N6645" s="81"/>
    </row>
    <row r="6646" spans="1:14" ht="14.25" customHeight="1" x14ac:dyDescent="0.25">
      <c r="A6646" s="611" t="s">
        <v>563</v>
      </c>
      <c r="B6646" s="608"/>
      <c r="C6646" s="609"/>
      <c r="D6646" s="98" t="s">
        <v>574</v>
      </c>
      <c r="E6646" s="98" t="s">
        <v>575</v>
      </c>
      <c r="F6646" s="98" t="s">
        <v>568</v>
      </c>
      <c r="G6646" s="81"/>
      <c r="H6646" s="81"/>
      <c r="I6646" s="81"/>
      <c r="J6646" s="81"/>
      <c r="K6646" s="81"/>
      <c r="L6646" s="81"/>
      <c r="M6646" s="81"/>
      <c r="N6646" s="81"/>
    </row>
    <row r="6647" spans="1:14" ht="14.25" customHeight="1" x14ac:dyDescent="0.25">
      <c r="A6647" s="607" t="s">
        <v>577</v>
      </c>
      <c r="B6647" s="608"/>
      <c r="C6647" s="609"/>
      <c r="D6647" s="116"/>
      <c r="E6647" s="107"/>
      <c r="F6647" s="106">
        <f>+F6661*5%</f>
        <v>1002.3536085897721</v>
      </c>
      <c r="G6647" s="81"/>
      <c r="H6647" s="81"/>
      <c r="I6647" s="81"/>
      <c r="J6647" s="81"/>
      <c r="K6647" s="81"/>
      <c r="L6647" s="81"/>
      <c r="M6647" s="81"/>
      <c r="N6647" s="81"/>
    </row>
    <row r="6648" spans="1:14" ht="14.25" customHeight="1" x14ac:dyDescent="0.25">
      <c r="A6648" s="607"/>
      <c r="B6648" s="608"/>
      <c r="C6648" s="609"/>
      <c r="D6648" s="142"/>
      <c r="E6648" s="105"/>
      <c r="F6648" s="106"/>
      <c r="G6648" s="81"/>
      <c r="H6648" s="81"/>
      <c r="I6648" s="81"/>
      <c r="J6648" s="81"/>
      <c r="K6648" s="81"/>
      <c r="L6648" s="81"/>
      <c r="M6648" s="81"/>
      <c r="N6648" s="81"/>
    </row>
    <row r="6649" spans="1:14" ht="14.25" customHeight="1" x14ac:dyDescent="0.25">
      <c r="A6649" s="607"/>
      <c r="B6649" s="608"/>
      <c r="C6649" s="609"/>
      <c r="D6649" s="142"/>
      <c r="E6649" s="105"/>
      <c r="F6649" s="106"/>
      <c r="G6649" s="81"/>
      <c r="H6649" s="117"/>
      <c r="I6649" s="81"/>
      <c r="J6649" s="81"/>
      <c r="K6649" s="81"/>
      <c r="L6649" s="81"/>
      <c r="M6649" s="81"/>
      <c r="N6649" s="81"/>
    </row>
    <row r="6650" spans="1:14" ht="14.25" customHeight="1" x14ac:dyDescent="0.25">
      <c r="A6650" s="607"/>
      <c r="B6650" s="608"/>
      <c r="C6650" s="609"/>
      <c r="D6650" s="142"/>
      <c r="E6650" s="107"/>
      <c r="F6650" s="106"/>
      <c r="G6650" s="81"/>
      <c r="H6650" s="81"/>
      <c r="I6650" s="81"/>
      <c r="J6650" s="81"/>
      <c r="K6650" s="81"/>
      <c r="L6650" s="81"/>
      <c r="M6650" s="81"/>
      <c r="N6650" s="81"/>
    </row>
    <row r="6651" spans="1:14" ht="14.25" customHeight="1" x14ac:dyDescent="0.25">
      <c r="A6651" s="607"/>
      <c r="B6651" s="608"/>
      <c r="C6651" s="609"/>
      <c r="D6651" s="142"/>
      <c r="E6651" s="107"/>
      <c r="F6651" s="106"/>
      <c r="G6651" s="81"/>
      <c r="H6651" s="81"/>
      <c r="I6651" s="81"/>
      <c r="J6651" s="81"/>
      <c r="K6651" s="81"/>
      <c r="L6651" s="81"/>
      <c r="M6651" s="81"/>
      <c r="N6651" s="81"/>
    </row>
    <row r="6652" spans="1:14" ht="14.25" customHeight="1" x14ac:dyDescent="0.25">
      <c r="A6652" s="610"/>
      <c r="B6652" s="608"/>
      <c r="C6652" s="609"/>
      <c r="D6652" s="115"/>
      <c r="E6652" s="107"/>
      <c r="F6652" s="106"/>
      <c r="G6652" s="81"/>
      <c r="H6652" s="143"/>
      <c r="I6652" s="81"/>
      <c r="J6652" s="81"/>
      <c r="K6652" s="81"/>
      <c r="L6652" s="81"/>
      <c r="M6652" s="81"/>
      <c r="N6652" s="81"/>
    </row>
    <row r="6653" spans="1:14" ht="14.25" customHeight="1" x14ac:dyDescent="0.25">
      <c r="A6653" s="611" t="s">
        <v>548</v>
      </c>
      <c r="B6653" s="608"/>
      <c r="C6653" s="609"/>
      <c r="D6653" s="110"/>
      <c r="E6653" s="110"/>
      <c r="F6653" s="112">
        <f>SUM(F6647:F6652)</f>
        <v>1002.3536085897721</v>
      </c>
      <c r="G6653" s="81"/>
      <c r="H6653" s="81"/>
      <c r="I6653" s="81"/>
      <c r="J6653" s="81"/>
      <c r="K6653" s="81"/>
      <c r="L6653" s="81"/>
      <c r="M6653" s="81"/>
      <c r="N6653" s="81"/>
    </row>
    <row r="6654" spans="1:14" ht="14.25" customHeight="1" x14ac:dyDescent="0.25">
      <c r="A6654" s="88"/>
      <c r="B6654" s="88"/>
      <c r="C6654" s="89"/>
      <c r="D6654" s="113"/>
      <c r="E6654" s="113"/>
      <c r="F6654" s="113"/>
      <c r="G6654" s="81"/>
      <c r="H6654" s="81"/>
      <c r="I6654" s="81"/>
      <c r="J6654" s="81"/>
      <c r="K6654" s="81"/>
      <c r="L6654" s="81"/>
      <c r="M6654" s="81"/>
      <c r="N6654" s="81"/>
    </row>
    <row r="6655" spans="1:14" ht="14.25" customHeight="1" x14ac:dyDescent="0.25">
      <c r="A6655" s="96" t="s">
        <v>578</v>
      </c>
      <c r="B6655" s="96"/>
      <c r="C6655" s="92"/>
      <c r="D6655" s="118"/>
      <c r="E6655" s="118"/>
      <c r="F6655" s="118"/>
      <c r="G6655" s="81"/>
      <c r="H6655" s="81"/>
      <c r="I6655" s="81"/>
      <c r="J6655" s="81"/>
      <c r="K6655" s="81"/>
      <c r="L6655" s="81"/>
      <c r="M6655" s="81"/>
      <c r="N6655" s="81"/>
    </row>
    <row r="6656" spans="1:14" ht="14.25" customHeight="1" x14ac:dyDescent="0.25">
      <c r="A6656" s="119" t="s">
        <v>563</v>
      </c>
      <c r="B6656" s="120" t="s">
        <v>579</v>
      </c>
      <c r="C6656" s="120" t="s">
        <v>580</v>
      </c>
      <c r="D6656" s="121" t="s">
        <v>581</v>
      </c>
      <c r="E6656" s="121" t="s">
        <v>575</v>
      </c>
      <c r="F6656" s="121" t="s">
        <v>568</v>
      </c>
      <c r="G6656" s="81"/>
      <c r="H6656" s="81"/>
      <c r="I6656" s="81"/>
      <c r="J6656" s="81"/>
      <c r="K6656" s="81"/>
      <c r="L6656" s="81"/>
      <c r="M6656" s="81"/>
      <c r="N6656" s="81"/>
    </row>
    <row r="6657" spans="1:14" ht="14.25" customHeight="1" x14ac:dyDescent="0.25">
      <c r="A6657" s="122" t="s">
        <v>593</v>
      </c>
      <c r="B6657" s="127">
        <v>1</v>
      </c>
      <c r="C6657" s="101">
        <v>32688</v>
      </c>
      <c r="D6657" s="101">
        <f t="shared" ref="D6657:D6658" si="322">+C6657*1.7</f>
        <v>55569.599999999999</v>
      </c>
      <c r="E6657" s="107">
        <v>7.2271999999999998</v>
      </c>
      <c r="F6657" s="106">
        <f t="shared" ref="F6657:F6658" si="323">+B6657*(D6657)/E6657</f>
        <v>7688.9528448085011</v>
      </c>
      <c r="G6657" s="81"/>
      <c r="H6657" s="81"/>
      <c r="I6657" s="81"/>
      <c r="J6657" s="81"/>
      <c r="K6657" s="81"/>
      <c r="L6657" s="81"/>
      <c r="M6657" s="81"/>
      <c r="N6657" s="81"/>
    </row>
    <row r="6658" spans="1:14" ht="14.25" customHeight="1" x14ac:dyDescent="0.25">
      <c r="A6658" s="122" t="s">
        <v>594</v>
      </c>
      <c r="B6658" s="127">
        <v>1</v>
      </c>
      <c r="C6658" s="101">
        <v>52538</v>
      </c>
      <c r="D6658" s="101">
        <f t="shared" si="322"/>
        <v>89314.599999999991</v>
      </c>
      <c r="E6658" s="107">
        <f>E6657</f>
        <v>7.2271999999999998</v>
      </c>
      <c r="F6658" s="106">
        <f t="shared" si="323"/>
        <v>12358.119326986938</v>
      </c>
      <c r="G6658" s="81"/>
      <c r="H6658" s="81"/>
      <c r="I6658" s="81"/>
      <c r="J6658" s="81"/>
      <c r="K6658" s="81"/>
      <c r="L6658" s="81"/>
      <c r="M6658" s="81"/>
      <c r="N6658" s="81"/>
    </row>
    <row r="6659" spans="1:14" ht="14.25" customHeight="1" x14ac:dyDescent="0.25">
      <c r="A6659" s="122"/>
      <c r="B6659" s="127"/>
      <c r="C6659" s="101"/>
      <c r="D6659" s="101"/>
      <c r="E6659" s="107"/>
      <c r="F6659" s="106"/>
      <c r="G6659" s="81"/>
      <c r="H6659" s="81"/>
      <c r="I6659" s="81"/>
      <c r="J6659" s="81"/>
      <c r="K6659" s="81"/>
      <c r="L6659" s="81"/>
      <c r="M6659" s="81"/>
      <c r="N6659" s="81"/>
    </row>
    <row r="6660" spans="1:14" ht="14.25" customHeight="1" x14ac:dyDescent="0.25">
      <c r="A6660" s="122"/>
      <c r="B6660" s="127"/>
      <c r="C6660" s="101"/>
      <c r="D6660" s="101"/>
      <c r="E6660" s="125"/>
      <c r="F6660" s="106"/>
      <c r="G6660" s="81"/>
      <c r="H6660" s="81"/>
      <c r="I6660" s="81"/>
      <c r="J6660" s="81"/>
      <c r="K6660" s="81"/>
      <c r="L6660" s="81"/>
      <c r="M6660" s="81"/>
      <c r="N6660" s="81"/>
    </row>
    <row r="6661" spans="1:14" ht="14.25" customHeight="1" x14ac:dyDescent="0.25">
      <c r="A6661" s="97" t="s">
        <v>548</v>
      </c>
      <c r="B6661" s="128"/>
      <c r="C6661" s="110"/>
      <c r="D6661" s="110"/>
      <c r="E6661" s="110"/>
      <c r="F6661" s="112">
        <f>SUM(F6657:F6660)</f>
        <v>20047.07217179544</v>
      </c>
      <c r="G6661" s="81"/>
      <c r="H6661" s="81"/>
      <c r="I6661" s="81"/>
      <c r="J6661" s="81"/>
      <c r="K6661" s="81"/>
      <c r="L6661" s="81"/>
      <c r="M6661" s="81"/>
      <c r="N6661" s="81"/>
    </row>
    <row r="6662" spans="1:14" ht="14.25" customHeight="1" x14ac:dyDescent="0.25">
      <c r="A6662" s="96"/>
      <c r="B6662" s="129"/>
      <c r="C6662" s="118"/>
      <c r="D6662" s="118"/>
      <c r="E6662" s="118"/>
      <c r="F6662" s="118"/>
      <c r="G6662" s="81"/>
      <c r="H6662" s="81"/>
      <c r="I6662" s="81"/>
      <c r="J6662" s="81"/>
      <c r="K6662" s="81"/>
      <c r="L6662" s="81"/>
      <c r="M6662" s="81"/>
      <c r="N6662" s="81"/>
    </row>
    <row r="6663" spans="1:14" ht="14.25" customHeight="1" x14ac:dyDescent="0.25">
      <c r="A6663" s="95" t="s">
        <v>583</v>
      </c>
      <c r="B6663" s="96"/>
      <c r="C6663" s="92"/>
      <c r="D6663" s="92"/>
      <c r="E6663" s="92" t="s">
        <v>584</v>
      </c>
      <c r="F6663" s="92"/>
      <c r="G6663" s="81"/>
      <c r="H6663" s="81"/>
      <c r="I6663" s="81"/>
      <c r="J6663" s="81"/>
      <c r="K6663" s="81"/>
      <c r="L6663" s="81"/>
      <c r="M6663" s="81"/>
      <c r="N6663" s="81"/>
    </row>
    <row r="6664" spans="1:14" ht="14.25" customHeight="1" x14ac:dyDescent="0.25">
      <c r="A6664" s="97" t="s">
        <v>563</v>
      </c>
      <c r="B6664" s="98" t="s">
        <v>564</v>
      </c>
      <c r="C6664" s="98" t="s">
        <v>585</v>
      </c>
      <c r="D6664" s="98" t="s">
        <v>586</v>
      </c>
      <c r="E6664" s="120" t="s">
        <v>587</v>
      </c>
      <c r="F6664" s="98" t="s">
        <v>568</v>
      </c>
      <c r="G6664" s="81"/>
      <c r="H6664" s="81"/>
      <c r="I6664" s="81"/>
      <c r="J6664" s="81"/>
      <c r="K6664" s="81"/>
      <c r="L6664" s="81"/>
      <c r="M6664" s="81"/>
      <c r="N6664" s="81"/>
    </row>
    <row r="6665" spans="1:14" ht="14.25" customHeight="1" x14ac:dyDescent="0.25">
      <c r="A6665" s="103"/>
      <c r="B6665" s="100"/>
      <c r="C6665" s="101"/>
      <c r="D6665" s="140"/>
      <c r="E6665" s="107"/>
      <c r="F6665" s="109"/>
      <c r="G6665" s="81"/>
      <c r="H6665" s="81"/>
      <c r="I6665" s="81"/>
      <c r="J6665" s="81"/>
      <c r="K6665" s="81"/>
      <c r="L6665" s="81"/>
      <c r="M6665" s="81"/>
      <c r="N6665" s="81"/>
    </row>
    <row r="6666" spans="1:14" ht="14.25" customHeight="1" x14ac:dyDescent="0.25">
      <c r="A6666" s="103"/>
      <c r="B6666" s="100"/>
      <c r="C6666" s="107"/>
      <c r="D6666" s="107"/>
      <c r="E6666" s="108"/>
      <c r="F6666" s="109"/>
      <c r="G6666" s="81"/>
      <c r="H6666" s="81"/>
      <c r="I6666" s="81"/>
      <c r="J6666" s="81"/>
      <c r="K6666" s="81"/>
      <c r="L6666" s="81"/>
      <c r="M6666" s="81"/>
      <c r="N6666" s="81"/>
    </row>
    <row r="6667" spans="1:14" ht="14.25" customHeight="1" x14ac:dyDescent="0.25">
      <c r="A6667" s="97" t="s">
        <v>548</v>
      </c>
      <c r="B6667" s="98"/>
      <c r="C6667" s="110"/>
      <c r="D6667" s="110"/>
      <c r="E6667" s="111"/>
      <c r="F6667" s="112">
        <f>SUM(F6665:F6666)</f>
        <v>0</v>
      </c>
      <c r="G6667" s="81"/>
      <c r="H6667" s="81"/>
      <c r="I6667" s="81"/>
      <c r="J6667" s="81"/>
      <c r="K6667" s="81"/>
      <c r="L6667" s="81"/>
      <c r="M6667" s="81"/>
      <c r="N6667" s="81"/>
    </row>
    <row r="6668" spans="1:14" ht="14.25" customHeight="1" x14ac:dyDescent="0.25">
      <c r="A6668" s="88"/>
      <c r="B6668" s="89"/>
      <c r="C6668" s="113"/>
      <c r="D6668" s="113"/>
      <c r="E6668" s="114"/>
      <c r="F6668" s="113"/>
      <c r="G6668" s="81"/>
      <c r="H6668" s="81"/>
      <c r="I6668" s="81"/>
      <c r="J6668" s="81"/>
      <c r="K6668" s="81"/>
      <c r="L6668" s="81"/>
      <c r="M6668" s="81"/>
      <c r="N6668" s="81"/>
    </row>
    <row r="6669" spans="1:14" ht="14.25" customHeight="1" x14ac:dyDescent="0.25">
      <c r="A6669" s="88"/>
      <c r="B6669" s="89"/>
      <c r="C6669" s="113"/>
      <c r="D6669" s="113"/>
      <c r="E6669" s="114"/>
      <c r="F6669" s="113"/>
      <c r="G6669" s="81"/>
      <c r="H6669" s="81"/>
      <c r="I6669" s="81"/>
      <c r="J6669" s="81"/>
      <c r="K6669" s="81"/>
      <c r="L6669" s="81"/>
      <c r="M6669" s="81"/>
      <c r="N6669" s="81"/>
    </row>
    <row r="6670" spans="1:14" ht="14.25" customHeight="1" x14ac:dyDescent="0.25">
      <c r="A6670" s="612" t="s">
        <v>588</v>
      </c>
      <c r="B6670" s="608"/>
      <c r="C6670" s="608"/>
      <c r="D6670" s="608"/>
      <c r="E6670" s="609"/>
      <c r="F6670" s="131">
        <f>ROUND(F6643+F6653+F6661+F6667,0)</f>
        <v>62856</v>
      </c>
      <c r="G6670" s="81"/>
      <c r="H6670" s="81"/>
      <c r="I6670" s="81"/>
      <c r="J6670" s="81"/>
      <c r="K6670" s="81"/>
      <c r="L6670" s="81"/>
      <c r="M6670" s="81"/>
      <c r="N6670" s="81"/>
    </row>
    <row r="6671" spans="1:14" ht="14.25" customHeight="1" x14ac:dyDescent="0.25">
      <c r="A6671" s="612" t="s">
        <v>589</v>
      </c>
      <c r="B6671" s="608"/>
      <c r="C6671" s="608"/>
      <c r="D6671" s="608"/>
      <c r="E6671" s="609"/>
      <c r="F6671" s="132"/>
      <c r="G6671" s="81"/>
      <c r="H6671" s="81"/>
      <c r="I6671" s="81"/>
      <c r="J6671" s="81"/>
      <c r="K6671" s="81"/>
      <c r="L6671" s="81"/>
      <c r="M6671" s="81"/>
      <c r="N6671" s="81"/>
    </row>
    <row r="6672" spans="1:14" ht="14.25" customHeight="1" x14ac:dyDescent="0.25">
      <c r="A6672" s="612" t="s">
        <v>556</v>
      </c>
      <c r="B6672" s="608"/>
      <c r="C6672" s="608"/>
      <c r="D6672" s="608"/>
      <c r="E6672" s="609"/>
      <c r="F6672" s="133"/>
      <c r="G6672" s="81"/>
      <c r="H6672" s="81"/>
      <c r="I6672" s="81"/>
      <c r="J6672" s="81"/>
      <c r="K6672" s="81"/>
      <c r="L6672" s="81"/>
      <c r="M6672" s="81"/>
      <c r="N6672" s="81"/>
    </row>
    <row r="6673" spans="1:14" ht="14.25" customHeight="1" x14ac:dyDescent="0.25">
      <c r="A6673" s="134"/>
      <c r="B6673" s="135"/>
      <c r="C6673" s="135"/>
      <c r="D6673" s="135"/>
      <c r="E6673" s="135"/>
      <c r="F6673" s="136"/>
      <c r="G6673" s="81"/>
      <c r="H6673" s="81"/>
      <c r="I6673" s="81"/>
      <c r="J6673" s="81"/>
      <c r="K6673" s="81"/>
      <c r="L6673" s="81"/>
      <c r="M6673" s="81"/>
      <c r="N6673" s="81"/>
    </row>
    <row r="6674" spans="1:14" ht="14.25" customHeight="1" x14ac:dyDescent="0.25">
      <c r="A6674" s="134"/>
      <c r="B6674" s="135"/>
      <c r="C6674" s="135"/>
      <c r="D6674" s="135"/>
      <c r="E6674" s="135"/>
      <c r="F6674" s="136"/>
      <c r="G6674" s="81"/>
      <c r="H6674" s="81"/>
      <c r="I6674" s="81"/>
      <c r="J6674" s="81"/>
      <c r="K6674" s="81"/>
      <c r="L6674" s="81"/>
      <c r="M6674" s="81"/>
      <c r="N6674" s="81"/>
    </row>
    <row r="6675" spans="1:14" ht="14.25" customHeight="1" x14ac:dyDescent="0.25">
      <c r="A6675" s="134"/>
      <c r="B6675" s="135"/>
      <c r="C6675" s="135"/>
      <c r="D6675" s="135"/>
      <c r="E6675" s="135"/>
      <c r="F6675" s="136"/>
      <c r="G6675" s="81"/>
      <c r="H6675" s="81"/>
      <c r="I6675" s="81"/>
      <c r="J6675" s="81"/>
      <c r="K6675" s="81"/>
      <c r="L6675" s="81"/>
      <c r="M6675" s="81"/>
      <c r="N6675" s="81"/>
    </row>
    <row r="6676" spans="1:14" ht="14.25" customHeight="1" x14ac:dyDescent="0.25">
      <c r="A6676" s="134"/>
      <c r="B6676" s="135"/>
      <c r="C6676" s="135"/>
      <c r="D6676" s="135"/>
      <c r="E6676" s="135"/>
      <c r="F6676" s="136"/>
      <c r="G6676" s="81"/>
      <c r="H6676" s="81"/>
      <c r="I6676" s="81"/>
      <c r="J6676" s="81"/>
      <c r="K6676" s="81"/>
      <c r="L6676" s="81"/>
      <c r="M6676" s="81"/>
      <c r="N6676" s="81"/>
    </row>
    <row r="6677" spans="1:14" ht="14.25" customHeight="1" x14ac:dyDescent="0.25">
      <c r="A6677" s="81"/>
      <c r="B6677" s="81"/>
      <c r="C6677" s="137"/>
      <c r="D6677" s="81"/>
      <c r="E6677" s="81"/>
      <c r="F6677" s="81"/>
      <c r="G6677" s="81"/>
      <c r="H6677" s="81"/>
      <c r="I6677" s="81"/>
      <c r="J6677" s="81"/>
      <c r="K6677" s="81"/>
      <c r="L6677" s="81"/>
      <c r="M6677" s="81"/>
      <c r="N6677" s="81"/>
    </row>
    <row r="6678" spans="1:14" ht="14.25" customHeight="1" x14ac:dyDescent="0.25">
      <c r="A6678" s="81"/>
      <c r="B6678" s="81"/>
      <c r="C6678" s="137"/>
      <c r="D6678" s="81"/>
      <c r="E6678" s="81"/>
      <c r="F6678" s="81"/>
      <c r="G6678" s="81"/>
      <c r="H6678" s="81"/>
      <c r="I6678" s="81"/>
      <c r="J6678" s="81"/>
      <c r="K6678" s="81"/>
      <c r="L6678" s="81"/>
      <c r="M6678" s="81"/>
      <c r="N6678" s="81"/>
    </row>
    <row r="6679" spans="1:14" ht="14.25" customHeight="1" x14ac:dyDescent="0.25">
      <c r="A6679" s="81"/>
      <c r="B6679" s="81"/>
      <c r="C6679" s="137"/>
      <c r="D6679" s="81"/>
      <c r="E6679" s="81"/>
      <c r="F6679" s="81"/>
      <c r="G6679" s="81"/>
      <c r="H6679" s="81"/>
      <c r="I6679" s="81"/>
      <c r="J6679" s="81"/>
      <c r="K6679" s="81"/>
      <c r="L6679" s="81"/>
      <c r="M6679" s="81"/>
      <c r="N6679" s="81"/>
    </row>
    <row r="6680" spans="1:14" ht="14.25" customHeight="1" x14ac:dyDescent="0.25">
      <c r="A6680" s="81"/>
      <c r="B6680" s="81"/>
      <c r="C6680" s="137"/>
      <c r="D6680" s="81"/>
      <c r="E6680" s="81"/>
      <c r="F6680" s="81"/>
      <c r="G6680" s="81"/>
      <c r="H6680" s="81"/>
      <c r="I6680" s="81"/>
      <c r="J6680" s="81"/>
      <c r="K6680" s="81"/>
      <c r="L6680" s="81"/>
      <c r="M6680" s="81"/>
      <c r="N6680" s="81"/>
    </row>
    <row r="6681" spans="1:14" ht="14.25" customHeight="1" thickBot="1" x14ac:dyDescent="0.3">
      <c r="A6681" s="81"/>
      <c r="B6681" s="81"/>
      <c r="C6681" s="81"/>
      <c r="D6681" s="81"/>
      <c r="E6681" s="81"/>
      <c r="F6681" s="81"/>
      <c r="G6681" s="81"/>
      <c r="H6681" s="81"/>
      <c r="I6681" s="81"/>
      <c r="J6681" s="81"/>
      <c r="K6681" s="81"/>
      <c r="L6681" s="81"/>
      <c r="M6681" s="81"/>
      <c r="N6681" s="81"/>
    </row>
    <row r="6682" spans="1:14" ht="14.25" customHeight="1" x14ac:dyDescent="0.25">
      <c r="A6682" s="83"/>
      <c r="B6682" s="84"/>
      <c r="C6682" s="85"/>
      <c r="D6682" s="86"/>
      <c r="E6682" s="86"/>
      <c r="F6682" s="87"/>
      <c r="G6682" s="81"/>
      <c r="H6682" s="81"/>
      <c r="I6682" s="81"/>
      <c r="J6682" s="81"/>
      <c r="K6682" s="81"/>
      <c r="L6682" s="81"/>
      <c r="M6682" s="81"/>
      <c r="N6682" s="81"/>
    </row>
    <row r="6683" spans="1:14" ht="14.25" customHeight="1" x14ac:dyDescent="0.25">
      <c r="A6683" s="599"/>
      <c r="B6683" s="600"/>
      <c r="C6683" s="600"/>
      <c r="D6683" s="600"/>
      <c r="E6683" s="600"/>
      <c r="F6683" s="601"/>
      <c r="G6683" s="81"/>
      <c r="H6683" s="81"/>
      <c r="I6683" s="81"/>
      <c r="J6683" s="81"/>
      <c r="K6683" s="81"/>
      <c r="L6683" s="81"/>
      <c r="M6683" s="81"/>
      <c r="N6683" s="81"/>
    </row>
    <row r="6684" spans="1:14" ht="14.25" customHeight="1" x14ac:dyDescent="0.25">
      <c r="A6684" s="602" t="s">
        <v>561</v>
      </c>
      <c r="B6684" s="600"/>
      <c r="C6684" s="600"/>
      <c r="D6684" s="600"/>
      <c r="E6684" s="600"/>
      <c r="F6684" s="601"/>
      <c r="G6684" s="81"/>
      <c r="H6684" s="81"/>
      <c r="I6684" s="81"/>
      <c r="J6684" s="81"/>
      <c r="K6684" s="81"/>
      <c r="L6684" s="81"/>
      <c r="M6684" s="81"/>
      <c r="N6684" s="81"/>
    </row>
    <row r="6685" spans="1:14" ht="14.25" customHeight="1" thickBot="1" x14ac:dyDescent="0.3">
      <c r="A6685" s="603"/>
      <c r="B6685" s="604"/>
      <c r="C6685" s="604"/>
      <c r="D6685" s="604"/>
      <c r="E6685" s="604"/>
      <c r="F6685" s="605"/>
      <c r="G6685" s="81"/>
      <c r="H6685" s="81"/>
      <c r="I6685" s="81"/>
      <c r="J6685" s="81"/>
      <c r="K6685" s="81"/>
      <c r="L6685" s="81"/>
      <c r="M6685" s="81"/>
      <c r="N6685" s="81"/>
    </row>
    <row r="6686" spans="1:14" ht="14.25" customHeight="1" x14ac:dyDescent="0.25">
      <c r="A6686" s="88"/>
      <c r="B6686" s="88"/>
      <c r="C6686" s="89"/>
      <c r="D6686" s="89"/>
      <c r="E6686" s="89"/>
      <c r="F6686" s="89"/>
      <c r="G6686" s="81"/>
      <c r="H6686" s="81"/>
      <c r="I6686" s="81"/>
      <c r="J6686" s="81"/>
      <c r="K6686" s="81"/>
      <c r="L6686" s="81"/>
      <c r="M6686" s="81"/>
      <c r="N6686" s="81"/>
    </row>
    <row r="6687" spans="1:14" ht="14.25" customHeight="1" x14ac:dyDescent="0.25">
      <c r="A6687" s="90" t="s">
        <v>47</v>
      </c>
      <c r="B6687" s="613" t="s">
        <v>327</v>
      </c>
      <c r="C6687" s="600"/>
      <c r="D6687" s="600"/>
      <c r="E6687" s="600"/>
      <c r="F6687" s="600"/>
      <c r="G6687" s="81"/>
      <c r="H6687" s="81"/>
      <c r="I6687" s="81"/>
      <c r="J6687" s="81"/>
      <c r="K6687" s="81"/>
      <c r="L6687" s="81"/>
      <c r="M6687" s="81"/>
      <c r="N6687" s="81"/>
    </row>
    <row r="6688" spans="1:14" ht="14.25" customHeight="1" x14ac:dyDescent="0.25">
      <c r="A6688" s="91"/>
      <c r="B6688" s="91"/>
      <c r="C6688" s="91"/>
      <c r="D6688" s="91"/>
      <c r="E6688" s="91"/>
      <c r="F6688" s="91"/>
      <c r="G6688" s="81"/>
      <c r="H6688" s="81"/>
      <c r="I6688" s="81"/>
      <c r="J6688" s="81"/>
      <c r="K6688" s="81"/>
      <c r="L6688" s="81"/>
      <c r="M6688" s="81"/>
      <c r="N6688" s="81"/>
    </row>
    <row r="6689" spans="1:14" ht="14.25" customHeight="1" x14ac:dyDescent="0.25">
      <c r="A6689" s="88" t="s">
        <v>49</v>
      </c>
      <c r="B6689" s="92" t="s">
        <v>99</v>
      </c>
      <c r="C6689" s="89"/>
      <c r="D6689" s="89"/>
      <c r="E6689" s="89"/>
      <c r="F6689" s="93"/>
      <c r="G6689" s="81"/>
      <c r="H6689" s="81"/>
      <c r="I6689" s="81"/>
      <c r="J6689" s="81"/>
      <c r="K6689" s="81"/>
      <c r="L6689" s="81"/>
      <c r="M6689" s="81"/>
      <c r="N6689" s="81"/>
    </row>
    <row r="6690" spans="1:14" ht="15.75" x14ac:dyDescent="0.25">
      <c r="A6690" s="88"/>
      <c r="B6690" s="94"/>
      <c r="C6690" s="89"/>
      <c r="D6690" s="89"/>
      <c r="E6690" s="89"/>
      <c r="F6690" s="93"/>
      <c r="G6690" s="81"/>
      <c r="H6690" s="81"/>
      <c r="I6690" s="81"/>
      <c r="J6690" s="81"/>
      <c r="K6690" s="81"/>
      <c r="L6690" s="81"/>
      <c r="M6690" s="81"/>
      <c r="N6690" s="81"/>
    </row>
    <row r="6691" spans="1:14" ht="14.25" customHeight="1" x14ac:dyDescent="0.25">
      <c r="A6691" s="95" t="s">
        <v>562</v>
      </c>
      <c r="B6691" s="96"/>
      <c r="C6691" s="92"/>
      <c r="D6691" s="92"/>
      <c r="E6691" s="92"/>
      <c r="F6691" s="92"/>
      <c r="G6691" s="81"/>
      <c r="H6691" s="81"/>
      <c r="I6691" s="81"/>
      <c r="J6691" s="81"/>
      <c r="K6691" s="81"/>
      <c r="L6691" s="81"/>
      <c r="M6691" s="81"/>
      <c r="N6691" s="81"/>
    </row>
    <row r="6692" spans="1:14" ht="14.25" customHeight="1" x14ac:dyDescent="0.25">
      <c r="A6692" s="97" t="s">
        <v>563</v>
      </c>
      <c r="B6692" s="98" t="s">
        <v>564</v>
      </c>
      <c r="C6692" s="98" t="s">
        <v>565</v>
      </c>
      <c r="D6692" s="98" t="s">
        <v>566</v>
      </c>
      <c r="E6692" s="98" t="s">
        <v>567</v>
      </c>
      <c r="F6692" s="98" t="s">
        <v>568</v>
      </c>
      <c r="G6692" s="81"/>
      <c r="H6692" s="81"/>
      <c r="I6692" s="81"/>
      <c r="J6692" s="81"/>
      <c r="K6692" s="81"/>
      <c r="L6692" s="81"/>
      <c r="M6692" s="81"/>
      <c r="N6692" s="81"/>
    </row>
    <row r="6693" spans="1:14" ht="14.25" customHeight="1" x14ac:dyDescent="0.25">
      <c r="A6693" s="99" t="s">
        <v>785</v>
      </c>
      <c r="B6693" s="100" t="s">
        <v>99</v>
      </c>
      <c r="C6693" s="101">
        <v>58610</v>
      </c>
      <c r="D6693" s="149">
        <v>0.25</v>
      </c>
      <c r="E6693" s="102">
        <v>0.05</v>
      </c>
      <c r="F6693" s="101">
        <f t="shared" ref="F6693:F6695" si="324">C6693*(D6693+(D6693*E6693))</f>
        <v>15385.125</v>
      </c>
      <c r="G6693" s="81"/>
      <c r="H6693" s="81"/>
      <c r="I6693" s="81"/>
      <c r="J6693" s="81"/>
      <c r="K6693" s="81"/>
      <c r="L6693" s="81"/>
      <c r="M6693" s="81"/>
      <c r="N6693" s="81"/>
    </row>
    <row r="6694" spans="1:14" ht="14.25" customHeight="1" x14ac:dyDescent="0.25">
      <c r="A6694" s="99"/>
      <c r="B6694" s="100"/>
      <c r="C6694" s="101"/>
      <c r="D6694" s="149"/>
      <c r="E6694" s="102"/>
      <c r="F6694" s="101">
        <f t="shared" si="324"/>
        <v>0</v>
      </c>
      <c r="G6694" s="81"/>
      <c r="H6694" s="81"/>
      <c r="I6694" s="81"/>
      <c r="J6694" s="81"/>
      <c r="K6694" s="81"/>
      <c r="L6694" s="81"/>
      <c r="M6694" s="81"/>
      <c r="N6694" s="81"/>
    </row>
    <row r="6695" spans="1:14" ht="14.25" customHeight="1" x14ac:dyDescent="0.25">
      <c r="A6695" s="99"/>
      <c r="B6695" s="100"/>
      <c r="C6695" s="101"/>
      <c r="D6695" s="149"/>
      <c r="E6695" s="102"/>
      <c r="F6695" s="101">
        <f t="shared" si="324"/>
        <v>0</v>
      </c>
      <c r="G6695" s="81"/>
      <c r="H6695" s="81"/>
      <c r="I6695" s="81"/>
      <c r="J6695" s="81"/>
      <c r="K6695" s="81"/>
      <c r="L6695" s="81"/>
      <c r="M6695" s="81"/>
      <c r="N6695" s="81"/>
    </row>
    <row r="6696" spans="1:14" ht="14.25" customHeight="1" x14ac:dyDescent="0.25">
      <c r="A6696" s="99"/>
      <c r="B6696" s="100"/>
      <c r="C6696" s="101"/>
      <c r="D6696" s="104"/>
      <c r="E6696" s="102"/>
      <c r="F6696" s="101"/>
      <c r="G6696" s="81"/>
      <c r="H6696" s="81"/>
      <c r="I6696" s="81"/>
      <c r="J6696" s="81"/>
      <c r="K6696" s="81"/>
      <c r="L6696" s="81"/>
      <c r="M6696" s="81"/>
      <c r="N6696" s="81"/>
    </row>
    <row r="6697" spans="1:14" ht="14.25" customHeight="1" x14ac:dyDescent="0.25">
      <c r="A6697" s="99"/>
      <c r="B6697" s="100"/>
      <c r="C6697" s="101"/>
      <c r="D6697" s="149"/>
      <c r="E6697" s="102"/>
      <c r="F6697" s="101"/>
      <c r="G6697" s="81"/>
      <c r="H6697" s="81"/>
      <c r="I6697" s="81"/>
      <c r="J6697" s="81"/>
      <c r="K6697" s="81"/>
      <c r="L6697" s="81"/>
      <c r="M6697" s="81"/>
      <c r="N6697" s="81"/>
    </row>
    <row r="6698" spans="1:14" ht="15.75" x14ac:dyDescent="0.25">
      <c r="A6698" s="99"/>
      <c r="B6698" s="100"/>
      <c r="C6698" s="101"/>
      <c r="D6698" s="104"/>
      <c r="E6698" s="102"/>
      <c r="F6698" s="101"/>
      <c r="G6698" s="81"/>
      <c r="H6698" s="81"/>
      <c r="I6698" s="81"/>
      <c r="J6698" s="81"/>
      <c r="K6698" s="81"/>
      <c r="L6698" s="81"/>
      <c r="M6698" s="81"/>
      <c r="N6698" s="81"/>
    </row>
    <row r="6699" spans="1:14" ht="14.25" customHeight="1" x14ac:dyDescent="0.25">
      <c r="A6699" s="99"/>
      <c r="B6699" s="100"/>
      <c r="C6699" s="106"/>
      <c r="D6699" s="107"/>
      <c r="E6699" s="108"/>
      <c r="F6699" s="106"/>
      <c r="G6699" s="81"/>
      <c r="H6699" s="81"/>
      <c r="I6699" s="81"/>
      <c r="J6699" s="81"/>
      <c r="K6699" s="81"/>
      <c r="L6699" s="81"/>
      <c r="M6699" s="81"/>
      <c r="N6699" s="81"/>
    </row>
    <row r="6700" spans="1:14" ht="14.25" customHeight="1" x14ac:dyDescent="0.25">
      <c r="A6700" s="97" t="s">
        <v>548</v>
      </c>
      <c r="B6700" s="97"/>
      <c r="C6700" s="109"/>
      <c r="D6700" s="110"/>
      <c r="E6700" s="111"/>
      <c r="F6700" s="112">
        <f>SUM(F6693:F6699)</f>
        <v>15385.125</v>
      </c>
      <c r="G6700" s="81"/>
      <c r="H6700" s="81"/>
      <c r="I6700" s="81"/>
      <c r="J6700" s="81"/>
      <c r="K6700" s="81"/>
      <c r="L6700" s="81"/>
      <c r="M6700" s="81"/>
      <c r="N6700" s="81"/>
    </row>
    <row r="6701" spans="1:14" ht="14.25" customHeight="1" x14ac:dyDescent="0.25">
      <c r="A6701" s="88"/>
      <c r="B6701" s="88"/>
      <c r="C6701" s="113"/>
      <c r="D6701" s="113"/>
      <c r="E6701" s="114"/>
      <c r="F6701" s="113"/>
      <c r="G6701" s="81"/>
      <c r="H6701" s="81"/>
      <c r="I6701" s="81"/>
      <c r="J6701" s="81"/>
      <c r="K6701" s="81"/>
      <c r="L6701" s="81"/>
      <c r="M6701" s="81"/>
      <c r="N6701" s="81"/>
    </row>
    <row r="6702" spans="1:14" ht="14.25" customHeight="1" x14ac:dyDescent="0.25">
      <c r="A6702" s="96" t="s">
        <v>573</v>
      </c>
      <c r="B6702" s="96"/>
      <c r="C6702" s="92"/>
      <c r="D6702" s="92"/>
      <c r="E6702" s="92"/>
      <c r="F6702" s="92"/>
      <c r="G6702" s="81"/>
      <c r="H6702" s="81"/>
      <c r="I6702" s="81"/>
      <c r="J6702" s="81"/>
      <c r="K6702" s="81"/>
      <c r="L6702" s="81"/>
      <c r="M6702" s="81"/>
      <c r="N6702" s="81"/>
    </row>
    <row r="6703" spans="1:14" ht="14.25" customHeight="1" x14ac:dyDescent="0.25">
      <c r="A6703" s="611" t="s">
        <v>563</v>
      </c>
      <c r="B6703" s="608"/>
      <c r="C6703" s="609"/>
      <c r="D6703" s="98" t="s">
        <v>574</v>
      </c>
      <c r="E6703" s="98" t="s">
        <v>575</v>
      </c>
      <c r="F6703" s="98" t="s">
        <v>568</v>
      </c>
      <c r="G6703" s="81"/>
      <c r="H6703" s="81"/>
      <c r="I6703" s="81"/>
      <c r="J6703" s="81"/>
      <c r="K6703" s="81"/>
      <c r="L6703" s="81"/>
      <c r="M6703" s="81"/>
      <c r="N6703" s="81"/>
    </row>
    <row r="6704" spans="1:14" ht="14.25" customHeight="1" x14ac:dyDescent="0.25">
      <c r="A6704" s="607" t="s">
        <v>577</v>
      </c>
      <c r="B6704" s="608"/>
      <c r="C6704" s="609"/>
      <c r="D6704" s="116"/>
      <c r="E6704" s="107"/>
      <c r="F6704" s="106">
        <v>17</v>
      </c>
      <c r="G6704" s="81"/>
      <c r="H6704" s="117">
        <f>35175000-F7672</f>
        <v>0</v>
      </c>
      <c r="I6704" s="81"/>
      <c r="J6704" s="81"/>
      <c r="K6704" s="81"/>
      <c r="L6704" s="81"/>
      <c r="M6704" s="81"/>
      <c r="N6704" s="81"/>
    </row>
    <row r="6705" spans="1:14" ht="14.25" customHeight="1" x14ac:dyDescent="0.25">
      <c r="A6705" s="607"/>
      <c r="B6705" s="608"/>
      <c r="C6705" s="609"/>
      <c r="D6705" s="142"/>
      <c r="E6705" s="105"/>
      <c r="F6705" s="106"/>
      <c r="G6705" s="81"/>
      <c r="H6705" s="81"/>
      <c r="I6705" s="81"/>
      <c r="J6705" s="81"/>
      <c r="K6705" s="81"/>
      <c r="L6705" s="81"/>
      <c r="M6705" s="81"/>
      <c r="N6705" s="81"/>
    </row>
    <row r="6706" spans="1:14" ht="14.25" customHeight="1" x14ac:dyDescent="0.25">
      <c r="A6706" s="607"/>
      <c r="B6706" s="608"/>
      <c r="C6706" s="609"/>
      <c r="D6706" s="142"/>
      <c r="E6706" s="105"/>
      <c r="F6706" s="106"/>
      <c r="G6706" s="81"/>
      <c r="H6706" s="81"/>
      <c r="I6706" s="81"/>
      <c r="J6706" s="81"/>
      <c r="K6706" s="81"/>
      <c r="L6706" s="81"/>
      <c r="M6706" s="81"/>
      <c r="N6706" s="81"/>
    </row>
    <row r="6707" spans="1:14" ht="14.25" customHeight="1" x14ac:dyDescent="0.25">
      <c r="A6707" s="607"/>
      <c r="B6707" s="608"/>
      <c r="C6707" s="609"/>
      <c r="D6707" s="142"/>
      <c r="E6707" s="107"/>
      <c r="F6707" s="106"/>
      <c r="G6707" s="81"/>
      <c r="H6707" s="81"/>
      <c r="I6707" s="81"/>
      <c r="J6707" s="81"/>
      <c r="K6707" s="81"/>
      <c r="L6707" s="81"/>
      <c r="M6707" s="81"/>
      <c r="N6707" s="81"/>
    </row>
    <row r="6708" spans="1:14" ht="14.25" customHeight="1" x14ac:dyDescent="0.25">
      <c r="A6708" s="607"/>
      <c r="B6708" s="608"/>
      <c r="C6708" s="609"/>
      <c r="D6708" s="142"/>
      <c r="E6708" s="107"/>
      <c r="F6708" s="106"/>
      <c r="G6708" s="81"/>
      <c r="H6708" s="81"/>
      <c r="I6708" s="81"/>
      <c r="J6708" s="81"/>
      <c r="K6708" s="81"/>
      <c r="L6708" s="81"/>
      <c r="M6708" s="81"/>
      <c r="N6708" s="81"/>
    </row>
    <row r="6709" spans="1:14" ht="14.25" customHeight="1" x14ac:dyDescent="0.25">
      <c r="A6709" s="610"/>
      <c r="B6709" s="608"/>
      <c r="C6709" s="609"/>
      <c r="D6709" s="115"/>
      <c r="E6709" s="107"/>
      <c r="F6709" s="106"/>
      <c r="G6709" s="81"/>
      <c r="H6709" s="81"/>
      <c r="I6709" s="81"/>
      <c r="J6709" s="81"/>
      <c r="K6709" s="81"/>
      <c r="L6709" s="81"/>
      <c r="M6709" s="81"/>
      <c r="N6709" s="81"/>
    </row>
    <row r="6710" spans="1:14" ht="14.25" customHeight="1" x14ac:dyDescent="0.25">
      <c r="A6710" s="611" t="s">
        <v>548</v>
      </c>
      <c r="B6710" s="608"/>
      <c r="C6710" s="609"/>
      <c r="D6710" s="110"/>
      <c r="E6710" s="110"/>
      <c r="F6710" s="112">
        <f>SUM(F6704:F6709)</f>
        <v>17</v>
      </c>
      <c r="G6710" s="81"/>
      <c r="H6710" s="81"/>
      <c r="I6710" s="81"/>
      <c r="J6710" s="81"/>
      <c r="K6710" s="81"/>
      <c r="L6710" s="81"/>
      <c r="M6710" s="81"/>
      <c r="N6710" s="81"/>
    </row>
    <row r="6711" spans="1:14" ht="14.25" customHeight="1" x14ac:dyDescent="0.25">
      <c r="A6711" s="88"/>
      <c r="B6711" s="88"/>
      <c r="C6711" s="89"/>
      <c r="D6711" s="113"/>
      <c r="E6711" s="113"/>
      <c r="F6711" s="113"/>
      <c r="G6711" s="81"/>
      <c r="H6711" s="81"/>
      <c r="I6711" s="81"/>
      <c r="J6711" s="81"/>
      <c r="K6711" s="81"/>
      <c r="L6711" s="81"/>
      <c r="M6711" s="81"/>
      <c r="N6711" s="81"/>
    </row>
    <row r="6712" spans="1:14" ht="14.25" customHeight="1" x14ac:dyDescent="0.25">
      <c r="A6712" s="96" t="s">
        <v>578</v>
      </c>
      <c r="B6712" s="96"/>
      <c r="C6712" s="92"/>
      <c r="D6712" s="118"/>
      <c r="E6712" s="118"/>
      <c r="F6712" s="118"/>
      <c r="G6712" s="81"/>
      <c r="H6712" s="81"/>
      <c r="I6712" s="81"/>
      <c r="J6712" s="81"/>
      <c r="K6712" s="81"/>
      <c r="L6712" s="81"/>
      <c r="M6712" s="81"/>
      <c r="N6712" s="81"/>
    </row>
    <row r="6713" spans="1:14" ht="14.25" customHeight="1" x14ac:dyDescent="0.25">
      <c r="A6713" s="119" t="s">
        <v>563</v>
      </c>
      <c r="B6713" s="120" t="s">
        <v>579</v>
      </c>
      <c r="C6713" s="120" t="s">
        <v>580</v>
      </c>
      <c r="D6713" s="121" t="s">
        <v>581</v>
      </c>
      <c r="E6713" s="121" t="s">
        <v>575</v>
      </c>
      <c r="F6713" s="121" t="s">
        <v>568</v>
      </c>
      <c r="G6713" s="81"/>
      <c r="H6713" s="81"/>
      <c r="I6713" s="81"/>
      <c r="J6713" s="81"/>
      <c r="K6713" s="81"/>
      <c r="L6713" s="81"/>
      <c r="M6713" s="81"/>
      <c r="N6713" s="81"/>
    </row>
    <row r="6714" spans="1:14" ht="14.25" customHeight="1" x14ac:dyDescent="0.25">
      <c r="A6714" s="122" t="s">
        <v>593</v>
      </c>
      <c r="B6714" s="127">
        <v>1</v>
      </c>
      <c r="C6714" s="101">
        <v>32688</v>
      </c>
      <c r="D6714" s="101">
        <f t="shared" ref="D6714:D6715" si="325">+C6714*1.7</f>
        <v>55569.599999999999</v>
      </c>
      <c r="E6714" s="107">
        <v>20</v>
      </c>
      <c r="F6714" s="106">
        <f t="shared" ref="F6714:F6715" si="326">+B6714*(D6714)/E6714</f>
        <v>2778.48</v>
      </c>
      <c r="G6714" s="81"/>
      <c r="H6714" s="81"/>
      <c r="I6714" s="81"/>
      <c r="J6714" s="81"/>
      <c r="K6714" s="81"/>
      <c r="L6714" s="81"/>
      <c r="M6714" s="81"/>
      <c r="N6714" s="81"/>
    </row>
    <row r="6715" spans="1:14" ht="14.25" customHeight="1" x14ac:dyDescent="0.25">
      <c r="A6715" s="122" t="s">
        <v>594</v>
      </c>
      <c r="B6715" s="127">
        <v>1</v>
      </c>
      <c r="C6715" s="101">
        <v>52538</v>
      </c>
      <c r="D6715" s="101">
        <f t="shared" si="325"/>
        <v>89314.599999999991</v>
      </c>
      <c r="E6715" s="107">
        <f>E6714</f>
        <v>20</v>
      </c>
      <c r="F6715" s="106">
        <f t="shared" si="326"/>
        <v>4465.7299999999996</v>
      </c>
      <c r="G6715" s="81"/>
      <c r="H6715" s="81"/>
      <c r="I6715" s="81"/>
      <c r="J6715" s="81"/>
      <c r="K6715" s="81"/>
      <c r="L6715" s="81"/>
      <c r="M6715" s="81"/>
      <c r="N6715" s="81"/>
    </row>
    <row r="6716" spans="1:14" ht="14.25" customHeight="1" x14ac:dyDescent="0.25">
      <c r="A6716" s="122"/>
      <c r="B6716" s="127"/>
      <c r="C6716" s="101"/>
      <c r="D6716" s="101"/>
      <c r="E6716" s="107"/>
      <c r="F6716" s="106"/>
      <c r="G6716" s="81"/>
      <c r="H6716" s="81"/>
      <c r="I6716" s="81"/>
      <c r="J6716" s="81"/>
      <c r="K6716" s="81"/>
      <c r="L6716" s="81"/>
      <c r="M6716" s="81"/>
      <c r="N6716" s="81"/>
    </row>
    <row r="6717" spans="1:14" ht="14.25" customHeight="1" x14ac:dyDescent="0.25">
      <c r="A6717" s="122"/>
      <c r="B6717" s="127"/>
      <c r="C6717" s="101"/>
      <c r="D6717" s="101"/>
      <c r="E6717" s="125"/>
      <c r="F6717" s="106"/>
      <c r="G6717" s="81"/>
      <c r="H6717" s="81"/>
      <c r="I6717" s="81"/>
      <c r="J6717" s="81"/>
      <c r="K6717" s="81"/>
      <c r="L6717" s="81"/>
      <c r="M6717" s="81"/>
      <c r="N6717" s="81"/>
    </row>
    <row r="6718" spans="1:14" ht="14.25" customHeight="1" x14ac:dyDescent="0.25">
      <c r="A6718" s="97" t="s">
        <v>548</v>
      </c>
      <c r="B6718" s="128"/>
      <c r="C6718" s="110"/>
      <c r="D6718" s="110"/>
      <c r="E6718" s="110"/>
      <c r="F6718" s="112">
        <f>SUM(F6714:F6717)</f>
        <v>7244.2099999999991</v>
      </c>
      <c r="G6718" s="81"/>
      <c r="H6718" s="81"/>
      <c r="I6718" s="81"/>
      <c r="J6718" s="81"/>
      <c r="K6718" s="81"/>
      <c r="L6718" s="81"/>
      <c r="M6718" s="81"/>
      <c r="N6718" s="81"/>
    </row>
    <row r="6719" spans="1:14" ht="14.25" customHeight="1" x14ac:dyDescent="0.25">
      <c r="A6719" s="96"/>
      <c r="B6719" s="129"/>
      <c r="C6719" s="118"/>
      <c r="D6719" s="118"/>
      <c r="E6719" s="118"/>
      <c r="F6719" s="118"/>
      <c r="G6719" s="81"/>
      <c r="H6719" s="81"/>
      <c r="I6719" s="81"/>
      <c r="J6719" s="81"/>
      <c r="K6719" s="81"/>
      <c r="L6719" s="81"/>
      <c r="M6719" s="81"/>
      <c r="N6719" s="81"/>
    </row>
    <row r="6720" spans="1:14" ht="14.25" customHeight="1" x14ac:dyDescent="0.25">
      <c r="A6720" s="95" t="s">
        <v>583</v>
      </c>
      <c r="B6720" s="96"/>
      <c r="C6720" s="92"/>
      <c r="D6720" s="92"/>
      <c r="E6720" s="92" t="s">
        <v>584</v>
      </c>
      <c r="F6720" s="92"/>
      <c r="G6720" s="81"/>
      <c r="H6720" s="81"/>
      <c r="I6720" s="81"/>
      <c r="J6720" s="81"/>
      <c r="K6720" s="81"/>
      <c r="L6720" s="81"/>
      <c r="M6720" s="81"/>
      <c r="N6720" s="81"/>
    </row>
    <row r="6721" spans="1:14" ht="14.25" customHeight="1" x14ac:dyDescent="0.25">
      <c r="A6721" s="97" t="s">
        <v>563</v>
      </c>
      <c r="B6721" s="98" t="s">
        <v>564</v>
      </c>
      <c r="C6721" s="98" t="s">
        <v>585</v>
      </c>
      <c r="D6721" s="98" t="s">
        <v>586</v>
      </c>
      <c r="E6721" s="120" t="s">
        <v>587</v>
      </c>
      <c r="F6721" s="98" t="s">
        <v>568</v>
      </c>
      <c r="G6721" s="81"/>
      <c r="H6721" s="81"/>
      <c r="I6721" s="81"/>
      <c r="J6721" s="81"/>
      <c r="K6721" s="81"/>
      <c r="L6721" s="81"/>
      <c r="M6721" s="81"/>
      <c r="N6721" s="81"/>
    </row>
    <row r="6722" spans="1:14" ht="47.25" customHeight="1" x14ac:dyDescent="0.25">
      <c r="A6722" s="103"/>
      <c r="B6722" s="100"/>
      <c r="C6722" s="101"/>
      <c r="D6722" s="140"/>
      <c r="E6722" s="107"/>
      <c r="F6722" s="109"/>
      <c r="G6722" s="81"/>
      <c r="H6722" s="81"/>
      <c r="I6722" s="81"/>
      <c r="J6722" s="81"/>
      <c r="K6722" s="81"/>
      <c r="L6722" s="81"/>
      <c r="M6722" s="81"/>
      <c r="N6722" s="81"/>
    </row>
    <row r="6723" spans="1:14" ht="14.25" customHeight="1" x14ac:dyDescent="0.25">
      <c r="A6723" s="103"/>
      <c r="B6723" s="100"/>
      <c r="C6723" s="107"/>
      <c r="D6723" s="107"/>
      <c r="E6723" s="108"/>
      <c r="F6723" s="109"/>
      <c r="G6723" s="81"/>
      <c r="H6723" s="81"/>
      <c r="I6723" s="81"/>
      <c r="J6723" s="81"/>
      <c r="K6723" s="81"/>
      <c r="L6723" s="81"/>
      <c r="M6723" s="81"/>
      <c r="N6723" s="81"/>
    </row>
    <row r="6724" spans="1:14" ht="14.25" customHeight="1" x14ac:dyDescent="0.25">
      <c r="A6724" s="97" t="s">
        <v>548</v>
      </c>
      <c r="B6724" s="98"/>
      <c r="C6724" s="110"/>
      <c r="D6724" s="110"/>
      <c r="E6724" s="111"/>
      <c r="F6724" s="112">
        <f>SUM(F6722:F6723)</f>
        <v>0</v>
      </c>
      <c r="G6724" s="81"/>
      <c r="H6724" s="81"/>
      <c r="I6724" s="81"/>
      <c r="J6724" s="81"/>
      <c r="K6724" s="81"/>
      <c r="L6724" s="81"/>
      <c r="M6724" s="81"/>
      <c r="N6724" s="81"/>
    </row>
    <row r="6725" spans="1:14" ht="14.25" customHeight="1" x14ac:dyDescent="0.25">
      <c r="A6725" s="88"/>
      <c r="B6725" s="89"/>
      <c r="C6725" s="113"/>
      <c r="D6725" s="113"/>
      <c r="E6725" s="114"/>
      <c r="F6725" s="113"/>
      <c r="G6725" s="81"/>
      <c r="H6725" s="81"/>
      <c r="I6725" s="81"/>
      <c r="J6725" s="81"/>
      <c r="K6725" s="81"/>
      <c r="L6725" s="81"/>
      <c r="M6725" s="81"/>
      <c r="N6725" s="81"/>
    </row>
    <row r="6726" spans="1:14" ht="14.25" customHeight="1" x14ac:dyDescent="0.25">
      <c r="A6726" s="88"/>
      <c r="B6726" s="89"/>
      <c r="C6726" s="113"/>
      <c r="D6726" s="113"/>
      <c r="E6726" s="114"/>
      <c r="F6726" s="113"/>
      <c r="G6726" s="81"/>
      <c r="H6726" s="81"/>
      <c r="I6726" s="81"/>
      <c r="J6726" s="81"/>
      <c r="K6726" s="81"/>
      <c r="L6726" s="81"/>
      <c r="M6726" s="81"/>
      <c r="N6726" s="81"/>
    </row>
    <row r="6727" spans="1:14" ht="14.25" customHeight="1" x14ac:dyDescent="0.25">
      <c r="A6727" s="612" t="s">
        <v>588</v>
      </c>
      <c r="B6727" s="608"/>
      <c r="C6727" s="608"/>
      <c r="D6727" s="608"/>
      <c r="E6727" s="609"/>
      <c r="F6727" s="131">
        <f>ROUND(F6700+F6710+F6718+F6724,0)</f>
        <v>22646</v>
      </c>
      <c r="G6727" s="81"/>
      <c r="H6727" s="81"/>
      <c r="I6727" s="81"/>
      <c r="J6727" s="81"/>
      <c r="K6727" s="81"/>
      <c r="L6727" s="81"/>
      <c r="M6727" s="81"/>
      <c r="N6727" s="81"/>
    </row>
    <row r="6728" spans="1:14" ht="14.25" customHeight="1" x14ac:dyDescent="0.25">
      <c r="A6728" s="612" t="s">
        <v>589</v>
      </c>
      <c r="B6728" s="608"/>
      <c r="C6728" s="608"/>
      <c r="D6728" s="608"/>
      <c r="E6728" s="609"/>
      <c r="F6728" s="132"/>
      <c r="G6728" s="81"/>
      <c r="H6728" s="81"/>
      <c r="I6728" s="81"/>
      <c r="J6728" s="81"/>
      <c r="K6728" s="81"/>
      <c r="L6728" s="81"/>
      <c r="M6728" s="81"/>
      <c r="N6728" s="81"/>
    </row>
    <row r="6729" spans="1:14" ht="14.25" customHeight="1" x14ac:dyDescent="0.25">
      <c r="A6729" s="612" t="s">
        <v>556</v>
      </c>
      <c r="B6729" s="608"/>
      <c r="C6729" s="608"/>
      <c r="D6729" s="608"/>
      <c r="E6729" s="609"/>
      <c r="F6729" s="133"/>
      <c r="G6729" s="81"/>
      <c r="H6729" s="81"/>
      <c r="I6729" s="81"/>
      <c r="J6729" s="81"/>
      <c r="K6729" s="81"/>
      <c r="L6729" s="81"/>
      <c r="M6729" s="81"/>
      <c r="N6729" s="81"/>
    </row>
    <row r="6730" spans="1:14" ht="14.25" customHeight="1" x14ac:dyDescent="0.25">
      <c r="A6730" s="134"/>
      <c r="B6730" s="135"/>
      <c r="C6730" s="135"/>
      <c r="D6730" s="135"/>
      <c r="E6730" s="135"/>
      <c r="F6730" s="136"/>
      <c r="G6730" s="81"/>
      <c r="H6730" s="81"/>
      <c r="I6730" s="81"/>
      <c r="J6730" s="81"/>
      <c r="K6730" s="81"/>
      <c r="L6730" s="81"/>
      <c r="M6730" s="81"/>
      <c r="N6730" s="81"/>
    </row>
    <row r="6731" spans="1:14" ht="14.25" customHeight="1" x14ac:dyDescent="0.25">
      <c r="A6731" s="134"/>
      <c r="B6731" s="135"/>
      <c r="C6731" s="135"/>
      <c r="D6731" s="135"/>
      <c r="E6731" s="135"/>
      <c r="F6731" s="136"/>
      <c r="G6731" s="81"/>
      <c r="H6731" s="81"/>
      <c r="I6731" s="81"/>
      <c r="J6731" s="81"/>
      <c r="K6731" s="81"/>
      <c r="L6731" s="81"/>
      <c r="M6731" s="81"/>
      <c r="N6731" s="81"/>
    </row>
    <row r="6732" spans="1:14" ht="14.25" customHeight="1" x14ac:dyDescent="0.25">
      <c r="A6732" s="134"/>
      <c r="B6732" s="135"/>
      <c r="C6732" s="135"/>
      <c r="D6732" s="135"/>
      <c r="E6732" s="135"/>
      <c r="F6732" s="136"/>
      <c r="G6732" s="81"/>
      <c r="H6732" s="81"/>
      <c r="I6732" s="81"/>
      <c r="J6732" s="81"/>
      <c r="K6732" s="81"/>
      <c r="L6732" s="81"/>
      <c r="M6732" s="81"/>
      <c r="N6732" s="81"/>
    </row>
    <row r="6733" spans="1:14" ht="14.25" customHeight="1" x14ac:dyDescent="0.25">
      <c r="A6733" s="134"/>
      <c r="B6733" s="135"/>
      <c r="C6733" s="135"/>
      <c r="D6733" s="135"/>
      <c r="E6733" s="135"/>
      <c r="F6733" s="136"/>
      <c r="G6733" s="81"/>
      <c r="H6733" s="81"/>
      <c r="I6733" s="81"/>
      <c r="J6733" s="81"/>
      <c r="K6733" s="81"/>
      <c r="L6733" s="81"/>
      <c r="M6733" s="81"/>
      <c r="N6733" s="81"/>
    </row>
    <row r="6734" spans="1:14" ht="14.25" customHeight="1" x14ac:dyDescent="0.25">
      <c r="A6734" s="81"/>
      <c r="B6734" s="81"/>
      <c r="C6734" s="137"/>
      <c r="D6734" s="81"/>
      <c r="E6734" s="81"/>
      <c r="F6734" s="81"/>
      <c r="G6734" s="81"/>
      <c r="H6734" s="81"/>
      <c r="I6734" s="81"/>
      <c r="J6734" s="81"/>
      <c r="K6734" s="81"/>
      <c r="L6734" s="81"/>
      <c r="M6734" s="81"/>
      <c r="N6734" s="81"/>
    </row>
    <row r="6735" spans="1:14" ht="14.25" customHeight="1" x14ac:dyDescent="0.25">
      <c r="A6735" s="81"/>
      <c r="B6735" s="81"/>
      <c r="C6735" s="137"/>
      <c r="D6735" s="81"/>
      <c r="E6735" s="81"/>
      <c r="F6735" s="81"/>
      <c r="G6735" s="81"/>
      <c r="H6735" s="81"/>
      <c r="I6735" s="81"/>
      <c r="J6735" s="81"/>
      <c r="K6735" s="81"/>
      <c r="L6735" s="81"/>
      <c r="M6735" s="81"/>
      <c r="N6735" s="81"/>
    </row>
    <row r="6736" spans="1:14" ht="14.25" customHeight="1" x14ac:dyDescent="0.25">
      <c r="A6736" s="81"/>
      <c r="B6736" s="81"/>
      <c r="C6736" s="137"/>
      <c r="D6736" s="81"/>
      <c r="E6736" s="81"/>
      <c r="F6736" s="81"/>
      <c r="G6736" s="81"/>
      <c r="H6736" s="81"/>
      <c r="I6736" s="81"/>
      <c r="J6736" s="81"/>
      <c r="K6736" s="81"/>
      <c r="L6736" s="81"/>
      <c r="M6736" s="81"/>
      <c r="N6736" s="81"/>
    </row>
    <row r="6737" spans="1:14" ht="14.25" customHeight="1" x14ac:dyDescent="0.25">
      <c r="A6737" s="81"/>
      <c r="B6737" s="81"/>
      <c r="C6737" s="137"/>
      <c r="D6737" s="81"/>
      <c r="E6737" s="81"/>
      <c r="F6737" s="81"/>
      <c r="G6737" s="81"/>
      <c r="H6737" s="81"/>
      <c r="I6737" s="81"/>
      <c r="J6737" s="81"/>
      <c r="K6737" s="81"/>
      <c r="L6737" s="81"/>
      <c r="M6737" s="81"/>
      <c r="N6737" s="81"/>
    </row>
    <row r="6738" spans="1:14" ht="14.25" customHeight="1" thickBot="1" x14ac:dyDescent="0.3">
      <c r="A6738" s="81"/>
      <c r="B6738" s="81"/>
      <c r="C6738" s="81"/>
      <c r="D6738" s="81"/>
      <c r="E6738" s="81"/>
      <c r="F6738" s="81"/>
      <c r="G6738" s="81"/>
      <c r="H6738" s="81"/>
      <c r="I6738" s="81"/>
      <c r="J6738" s="81"/>
      <c r="K6738" s="81"/>
      <c r="L6738" s="81"/>
      <c r="M6738" s="81"/>
      <c r="N6738" s="81"/>
    </row>
    <row r="6739" spans="1:14" ht="14.25" customHeight="1" x14ac:dyDescent="0.25">
      <c r="A6739" s="83"/>
      <c r="B6739" s="84"/>
      <c r="C6739" s="85"/>
      <c r="D6739" s="86"/>
      <c r="E6739" s="86"/>
      <c r="F6739" s="87"/>
      <c r="G6739" s="81"/>
      <c r="H6739" s="81"/>
      <c r="I6739" s="81"/>
      <c r="J6739" s="81"/>
      <c r="K6739" s="81"/>
      <c r="L6739" s="81"/>
      <c r="M6739" s="81"/>
      <c r="N6739" s="81"/>
    </row>
    <row r="6740" spans="1:14" ht="14.25" customHeight="1" x14ac:dyDescent="0.25">
      <c r="A6740" s="599"/>
      <c r="B6740" s="600"/>
      <c r="C6740" s="600"/>
      <c r="D6740" s="600"/>
      <c r="E6740" s="600"/>
      <c r="F6740" s="601"/>
      <c r="G6740" s="81"/>
      <c r="H6740" s="81"/>
      <c r="I6740" s="81"/>
      <c r="J6740" s="81"/>
      <c r="K6740" s="81"/>
      <c r="L6740" s="81"/>
      <c r="M6740" s="81"/>
      <c r="N6740" s="81"/>
    </row>
    <row r="6741" spans="1:14" ht="14.25" customHeight="1" x14ac:dyDescent="0.25">
      <c r="A6741" s="602" t="s">
        <v>561</v>
      </c>
      <c r="B6741" s="600"/>
      <c r="C6741" s="600"/>
      <c r="D6741" s="600"/>
      <c r="E6741" s="600"/>
      <c r="F6741" s="601"/>
      <c r="G6741" s="81"/>
      <c r="H6741" s="81"/>
      <c r="I6741" s="81"/>
      <c r="J6741" s="81"/>
      <c r="K6741" s="81"/>
      <c r="L6741" s="81"/>
      <c r="M6741" s="81"/>
      <c r="N6741" s="81"/>
    </row>
    <row r="6742" spans="1:14" ht="14.25" customHeight="1" thickBot="1" x14ac:dyDescent="0.3">
      <c r="A6742" s="603"/>
      <c r="B6742" s="604"/>
      <c r="C6742" s="604"/>
      <c r="D6742" s="604"/>
      <c r="E6742" s="604"/>
      <c r="F6742" s="605"/>
      <c r="G6742" s="81"/>
      <c r="H6742" s="81"/>
      <c r="I6742" s="81"/>
      <c r="J6742" s="81"/>
      <c r="K6742" s="81"/>
      <c r="L6742" s="81"/>
      <c r="M6742" s="81"/>
      <c r="N6742" s="81"/>
    </row>
    <row r="6743" spans="1:14" ht="14.25" customHeight="1" x14ac:dyDescent="0.25">
      <c r="A6743" s="88"/>
      <c r="B6743" s="88"/>
      <c r="C6743" s="89"/>
      <c r="D6743" s="89"/>
      <c r="E6743" s="89"/>
      <c r="F6743" s="89"/>
      <c r="G6743" s="81"/>
      <c r="H6743" s="81"/>
      <c r="I6743" s="81"/>
      <c r="J6743" s="81"/>
      <c r="K6743" s="81"/>
      <c r="L6743" s="81"/>
      <c r="M6743" s="81"/>
      <c r="N6743" s="81"/>
    </row>
    <row r="6744" spans="1:14" ht="14.25" customHeight="1" x14ac:dyDescent="0.25">
      <c r="A6744" s="90" t="s">
        <v>47</v>
      </c>
      <c r="B6744" s="613" t="s">
        <v>329</v>
      </c>
      <c r="C6744" s="600"/>
      <c r="D6744" s="600"/>
      <c r="E6744" s="600"/>
      <c r="F6744" s="600"/>
      <c r="G6744" s="81"/>
      <c r="H6744" s="81"/>
      <c r="I6744" s="81"/>
      <c r="J6744" s="81"/>
      <c r="K6744" s="81"/>
      <c r="L6744" s="81"/>
      <c r="M6744" s="81"/>
      <c r="N6744" s="81"/>
    </row>
    <row r="6745" spans="1:14" ht="14.25" customHeight="1" x14ac:dyDescent="0.25">
      <c r="A6745" s="91"/>
      <c r="B6745" s="91"/>
      <c r="C6745" s="91"/>
      <c r="D6745" s="91"/>
      <c r="E6745" s="91"/>
      <c r="F6745" s="91"/>
      <c r="G6745" s="81"/>
      <c r="H6745" s="81"/>
      <c r="I6745" s="81"/>
      <c r="J6745" s="81"/>
      <c r="K6745" s="81"/>
      <c r="L6745" s="81"/>
      <c r="M6745" s="81"/>
      <c r="N6745" s="81"/>
    </row>
    <row r="6746" spans="1:14" ht="14.25" customHeight="1" x14ac:dyDescent="0.25">
      <c r="A6746" s="88" t="s">
        <v>49</v>
      </c>
      <c r="B6746" s="92" t="s">
        <v>56</v>
      </c>
      <c r="C6746" s="89"/>
      <c r="D6746" s="89"/>
      <c r="E6746" s="89"/>
      <c r="F6746" s="93"/>
      <c r="G6746" s="81"/>
      <c r="H6746" s="81"/>
      <c r="I6746" s="81"/>
      <c r="J6746" s="81"/>
      <c r="K6746" s="81"/>
      <c r="L6746" s="81"/>
      <c r="M6746" s="81"/>
      <c r="N6746" s="81"/>
    </row>
    <row r="6747" spans="1:14" ht="14.25" customHeight="1" x14ac:dyDescent="0.25">
      <c r="A6747" s="88"/>
      <c r="B6747" s="94"/>
      <c r="C6747" s="89"/>
      <c r="D6747" s="89"/>
      <c r="E6747" s="89"/>
      <c r="F6747" s="93"/>
      <c r="G6747" s="81"/>
      <c r="H6747" s="81"/>
      <c r="I6747" s="81"/>
      <c r="J6747" s="81"/>
      <c r="K6747" s="81"/>
      <c r="L6747" s="81"/>
      <c r="M6747" s="81"/>
      <c r="N6747" s="81"/>
    </row>
    <row r="6748" spans="1:14" ht="15.75" x14ac:dyDescent="0.25">
      <c r="A6748" s="95" t="s">
        <v>562</v>
      </c>
      <c r="B6748" s="96"/>
      <c r="C6748" s="92"/>
      <c r="D6748" s="92"/>
      <c r="E6748" s="92"/>
      <c r="F6748" s="92"/>
      <c r="G6748" s="81"/>
      <c r="H6748" s="81"/>
      <c r="I6748" s="81"/>
      <c r="J6748" s="81"/>
      <c r="K6748" s="81"/>
      <c r="L6748" s="81"/>
      <c r="M6748" s="81"/>
      <c r="N6748" s="81"/>
    </row>
    <row r="6749" spans="1:14" ht="14.25" customHeight="1" x14ac:dyDescent="0.25">
      <c r="A6749" s="97" t="s">
        <v>563</v>
      </c>
      <c r="B6749" s="98" t="s">
        <v>564</v>
      </c>
      <c r="C6749" s="98" t="s">
        <v>565</v>
      </c>
      <c r="D6749" s="98" t="s">
        <v>566</v>
      </c>
      <c r="E6749" s="98" t="s">
        <v>567</v>
      </c>
      <c r="F6749" s="98" t="s">
        <v>568</v>
      </c>
      <c r="G6749" s="81"/>
      <c r="H6749" s="81"/>
      <c r="I6749" s="81"/>
      <c r="J6749" s="81"/>
      <c r="K6749" s="81"/>
      <c r="L6749" s="81"/>
      <c r="M6749" s="81"/>
      <c r="N6749" s="81"/>
    </row>
    <row r="6750" spans="1:14" ht="14.25" customHeight="1" x14ac:dyDescent="0.25">
      <c r="A6750" s="99" t="s">
        <v>649</v>
      </c>
      <c r="B6750" s="100" t="s">
        <v>117</v>
      </c>
      <c r="C6750" s="101">
        <v>8420</v>
      </c>
      <c r="D6750" s="149">
        <v>1.5</v>
      </c>
      <c r="E6750" s="102">
        <v>0.05</v>
      </c>
      <c r="F6750" s="101">
        <f t="shared" ref="F6750:F6753" si="327">C6750*(D6750+(D6750*E6750))</f>
        <v>13261.5</v>
      </c>
      <c r="G6750" s="81"/>
      <c r="H6750" s="81"/>
      <c r="I6750" s="81"/>
      <c r="J6750" s="81"/>
      <c r="K6750" s="81"/>
      <c r="L6750" s="81"/>
      <c r="M6750" s="81"/>
      <c r="N6750" s="81"/>
    </row>
    <row r="6751" spans="1:14" ht="14.25" customHeight="1" x14ac:dyDescent="0.25">
      <c r="A6751" s="99" t="s">
        <v>650</v>
      </c>
      <c r="B6751" s="100" t="s">
        <v>651</v>
      </c>
      <c r="C6751" s="101">
        <v>75350</v>
      </c>
      <c r="D6751" s="149">
        <v>0.4</v>
      </c>
      <c r="E6751" s="102">
        <v>0.05</v>
      </c>
      <c r="F6751" s="101">
        <f t="shared" si="327"/>
        <v>31647.000000000004</v>
      </c>
      <c r="G6751" s="81"/>
      <c r="H6751" s="81"/>
      <c r="I6751" s="81"/>
      <c r="J6751" s="81"/>
      <c r="K6751" s="81"/>
      <c r="L6751" s="81"/>
      <c r="M6751" s="81"/>
      <c r="N6751" s="81"/>
    </row>
    <row r="6752" spans="1:14" ht="14.25" customHeight="1" x14ac:dyDescent="0.25">
      <c r="A6752" s="99" t="s">
        <v>652</v>
      </c>
      <c r="B6752" s="100" t="s">
        <v>651</v>
      </c>
      <c r="C6752" s="101">
        <v>52450</v>
      </c>
      <c r="D6752" s="149">
        <v>0.4</v>
      </c>
      <c r="E6752" s="102">
        <v>0.05</v>
      </c>
      <c r="F6752" s="101">
        <f t="shared" si="327"/>
        <v>22029.000000000004</v>
      </c>
      <c r="G6752" s="81"/>
      <c r="H6752" s="81"/>
      <c r="I6752" s="81"/>
      <c r="J6752" s="81"/>
      <c r="K6752" s="81"/>
      <c r="L6752" s="81"/>
      <c r="M6752" s="81"/>
      <c r="N6752" s="81"/>
    </row>
    <row r="6753" spans="1:14" ht="14.25" customHeight="1" x14ac:dyDescent="0.25">
      <c r="A6753" s="99" t="s">
        <v>653</v>
      </c>
      <c r="B6753" s="100" t="s">
        <v>99</v>
      </c>
      <c r="C6753" s="101">
        <v>1200</v>
      </c>
      <c r="D6753" s="149">
        <v>3</v>
      </c>
      <c r="E6753" s="102">
        <v>0.05</v>
      </c>
      <c r="F6753" s="101">
        <f t="shared" si="327"/>
        <v>3780</v>
      </c>
      <c r="G6753" s="81"/>
      <c r="H6753" s="81"/>
      <c r="I6753" s="81"/>
      <c r="J6753" s="81"/>
      <c r="K6753" s="81"/>
      <c r="L6753" s="81"/>
      <c r="M6753" s="81"/>
      <c r="N6753" s="81"/>
    </row>
    <row r="6754" spans="1:14" ht="14.25" customHeight="1" x14ac:dyDescent="0.25">
      <c r="A6754" s="99"/>
      <c r="B6754" s="100"/>
      <c r="C6754" s="106"/>
      <c r="D6754" s="107"/>
      <c r="E6754" s="108"/>
      <c r="F6754" s="106"/>
      <c r="G6754" s="81"/>
      <c r="H6754" s="81"/>
      <c r="I6754" s="81"/>
      <c r="J6754" s="81"/>
      <c r="K6754" s="81"/>
      <c r="L6754" s="81"/>
      <c r="M6754" s="81"/>
      <c r="N6754" s="81"/>
    </row>
    <row r="6755" spans="1:14" ht="14.25" customHeight="1" x14ac:dyDescent="0.25">
      <c r="A6755" s="97" t="s">
        <v>548</v>
      </c>
      <c r="B6755" s="97"/>
      <c r="C6755" s="109"/>
      <c r="D6755" s="110"/>
      <c r="E6755" s="111"/>
      <c r="F6755" s="112">
        <f>SUM(F6750:F6754)</f>
        <v>70717.5</v>
      </c>
      <c r="G6755" s="81"/>
      <c r="H6755" s="81"/>
      <c r="I6755" s="81"/>
      <c r="J6755" s="81"/>
      <c r="K6755" s="81"/>
      <c r="L6755" s="81"/>
      <c r="M6755" s="81"/>
      <c r="N6755" s="81"/>
    </row>
    <row r="6756" spans="1:14" ht="15.75" x14ac:dyDescent="0.25">
      <c r="A6756" s="88"/>
      <c r="B6756" s="88"/>
      <c r="C6756" s="113"/>
      <c r="D6756" s="113"/>
      <c r="E6756" s="114"/>
      <c r="F6756" s="113"/>
      <c r="G6756" s="81"/>
      <c r="H6756" s="81"/>
      <c r="I6756" s="81"/>
      <c r="J6756" s="81"/>
      <c r="K6756" s="81"/>
      <c r="L6756" s="81"/>
      <c r="M6756" s="81"/>
      <c r="N6756" s="81"/>
    </row>
    <row r="6757" spans="1:14" ht="14.25" customHeight="1" x14ac:dyDescent="0.25">
      <c r="A6757" s="96" t="s">
        <v>573</v>
      </c>
      <c r="B6757" s="96"/>
      <c r="C6757" s="92"/>
      <c r="D6757" s="92"/>
      <c r="E6757" s="92"/>
      <c r="F6757" s="92"/>
      <c r="G6757" s="81"/>
      <c r="H6757" s="81"/>
      <c r="I6757" s="81"/>
      <c r="J6757" s="81"/>
      <c r="K6757" s="81"/>
      <c r="L6757" s="81"/>
      <c r="M6757" s="81"/>
      <c r="N6757" s="81"/>
    </row>
    <row r="6758" spans="1:14" ht="14.25" customHeight="1" x14ac:dyDescent="0.25">
      <c r="A6758" s="611" t="s">
        <v>563</v>
      </c>
      <c r="B6758" s="608"/>
      <c r="C6758" s="609"/>
      <c r="D6758" s="98" t="s">
        <v>574</v>
      </c>
      <c r="E6758" s="98" t="s">
        <v>575</v>
      </c>
      <c r="F6758" s="98" t="s">
        <v>568</v>
      </c>
      <c r="G6758" s="81"/>
      <c r="H6758" s="81"/>
      <c r="I6758" s="81"/>
      <c r="J6758" s="81"/>
      <c r="K6758" s="81"/>
      <c r="L6758" s="81"/>
      <c r="M6758" s="81"/>
      <c r="N6758" s="81"/>
    </row>
    <row r="6759" spans="1:14" ht="14.25" customHeight="1" x14ac:dyDescent="0.25">
      <c r="A6759" s="607" t="s">
        <v>577</v>
      </c>
      <c r="B6759" s="608"/>
      <c r="C6759" s="609"/>
      <c r="D6759" s="116"/>
      <c r="E6759" s="107"/>
      <c r="F6759" s="106">
        <f>+F6775*5%</f>
        <v>1097.4412967732162</v>
      </c>
      <c r="G6759" s="81"/>
      <c r="H6759" s="81"/>
      <c r="I6759" s="81"/>
      <c r="J6759" s="81"/>
      <c r="K6759" s="81"/>
      <c r="L6759" s="81"/>
      <c r="M6759" s="81"/>
      <c r="N6759" s="81"/>
    </row>
    <row r="6760" spans="1:14" ht="14.25" customHeight="1" x14ac:dyDescent="0.25">
      <c r="A6760" s="607" t="s">
        <v>654</v>
      </c>
      <c r="B6760" s="608"/>
      <c r="C6760" s="609"/>
      <c r="D6760" s="142">
        <v>4200</v>
      </c>
      <c r="E6760" s="105">
        <v>0.8</v>
      </c>
      <c r="F6760" s="106">
        <f t="shared" ref="F6760:F6764" si="328">D6760/E6760</f>
        <v>5250</v>
      </c>
      <c r="G6760" s="81"/>
      <c r="H6760" s="81"/>
      <c r="I6760" s="81"/>
      <c r="J6760" s="81"/>
      <c r="K6760" s="81"/>
      <c r="L6760" s="81"/>
      <c r="M6760" s="81"/>
      <c r="N6760" s="81"/>
    </row>
    <row r="6761" spans="1:14" ht="14.25" customHeight="1" x14ac:dyDescent="0.25">
      <c r="A6761" s="607" t="s">
        <v>655</v>
      </c>
      <c r="B6761" s="608"/>
      <c r="C6761" s="609"/>
      <c r="D6761" s="142">
        <v>625</v>
      </c>
      <c r="E6761" s="105">
        <v>0.8</v>
      </c>
      <c r="F6761" s="106">
        <f t="shared" si="328"/>
        <v>781.25</v>
      </c>
      <c r="G6761" s="81"/>
      <c r="H6761" s="81"/>
      <c r="I6761" s="81"/>
      <c r="J6761" s="81"/>
      <c r="K6761" s="81"/>
      <c r="L6761" s="81"/>
      <c r="M6761" s="81"/>
      <c r="N6761" s="81"/>
    </row>
    <row r="6762" spans="1:14" ht="14.25" customHeight="1" x14ac:dyDescent="0.25">
      <c r="A6762" s="607" t="s">
        <v>657</v>
      </c>
      <c r="B6762" s="608"/>
      <c r="C6762" s="609"/>
      <c r="D6762" s="142">
        <v>1850</v>
      </c>
      <c r="E6762" s="105">
        <v>1</v>
      </c>
      <c r="F6762" s="106">
        <f t="shared" si="328"/>
        <v>1850</v>
      </c>
      <c r="G6762" s="81"/>
      <c r="H6762" s="117"/>
      <c r="I6762" s="81"/>
      <c r="J6762" s="81"/>
      <c r="K6762" s="81"/>
      <c r="L6762" s="81"/>
      <c r="M6762" s="81"/>
      <c r="N6762" s="81"/>
    </row>
    <row r="6763" spans="1:14" ht="14.25" customHeight="1" x14ac:dyDescent="0.25">
      <c r="A6763" s="607" t="s">
        <v>637</v>
      </c>
      <c r="B6763" s="608"/>
      <c r="C6763" s="609"/>
      <c r="D6763" s="142">
        <v>9150</v>
      </c>
      <c r="E6763" s="105">
        <v>3</v>
      </c>
      <c r="F6763" s="106">
        <f t="shared" si="328"/>
        <v>3050</v>
      </c>
      <c r="G6763" s="81"/>
      <c r="H6763" s="81"/>
      <c r="I6763" s="81"/>
      <c r="J6763" s="81"/>
      <c r="K6763" s="81"/>
      <c r="L6763" s="81"/>
      <c r="M6763" s="81"/>
      <c r="N6763" s="81"/>
    </row>
    <row r="6764" spans="1:14" ht="14.25" customHeight="1" x14ac:dyDescent="0.25">
      <c r="A6764" s="607" t="s">
        <v>639</v>
      </c>
      <c r="B6764" s="608"/>
      <c r="C6764" s="609"/>
      <c r="D6764" s="142">
        <v>5150</v>
      </c>
      <c r="E6764" s="105">
        <v>2</v>
      </c>
      <c r="F6764" s="106">
        <f t="shared" si="328"/>
        <v>2575</v>
      </c>
      <c r="G6764" s="81"/>
      <c r="H6764" s="81"/>
      <c r="I6764" s="81"/>
      <c r="J6764" s="81"/>
      <c r="K6764" s="81"/>
      <c r="L6764" s="81"/>
      <c r="M6764" s="81"/>
      <c r="N6764" s="81"/>
    </row>
    <row r="6765" spans="1:14" ht="14.25" customHeight="1" x14ac:dyDescent="0.25">
      <c r="A6765" s="152"/>
      <c r="B6765" s="153"/>
      <c r="C6765" s="154"/>
      <c r="D6765" s="142"/>
      <c r="E6765" s="107"/>
      <c r="F6765" s="106"/>
      <c r="G6765" s="81"/>
      <c r="H6765" s="81"/>
      <c r="I6765" s="81"/>
      <c r="J6765" s="81"/>
      <c r="K6765" s="81"/>
      <c r="L6765" s="81"/>
      <c r="M6765" s="81"/>
      <c r="N6765" s="81"/>
    </row>
    <row r="6766" spans="1:14" ht="14.25" customHeight="1" x14ac:dyDescent="0.25">
      <c r="A6766" s="610"/>
      <c r="B6766" s="608"/>
      <c r="C6766" s="609"/>
      <c r="D6766" s="115"/>
      <c r="E6766" s="107"/>
      <c r="F6766" s="106"/>
      <c r="G6766" s="81"/>
      <c r="H6766" s="81"/>
      <c r="I6766" s="81"/>
      <c r="J6766" s="81"/>
      <c r="K6766" s="81"/>
      <c r="L6766" s="81"/>
      <c r="M6766" s="81"/>
      <c r="N6766" s="81"/>
    </row>
    <row r="6767" spans="1:14" ht="14.25" customHeight="1" x14ac:dyDescent="0.25">
      <c r="A6767" s="611" t="s">
        <v>548</v>
      </c>
      <c r="B6767" s="608"/>
      <c r="C6767" s="609"/>
      <c r="D6767" s="110"/>
      <c r="E6767" s="110"/>
      <c r="F6767" s="112">
        <f>SUM(F6759:F6766)</f>
        <v>14603.691296773217</v>
      </c>
      <c r="G6767" s="81"/>
      <c r="H6767" s="81"/>
      <c r="I6767" s="81"/>
      <c r="J6767" s="81"/>
      <c r="K6767" s="81"/>
      <c r="L6767" s="81"/>
      <c r="M6767" s="81"/>
      <c r="N6767" s="81"/>
    </row>
    <row r="6768" spans="1:14" ht="14.25" customHeight="1" x14ac:dyDescent="0.25">
      <c r="A6768" s="88"/>
      <c r="B6768" s="88"/>
      <c r="C6768" s="89"/>
      <c r="D6768" s="113"/>
      <c r="E6768" s="113"/>
      <c r="F6768" s="113"/>
      <c r="G6768" s="81"/>
      <c r="H6768" s="81"/>
      <c r="I6768" s="81"/>
      <c r="J6768" s="81"/>
      <c r="K6768" s="81"/>
      <c r="L6768" s="81"/>
      <c r="M6768" s="81"/>
      <c r="N6768" s="81"/>
    </row>
    <row r="6769" spans="1:14" ht="14.25" customHeight="1" x14ac:dyDescent="0.25">
      <c r="A6769" s="96" t="s">
        <v>578</v>
      </c>
      <c r="B6769" s="96"/>
      <c r="C6769" s="92"/>
      <c r="D6769" s="118"/>
      <c r="E6769" s="118"/>
      <c r="F6769" s="118"/>
      <c r="G6769" s="81"/>
      <c r="H6769" s="81"/>
      <c r="I6769" s="81"/>
      <c r="J6769" s="81"/>
      <c r="K6769" s="81"/>
      <c r="L6769" s="81"/>
      <c r="M6769" s="81"/>
      <c r="N6769" s="81"/>
    </row>
    <row r="6770" spans="1:14" ht="14.25" customHeight="1" x14ac:dyDescent="0.25">
      <c r="A6770" s="119" t="s">
        <v>563</v>
      </c>
      <c r="B6770" s="120" t="s">
        <v>579</v>
      </c>
      <c r="C6770" s="120" t="s">
        <v>580</v>
      </c>
      <c r="D6770" s="121" t="s">
        <v>581</v>
      </c>
      <c r="E6770" s="121" t="s">
        <v>575</v>
      </c>
      <c r="F6770" s="121" t="s">
        <v>568</v>
      </c>
      <c r="G6770" s="81"/>
      <c r="H6770" s="81"/>
      <c r="I6770" s="81"/>
      <c r="J6770" s="81"/>
      <c r="K6770" s="81"/>
      <c r="L6770" s="81"/>
      <c r="M6770" s="81"/>
      <c r="N6770" s="81"/>
    </row>
    <row r="6771" spans="1:14" ht="14.25" customHeight="1" x14ac:dyDescent="0.25">
      <c r="A6771" s="122" t="s">
        <v>593</v>
      </c>
      <c r="B6771" s="127">
        <v>1</v>
      </c>
      <c r="C6771" s="101">
        <v>32688</v>
      </c>
      <c r="D6771" s="101">
        <f t="shared" ref="D6771:D6772" si="329">+C6771*1.7</f>
        <v>55569.599999999999</v>
      </c>
      <c r="E6771" s="107">
        <v>6.601</v>
      </c>
      <c r="F6771" s="106">
        <f t="shared" ref="F6771:F6772" si="330">+B6771*(D6771)/E6771</f>
        <v>8418.3608544159979</v>
      </c>
      <c r="G6771" s="81"/>
      <c r="H6771" s="81"/>
      <c r="I6771" s="81"/>
      <c r="J6771" s="81"/>
      <c r="K6771" s="81"/>
      <c r="L6771" s="81"/>
      <c r="M6771" s="81"/>
      <c r="N6771" s="81"/>
    </row>
    <row r="6772" spans="1:14" ht="14.25" customHeight="1" x14ac:dyDescent="0.25">
      <c r="A6772" s="122" t="s">
        <v>594</v>
      </c>
      <c r="B6772" s="127">
        <v>1</v>
      </c>
      <c r="C6772" s="101">
        <v>52538</v>
      </c>
      <c r="D6772" s="101">
        <f t="shared" si="329"/>
        <v>89314.599999999991</v>
      </c>
      <c r="E6772" s="107">
        <f>E6771</f>
        <v>6.601</v>
      </c>
      <c r="F6772" s="106">
        <f t="shared" si="330"/>
        <v>13530.465081048325</v>
      </c>
      <c r="G6772" s="81"/>
      <c r="H6772" s="81"/>
      <c r="I6772" s="81"/>
      <c r="J6772" s="81"/>
      <c r="K6772" s="81"/>
      <c r="L6772" s="81"/>
      <c r="M6772" s="81"/>
      <c r="N6772" s="81"/>
    </row>
    <row r="6773" spans="1:14" ht="14.25" customHeight="1" x14ac:dyDescent="0.25">
      <c r="A6773" s="122"/>
      <c r="B6773" s="127"/>
      <c r="C6773" s="101"/>
      <c r="D6773" s="101"/>
      <c r="E6773" s="107"/>
      <c r="F6773" s="106"/>
      <c r="G6773" s="81"/>
      <c r="H6773" s="81"/>
      <c r="I6773" s="81"/>
      <c r="J6773" s="81"/>
      <c r="K6773" s="81"/>
      <c r="L6773" s="81"/>
      <c r="M6773" s="81"/>
      <c r="N6773" s="81"/>
    </row>
    <row r="6774" spans="1:14" ht="14.25" customHeight="1" x14ac:dyDescent="0.25">
      <c r="A6774" s="122"/>
      <c r="B6774" s="127"/>
      <c r="C6774" s="101"/>
      <c r="D6774" s="101"/>
      <c r="E6774" s="125"/>
      <c r="F6774" s="106"/>
      <c r="G6774" s="81"/>
      <c r="H6774" s="81"/>
      <c r="I6774" s="81"/>
      <c r="J6774" s="81"/>
      <c r="K6774" s="81"/>
      <c r="L6774" s="81"/>
      <c r="M6774" s="81"/>
      <c r="N6774" s="81"/>
    </row>
    <row r="6775" spans="1:14" ht="14.25" customHeight="1" x14ac:dyDescent="0.25">
      <c r="A6775" s="97" t="s">
        <v>548</v>
      </c>
      <c r="B6775" s="128"/>
      <c r="C6775" s="110"/>
      <c r="D6775" s="110"/>
      <c r="E6775" s="110"/>
      <c r="F6775" s="112">
        <f>SUM(F6771:F6774)</f>
        <v>21948.825935464323</v>
      </c>
      <c r="G6775" s="81"/>
      <c r="H6775" s="81"/>
      <c r="I6775" s="81"/>
      <c r="J6775" s="81"/>
      <c r="K6775" s="81"/>
      <c r="L6775" s="81"/>
      <c r="M6775" s="81"/>
      <c r="N6775" s="81"/>
    </row>
    <row r="6776" spans="1:14" ht="14.25" customHeight="1" x14ac:dyDescent="0.25">
      <c r="A6776" s="96"/>
      <c r="B6776" s="129"/>
      <c r="C6776" s="118"/>
      <c r="D6776" s="118"/>
      <c r="E6776" s="118"/>
      <c r="F6776" s="118"/>
      <c r="G6776" s="81"/>
      <c r="H6776" s="81"/>
      <c r="I6776" s="81"/>
      <c r="J6776" s="81"/>
      <c r="K6776" s="81"/>
      <c r="L6776" s="81"/>
      <c r="M6776" s="81"/>
      <c r="N6776" s="81"/>
    </row>
    <row r="6777" spans="1:14" ht="14.25" customHeight="1" x14ac:dyDescent="0.25">
      <c r="A6777" s="95" t="s">
        <v>583</v>
      </c>
      <c r="B6777" s="96"/>
      <c r="C6777" s="92"/>
      <c r="D6777" s="92"/>
      <c r="E6777" s="92" t="s">
        <v>584</v>
      </c>
      <c r="F6777" s="92"/>
      <c r="G6777" s="81"/>
      <c r="H6777" s="81"/>
      <c r="I6777" s="81"/>
      <c r="J6777" s="81"/>
      <c r="K6777" s="81"/>
      <c r="L6777" s="81"/>
      <c r="M6777" s="81"/>
      <c r="N6777" s="81"/>
    </row>
    <row r="6778" spans="1:14" ht="14.25" customHeight="1" x14ac:dyDescent="0.25">
      <c r="A6778" s="97" t="s">
        <v>563</v>
      </c>
      <c r="B6778" s="98" t="s">
        <v>564</v>
      </c>
      <c r="C6778" s="98" t="s">
        <v>585</v>
      </c>
      <c r="D6778" s="98" t="s">
        <v>586</v>
      </c>
      <c r="E6778" s="120" t="s">
        <v>587</v>
      </c>
      <c r="F6778" s="98" t="s">
        <v>568</v>
      </c>
      <c r="G6778" s="81"/>
      <c r="H6778" s="81"/>
      <c r="I6778" s="81"/>
      <c r="J6778" s="81"/>
      <c r="K6778" s="81"/>
      <c r="L6778" s="81"/>
      <c r="M6778" s="81"/>
      <c r="N6778" s="81"/>
    </row>
    <row r="6779" spans="1:14" ht="30.75" customHeight="1" x14ac:dyDescent="0.25">
      <c r="A6779" s="103"/>
      <c r="B6779" s="100"/>
      <c r="C6779" s="101"/>
      <c r="D6779" s="140"/>
      <c r="E6779" s="107"/>
      <c r="F6779" s="109"/>
      <c r="G6779" s="81"/>
      <c r="H6779" s="81"/>
      <c r="I6779" s="81"/>
      <c r="J6779" s="81"/>
      <c r="K6779" s="81"/>
      <c r="L6779" s="81"/>
      <c r="M6779" s="81"/>
      <c r="N6779" s="81"/>
    </row>
    <row r="6780" spans="1:14" ht="14.25" customHeight="1" x14ac:dyDescent="0.25">
      <c r="A6780" s="103"/>
      <c r="B6780" s="100"/>
      <c r="C6780" s="107"/>
      <c r="D6780" s="107"/>
      <c r="E6780" s="108"/>
      <c r="F6780" s="109"/>
      <c r="G6780" s="81"/>
      <c r="H6780" s="81"/>
      <c r="I6780" s="81"/>
      <c r="J6780" s="81"/>
      <c r="K6780" s="81"/>
      <c r="L6780" s="81"/>
      <c r="M6780" s="81"/>
      <c r="N6780" s="81"/>
    </row>
    <row r="6781" spans="1:14" ht="14.25" customHeight="1" x14ac:dyDescent="0.25">
      <c r="A6781" s="97" t="s">
        <v>548</v>
      </c>
      <c r="B6781" s="98"/>
      <c r="C6781" s="110"/>
      <c r="D6781" s="110"/>
      <c r="E6781" s="111"/>
      <c r="F6781" s="112">
        <f>SUM(F6779:F6780)</f>
        <v>0</v>
      </c>
      <c r="G6781" s="81"/>
      <c r="H6781" s="81"/>
      <c r="I6781" s="81"/>
      <c r="J6781" s="81"/>
      <c r="K6781" s="81"/>
      <c r="L6781" s="81"/>
      <c r="M6781" s="81"/>
      <c r="N6781" s="81"/>
    </row>
    <row r="6782" spans="1:14" ht="14.25" customHeight="1" x14ac:dyDescent="0.25">
      <c r="A6782" s="88"/>
      <c r="B6782" s="89"/>
      <c r="C6782" s="113"/>
      <c r="D6782" s="113"/>
      <c r="E6782" s="114"/>
      <c r="F6782" s="113"/>
      <c r="G6782" s="81"/>
      <c r="H6782" s="81"/>
      <c r="I6782" s="81"/>
      <c r="J6782" s="81"/>
      <c r="K6782" s="81"/>
      <c r="L6782" s="81"/>
      <c r="M6782" s="81"/>
      <c r="N6782" s="81"/>
    </row>
    <row r="6783" spans="1:14" ht="14.25" customHeight="1" x14ac:dyDescent="0.25">
      <c r="A6783" s="88"/>
      <c r="B6783" s="89"/>
      <c r="C6783" s="113"/>
      <c r="D6783" s="113"/>
      <c r="E6783" s="114"/>
      <c r="F6783" s="113"/>
      <c r="G6783" s="81"/>
      <c r="H6783" s="81"/>
      <c r="I6783" s="81"/>
      <c r="J6783" s="81"/>
      <c r="K6783" s="81"/>
      <c r="L6783" s="81"/>
      <c r="M6783" s="81"/>
      <c r="N6783" s="81"/>
    </row>
    <row r="6784" spans="1:14" ht="14.25" customHeight="1" x14ac:dyDescent="0.25">
      <c r="A6784" s="612" t="s">
        <v>588</v>
      </c>
      <c r="B6784" s="608"/>
      <c r="C6784" s="608"/>
      <c r="D6784" s="608"/>
      <c r="E6784" s="609"/>
      <c r="F6784" s="131">
        <f>ROUND(F6755+F6767+F6775+F6781,0)</f>
        <v>107270</v>
      </c>
      <c r="G6784" s="81"/>
      <c r="H6784" s="81"/>
      <c r="I6784" s="81"/>
      <c r="J6784" s="81"/>
      <c r="K6784" s="81"/>
      <c r="L6784" s="81"/>
      <c r="M6784" s="81"/>
      <c r="N6784" s="81"/>
    </row>
    <row r="6785" spans="1:14" ht="14.25" customHeight="1" x14ac:dyDescent="0.25">
      <c r="A6785" s="612" t="s">
        <v>589</v>
      </c>
      <c r="B6785" s="608"/>
      <c r="C6785" s="608"/>
      <c r="D6785" s="608"/>
      <c r="E6785" s="609"/>
      <c r="F6785" s="132"/>
      <c r="G6785" s="81"/>
      <c r="H6785" s="81"/>
      <c r="I6785" s="81"/>
      <c r="J6785" s="81"/>
      <c r="K6785" s="81"/>
      <c r="L6785" s="81"/>
      <c r="M6785" s="81"/>
      <c r="N6785" s="81"/>
    </row>
    <row r="6786" spans="1:14" ht="14.25" customHeight="1" x14ac:dyDescent="0.25">
      <c r="A6786" s="612" t="s">
        <v>556</v>
      </c>
      <c r="B6786" s="608"/>
      <c r="C6786" s="608"/>
      <c r="D6786" s="608"/>
      <c r="E6786" s="609"/>
      <c r="F6786" s="133"/>
      <c r="G6786" s="81"/>
      <c r="H6786" s="81"/>
      <c r="I6786" s="81"/>
      <c r="J6786" s="81"/>
      <c r="K6786" s="81"/>
      <c r="L6786" s="81"/>
      <c r="M6786" s="81"/>
      <c r="N6786" s="81"/>
    </row>
    <row r="6787" spans="1:14" ht="14.25" customHeight="1" x14ac:dyDescent="0.25">
      <c r="A6787" s="134"/>
      <c r="B6787" s="135"/>
      <c r="C6787" s="135"/>
      <c r="D6787" s="135"/>
      <c r="E6787" s="135"/>
      <c r="F6787" s="136"/>
      <c r="G6787" s="81"/>
      <c r="H6787" s="81"/>
      <c r="I6787" s="81"/>
      <c r="J6787" s="81"/>
      <c r="K6787" s="81"/>
      <c r="L6787" s="81"/>
      <c r="M6787" s="81"/>
      <c r="N6787" s="81"/>
    </row>
    <row r="6788" spans="1:14" ht="14.25" customHeight="1" x14ac:dyDescent="0.25">
      <c r="A6788" s="134"/>
      <c r="B6788" s="135"/>
      <c r="C6788" s="135"/>
      <c r="D6788" s="135"/>
      <c r="E6788" s="135"/>
      <c r="F6788" s="136"/>
      <c r="G6788" s="81"/>
      <c r="H6788" s="81"/>
      <c r="I6788" s="81"/>
      <c r="J6788" s="81"/>
      <c r="K6788" s="81"/>
      <c r="L6788" s="81"/>
      <c r="M6788" s="81"/>
      <c r="N6788" s="81"/>
    </row>
    <row r="6789" spans="1:14" ht="14.25" customHeight="1" x14ac:dyDescent="0.25">
      <c r="A6789" s="134"/>
      <c r="B6789" s="135"/>
      <c r="C6789" s="135"/>
      <c r="D6789" s="135"/>
      <c r="E6789" s="135"/>
      <c r="F6789" s="136"/>
      <c r="G6789" s="81"/>
      <c r="H6789" s="81"/>
      <c r="I6789" s="81"/>
      <c r="J6789" s="81"/>
      <c r="K6789" s="81"/>
      <c r="L6789" s="81"/>
      <c r="M6789" s="81"/>
      <c r="N6789" s="81"/>
    </row>
    <row r="6790" spans="1:14" ht="14.25" customHeight="1" x14ac:dyDescent="0.25">
      <c r="A6790" s="134"/>
      <c r="B6790" s="135"/>
      <c r="C6790" s="135"/>
      <c r="D6790" s="135"/>
      <c r="E6790" s="135"/>
      <c r="F6790" s="136"/>
      <c r="G6790" s="81"/>
      <c r="H6790" s="81"/>
      <c r="I6790" s="81"/>
      <c r="J6790" s="81"/>
      <c r="K6790" s="81"/>
      <c r="L6790" s="81"/>
      <c r="M6790" s="81"/>
      <c r="N6790" s="81"/>
    </row>
    <row r="6791" spans="1:14" ht="14.25" customHeight="1" x14ac:dyDescent="0.25">
      <c r="A6791" s="81"/>
      <c r="B6791" s="81"/>
      <c r="C6791" s="137"/>
      <c r="D6791" s="81"/>
      <c r="E6791" s="81"/>
      <c r="F6791" s="81"/>
      <c r="G6791" s="81"/>
      <c r="H6791" s="81"/>
      <c r="I6791" s="81"/>
      <c r="J6791" s="81"/>
      <c r="K6791" s="81"/>
      <c r="L6791" s="81"/>
      <c r="M6791" s="81"/>
      <c r="N6791" s="81"/>
    </row>
    <row r="6792" spans="1:14" ht="14.25" customHeight="1" x14ac:dyDescent="0.25">
      <c r="A6792" s="81"/>
      <c r="B6792" s="81"/>
      <c r="C6792" s="137"/>
      <c r="D6792" s="81"/>
      <c r="E6792" s="81"/>
      <c r="F6792" s="81"/>
      <c r="G6792" s="81"/>
      <c r="H6792" s="81"/>
      <c r="I6792" s="81"/>
      <c r="J6792" s="81"/>
      <c r="K6792" s="81"/>
      <c r="L6792" s="81"/>
      <c r="M6792" s="81"/>
      <c r="N6792" s="81"/>
    </row>
    <row r="6793" spans="1:14" ht="14.25" customHeight="1" x14ac:dyDescent="0.25">
      <c r="A6793" s="81"/>
      <c r="B6793" s="81"/>
      <c r="C6793" s="137"/>
      <c r="D6793" s="81"/>
      <c r="E6793" s="81"/>
      <c r="F6793" s="81"/>
      <c r="G6793" s="81"/>
      <c r="H6793" s="81"/>
      <c r="I6793" s="81"/>
      <c r="J6793" s="81"/>
      <c r="K6793" s="81"/>
      <c r="L6793" s="81"/>
      <c r="M6793" s="81"/>
      <c r="N6793" s="81"/>
    </row>
    <row r="6794" spans="1:14" ht="14.25" customHeight="1" x14ac:dyDescent="0.25">
      <c r="A6794" s="81"/>
      <c r="B6794" s="81"/>
      <c r="C6794" s="137"/>
      <c r="D6794" s="81"/>
      <c r="E6794" s="81"/>
      <c r="F6794" s="81"/>
      <c r="G6794" s="81"/>
      <c r="H6794" s="81"/>
      <c r="I6794" s="81"/>
      <c r="J6794" s="81"/>
      <c r="K6794" s="81"/>
      <c r="L6794" s="81"/>
      <c r="M6794" s="81"/>
      <c r="N6794" s="81"/>
    </row>
    <row r="6795" spans="1:14" ht="14.25" customHeight="1" thickBot="1" x14ac:dyDescent="0.3">
      <c r="A6795" s="81"/>
      <c r="B6795" s="81"/>
      <c r="C6795" s="81"/>
      <c r="D6795" s="81"/>
      <c r="E6795" s="81"/>
      <c r="F6795" s="81"/>
      <c r="G6795" s="81"/>
      <c r="H6795" s="81"/>
      <c r="I6795" s="81"/>
      <c r="J6795" s="81"/>
      <c r="K6795" s="81"/>
      <c r="L6795" s="81"/>
      <c r="M6795" s="81"/>
      <c r="N6795" s="81"/>
    </row>
    <row r="6796" spans="1:14" ht="14.25" customHeight="1" x14ac:dyDescent="0.25">
      <c r="A6796" s="83"/>
      <c r="B6796" s="84"/>
      <c r="C6796" s="85"/>
      <c r="D6796" s="86"/>
      <c r="E6796" s="86"/>
      <c r="F6796" s="87"/>
      <c r="G6796" s="81"/>
      <c r="H6796" s="81"/>
      <c r="I6796" s="81"/>
      <c r="J6796" s="81"/>
      <c r="K6796" s="81"/>
      <c r="L6796" s="81"/>
      <c r="M6796" s="81"/>
      <c r="N6796" s="81"/>
    </row>
    <row r="6797" spans="1:14" ht="14.25" customHeight="1" x14ac:dyDescent="0.25">
      <c r="A6797" s="599"/>
      <c r="B6797" s="600"/>
      <c r="C6797" s="600"/>
      <c r="D6797" s="600"/>
      <c r="E6797" s="600"/>
      <c r="F6797" s="601"/>
      <c r="G6797" s="81"/>
      <c r="H6797" s="81"/>
      <c r="I6797" s="81"/>
      <c r="J6797" s="81"/>
      <c r="K6797" s="81"/>
      <c r="L6797" s="81"/>
      <c r="M6797" s="81"/>
      <c r="N6797" s="81"/>
    </row>
    <row r="6798" spans="1:14" ht="14.25" customHeight="1" x14ac:dyDescent="0.25">
      <c r="A6798" s="602" t="s">
        <v>561</v>
      </c>
      <c r="B6798" s="600"/>
      <c r="C6798" s="600"/>
      <c r="D6798" s="600"/>
      <c r="E6798" s="600"/>
      <c r="F6798" s="601"/>
      <c r="G6798" s="81"/>
      <c r="H6798" s="81"/>
      <c r="I6798" s="81"/>
      <c r="J6798" s="81"/>
      <c r="K6798" s="81"/>
      <c r="L6798" s="81"/>
      <c r="M6798" s="81"/>
      <c r="N6798" s="81"/>
    </row>
    <row r="6799" spans="1:14" ht="14.25" customHeight="1" thickBot="1" x14ac:dyDescent="0.3">
      <c r="A6799" s="603"/>
      <c r="B6799" s="604"/>
      <c r="C6799" s="604"/>
      <c r="D6799" s="604"/>
      <c r="E6799" s="604"/>
      <c r="F6799" s="605"/>
      <c r="G6799" s="81"/>
      <c r="H6799" s="81"/>
      <c r="I6799" s="81"/>
      <c r="J6799" s="81"/>
      <c r="K6799" s="81"/>
      <c r="L6799" s="81"/>
      <c r="M6799" s="81"/>
      <c r="N6799" s="81"/>
    </row>
    <row r="6800" spans="1:14" ht="14.25" customHeight="1" x14ac:dyDescent="0.25">
      <c r="A6800" s="88"/>
      <c r="B6800" s="88"/>
      <c r="C6800" s="89"/>
      <c r="D6800" s="89"/>
      <c r="E6800" s="89"/>
      <c r="F6800" s="89"/>
      <c r="G6800" s="81"/>
      <c r="H6800" s="81"/>
      <c r="I6800" s="81"/>
      <c r="J6800" s="81"/>
      <c r="K6800" s="81"/>
      <c r="L6800" s="81"/>
      <c r="M6800" s="81"/>
      <c r="N6800" s="81"/>
    </row>
    <row r="6801" spans="1:14" ht="14.25" customHeight="1" x14ac:dyDescent="0.25">
      <c r="A6801" s="90" t="s">
        <v>47</v>
      </c>
      <c r="B6801" s="613" t="s">
        <v>331</v>
      </c>
      <c r="C6801" s="600"/>
      <c r="D6801" s="600"/>
      <c r="E6801" s="600"/>
      <c r="F6801" s="600"/>
      <c r="G6801" s="81"/>
      <c r="H6801" s="81"/>
      <c r="I6801" s="81"/>
      <c r="J6801" s="81"/>
      <c r="K6801" s="81"/>
      <c r="L6801" s="81"/>
      <c r="M6801" s="81"/>
      <c r="N6801" s="81"/>
    </row>
    <row r="6802" spans="1:14" ht="14.25" customHeight="1" x14ac:dyDescent="0.25">
      <c r="A6802" s="91"/>
      <c r="B6802" s="91"/>
      <c r="C6802" s="91"/>
      <c r="D6802" s="91"/>
      <c r="E6802" s="91"/>
      <c r="F6802" s="91"/>
      <c r="G6802" s="81"/>
      <c r="H6802" s="81"/>
      <c r="I6802" s="81"/>
      <c r="J6802" s="81"/>
      <c r="K6802" s="81"/>
      <c r="L6802" s="81"/>
      <c r="M6802" s="81"/>
      <c r="N6802" s="81"/>
    </row>
    <row r="6803" spans="1:14" ht="14.25" customHeight="1" x14ac:dyDescent="0.25">
      <c r="A6803" s="88" t="s">
        <v>49</v>
      </c>
      <c r="B6803" s="92" t="s">
        <v>56</v>
      </c>
      <c r="C6803" s="89"/>
      <c r="D6803" s="89"/>
      <c r="E6803" s="89"/>
      <c r="F6803" s="93"/>
      <c r="G6803" s="81"/>
      <c r="H6803" s="81"/>
      <c r="I6803" s="81"/>
      <c r="J6803" s="81"/>
      <c r="K6803" s="81"/>
      <c r="L6803" s="81"/>
      <c r="M6803" s="81"/>
      <c r="N6803" s="81"/>
    </row>
    <row r="6804" spans="1:14" ht="15.75" x14ac:dyDescent="0.25">
      <c r="A6804" s="88"/>
      <c r="B6804" s="94"/>
      <c r="C6804" s="89"/>
      <c r="D6804" s="89"/>
      <c r="E6804" s="89"/>
      <c r="F6804" s="93"/>
      <c r="G6804" s="81"/>
      <c r="H6804" s="81"/>
      <c r="I6804" s="81"/>
      <c r="J6804" s="81"/>
      <c r="K6804" s="81"/>
      <c r="L6804" s="81"/>
      <c r="M6804" s="81"/>
      <c r="N6804" s="81"/>
    </row>
    <row r="6805" spans="1:14" ht="14.25" customHeight="1" x14ac:dyDescent="0.25">
      <c r="A6805" s="95" t="s">
        <v>562</v>
      </c>
      <c r="B6805" s="96"/>
      <c r="C6805" s="92"/>
      <c r="D6805" s="92"/>
      <c r="E6805" s="92"/>
      <c r="F6805" s="92"/>
      <c r="G6805" s="81"/>
      <c r="H6805" s="81"/>
      <c r="I6805" s="81"/>
      <c r="J6805" s="81"/>
      <c r="K6805" s="81"/>
      <c r="L6805" s="81"/>
      <c r="M6805" s="81"/>
      <c r="N6805" s="81"/>
    </row>
    <row r="6806" spans="1:14" ht="14.25" customHeight="1" x14ac:dyDescent="0.25">
      <c r="A6806" s="97" t="s">
        <v>563</v>
      </c>
      <c r="B6806" s="98" t="s">
        <v>564</v>
      </c>
      <c r="C6806" s="98" t="s">
        <v>565</v>
      </c>
      <c r="D6806" s="98" t="s">
        <v>566</v>
      </c>
      <c r="E6806" s="98" t="s">
        <v>567</v>
      </c>
      <c r="F6806" s="98" t="s">
        <v>568</v>
      </c>
      <c r="G6806" s="81"/>
      <c r="H6806" s="81"/>
      <c r="I6806" s="81"/>
      <c r="J6806" s="81"/>
      <c r="K6806" s="81"/>
      <c r="L6806" s="81"/>
      <c r="M6806" s="81"/>
      <c r="N6806" s="81"/>
    </row>
    <row r="6807" spans="1:14" ht="14.25" customHeight="1" x14ac:dyDescent="0.25">
      <c r="A6807" s="99" t="s">
        <v>611</v>
      </c>
      <c r="B6807" s="100" t="s">
        <v>612</v>
      </c>
      <c r="C6807" s="101">
        <v>12</v>
      </c>
      <c r="D6807" s="104">
        <v>30</v>
      </c>
      <c r="E6807" s="102">
        <v>0.05</v>
      </c>
      <c r="F6807" s="101">
        <f t="shared" ref="F6807:F6810" si="331">C6807*(D6807+(D6807*E6807))</f>
        <v>378</v>
      </c>
      <c r="G6807" s="81"/>
      <c r="H6807" s="81"/>
      <c r="I6807" s="81"/>
      <c r="J6807" s="81"/>
      <c r="K6807" s="81"/>
      <c r="L6807" s="81"/>
      <c r="M6807" s="81"/>
      <c r="N6807" s="81"/>
    </row>
    <row r="6808" spans="1:14" ht="14.25" customHeight="1" x14ac:dyDescent="0.25">
      <c r="A6808" s="99" t="s">
        <v>786</v>
      </c>
      <c r="B6808" s="100" t="s">
        <v>651</v>
      </c>
      <c r="C6808" s="101">
        <v>21250</v>
      </c>
      <c r="D6808" s="149">
        <v>0.48</v>
      </c>
      <c r="E6808" s="102">
        <v>0.05</v>
      </c>
      <c r="F6808" s="101">
        <f t="shared" si="331"/>
        <v>10710</v>
      </c>
      <c r="G6808" s="81"/>
      <c r="H6808" s="81"/>
      <c r="I6808" s="81"/>
      <c r="J6808" s="81"/>
      <c r="K6808" s="81"/>
      <c r="L6808" s="81"/>
      <c r="M6808" s="81"/>
      <c r="N6808" s="81"/>
    </row>
    <row r="6809" spans="1:14" ht="14.25" customHeight="1" x14ac:dyDescent="0.25">
      <c r="A6809" s="99"/>
      <c r="B6809" s="100"/>
      <c r="C6809" s="101"/>
      <c r="D6809" s="149"/>
      <c r="E6809" s="102"/>
      <c r="F6809" s="101">
        <f t="shared" si="331"/>
        <v>0</v>
      </c>
      <c r="G6809" s="81"/>
      <c r="H6809" s="81"/>
      <c r="I6809" s="81"/>
      <c r="J6809" s="81"/>
      <c r="K6809" s="81"/>
      <c r="L6809" s="81"/>
      <c r="M6809" s="81"/>
      <c r="N6809" s="81"/>
    </row>
    <row r="6810" spans="1:14" ht="14.25" customHeight="1" x14ac:dyDescent="0.25">
      <c r="A6810" s="99"/>
      <c r="B6810" s="100"/>
      <c r="C6810" s="101"/>
      <c r="D6810" s="149"/>
      <c r="E6810" s="102"/>
      <c r="F6810" s="101">
        <f t="shared" si="331"/>
        <v>0</v>
      </c>
      <c r="G6810" s="81"/>
      <c r="H6810" s="81"/>
      <c r="I6810" s="81"/>
      <c r="J6810" s="81"/>
      <c r="K6810" s="81"/>
      <c r="L6810" s="81"/>
      <c r="M6810" s="81"/>
      <c r="N6810" s="81"/>
    </row>
    <row r="6811" spans="1:14" ht="14.25" customHeight="1" x14ac:dyDescent="0.25">
      <c r="A6811" s="99"/>
      <c r="B6811" s="100"/>
      <c r="C6811" s="106"/>
      <c r="D6811" s="107"/>
      <c r="E6811" s="108"/>
      <c r="F6811" s="106"/>
      <c r="G6811" s="81"/>
      <c r="H6811" s="81"/>
      <c r="I6811" s="81"/>
      <c r="J6811" s="81"/>
      <c r="K6811" s="81"/>
      <c r="L6811" s="81"/>
      <c r="M6811" s="81"/>
      <c r="N6811" s="81"/>
    </row>
    <row r="6812" spans="1:14" ht="15.75" x14ac:dyDescent="0.25">
      <c r="A6812" s="97" t="s">
        <v>548</v>
      </c>
      <c r="B6812" s="97"/>
      <c r="C6812" s="109"/>
      <c r="D6812" s="110"/>
      <c r="E6812" s="111"/>
      <c r="F6812" s="112">
        <f>SUM(F6807:F6811)</f>
        <v>11088</v>
      </c>
      <c r="G6812" s="81"/>
      <c r="H6812" s="81"/>
      <c r="I6812" s="81"/>
      <c r="J6812" s="81"/>
      <c r="K6812" s="81"/>
      <c r="L6812" s="81"/>
      <c r="M6812" s="81"/>
      <c r="N6812" s="81"/>
    </row>
    <row r="6813" spans="1:14" ht="14.25" customHeight="1" x14ac:dyDescent="0.25">
      <c r="A6813" s="88"/>
      <c r="B6813" s="88"/>
      <c r="C6813" s="113"/>
      <c r="D6813" s="113"/>
      <c r="E6813" s="114"/>
      <c r="F6813" s="113"/>
      <c r="G6813" s="81"/>
      <c r="H6813" s="81"/>
      <c r="I6813" s="81"/>
      <c r="J6813" s="81"/>
      <c r="K6813" s="81"/>
      <c r="L6813" s="81"/>
      <c r="M6813" s="81"/>
      <c r="N6813" s="81"/>
    </row>
    <row r="6814" spans="1:14" ht="14.25" customHeight="1" x14ac:dyDescent="0.25">
      <c r="A6814" s="96" t="s">
        <v>573</v>
      </c>
      <c r="B6814" s="96"/>
      <c r="C6814" s="92"/>
      <c r="D6814" s="92"/>
      <c r="E6814" s="92"/>
      <c r="F6814" s="92"/>
      <c r="G6814" s="81"/>
      <c r="H6814" s="81"/>
      <c r="I6814" s="81"/>
      <c r="J6814" s="81"/>
      <c r="K6814" s="81"/>
      <c r="L6814" s="81"/>
      <c r="M6814" s="81"/>
      <c r="N6814" s="81"/>
    </row>
    <row r="6815" spans="1:14" ht="14.25" customHeight="1" x14ac:dyDescent="0.25">
      <c r="A6815" s="611" t="s">
        <v>563</v>
      </c>
      <c r="B6815" s="608"/>
      <c r="C6815" s="609"/>
      <c r="D6815" s="98" t="s">
        <v>574</v>
      </c>
      <c r="E6815" s="98" t="s">
        <v>575</v>
      </c>
      <c r="F6815" s="98" t="s">
        <v>568</v>
      </c>
      <c r="G6815" s="81"/>
      <c r="H6815" s="81"/>
      <c r="I6815" s="81"/>
      <c r="J6815" s="81"/>
      <c r="K6815" s="81"/>
      <c r="L6815" s="81"/>
      <c r="M6815" s="81"/>
      <c r="N6815" s="81"/>
    </row>
    <row r="6816" spans="1:14" ht="14.25" customHeight="1" x14ac:dyDescent="0.25">
      <c r="A6816" s="607" t="s">
        <v>577</v>
      </c>
      <c r="B6816" s="608"/>
      <c r="C6816" s="609"/>
      <c r="D6816" s="116"/>
      <c r="E6816" s="107"/>
      <c r="F6816" s="106">
        <f>+F6830*5%</f>
        <v>274.50587343690785</v>
      </c>
      <c r="G6816" s="81"/>
      <c r="H6816" s="81"/>
      <c r="I6816" s="81"/>
      <c r="J6816" s="81"/>
      <c r="K6816" s="81"/>
      <c r="L6816" s="81"/>
      <c r="M6816" s="81"/>
      <c r="N6816" s="81"/>
    </row>
    <row r="6817" spans="1:14" ht="14.25" customHeight="1" x14ac:dyDescent="0.25">
      <c r="A6817" s="607" t="s">
        <v>657</v>
      </c>
      <c r="B6817" s="608"/>
      <c r="C6817" s="609"/>
      <c r="D6817" s="142">
        <v>1850</v>
      </c>
      <c r="E6817" s="107">
        <v>1.8</v>
      </c>
      <c r="F6817" s="106">
        <f t="shared" ref="F6817:F6818" si="332">D6817/E6817</f>
        <v>1027.7777777777778</v>
      </c>
      <c r="G6817" s="81"/>
      <c r="H6817" s="81"/>
      <c r="I6817" s="81"/>
      <c r="J6817" s="81"/>
      <c r="K6817" s="81"/>
      <c r="L6817" s="81"/>
      <c r="M6817" s="81"/>
      <c r="N6817" s="81"/>
    </row>
    <row r="6818" spans="1:14" ht="14.25" customHeight="1" x14ac:dyDescent="0.25">
      <c r="A6818" s="607" t="s">
        <v>680</v>
      </c>
      <c r="B6818" s="608"/>
      <c r="C6818" s="609"/>
      <c r="D6818" s="142">
        <v>5250</v>
      </c>
      <c r="E6818" s="107">
        <v>3.5</v>
      </c>
      <c r="F6818" s="106">
        <f t="shared" si="332"/>
        <v>1500</v>
      </c>
      <c r="G6818" s="81"/>
      <c r="H6818" s="117"/>
      <c r="I6818" s="81"/>
      <c r="J6818" s="81"/>
      <c r="K6818" s="81"/>
      <c r="L6818" s="81"/>
      <c r="M6818" s="81"/>
      <c r="N6818" s="81"/>
    </row>
    <row r="6819" spans="1:14" ht="14.25" customHeight="1" x14ac:dyDescent="0.25">
      <c r="A6819" s="607"/>
      <c r="B6819" s="608"/>
      <c r="C6819" s="609"/>
      <c r="D6819" s="142"/>
      <c r="E6819" s="105"/>
      <c r="F6819" s="106"/>
      <c r="G6819" s="81"/>
      <c r="H6819" s="81"/>
      <c r="I6819" s="81"/>
      <c r="J6819" s="81"/>
      <c r="K6819" s="81"/>
      <c r="L6819" s="81"/>
      <c r="M6819" s="81"/>
      <c r="N6819" s="81"/>
    </row>
    <row r="6820" spans="1:14" ht="14.25" customHeight="1" x14ac:dyDescent="0.25">
      <c r="A6820" s="152"/>
      <c r="B6820" s="153"/>
      <c r="C6820" s="154"/>
      <c r="D6820" s="142"/>
      <c r="E6820" s="107"/>
      <c r="F6820" s="106"/>
      <c r="G6820" s="81"/>
      <c r="H6820" s="81"/>
      <c r="I6820" s="81"/>
      <c r="J6820" s="81"/>
      <c r="K6820" s="81"/>
      <c r="L6820" s="81"/>
      <c r="M6820" s="81"/>
      <c r="N6820" s="81"/>
    </row>
    <row r="6821" spans="1:14" ht="14.25" customHeight="1" x14ac:dyDescent="0.25">
      <c r="A6821" s="610"/>
      <c r="B6821" s="608"/>
      <c r="C6821" s="609"/>
      <c r="D6821" s="115"/>
      <c r="E6821" s="107"/>
      <c r="F6821" s="106"/>
      <c r="G6821" s="81"/>
      <c r="H6821" s="81"/>
      <c r="I6821" s="81"/>
      <c r="J6821" s="81"/>
      <c r="K6821" s="81"/>
      <c r="L6821" s="81"/>
      <c r="M6821" s="81"/>
      <c r="N6821" s="81"/>
    </row>
    <row r="6822" spans="1:14" ht="14.25" customHeight="1" x14ac:dyDescent="0.25">
      <c r="A6822" s="611" t="s">
        <v>548</v>
      </c>
      <c r="B6822" s="608"/>
      <c r="C6822" s="609"/>
      <c r="D6822" s="110"/>
      <c r="E6822" s="110"/>
      <c r="F6822" s="112">
        <f>SUM(F6816:F6821)</f>
        <v>2802.283651214686</v>
      </c>
      <c r="G6822" s="81"/>
      <c r="H6822" s="81"/>
      <c r="I6822" s="81"/>
      <c r="J6822" s="81"/>
      <c r="K6822" s="81"/>
      <c r="L6822" s="81"/>
      <c r="M6822" s="81"/>
      <c r="N6822" s="81"/>
    </row>
    <row r="6823" spans="1:14" ht="14.25" customHeight="1" x14ac:dyDescent="0.25">
      <c r="A6823" s="88"/>
      <c r="B6823" s="88"/>
      <c r="C6823" s="89"/>
      <c r="D6823" s="113"/>
      <c r="E6823" s="113"/>
      <c r="F6823" s="113"/>
      <c r="G6823" s="81"/>
      <c r="H6823" s="81"/>
      <c r="I6823" s="81"/>
      <c r="J6823" s="81"/>
      <c r="K6823" s="81"/>
      <c r="L6823" s="81"/>
      <c r="M6823" s="81"/>
      <c r="N6823" s="81"/>
    </row>
    <row r="6824" spans="1:14" ht="14.25" customHeight="1" x14ac:dyDescent="0.25">
      <c r="A6824" s="96" t="s">
        <v>578</v>
      </c>
      <c r="B6824" s="96"/>
      <c r="C6824" s="92"/>
      <c r="D6824" s="118"/>
      <c r="E6824" s="118"/>
      <c r="F6824" s="118"/>
      <c r="G6824" s="81"/>
      <c r="H6824" s="81"/>
      <c r="I6824" s="81"/>
      <c r="J6824" s="81"/>
      <c r="K6824" s="81"/>
      <c r="L6824" s="81"/>
      <c r="M6824" s="81"/>
      <c r="N6824" s="81"/>
    </row>
    <row r="6825" spans="1:14" ht="14.25" customHeight="1" x14ac:dyDescent="0.25">
      <c r="A6825" s="119" t="s">
        <v>563</v>
      </c>
      <c r="B6825" s="120" t="s">
        <v>579</v>
      </c>
      <c r="C6825" s="120" t="s">
        <v>580</v>
      </c>
      <c r="D6825" s="121" t="s">
        <v>581</v>
      </c>
      <c r="E6825" s="121" t="s">
        <v>575</v>
      </c>
      <c r="F6825" s="121" t="s">
        <v>568</v>
      </c>
      <c r="G6825" s="81"/>
      <c r="H6825" s="81"/>
      <c r="I6825" s="81"/>
      <c r="J6825" s="81"/>
      <c r="K6825" s="81"/>
      <c r="L6825" s="81"/>
      <c r="M6825" s="81"/>
      <c r="N6825" s="81"/>
    </row>
    <row r="6826" spans="1:14" ht="14.25" customHeight="1" x14ac:dyDescent="0.25">
      <c r="A6826" s="122" t="s">
        <v>593</v>
      </c>
      <c r="B6826" s="127">
        <v>1</v>
      </c>
      <c r="C6826" s="101">
        <v>32688</v>
      </c>
      <c r="D6826" s="101">
        <f t="shared" ref="D6826:D6827" si="333">+C6826*1.7</f>
        <v>55569.599999999999</v>
      </c>
      <c r="E6826" s="107">
        <v>26.39</v>
      </c>
      <c r="F6826" s="106">
        <f t="shared" ref="F6826:F6827" si="334">+B6826*(D6826)/E6826</f>
        <v>2105.7067070860171</v>
      </c>
      <c r="G6826" s="81"/>
      <c r="H6826" s="81"/>
      <c r="I6826" s="81"/>
      <c r="J6826" s="81"/>
      <c r="K6826" s="81"/>
      <c r="L6826" s="81"/>
      <c r="M6826" s="81"/>
      <c r="N6826" s="81"/>
    </row>
    <row r="6827" spans="1:14" ht="14.25" customHeight="1" x14ac:dyDescent="0.25">
      <c r="A6827" s="122" t="s">
        <v>594</v>
      </c>
      <c r="B6827" s="127">
        <v>1</v>
      </c>
      <c r="C6827" s="101">
        <v>52538</v>
      </c>
      <c r="D6827" s="101">
        <f t="shared" si="333"/>
        <v>89314.599999999991</v>
      </c>
      <c r="E6827" s="107">
        <f>E6826</f>
        <v>26.39</v>
      </c>
      <c r="F6827" s="106">
        <f t="shared" si="334"/>
        <v>3384.4107616521405</v>
      </c>
      <c r="G6827" s="81"/>
      <c r="H6827" s="81"/>
      <c r="I6827" s="81"/>
      <c r="J6827" s="81"/>
      <c r="K6827" s="81"/>
      <c r="L6827" s="81"/>
      <c r="M6827" s="81"/>
      <c r="N6827" s="81"/>
    </row>
    <row r="6828" spans="1:14" ht="14.25" customHeight="1" x14ac:dyDescent="0.25">
      <c r="A6828" s="122"/>
      <c r="B6828" s="127"/>
      <c r="C6828" s="101"/>
      <c r="D6828" s="101"/>
      <c r="E6828" s="107"/>
      <c r="F6828" s="106"/>
      <c r="G6828" s="81"/>
      <c r="H6828" s="81"/>
      <c r="I6828" s="81"/>
      <c r="J6828" s="81"/>
      <c r="K6828" s="81"/>
      <c r="L6828" s="81"/>
      <c r="M6828" s="81"/>
      <c r="N6828" s="81"/>
    </row>
    <row r="6829" spans="1:14" ht="14.25" customHeight="1" x14ac:dyDescent="0.25">
      <c r="A6829" s="122"/>
      <c r="B6829" s="127"/>
      <c r="C6829" s="101"/>
      <c r="D6829" s="101"/>
      <c r="E6829" s="125"/>
      <c r="F6829" s="106"/>
      <c r="G6829" s="81"/>
      <c r="H6829" s="81"/>
      <c r="I6829" s="81"/>
      <c r="J6829" s="81"/>
      <c r="K6829" s="81"/>
      <c r="L6829" s="81"/>
      <c r="M6829" s="81"/>
      <c r="N6829" s="81"/>
    </row>
    <row r="6830" spans="1:14" ht="14.25" customHeight="1" x14ac:dyDescent="0.25">
      <c r="A6830" s="97" t="s">
        <v>548</v>
      </c>
      <c r="B6830" s="128"/>
      <c r="C6830" s="110"/>
      <c r="D6830" s="110"/>
      <c r="E6830" s="110"/>
      <c r="F6830" s="112">
        <f>SUM(F6826:F6829)</f>
        <v>5490.1174687381572</v>
      </c>
      <c r="G6830" s="81"/>
      <c r="H6830" s="81"/>
      <c r="I6830" s="81"/>
      <c r="J6830" s="81"/>
      <c r="K6830" s="81"/>
      <c r="L6830" s="81"/>
      <c r="M6830" s="81"/>
      <c r="N6830" s="81"/>
    </row>
    <row r="6831" spans="1:14" ht="14.25" customHeight="1" x14ac:dyDescent="0.25">
      <c r="A6831" s="96"/>
      <c r="B6831" s="129"/>
      <c r="C6831" s="118"/>
      <c r="D6831" s="118"/>
      <c r="E6831" s="118"/>
      <c r="F6831" s="118"/>
      <c r="G6831" s="81"/>
      <c r="H6831" s="81"/>
      <c r="I6831" s="81"/>
      <c r="J6831" s="81"/>
      <c r="K6831" s="81"/>
      <c r="L6831" s="81"/>
      <c r="M6831" s="81"/>
      <c r="N6831" s="81"/>
    </row>
    <row r="6832" spans="1:14" ht="14.25" customHeight="1" x14ac:dyDescent="0.25">
      <c r="A6832" s="95" t="s">
        <v>583</v>
      </c>
      <c r="B6832" s="96"/>
      <c r="C6832" s="92"/>
      <c r="D6832" s="92"/>
      <c r="E6832" s="92" t="s">
        <v>584</v>
      </c>
      <c r="F6832" s="92"/>
      <c r="G6832" s="81"/>
      <c r="H6832" s="81"/>
      <c r="I6832" s="81"/>
      <c r="J6832" s="81"/>
      <c r="K6832" s="81"/>
      <c r="L6832" s="81"/>
      <c r="M6832" s="81"/>
      <c r="N6832" s="81"/>
    </row>
    <row r="6833" spans="1:14" ht="14.25" customHeight="1" x14ac:dyDescent="0.25">
      <c r="A6833" s="97" t="s">
        <v>563</v>
      </c>
      <c r="B6833" s="98" t="s">
        <v>564</v>
      </c>
      <c r="C6833" s="98" t="s">
        <v>585</v>
      </c>
      <c r="D6833" s="98" t="s">
        <v>586</v>
      </c>
      <c r="E6833" s="120" t="s">
        <v>587</v>
      </c>
      <c r="F6833" s="98" t="s">
        <v>568</v>
      </c>
      <c r="G6833" s="81"/>
      <c r="H6833" s="81"/>
      <c r="I6833" s="81"/>
      <c r="J6833" s="81"/>
      <c r="K6833" s="81"/>
      <c r="L6833" s="81"/>
      <c r="M6833" s="81"/>
      <c r="N6833" s="81"/>
    </row>
    <row r="6834" spans="1:14" ht="14.25" customHeight="1" x14ac:dyDescent="0.25">
      <c r="A6834" s="103"/>
      <c r="B6834" s="100"/>
      <c r="C6834" s="101"/>
      <c r="D6834" s="140"/>
      <c r="E6834" s="107"/>
      <c r="F6834" s="109"/>
      <c r="G6834" s="81"/>
      <c r="H6834" s="81"/>
      <c r="I6834" s="81"/>
      <c r="J6834" s="81"/>
      <c r="K6834" s="81"/>
      <c r="L6834" s="81"/>
      <c r="M6834" s="81"/>
      <c r="N6834" s="81"/>
    </row>
    <row r="6835" spans="1:14" ht="14.25" customHeight="1" x14ac:dyDescent="0.25">
      <c r="A6835" s="103"/>
      <c r="B6835" s="100"/>
      <c r="C6835" s="107"/>
      <c r="D6835" s="107"/>
      <c r="E6835" s="108"/>
      <c r="F6835" s="109"/>
      <c r="G6835" s="81"/>
      <c r="H6835" s="81"/>
      <c r="I6835" s="81"/>
      <c r="J6835" s="81"/>
      <c r="K6835" s="81"/>
      <c r="L6835" s="81"/>
      <c r="M6835" s="81"/>
      <c r="N6835" s="81"/>
    </row>
    <row r="6836" spans="1:14" ht="14.25" customHeight="1" x14ac:dyDescent="0.25">
      <c r="A6836" s="97" t="s">
        <v>548</v>
      </c>
      <c r="B6836" s="98"/>
      <c r="C6836" s="110"/>
      <c r="D6836" s="110"/>
      <c r="E6836" s="111"/>
      <c r="F6836" s="112">
        <f>SUM(F6834:F6835)</f>
        <v>0</v>
      </c>
      <c r="G6836" s="81"/>
      <c r="H6836" s="81"/>
      <c r="I6836" s="81"/>
      <c r="J6836" s="81"/>
      <c r="K6836" s="81"/>
      <c r="L6836" s="81"/>
      <c r="M6836" s="81"/>
      <c r="N6836" s="81"/>
    </row>
    <row r="6837" spans="1:14" ht="14.25" customHeight="1" x14ac:dyDescent="0.25">
      <c r="A6837" s="88"/>
      <c r="B6837" s="89"/>
      <c r="C6837" s="113"/>
      <c r="D6837" s="113"/>
      <c r="E6837" s="114"/>
      <c r="F6837" s="113"/>
      <c r="G6837" s="81"/>
      <c r="H6837" s="81"/>
      <c r="I6837" s="81"/>
      <c r="J6837" s="81"/>
      <c r="K6837" s="81"/>
      <c r="L6837" s="81"/>
      <c r="M6837" s="81"/>
      <c r="N6837" s="81"/>
    </row>
    <row r="6838" spans="1:14" ht="14.25" customHeight="1" x14ac:dyDescent="0.25">
      <c r="A6838" s="88"/>
      <c r="B6838" s="89"/>
      <c r="C6838" s="113"/>
      <c r="D6838" s="113"/>
      <c r="E6838" s="114"/>
      <c r="F6838" s="113"/>
      <c r="G6838" s="81"/>
      <c r="H6838" s="81"/>
      <c r="I6838" s="81"/>
      <c r="J6838" s="81"/>
      <c r="K6838" s="81"/>
      <c r="L6838" s="81"/>
      <c r="M6838" s="81"/>
      <c r="N6838" s="81"/>
    </row>
    <row r="6839" spans="1:14" ht="14.25" customHeight="1" x14ac:dyDescent="0.25">
      <c r="A6839" s="612" t="s">
        <v>588</v>
      </c>
      <c r="B6839" s="608"/>
      <c r="C6839" s="608"/>
      <c r="D6839" s="608"/>
      <c r="E6839" s="609"/>
      <c r="F6839" s="131">
        <f>ROUND(F6812+F6822+F6830+F6836,0)</f>
        <v>19380</v>
      </c>
      <c r="G6839" s="81"/>
      <c r="H6839" s="81"/>
      <c r="I6839" s="81"/>
      <c r="J6839" s="81"/>
      <c r="K6839" s="81"/>
      <c r="L6839" s="81"/>
      <c r="M6839" s="81"/>
      <c r="N6839" s="81"/>
    </row>
    <row r="6840" spans="1:14" ht="14.25" customHeight="1" x14ac:dyDescent="0.25">
      <c r="A6840" s="612" t="s">
        <v>589</v>
      </c>
      <c r="B6840" s="608"/>
      <c r="C6840" s="608"/>
      <c r="D6840" s="608"/>
      <c r="E6840" s="609"/>
      <c r="F6840" s="132"/>
      <c r="G6840" s="81"/>
      <c r="H6840" s="81"/>
      <c r="I6840" s="81"/>
      <c r="J6840" s="81"/>
      <c r="K6840" s="81"/>
      <c r="L6840" s="81"/>
      <c r="M6840" s="81"/>
      <c r="N6840" s="81"/>
    </row>
    <row r="6841" spans="1:14" ht="14.25" customHeight="1" x14ac:dyDescent="0.25">
      <c r="A6841" s="612" t="s">
        <v>556</v>
      </c>
      <c r="B6841" s="608"/>
      <c r="C6841" s="608"/>
      <c r="D6841" s="608"/>
      <c r="E6841" s="609"/>
      <c r="F6841" s="133"/>
      <c r="G6841" s="81"/>
      <c r="H6841" s="81"/>
      <c r="I6841" s="81"/>
      <c r="J6841" s="81"/>
      <c r="K6841" s="81"/>
      <c r="L6841" s="81"/>
      <c r="M6841" s="81"/>
      <c r="N6841" s="81"/>
    </row>
    <row r="6842" spans="1:14" ht="15.75" x14ac:dyDescent="0.25">
      <c r="A6842" s="134"/>
      <c r="B6842" s="135"/>
      <c r="C6842" s="135"/>
      <c r="D6842" s="135"/>
      <c r="E6842" s="135"/>
      <c r="F6842" s="136"/>
      <c r="G6842" s="81"/>
      <c r="H6842" s="81"/>
      <c r="I6842" s="81"/>
      <c r="J6842" s="81"/>
      <c r="K6842" s="81"/>
      <c r="L6842" s="81"/>
      <c r="M6842" s="81"/>
      <c r="N6842" s="81"/>
    </row>
    <row r="6843" spans="1:14" ht="14.25" customHeight="1" x14ac:dyDescent="0.25">
      <c r="A6843" s="134"/>
      <c r="B6843" s="135"/>
      <c r="C6843" s="135"/>
      <c r="D6843" s="135"/>
      <c r="E6843" s="135"/>
      <c r="F6843" s="136"/>
      <c r="G6843" s="81"/>
      <c r="H6843" s="81"/>
      <c r="I6843" s="81"/>
      <c r="J6843" s="81"/>
      <c r="K6843" s="81"/>
      <c r="L6843" s="81"/>
      <c r="M6843" s="81"/>
      <c r="N6843" s="81"/>
    </row>
    <row r="6844" spans="1:14" ht="14.25" customHeight="1" x14ac:dyDescent="0.25">
      <c r="A6844" s="134"/>
      <c r="B6844" s="135"/>
      <c r="C6844" s="135"/>
      <c r="D6844" s="135"/>
      <c r="E6844" s="135"/>
      <c r="F6844" s="136"/>
      <c r="G6844" s="81"/>
      <c r="H6844" s="81"/>
      <c r="I6844" s="81"/>
      <c r="J6844" s="81"/>
      <c r="K6844" s="81"/>
      <c r="L6844" s="81"/>
      <c r="M6844" s="81"/>
      <c r="N6844" s="81"/>
    </row>
    <row r="6845" spans="1:14" ht="14.25" customHeight="1" x14ac:dyDescent="0.25">
      <c r="A6845" s="134"/>
      <c r="B6845" s="135"/>
      <c r="C6845" s="135"/>
      <c r="D6845" s="135"/>
      <c r="E6845" s="135"/>
      <c r="F6845" s="136"/>
      <c r="G6845" s="81"/>
      <c r="H6845" s="81"/>
      <c r="I6845" s="81"/>
      <c r="J6845" s="81"/>
      <c r="K6845" s="81"/>
      <c r="L6845" s="81"/>
      <c r="M6845" s="81"/>
      <c r="N6845" s="81"/>
    </row>
    <row r="6846" spans="1:14" ht="14.25" customHeight="1" x14ac:dyDescent="0.25">
      <c r="A6846" s="81"/>
      <c r="B6846" s="81"/>
      <c r="C6846" s="137"/>
      <c r="D6846" s="81"/>
      <c r="E6846" s="81"/>
      <c r="F6846" s="81"/>
      <c r="G6846" s="81"/>
      <c r="H6846" s="81"/>
      <c r="I6846" s="81"/>
      <c r="J6846" s="81"/>
      <c r="K6846" s="81"/>
      <c r="L6846" s="81"/>
      <c r="M6846" s="81"/>
      <c r="N6846" s="81"/>
    </row>
    <row r="6847" spans="1:14" ht="14.25" customHeight="1" x14ac:dyDescent="0.25">
      <c r="A6847" s="81"/>
      <c r="B6847" s="81"/>
      <c r="C6847" s="137"/>
      <c r="D6847" s="81"/>
      <c r="E6847" s="81"/>
      <c r="F6847" s="81"/>
      <c r="G6847" s="81"/>
      <c r="H6847" s="81"/>
      <c r="I6847" s="81"/>
      <c r="J6847" s="81"/>
      <c r="K6847" s="81"/>
      <c r="L6847" s="81"/>
      <c r="M6847" s="81"/>
      <c r="N6847" s="81"/>
    </row>
    <row r="6848" spans="1:14" ht="14.25" customHeight="1" x14ac:dyDescent="0.25">
      <c r="A6848" s="81"/>
      <c r="B6848" s="81"/>
      <c r="C6848" s="137"/>
      <c r="D6848" s="81"/>
      <c r="E6848" s="81"/>
      <c r="F6848" s="81"/>
      <c r="G6848" s="81"/>
      <c r="H6848" s="81"/>
      <c r="I6848" s="81"/>
      <c r="J6848" s="81"/>
      <c r="K6848" s="81"/>
      <c r="L6848" s="81"/>
      <c r="M6848" s="81"/>
      <c r="N6848" s="81"/>
    </row>
    <row r="6849" spans="1:14" ht="14.25" customHeight="1" x14ac:dyDescent="0.25">
      <c r="A6849" s="81"/>
      <c r="B6849" s="81"/>
      <c r="C6849" s="137"/>
      <c r="D6849" s="81"/>
      <c r="E6849" s="81"/>
      <c r="F6849" s="81"/>
      <c r="G6849" s="81"/>
      <c r="H6849" s="81"/>
      <c r="I6849" s="81"/>
      <c r="J6849" s="81"/>
      <c r="K6849" s="81"/>
      <c r="L6849" s="81"/>
      <c r="M6849" s="81"/>
      <c r="N6849" s="81"/>
    </row>
    <row r="6850" spans="1:14" ht="14.25" customHeight="1" thickBot="1" x14ac:dyDescent="0.3">
      <c r="A6850" s="81"/>
      <c r="B6850" s="81"/>
      <c r="C6850" s="81"/>
      <c r="D6850" s="81"/>
      <c r="E6850" s="81"/>
      <c r="F6850" s="81"/>
      <c r="G6850" s="81"/>
      <c r="H6850" s="81"/>
      <c r="I6850" s="81"/>
      <c r="J6850" s="81"/>
      <c r="K6850" s="81"/>
      <c r="L6850" s="81"/>
      <c r="M6850" s="81"/>
      <c r="N6850" s="81"/>
    </row>
    <row r="6851" spans="1:14" ht="14.25" customHeight="1" x14ac:dyDescent="0.25">
      <c r="A6851" s="83"/>
      <c r="B6851" s="84"/>
      <c r="C6851" s="85"/>
      <c r="D6851" s="86"/>
      <c r="E6851" s="86"/>
      <c r="F6851" s="87"/>
      <c r="G6851" s="81"/>
      <c r="H6851" s="81"/>
      <c r="I6851" s="81"/>
      <c r="J6851" s="81"/>
      <c r="K6851" s="81"/>
      <c r="L6851" s="81"/>
      <c r="M6851" s="81"/>
      <c r="N6851" s="81"/>
    </row>
    <row r="6852" spans="1:14" ht="14.25" customHeight="1" x14ac:dyDescent="0.25">
      <c r="A6852" s="599"/>
      <c r="B6852" s="600"/>
      <c r="C6852" s="600"/>
      <c r="D6852" s="600"/>
      <c r="E6852" s="600"/>
      <c r="F6852" s="601"/>
      <c r="G6852" s="81"/>
      <c r="H6852" s="81"/>
      <c r="I6852" s="81"/>
      <c r="J6852" s="81"/>
      <c r="K6852" s="81"/>
      <c r="L6852" s="81"/>
      <c r="M6852" s="81"/>
      <c r="N6852" s="81"/>
    </row>
    <row r="6853" spans="1:14" ht="14.25" customHeight="1" x14ac:dyDescent="0.25">
      <c r="A6853" s="602" t="s">
        <v>561</v>
      </c>
      <c r="B6853" s="600"/>
      <c r="C6853" s="600"/>
      <c r="D6853" s="600"/>
      <c r="E6853" s="600"/>
      <c r="F6853" s="601"/>
      <c r="G6853" s="81"/>
      <c r="H6853" s="81"/>
      <c r="I6853" s="81"/>
      <c r="J6853" s="81"/>
      <c r="K6853" s="81"/>
      <c r="L6853" s="81"/>
      <c r="M6853" s="81"/>
      <c r="N6853" s="81"/>
    </row>
    <row r="6854" spans="1:14" ht="14.25" customHeight="1" thickBot="1" x14ac:dyDescent="0.3">
      <c r="A6854" s="603"/>
      <c r="B6854" s="604"/>
      <c r="C6854" s="604"/>
      <c r="D6854" s="604"/>
      <c r="E6854" s="604"/>
      <c r="F6854" s="605"/>
      <c r="G6854" s="81"/>
      <c r="H6854" s="81"/>
      <c r="I6854" s="81"/>
      <c r="J6854" s="81"/>
      <c r="K6854" s="81"/>
      <c r="L6854" s="81"/>
      <c r="M6854" s="81"/>
      <c r="N6854" s="81"/>
    </row>
    <row r="6855" spans="1:14" ht="14.25" customHeight="1" x14ac:dyDescent="0.25">
      <c r="A6855" s="88"/>
      <c r="B6855" s="88"/>
      <c r="C6855" s="89"/>
      <c r="D6855" s="89"/>
      <c r="E6855" s="89"/>
      <c r="F6855" s="89"/>
      <c r="G6855" s="81"/>
      <c r="H6855" s="81"/>
      <c r="I6855" s="81"/>
      <c r="J6855" s="81"/>
      <c r="K6855" s="81"/>
      <c r="L6855" s="81"/>
      <c r="M6855" s="81"/>
      <c r="N6855" s="81"/>
    </row>
    <row r="6856" spans="1:14" ht="14.25" customHeight="1" x14ac:dyDescent="0.25">
      <c r="A6856" s="90" t="s">
        <v>47</v>
      </c>
      <c r="B6856" s="613" t="s">
        <v>333</v>
      </c>
      <c r="C6856" s="600"/>
      <c r="D6856" s="600"/>
      <c r="E6856" s="600"/>
      <c r="F6856" s="600"/>
      <c r="G6856" s="81"/>
      <c r="H6856" s="81"/>
      <c r="I6856" s="81"/>
      <c r="J6856" s="81"/>
      <c r="K6856" s="81"/>
      <c r="L6856" s="81"/>
      <c r="M6856" s="81"/>
      <c r="N6856" s="81"/>
    </row>
    <row r="6857" spans="1:14" ht="14.25" customHeight="1" x14ac:dyDescent="0.25">
      <c r="A6857" s="91"/>
      <c r="B6857" s="91"/>
      <c r="C6857" s="91"/>
      <c r="D6857" s="91"/>
      <c r="E6857" s="91"/>
      <c r="F6857" s="91"/>
      <c r="G6857" s="81"/>
      <c r="H6857" s="81"/>
      <c r="I6857" s="81"/>
      <c r="J6857" s="81"/>
      <c r="K6857" s="81"/>
      <c r="L6857" s="81"/>
      <c r="M6857" s="81"/>
      <c r="N6857" s="81"/>
    </row>
    <row r="6858" spans="1:14" ht="14.25" customHeight="1" x14ac:dyDescent="0.25">
      <c r="A6858" s="88" t="s">
        <v>49</v>
      </c>
      <c r="B6858" s="92" t="s">
        <v>85</v>
      </c>
      <c r="C6858" s="89"/>
      <c r="D6858" s="89"/>
      <c r="E6858" s="89"/>
      <c r="F6858" s="93"/>
      <c r="G6858" s="81"/>
      <c r="H6858" s="81"/>
      <c r="I6858" s="81"/>
      <c r="J6858" s="81"/>
      <c r="K6858" s="81"/>
      <c r="L6858" s="81"/>
      <c r="M6858" s="81"/>
      <c r="N6858" s="81"/>
    </row>
    <row r="6859" spans="1:14" ht="14.25" customHeight="1" x14ac:dyDescent="0.25">
      <c r="A6859" s="88"/>
      <c r="B6859" s="94"/>
      <c r="C6859" s="89"/>
      <c r="D6859" s="89"/>
      <c r="E6859" s="89"/>
      <c r="F6859" s="93"/>
      <c r="G6859" s="81"/>
      <c r="H6859" s="81"/>
      <c r="I6859" s="81"/>
      <c r="J6859" s="81"/>
      <c r="K6859" s="81"/>
      <c r="L6859" s="81"/>
      <c r="M6859" s="81"/>
      <c r="N6859" s="81"/>
    </row>
    <row r="6860" spans="1:14" ht="14.25" customHeight="1" x14ac:dyDescent="0.25">
      <c r="A6860" s="95" t="s">
        <v>562</v>
      </c>
      <c r="B6860" s="96"/>
      <c r="C6860" s="92"/>
      <c r="D6860" s="92"/>
      <c r="E6860" s="92"/>
      <c r="F6860" s="92"/>
      <c r="G6860" s="81"/>
      <c r="H6860" s="81"/>
      <c r="I6860" s="81"/>
      <c r="J6860" s="81"/>
      <c r="K6860" s="81"/>
      <c r="L6860" s="81"/>
      <c r="M6860" s="81"/>
      <c r="N6860" s="81"/>
    </row>
    <row r="6861" spans="1:14" ht="15.75" x14ac:dyDescent="0.25">
      <c r="A6861" s="97" t="s">
        <v>563</v>
      </c>
      <c r="B6861" s="98" t="s">
        <v>564</v>
      </c>
      <c r="C6861" s="98" t="s">
        <v>565</v>
      </c>
      <c r="D6861" s="98" t="s">
        <v>566</v>
      </c>
      <c r="E6861" s="98" t="s">
        <v>567</v>
      </c>
      <c r="F6861" s="98" t="s">
        <v>568</v>
      </c>
      <c r="G6861" s="81"/>
      <c r="H6861" s="81"/>
      <c r="I6861" s="81"/>
      <c r="J6861" s="81"/>
      <c r="K6861" s="81"/>
      <c r="L6861" s="81"/>
      <c r="M6861" s="81"/>
      <c r="N6861" s="81"/>
    </row>
    <row r="6862" spans="1:14" ht="14.25" customHeight="1" x14ac:dyDescent="0.25">
      <c r="A6862" s="99"/>
      <c r="B6862" s="100"/>
      <c r="C6862" s="101"/>
      <c r="D6862" s="104"/>
      <c r="E6862" s="102"/>
      <c r="F6862" s="101">
        <f t="shared" ref="F6862:F6865" si="335">C6862*(D6862+(D6862*E6862))</f>
        <v>0</v>
      </c>
      <c r="G6862" s="81"/>
      <c r="H6862" s="81"/>
      <c r="I6862" s="81"/>
      <c r="J6862" s="81"/>
      <c r="K6862" s="81"/>
      <c r="L6862" s="81"/>
      <c r="M6862" s="81"/>
      <c r="N6862" s="81"/>
    </row>
    <row r="6863" spans="1:14" ht="14.25" customHeight="1" x14ac:dyDescent="0.25">
      <c r="A6863" s="99"/>
      <c r="B6863" s="100"/>
      <c r="C6863" s="101"/>
      <c r="D6863" s="149"/>
      <c r="E6863" s="102"/>
      <c r="F6863" s="101">
        <f t="shared" si="335"/>
        <v>0</v>
      </c>
      <c r="G6863" s="81"/>
      <c r="H6863" s="81"/>
      <c r="I6863" s="81"/>
      <c r="J6863" s="81"/>
      <c r="K6863" s="81"/>
      <c r="L6863" s="81"/>
      <c r="M6863" s="81"/>
      <c r="N6863" s="81"/>
    </row>
    <row r="6864" spans="1:14" ht="14.25" customHeight="1" x14ac:dyDescent="0.25">
      <c r="A6864" s="99"/>
      <c r="B6864" s="100"/>
      <c r="C6864" s="101"/>
      <c r="D6864" s="149"/>
      <c r="E6864" s="102"/>
      <c r="F6864" s="101">
        <f t="shared" si="335"/>
        <v>0</v>
      </c>
      <c r="G6864" s="81"/>
      <c r="H6864" s="81"/>
      <c r="I6864" s="81"/>
      <c r="J6864" s="81"/>
      <c r="K6864" s="81"/>
      <c r="L6864" s="81"/>
      <c r="M6864" s="81"/>
      <c r="N6864" s="81"/>
    </row>
    <row r="6865" spans="1:14" ht="14.25" customHeight="1" x14ac:dyDescent="0.25">
      <c r="A6865" s="99"/>
      <c r="B6865" s="100"/>
      <c r="C6865" s="101"/>
      <c r="D6865" s="149"/>
      <c r="E6865" s="102"/>
      <c r="F6865" s="101">
        <f t="shared" si="335"/>
        <v>0</v>
      </c>
      <c r="G6865" s="81"/>
      <c r="H6865" s="81"/>
      <c r="I6865" s="81"/>
      <c r="J6865" s="81"/>
      <c r="K6865" s="81"/>
      <c r="L6865" s="81"/>
      <c r="M6865" s="81"/>
      <c r="N6865" s="81"/>
    </row>
    <row r="6866" spans="1:14" ht="14.25" customHeight="1" x14ac:dyDescent="0.25">
      <c r="A6866" s="99"/>
      <c r="B6866" s="100"/>
      <c r="C6866" s="106"/>
      <c r="D6866" s="107"/>
      <c r="E6866" s="108"/>
      <c r="F6866" s="106"/>
      <c r="G6866" s="81"/>
      <c r="H6866" s="81"/>
      <c r="I6866" s="81"/>
      <c r="J6866" s="81"/>
      <c r="K6866" s="81"/>
      <c r="L6866" s="81"/>
      <c r="M6866" s="81"/>
      <c r="N6866" s="81"/>
    </row>
    <row r="6867" spans="1:14" ht="14.25" customHeight="1" x14ac:dyDescent="0.25">
      <c r="A6867" s="97" t="s">
        <v>548</v>
      </c>
      <c r="B6867" s="97"/>
      <c r="C6867" s="109"/>
      <c r="D6867" s="110"/>
      <c r="E6867" s="111"/>
      <c r="F6867" s="112">
        <f>SUM(F6862:F6866)</f>
        <v>0</v>
      </c>
      <c r="G6867" s="81"/>
      <c r="H6867" s="81"/>
      <c r="I6867" s="81"/>
      <c r="J6867" s="81"/>
      <c r="K6867" s="81"/>
      <c r="L6867" s="81"/>
      <c r="M6867" s="81"/>
      <c r="N6867" s="81"/>
    </row>
    <row r="6868" spans="1:14" ht="14.25" customHeight="1" x14ac:dyDescent="0.25">
      <c r="A6868" s="88"/>
      <c r="B6868" s="88"/>
      <c r="C6868" s="113"/>
      <c r="D6868" s="113"/>
      <c r="E6868" s="114"/>
      <c r="F6868" s="113"/>
      <c r="G6868" s="81"/>
      <c r="H6868" s="81"/>
      <c r="I6868" s="81"/>
      <c r="J6868" s="81"/>
      <c r="K6868" s="81"/>
      <c r="L6868" s="81"/>
      <c r="M6868" s="81"/>
      <c r="N6868" s="81"/>
    </row>
    <row r="6869" spans="1:14" ht="15.75" x14ac:dyDescent="0.25">
      <c r="A6869" s="96" t="s">
        <v>573</v>
      </c>
      <c r="B6869" s="96"/>
      <c r="C6869" s="92"/>
      <c r="D6869" s="92"/>
      <c r="E6869" s="92"/>
      <c r="F6869" s="92"/>
      <c r="G6869" s="81"/>
      <c r="H6869" s="81"/>
      <c r="I6869" s="81"/>
      <c r="J6869" s="81"/>
      <c r="K6869" s="81"/>
      <c r="L6869" s="81"/>
      <c r="M6869" s="81"/>
      <c r="N6869" s="81"/>
    </row>
    <row r="6870" spans="1:14" ht="14.25" customHeight="1" x14ac:dyDescent="0.25">
      <c r="A6870" s="611" t="s">
        <v>563</v>
      </c>
      <c r="B6870" s="608"/>
      <c r="C6870" s="609"/>
      <c r="D6870" s="98" t="s">
        <v>574</v>
      </c>
      <c r="E6870" s="98" t="s">
        <v>575</v>
      </c>
      <c r="F6870" s="98" t="s">
        <v>568</v>
      </c>
      <c r="G6870" s="81"/>
      <c r="H6870" s="81"/>
      <c r="I6870" s="81"/>
      <c r="J6870" s="81"/>
      <c r="K6870" s="81"/>
      <c r="L6870" s="81"/>
      <c r="M6870" s="81"/>
      <c r="N6870" s="81"/>
    </row>
    <row r="6871" spans="1:14" ht="14.25" customHeight="1" x14ac:dyDescent="0.25">
      <c r="A6871" s="607" t="s">
        <v>577</v>
      </c>
      <c r="B6871" s="608"/>
      <c r="C6871" s="609"/>
      <c r="D6871" s="116"/>
      <c r="E6871" s="107"/>
      <c r="F6871" s="106">
        <f>+F6885*5%</f>
        <v>88564.192813475951</v>
      </c>
      <c r="G6871" s="81"/>
      <c r="H6871" s="81"/>
      <c r="I6871" s="81"/>
      <c r="J6871" s="81"/>
      <c r="K6871" s="81"/>
      <c r="L6871" s="81"/>
      <c r="M6871" s="81"/>
      <c r="N6871" s="81"/>
    </row>
    <row r="6872" spans="1:14" ht="14.25" customHeight="1" x14ac:dyDescent="0.25">
      <c r="A6872" s="607" t="s">
        <v>657</v>
      </c>
      <c r="B6872" s="608"/>
      <c r="C6872" s="609"/>
      <c r="D6872" s="142">
        <v>1850</v>
      </c>
      <c r="E6872" s="105">
        <v>6.0000000000000001E-3</v>
      </c>
      <c r="F6872" s="106">
        <f t="shared" ref="F6872:F6873" si="336">D6872/E6872</f>
        <v>308333.33333333331</v>
      </c>
      <c r="G6872" s="81"/>
      <c r="H6872" s="81"/>
      <c r="I6872" s="81"/>
      <c r="J6872" s="81"/>
      <c r="K6872" s="81"/>
      <c r="L6872" s="81"/>
      <c r="M6872" s="81"/>
      <c r="N6872" s="81"/>
    </row>
    <row r="6873" spans="1:14" ht="14.25" customHeight="1" x14ac:dyDescent="0.25">
      <c r="A6873" s="607" t="s">
        <v>610</v>
      </c>
      <c r="B6873" s="608"/>
      <c r="C6873" s="609"/>
      <c r="D6873" s="142">
        <v>150000</v>
      </c>
      <c r="E6873" s="105">
        <v>0.22</v>
      </c>
      <c r="F6873" s="106">
        <f t="shared" si="336"/>
        <v>681818.18181818177</v>
      </c>
      <c r="G6873" s="81"/>
      <c r="H6873" s="81"/>
      <c r="I6873" s="81"/>
      <c r="J6873" s="81"/>
      <c r="K6873" s="81"/>
      <c r="L6873" s="81"/>
      <c r="M6873" s="81"/>
      <c r="N6873" s="81"/>
    </row>
    <row r="6874" spans="1:14" ht="14.25" customHeight="1" x14ac:dyDescent="0.25">
      <c r="A6874" s="607"/>
      <c r="B6874" s="608"/>
      <c r="C6874" s="609"/>
      <c r="D6874" s="142"/>
      <c r="E6874" s="105"/>
      <c r="F6874" s="106"/>
      <c r="G6874" s="81"/>
      <c r="H6874" s="81"/>
      <c r="I6874" s="81"/>
      <c r="J6874" s="81"/>
      <c r="K6874" s="81"/>
      <c r="L6874" s="81"/>
      <c r="M6874" s="81"/>
      <c r="N6874" s="81"/>
    </row>
    <row r="6875" spans="1:14" ht="14.25" customHeight="1" x14ac:dyDescent="0.25">
      <c r="A6875" s="152"/>
      <c r="B6875" s="153"/>
      <c r="C6875" s="154"/>
      <c r="D6875" s="142"/>
      <c r="E6875" s="107"/>
      <c r="F6875" s="106"/>
      <c r="G6875" s="81"/>
      <c r="H6875" s="281">
        <f>31619-F7843</f>
        <v>0</v>
      </c>
      <c r="I6875" s="81"/>
      <c r="J6875" s="81"/>
      <c r="K6875" s="81"/>
      <c r="L6875" s="81"/>
      <c r="M6875" s="81"/>
      <c r="N6875" s="81"/>
    </row>
    <row r="6876" spans="1:14" ht="14.25" customHeight="1" x14ac:dyDescent="0.25">
      <c r="A6876" s="610"/>
      <c r="B6876" s="608"/>
      <c r="C6876" s="609"/>
      <c r="D6876" s="115"/>
      <c r="E6876" s="107"/>
      <c r="F6876" s="106"/>
      <c r="G6876" s="81"/>
      <c r="H6876" s="81"/>
      <c r="I6876" s="81"/>
      <c r="J6876" s="81"/>
      <c r="K6876" s="81"/>
      <c r="L6876" s="81"/>
      <c r="M6876" s="81"/>
      <c r="N6876" s="81"/>
    </row>
    <row r="6877" spans="1:14" ht="14.25" customHeight="1" x14ac:dyDescent="0.25">
      <c r="A6877" s="611" t="s">
        <v>548</v>
      </c>
      <c r="B6877" s="608"/>
      <c r="C6877" s="609"/>
      <c r="D6877" s="110"/>
      <c r="E6877" s="110"/>
      <c r="F6877" s="112">
        <f>SUM(F6871:F6876)</f>
        <v>1078715.707964991</v>
      </c>
      <c r="G6877" s="81"/>
      <c r="H6877" s="81"/>
      <c r="I6877" s="81"/>
      <c r="J6877" s="81"/>
      <c r="K6877" s="81"/>
      <c r="L6877" s="81"/>
      <c r="M6877" s="81"/>
      <c r="N6877" s="81"/>
    </row>
    <row r="6878" spans="1:14" ht="14.25" customHeight="1" x14ac:dyDescent="0.25">
      <c r="A6878" s="88"/>
      <c r="B6878" s="88"/>
      <c r="C6878" s="89"/>
      <c r="D6878" s="113"/>
      <c r="E6878" s="113"/>
      <c r="F6878" s="113"/>
      <c r="G6878" s="81"/>
      <c r="H6878" s="81"/>
      <c r="I6878" s="81"/>
      <c r="J6878" s="81"/>
      <c r="K6878" s="81"/>
      <c r="L6878" s="81"/>
      <c r="M6878" s="81"/>
      <c r="N6878" s="81"/>
    </row>
    <row r="6879" spans="1:14" ht="14.25" customHeight="1" x14ac:dyDescent="0.25">
      <c r="A6879" s="96" t="s">
        <v>578</v>
      </c>
      <c r="B6879" s="96"/>
      <c r="C6879" s="92"/>
      <c r="D6879" s="118"/>
      <c r="E6879" s="118"/>
      <c r="F6879" s="118"/>
      <c r="G6879" s="81"/>
      <c r="H6879" s="81"/>
      <c r="I6879" s="81"/>
      <c r="J6879" s="81"/>
      <c r="K6879" s="81"/>
      <c r="L6879" s="81"/>
      <c r="M6879" s="81"/>
      <c r="N6879" s="81"/>
    </row>
    <row r="6880" spans="1:14" ht="14.25" customHeight="1" x14ac:dyDescent="0.25">
      <c r="A6880" s="119" t="s">
        <v>563</v>
      </c>
      <c r="B6880" s="120" t="s">
        <v>579</v>
      </c>
      <c r="C6880" s="120" t="s">
        <v>580</v>
      </c>
      <c r="D6880" s="121" t="s">
        <v>581</v>
      </c>
      <c r="E6880" s="121" t="s">
        <v>575</v>
      </c>
      <c r="F6880" s="121" t="s">
        <v>568</v>
      </c>
      <c r="G6880" s="81"/>
      <c r="H6880" s="81"/>
      <c r="I6880" s="81"/>
      <c r="J6880" s="81"/>
      <c r="K6880" s="81"/>
      <c r="L6880" s="81"/>
      <c r="M6880" s="81"/>
      <c r="N6880" s="81"/>
    </row>
    <row r="6881" spans="1:14" ht="14.25" customHeight="1" x14ac:dyDescent="0.25">
      <c r="A6881" s="122" t="s">
        <v>593</v>
      </c>
      <c r="B6881" s="127">
        <v>1</v>
      </c>
      <c r="C6881" s="101">
        <v>32688</v>
      </c>
      <c r="D6881" s="101">
        <f t="shared" ref="D6881:D6882" si="337">+C6881*1.7</f>
        <v>55569.599999999999</v>
      </c>
      <c r="E6881" s="105">
        <v>8.1796149999999998E-2</v>
      </c>
      <c r="F6881" s="106">
        <f t="shared" ref="F6881:F6882" si="338">+B6881*(D6881)/E6881</f>
        <v>679366.93841947324</v>
      </c>
      <c r="G6881" s="81"/>
      <c r="H6881" s="81"/>
      <c r="I6881" s="81"/>
      <c r="J6881" s="81"/>
      <c r="K6881" s="81"/>
      <c r="L6881" s="81"/>
      <c r="M6881" s="81"/>
      <c r="N6881" s="81"/>
    </row>
    <row r="6882" spans="1:14" ht="14.25" customHeight="1" x14ac:dyDescent="0.25">
      <c r="A6882" s="122" t="s">
        <v>594</v>
      </c>
      <c r="B6882" s="127">
        <v>1</v>
      </c>
      <c r="C6882" s="101">
        <v>52538</v>
      </c>
      <c r="D6882" s="101">
        <f t="shared" si="337"/>
        <v>89314.599999999991</v>
      </c>
      <c r="E6882" s="105">
        <f>E6881</f>
        <v>8.1796149999999998E-2</v>
      </c>
      <c r="F6882" s="106">
        <f t="shared" si="338"/>
        <v>1091916.9178500455</v>
      </c>
      <c r="G6882" s="81"/>
      <c r="H6882" s="81"/>
      <c r="I6882" s="81"/>
      <c r="J6882" s="81"/>
      <c r="K6882" s="81"/>
      <c r="L6882" s="81"/>
      <c r="M6882" s="81"/>
      <c r="N6882" s="81"/>
    </row>
    <row r="6883" spans="1:14" ht="14.25" customHeight="1" x14ac:dyDescent="0.25">
      <c r="A6883" s="122"/>
      <c r="B6883" s="127"/>
      <c r="C6883" s="101"/>
      <c r="D6883" s="101"/>
      <c r="E6883" s="107"/>
      <c r="F6883" s="106"/>
      <c r="G6883" s="81"/>
      <c r="H6883" s="81"/>
      <c r="I6883" s="81"/>
      <c r="J6883" s="81"/>
      <c r="K6883" s="81"/>
      <c r="L6883" s="81"/>
      <c r="M6883" s="81"/>
      <c r="N6883" s="81"/>
    </row>
    <row r="6884" spans="1:14" ht="14.25" customHeight="1" x14ac:dyDescent="0.25">
      <c r="A6884" s="122"/>
      <c r="B6884" s="127"/>
      <c r="C6884" s="101"/>
      <c r="D6884" s="101"/>
      <c r="E6884" s="125"/>
      <c r="F6884" s="106"/>
      <c r="G6884" s="81"/>
      <c r="H6884" s="81"/>
      <c r="I6884" s="81"/>
      <c r="J6884" s="81"/>
      <c r="K6884" s="81"/>
      <c r="L6884" s="81"/>
      <c r="M6884" s="81"/>
      <c r="N6884" s="81"/>
    </row>
    <row r="6885" spans="1:14" ht="14.25" customHeight="1" x14ac:dyDescent="0.25">
      <c r="A6885" s="97" t="s">
        <v>548</v>
      </c>
      <c r="B6885" s="128"/>
      <c r="C6885" s="110"/>
      <c r="D6885" s="110"/>
      <c r="E6885" s="110"/>
      <c r="F6885" s="112">
        <f>SUM(F6881:F6884)</f>
        <v>1771283.8562695188</v>
      </c>
      <c r="G6885" s="81"/>
      <c r="H6885" s="81"/>
      <c r="I6885" s="81"/>
      <c r="J6885" s="81"/>
      <c r="K6885" s="81"/>
      <c r="L6885" s="81"/>
      <c r="M6885" s="81"/>
      <c r="N6885" s="81"/>
    </row>
    <row r="6886" spans="1:14" ht="14.25" customHeight="1" x14ac:dyDescent="0.25">
      <c r="A6886" s="96"/>
      <c r="B6886" s="129"/>
      <c r="C6886" s="118"/>
      <c r="D6886" s="118"/>
      <c r="E6886" s="118"/>
      <c r="F6886" s="118"/>
      <c r="G6886" s="81"/>
      <c r="H6886" s="81"/>
      <c r="I6886" s="81"/>
      <c r="J6886" s="81"/>
      <c r="K6886" s="81"/>
      <c r="L6886" s="81"/>
      <c r="M6886" s="81"/>
      <c r="N6886" s="81"/>
    </row>
    <row r="6887" spans="1:14" ht="14.25" customHeight="1" x14ac:dyDescent="0.25">
      <c r="A6887" s="95" t="s">
        <v>583</v>
      </c>
      <c r="B6887" s="96"/>
      <c r="C6887" s="92"/>
      <c r="D6887" s="92"/>
      <c r="E6887" s="92" t="s">
        <v>584</v>
      </c>
      <c r="F6887" s="92"/>
      <c r="G6887" s="81"/>
      <c r="H6887" s="81"/>
      <c r="I6887" s="81"/>
      <c r="J6887" s="81"/>
      <c r="K6887" s="81"/>
      <c r="L6887" s="81"/>
      <c r="M6887" s="81"/>
      <c r="N6887" s="81"/>
    </row>
    <row r="6888" spans="1:14" ht="14.25" customHeight="1" x14ac:dyDescent="0.25">
      <c r="A6888" s="97" t="s">
        <v>563</v>
      </c>
      <c r="B6888" s="98" t="s">
        <v>564</v>
      </c>
      <c r="C6888" s="98" t="s">
        <v>585</v>
      </c>
      <c r="D6888" s="98" t="s">
        <v>586</v>
      </c>
      <c r="E6888" s="120" t="s">
        <v>587</v>
      </c>
      <c r="F6888" s="98" t="s">
        <v>568</v>
      </c>
      <c r="G6888" s="81"/>
      <c r="H6888" s="81"/>
      <c r="I6888" s="81"/>
      <c r="J6888" s="81"/>
      <c r="K6888" s="81"/>
      <c r="L6888" s="81"/>
      <c r="M6888" s="81"/>
      <c r="N6888" s="81"/>
    </row>
    <row r="6889" spans="1:14" ht="14.25" customHeight="1" x14ac:dyDescent="0.25">
      <c r="A6889" s="103"/>
      <c r="B6889" s="100"/>
      <c r="C6889" s="101"/>
      <c r="D6889" s="140"/>
      <c r="E6889" s="107"/>
      <c r="F6889" s="109"/>
      <c r="G6889" s="81"/>
      <c r="H6889" s="81"/>
      <c r="I6889" s="81"/>
      <c r="J6889" s="81"/>
      <c r="K6889" s="81"/>
      <c r="L6889" s="81"/>
      <c r="M6889" s="81"/>
      <c r="N6889" s="81"/>
    </row>
    <row r="6890" spans="1:14" ht="14.25" customHeight="1" x14ac:dyDescent="0.25">
      <c r="A6890" s="103"/>
      <c r="B6890" s="100"/>
      <c r="C6890" s="107"/>
      <c r="D6890" s="107"/>
      <c r="E6890" s="108"/>
      <c r="F6890" s="109"/>
      <c r="G6890" s="81"/>
      <c r="H6890" s="81"/>
      <c r="I6890" s="81"/>
      <c r="J6890" s="81"/>
      <c r="K6890" s="81"/>
      <c r="L6890" s="81"/>
      <c r="M6890" s="81"/>
      <c r="N6890" s="81"/>
    </row>
    <row r="6891" spans="1:14" ht="14.25" customHeight="1" x14ac:dyDescent="0.25">
      <c r="A6891" s="97" t="s">
        <v>548</v>
      </c>
      <c r="B6891" s="98"/>
      <c r="C6891" s="110"/>
      <c r="D6891" s="110"/>
      <c r="E6891" s="111"/>
      <c r="F6891" s="112">
        <f>SUM(F6889:F6890)</f>
        <v>0</v>
      </c>
      <c r="G6891" s="81"/>
      <c r="H6891" s="81"/>
      <c r="I6891" s="81"/>
      <c r="J6891" s="81"/>
      <c r="K6891" s="81"/>
      <c r="L6891" s="81"/>
      <c r="M6891" s="81"/>
      <c r="N6891" s="81"/>
    </row>
    <row r="6892" spans="1:14" ht="14.25" customHeight="1" x14ac:dyDescent="0.25">
      <c r="A6892" s="88"/>
      <c r="B6892" s="89"/>
      <c r="C6892" s="113"/>
      <c r="D6892" s="113"/>
      <c r="E6892" s="114"/>
      <c r="F6892" s="113"/>
      <c r="G6892" s="81"/>
      <c r="H6892" s="81"/>
      <c r="I6892" s="81"/>
      <c r="J6892" s="81"/>
      <c r="K6892" s="81"/>
      <c r="L6892" s="81"/>
      <c r="M6892" s="81"/>
      <c r="N6892" s="81"/>
    </row>
    <row r="6893" spans="1:14" ht="14.25" customHeight="1" x14ac:dyDescent="0.25">
      <c r="A6893" s="88"/>
      <c r="B6893" s="89"/>
      <c r="C6893" s="113"/>
      <c r="D6893" s="113"/>
      <c r="E6893" s="114"/>
      <c r="F6893" s="113"/>
      <c r="G6893" s="81"/>
      <c r="H6893" s="81"/>
      <c r="I6893" s="81"/>
      <c r="J6893" s="81"/>
      <c r="K6893" s="81"/>
      <c r="L6893" s="81"/>
      <c r="M6893" s="81"/>
      <c r="N6893" s="81"/>
    </row>
    <row r="6894" spans="1:14" ht="14.25" customHeight="1" x14ac:dyDescent="0.25">
      <c r="A6894" s="612" t="s">
        <v>588</v>
      </c>
      <c r="B6894" s="608"/>
      <c r="C6894" s="608"/>
      <c r="D6894" s="608"/>
      <c r="E6894" s="609"/>
      <c r="F6894" s="131">
        <f>ROUND(F6867+F6877+F6885+F6891,0)</f>
        <v>2850000</v>
      </c>
      <c r="G6894" s="81"/>
      <c r="H6894" s="81"/>
      <c r="I6894" s="81"/>
      <c r="J6894" s="81"/>
      <c r="K6894" s="81"/>
      <c r="L6894" s="81"/>
      <c r="M6894" s="81"/>
      <c r="N6894" s="81"/>
    </row>
    <row r="6895" spans="1:14" ht="14.25" customHeight="1" x14ac:dyDescent="0.25">
      <c r="A6895" s="612" t="s">
        <v>589</v>
      </c>
      <c r="B6895" s="608"/>
      <c r="C6895" s="608"/>
      <c r="D6895" s="608"/>
      <c r="E6895" s="609"/>
      <c r="F6895" s="132"/>
      <c r="G6895" s="81"/>
      <c r="H6895" s="81"/>
      <c r="I6895" s="81"/>
      <c r="J6895" s="81"/>
      <c r="K6895" s="81"/>
      <c r="L6895" s="81"/>
      <c r="M6895" s="81"/>
      <c r="N6895" s="81"/>
    </row>
    <row r="6896" spans="1:14" ht="14.25" customHeight="1" x14ac:dyDescent="0.25">
      <c r="A6896" s="612" t="s">
        <v>556</v>
      </c>
      <c r="B6896" s="608"/>
      <c r="C6896" s="608"/>
      <c r="D6896" s="608"/>
      <c r="E6896" s="609"/>
      <c r="F6896" s="133"/>
      <c r="G6896" s="81"/>
      <c r="H6896" s="81"/>
      <c r="I6896" s="81"/>
      <c r="J6896" s="81"/>
      <c r="K6896" s="81"/>
      <c r="L6896" s="81"/>
      <c r="M6896" s="81"/>
      <c r="N6896" s="81"/>
    </row>
    <row r="6897" spans="1:14" ht="14.25" customHeight="1" x14ac:dyDescent="0.25">
      <c r="A6897" s="134"/>
      <c r="B6897" s="135"/>
      <c r="C6897" s="135"/>
      <c r="D6897" s="135"/>
      <c r="E6897" s="135"/>
      <c r="F6897" s="136"/>
      <c r="G6897" s="81"/>
      <c r="H6897" s="81"/>
      <c r="I6897" s="81"/>
      <c r="J6897" s="81"/>
      <c r="K6897" s="81"/>
      <c r="L6897" s="81"/>
      <c r="M6897" s="81"/>
      <c r="N6897" s="81"/>
    </row>
    <row r="6898" spans="1:14" ht="14.25" customHeight="1" x14ac:dyDescent="0.25">
      <c r="A6898" s="134"/>
      <c r="B6898" s="135"/>
      <c r="C6898" s="135"/>
      <c r="D6898" s="135"/>
      <c r="E6898" s="135"/>
      <c r="F6898" s="136"/>
      <c r="G6898" s="81"/>
      <c r="H6898" s="81"/>
      <c r="I6898" s="81"/>
      <c r="J6898" s="81"/>
      <c r="K6898" s="81"/>
      <c r="L6898" s="81"/>
      <c r="M6898" s="81"/>
      <c r="N6898" s="81"/>
    </row>
    <row r="6899" spans="1:14" ht="14.25" customHeight="1" x14ac:dyDescent="0.25">
      <c r="A6899" s="134"/>
      <c r="B6899" s="135"/>
      <c r="C6899" s="135"/>
      <c r="D6899" s="135"/>
      <c r="E6899" s="135"/>
      <c r="F6899" s="136"/>
      <c r="G6899" s="81"/>
      <c r="H6899" s="81"/>
      <c r="I6899" s="81"/>
      <c r="J6899" s="81"/>
      <c r="K6899" s="81"/>
      <c r="L6899" s="81"/>
      <c r="M6899" s="81"/>
      <c r="N6899" s="81"/>
    </row>
    <row r="6900" spans="1:14" ht="14.25" customHeight="1" x14ac:dyDescent="0.25">
      <c r="A6900" s="134"/>
      <c r="B6900" s="135"/>
      <c r="C6900" s="135"/>
      <c r="D6900" s="135"/>
      <c r="E6900" s="135"/>
      <c r="F6900" s="136"/>
      <c r="G6900" s="81"/>
      <c r="H6900" s="81"/>
      <c r="I6900" s="81"/>
      <c r="J6900" s="81"/>
      <c r="K6900" s="81"/>
      <c r="L6900" s="81"/>
      <c r="M6900" s="81"/>
      <c r="N6900" s="81"/>
    </row>
    <row r="6901" spans="1:14" ht="14.25" customHeight="1" x14ac:dyDescent="0.25">
      <c r="A6901" s="81"/>
      <c r="B6901" s="81"/>
      <c r="C6901" s="137"/>
      <c r="D6901" s="81"/>
      <c r="E6901" s="81"/>
      <c r="F6901" s="81"/>
      <c r="G6901" s="81"/>
      <c r="H6901" s="81"/>
      <c r="I6901" s="81"/>
      <c r="J6901" s="81"/>
      <c r="K6901" s="81"/>
      <c r="L6901" s="81"/>
      <c r="M6901" s="81"/>
      <c r="N6901" s="81"/>
    </row>
    <row r="6902" spans="1:14" ht="14.25" customHeight="1" x14ac:dyDescent="0.25">
      <c r="A6902" s="81"/>
      <c r="B6902" s="81"/>
      <c r="C6902" s="137"/>
      <c r="D6902" s="81"/>
      <c r="E6902" s="81"/>
      <c r="F6902" s="81"/>
      <c r="G6902" s="81"/>
      <c r="H6902" s="81"/>
      <c r="I6902" s="81"/>
      <c r="J6902" s="81"/>
      <c r="K6902" s="81"/>
      <c r="L6902" s="81"/>
      <c r="M6902" s="81"/>
      <c r="N6902" s="81"/>
    </row>
    <row r="6903" spans="1:14" ht="14.25" customHeight="1" x14ac:dyDescent="0.25">
      <c r="A6903" s="81"/>
      <c r="B6903" s="81"/>
      <c r="C6903" s="137"/>
      <c r="D6903" s="81"/>
      <c r="E6903" s="81"/>
      <c r="F6903" s="81"/>
      <c r="G6903" s="81"/>
      <c r="H6903" s="81"/>
      <c r="I6903" s="81"/>
      <c r="J6903" s="81"/>
      <c r="K6903" s="81"/>
      <c r="L6903" s="81"/>
      <c r="M6903" s="81"/>
      <c r="N6903" s="81"/>
    </row>
    <row r="6904" spans="1:14" ht="14.25" customHeight="1" x14ac:dyDescent="0.25">
      <c r="A6904" s="81"/>
      <c r="B6904" s="81"/>
      <c r="C6904" s="137"/>
      <c r="D6904" s="81"/>
      <c r="E6904" s="81"/>
      <c r="F6904" s="81"/>
      <c r="G6904" s="81"/>
      <c r="H6904" s="81"/>
      <c r="I6904" s="81"/>
      <c r="J6904" s="81"/>
      <c r="K6904" s="81"/>
      <c r="L6904" s="81"/>
      <c r="M6904" s="81"/>
      <c r="N6904" s="81"/>
    </row>
    <row r="6905" spans="1:14" ht="14.25" customHeight="1" thickBot="1" x14ac:dyDescent="0.3">
      <c r="A6905" s="81"/>
      <c r="B6905" s="81"/>
      <c r="C6905" s="81"/>
      <c r="D6905" s="81"/>
      <c r="E6905" s="81"/>
      <c r="F6905" s="81"/>
      <c r="G6905" s="81"/>
      <c r="H6905" s="81"/>
      <c r="I6905" s="81"/>
      <c r="J6905" s="81"/>
      <c r="K6905" s="81"/>
      <c r="L6905" s="81"/>
      <c r="M6905" s="81"/>
      <c r="N6905" s="81"/>
    </row>
    <row r="6906" spans="1:14" ht="14.25" customHeight="1" x14ac:dyDescent="0.25">
      <c r="A6906" s="83"/>
      <c r="B6906" s="84"/>
      <c r="C6906" s="85"/>
      <c r="D6906" s="86"/>
      <c r="E6906" s="86"/>
      <c r="F6906" s="87"/>
      <c r="G6906" s="81"/>
      <c r="H6906" s="81"/>
      <c r="I6906" s="81"/>
      <c r="J6906" s="81"/>
      <c r="K6906" s="81"/>
      <c r="L6906" s="81"/>
      <c r="M6906" s="81"/>
      <c r="N6906" s="81"/>
    </row>
    <row r="6907" spans="1:14" ht="14.25" customHeight="1" x14ac:dyDescent="0.25">
      <c r="A6907" s="599"/>
      <c r="B6907" s="600"/>
      <c r="C6907" s="600"/>
      <c r="D6907" s="600"/>
      <c r="E6907" s="600"/>
      <c r="F6907" s="601"/>
      <c r="G6907" s="81"/>
      <c r="H6907" s="81"/>
      <c r="I6907" s="81"/>
      <c r="J6907" s="81"/>
      <c r="K6907" s="81"/>
      <c r="L6907" s="81"/>
      <c r="M6907" s="81"/>
      <c r="N6907" s="81"/>
    </row>
    <row r="6908" spans="1:14" ht="14.25" customHeight="1" x14ac:dyDescent="0.25">
      <c r="A6908" s="602" t="s">
        <v>561</v>
      </c>
      <c r="B6908" s="600"/>
      <c r="C6908" s="600"/>
      <c r="D6908" s="600"/>
      <c r="E6908" s="600"/>
      <c r="F6908" s="601"/>
      <c r="G6908" s="81"/>
      <c r="H6908" s="81"/>
      <c r="I6908" s="81"/>
      <c r="J6908" s="81"/>
      <c r="K6908" s="81"/>
      <c r="L6908" s="81"/>
      <c r="M6908" s="81"/>
      <c r="N6908" s="81"/>
    </row>
    <row r="6909" spans="1:14" ht="14.25" customHeight="1" thickBot="1" x14ac:dyDescent="0.3">
      <c r="A6909" s="603"/>
      <c r="B6909" s="604"/>
      <c r="C6909" s="604"/>
      <c r="D6909" s="604"/>
      <c r="E6909" s="604"/>
      <c r="F6909" s="605"/>
      <c r="G6909" s="81"/>
      <c r="H6909" s="81"/>
      <c r="I6909" s="81"/>
      <c r="J6909" s="81"/>
      <c r="K6909" s="81"/>
      <c r="L6909" s="81"/>
      <c r="M6909" s="81"/>
      <c r="N6909" s="81"/>
    </row>
    <row r="6910" spans="1:14" ht="14.25" customHeight="1" x14ac:dyDescent="0.25">
      <c r="A6910" s="88"/>
      <c r="B6910" s="88"/>
      <c r="C6910" s="89"/>
      <c r="D6910" s="89"/>
      <c r="E6910" s="89"/>
      <c r="F6910" s="89"/>
      <c r="G6910" s="81"/>
      <c r="H6910" s="81"/>
      <c r="I6910" s="81"/>
      <c r="J6910" s="81"/>
      <c r="K6910" s="81"/>
      <c r="L6910" s="81"/>
      <c r="M6910" s="81"/>
      <c r="N6910" s="81"/>
    </row>
    <row r="6911" spans="1:14" ht="14.25" customHeight="1" x14ac:dyDescent="0.25">
      <c r="A6911" s="90" t="s">
        <v>47</v>
      </c>
      <c r="B6911" s="613" t="s">
        <v>787</v>
      </c>
      <c r="C6911" s="600"/>
      <c r="D6911" s="600"/>
      <c r="E6911" s="600"/>
      <c r="F6911" s="600"/>
      <c r="G6911" s="81"/>
      <c r="H6911" s="81"/>
      <c r="I6911" s="81"/>
      <c r="J6911" s="81"/>
      <c r="K6911" s="81"/>
      <c r="L6911" s="81"/>
      <c r="M6911" s="81"/>
      <c r="N6911" s="81"/>
    </row>
    <row r="6912" spans="1:14" ht="14.25" customHeight="1" x14ac:dyDescent="0.25">
      <c r="A6912" s="91"/>
      <c r="B6912" s="91"/>
      <c r="C6912" s="91"/>
      <c r="D6912" s="91"/>
      <c r="E6912" s="91"/>
      <c r="F6912" s="91"/>
      <c r="G6912" s="81"/>
      <c r="H6912" s="81"/>
      <c r="I6912" s="81"/>
      <c r="J6912" s="81"/>
      <c r="K6912" s="81"/>
      <c r="L6912" s="81"/>
      <c r="M6912" s="81"/>
      <c r="N6912" s="81"/>
    </row>
    <row r="6913" spans="1:14" ht="14.25" customHeight="1" x14ac:dyDescent="0.25">
      <c r="A6913" s="88" t="s">
        <v>49</v>
      </c>
      <c r="B6913" s="92" t="s">
        <v>85</v>
      </c>
      <c r="C6913" s="89"/>
      <c r="D6913" s="89"/>
      <c r="E6913" s="89"/>
      <c r="F6913" s="93"/>
      <c r="G6913" s="81"/>
      <c r="H6913" s="81"/>
      <c r="I6913" s="81"/>
      <c r="J6913" s="81"/>
      <c r="K6913" s="81"/>
      <c r="L6913" s="81"/>
      <c r="M6913" s="81"/>
      <c r="N6913" s="81"/>
    </row>
    <row r="6914" spans="1:14" ht="14.25" customHeight="1" x14ac:dyDescent="0.25">
      <c r="A6914" s="88"/>
      <c r="B6914" s="94"/>
      <c r="C6914" s="89"/>
      <c r="D6914" s="89"/>
      <c r="E6914" s="89"/>
      <c r="F6914" s="93"/>
      <c r="G6914" s="81"/>
      <c r="H6914" s="81"/>
      <c r="I6914" s="81"/>
      <c r="J6914" s="81"/>
      <c r="K6914" s="81"/>
      <c r="L6914" s="81"/>
      <c r="M6914" s="81"/>
      <c r="N6914" s="81"/>
    </row>
    <row r="6915" spans="1:14" ht="14.25" customHeight="1" x14ac:dyDescent="0.25">
      <c r="A6915" s="95" t="s">
        <v>562</v>
      </c>
      <c r="B6915" s="96"/>
      <c r="C6915" s="92"/>
      <c r="D6915" s="92"/>
      <c r="E6915" s="92"/>
      <c r="F6915" s="92"/>
      <c r="G6915" s="81"/>
      <c r="H6915" s="81"/>
      <c r="I6915" s="81"/>
      <c r="J6915" s="81"/>
      <c r="K6915" s="81"/>
      <c r="L6915" s="81"/>
      <c r="M6915" s="81"/>
      <c r="N6915" s="81"/>
    </row>
    <row r="6916" spans="1:14" ht="14.25" customHeight="1" x14ac:dyDescent="0.25">
      <c r="A6916" s="97" t="s">
        <v>563</v>
      </c>
      <c r="B6916" s="98" t="s">
        <v>564</v>
      </c>
      <c r="C6916" s="98" t="s">
        <v>565</v>
      </c>
      <c r="D6916" s="98" t="s">
        <v>566</v>
      </c>
      <c r="E6916" s="98" t="s">
        <v>567</v>
      </c>
      <c r="F6916" s="98" t="s">
        <v>568</v>
      </c>
      <c r="G6916" s="81"/>
      <c r="H6916" s="81"/>
      <c r="I6916" s="81"/>
      <c r="J6916" s="81"/>
      <c r="K6916" s="81"/>
      <c r="L6916" s="81"/>
      <c r="M6916" s="81"/>
      <c r="N6916" s="81"/>
    </row>
    <row r="6917" spans="1:14" ht="14.25" customHeight="1" x14ac:dyDescent="0.25">
      <c r="A6917" s="99" t="s">
        <v>788</v>
      </c>
      <c r="B6917" s="100" t="s">
        <v>99</v>
      </c>
      <c r="C6917" s="101">
        <v>5430900</v>
      </c>
      <c r="D6917" s="104">
        <v>1</v>
      </c>
      <c r="E6917" s="102"/>
      <c r="F6917" s="101">
        <f t="shared" ref="F6917:F6920" si="339">C6917*(D6917+(D6917*E6917))</f>
        <v>5430900</v>
      </c>
      <c r="G6917" s="81"/>
      <c r="H6917" s="81"/>
      <c r="I6917" s="81"/>
      <c r="J6917" s="81"/>
      <c r="K6917" s="81"/>
      <c r="L6917" s="81"/>
      <c r="M6917" s="81"/>
      <c r="N6917" s="81"/>
    </row>
    <row r="6918" spans="1:14" ht="14.25" customHeight="1" x14ac:dyDescent="0.25">
      <c r="A6918" s="99"/>
      <c r="B6918" s="100"/>
      <c r="C6918" s="101"/>
      <c r="D6918" s="149"/>
      <c r="E6918" s="102"/>
      <c r="F6918" s="101">
        <f t="shared" si="339"/>
        <v>0</v>
      </c>
      <c r="G6918" s="81"/>
      <c r="H6918" s="81"/>
      <c r="I6918" s="81"/>
      <c r="J6918" s="81"/>
      <c r="K6918" s="81"/>
      <c r="L6918" s="81"/>
      <c r="M6918" s="81"/>
      <c r="N6918" s="81"/>
    </row>
    <row r="6919" spans="1:14" ht="14.25" customHeight="1" x14ac:dyDescent="0.25">
      <c r="A6919" s="99"/>
      <c r="B6919" s="100"/>
      <c r="C6919" s="101"/>
      <c r="D6919" s="149"/>
      <c r="E6919" s="102"/>
      <c r="F6919" s="101">
        <f t="shared" si="339"/>
        <v>0</v>
      </c>
      <c r="G6919" s="81"/>
      <c r="H6919" s="81"/>
      <c r="I6919" s="81"/>
      <c r="J6919" s="81"/>
      <c r="K6919" s="81"/>
      <c r="L6919" s="81"/>
      <c r="M6919" s="81"/>
      <c r="N6919" s="81"/>
    </row>
    <row r="6920" spans="1:14" ht="14.25" customHeight="1" x14ac:dyDescent="0.25">
      <c r="A6920" s="99"/>
      <c r="B6920" s="100"/>
      <c r="C6920" s="101"/>
      <c r="D6920" s="149"/>
      <c r="E6920" s="102"/>
      <c r="F6920" s="101">
        <f t="shared" si="339"/>
        <v>0</v>
      </c>
      <c r="G6920" s="81"/>
      <c r="H6920" s="81"/>
      <c r="I6920" s="81"/>
      <c r="J6920" s="81"/>
      <c r="K6920" s="81"/>
      <c r="L6920" s="81"/>
      <c r="M6920" s="81"/>
      <c r="N6920" s="81"/>
    </row>
    <row r="6921" spans="1:14" ht="14.25" customHeight="1" x14ac:dyDescent="0.25">
      <c r="A6921" s="99"/>
      <c r="B6921" s="100"/>
      <c r="C6921" s="106"/>
      <c r="D6921" s="107"/>
      <c r="E6921" s="108"/>
      <c r="F6921" s="106"/>
      <c r="G6921" s="81"/>
      <c r="H6921" s="81"/>
      <c r="I6921" s="81"/>
      <c r="J6921" s="81"/>
      <c r="K6921" s="81"/>
      <c r="L6921" s="81"/>
      <c r="M6921" s="81"/>
      <c r="N6921" s="81"/>
    </row>
    <row r="6922" spans="1:14" ht="14.25" customHeight="1" x14ac:dyDescent="0.25">
      <c r="A6922" s="97" t="s">
        <v>548</v>
      </c>
      <c r="B6922" s="97"/>
      <c r="C6922" s="109"/>
      <c r="D6922" s="110"/>
      <c r="E6922" s="111"/>
      <c r="F6922" s="112">
        <f>SUM(F6917:F6921)</f>
        <v>5430900</v>
      </c>
      <c r="G6922" s="81"/>
      <c r="H6922" s="81"/>
      <c r="I6922" s="81"/>
      <c r="J6922" s="81"/>
      <c r="K6922" s="81"/>
      <c r="L6922" s="81"/>
      <c r="M6922" s="81"/>
      <c r="N6922" s="81"/>
    </row>
    <row r="6923" spans="1:14" ht="14.25" customHeight="1" x14ac:dyDescent="0.25">
      <c r="A6923" s="88"/>
      <c r="B6923" s="88"/>
      <c r="C6923" s="113"/>
      <c r="D6923" s="113"/>
      <c r="E6923" s="114"/>
      <c r="F6923" s="113"/>
      <c r="G6923" s="81"/>
      <c r="H6923" s="81"/>
      <c r="I6923" s="81"/>
      <c r="J6923" s="81"/>
      <c r="K6923" s="81"/>
      <c r="L6923" s="81"/>
      <c r="M6923" s="81"/>
      <c r="N6923" s="81"/>
    </row>
    <row r="6924" spans="1:14" ht="14.25" customHeight="1" x14ac:dyDescent="0.25">
      <c r="A6924" s="96" t="s">
        <v>573</v>
      </c>
      <c r="B6924" s="96"/>
      <c r="C6924" s="92"/>
      <c r="D6924" s="92"/>
      <c r="E6924" s="92"/>
      <c r="F6924" s="92"/>
      <c r="G6924" s="81"/>
      <c r="H6924" s="81"/>
      <c r="I6924" s="81"/>
      <c r="J6924" s="81"/>
      <c r="K6924" s="81"/>
      <c r="L6924" s="81"/>
      <c r="M6924" s="81"/>
      <c r="N6924" s="81"/>
    </row>
    <row r="6925" spans="1:14" ht="14.25" customHeight="1" x14ac:dyDescent="0.25">
      <c r="A6925" s="611" t="s">
        <v>563</v>
      </c>
      <c r="B6925" s="608"/>
      <c r="C6925" s="609"/>
      <c r="D6925" s="98" t="s">
        <v>574</v>
      </c>
      <c r="E6925" s="98" t="s">
        <v>575</v>
      </c>
      <c r="F6925" s="98" t="s">
        <v>568</v>
      </c>
      <c r="G6925" s="81"/>
      <c r="H6925" s="81"/>
      <c r="I6925" s="81"/>
      <c r="J6925" s="81"/>
      <c r="K6925" s="81"/>
      <c r="L6925" s="81"/>
      <c r="M6925" s="81"/>
      <c r="N6925" s="81"/>
    </row>
    <row r="6926" spans="1:14" ht="14.25" customHeight="1" x14ac:dyDescent="0.25">
      <c r="A6926" s="607" t="s">
        <v>577</v>
      </c>
      <c r="B6926" s="608"/>
      <c r="C6926" s="609"/>
      <c r="D6926" s="116"/>
      <c r="E6926" s="107"/>
      <c r="F6926" s="106">
        <f>+F6940*5%</f>
        <v>0</v>
      </c>
      <c r="G6926" s="81"/>
      <c r="H6926" s="81"/>
      <c r="I6926" s="81"/>
      <c r="J6926" s="81"/>
      <c r="K6926" s="81"/>
      <c r="L6926" s="81"/>
      <c r="M6926" s="81"/>
      <c r="N6926" s="81"/>
    </row>
    <row r="6927" spans="1:14" ht="14.25" customHeight="1" x14ac:dyDescent="0.25">
      <c r="A6927" s="607"/>
      <c r="B6927" s="608"/>
      <c r="C6927" s="609"/>
      <c r="D6927" s="142"/>
      <c r="E6927" s="105"/>
      <c r="F6927" s="106"/>
      <c r="G6927" s="81"/>
      <c r="H6927" s="81"/>
      <c r="I6927" s="81"/>
      <c r="J6927" s="81"/>
      <c r="K6927" s="81"/>
      <c r="L6927" s="81"/>
      <c r="M6927" s="81"/>
      <c r="N6927" s="81"/>
    </row>
    <row r="6928" spans="1:14" ht="14.25" customHeight="1" x14ac:dyDescent="0.25">
      <c r="A6928" s="607"/>
      <c r="B6928" s="608"/>
      <c r="C6928" s="609"/>
      <c r="D6928" s="142"/>
      <c r="E6928" s="105"/>
      <c r="F6928" s="106"/>
      <c r="G6928" s="81"/>
      <c r="H6928" s="81"/>
      <c r="I6928" s="81"/>
      <c r="J6928" s="81"/>
      <c r="K6928" s="81"/>
      <c r="L6928" s="81"/>
      <c r="M6928" s="81"/>
      <c r="N6928" s="81"/>
    </row>
    <row r="6929" spans="1:14" ht="14.25" customHeight="1" x14ac:dyDescent="0.25">
      <c r="A6929" s="607"/>
      <c r="B6929" s="608"/>
      <c r="C6929" s="609"/>
      <c r="D6929" s="142"/>
      <c r="E6929" s="105"/>
      <c r="F6929" s="106"/>
      <c r="G6929" s="81"/>
      <c r="H6929" s="81"/>
      <c r="I6929" s="81"/>
      <c r="J6929" s="81"/>
      <c r="K6929" s="81"/>
      <c r="L6929" s="81"/>
      <c r="M6929" s="81"/>
      <c r="N6929" s="81"/>
    </row>
    <row r="6930" spans="1:14" ht="14.25" customHeight="1" x14ac:dyDescent="0.25">
      <c r="A6930" s="152"/>
      <c r="B6930" s="153"/>
      <c r="C6930" s="154"/>
      <c r="D6930" s="142"/>
      <c r="E6930" s="107"/>
      <c r="F6930" s="106"/>
      <c r="G6930" s="81"/>
      <c r="H6930" s="81"/>
      <c r="I6930" s="81"/>
      <c r="J6930" s="81"/>
      <c r="K6930" s="81"/>
      <c r="L6930" s="81"/>
      <c r="M6930" s="81"/>
      <c r="N6930" s="81"/>
    </row>
    <row r="6931" spans="1:14" ht="14.25" customHeight="1" x14ac:dyDescent="0.25">
      <c r="A6931" s="610"/>
      <c r="B6931" s="608"/>
      <c r="C6931" s="609"/>
      <c r="D6931" s="115"/>
      <c r="E6931" s="107"/>
      <c r="F6931" s="106"/>
      <c r="G6931" s="81"/>
      <c r="H6931" s="81"/>
      <c r="I6931" s="81"/>
      <c r="J6931" s="81"/>
      <c r="K6931" s="81"/>
      <c r="L6931" s="81"/>
      <c r="M6931" s="81"/>
      <c r="N6931" s="81"/>
    </row>
    <row r="6932" spans="1:14" ht="14.25" customHeight="1" x14ac:dyDescent="0.25">
      <c r="A6932" s="611" t="s">
        <v>548</v>
      </c>
      <c r="B6932" s="608"/>
      <c r="C6932" s="609"/>
      <c r="D6932" s="110"/>
      <c r="E6932" s="110"/>
      <c r="F6932" s="112">
        <f>SUM(F6926:F6931)</f>
        <v>0</v>
      </c>
      <c r="G6932" s="81"/>
      <c r="H6932" s="81"/>
      <c r="I6932" s="81"/>
      <c r="J6932" s="81"/>
      <c r="K6932" s="81"/>
      <c r="L6932" s="81"/>
      <c r="M6932" s="81"/>
      <c r="N6932" s="81"/>
    </row>
    <row r="6933" spans="1:14" ht="14.25" customHeight="1" x14ac:dyDescent="0.25">
      <c r="A6933" s="88"/>
      <c r="B6933" s="88"/>
      <c r="C6933" s="89"/>
      <c r="D6933" s="113"/>
      <c r="E6933" s="113"/>
      <c r="F6933" s="113"/>
      <c r="G6933" s="81"/>
      <c r="H6933" s="81"/>
      <c r="I6933" s="81"/>
      <c r="J6933" s="81"/>
      <c r="K6933" s="81"/>
      <c r="L6933" s="81"/>
      <c r="M6933" s="81"/>
      <c r="N6933" s="81"/>
    </row>
    <row r="6934" spans="1:14" ht="14.25" customHeight="1" x14ac:dyDescent="0.25">
      <c r="A6934" s="96" t="s">
        <v>578</v>
      </c>
      <c r="B6934" s="96"/>
      <c r="C6934" s="92"/>
      <c r="D6934" s="118"/>
      <c r="E6934" s="118"/>
      <c r="F6934" s="118"/>
      <c r="G6934" s="81"/>
      <c r="H6934" s="81"/>
      <c r="I6934" s="81"/>
      <c r="J6934" s="81"/>
      <c r="K6934" s="81"/>
      <c r="L6934" s="81"/>
      <c r="M6934" s="81"/>
      <c r="N6934" s="81"/>
    </row>
    <row r="6935" spans="1:14" ht="14.25" customHeight="1" x14ac:dyDescent="0.25">
      <c r="A6935" s="119" t="s">
        <v>563</v>
      </c>
      <c r="B6935" s="120" t="s">
        <v>579</v>
      </c>
      <c r="C6935" s="120" t="s">
        <v>580</v>
      </c>
      <c r="D6935" s="121" t="s">
        <v>581</v>
      </c>
      <c r="E6935" s="121" t="s">
        <v>575</v>
      </c>
      <c r="F6935" s="121" t="s">
        <v>568</v>
      </c>
      <c r="G6935" s="81"/>
      <c r="H6935" s="81"/>
      <c r="I6935" s="81"/>
      <c r="J6935" s="81"/>
      <c r="K6935" s="81"/>
      <c r="L6935" s="81"/>
      <c r="M6935" s="81"/>
      <c r="N6935" s="81"/>
    </row>
    <row r="6936" spans="1:14" ht="14.25" customHeight="1" x14ac:dyDescent="0.25">
      <c r="A6936" s="122" t="s">
        <v>593</v>
      </c>
      <c r="B6936" s="127">
        <v>1</v>
      </c>
      <c r="C6936" s="101">
        <v>32688</v>
      </c>
      <c r="D6936" s="101">
        <f t="shared" ref="D6936:D6937" si="340">+C6936*1.7</f>
        <v>55569.599999999999</v>
      </c>
      <c r="E6936" s="105"/>
      <c r="F6936" s="106"/>
      <c r="G6936" s="81"/>
      <c r="H6936" s="81"/>
      <c r="I6936" s="81"/>
      <c r="J6936" s="81"/>
      <c r="K6936" s="81"/>
      <c r="L6936" s="81"/>
      <c r="M6936" s="81"/>
      <c r="N6936" s="81"/>
    </row>
    <row r="6937" spans="1:14" ht="14.25" customHeight="1" x14ac:dyDescent="0.25">
      <c r="A6937" s="122" t="s">
        <v>594</v>
      </c>
      <c r="B6937" s="127">
        <v>1</v>
      </c>
      <c r="C6937" s="101">
        <v>52538</v>
      </c>
      <c r="D6937" s="101">
        <f t="shared" si="340"/>
        <v>89314.599999999991</v>
      </c>
      <c r="E6937" s="105"/>
      <c r="F6937" s="106"/>
      <c r="G6937" s="81"/>
      <c r="H6937" s="81"/>
      <c r="I6937" s="81"/>
      <c r="J6937" s="81"/>
      <c r="K6937" s="81"/>
      <c r="L6937" s="81"/>
      <c r="M6937" s="81"/>
      <c r="N6937" s="81"/>
    </row>
    <row r="6938" spans="1:14" ht="14.25" customHeight="1" x14ac:dyDescent="0.25">
      <c r="A6938" s="122"/>
      <c r="B6938" s="127"/>
      <c r="C6938" s="101"/>
      <c r="D6938" s="101"/>
      <c r="E6938" s="107"/>
      <c r="F6938" s="106"/>
      <c r="G6938" s="81"/>
      <c r="H6938" s="81"/>
      <c r="I6938" s="81"/>
      <c r="J6938" s="81"/>
      <c r="K6938" s="81"/>
      <c r="L6938" s="81"/>
      <c r="M6938" s="81"/>
      <c r="N6938" s="81"/>
    </row>
    <row r="6939" spans="1:14" ht="14.25" customHeight="1" x14ac:dyDescent="0.25">
      <c r="A6939" s="122"/>
      <c r="B6939" s="127"/>
      <c r="C6939" s="101"/>
      <c r="D6939" s="101"/>
      <c r="E6939" s="125"/>
      <c r="F6939" s="106"/>
      <c r="G6939" s="81"/>
      <c r="H6939" s="81"/>
      <c r="I6939" s="81"/>
      <c r="J6939" s="81"/>
      <c r="K6939" s="81"/>
      <c r="L6939" s="81"/>
      <c r="M6939" s="81"/>
      <c r="N6939" s="81"/>
    </row>
    <row r="6940" spans="1:14" ht="14.25" customHeight="1" x14ac:dyDescent="0.25">
      <c r="A6940" s="97" t="s">
        <v>548</v>
      </c>
      <c r="B6940" s="128"/>
      <c r="C6940" s="110"/>
      <c r="D6940" s="110"/>
      <c r="E6940" s="110"/>
      <c r="F6940" s="112">
        <f>SUM(F6936:F6939)</f>
        <v>0</v>
      </c>
      <c r="G6940" s="81"/>
      <c r="H6940" s="81"/>
      <c r="I6940" s="81"/>
      <c r="J6940" s="81"/>
      <c r="K6940" s="81"/>
      <c r="L6940" s="81"/>
      <c r="M6940" s="81"/>
      <c r="N6940" s="81"/>
    </row>
    <row r="6941" spans="1:14" ht="14.25" customHeight="1" x14ac:dyDescent="0.25">
      <c r="A6941" s="96"/>
      <c r="B6941" s="129"/>
      <c r="C6941" s="118"/>
      <c r="D6941" s="118"/>
      <c r="E6941" s="118"/>
      <c r="F6941" s="118"/>
      <c r="G6941" s="81"/>
      <c r="H6941" s="81"/>
      <c r="I6941" s="81"/>
      <c r="J6941" s="81"/>
      <c r="K6941" s="81"/>
      <c r="L6941" s="81"/>
      <c r="M6941" s="81"/>
      <c r="N6941" s="81"/>
    </row>
    <row r="6942" spans="1:14" ht="14.25" customHeight="1" x14ac:dyDescent="0.25">
      <c r="A6942" s="95" t="s">
        <v>583</v>
      </c>
      <c r="B6942" s="96"/>
      <c r="C6942" s="92"/>
      <c r="D6942" s="92"/>
      <c r="E6942" s="92" t="s">
        <v>584</v>
      </c>
      <c r="F6942" s="92"/>
      <c r="G6942" s="81"/>
      <c r="H6942" s="81"/>
      <c r="I6942" s="81"/>
      <c r="J6942" s="81"/>
      <c r="K6942" s="81"/>
      <c r="L6942" s="81"/>
      <c r="M6942" s="81"/>
      <c r="N6942" s="81"/>
    </row>
    <row r="6943" spans="1:14" ht="14.25" customHeight="1" x14ac:dyDescent="0.25">
      <c r="A6943" s="97" t="s">
        <v>563</v>
      </c>
      <c r="B6943" s="98" t="s">
        <v>564</v>
      </c>
      <c r="C6943" s="98" t="s">
        <v>585</v>
      </c>
      <c r="D6943" s="98" t="s">
        <v>586</v>
      </c>
      <c r="E6943" s="120" t="s">
        <v>587</v>
      </c>
      <c r="F6943" s="98" t="s">
        <v>568</v>
      </c>
      <c r="G6943" s="81"/>
      <c r="H6943" s="81"/>
      <c r="I6943" s="81"/>
      <c r="J6943" s="81"/>
      <c r="K6943" s="81"/>
      <c r="L6943" s="81"/>
      <c r="M6943" s="81"/>
      <c r="N6943" s="81"/>
    </row>
    <row r="6944" spans="1:14" ht="14.25" customHeight="1" x14ac:dyDescent="0.25">
      <c r="A6944" s="103" t="s">
        <v>604</v>
      </c>
      <c r="B6944" s="100" t="s">
        <v>605</v>
      </c>
      <c r="C6944" s="101">
        <v>1000</v>
      </c>
      <c r="D6944" s="140">
        <v>55</v>
      </c>
      <c r="E6944" s="107">
        <v>8</v>
      </c>
      <c r="F6944" s="109">
        <f>+C6944*D6944*E6944</f>
        <v>440000</v>
      </c>
      <c r="G6944" s="81"/>
      <c r="H6944" s="81"/>
      <c r="I6944" s="81"/>
      <c r="J6944" s="81"/>
      <c r="K6944" s="81"/>
      <c r="L6944" s="81"/>
      <c r="M6944" s="81"/>
      <c r="N6944" s="81"/>
    </row>
    <row r="6945" spans="1:14" ht="14.25" customHeight="1" x14ac:dyDescent="0.25">
      <c r="A6945" s="103"/>
      <c r="B6945" s="100"/>
      <c r="C6945" s="107"/>
      <c r="D6945" s="107"/>
      <c r="E6945" s="108"/>
      <c r="F6945" s="109"/>
      <c r="G6945" s="81"/>
      <c r="H6945" s="81"/>
      <c r="I6945" s="81"/>
      <c r="J6945" s="81"/>
      <c r="K6945" s="81"/>
      <c r="L6945" s="81"/>
      <c r="M6945" s="81"/>
      <c r="N6945" s="81"/>
    </row>
    <row r="6946" spans="1:14" ht="14.25" customHeight="1" x14ac:dyDescent="0.25">
      <c r="A6946" s="97" t="s">
        <v>548</v>
      </c>
      <c r="B6946" s="98"/>
      <c r="C6946" s="110"/>
      <c r="D6946" s="110"/>
      <c r="E6946" s="111"/>
      <c r="F6946" s="112">
        <f>SUM(F6944:F6945)</f>
        <v>440000</v>
      </c>
      <c r="G6946" s="81"/>
      <c r="H6946" s="81"/>
      <c r="I6946" s="81"/>
      <c r="J6946" s="81"/>
      <c r="K6946" s="81"/>
      <c r="L6946" s="81"/>
      <c r="M6946" s="81"/>
      <c r="N6946" s="81"/>
    </row>
    <row r="6947" spans="1:14" ht="14.25" customHeight="1" x14ac:dyDescent="0.25">
      <c r="A6947" s="88"/>
      <c r="B6947" s="89"/>
      <c r="C6947" s="113"/>
      <c r="D6947" s="113"/>
      <c r="E6947" s="114"/>
      <c r="F6947" s="113"/>
      <c r="G6947" s="81"/>
      <c r="H6947" s="81"/>
      <c r="I6947" s="81"/>
      <c r="J6947" s="81"/>
      <c r="K6947" s="81"/>
      <c r="L6947" s="81"/>
      <c r="M6947" s="81"/>
      <c r="N6947" s="81"/>
    </row>
    <row r="6948" spans="1:14" ht="14.25" customHeight="1" x14ac:dyDescent="0.25">
      <c r="A6948" s="88"/>
      <c r="B6948" s="89"/>
      <c r="C6948" s="113"/>
      <c r="D6948" s="113"/>
      <c r="E6948" s="114"/>
      <c r="F6948" s="113"/>
      <c r="G6948" s="81"/>
      <c r="H6948" s="81"/>
      <c r="I6948" s="81"/>
      <c r="J6948" s="81"/>
      <c r="K6948" s="81"/>
      <c r="L6948" s="81"/>
      <c r="M6948" s="81"/>
      <c r="N6948" s="81"/>
    </row>
    <row r="6949" spans="1:14" ht="14.25" customHeight="1" x14ac:dyDescent="0.25">
      <c r="A6949" s="612" t="s">
        <v>588</v>
      </c>
      <c r="B6949" s="608"/>
      <c r="C6949" s="608"/>
      <c r="D6949" s="608"/>
      <c r="E6949" s="609"/>
      <c r="F6949" s="131">
        <f>ROUND(F6922+F6932+F6940+F6946,0)</f>
        <v>5870900</v>
      </c>
      <c r="G6949" s="81"/>
      <c r="H6949" s="81"/>
      <c r="I6949" s="81"/>
      <c r="J6949" s="81"/>
      <c r="K6949" s="81"/>
      <c r="L6949" s="81"/>
      <c r="M6949" s="81"/>
      <c r="N6949" s="81"/>
    </row>
    <row r="6950" spans="1:14" ht="14.25" customHeight="1" x14ac:dyDescent="0.25">
      <c r="A6950" s="612" t="s">
        <v>589</v>
      </c>
      <c r="B6950" s="608"/>
      <c r="C6950" s="608"/>
      <c r="D6950" s="608"/>
      <c r="E6950" s="609"/>
      <c r="F6950" s="132"/>
      <c r="G6950" s="81"/>
      <c r="H6950" s="81"/>
      <c r="I6950" s="81"/>
      <c r="J6950" s="81"/>
      <c r="K6950" s="81"/>
      <c r="L6950" s="81"/>
      <c r="M6950" s="81"/>
      <c r="N6950" s="81"/>
    </row>
    <row r="6951" spans="1:14" ht="14.25" customHeight="1" x14ac:dyDescent="0.25">
      <c r="A6951" s="612" t="s">
        <v>556</v>
      </c>
      <c r="B6951" s="608"/>
      <c r="C6951" s="608"/>
      <c r="D6951" s="608"/>
      <c r="E6951" s="609"/>
      <c r="F6951" s="133"/>
      <c r="G6951" s="81"/>
      <c r="H6951" s="81"/>
      <c r="I6951" s="81"/>
      <c r="J6951" s="81"/>
      <c r="K6951" s="81"/>
      <c r="L6951" s="81"/>
      <c r="M6951" s="81"/>
      <c r="N6951" s="81"/>
    </row>
    <row r="6952" spans="1:14" ht="14.25" customHeight="1" x14ac:dyDescent="0.25">
      <c r="A6952" s="134"/>
      <c r="B6952" s="135"/>
      <c r="C6952" s="135"/>
      <c r="D6952" s="135"/>
      <c r="E6952" s="135"/>
      <c r="F6952" s="136"/>
      <c r="G6952" s="81"/>
      <c r="H6952" s="81"/>
      <c r="I6952" s="81"/>
      <c r="J6952" s="81"/>
      <c r="K6952" s="81"/>
      <c r="L6952" s="81"/>
      <c r="M6952" s="81"/>
      <c r="N6952" s="81"/>
    </row>
    <row r="6953" spans="1:14" ht="14.25" customHeight="1" x14ac:dyDescent="0.25">
      <c r="A6953" s="134"/>
      <c r="B6953" s="135"/>
      <c r="C6953" s="135"/>
      <c r="D6953" s="135"/>
      <c r="E6953" s="135"/>
      <c r="F6953" s="136"/>
      <c r="G6953" s="81"/>
      <c r="H6953" s="81"/>
      <c r="I6953" s="81"/>
      <c r="J6953" s="81"/>
      <c r="K6953" s="81"/>
      <c r="L6953" s="81"/>
      <c r="M6953" s="81"/>
      <c r="N6953" s="81"/>
    </row>
    <row r="6954" spans="1:14" ht="14.25" customHeight="1" x14ac:dyDescent="0.25">
      <c r="A6954" s="134"/>
      <c r="B6954" s="135"/>
      <c r="C6954" s="135"/>
      <c r="D6954" s="135"/>
      <c r="E6954" s="135"/>
      <c r="F6954" s="136"/>
      <c r="G6954" s="81"/>
      <c r="H6954" s="81"/>
      <c r="I6954" s="81"/>
      <c r="J6954" s="81"/>
      <c r="K6954" s="81"/>
      <c r="L6954" s="81"/>
      <c r="M6954" s="81"/>
      <c r="N6954" s="81"/>
    </row>
    <row r="6955" spans="1:14" ht="14.25" customHeight="1" x14ac:dyDescent="0.25">
      <c r="A6955" s="134"/>
      <c r="B6955" s="135"/>
      <c r="C6955" s="135"/>
      <c r="D6955" s="135"/>
      <c r="E6955" s="135"/>
      <c r="F6955" s="136"/>
      <c r="G6955" s="81"/>
      <c r="H6955" s="81"/>
      <c r="I6955" s="81"/>
      <c r="J6955" s="81"/>
      <c r="K6955" s="81"/>
      <c r="L6955" s="81"/>
      <c r="M6955" s="81"/>
      <c r="N6955" s="81"/>
    </row>
    <row r="6956" spans="1:14" ht="14.25" customHeight="1" x14ac:dyDescent="0.25">
      <c r="A6956" s="81"/>
      <c r="B6956" s="81"/>
      <c r="C6956" s="137"/>
      <c r="D6956" s="81"/>
      <c r="E6956" s="81"/>
      <c r="F6956" s="81"/>
      <c r="G6956" s="81"/>
      <c r="H6956" s="81"/>
      <c r="I6956" s="81"/>
      <c r="J6956" s="81"/>
      <c r="K6956" s="81"/>
      <c r="L6956" s="81"/>
      <c r="M6956" s="81"/>
      <c r="N6956" s="81"/>
    </row>
    <row r="6957" spans="1:14" ht="14.25" customHeight="1" x14ac:dyDescent="0.25">
      <c r="A6957" s="81"/>
      <c r="B6957" s="81"/>
      <c r="C6957" s="137"/>
      <c r="D6957" s="81"/>
      <c r="E6957" s="81"/>
      <c r="F6957" s="81"/>
      <c r="G6957" s="81"/>
      <c r="H6957" s="81"/>
      <c r="I6957" s="81"/>
      <c r="J6957" s="81"/>
      <c r="K6957" s="81"/>
      <c r="L6957" s="81"/>
      <c r="M6957" s="81"/>
      <c r="N6957" s="81"/>
    </row>
    <row r="6958" spans="1:14" ht="14.25" customHeight="1" x14ac:dyDescent="0.25">
      <c r="A6958" s="81"/>
      <c r="B6958" s="81"/>
      <c r="C6958" s="137"/>
      <c r="D6958" s="81"/>
      <c r="E6958" s="81"/>
      <c r="F6958" s="81"/>
      <c r="G6958" s="81"/>
      <c r="H6958" s="81"/>
      <c r="I6958" s="81"/>
      <c r="J6958" s="81"/>
      <c r="K6958" s="81"/>
      <c r="L6958" s="81"/>
      <c r="M6958" s="81"/>
      <c r="N6958" s="81"/>
    </row>
    <row r="6959" spans="1:14" ht="14.25" customHeight="1" x14ac:dyDescent="0.25">
      <c r="A6959" s="81"/>
      <c r="B6959" s="81"/>
      <c r="C6959" s="137"/>
      <c r="D6959" s="81"/>
      <c r="E6959" s="81"/>
      <c r="F6959" s="81"/>
      <c r="G6959" s="81"/>
      <c r="H6959" s="81"/>
      <c r="I6959" s="81"/>
      <c r="J6959" s="81"/>
      <c r="K6959" s="81"/>
      <c r="L6959" s="81"/>
      <c r="M6959" s="81"/>
      <c r="N6959" s="81"/>
    </row>
    <row r="6960" spans="1:14" ht="14.25" customHeight="1" thickBot="1" x14ac:dyDescent="0.3">
      <c r="A6960" s="81"/>
      <c r="B6960" s="81"/>
      <c r="C6960" s="81"/>
      <c r="D6960" s="81"/>
      <c r="E6960" s="81"/>
      <c r="F6960" s="81"/>
      <c r="G6960" s="81"/>
      <c r="H6960" s="81"/>
      <c r="I6960" s="81"/>
      <c r="J6960" s="81"/>
      <c r="K6960" s="81"/>
      <c r="L6960" s="81"/>
      <c r="M6960" s="81"/>
      <c r="N6960" s="81"/>
    </row>
    <row r="6961" spans="1:14" ht="14.25" customHeight="1" x14ac:dyDescent="0.25">
      <c r="A6961" s="83"/>
      <c r="B6961" s="84"/>
      <c r="C6961" s="85"/>
      <c r="D6961" s="86"/>
      <c r="E6961" s="86"/>
      <c r="F6961" s="87"/>
      <c r="G6961" s="81"/>
      <c r="H6961" s="81"/>
      <c r="I6961" s="81"/>
      <c r="J6961" s="81"/>
      <c r="K6961" s="81"/>
      <c r="L6961" s="81"/>
      <c r="M6961" s="81"/>
      <c r="N6961" s="81"/>
    </row>
    <row r="6962" spans="1:14" ht="14.25" customHeight="1" x14ac:dyDescent="0.25">
      <c r="A6962" s="599"/>
      <c r="B6962" s="600"/>
      <c r="C6962" s="600"/>
      <c r="D6962" s="600"/>
      <c r="E6962" s="600"/>
      <c r="F6962" s="601"/>
      <c r="G6962" s="81"/>
      <c r="H6962" s="81"/>
      <c r="I6962" s="81"/>
      <c r="J6962" s="81"/>
      <c r="K6962" s="81"/>
      <c r="L6962" s="81"/>
      <c r="M6962" s="81"/>
      <c r="N6962" s="81"/>
    </row>
    <row r="6963" spans="1:14" ht="14.25" customHeight="1" x14ac:dyDescent="0.25">
      <c r="A6963" s="602" t="s">
        <v>561</v>
      </c>
      <c r="B6963" s="600"/>
      <c r="C6963" s="600"/>
      <c r="D6963" s="600"/>
      <c r="E6963" s="600"/>
      <c r="F6963" s="601"/>
      <c r="G6963" s="81"/>
      <c r="H6963" s="81"/>
      <c r="I6963" s="81"/>
      <c r="J6963" s="81"/>
      <c r="K6963" s="81"/>
      <c r="L6963" s="81"/>
      <c r="M6963" s="81"/>
      <c r="N6963" s="81"/>
    </row>
    <row r="6964" spans="1:14" ht="14.25" customHeight="1" thickBot="1" x14ac:dyDescent="0.3">
      <c r="A6964" s="603"/>
      <c r="B6964" s="604"/>
      <c r="C6964" s="604"/>
      <c r="D6964" s="604"/>
      <c r="E6964" s="604"/>
      <c r="F6964" s="605"/>
      <c r="G6964" s="81"/>
      <c r="H6964" s="81"/>
      <c r="I6964" s="81"/>
      <c r="J6964" s="81"/>
      <c r="K6964" s="81"/>
      <c r="L6964" s="81"/>
      <c r="M6964" s="81"/>
      <c r="N6964" s="81"/>
    </row>
    <row r="6965" spans="1:14" ht="14.25" customHeight="1" x14ac:dyDescent="0.25">
      <c r="A6965" s="88"/>
      <c r="B6965" s="88"/>
      <c r="C6965" s="89"/>
      <c r="D6965" s="89"/>
      <c r="E6965" s="89"/>
      <c r="F6965" s="89"/>
      <c r="G6965" s="81"/>
      <c r="H6965" s="81"/>
      <c r="I6965" s="81"/>
      <c r="J6965" s="81"/>
      <c r="K6965" s="81"/>
      <c r="L6965" s="81"/>
      <c r="M6965" s="81"/>
      <c r="N6965" s="81"/>
    </row>
    <row r="6966" spans="1:14" ht="14.25" customHeight="1" x14ac:dyDescent="0.25">
      <c r="A6966" s="90" t="s">
        <v>47</v>
      </c>
      <c r="B6966" s="613" t="s">
        <v>337</v>
      </c>
      <c r="C6966" s="600"/>
      <c r="D6966" s="600"/>
      <c r="E6966" s="600"/>
      <c r="F6966" s="600"/>
      <c r="G6966" s="81"/>
      <c r="H6966" s="81"/>
      <c r="I6966" s="81"/>
      <c r="J6966" s="81"/>
      <c r="K6966" s="81"/>
      <c r="L6966" s="81"/>
      <c r="M6966" s="81"/>
      <c r="N6966" s="81"/>
    </row>
    <row r="6967" spans="1:14" ht="14.25" customHeight="1" x14ac:dyDescent="0.25">
      <c r="A6967" s="91"/>
      <c r="B6967" s="91"/>
      <c r="C6967" s="91"/>
      <c r="D6967" s="91"/>
      <c r="E6967" s="91"/>
      <c r="F6967" s="91"/>
      <c r="G6967" s="81"/>
      <c r="H6967" s="81"/>
      <c r="I6967" s="81"/>
      <c r="J6967" s="81"/>
      <c r="K6967" s="81"/>
      <c r="L6967" s="81"/>
      <c r="M6967" s="81"/>
      <c r="N6967" s="81"/>
    </row>
    <row r="6968" spans="1:14" ht="14.25" customHeight="1" x14ac:dyDescent="0.25">
      <c r="A6968" s="88" t="s">
        <v>49</v>
      </c>
      <c r="B6968" s="92" t="s">
        <v>99</v>
      </c>
      <c r="C6968" s="89"/>
      <c r="D6968" s="89"/>
      <c r="E6968" s="89"/>
      <c r="F6968" s="93"/>
      <c r="G6968" s="81"/>
      <c r="H6968" s="81"/>
      <c r="I6968" s="81"/>
      <c r="J6968" s="81"/>
      <c r="K6968" s="81"/>
      <c r="L6968" s="81"/>
      <c r="M6968" s="81"/>
      <c r="N6968" s="81"/>
    </row>
    <row r="6969" spans="1:14" ht="14.25" customHeight="1" x14ac:dyDescent="0.25">
      <c r="A6969" s="88"/>
      <c r="B6969" s="94"/>
      <c r="C6969" s="89"/>
      <c r="D6969" s="89"/>
      <c r="E6969" s="89"/>
      <c r="F6969" s="93"/>
      <c r="G6969" s="81"/>
      <c r="H6969" s="81"/>
      <c r="I6969" s="81"/>
      <c r="J6969" s="81"/>
      <c r="K6969" s="81"/>
      <c r="L6969" s="81"/>
      <c r="M6969" s="81"/>
      <c r="N6969" s="81"/>
    </row>
    <row r="6970" spans="1:14" ht="14.25" customHeight="1" x14ac:dyDescent="0.25">
      <c r="A6970" s="95" t="s">
        <v>562</v>
      </c>
      <c r="B6970" s="96"/>
      <c r="C6970" s="92"/>
      <c r="D6970" s="92"/>
      <c r="E6970" s="92"/>
      <c r="F6970" s="92"/>
      <c r="G6970" s="81"/>
      <c r="H6970" s="81"/>
      <c r="I6970" s="81"/>
      <c r="J6970" s="81"/>
      <c r="K6970" s="81"/>
      <c r="L6970" s="81"/>
      <c r="M6970" s="81"/>
      <c r="N6970" s="81"/>
    </row>
    <row r="6971" spans="1:14" ht="14.25" customHeight="1" x14ac:dyDescent="0.25">
      <c r="A6971" s="97" t="s">
        <v>563</v>
      </c>
      <c r="B6971" s="98" t="s">
        <v>564</v>
      </c>
      <c r="C6971" s="98" t="s">
        <v>565</v>
      </c>
      <c r="D6971" s="98" t="s">
        <v>566</v>
      </c>
      <c r="E6971" s="98" t="s">
        <v>567</v>
      </c>
      <c r="F6971" s="98" t="s">
        <v>568</v>
      </c>
      <c r="G6971" s="81"/>
      <c r="H6971" s="81"/>
      <c r="I6971" s="81"/>
      <c r="J6971" s="81"/>
      <c r="K6971" s="81"/>
      <c r="L6971" s="81"/>
      <c r="M6971" s="81"/>
      <c r="N6971" s="81"/>
    </row>
    <row r="6972" spans="1:14" ht="14.25" customHeight="1" x14ac:dyDescent="0.25">
      <c r="A6972" s="99" t="s">
        <v>789</v>
      </c>
      <c r="B6972" s="100" t="s">
        <v>99</v>
      </c>
      <c r="C6972" s="101">
        <v>335410</v>
      </c>
      <c r="D6972" s="149">
        <v>1</v>
      </c>
      <c r="E6972" s="102"/>
      <c r="F6972" s="101">
        <f t="shared" ref="F6972:F6976" si="341">C6972*(D6972+(D6972*E6972))</f>
        <v>335410</v>
      </c>
      <c r="G6972" s="81"/>
      <c r="H6972" s="81"/>
      <c r="I6972" s="81"/>
      <c r="J6972" s="81"/>
      <c r="K6972" s="81"/>
      <c r="L6972" s="81"/>
      <c r="M6972" s="81"/>
      <c r="N6972" s="81"/>
    </row>
    <row r="6973" spans="1:14" ht="14.25" customHeight="1" x14ac:dyDescent="0.25">
      <c r="A6973" s="99" t="s">
        <v>790</v>
      </c>
      <c r="B6973" s="100" t="s">
        <v>99</v>
      </c>
      <c r="C6973" s="101">
        <v>165730</v>
      </c>
      <c r="D6973" s="149">
        <v>1</v>
      </c>
      <c r="E6973" s="102"/>
      <c r="F6973" s="101">
        <f t="shared" si="341"/>
        <v>165730</v>
      </c>
      <c r="G6973" s="81"/>
      <c r="H6973" s="81"/>
      <c r="I6973" s="81"/>
      <c r="J6973" s="81"/>
      <c r="K6973" s="81"/>
      <c r="L6973" s="81"/>
      <c r="M6973" s="81"/>
      <c r="N6973" s="81"/>
    </row>
    <row r="6974" spans="1:14" ht="14.25" customHeight="1" x14ac:dyDescent="0.25">
      <c r="A6974" s="99" t="s">
        <v>767</v>
      </c>
      <c r="B6974" s="100" t="s">
        <v>99</v>
      </c>
      <c r="C6974" s="101">
        <v>10950</v>
      </c>
      <c r="D6974" s="149">
        <v>4</v>
      </c>
      <c r="E6974" s="102"/>
      <c r="F6974" s="101">
        <f t="shared" si="341"/>
        <v>43800</v>
      </c>
      <c r="G6974" s="81"/>
      <c r="H6974" s="81"/>
      <c r="I6974" s="81"/>
      <c r="J6974" s="81"/>
      <c r="K6974" s="81"/>
      <c r="L6974" s="81"/>
      <c r="M6974" s="81"/>
      <c r="N6974" s="81"/>
    </row>
    <row r="6975" spans="1:14" ht="14.25" customHeight="1" x14ac:dyDescent="0.25">
      <c r="A6975" s="99" t="s">
        <v>768</v>
      </c>
      <c r="B6975" s="100" t="s">
        <v>99</v>
      </c>
      <c r="C6975" s="101">
        <v>47500</v>
      </c>
      <c r="D6975" s="149">
        <v>1</v>
      </c>
      <c r="E6975" s="102"/>
      <c r="F6975" s="101">
        <f t="shared" si="341"/>
        <v>47500</v>
      </c>
      <c r="G6975" s="81"/>
      <c r="H6975" s="81"/>
      <c r="I6975" s="81"/>
      <c r="J6975" s="81"/>
      <c r="K6975" s="81"/>
      <c r="L6975" s="81"/>
      <c r="M6975" s="81"/>
      <c r="N6975" s="81"/>
    </row>
    <row r="6976" spans="1:14" ht="14.25" customHeight="1" x14ac:dyDescent="0.25">
      <c r="A6976" s="99" t="s">
        <v>769</v>
      </c>
      <c r="B6976" s="100" t="s">
        <v>99</v>
      </c>
      <c r="C6976" s="101">
        <v>1150</v>
      </c>
      <c r="D6976" s="104">
        <v>10</v>
      </c>
      <c r="E6976" s="102">
        <v>0.05</v>
      </c>
      <c r="F6976" s="101">
        <f t="shared" si="341"/>
        <v>12075</v>
      </c>
      <c r="G6976" s="81"/>
      <c r="H6976" s="81"/>
      <c r="I6976" s="81"/>
      <c r="J6976" s="81"/>
      <c r="K6976" s="81"/>
      <c r="L6976" s="81"/>
      <c r="M6976" s="81"/>
      <c r="N6976" s="81"/>
    </row>
    <row r="6977" spans="1:14" ht="14.25" customHeight="1" x14ac:dyDescent="0.25">
      <c r="A6977" s="99"/>
      <c r="B6977" s="100"/>
      <c r="C6977" s="106"/>
      <c r="D6977" s="107"/>
      <c r="E6977" s="108"/>
      <c r="F6977" s="106"/>
      <c r="G6977" s="81"/>
      <c r="H6977" s="81"/>
      <c r="I6977" s="81"/>
      <c r="J6977" s="81"/>
      <c r="K6977" s="81"/>
      <c r="L6977" s="81"/>
      <c r="M6977" s="81"/>
      <c r="N6977" s="81"/>
    </row>
    <row r="6978" spans="1:14" ht="14.25" customHeight="1" x14ac:dyDescent="0.25">
      <c r="A6978" s="97" t="s">
        <v>548</v>
      </c>
      <c r="B6978" s="97"/>
      <c r="C6978" s="109"/>
      <c r="D6978" s="110"/>
      <c r="E6978" s="111"/>
      <c r="F6978" s="112">
        <f>SUM(F6972:F6977)</f>
        <v>604515</v>
      </c>
      <c r="G6978" s="81"/>
      <c r="H6978" s="81"/>
      <c r="I6978" s="81"/>
      <c r="J6978" s="81"/>
      <c r="K6978" s="81"/>
      <c r="L6978" s="81"/>
      <c r="M6978" s="81"/>
      <c r="N6978" s="81"/>
    </row>
    <row r="6979" spans="1:14" ht="14.25" customHeight="1" x14ac:dyDescent="0.25">
      <c r="A6979" s="88"/>
      <c r="B6979" s="88"/>
      <c r="C6979" s="113"/>
      <c r="D6979" s="113"/>
      <c r="E6979" s="114"/>
      <c r="F6979" s="113"/>
      <c r="G6979" s="81"/>
      <c r="H6979" s="81"/>
      <c r="I6979" s="81"/>
      <c r="J6979" s="81"/>
      <c r="K6979" s="81"/>
      <c r="L6979" s="81"/>
      <c r="M6979" s="81"/>
      <c r="N6979" s="81"/>
    </row>
    <row r="6980" spans="1:14" ht="14.25" customHeight="1" x14ac:dyDescent="0.25">
      <c r="A6980" s="96" t="s">
        <v>573</v>
      </c>
      <c r="B6980" s="96"/>
      <c r="C6980" s="92"/>
      <c r="D6980" s="92"/>
      <c r="E6980" s="92"/>
      <c r="F6980" s="92"/>
      <c r="G6980" s="81"/>
      <c r="H6980" s="81"/>
      <c r="I6980" s="81"/>
      <c r="J6980" s="81"/>
      <c r="K6980" s="81"/>
      <c r="L6980" s="81"/>
      <c r="M6980" s="81"/>
      <c r="N6980" s="81"/>
    </row>
    <row r="6981" spans="1:14" ht="14.25" customHeight="1" x14ac:dyDescent="0.25">
      <c r="A6981" s="611" t="s">
        <v>563</v>
      </c>
      <c r="B6981" s="608"/>
      <c r="C6981" s="609"/>
      <c r="D6981" s="98" t="s">
        <v>574</v>
      </c>
      <c r="E6981" s="98" t="s">
        <v>575</v>
      </c>
      <c r="F6981" s="98" t="s">
        <v>568</v>
      </c>
      <c r="G6981" s="81"/>
      <c r="H6981" s="81"/>
      <c r="I6981" s="81"/>
      <c r="J6981" s="81"/>
      <c r="K6981" s="81"/>
      <c r="L6981" s="81"/>
      <c r="M6981" s="81"/>
      <c r="N6981" s="81"/>
    </row>
    <row r="6982" spans="1:14" ht="14.25" customHeight="1" x14ac:dyDescent="0.25">
      <c r="A6982" s="607" t="s">
        <v>577</v>
      </c>
      <c r="B6982" s="608"/>
      <c r="C6982" s="609"/>
      <c r="D6982" s="116"/>
      <c r="E6982" s="107"/>
      <c r="F6982" s="106">
        <f>+F6997*5%</f>
        <v>7758.1236251791161</v>
      </c>
      <c r="G6982" s="81"/>
      <c r="H6982" s="81"/>
      <c r="I6982" s="81"/>
      <c r="J6982" s="81"/>
      <c r="K6982" s="81"/>
      <c r="L6982" s="81"/>
      <c r="M6982" s="81"/>
      <c r="N6982" s="81"/>
    </row>
    <row r="6983" spans="1:14" ht="14.25" customHeight="1" x14ac:dyDescent="0.25">
      <c r="A6983" s="607"/>
      <c r="B6983" s="608"/>
      <c r="C6983" s="609"/>
      <c r="D6983" s="142"/>
      <c r="E6983" s="107"/>
      <c r="F6983" s="106"/>
      <c r="G6983" s="81"/>
      <c r="H6983" s="81"/>
      <c r="I6983" s="81"/>
      <c r="J6983" s="81"/>
      <c r="K6983" s="81"/>
      <c r="L6983" s="81"/>
      <c r="M6983" s="81"/>
      <c r="N6983" s="81"/>
    </row>
    <row r="6984" spans="1:14" ht="14.25" customHeight="1" x14ac:dyDescent="0.25">
      <c r="A6984" s="607"/>
      <c r="B6984" s="608"/>
      <c r="C6984" s="609"/>
      <c r="D6984" s="142"/>
      <c r="E6984" s="107"/>
      <c r="F6984" s="106"/>
      <c r="G6984" s="81"/>
      <c r="H6984" s="81"/>
      <c r="I6984" s="81"/>
      <c r="J6984" s="81"/>
      <c r="K6984" s="81"/>
      <c r="L6984" s="81"/>
      <c r="M6984" s="81"/>
      <c r="N6984" s="81"/>
    </row>
    <row r="6985" spans="1:14" ht="14.25" customHeight="1" x14ac:dyDescent="0.25">
      <c r="A6985" s="607"/>
      <c r="B6985" s="608"/>
      <c r="C6985" s="609"/>
      <c r="D6985" s="142"/>
      <c r="E6985" s="107"/>
      <c r="F6985" s="106"/>
      <c r="G6985" s="81"/>
      <c r="H6985" s="81"/>
      <c r="I6985" s="81"/>
      <c r="J6985" s="81"/>
      <c r="K6985" s="81"/>
      <c r="L6985" s="81"/>
      <c r="M6985" s="81"/>
      <c r="N6985" s="81"/>
    </row>
    <row r="6986" spans="1:14" ht="14.25" customHeight="1" x14ac:dyDescent="0.25">
      <c r="A6986" s="607"/>
      <c r="B6986" s="608"/>
      <c r="C6986" s="609"/>
      <c r="D6986" s="142"/>
      <c r="E6986" s="107"/>
      <c r="F6986" s="106"/>
      <c r="G6986" s="81"/>
      <c r="H6986" s="81"/>
      <c r="I6986" s="81"/>
      <c r="J6986" s="81"/>
      <c r="K6986" s="81"/>
      <c r="L6986" s="81"/>
      <c r="M6986" s="81"/>
      <c r="N6986" s="81"/>
    </row>
    <row r="6987" spans="1:14" ht="14.25" customHeight="1" x14ac:dyDescent="0.25">
      <c r="A6987" s="607"/>
      <c r="B6987" s="608"/>
      <c r="C6987" s="609"/>
      <c r="D6987" s="142"/>
      <c r="E6987" s="105"/>
      <c r="F6987" s="106"/>
      <c r="G6987" s="81"/>
      <c r="H6987" s="81"/>
      <c r="I6987" s="81"/>
      <c r="J6987" s="81"/>
      <c r="K6987" s="81"/>
      <c r="L6987" s="81"/>
      <c r="M6987" s="81"/>
      <c r="N6987" s="81"/>
    </row>
    <row r="6988" spans="1:14" ht="14.25" customHeight="1" x14ac:dyDescent="0.25">
      <c r="A6988" s="610"/>
      <c r="B6988" s="608"/>
      <c r="C6988" s="609"/>
      <c r="D6988" s="115"/>
      <c r="E6988" s="107"/>
      <c r="F6988" s="106"/>
      <c r="G6988" s="81"/>
      <c r="H6988" s="81"/>
      <c r="I6988" s="81"/>
      <c r="J6988" s="81"/>
      <c r="K6988" s="81"/>
      <c r="L6988" s="81"/>
      <c r="M6988" s="81"/>
      <c r="N6988" s="81"/>
    </row>
    <row r="6989" spans="1:14" ht="14.25" customHeight="1" x14ac:dyDescent="0.25">
      <c r="A6989" s="611" t="s">
        <v>548</v>
      </c>
      <c r="B6989" s="608"/>
      <c r="C6989" s="609"/>
      <c r="D6989" s="110"/>
      <c r="E6989" s="110"/>
      <c r="F6989" s="112">
        <f>SUM(F6982:F6988)</f>
        <v>7758.1236251791161</v>
      </c>
      <c r="G6989" s="81"/>
      <c r="H6989" s="117"/>
      <c r="I6989" s="81"/>
      <c r="J6989" s="81"/>
      <c r="K6989" s="81"/>
      <c r="L6989" s="81"/>
      <c r="M6989" s="81"/>
      <c r="N6989" s="81"/>
    </row>
    <row r="6990" spans="1:14" ht="14.25" customHeight="1" x14ac:dyDescent="0.25">
      <c r="A6990" s="88"/>
      <c r="B6990" s="88"/>
      <c r="C6990" s="89"/>
      <c r="D6990" s="113"/>
      <c r="E6990" s="113"/>
      <c r="F6990" s="113"/>
      <c r="G6990" s="81"/>
      <c r="H6990" s="81"/>
      <c r="I6990" s="81"/>
      <c r="J6990" s="81"/>
      <c r="K6990" s="81"/>
      <c r="L6990" s="81"/>
      <c r="M6990" s="81"/>
      <c r="N6990" s="81"/>
    </row>
    <row r="6991" spans="1:14" ht="14.25" customHeight="1" x14ac:dyDescent="0.25">
      <c r="A6991" s="96" t="s">
        <v>578</v>
      </c>
      <c r="B6991" s="96"/>
      <c r="C6991" s="92"/>
      <c r="D6991" s="118"/>
      <c r="E6991" s="118"/>
      <c r="F6991" s="118"/>
      <c r="G6991" s="81"/>
      <c r="H6991" s="81"/>
      <c r="I6991" s="81"/>
      <c r="J6991" s="81"/>
      <c r="K6991" s="81"/>
      <c r="L6991" s="81"/>
      <c r="M6991" s="81"/>
      <c r="N6991" s="81"/>
    </row>
    <row r="6992" spans="1:14" ht="14.25" customHeight="1" x14ac:dyDescent="0.25">
      <c r="A6992" s="119" t="s">
        <v>563</v>
      </c>
      <c r="B6992" s="120" t="s">
        <v>579</v>
      </c>
      <c r="C6992" s="120" t="s">
        <v>580</v>
      </c>
      <c r="D6992" s="121" t="s">
        <v>581</v>
      </c>
      <c r="E6992" s="121" t="s">
        <v>575</v>
      </c>
      <c r="F6992" s="121" t="s">
        <v>568</v>
      </c>
      <c r="G6992" s="81"/>
      <c r="H6992" s="81"/>
      <c r="I6992" s="81"/>
      <c r="J6992" s="81"/>
      <c r="K6992" s="81"/>
      <c r="L6992" s="81"/>
      <c r="M6992" s="81"/>
      <c r="N6992" s="81"/>
    </row>
    <row r="6993" spans="1:14" ht="14.25" customHeight="1" x14ac:dyDescent="0.25">
      <c r="A6993" s="122" t="s">
        <v>593</v>
      </c>
      <c r="B6993" s="127">
        <v>1</v>
      </c>
      <c r="C6993" s="101">
        <v>32688</v>
      </c>
      <c r="D6993" s="101">
        <f t="shared" ref="D6993:D6994" si="342">+C6993*1.7</f>
        <v>55569.599999999999</v>
      </c>
      <c r="E6993" s="107">
        <v>0.93375799999999998</v>
      </c>
      <c r="F6993" s="106">
        <f t="shared" ref="F6993:F6994" si="343">+B6993*(D6993)/E6993</f>
        <v>59511.779283283249</v>
      </c>
      <c r="G6993" s="81"/>
      <c r="H6993" s="81"/>
      <c r="I6993" s="81"/>
      <c r="J6993" s="81"/>
      <c r="K6993" s="81"/>
      <c r="L6993" s="81"/>
      <c r="M6993" s="81"/>
      <c r="N6993" s="81"/>
    </row>
    <row r="6994" spans="1:14" ht="14.25" customHeight="1" x14ac:dyDescent="0.25">
      <c r="A6994" s="122" t="s">
        <v>594</v>
      </c>
      <c r="B6994" s="127">
        <v>1</v>
      </c>
      <c r="C6994" s="101">
        <v>52538</v>
      </c>
      <c r="D6994" s="101">
        <f t="shared" si="342"/>
        <v>89314.599999999991</v>
      </c>
      <c r="E6994" s="107">
        <f>E6993</f>
        <v>0.93375799999999998</v>
      </c>
      <c r="F6994" s="106">
        <f t="shared" si="343"/>
        <v>95650.693220299043</v>
      </c>
      <c r="G6994" s="81"/>
      <c r="H6994" s="81"/>
      <c r="I6994" s="81"/>
      <c r="J6994" s="81"/>
      <c r="K6994" s="81"/>
      <c r="L6994" s="81"/>
      <c r="M6994" s="81"/>
      <c r="N6994" s="81"/>
    </row>
    <row r="6995" spans="1:14" ht="14.25" customHeight="1" x14ac:dyDescent="0.25">
      <c r="A6995" s="122"/>
      <c r="B6995" s="127"/>
      <c r="C6995" s="101"/>
      <c r="D6995" s="101"/>
      <c r="E6995" s="107"/>
      <c r="F6995" s="106"/>
      <c r="G6995" s="81"/>
      <c r="H6995" s="81"/>
      <c r="I6995" s="81"/>
      <c r="J6995" s="81"/>
      <c r="K6995" s="81"/>
      <c r="L6995" s="81"/>
      <c r="M6995" s="81"/>
      <c r="N6995" s="81"/>
    </row>
    <row r="6996" spans="1:14" ht="14.25" customHeight="1" x14ac:dyDescent="0.25">
      <c r="A6996" s="122"/>
      <c r="B6996" s="127"/>
      <c r="C6996" s="101"/>
      <c r="D6996" s="101"/>
      <c r="E6996" s="125"/>
      <c r="F6996" s="106"/>
      <c r="G6996" s="81"/>
      <c r="H6996" s="81"/>
      <c r="I6996" s="81"/>
      <c r="J6996" s="81"/>
      <c r="K6996" s="81"/>
      <c r="L6996" s="81"/>
      <c r="M6996" s="81"/>
      <c r="N6996" s="81"/>
    </row>
    <row r="6997" spans="1:14" ht="14.25" customHeight="1" x14ac:dyDescent="0.25">
      <c r="A6997" s="97" t="s">
        <v>548</v>
      </c>
      <c r="B6997" s="128"/>
      <c r="C6997" s="110"/>
      <c r="D6997" s="110"/>
      <c r="E6997" s="110"/>
      <c r="F6997" s="112">
        <f>SUM(F6993:F6996)</f>
        <v>155162.47250358231</v>
      </c>
      <c r="G6997" s="81"/>
      <c r="H6997" s="81"/>
      <c r="I6997" s="81"/>
      <c r="J6997" s="81"/>
      <c r="K6997" s="81"/>
      <c r="L6997" s="81"/>
      <c r="M6997" s="81"/>
      <c r="N6997" s="81"/>
    </row>
    <row r="6998" spans="1:14" ht="14.25" customHeight="1" x14ac:dyDescent="0.25">
      <c r="A6998" s="96"/>
      <c r="B6998" s="129"/>
      <c r="C6998" s="118"/>
      <c r="D6998" s="118"/>
      <c r="E6998" s="118"/>
      <c r="F6998" s="118"/>
      <c r="G6998" s="81"/>
      <c r="H6998" s="81"/>
      <c r="I6998" s="81"/>
      <c r="J6998" s="81"/>
      <c r="K6998" s="81"/>
      <c r="L6998" s="81"/>
      <c r="M6998" s="81"/>
      <c r="N6998" s="81"/>
    </row>
    <row r="6999" spans="1:14" ht="14.25" customHeight="1" x14ac:dyDescent="0.25">
      <c r="A6999" s="95" t="s">
        <v>583</v>
      </c>
      <c r="B6999" s="96"/>
      <c r="C6999" s="92"/>
      <c r="D6999" s="92"/>
      <c r="E6999" s="92" t="s">
        <v>584</v>
      </c>
      <c r="F6999" s="92"/>
      <c r="G6999" s="81"/>
      <c r="H6999" s="81"/>
      <c r="I6999" s="81"/>
      <c r="J6999" s="81"/>
      <c r="K6999" s="81"/>
      <c r="L6999" s="81"/>
      <c r="M6999" s="81"/>
      <c r="N6999" s="81"/>
    </row>
    <row r="7000" spans="1:14" ht="14.25" customHeight="1" x14ac:dyDescent="0.25">
      <c r="A7000" s="97" t="s">
        <v>563</v>
      </c>
      <c r="B7000" s="98" t="s">
        <v>564</v>
      </c>
      <c r="C7000" s="98" t="s">
        <v>585</v>
      </c>
      <c r="D7000" s="98" t="s">
        <v>586</v>
      </c>
      <c r="E7000" s="120" t="s">
        <v>587</v>
      </c>
      <c r="F7000" s="98" t="s">
        <v>568</v>
      </c>
      <c r="G7000" s="81"/>
      <c r="H7000" s="81"/>
      <c r="I7000" s="81"/>
      <c r="J7000" s="81"/>
      <c r="K7000" s="81"/>
      <c r="L7000" s="81"/>
      <c r="M7000" s="81"/>
      <c r="N7000" s="81"/>
    </row>
    <row r="7001" spans="1:14" ht="14.25" customHeight="1" x14ac:dyDescent="0.25">
      <c r="A7001" s="103"/>
      <c r="B7001" s="100"/>
      <c r="C7001" s="101"/>
      <c r="D7001" s="140"/>
      <c r="E7001" s="107"/>
      <c r="F7001" s="109"/>
      <c r="G7001" s="81"/>
      <c r="H7001" s="81"/>
      <c r="I7001" s="81"/>
      <c r="J7001" s="81"/>
      <c r="K7001" s="81"/>
      <c r="L7001" s="81"/>
      <c r="M7001" s="81"/>
      <c r="N7001" s="81"/>
    </row>
    <row r="7002" spans="1:14" ht="14.25" customHeight="1" x14ac:dyDescent="0.25">
      <c r="A7002" s="103"/>
      <c r="B7002" s="100"/>
      <c r="C7002" s="107"/>
      <c r="D7002" s="107"/>
      <c r="E7002" s="108"/>
      <c r="F7002" s="109"/>
      <c r="G7002" s="81"/>
      <c r="H7002" s="81"/>
      <c r="I7002" s="81"/>
      <c r="J7002" s="81"/>
      <c r="K7002" s="81"/>
      <c r="L7002" s="81"/>
      <c r="M7002" s="81"/>
      <c r="N7002" s="81"/>
    </row>
    <row r="7003" spans="1:14" ht="14.25" customHeight="1" x14ac:dyDescent="0.25">
      <c r="A7003" s="97" t="s">
        <v>548</v>
      </c>
      <c r="B7003" s="98"/>
      <c r="C7003" s="110"/>
      <c r="D7003" s="110"/>
      <c r="E7003" s="111"/>
      <c r="F7003" s="112">
        <f>SUM(F7001:F7002)</f>
        <v>0</v>
      </c>
      <c r="G7003" s="81"/>
      <c r="H7003" s="81"/>
      <c r="I7003" s="81"/>
      <c r="J7003" s="81"/>
      <c r="K7003" s="81"/>
      <c r="L7003" s="81"/>
      <c r="M7003" s="81"/>
      <c r="N7003" s="81"/>
    </row>
    <row r="7004" spans="1:14" ht="14.25" customHeight="1" x14ac:dyDescent="0.25">
      <c r="A7004" s="88"/>
      <c r="B7004" s="89"/>
      <c r="C7004" s="113"/>
      <c r="D7004" s="113"/>
      <c r="E7004" s="114"/>
      <c r="F7004" s="113"/>
      <c r="G7004" s="81"/>
      <c r="H7004" s="81"/>
      <c r="I7004" s="81"/>
      <c r="J7004" s="81"/>
      <c r="K7004" s="81"/>
      <c r="L7004" s="81"/>
      <c r="M7004" s="81"/>
      <c r="N7004" s="81"/>
    </row>
    <row r="7005" spans="1:14" ht="14.25" customHeight="1" x14ac:dyDescent="0.25">
      <c r="A7005" s="88"/>
      <c r="B7005" s="89"/>
      <c r="C7005" s="113"/>
      <c r="D7005" s="113"/>
      <c r="E7005" s="114"/>
      <c r="F7005" s="113"/>
      <c r="G7005" s="81"/>
      <c r="H7005" s="81"/>
      <c r="I7005" s="81"/>
      <c r="J7005" s="81"/>
      <c r="K7005" s="81"/>
      <c r="L7005" s="81"/>
      <c r="M7005" s="81"/>
      <c r="N7005" s="81"/>
    </row>
    <row r="7006" spans="1:14" ht="14.25" customHeight="1" x14ac:dyDescent="0.25">
      <c r="A7006" s="612" t="s">
        <v>588</v>
      </c>
      <c r="B7006" s="608"/>
      <c r="C7006" s="608"/>
      <c r="D7006" s="608"/>
      <c r="E7006" s="609"/>
      <c r="F7006" s="131">
        <f>ROUND(F6978+F6989+F6997+F7003,0)</f>
        <v>767436</v>
      </c>
      <c r="G7006" s="81"/>
      <c r="H7006" s="81"/>
      <c r="I7006" s="81"/>
      <c r="J7006" s="81"/>
      <c r="K7006" s="81"/>
      <c r="L7006" s="81"/>
      <c r="M7006" s="81"/>
      <c r="N7006" s="81"/>
    </row>
    <row r="7007" spans="1:14" ht="14.25" customHeight="1" x14ac:dyDescent="0.25">
      <c r="A7007" s="612" t="s">
        <v>589</v>
      </c>
      <c r="B7007" s="608"/>
      <c r="C7007" s="608"/>
      <c r="D7007" s="608"/>
      <c r="E7007" s="609"/>
      <c r="F7007" s="132"/>
      <c r="G7007" s="81"/>
      <c r="H7007" s="81"/>
      <c r="I7007" s="81"/>
      <c r="J7007" s="81"/>
      <c r="K7007" s="81"/>
      <c r="L7007" s="81"/>
      <c r="M7007" s="81"/>
      <c r="N7007" s="81"/>
    </row>
    <row r="7008" spans="1:14" ht="14.25" customHeight="1" x14ac:dyDescent="0.25">
      <c r="A7008" s="612" t="s">
        <v>556</v>
      </c>
      <c r="B7008" s="608"/>
      <c r="C7008" s="608"/>
      <c r="D7008" s="608"/>
      <c r="E7008" s="609"/>
      <c r="F7008" s="133"/>
      <c r="G7008" s="81"/>
      <c r="H7008" s="81"/>
      <c r="I7008" s="81"/>
      <c r="J7008" s="81"/>
      <c r="K7008" s="81"/>
      <c r="L7008" s="81"/>
      <c r="M7008" s="81"/>
      <c r="N7008" s="81"/>
    </row>
    <row r="7009" spans="1:14" ht="14.25" customHeight="1" x14ac:dyDescent="0.25">
      <c r="A7009" s="134"/>
      <c r="B7009" s="135"/>
      <c r="C7009" s="135"/>
      <c r="D7009" s="135"/>
      <c r="E7009" s="135"/>
      <c r="F7009" s="136"/>
      <c r="G7009" s="81"/>
      <c r="H7009" s="81"/>
      <c r="I7009" s="81"/>
      <c r="J7009" s="81"/>
      <c r="K7009" s="81"/>
      <c r="L7009" s="81"/>
      <c r="M7009" s="81"/>
      <c r="N7009" s="81"/>
    </row>
    <row r="7010" spans="1:14" ht="14.25" customHeight="1" x14ac:dyDescent="0.25">
      <c r="A7010" s="134"/>
      <c r="B7010" s="135"/>
      <c r="C7010" s="135"/>
      <c r="D7010" s="135"/>
      <c r="E7010" s="135"/>
      <c r="F7010" s="136"/>
      <c r="G7010" s="81"/>
      <c r="H7010" s="81"/>
      <c r="I7010" s="81"/>
      <c r="J7010" s="81"/>
      <c r="K7010" s="81"/>
      <c r="L7010" s="81"/>
      <c r="M7010" s="81"/>
      <c r="N7010" s="81"/>
    </row>
    <row r="7011" spans="1:14" ht="14.25" customHeight="1" x14ac:dyDescent="0.25">
      <c r="A7011" s="134"/>
      <c r="B7011" s="135"/>
      <c r="C7011" s="135"/>
      <c r="D7011" s="135"/>
      <c r="E7011" s="135"/>
      <c r="F7011" s="136"/>
      <c r="G7011" s="81"/>
      <c r="H7011" s="81"/>
      <c r="I7011" s="81"/>
      <c r="J7011" s="81"/>
      <c r="K7011" s="81"/>
      <c r="L7011" s="81"/>
      <c r="M7011" s="81"/>
      <c r="N7011" s="81"/>
    </row>
    <row r="7012" spans="1:14" ht="14.25" customHeight="1" x14ac:dyDescent="0.25">
      <c r="A7012" s="134"/>
      <c r="B7012" s="135"/>
      <c r="C7012" s="135"/>
      <c r="D7012" s="135"/>
      <c r="E7012" s="135"/>
      <c r="F7012" s="136"/>
      <c r="G7012" s="81"/>
      <c r="H7012" s="81"/>
      <c r="I7012" s="81"/>
      <c r="J7012" s="81"/>
      <c r="K7012" s="81"/>
      <c r="L7012" s="81"/>
      <c r="M7012" s="81"/>
      <c r="N7012" s="81"/>
    </row>
    <row r="7013" spans="1:14" ht="14.25" customHeight="1" x14ac:dyDescent="0.25">
      <c r="A7013" s="81"/>
      <c r="B7013" s="81"/>
      <c r="C7013" s="137"/>
      <c r="D7013" s="81"/>
      <c r="E7013" s="81"/>
      <c r="F7013" s="81"/>
      <c r="G7013" s="81"/>
      <c r="H7013" s="81"/>
      <c r="I7013" s="81"/>
      <c r="J7013" s="81"/>
      <c r="K7013" s="81"/>
      <c r="L7013" s="81"/>
      <c r="M7013" s="81"/>
      <c r="N7013" s="81"/>
    </row>
    <row r="7014" spans="1:14" ht="14.25" customHeight="1" x14ac:dyDescent="0.25">
      <c r="A7014" s="81"/>
      <c r="B7014" s="81"/>
      <c r="C7014" s="137"/>
      <c r="D7014" s="81"/>
      <c r="E7014" s="81"/>
      <c r="F7014" s="81"/>
      <c r="G7014" s="81"/>
      <c r="H7014" s="81"/>
      <c r="I7014" s="81"/>
      <c r="J7014" s="81"/>
      <c r="K7014" s="81"/>
      <c r="L7014" s="81"/>
      <c r="M7014" s="81"/>
      <c r="N7014" s="81"/>
    </row>
    <row r="7015" spans="1:14" ht="14.25" customHeight="1" x14ac:dyDescent="0.25">
      <c r="A7015" s="81"/>
      <c r="B7015" s="81"/>
      <c r="C7015" s="137"/>
      <c r="D7015" s="81"/>
      <c r="E7015" s="81"/>
      <c r="F7015" s="81"/>
      <c r="G7015" s="81"/>
      <c r="H7015" s="81"/>
      <c r="I7015" s="81"/>
      <c r="J7015" s="81"/>
      <c r="K7015" s="81"/>
      <c r="L7015" s="81"/>
      <c r="M7015" s="81"/>
      <c r="N7015" s="81"/>
    </row>
    <row r="7016" spans="1:14" ht="14.25" customHeight="1" x14ac:dyDescent="0.25">
      <c r="A7016" s="81"/>
      <c r="B7016" s="81"/>
      <c r="C7016" s="137"/>
      <c r="D7016" s="81"/>
      <c r="E7016" s="81"/>
      <c r="F7016" s="81"/>
      <c r="G7016" s="81"/>
      <c r="H7016" s="81"/>
      <c r="I7016" s="81"/>
      <c r="J7016" s="81"/>
      <c r="K7016" s="81"/>
      <c r="L7016" s="81"/>
      <c r="M7016" s="81"/>
      <c r="N7016" s="81"/>
    </row>
    <row r="7017" spans="1:14" ht="14.25" customHeight="1" thickBot="1" x14ac:dyDescent="0.3">
      <c r="A7017" s="81"/>
      <c r="B7017" s="81"/>
      <c r="C7017" s="81"/>
      <c r="D7017" s="81"/>
      <c r="E7017" s="81"/>
      <c r="F7017" s="81"/>
      <c r="G7017" s="81"/>
      <c r="H7017" s="81"/>
      <c r="I7017" s="81"/>
      <c r="J7017" s="81"/>
      <c r="K7017" s="81"/>
      <c r="L7017" s="81"/>
      <c r="M7017" s="81"/>
      <c r="N7017" s="81"/>
    </row>
    <row r="7018" spans="1:14" ht="14.25" customHeight="1" x14ac:dyDescent="0.25">
      <c r="A7018" s="83"/>
      <c r="B7018" s="84"/>
      <c r="C7018" s="85"/>
      <c r="D7018" s="86"/>
      <c r="E7018" s="86"/>
      <c r="F7018" s="87"/>
      <c r="G7018" s="81"/>
      <c r="H7018" s="81"/>
      <c r="I7018" s="81"/>
      <c r="J7018" s="81"/>
      <c r="K7018" s="81"/>
      <c r="L7018" s="81"/>
      <c r="M7018" s="81"/>
      <c r="N7018" s="81"/>
    </row>
    <row r="7019" spans="1:14" ht="14.25" customHeight="1" x14ac:dyDescent="0.25">
      <c r="A7019" s="599"/>
      <c r="B7019" s="600"/>
      <c r="C7019" s="600"/>
      <c r="D7019" s="600"/>
      <c r="E7019" s="600"/>
      <c r="F7019" s="601"/>
      <c r="G7019" s="81"/>
      <c r="H7019" s="81"/>
      <c r="I7019" s="81"/>
      <c r="J7019" s="81"/>
      <c r="K7019" s="81"/>
      <c r="L7019" s="81"/>
      <c r="M7019" s="81"/>
      <c r="N7019" s="81"/>
    </row>
    <row r="7020" spans="1:14" ht="14.25" customHeight="1" x14ac:dyDescent="0.25">
      <c r="A7020" s="602" t="s">
        <v>561</v>
      </c>
      <c r="B7020" s="600"/>
      <c r="C7020" s="600"/>
      <c r="D7020" s="600"/>
      <c r="E7020" s="600"/>
      <c r="F7020" s="601"/>
      <c r="G7020" s="81"/>
      <c r="H7020" s="81"/>
      <c r="I7020" s="81"/>
      <c r="J7020" s="81"/>
      <c r="K7020" s="81"/>
      <c r="L7020" s="81"/>
      <c r="M7020" s="81"/>
      <c r="N7020" s="81"/>
    </row>
    <row r="7021" spans="1:14" ht="14.25" customHeight="1" thickBot="1" x14ac:dyDescent="0.3">
      <c r="A7021" s="603"/>
      <c r="B7021" s="604"/>
      <c r="C7021" s="604"/>
      <c r="D7021" s="604"/>
      <c r="E7021" s="604"/>
      <c r="F7021" s="605"/>
      <c r="G7021" s="81"/>
      <c r="H7021" s="81"/>
      <c r="I7021" s="81"/>
      <c r="J7021" s="81"/>
      <c r="K7021" s="81"/>
      <c r="L7021" s="81"/>
      <c r="M7021" s="81"/>
      <c r="N7021" s="81"/>
    </row>
    <row r="7022" spans="1:14" ht="14.25" customHeight="1" x14ac:dyDescent="0.25">
      <c r="A7022" s="88"/>
      <c r="B7022" s="88"/>
      <c r="C7022" s="89"/>
      <c r="D7022" s="89"/>
      <c r="E7022" s="89"/>
      <c r="F7022" s="89"/>
      <c r="G7022" s="81"/>
      <c r="H7022" s="81"/>
      <c r="I7022" s="81"/>
      <c r="J7022" s="81"/>
      <c r="K7022" s="81"/>
      <c r="L7022" s="81"/>
      <c r="M7022" s="81"/>
      <c r="N7022" s="81"/>
    </row>
    <row r="7023" spans="1:14" ht="14.25" customHeight="1" x14ac:dyDescent="0.25">
      <c r="A7023" s="90" t="s">
        <v>47</v>
      </c>
      <c r="B7023" s="613" t="s">
        <v>339</v>
      </c>
      <c r="C7023" s="600"/>
      <c r="D7023" s="600"/>
      <c r="E7023" s="600"/>
      <c r="F7023" s="600"/>
      <c r="G7023" s="81"/>
      <c r="H7023" s="81"/>
      <c r="I7023" s="81"/>
      <c r="J7023" s="81"/>
      <c r="K7023" s="81"/>
      <c r="L7023" s="81"/>
      <c r="M7023" s="81"/>
      <c r="N7023" s="81"/>
    </row>
    <row r="7024" spans="1:14" ht="14.25" customHeight="1" x14ac:dyDescent="0.25">
      <c r="A7024" s="91"/>
      <c r="B7024" s="91"/>
      <c r="C7024" s="91"/>
      <c r="D7024" s="91"/>
      <c r="E7024" s="91"/>
      <c r="F7024" s="91"/>
      <c r="G7024" s="81"/>
      <c r="H7024" s="81"/>
      <c r="I7024" s="81"/>
      <c r="J7024" s="81"/>
      <c r="K7024" s="81"/>
      <c r="L7024" s="81"/>
      <c r="M7024" s="81"/>
      <c r="N7024" s="81"/>
    </row>
    <row r="7025" spans="1:14" ht="14.25" customHeight="1" x14ac:dyDescent="0.25">
      <c r="A7025" s="88" t="s">
        <v>49</v>
      </c>
      <c r="B7025" s="92" t="s">
        <v>56</v>
      </c>
      <c r="C7025" s="89"/>
      <c r="D7025" s="89"/>
      <c r="E7025" s="89"/>
      <c r="F7025" s="93"/>
      <c r="G7025" s="81"/>
      <c r="H7025" s="81"/>
      <c r="I7025" s="81"/>
      <c r="J7025" s="81"/>
      <c r="K7025" s="81"/>
      <c r="L7025" s="81"/>
      <c r="M7025" s="81"/>
      <c r="N7025" s="81"/>
    </row>
    <row r="7026" spans="1:14" ht="14.25" customHeight="1" x14ac:dyDescent="0.25">
      <c r="A7026" s="88"/>
      <c r="B7026" s="94"/>
      <c r="C7026" s="89"/>
      <c r="D7026" s="89"/>
      <c r="E7026" s="89"/>
      <c r="F7026" s="93"/>
      <c r="G7026" s="81"/>
      <c r="H7026" s="81"/>
      <c r="I7026" s="81"/>
      <c r="J7026" s="81"/>
      <c r="K7026" s="81"/>
      <c r="L7026" s="81"/>
      <c r="M7026" s="81"/>
      <c r="N7026" s="81"/>
    </row>
    <row r="7027" spans="1:14" ht="14.25" customHeight="1" x14ac:dyDescent="0.25">
      <c r="A7027" s="95" t="s">
        <v>562</v>
      </c>
      <c r="B7027" s="96"/>
      <c r="C7027" s="92"/>
      <c r="D7027" s="92"/>
      <c r="E7027" s="92"/>
      <c r="F7027" s="92"/>
      <c r="G7027" s="81"/>
      <c r="H7027" s="81"/>
      <c r="I7027" s="81"/>
      <c r="J7027" s="81"/>
      <c r="K7027" s="81"/>
      <c r="L7027" s="81"/>
      <c r="M7027" s="81"/>
      <c r="N7027" s="81"/>
    </row>
    <row r="7028" spans="1:14" ht="14.25" customHeight="1" x14ac:dyDescent="0.25">
      <c r="A7028" s="97" t="s">
        <v>563</v>
      </c>
      <c r="B7028" s="98" t="s">
        <v>564</v>
      </c>
      <c r="C7028" s="98" t="s">
        <v>565</v>
      </c>
      <c r="D7028" s="98" t="s">
        <v>566</v>
      </c>
      <c r="E7028" s="98" t="s">
        <v>567</v>
      </c>
      <c r="F7028" s="98" t="s">
        <v>568</v>
      </c>
      <c r="G7028" s="81"/>
      <c r="H7028" s="81"/>
      <c r="I7028" s="81"/>
      <c r="J7028" s="81"/>
      <c r="K7028" s="81"/>
      <c r="L7028" s="81"/>
      <c r="M7028" s="81"/>
      <c r="N7028" s="81"/>
    </row>
    <row r="7029" spans="1:14" ht="14.25" customHeight="1" x14ac:dyDescent="0.25">
      <c r="A7029" s="99" t="s">
        <v>791</v>
      </c>
      <c r="B7029" s="100" t="s">
        <v>56</v>
      </c>
      <c r="C7029" s="101">
        <v>494350</v>
      </c>
      <c r="D7029" s="149">
        <v>1</v>
      </c>
      <c r="E7029" s="102"/>
      <c r="F7029" s="101">
        <f t="shared" ref="F7029:F7030" si="344">C7029*(D7029+(D7029*E7029))</f>
        <v>494350</v>
      </c>
      <c r="G7029" s="81"/>
      <c r="H7029" s="81"/>
      <c r="I7029" s="81"/>
      <c r="J7029" s="81"/>
      <c r="K7029" s="81"/>
      <c r="L7029" s="81"/>
      <c r="M7029" s="81"/>
      <c r="N7029" s="81"/>
    </row>
    <row r="7030" spans="1:14" ht="14.25" customHeight="1" x14ac:dyDescent="0.25">
      <c r="A7030" s="99" t="s">
        <v>769</v>
      </c>
      <c r="B7030" s="100" t="s">
        <v>99</v>
      </c>
      <c r="C7030" s="101">
        <v>1150</v>
      </c>
      <c r="D7030" s="104">
        <v>8</v>
      </c>
      <c r="E7030" s="102">
        <v>0.05</v>
      </c>
      <c r="F7030" s="101">
        <f t="shared" si="344"/>
        <v>9660</v>
      </c>
      <c r="G7030" s="81"/>
      <c r="H7030" s="81"/>
      <c r="I7030" s="81"/>
      <c r="J7030" s="81"/>
      <c r="K7030" s="81"/>
      <c r="L7030" s="81"/>
      <c r="M7030" s="81"/>
      <c r="N7030" s="81"/>
    </row>
    <row r="7031" spans="1:14" ht="14.25" customHeight="1" x14ac:dyDescent="0.25">
      <c r="A7031" s="99"/>
      <c r="B7031" s="100"/>
      <c r="C7031" s="106"/>
      <c r="D7031" s="107"/>
      <c r="E7031" s="108"/>
      <c r="F7031" s="106"/>
      <c r="G7031" s="81"/>
      <c r="H7031" s="81"/>
      <c r="I7031" s="81"/>
      <c r="J7031" s="81"/>
      <c r="K7031" s="81"/>
      <c r="L7031" s="81"/>
      <c r="M7031" s="81"/>
      <c r="N7031" s="81"/>
    </row>
    <row r="7032" spans="1:14" ht="15.75" x14ac:dyDescent="0.25">
      <c r="A7032" s="97" t="s">
        <v>548</v>
      </c>
      <c r="B7032" s="97"/>
      <c r="C7032" s="109"/>
      <c r="D7032" s="110"/>
      <c r="E7032" s="111"/>
      <c r="F7032" s="112">
        <f>SUM(F7029:F7031)</f>
        <v>504010</v>
      </c>
      <c r="G7032" s="81"/>
      <c r="H7032" s="81"/>
      <c r="I7032" s="81"/>
      <c r="J7032" s="81"/>
      <c r="K7032" s="81"/>
      <c r="L7032" s="81"/>
      <c r="M7032" s="81"/>
      <c r="N7032" s="81"/>
    </row>
    <row r="7033" spans="1:14" ht="14.25" customHeight="1" x14ac:dyDescent="0.25">
      <c r="A7033" s="88"/>
      <c r="B7033" s="88"/>
      <c r="C7033" s="113"/>
      <c r="D7033" s="113"/>
      <c r="E7033" s="114"/>
      <c r="F7033" s="113"/>
      <c r="G7033" s="81"/>
      <c r="H7033" s="81"/>
      <c r="I7033" s="81"/>
      <c r="J7033" s="81"/>
      <c r="K7033" s="81"/>
      <c r="L7033" s="81"/>
      <c r="M7033" s="81"/>
      <c r="N7033" s="81"/>
    </row>
    <row r="7034" spans="1:14" ht="14.25" customHeight="1" x14ac:dyDescent="0.25">
      <c r="A7034" s="96" t="s">
        <v>573</v>
      </c>
      <c r="B7034" s="96"/>
      <c r="C7034" s="92"/>
      <c r="D7034" s="92"/>
      <c r="E7034" s="92"/>
      <c r="F7034" s="92"/>
      <c r="G7034" s="81"/>
      <c r="H7034" s="81"/>
      <c r="I7034" s="81"/>
      <c r="J7034" s="81"/>
      <c r="K7034" s="81"/>
      <c r="L7034" s="81"/>
      <c r="M7034" s="81"/>
      <c r="N7034" s="81"/>
    </row>
    <row r="7035" spans="1:14" ht="14.25" customHeight="1" x14ac:dyDescent="0.25">
      <c r="A7035" s="611" t="s">
        <v>563</v>
      </c>
      <c r="B7035" s="608"/>
      <c r="C7035" s="609"/>
      <c r="D7035" s="98" t="s">
        <v>574</v>
      </c>
      <c r="E7035" s="98" t="s">
        <v>575</v>
      </c>
      <c r="F7035" s="98" t="s">
        <v>568</v>
      </c>
      <c r="G7035" s="81"/>
      <c r="H7035" s="81"/>
      <c r="I7035" s="81"/>
      <c r="J7035" s="81"/>
      <c r="K7035" s="81"/>
      <c r="L7035" s="81"/>
      <c r="M7035" s="81"/>
      <c r="N7035" s="81"/>
    </row>
    <row r="7036" spans="1:14" ht="14.25" customHeight="1" x14ac:dyDescent="0.25">
      <c r="A7036" s="607" t="s">
        <v>577</v>
      </c>
      <c r="B7036" s="608"/>
      <c r="C7036" s="609"/>
      <c r="D7036" s="116"/>
      <c r="E7036" s="107"/>
      <c r="F7036" s="106">
        <f>+F7051*5%</f>
        <v>1832.863576561077</v>
      </c>
      <c r="G7036" s="81"/>
      <c r="H7036" s="81"/>
      <c r="I7036" s="81"/>
      <c r="J7036" s="81"/>
      <c r="K7036" s="81"/>
      <c r="L7036" s="81"/>
      <c r="M7036" s="81"/>
      <c r="N7036" s="81"/>
    </row>
    <row r="7037" spans="1:14" ht="14.25" customHeight="1" x14ac:dyDescent="0.25">
      <c r="A7037" s="607"/>
      <c r="B7037" s="608"/>
      <c r="C7037" s="609"/>
      <c r="D7037" s="142"/>
      <c r="E7037" s="107"/>
      <c r="F7037" s="106"/>
      <c r="G7037" s="81"/>
      <c r="H7037" s="81"/>
      <c r="I7037" s="81"/>
      <c r="J7037" s="81"/>
      <c r="K7037" s="81"/>
      <c r="L7037" s="81"/>
      <c r="M7037" s="81"/>
      <c r="N7037" s="81"/>
    </row>
    <row r="7038" spans="1:14" ht="14.25" customHeight="1" x14ac:dyDescent="0.25">
      <c r="A7038" s="607"/>
      <c r="B7038" s="608"/>
      <c r="C7038" s="609"/>
      <c r="D7038" s="142"/>
      <c r="E7038" s="107"/>
      <c r="F7038" s="106"/>
      <c r="G7038" s="81"/>
      <c r="H7038" s="81"/>
      <c r="I7038" s="81"/>
      <c r="J7038" s="81"/>
      <c r="K7038" s="81"/>
      <c r="L7038" s="81"/>
      <c r="M7038" s="81"/>
      <c r="N7038" s="81"/>
    </row>
    <row r="7039" spans="1:14" ht="14.25" customHeight="1" x14ac:dyDescent="0.25">
      <c r="A7039" s="607"/>
      <c r="B7039" s="608"/>
      <c r="C7039" s="609"/>
      <c r="D7039" s="142"/>
      <c r="E7039" s="107"/>
      <c r="F7039" s="106"/>
      <c r="G7039" s="81"/>
      <c r="H7039" s="81"/>
      <c r="I7039" s="81"/>
      <c r="J7039" s="81"/>
      <c r="K7039" s="81"/>
      <c r="L7039" s="81"/>
      <c r="M7039" s="81"/>
      <c r="N7039" s="81"/>
    </row>
    <row r="7040" spans="1:14" ht="14.25" customHeight="1" x14ac:dyDescent="0.25">
      <c r="A7040" s="607"/>
      <c r="B7040" s="608"/>
      <c r="C7040" s="609"/>
      <c r="D7040" s="142"/>
      <c r="E7040" s="107"/>
      <c r="F7040" s="106"/>
      <c r="G7040" s="81"/>
      <c r="H7040" s="81"/>
      <c r="I7040" s="81"/>
      <c r="J7040" s="81"/>
      <c r="K7040" s="81"/>
      <c r="L7040" s="81"/>
      <c r="M7040" s="81"/>
      <c r="N7040" s="81"/>
    </row>
    <row r="7041" spans="1:14" ht="14.25" customHeight="1" x14ac:dyDescent="0.25">
      <c r="A7041" s="607"/>
      <c r="B7041" s="608"/>
      <c r="C7041" s="609"/>
      <c r="D7041" s="142"/>
      <c r="E7041" s="105"/>
      <c r="F7041" s="106"/>
      <c r="G7041" s="81"/>
      <c r="H7041" s="81"/>
      <c r="I7041" s="81"/>
      <c r="J7041" s="81"/>
      <c r="K7041" s="81"/>
      <c r="L7041" s="81"/>
      <c r="M7041" s="81"/>
      <c r="N7041" s="81"/>
    </row>
    <row r="7042" spans="1:14" ht="14.25" customHeight="1" x14ac:dyDescent="0.25">
      <c r="A7042" s="610"/>
      <c r="B7042" s="608"/>
      <c r="C7042" s="609"/>
      <c r="D7042" s="115"/>
      <c r="E7042" s="107"/>
      <c r="F7042" s="106"/>
      <c r="G7042" s="81"/>
      <c r="H7042" s="81"/>
      <c r="I7042" s="81"/>
      <c r="J7042" s="81"/>
      <c r="K7042" s="81"/>
      <c r="L7042" s="81"/>
      <c r="M7042" s="81"/>
      <c r="N7042" s="81"/>
    </row>
    <row r="7043" spans="1:14" ht="14.25" customHeight="1" x14ac:dyDescent="0.25">
      <c r="A7043" s="611" t="s">
        <v>548</v>
      </c>
      <c r="B7043" s="608"/>
      <c r="C7043" s="609"/>
      <c r="D7043" s="110"/>
      <c r="E7043" s="110"/>
      <c r="F7043" s="112">
        <f>SUM(F7036:F7042)</f>
        <v>1832.863576561077</v>
      </c>
      <c r="G7043" s="81"/>
      <c r="H7043" s="81"/>
      <c r="I7043" s="81"/>
      <c r="J7043" s="81"/>
      <c r="K7043" s="81"/>
      <c r="L7043" s="81"/>
      <c r="M7043" s="81"/>
      <c r="N7043" s="81"/>
    </row>
    <row r="7044" spans="1:14" ht="14.25" customHeight="1" x14ac:dyDescent="0.25">
      <c r="A7044" s="88"/>
      <c r="B7044" s="88"/>
      <c r="C7044" s="89"/>
      <c r="D7044" s="113"/>
      <c r="E7044" s="113"/>
      <c r="F7044" s="113"/>
      <c r="G7044" s="81"/>
      <c r="H7044" s="81"/>
      <c r="I7044" s="81"/>
      <c r="J7044" s="81"/>
      <c r="K7044" s="81"/>
      <c r="L7044" s="81"/>
      <c r="M7044" s="81"/>
      <c r="N7044" s="81"/>
    </row>
    <row r="7045" spans="1:14" ht="14.25" customHeight="1" x14ac:dyDescent="0.25">
      <c r="A7045" s="96" t="s">
        <v>578</v>
      </c>
      <c r="B7045" s="96"/>
      <c r="C7045" s="92"/>
      <c r="D7045" s="118"/>
      <c r="E7045" s="118"/>
      <c r="F7045" s="118"/>
      <c r="G7045" s="81"/>
      <c r="H7045" s="81"/>
      <c r="I7045" s="81"/>
      <c r="J7045" s="81"/>
      <c r="K7045" s="81"/>
      <c r="L7045" s="81"/>
      <c r="M7045" s="81"/>
      <c r="N7045" s="81"/>
    </row>
    <row r="7046" spans="1:14" ht="14.25" customHeight="1" x14ac:dyDescent="0.25">
      <c r="A7046" s="119" t="s">
        <v>563</v>
      </c>
      <c r="B7046" s="120" t="s">
        <v>579</v>
      </c>
      <c r="C7046" s="120" t="s">
        <v>580</v>
      </c>
      <c r="D7046" s="121" t="s">
        <v>581</v>
      </c>
      <c r="E7046" s="121" t="s">
        <v>575</v>
      </c>
      <c r="F7046" s="121" t="s">
        <v>568</v>
      </c>
      <c r="G7046" s="81"/>
      <c r="H7046" s="117"/>
      <c r="I7046" s="81"/>
      <c r="J7046" s="81"/>
      <c r="K7046" s="81"/>
      <c r="L7046" s="81"/>
      <c r="M7046" s="81"/>
      <c r="N7046" s="81"/>
    </row>
    <row r="7047" spans="1:14" ht="14.25" customHeight="1" x14ac:dyDescent="0.25">
      <c r="A7047" s="122" t="s">
        <v>593</v>
      </c>
      <c r="B7047" s="127">
        <v>1</v>
      </c>
      <c r="C7047" s="101">
        <v>32688</v>
      </c>
      <c r="D7047" s="101">
        <f t="shared" ref="D7047:D7048" si="345">+C7047*1.7</f>
        <v>55569.599999999999</v>
      </c>
      <c r="E7047" s="107">
        <v>3.9523999999999999</v>
      </c>
      <c r="F7047" s="106">
        <f t="shared" ref="F7047:F7048" si="346">+B7047*(D7047)/E7047</f>
        <v>14059.71055561178</v>
      </c>
      <c r="G7047" s="81"/>
      <c r="H7047" s="81"/>
      <c r="I7047" s="81"/>
      <c r="J7047" s="81"/>
      <c r="K7047" s="81"/>
      <c r="L7047" s="81"/>
      <c r="M7047" s="81"/>
      <c r="N7047" s="81"/>
    </row>
    <row r="7048" spans="1:14" ht="14.25" customHeight="1" x14ac:dyDescent="0.25">
      <c r="A7048" s="122" t="s">
        <v>594</v>
      </c>
      <c r="B7048" s="127">
        <v>1</v>
      </c>
      <c r="C7048" s="101">
        <v>52538</v>
      </c>
      <c r="D7048" s="101">
        <f t="shared" si="345"/>
        <v>89314.599999999991</v>
      </c>
      <c r="E7048" s="107">
        <f>E7047</f>
        <v>3.9523999999999999</v>
      </c>
      <c r="F7048" s="106">
        <f t="shared" si="346"/>
        <v>22597.560975609755</v>
      </c>
      <c r="G7048" s="81"/>
      <c r="H7048" s="81"/>
      <c r="I7048" s="81"/>
      <c r="J7048" s="81"/>
      <c r="K7048" s="81"/>
      <c r="L7048" s="81"/>
      <c r="M7048" s="81"/>
      <c r="N7048" s="81"/>
    </row>
    <row r="7049" spans="1:14" ht="14.25" customHeight="1" x14ac:dyDescent="0.25">
      <c r="A7049" s="122"/>
      <c r="B7049" s="127"/>
      <c r="C7049" s="101"/>
      <c r="D7049" s="101"/>
      <c r="E7049" s="107"/>
      <c r="F7049" s="106"/>
      <c r="G7049" s="81"/>
      <c r="H7049" s="81"/>
      <c r="I7049" s="81"/>
      <c r="J7049" s="81"/>
      <c r="K7049" s="81"/>
      <c r="L7049" s="81"/>
      <c r="M7049" s="81"/>
      <c r="N7049" s="81"/>
    </row>
    <row r="7050" spans="1:14" ht="14.25" customHeight="1" x14ac:dyDescent="0.25">
      <c r="A7050" s="122"/>
      <c r="B7050" s="127"/>
      <c r="C7050" s="101"/>
      <c r="D7050" s="101"/>
      <c r="E7050" s="125"/>
      <c r="F7050" s="106"/>
      <c r="G7050" s="81"/>
      <c r="H7050" s="81"/>
      <c r="I7050" s="81"/>
      <c r="J7050" s="81"/>
      <c r="K7050" s="81"/>
      <c r="L7050" s="81"/>
      <c r="M7050" s="81"/>
      <c r="N7050" s="81"/>
    </row>
    <row r="7051" spans="1:14" ht="14.25" customHeight="1" x14ac:dyDescent="0.25">
      <c r="A7051" s="97" t="s">
        <v>548</v>
      </c>
      <c r="B7051" s="128"/>
      <c r="C7051" s="110"/>
      <c r="D7051" s="110"/>
      <c r="E7051" s="110"/>
      <c r="F7051" s="112">
        <f>SUM(F7047:F7050)</f>
        <v>36657.271531221537</v>
      </c>
      <c r="G7051" s="81"/>
      <c r="H7051" s="81"/>
      <c r="I7051" s="81"/>
      <c r="J7051" s="81"/>
      <c r="K7051" s="81"/>
      <c r="L7051" s="81"/>
      <c r="M7051" s="81"/>
      <c r="N7051" s="81"/>
    </row>
    <row r="7052" spans="1:14" ht="14.25" customHeight="1" x14ac:dyDescent="0.25">
      <c r="A7052" s="96"/>
      <c r="B7052" s="129"/>
      <c r="C7052" s="118"/>
      <c r="D7052" s="118"/>
      <c r="E7052" s="118"/>
      <c r="F7052" s="118"/>
      <c r="G7052" s="81"/>
      <c r="H7052" s="81"/>
      <c r="I7052" s="81"/>
      <c r="J7052" s="81"/>
      <c r="K7052" s="81"/>
      <c r="L7052" s="81"/>
      <c r="M7052" s="81"/>
      <c r="N7052" s="81"/>
    </row>
    <row r="7053" spans="1:14" ht="14.25" customHeight="1" x14ac:dyDescent="0.25">
      <c r="A7053" s="95" t="s">
        <v>583</v>
      </c>
      <c r="B7053" s="96"/>
      <c r="C7053" s="92"/>
      <c r="D7053" s="92"/>
      <c r="E7053" s="92" t="s">
        <v>584</v>
      </c>
      <c r="F7053" s="92"/>
      <c r="G7053" s="81"/>
      <c r="H7053" s="81"/>
      <c r="I7053" s="81"/>
      <c r="J7053" s="81"/>
      <c r="K7053" s="81"/>
      <c r="L7053" s="81"/>
      <c r="M7053" s="81"/>
      <c r="N7053" s="81"/>
    </row>
    <row r="7054" spans="1:14" ht="14.25" customHeight="1" x14ac:dyDescent="0.25">
      <c r="A7054" s="97" t="s">
        <v>563</v>
      </c>
      <c r="B7054" s="98" t="s">
        <v>564</v>
      </c>
      <c r="C7054" s="98" t="s">
        <v>585</v>
      </c>
      <c r="D7054" s="98" t="s">
        <v>586</v>
      </c>
      <c r="E7054" s="120" t="s">
        <v>587</v>
      </c>
      <c r="F7054" s="98" t="s">
        <v>568</v>
      </c>
      <c r="G7054" s="81"/>
      <c r="H7054" s="81"/>
      <c r="I7054" s="81"/>
      <c r="J7054" s="81"/>
      <c r="K7054" s="81"/>
      <c r="L7054" s="81"/>
      <c r="M7054" s="81"/>
      <c r="N7054" s="81"/>
    </row>
    <row r="7055" spans="1:14" ht="14.25" customHeight="1" x14ac:dyDescent="0.25">
      <c r="A7055" s="103" t="s">
        <v>604</v>
      </c>
      <c r="B7055" s="100" t="s">
        <v>605</v>
      </c>
      <c r="C7055" s="101">
        <v>1000</v>
      </c>
      <c r="D7055" s="140">
        <v>2.5</v>
      </c>
      <c r="E7055" s="107">
        <v>3</v>
      </c>
      <c r="F7055" s="109">
        <f>+C7055*D7055*E7055</f>
        <v>7500</v>
      </c>
      <c r="G7055" s="81"/>
      <c r="H7055" s="81"/>
      <c r="I7055" s="81"/>
      <c r="J7055" s="81"/>
      <c r="K7055" s="81"/>
      <c r="L7055" s="81"/>
      <c r="M7055" s="81"/>
      <c r="N7055" s="81"/>
    </row>
    <row r="7056" spans="1:14" ht="14.25" customHeight="1" x14ac:dyDescent="0.25">
      <c r="A7056" s="103"/>
      <c r="B7056" s="100"/>
      <c r="C7056" s="107"/>
      <c r="D7056" s="107"/>
      <c r="E7056" s="108"/>
      <c r="F7056" s="109"/>
      <c r="G7056" s="81"/>
      <c r="H7056" s="81"/>
      <c r="I7056" s="81"/>
      <c r="J7056" s="81"/>
      <c r="K7056" s="81"/>
      <c r="L7056" s="81"/>
      <c r="M7056" s="81"/>
      <c r="N7056" s="81"/>
    </row>
    <row r="7057" spans="1:14" ht="14.25" customHeight="1" x14ac:dyDescent="0.25">
      <c r="A7057" s="97" t="s">
        <v>548</v>
      </c>
      <c r="B7057" s="98"/>
      <c r="C7057" s="110"/>
      <c r="D7057" s="110"/>
      <c r="E7057" s="111"/>
      <c r="F7057" s="112">
        <f>SUM(F7055:F7056)</f>
        <v>7500</v>
      </c>
      <c r="G7057" s="81"/>
      <c r="H7057" s="81"/>
      <c r="I7057" s="81"/>
      <c r="J7057" s="81"/>
      <c r="K7057" s="81"/>
      <c r="L7057" s="81"/>
      <c r="M7057" s="81"/>
      <c r="N7057" s="81"/>
    </row>
    <row r="7058" spans="1:14" ht="14.25" customHeight="1" x14ac:dyDescent="0.25">
      <c r="A7058" s="88"/>
      <c r="B7058" s="89"/>
      <c r="C7058" s="113"/>
      <c r="D7058" s="113"/>
      <c r="E7058" s="114"/>
      <c r="F7058" s="113"/>
      <c r="G7058" s="81"/>
      <c r="H7058" s="81"/>
      <c r="I7058" s="81"/>
      <c r="J7058" s="81"/>
      <c r="K7058" s="81"/>
      <c r="L7058" s="81"/>
      <c r="M7058" s="81"/>
      <c r="N7058" s="81"/>
    </row>
    <row r="7059" spans="1:14" ht="14.25" customHeight="1" x14ac:dyDescent="0.25">
      <c r="A7059" s="88"/>
      <c r="B7059" s="89"/>
      <c r="C7059" s="113"/>
      <c r="D7059" s="113"/>
      <c r="E7059" s="114"/>
      <c r="F7059" s="113"/>
      <c r="G7059" s="81"/>
      <c r="H7059" s="81"/>
      <c r="I7059" s="81"/>
      <c r="J7059" s="81"/>
      <c r="K7059" s="81"/>
      <c r="L7059" s="81"/>
      <c r="M7059" s="81"/>
      <c r="N7059" s="81"/>
    </row>
    <row r="7060" spans="1:14" ht="14.25" customHeight="1" x14ac:dyDescent="0.25">
      <c r="A7060" s="612" t="s">
        <v>588</v>
      </c>
      <c r="B7060" s="608"/>
      <c r="C7060" s="608"/>
      <c r="D7060" s="608"/>
      <c r="E7060" s="609"/>
      <c r="F7060" s="131">
        <f>ROUND(F7032+F7043+F7051+F7057,0)</f>
        <v>550000</v>
      </c>
      <c r="G7060" s="81"/>
      <c r="H7060" s="81"/>
      <c r="I7060" s="81"/>
      <c r="J7060" s="81"/>
      <c r="K7060" s="81"/>
      <c r="L7060" s="81"/>
      <c r="M7060" s="81"/>
      <c r="N7060" s="81"/>
    </row>
    <row r="7061" spans="1:14" ht="14.25" customHeight="1" x14ac:dyDescent="0.25">
      <c r="A7061" s="612" t="s">
        <v>589</v>
      </c>
      <c r="B7061" s="608"/>
      <c r="C7061" s="608"/>
      <c r="D7061" s="608"/>
      <c r="E7061" s="609"/>
      <c r="F7061" s="132"/>
      <c r="G7061" s="81"/>
      <c r="H7061" s="81"/>
      <c r="I7061" s="81"/>
      <c r="J7061" s="81"/>
      <c r="K7061" s="81"/>
      <c r="L7061" s="81"/>
      <c r="M7061" s="81"/>
      <c r="N7061" s="81"/>
    </row>
    <row r="7062" spans="1:14" ht="14.25" customHeight="1" x14ac:dyDescent="0.25">
      <c r="A7062" s="612" t="s">
        <v>556</v>
      </c>
      <c r="B7062" s="608"/>
      <c r="C7062" s="608"/>
      <c r="D7062" s="608"/>
      <c r="E7062" s="609"/>
      <c r="F7062" s="133"/>
      <c r="G7062" s="81"/>
      <c r="H7062" s="81"/>
      <c r="I7062" s="81"/>
      <c r="J7062" s="81"/>
      <c r="K7062" s="81"/>
      <c r="L7062" s="81"/>
      <c r="M7062" s="81"/>
      <c r="N7062" s="81"/>
    </row>
    <row r="7063" spans="1:14" ht="14.25" customHeight="1" x14ac:dyDescent="0.25">
      <c r="A7063" s="134"/>
      <c r="B7063" s="135"/>
      <c r="C7063" s="135"/>
      <c r="D7063" s="135"/>
      <c r="E7063" s="135"/>
      <c r="F7063" s="136"/>
      <c r="G7063" s="81"/>
      <c r="H7063" s="81"/>
      <c r="I7063" s="81"/>
      <c r="J7063" s="81"/>
      <c r="K7063" s="81"/>
      <c r="L7063" s="81"/>
      <c r="M7063" s="81"/>
      <c r="N7063" s="81"/>
    </row>
    <row r="7064" spans="1:14" ht="14.25" customHeight="1" x14ac:dyDescent="0.25">
      <c r="A7064" s="134"/>
      <c r="B7064" s="135"/>
      <c r="C7064" s="135"/>
      <c r="D7064" s="135"/>
      <c r="E7064" s="135"/>
      <c r="F7064" s="136"/>
      <c r="G7064" s="81"/>
      <c r="H7064" s="81"/>
      <c r="I7064" s="81"/>
      <c r="J7064" s="81"/>
      <c r="K7064" s="81"/>
      <c r="L7064" s="81"/>
      <c r="M7064" s="81"/>
      <c r="N7064" s="81"/>
    </row>
    <row r="7065" spans="1:14" ht="14.25" customHeight="1" x14ac:dyDescent="0.25">
      <c r="A7065" s="134"/>
      <c r="B7065" s="135"/>
      <c r="C7065" s="135"/>
      <c r="D7065" s="135"/>
      <c r="E7065" s="135"/>
      <c r="F7065" s="136"/>
      <c r="G7065" s="81"/>
      <c r="H7065" s="81"/>
      <c r="I7065" s="81"/>
      <c r="J7065" s="81"/>
      <c r="K7065" s="81"/>
      <c r="L7065" s="81"/>
      <c r="M7065" s="81"/>
      <c r="N7065" s="81"/>
    </row>
    <row r="7066" spans="1:14" ht="14.25" customHeight="1" x14ac:dyDescent="0.25">
      <c r="A7066" s="134"/>
      <c r="B7066" s="135"/>
      <c r="C7066" s="135"/>
      <c r="D7066" s="135"/>
      <c r="E7066" s="135"/>
      <c r="F7066" s="136"/>
      <c r="G7066" s="81"/>
      <c r="H7066" s="81"/>
      <c r="I7066" s="81"/>
      <c r="J7066" s="81"/>
      <c r="K7066" s="81"/>
      <c r="L7066" s="81"/>
      <c r="M7066" s="81"/>
      <c r="N7066" s="81"/>
    </row>
    <row r="7067" spans="1:14" ht="14.25" customHeight="1" x14ac:dyDescent="0.25">
      <c r="A7067" s="81"/>
      <c r="B7067" s="81"/>
      <c r="C7067" s="137"/>
      <c r="D7067" s="81"/>
      <c r="E7067" s="81"/>
      <c r="F7067" s="81"/>
      <c r="G7067" s="81"/>
      <c r="H7067" s="81"/>
      <c r="I7067" s="81"/>
      <c r="J7067" s="81"/>
      <c r="K7067" s="81"/>
      <c r="L7067" s="81"/>
      <c r="M7067" s="81"/>
      <c r="N7067" s="81"/>
    </row>
    <row r="7068" spans="1:14" ht="14.25" customHeight="1" x14ac:dyDescent="0.25">
      <c r="A7068" s="81"/>
      <c r="B7068" s="81"/>
      <c r="C7068" s="137"/>
      <c r="D7068" s="81"/>
      <c r="E7068" s="81"/>
      <c r="F7068" s="81"/>
      <c r="G7068" s="81"/>
      <c r="H7068" s="81"/>
      <c r="I7068" s="81"/>
      <c r="J7068" s="81"/>
      <c r="K7068" s="81"/>
      <c r="L7068" s="81"/>
      <c r="M7068" s="81"/>
      <c r="N7068" s="81"/>
    </row>
    <row r="7069" spans="1:14" ht="14.25" customHeight="1" x14ac:dyDescent="0.25">
      <c r="A7069" s="81"/>
      <c r="B7069" s="81"/>
      <c r="C7069" s="137"/>
      <c r="D7069" s="81"/>
      <c r="E7069" s="81"/>
      <c r="F7069" s="81"/>
      <c r="G7069" s="81"/>
      <c r="H7069" s="81"/>
      <c r="I7069" s="81"/>
      <c r="J7069" s="81"/>
      <c r="K7069" s="81"/>
      <c r="L7069" s="81"/>
      <c r="M7069" s="81"/>
      <c r="N7069" s="81"/>
    </row>
    <row r="7070" spans="1:14" ht="14.25" customHeight="1" x14ac:dyDescent="0.25">
      <c r="A7070" s="81"/>
      <c r="B7070" s="81"/>
      <c r="C7070" s="137"/>
      <c r="D7070" s="81"/>
      <c r="E7070" s="81"/>
      <c r="F7070" s="81"/>
      <c r="G7070" s="81"/>
      <c r="H7070" s="81"/>
      <c r="I7070" s="81"/>
      <c r="J7070" s="81"/>
      <c r="K7070" s="81"/>
      <c r="L7070" s="81"/>
      <c r="M7070" s="81"/>
      <c r="N7070" s="81"/>
    </row>
    <row r="7071" spans="1:14" ht="14.25" customHeight="1" thickBot="1" x14ac:dyDescent="0.3">
      <c r="A7071" s="81"/>
      <c r="B7071" s="81"/>
      <c r="C7071" s="81"/>
      <c r="D7071" s="81"/>
      <c r="E7071" s="81"/>
      <c r="F7071" s="81"/>
      <c r="G7071" s="81"/>
      <c r="H7071" s="81"/>
      <c r="I7071" s="81"/>
      <c r="J7071" s="81"/>
      <c r="K7071" s="81"/>
      <c r="L7071" s="81"/>
      <c r="M7071" s="81"/>
      <c r="N7071" s="81"/>
    </row>
    <row r="7072" spans="1:14" ht="14.25" customHeight="1" x14ac:dyDescent="0.25">
      <c r="A7072" s="83"/>
      <c r="B7072" s="84"/>
      <c r="C7072" s="85"/>
      <c r="D7072" s="86"/>
      <c r="E7072" s="86"/>
      <c r="F7072" s="87"/>
      <c r="G7072" s="81"/>
      <c r="H7072" s="81"/>
      <c r="I7072" s="81"/>
      <c r="J7072" s="81"/>
      <c r="K7072" s="81"/>
      <c r="L7072" s="81"/>
      <c r="M7072" s="81"/>
      <c r="N7072" s="81"/>
    </row>
    <row r="7073" spans="1:14" ht="14.25" customHeight="1" x14ac:dyDescent="0.25">
      <c r="A7073" s="599"/>
      <c r="B7073" s="600"/>
      <c r="C7073" s="600"/>
      <c r="D7073" s="600"/>
      <c r="E7073" s="600"/>
      <c r="F7073" s="601"/>
      <c r="G7073" s="81"/>
      <c r="H7073" s="81"/>
      <c r="I7073" s="81"/>
      <c r="J7073" s="81"/>
      <c r="K7073" s="81"/>
      <c r="L7073" s="81"/>
      <c r="M7073" s="81"/>
      <c r="N7073" s="81"/>
    </row>
    <row r="7074" spans="1:14" ht="14.25" customHeight="1" x14ac:dyDescent="0.25">
      <c r="A7074" s="602" t="s">
        <v>561</v>
      </c>
      <c r="B7074" s="600"/>
      <c r="C7074" s="600"/>
      <c r="D7074" s="600"/>
      <c r="E7074" s="600"/>
      <c r="F7074" s="601"/>
      <c r="G7074" s="81"/>
      <c r="H7074" s="81"/>
      <c r="I7074" s="81"/>
      <c r="J7074" s="81"/>
      <c r="K7074" s="81"/>
      <c r="L7074" s="81"/>
      <c r="M7074" s="81"/>
      <c r="N7074" s="81"/>
    </row>
    <row r="7075" spans="1:14" ht="14.25" customHeight="1" thickBot="1" x14ac:dyDescent="0.3">
      <c r="A7075" s="603"/>
      <c r="B7075" s="604"/>
      <c r="C7075" s="604"/>
      <c r="D7075" s="604"/>
      <c r="E7075" s="604"/>
      <c r="F7075" s="605"/>
      <c r="G7075" s="81"/>
      <c r="H7075" s="81"/>
      <c r="I7075" s="81"/>
      <c r="J7075" s="81"/>
      <c r="K7075" s="81"/>
      <c r="L7075" s="81"/>
      <c r="M7075" s="81"/>
      <c r="N7075" s="81"/>
    </row>
    <row r="7076" spans="1:14" ht="14.25" customHeight="1" x14ac:dyDescent="0.25">
      <c r="A7076" s="88"/>
      <c r="B7076" s="88"/>
      <c r="C7076" s="89"/>
      <c r="D7076" s="89"/>
      <c r="E7076" s="89"/>
      <c r="F7076" s="89"/>
      <c r="G7076" s="81"/>
      <c r="H7076" s="81"/>
      <c r="I7076" s="81"/>
      <c r="J7076" s="81"/>
      <c r="K7076" s="81"/>
      <c r="L7076" s="81"/>
      <c r="M7076" s="81"/>
      <c r="N7076" s="81"/>
    </row>
    <row r="7077" spans="1:14" ht="14.25" customHeight="1" x14ac:dyDescent="0.25">
      <c r="A7077" s="90" t="s">
        <v>47</v>
      </c>
      <c r="B7077" s="613" t="s">
        <v>340</v>
      </c>
      <c r="C7077" s="600"/>
      <c r="D7077" s="600"/>
      <c r="E7077" s="600"/>
      <c r="F7077" s="600"/>
      <c r="G7077" s="81"/>
      <c r="H7077" s="81"/>
      <c r="I7077" s="81"/>
      <c r="J7077" s="81"/>
      <c r="K7077" s="81"/>
      <c r="L7077" s="81"/>
      <c r="M7077" s="81"/>
      <c r="N7077" s="81"/>
    </row>
    <row r="7078" spans="1:14" ht="14.25" customHeight="1" x14ac:dyDescent="0.25">
      <c r="A7078" s="91"/>
      <c r="B7078" s="91"/>
      <c r="C7078" s="91"/>
      <c r="D7078" s="91"/>
      <c r="E7078" s="91"/>
      <c r="F7078" s="91"/>
      <c r="G7078" s="81"/>
      <c r="H7078" s="81"/>
      <c r="I7078" s="81"/>
      <c r="J7078" s="81"/>
      <c r="K7078" s="81"/>
      <c r="L7078" s="81"/>
      <c r="M7078" s="81"/>
      <c r="N7078" s="81"/>
    </row>
    <row r="7079" spans="1:14" ht="14.25" customHeight="1" x14ac:dyDescent="0.25">
      <c r="A7079" s="88" t="s">
        <v>49</v>
      </c>
      <c r="B7079" s="92" t="s">
        <v>59</v>
      </c>
      <c r="C7079" s="89"/>
      <c r="D7079" s="89"/>
      <c r="E7079" s="89"/>
      <c r="F7079" s="93"/>
      <c r="G7079" s="81"/>
      <c r="H7079" s="81"/>
      <c r="I7079" s="81"/>
      <c r="J7079" s="81"/>
      <c r="K7079" s="81"/>
      <c r="L7079" s="81"/>
      <c r="M7079" s="81"/>
      <c r="N7079" s="81"/>
    </row>
    <row r="7080" spans="1:14" ht="14.25" customHeight="1" x14ac:dyDescent="0.25">
      <c r="A7080" s="88"/>
      <c r="B7080" s="94"/>
      <c r="C7080" s="89"/>
      <c r="D7080" s="89"/>
      <c r="E7080" s="89"/>
      <c r="F7080" s="93"/>
      <c r="G7080" s="81"/>
      <c r="H7080" s="81"/>
      <c r="I7080" s="81"/>
      <c r="J7080" s="81"/>
      <c r="K7080" s="81"/>
      <c r="L7080" s="81"/>
      <c r="M7080" s="81"/>
      <c r="N7080" s="81"/>
    </row>
    <row r="7081" spans="1:14" ht="14.25" customHeight="1" x14ac:dyDescent="0.25">
      <c r="A7081" s="95" t="s">
        <v>562</v>
      </c>
      <c r="B7081" s="96"/>
      <c r="C7081" s="92"/>
      <c r="D7081" s="92"/>
      <c r="E7081" s="92"/>
      <c r="F7081" s="92"/>
      <c r="G7081" s="81"/>
      <c r="H7081" s="81"/>
      <c r="I7081" s="81"/>
      <c r="J7081" s="81"/>
      <c r="K7081" s="81"/>
      <c r="L7081" s="81"/>
      <c r="M7081" s="81"/>
      <c r="N7081" s="81"/>
    </row>
    <row r="7082" spans="1:14" ht="14.25" customHeight="1" x14ac:dyDescent="0.25">
      <c r="A7082" s="97" t="s">
        <v>563</v>
      </c>
      <c r="B7082" s="98" t="s">
        <v>564</v>
      </c>
      <c r="C7082" s="98" t="s">
        <v>565</v>
      </c>
      <c r="D7082" s="98" t="s">
        <v>566</v>
      </c>
      <c r="E7082" s="98" t="s">
        <v>567</v>
      </c>
      <c r="F7082" s="98" t="s">
        <v>568</v>
      </c>
      <c r="G7082" s="81"/>
      <c r="H7082" s="81"/>
      <c r="I7082" s="81"/>
      <c r="J7082" s="81"/>
      <c r="K7082" s="81"/>
      <c r="L7082" s="81"/>
      <c r="M7082" s="81"/>
      <c r="N7082" s="81"/>
    </row>
    <row r="7083" spans="1:14" ht="14.25" customHeight="1" x14ac:dyDescent="0.25">
      <c r="A7083" s="99" t="s">
        <v>792</v>
      </c>
      <c r="B7083" s="100" t="s">
        <v>59</v>
      </c>
      <c r="C7083" s="101">
        <v>24250</v>
      </c>
      <c r="D7083" s="149">
        <v>1</v>
      </c>
      <c r="E7083" s="102">
        <v>0.05</v>
      </c>
      <c r="F7083" s="101">
        <f t="shared" ref="F7083:F7084" si="347">C7083*(D7083+(D7083*E7083))</f>
        <v>25462.5</v>
      </c>
      <c r="G7083" s="81"/>
      <c r="H7083" s="81"/>
      <c r="I7083" s="81"/>
      <c r="J7083" s="81"/>
      <c r="K7083" s="81"/>
      <c r="L7083" s="81"/>
      <c r="M7083" s="81"/>
      <c r="N7083" s="81"/>
    </row>
    <row r="7084" spans="1:14" ht="14.25" customHeight="1" x14ac:dyDescent="0.25">
      <c r="A7084" s="99" t="s">
        <v>683</v>
      </c>
      <c r="B7084" s="100" t="s">
        <v>117</v>
      </c>
      <c r="C7084" s="101">
        <v>1200</v>
      </c>
      <c r="D7084" s="149">
        <v>0.7</v>
      </c>
      <c r="E7084" s="102">
        <v>0.05</v>
      </c>
      <c r="F7084" s="101">
        <f t="shared" si="347"/>
        <v>882</v>
      </c>
      <c r="G7084" s="81"/>
      <c r="H7084" s="81"/>
      <c r="I7084" s="81"/>
      <c r="J7084" s="81"/>
      <c r="K7084" s="81"/>
      <c r="L7084" s="81"/>
      <c r="M7084" s="81"/>
      <c r="N7084" s="81"/>
    </row>
    <row r="7085" spans="1:14" ht="14.25" customHeight="1" x14ac:dyDescent="0.25">
      <c r="A7085" s="99"/>
      <c r="B7085" s="100"/>
      <c r="C7085" s="106"/>
      <c r="D7085" s="107"/>
      <c r="E7085" s="108"/>
      <c r="F7085" s="106"/>
      <c r="G7085" s="81"/>
      <c r="H7085" s="81"/>
      <c r="I7085" s="81"/>
      <c r="J7085" s="81"/>
      <c r="K7085" s="81"/>
      <c r="L7085" s="81"/>
      <c r="M7085" s="81"/>
      <c r="N7085" s="81"/>
    </row>
    <row r="7086" spans="1:14" ht="14.25" customHeight="1" x14ac:dyDescent="0.25">
      <c r="A7086" s="97" t="s">
        <v>548</v>
      </c>
      <c r="B7086" s="97"/>
      <c r="C7086" s="109"/>
      <c r="D7086" s="110"/>
      <c r="E7086" s="111"/>
      <c r="F7086" s="112">
        <f>SUM(F7083:F7085)</f>
        <v>26344.5</v>
      </c>
      <c r="G7086" s="81"/>
      <c r="H7086" s="81"/>
      <c r="I7086" s="81"/>
      <c r="J7086" s="81"/>
      <c r="K7086" s="81"/>
      <c r="L7086" s="81"/>
      <c r="M7086" s="81"/>
      <c r="N7086" s="81"/>
    </row>
    <row r="7087" spans="1:14" ht="14.25" customHeight="1" x14ac:dyDescent="0.25">
      <c r="A7087" s="88"/>
      <c r="B7087" s="88"/>
      <c r="C7087" s="113"/>
      <c r="D7087" s="113"/>
      <c r="E7087" s="114"/>
      <c r="F7087" s="113"/>
      <c r="G7087" s="81"/>
      <c r="H7087" s="81"/>
      <c r="I7087" s="81"/>
      <c r="J7087" s="81"/>
      <c r="K7087" s="81"/>
      <c r="L7087" s="81"/>
      <c r="M7087" s="81"/>
      <c r="N7087" s="81"/>
    </row>
    <row r="7088" spans="1:14" ht="15.75" x14ac:dyDescent="0.25">
      <c r="A7088" s="96" t="s">
        <v>573</v>
      </c>
      <c r="B7088" s="96"/>
      <c r="C7088" s="92"/>
      <c r="D7088" s="92"/>
      <c r="E7088" s="92"/>
      <c r="F7088" s="92"/>
      <c r="G7088" s="81"/>
      <c r="H7088" s="81"/>
      <c r="I7088" s="81"/>
      <c r="J7088" s="81"/>
      <c r="K7088" s="81"/>
      <c r="L7088" s="81"/>
      <c r="M7088" s="81"/>
      <c r="N7088" s="81"/>
    </row>
    <row r="7089" spans="1:14" ht="14.25" customHeight="1" x14ac:dyDescent="0.25">
      <c r="A7089" s="611" t="s">
        <v>563</v>
      </c>
      <c r="B7089" s="608"/>
      <c r="C7089" s="609"/>
      <c r="D7089" s="98" t="s">
        <v>574</v>
      </c>
      <c r="E7089" s="98" t="s">
        <v>575</v>
      </c>
      <c r="F7089" s="98" t="s">
        <v>568</v>
      </c>
      <c r="G7089" s="81"/>
      <c r="H7089" s="81"/>
      <c r="I7089" s="81"/>
      <c r="J7089" s="81"/>
      <c r="K7089" s="81"/>
      <c r="L7089" s="81"/>
      <c r="M7089" s="81"/>
      <c r="N7089" s="81"/>
    </row>
    <row r="7090" spans="1:14" ht="14.25" customHeight="1" x14ac:dyDescent="0.25">
      <c r="A7090" s="607" t="s">
        <v>577</v>
      </c>
      <c r="B7090" s="608"/>
      <c r="C7090" s="609"/>
      <c r="D7090" s="116"/>
      <c r="E7090" s="107"/>
      <c r="F7090" s="106">
        <f>+F7105*5%</f>
        <v>387.68115166434768</v>
      </c>
      <c r="G7090" s="81"/>
      <c r="H7090" s="81"/>
      <c r="I7090" s="81"/>
      <c r="J7090" s="81"/>
      <c r="K7090" s="81"/>
      <c r="L7090" s="81"/>
      <c r="M7090" s="81"/>
      <c r="N7090" s="81"/>
    </row>
    <row r="7091" spans="1:14" ht="14.25" customHeight="1" x14ac:dyDescent="0.25">
      <c r="A7091" s="607" t="s">
        <v>657</v>
      </c>
      <c r="B7091" s="608"/>
      <c r="C7091" s="609"/>
      <c r="D7091" s="142">
        <v>1850</v>
      </c>
      <c r="E7091" s="107">
        <v>8</v>
      </c>
      <c r="F7091" s="106">
        <f t="shared" ref="F7091:F7092" si="348">D7091/E7091</f>
        <v>231.25</v>
      </c>
      <c r="G7091" s="81"/>
      <c r="H7091" s="81"/>
      <c r="I7091" s="81"/>
      <c r="J7091" s="81"/>
      <c r="K7091" s="81"/>
      <c r="L7091" s="81"/>
      <c r="M7091" s="81"/>
      <c r="N7091" s="81"/>
    </row>
    <row r="7092" spans="1:14" ht="14.25" customHeight="1" x14ac:dyDescent="0.25">
      <c r="A7092" s="607" t="s">
        <v>702</v>
      </c>
      <c r="B7092" s="608"/>
      <c r="C7092" s="609"/>
      <c r="D7092" s="142">
        <v>3250</v>
      </c>
      <c r="E7092" s="107">
        <v>3</v>
      </c>
      <c r="F7092" s="106">
        <f t="shared" si="348"/>
        <v>1083.3333333333333</v>
      </c>
      <c r="G7092" s="81"/>
      <c r="H7092" s="81"/>
      <c r="I7092" s="81"/>
      <c r="J7092" s="81"/>
      <c r="K7092" s="81"/>
      <c r="L7092" s="81"/>
      <c r="M7092" s="81"/>
      <c r="N7092" s="81"/>
    </row>
    <row r="7093" spans="1:14" ht="14.25" customHeight="1" x14ac:dyDescent="0.25">
      <c r="A7093" s="607"/>
      <c r="B7093" s="608"/>
      <c r="C7093" s="609"/>
      <c r="D7093" s="142"/>
      <c r="E7093" s="107"/>
      <c r="F7093" s="106"/>
      <c r="G7093" s="81"/>
      <c r="H7093" s="81"/>
      <c r="I7093" s="81"/>
      <c r="J7093" s="81"/>
      <c r="K7093" s="81"/>
      <c r="L7093" s="81"/>
      <c r="M7093" s="81"/>
      <c r="N7093" s="81"/>
    </row>
    <row r="7094" spans="1:14" ht="14.25" customHeight="1" x14ac:dyDescent="0.25">
      <c r="A7094" s="607"/>
      <c r="B7094" s="608"/>
      <c r="C7094" s="609"/>
      <c r="D7094" s="142"/>
      <c r="E7094" s="107"/>
      <c r="F7094" s="106"/>
      <c r="G7094" s="81"/>
      <c r="H7094" s="81"/>
      <c r="I7094" s="81"/>
      <c r="J7094" s="81"/>
      <c r="K7094" s="81"/>
      <c r="L7094" s="81"/>
      <c r="M7094" s="81"/>
      <c r="N7094" s="81"/>
    </row>
    <row r="7095" spans="1:14" ht="14.25" customHeight="1" x14ac:dyDescent="0.25">
      <c r="A7095" s="607"/>
      <c r="B7095" s="608"/>
      <c r="C7095" s="609"/>
      <c r="D7095" s="142"/>
      <c r="E7095" s="105"/>
      <c r="F7095" s="106"/>
      <c r="G7095" s="81"/>
      <c r="H7095" s="81"/>
      <c r="I7095" s="81"/>
      <c r="J7095" s="81"/>
      <c r="K7095" s="81"/>
      <c r="L7095" s="81"/>
      <c r="M7095" s="81"/>
      <c r="N7095" s="81"/>
    </row>
    <row r="7096" spans="1:14" ht="15.75" x14ac:dyDescent="0.25">
      <c r="A7096" s="610"/>
      <c r="B7096" s="608"/>
      <c r="C7096" s="609"/>
      <c r="D7096" s="115"/>
      <c r="E7096" s="107"/>
      <c r="F7096" s="106"/>
      <c r="G7096" s="81"/>
      <c r="H7096" s="81"/>
      <c r="I7096" s="81"/>
      <c r="J7096" s="81"/>
      <c r="K7096" s="81"/>
      <c r="L7096" s="81"/>
      <c r="M7096" s="81"/>
      <c r="N7096" s="81"/>
    </row>
    <row r="7097" spans="1:14" ht="14.25" customHeight="1" x14ac:dyDescent="0.25">
      <c r="A7097" s="611" t="s">
        <v>548</v>
      </c>
      <c r="B7097" s="608"/>
      <c r="C7097" s="609"/>
      <c r="D7097" s="110"/>
      <c r="E7097" s="110"/>
      <c r="F7097" s="112">
        <f>SUM(F7090:F7096)</f>
        <v>1702.2644849976809</v>
      </c>
      <c r="G7097" s="81"/>
      <c r="H7097" s="81"/>
      <c r="I7097" s="81"/>
      <c r="J7097" s="81"/>
      <c r="K7097" s="81"/>
      <c r="L7097" s="81"/>
      <c r="M7097" s="81"/>
      <c r="N7097" s="81"/>
    </row>
    <row r="7098" spans="1:14" ht="14.25" customHeight="1" x14ac:dyDescent="0.25">
      <c r="A7098" s="88"/>
      <c r="B7098" s="88"/>
      <c r="C7098" s="89"/>
      <c r="D7098" s="113"/>
      <c r="E7098" s="113"/>
      <c r="F7098" s="113"/>
      <c r="G7098" s="81"/>
      <c r="H7098" s="81"/>
      <c r="I7098" s="81"/>
      <c r="J7098" s="81"/>
      <c r="K7098" s="81"/>
      <c r="L7098" s="81"/>
      <c r="M7098" s="81"/>
      <c r="N7098" s="81"/>
    </row>
    <row r="7099" spans="1:14" ht="14.25" customHeight="1" x14ac:dyDescent="0.25">
      <c r="A7099" s="96" t="s">
        <v>578</v>
      </c>
      <c r="B7099" s="96"/>
      <c r="C7099" s="92"/>
      <c r="D7099" s="118"/>
      <c r="E7099" s="118"/>
      <c r="F7099" s="118"/>
      <c r="G7099" s="81"/>
      <c r="H7099" s="81"/>
      <c r="I7099" s="81"/>
      <c r="J7099" s="81"/>
      <c r="K7099" s="81"/>
      <c r="L7099" s="81"/>
      <c r="M7099" s="81"/>
      <c r="N7099" s="81"/>
    </row>
    <row r="7100" spans="1:14" ht="14.25" customHeight="1" x14ac:dyDescent="0.25">
      <c r="A7100" s="119" t="s">
        <v>563</v>
      </c>
      <c r="B7100" s="120" t="s">
        <v>579</v>
      </c>
      <c r="C7100" s="120" t="s">
        <v>580</v>
      </c>
      <c r="D7100" s="121" t="s">
        <v>581</v>
      </c>
      <c r="E7100" s="121" t="s">
        <v>575</v>
      </c>
      <c r="F7100" s="121" t="s">
        <v>568</v>
      </c>
      <c r="G7100" s="81"/>
      <c r="H7100" s="81"/>
      <c r="I7100" s="81"/>
      <c r="J7100" s="81"/>
      <c r="K7100" s="81"/>
      <c r="L7100" s="81"/>
      <c r="M7100" s="81"/>
      <c r="N7100" s="81"/>
    </row>
    <row r="7101" spans="1:14" ht="14.25" customHeight="1" x14ac:dyDescent="0.25">
      <c r="A7101" s="122" t="s">
        <v>593</v>
      </c>
      <c r="B7101" s="127">
        <v>1</v>
      </c>
      <c r="C7101" s="101">
        <v>32688</v>
      </c>
      <c r="D7101" s="101">
        <f t="shared" ref="D7101:D7102" si="349">+C7101*1.7</f>
        <v>55569.599999999999</v>
      </c>
      <c r="E7101" s="107">
        <v>18.686</v>
      </c>
      <c r="F7101" s="106">
        <f t="shared" ref="F7101:F7102" si="350">+B7101*(D7101)/E7101</f>
        <v>2973.8627849727068</v>
      </c>
      <c r="G7101" s="81"/>
      <c r="H7101" s="81"/>
      <c r="I7101" s="81"/>
      <c r="J7101" s="81"/>
      <c r="K7101" s="81"/>
      <c r="L7101" s="81"/>
      <c r="M7101" s="81"/>
      <c r="N7101" s="81"/>
    </row>
    <row r="7102" spans="1:14" ht="14.25" customHeight="1" x14ac:dyDescent="0.25">
      <c r="A7102" s="122" t="s">
        <v>594</v>
      </c>
      <c r="B7102" s="127">
        <v>1</v>
      </c>
      <c r="C7102" s="101">
        <v>52538</v>
      </c>
      <c r="D7102" s="101">
        <f t="shared" si="349"/>
        <v>89314.599999999991</v>
      </c>
      <c r="E7102" s="107">
        <f>E7101</f>
        <v>18.686</v>
      </c>
      <c r="F7102" s="106">
        <f t="shared" si="350"/>
        <v>4779.7602483142455</v>
      </c>
      <c r="G7102" s="81"/>
      <c r="H7102" s="117"/>
      <c r="I7102" s="81"/>
      <c r="J7102" s="81"/>
      <c r="K7102" s="81"/>
      <c r="L7102" s="81"/>
      <c r="M7102" s="81"/>
      <c r="N7102" s="81"/>
    </row>
    <row r="7103" spans="1:14" ht="14.25" customHeight="1" x14ac:dyDescent="0.25">
      <c r="A7103" s="122"/>
      <c r="B7103" s="127"/>
      <c r="C7103" s="101"/>
      <c r="D7103" s="101"/>
      <c r="E7103" s="107"/>
      <c r="F7103" s="106"/>
      <c r="G7103" s="81"/>
      <c r="H7103" s="81"/>
      <c r="I7103" s="81"/>
      <c r="J7103" s="81"/>
      <c r="K7103" s="81"/>
      <c r="L7103" s="81"/>
      <c r="M7103" s="81"/>
      <c r="N7103" s="81"/>
    </row>
    <row r="7104" spans="1:14" ht="14.25" customHeight="1" x14ac:dyDescent="0.25">
      <c r="A7104" s="122"/>
      <c r="B7104" s="127"/>
      <c r="C7104" s="101"/>
      <c r="D7104" s="101"/>
      <c r="E7104" s="125"/>
      <c r="F7104" s="106"/>
      <c r="G7104" s="81"/>
      <c r="H7104" s="81"/>
      <c r="I7104" s="81"/>
      <c r="J7104" s="81"/>
      <c r="K7104" s="81"/>
      <c r="L7104" s="81"/>
      <c r="M7104" s="81"/>
      <c r="N7104" s="81"/>
    </row>
    <row r="7105" spans="1:14" ht="14.25" customHeight="1" x14ac:dyDescent="0.25">
      <c r="A7105" s="97" t="s">
        <v>548</v>
      </c>
      <c r="B7105" s="128"/>
      <c r="C7105" s="110"/>
      <c r="D7105" s="110"/>
      <c r="E7105" s="110"/>
      <c r="F7105" s="112">
        <f>SUM(F7101:F7104)</f>
        <v>7753.6230332869527</v>
      </c>
      <c r="G7105" s="81"/>
      <c r="H7105" s="143"/>
      <c r="I7105" s="81"/>
      <c r="J7105" s="81"/>
      <c r="K7105" s="81"/>
      <c r="L7105" s="81"/>
      <c r="M7105" s="81"/>
      <c r="N7105" s="81"/>
    </row>
    <row r="7106" spans="1:14" ht="14.25" customHeight="1" x14ac:dyDescent="0.25">
      <c r="A7106" s="96"/>
      <c r="B7106" s="129"/>
      <c r="C7106" s="118"/>
      <c r="D7106" s="118"/>
      <c r="E7106" s="118"/>
      <c r="F7106" s="118"/>
      <c r="G7106" s="81"/>
      <c r="H7106" s="81"/>
      <c r="I7106" s="81"/>
      <c r="J7106" s="81"/>
      <c r="K7106" s="81"/>
      <c r="L7106" s="81"/>
      <c r="M7106" s="81"/>
      <c r="N7106" s="81"/>
    </row>
    <row r="7107" spans="1:14" ht="14.25" customHeight="1" x14ac:dyDescent="0.25">
      <c r="A7107" s="95" t="s">
        <v>583</v>
      </c>
      <c r="B7107" s="96"/>
      <c r="C7107" s="92"/>
      <c r="D7107" s="92"/>
      <c r="E7107" s="92" t="s">
        <v>584</v>
      </c>
      <c r="F7107" s="92"/>
      <c r="G7107" s="81"/>
      <c r="H7107" s="143"/>
      <c r="I7107" s="81"/>
      <c r="J7107" s="81"/>
      <c r="K7107" s="81"/>
      <c r="L7107" s="81"/>
      <c r="M7107" s="81"/>
      <c r="N7107" s="81"/>
    </row>
    <row r="7108" spans="1:14" ht="14.25" customHeight="1" x14ac:dyDescent="0.25">
      <c r="A7108" s="97" t="s">
        <v>563</v>
      </c>
      <c r="B7108" s="98" t="s">
        <v>564</v>
      </c>
      <c r="C7108" s="98" t="s">
        <v>585</v>
      </c>
      <c r="D7108" s="98" t="s">
        <v>586</v>
      </c>
      <c r="E7108" s="120" t="s">
        <v>587</v>
      </c>
      <c r="F7108" s="98" t="s">
        <v>568</v>
      </c>
      <c r="G7108" s="81"/>
      <c r="H7108" s="81"/>
      <c r="I7108" s="81"/>
      <c r="J7108" s="81"/>
      <c r="K7108" s="81"/>
      <c r="L7108" s="81"/>
      <c r="M7108" s="81"/>
      <c r="N7108" s="81"/>
    </row>
    <row r="7109" spans="1:14" ht="14.25" customHeight="1" x14ac:dyDescent="0.25">
      <c r="A7109" s="103"/>
      <c r="B7109" s="100"/>
      <c r="C7109" s="101"/>
      <c r="D7109" s="140"/>
      <c r="E7109" s="107"/>
      <c r="F7109" s="109"/>
      <c r="G7109" s="81"/>
      <c r="H7109" s="81"/>
      <c r="I7109" s="81"/>
      <c r="J7109" s="81"/>
      <c r="K7109" s="81"/>
      <c r="L7109" s="81"/>
      <c r="M7109" s="81"/>
      <c r="N7109" s="81"/>
    </row>
    <row r="7110" spans="1:14" ht="14.25" customHeight="1" x14ac:dyDescent="0.25">
      <c r="A7110" s="103"/>
      <c r="B7110" s="100"/>
      <c r="C7110" s="107"/>
      <c r="D7110" s="107"/>
      <c r="E7110" s="108"/>
      <c r="F7110" s="109"/>
      <c r="G7110" s="81"/>
      <c r="H7110" s="81"/>
      <c r="I7110" s="81"/>
      <c r="J7110" s="81"/>
      <c r="K7110" s="81"/>
      <c r="L7110" s="81"/>
      <c r="M7110" s="81"/>
      <c r="N7110" s="81"/>
    </row>
    <row r="7111" spans="1:14" ht="14.25" customHeight="1" x14ac:dyDescent="0.25">
      <c r="A7111" s="97" t="s">
        <v>548</v>
      </c>
      <c r="B7111" s="98"/>
      <c r="C7111" s="110"/>
      <c r="D7111" s="110"/>
      <c r="E7111" s="111"/>
      <c r="F7111" s="112">
        <f>SUM(F7109:F7110)</f>
        <v>0</v>
      </c>
      <c r="G7111" s="81"/>
      <c r="H7111" s="81"/>
      <c r="I7111" s="81"/>
      <c r="J7111" s="81"/>
      <c r="K7111" s="81"/>
      <c r="L7111" s="81"/>
      <c r="M7111" s="81"/>
      <c r="N7111" s="81"/>
    </row>
    <row r="7112" spans="1:14" ht="14.25" customHeight="1" x14ac:dyDescent="0.25">
      <c r="A7112" s="88"/>
      <c r="B7112" s="89"/>
      <c r="C7112" s="113"/>
      <c r="D7112" s="113"/>
      <c r="E7112" s="114"/>
      <c r="F7112" s="113"/>
      <c r="G7112" s="81"/>
      <c r="H7112" s="81"/>
      <c r="I7112" s="81"/>
      <c r="J7112" s="81"/>
      <c r="K7112" s="81"/>
      <c r="L7112" s="81"/>
      <c r="M7112" s="81"/>
      <c r="N7112" s="81"/>
    </row>
    <row r="7113" spans="1:14" ht="14.25" customHeight="1" x14ac:dyDescent="0.25">
      <c r="A7113" s="88"/>
      <c r="B7113" s="89"/>
      <c r="C7113" s="113"/>
      <c r="D7113" s="113"/>
      <c r="E7113" s="114"/>
      <c r="F7113" s="113"/>
      <c r="G7113" s="81"/>
      <c r="H7113" s="81"/>
      <c r="I7113" s="81"/>
      <c r="J7113" s="81"/>
      <c r="K7113" s="81"/>
      <c r="L7113" s="81"/>
      <c r="M7113" s="81"/>
      <c r="N7113" s="81"/>
    </row>
    <row r="7114" spans="1:14" ht="14.25" customHeight="1" x14ac:dyDescent="0.25">
      <c r="A7114" s="612" t="s">
        <v>588</v>
      </c>
      <c r="B7114" s="608"/>
      <c r="C7114" s="608"/>
      <c r="D7114" s="608"/>
      <c r="E7114" s="609"/>
      <c r="F7114" s="131">
        <f>ROUND(F7086+F7097+F7105+F7111,0)</f>
        <v>35800</v>
      </c>
      <c r="G7114" s="81"/>
      <c r="H7114" s="81"/>
      <c r="I7114" s="81"/>
      <c r="J7114" s="81"/>
      <c r="K7114" s="81"/>
      <c r="L7114" s="81"/>
      <c r="M7114" s="81"/>
      <c r="N7114" s="81"/>
    </row>
    <row r="7115" spans="1:14" ht="14.25" customHeight="1" x14ac:dyDescent="0.25">
      <c r="A7115" s="612" t="s">
        <v>589</v>
      </c>
      <c r="B7115" s="608"/>
      <c r="C7115" s="608"/>
      <c r="D7115" s="608"/>
      <c r="E7115" s="609"/>
      <c r="F7115" s="132"/>
      <c r="G7115" s="81"/>
      <c r="H7115" s="81"/>
      <c r="I7115" s="81"/>
      <c r="J7115" s="81"/>
      <c r="K7115" s="81"/>
      <c r="L7115" s="81"/>
      <c r="M7115" s="81"/>
      <c r="N7115" s="81"/>
    </row>
    <row r="7116" spans="1:14" ht="14.25" customHeight="1" x14ac:dyDescent="0.25">
      <c r="A7116" s="612" t="s">
        <v>556</v>
      </c>
      <c r="B7116" s="608"/>
      <c r="C7116" s="608"/>
      <c r="D7116" s="608"/>
      <c r="E7116" s="609"/>
      <c r="F7116" s="133"/>
      <c r="G7116" s="81"/>
      <c r="H7116" s="81"/>
      <c r="I7116" s="81"/>
      <c r="J7116" s="81"/>
      <c r="K7116" s="81"/>
      <c r="L7116" s="81"/>
      <c r="M7116" s="81"/>
      <c r="N7116" s="81"/>
    </row>
    <row r="7117" spans="1:14" ht="14.25" customHeight="1" x14ac:dyDescent="0.25">
      <c r="A7117" s="134"/>
      <c r="B7117" s="135"/>
      <c r="C7117" s="135"/>
      <c r="D7117" s="135"/>
      <c r="E7117" s="135"/>
      <c r="F7117" s="136"/>
      <c r="G7117" s="81"/>
      <c r="H7117" s="81"/>
      <c r="I7117" s="81"/>
      <c r="J7117" s="81"/>
      <c r="K7117" s="81"/>
      <c r="L7117" s="81"/>
      <c r="M7117" s="81"/>
      <c r="N7117" s="81"/>
    </row>
    <row r="7118" spans="1:14" ht="14.25" customHeight="1" x14ac:dyDescent="0.25">
      <c r="A7118" s="134"/>
      <c r="B7118" s="135"/>
      <c r="C7118" s="135"/>
      <c r="D7118" s="135"/>
      <c r="E7118" s="135"/>
      <c r="F7118" s="136"/>
      <c r="G7118" s="81"/>
      <c r="H7118" s="81"/>
      <c r="I7118" s="81"/>
      <c r="J7118" s="81"/>
      <c r="K7118" s="81"/>
      <c r="L7118" s="81"/>
      <c r="M7118" s="81"/>
      <c r="N7118" s="81"/>
    </row>
    <row r="7119" spans="1:14" ht="14.25" customHeight="1" x14ac:dyDescent="0.25">
      <c r="A7119" s="134"/>
      <c r="B7119" s="135"/>
      <c r="C7119" s="135"/>
      <c r="D7119" s="135"/>
      <c r="E7119" s="135"/>
      <c r="F7119" s="136"/>
      <c r="G7119" s="81"/>
      <c r="H7119" s="81"/>
      <c r="I7119" s="81"/>
      <c r="J7119" s="81"/>
      <c r="K7119" s="81"/>
      <c r="L7119" s="81"/>
      <c r="M7119" s="81"/>
      <c r="N7119" s="81"/>
    </row>
    <row r="7120" spans="1:14" ht="14.25" customHeight="1" x14ac:dyDescent="0.25">
      <c r="A7120" s="134"/>
      <c r="B7120" s="135"/>
      <c r="C7120" s="135"/>
      <c r="D7120" s="135"/>
      <c r="E7120" s="135"/>
      <c r="F7120" s="136"/>
      <c r="G7120" s="81"/>
      <c r="H7120" s="81"/>
      <c r="I7120" s="81"/>
      <c r="J7120" s="81"/>
      <c r="K7120" s="81"/>
      <c r="L7120" s="81"/>
      <c r="M7120" s="81"/>
      <c r="N7120" s="81"/>
    </row>
    <row r="7121" spans="1:14" ht="14.25" customHeight="1" x14ac:dyDescent="0.25">
      <c r="A7121" s="81"/>
      <c r="B7121" s="81"/>
      <c r="C7121" s="137"/>
      <c r="D7121" s="81"/>
      <c r="E7121" s="81"/>
      <c r="F7121" s="81"/>
      <c r="G7121" s="81"/>
      <c r="H7121" s="81"/>
      <c r="I7121" s="81"/>
      <c r="J7121" s="81"/>
      <c r="K7121" s="81"/>
      <c r="L7121" s="81"/>
      <c r="M7121" s="81"/>
      <c r="N7121" s="81"/>
    </row>
    <row r="7122" spans="1:14" ht="14.25" customHeight="1" x14ac:dyDescent="0.25">
      <c r="A7122" s="81"/>
      <c r="B7122" s="81"/>
      <c r="C7122" s="137"/>
      <c r="D7122" s="81"/>
      <c r="E7122" s="81"/>
      <c r="F7122" s="81"/>
      <c r="G7122" s="81"/>
      <c r="H7122" s="81"/>
      <c r="I7122" s="81"/>
      <c r="J7122" s="81"/>
      <c r="K7122" s="81"/>
      <c r="L7122" s="81"/>
      <c r="M7122" s="81"/>
      <c r="N7122" s="81"/>
    </row>
    <row r="7123" spans="1:14" ht="14.25" customHeight="1" x14ac:dyDescent="0.25">
      <c r="A7123" s="81"/>
      <c r="B7123" s="81"/>
      <c r="C7123" s="137"/>
      <c r="D7123" s="81"/>
      <c r="E7123" s="81"/>
      <c r="F7123" s="81"/>
      <c r="G7123" s="81"/>
      <c r="H7123" s="81"/>
      <c r="I7123" s="81"/>
      <c r="J7123" s="81"/>
      <c r="K7123" s="81"/>
      <c r="L7123" s="81"/>
      <c r="M7123" s="81"/>
      <c r="N7123" s="81"/>
    </row>
    <row r="7124" spans="1:14" ht="14.25" customHeight="1" x14ac:dyDescent="0.25">
      <c r="A7124" s="81"/>
      <c r="B7124" s="81"/>
      <c r="C7124" s="137"/>
      <c r="D7124" s="81"/>
      <c r="E7124" s="81"/>
      <c r="F7124" s="81"/>
      <c r="G7124" s="81"/>
      <c r="H7124" s="81"/>
      <c r="I7124" s="81"/>
      <c r="J7124" s="81"/>
      <c r="K7124" s="81"/>
      <c r="L7124" s="81"/>
      <c r="M7124" s="81"/>
      <c r="N7124" s="81"/>
    </row>
    <row r="7125" spans="1:14" ht="14.25" customHeight="1" thickBot="1" x14ac:dyDescent="0.3">
      <c r="A7125" s="81"/>
      <c r="B7125" s="81"/>
      <c r="C7125" s="81"/>
      <c r="D7125" s="81"/>
      <c r="E7125" s="81"/>
      <c r="F7125" s="81"/>
      <c r="G7125" s="81"/>
      <c r="H7125" s="81"/>
      <c r="I7125" s="81"/>
      <c r="J7125" s="81"/>
      <c r="K7125" s="81"/>
      <c r="L7125" s="81"/>
      <c r="M7125" s="81"/>
      <c r="N7125" s="81"/>
    </row>
    <row r="7126" spans="1:14" ht="14.25" customHeight="1" x14ac:dyDescent="0.25">
      <c r="A7126" s="83"/>
      <c r="B7126" s="84"/>
      <c r="C7126" s="85"/>
      <c r="D7126" s="86"/>
      <c r="E7126" s="86"/>
      <c r="F7126" s="87"/>
      <c r="G7126" s="81"/>
      <c r="H7126" s="81"/>
      <c r="I7126" s="81"/>
      <c r="J7126" s="81"/>
      <c r="K7126" s="81"/>
      <c r="L7126" s="81"/>
      <c r="M7126" s="81"/>
      <c r="N7126" s="81"/>
    </row>
    <row r="7127" spans="1:14" ht="14.25" customHeight="1" x14ac:dyDescent="0.25">
      <c r="A7127" s="599"/>
      <c r="B7127" s="600"/>
      <c r="C7127" s="600"/>
      <c r="D7127" s="600"/>
      <c r="E7127" s="600"/>
      <c r="F7127" s="601"/>
      <c r="G7127" s="81"/>
      <c r="H7127" s="81"/>
      <c r="I7127" s="81"/>
      <c r="J7127" s="81"/>
      <c r="K7127" s="81"/>
      <c r="L7127" s="81"/>
      <c r="M7127" s="81"/>
      <c r="N7127" s="81"/>
    </row>
    <row r="7128" spans="1:14" ht="14.25" customHeight="1" x14ac:dyDescent="0.25">
      <c r="A7128" s="602" t="s">
        <v>561</v>
      </c>
      <c r="B7128" s="600"/>
      <c r="C7128" s="600"/>
      <c r="D7128" s="600"/>
      <c r="E7128" s="600"/>
      <c r="F7128" s="601"/>
      <c r="G7128" s="81"/>
      <c r="H7128" s="81"/>
      <c r="I7128" s="81"/>
      <c r="J7128" s="81"/>
      <c r="K7128" s="81"/>
      <c r="L7128" s="81"/>
      <c r="M7128" s="81"/>
      <c r="N7128" s="81"/>
    </row>
    <row r="7129" spans="1:14" ht="14.25" customHeight="1" thickBot="1" x14ac:dyDescent="0.3">
      <c r="A7129" s="603"/>
      <c r="B7129" s="604"/>
      <c r="C7129" s="604"/>
      <c r="D7129" s="604"/>
      <c r="E7129" s="604"/>
      <c r="F7129" s="605"/>
      <c r="G7129" s="81"/>
      <c r="H7129" s="81"/>
      <c r="I7129" s="81"/>
      <c r="J7129" s="81"/>
      <c r="K7129" s="81"/>
      <c r="L7129" s="81"/>
      <c r="M7129" s="81"/>
      <c r="N7129" s="81"/>
    </row>
    <row r="7130" spans="1:14" ht="14.25" customHeight="1" x14ac:dyDescent="0.25">
      <c r="A7130" s="88"/>
      <c r="B7130" s="88"/>
      <c r="C7130" s="89"/>
      <c r="D7130" s="89"/>
      <c r="E7130" s="89"/>
      <c r="F7130" s="89"/>
      <c r="G7130" s="81"/>
      <c r="H7130" s="81"/>
      <c r="I7130" s="81"/>
      <c r="J7130" s="81"/>
      <c r="K7130" s="81"/>
      <c r="L7130" s="81"/>
      <c r="M7130" s="81"/>
      <c r="N7130" s="81"/>
    </row>
    <row r="7131" spans="1:14" ht="14.25" customHeight="1" x14ac:dyDescent="0.25">
      <c r="A7131" s="90" t="s">
        <v>47</v>
      </c>
      <c r="B7131" s="613" t="s">
        <v>1054</v>
      </c>
      <c r="C7131" s="600"/>
      <c r="D7131" s="600"/>
      <c r="E7131" s="600"/>
      <c r="F7131" s="600"/>
      <c r="G7131" s="81"/>
      <c r="H7131" s="81"/>
      <c r="I7131" s="81"/>
      <c r="J7131" s="81"/>
      <c r="K7131" s="81"/>
      <c r="L7131" s="81"/>
      <c r="M7131" s="81"/>
      <c r="N7131" s="81"/>
    </row>
    <row r="7132" spans="1:14" ht="14.25" customHeight="1" x14ac:dyDescent="0.25">
      <c r="A7132" s="91"/>
      <c r="B7132" s="91"/>
      <c r="C7132" s="91"/>
      <c r="D7132" s="91"/>
      <c r="E7132" s="91"/>
      <c r="F7132" s="91"/>
      <c r="G7132" s="81"/>
      <c r="H7132" s="81"/>
      <c r="I7132" s="81"/>
      <c r="J7132" s="81"/>
      <c r="K7132" s="81"/>
      <c r="L7132" s="81"/>
      <c r="M7132" s="81"/>
      <c r="N7132" s="81"/>
    </row>
    <row r="7133" spans="1:14" ht="14.25" customHeight="1" x14ac:dyDescent="0.25">
      <c r="A7133" s="88" t="s">
        <v>49</v>
      </c>
      <c r="B7133" s="92" t="s">
        <v>99</v>
      </c>
      <c r="C7133" s="89"/>
      <c r="D7133" s="89"/>
      <c r="E7133" s="89"/>
      <c r="F7133" s="93"/>
      <c r="G7133" s="81"/>
      <c r="H7133" s="81"/>
      <c r="I7133" s="81"/>
      <c r="J7133" s="81"/>
      <c r="K7133" s="81"/>
      <c r="L7133" s="81"/>
      <c r="M7133" s="81"/>
      <c r="N7133" s="81"/>
    </row>
    <row r="7134" spans="1:14" ht="14.25" customHeight="1" x14ac:dyDescent="0.25">
      <c r="A7134" s="88"/>
      <c r="B7134" s="94"/>
      <c r="C7134" s="89"/>
      <c r="D7134" s="89"/>
      <c r="E7134" s="89"/>
      <c r="F7134" s="93"/>
      <c r="G7134" s="81"/>
      <c r="H7134" s="81"/>
      <c r="I7134" s="81"/>
      <c r="J7134" s="81"/>
      <c r="K7134" s="81"/>
      <c r="L7134" s="81"/>
      <c r="M7134" s="81"/>
      <c r="N7134" s="81"/>
    </row>
    <row r="7135" spans="1:14" ht="14.25" customHeight="1" x14ac:dyDescent="0.25">
      <c r="A7135" s="95" t="s">
        <v>562</v>
      </c>
      <c r="B7135" s="96"/>
      <c r="C7135" s="92"/>
      <c r="D7135" s="92"/>
      <c r="E7135" s="92"/>
      <c r="F7135" s="92"/>
      <c r="G7135" s="81"/>
      <c r="H7135" s="81"/>
      <c r="I7135" s="81"/>
      <c r="J7135" s="81"/>
      <c r="K7135" s="81"/>
      <c r="L7135" s="81"/>
      <c r="M7135" s="81"/>
      <c r="N7135" s="81"/>
    </row>
    <row r="7136" spans="1:14" ht="14.25" customHeight="1" x14ac:dyDescent="0.25">
      <c r="A7136" s="97" t="s">
        <v>563</v>
      </c>
      <c r="B7136" s="98" t="s">
        <v>564</v>
      </c>
      <c r="C7136" s="98" t="s">
        <v>565</v>
      </c>
      <c r="D7136" s="98" t="s">
        <v>566</v>
      </c>
      <c r="E7136" s="98" t="s">
        <v>567</v>
      </c>
      <c r="F7136" s="98" t="s">
        <v>568</v>
      </c>
      <c r="G7136" s="81"/>
      <c r="H7136" s="81"/>
      <c r="I7136" s="81"/>
      <c r="J7136" s="81"/>
      <c r="K7136" s="81"/>
      <c r="L7136" s="81"/>
      <c r="M7136" s="81"/>
      <c r="N7136" s="81"/>
    </row>
    <row r="7137" spans="1:14" ht="14.25" customHeight="1" x14ac:dyDescent="0.25">
      <c r="A7137" s="99" t="s">
        <v>793</v>
      </c>
      <c r="B7137" s="100" t="s">
        <v>99</v>
      </c>
      <c r="C7137" s="101">
        <v>285470</v>
      </c>
      <c r="D7137" s="149">
        <v>1</v>
      </c>
      <c r="E7137" s="102"/>
      <c r="F7137" s="101">
        <f t="shared" ref="F7137:F7140" si="351">C7137*(D7137+(D7137*E7137))</f>
        <v>285470</v>
      </c>
      <c r="G7137" s="81"/>
      <c r="H7137" s="81"/>
      <c r="I7137" s="81"/>
      <c r="J7137" s="81"/>
      <c r="K7137" s="81"/>
      <c r="L7137" s="81"/>
      <c r="M7137" s="81"/>
      <c r="N7137" s="81"/>
    </row>
    <row r="7138" spans="1:14" ht="14.25" customHeight="1" x14ac:dyDescent="0.25">
      <c r="A7138" s="99" t="s">
        <v>794</v>
      </c>
      <c r="B7138" s="100" t="s">
        <v>99</v>
      </c>
      <c r="C7138" s="101">
        <v>130730</v>
      </c>
      <c r="D7138" s="149">
        <v>1</v>
      </c>
      <c r="E7138" s="102"/>
      <c r="F7138" s="101">
        <f t="shared" si="351"/>
        <v>130730</v>
      </c>
      <c r="G7138" s="81"/>
      <c r="H7138" s="81"/>
      <c r="I7138" s="81"/>
      <c r="J7138" s="81"/>
      <c r="K7138" s="81"/>
      <c r="L7138" s="81"/>
      <c r="M7138" s="81"/>
      <c r="N7138" s="81"/>
    </row>
    <row r="7139" spans="1:14" ht="14.25" customHeight="1" x14ac:dyDescent="0.25">
      <c r="A7139" s="103" t="s">
        <v>737</v>
      </c>
      <c r="B7139" s="100" t="s">
        <v>117</v>
      </c>
      <c r="C7139" s="101">
        <v>1290</v>
      </c>
      <c r="D7139" s="105">
        <v>2</v>
      </c>
      <c r="E7139" s="102">
        <v>0.05</v>
      </c>
      <c r="F7139" s="101">
        <f t="shared" si="351"/>
        <v>2709</v>
      </c>
      <c r="G7139" s="81"/>
      <c r="H7139" s="81"/>
      <c r="I7139" s="81"/>
      <c r="J7139" s="81"/>
      <c r="K7139" s="81"/>
      <c r="L7139" s="81"/>
      <c r="M7139" s="81"/>
      <c r="N7139" s="81"/>
    </row>
    <row r="7140" spans="1:14" ht="14.25" customHeight="1" x14ac:dyDescent="0.25">
      <c r="A7140" s="99" t="s">
        <v>795</v>
      </c>
      <c r="B7140" s="100" t="s">
        <v>99</v>
      </c>
      <c r="C7140" s="101">
        <v>3950</v>
      </c>
      <c r="D7140" s="149">
        <v>1</v>
      </c>
      <c r="E7140" s="102"/>
      <c r="F7140" s="101">
        <f t="shared" si="351"/>
        <v>3950</v>
      </c>
      <c r="G7140" s="81"/>
      <c r="H7140" s="81"/>
      <c r="I7140" s="81"/>
      <c r="J7140" s="81"/>
      <c r="K7140" s="81"/>
      <c r="L7140" s="81"/>
      <c r="M7140" s="81"/>
      <c r="N7140" s="81"/>
    </row>
    <row r="7141" spans="1:14" ht="14.25" customHeight="1" x14ac:dyDescent="0.25">
      <c r="A7141" s="99"/>
      <c r="B7141" s="100"/>
      <c r="C7141" s="106"/>
      <c r="D7141" s="107"/>
      <c r="E7141" s="108"/>
      <c r="F7141" s="106"/>
      <c r="G7141" s="81"/>
      <c r="H7141" s="81"/>
      <c r="I7141" s="81"/>
      <c r="J7141" s="81"/>
      <c r="K7141" s="81"/>
      <c r="L7141" s="81"/>
      <c r="M7141" s="81"/>
      <c r="N7141" s="81"/>
    </row>
    <row r="7142" spans="1:14" ht="14.25" customHeight="1" x14ac:dyDescent="0.25">
      <c r="A7142" s="97" t="s">
        <v>548</v>
      </c>
      <c r="B7142" s="97"/>
      <c r="C7142" s="109"/>
      <c r="D7142" s="110"/>
      <c r="E7142" s="111"/>
      <c r="F7142" s="112">
        <f>SUM(F7137:F7141)</f>
        <v>422859</v>
      </c>
      <c r="G7142" s="81"/>
      <c r="H7142" s="81"/>
      <c r="I7142" s="81"/>
      <c r="J7142" s="81"/>
      <c r="K7142" s="81"/>
      <c r="L7142" s="81"/>
      <c r="M7142" s="81"/>
      <c r="N7142" s="81"/>
    </row>
    <row r="7143" spans="1:14" ht="14.25" customHeight="1" x14ac:dyDescent="0.25">
      <c r="A7143" s="88"/>
      <c r="B7143" s="88"/>
      <c r="C7143" s="113"/>
      <c r="D7143" s="113"/>
      <c r="E7143" s="114"/>
      <c r="F7143" s="113"/>
      <c r="G7143" s="81"/>
      <c r="H7143" s="81"/>
      <c r="I7143" s="81"/>
      <c r="J7143" s="81"/>
      <c r="K7143" s="81"/>
      <c r="L7143" s="81"/>
      <c r="M7143" s="81"/>
      <c r="N7143" s="81"/>
    </row>
    <row r="7144" spans="1:14" ht="14.25" customHeight="1" x14ac:dyDescent="0.25">
      <c r="A7144" s="96" t="s">
        <v>573</v>
      </c>
      <c r="B7144" s="96"/>
      <c r="C7144" s="92"/>
      <c r="D7144" s="92"/>
      <c r="E7144" s="92"/>
      <c r="F7144" s="92"/>
      <c r="G7144" s="81"/>
      <c r="H7144" s="81"/>
      <c r="I7144" s="81"/>
      <c r="J7144" s="81"/>
      <c r="K7144" s="81"/>
      <c r="L7144" s="81"/>
      <c r="M7144" s="81"/>
      <c r="N7144" s="81"/>
    </row>
    <row r="7145" spans="1:14" ht="15.75" x14ac:dyDescent="0.25">
      <c r="A7145" s="611" t="s">
        <v>563</v>
      </c>
      <c r="B7145" s="608"/>
      <c r="C7145" s="609"/>
      <c r="D7145" s="98" t="s">
        <v>574</v>
      </c>
      <c r="E7145" s="98" t="s">
        <v>575</v>
      </c>
      <c r="F7145" s="98" t="s">
        <v>568</v>
      </c>
      <c r="G7145" s="81"/>
      <c r="H7145" s="81"/>
      <c r="I7145" s="81"/>
      <c r="J7145" s="81"/>
      <c r="K7145" s="81"/>
      <c r="L7145" s="81"/>
      <c r="M7145" s="81"/>
      <c r="N7145" s="81"/>
    </row>
    <row r="7146" spans="1:14" ht="14.25" customHeight="1" x14ac:dyDescent="0.25">
      <c r="A7146" s="607" t="s">
        <v>577</v>
      </c>
      <c r="B7146" s="608"/>
      <c r="C7146" s="609"/>
      <c r="D7146" s="116"/>
      <c r="E7146" s="107"/>
      <c r="F7146" s="106">
        <v>1611</v>
      </c>
      <c r="G7146" s="81"/>
      <c r="H7146" s="81"/>
      <c r="I7146" s="81"/>
      <c r="J7146" s="81"/>
      <c r="K7146" s="81"/>
      <c r="L7146" s="81"/>
      <c r="M7146" s="81"/>
      <c r="N7146" s="81"/>
    </row>
    <row r="7147" spans="1:14" ht="14.25" customHeight="1" x14ac:dyDescent="0.25">
      <c r="A7147" s="607"/>
      <c r="B7147" s="608"/>
      <c r="C7147" s="609"/>
      <c r="D7147" s="142"/>
      <c r="E7147" s="107"/>
      <c r="F7147" s="106"/>
      <c r="G7147" s="81"/>
      <c r="H7147" s="81"/>
      <c r="I7147" s="81"/>
      <c r="J7147" s="81"/>
      <c r="K7147" s="81"/>
      <c r="L7147" s="81"/>
      <c r="M7147" s="81"/>
      <c r="N7147" s="81"/>
    </row>
    <row r="7148" spans="1:14" ht="14.25" customHeight="1" x14ac:dyDescent="0.25">
      <c r="A7148" s="607"/>
      <c r="B7148" s="608"/>
      <c r="C7148" s="609"/>
      <c r="D7148" s="142"/>
      <c r="E7148" s="107"/>
      <c r="F7148" s="106"/>
      <c r="G7148" s="81"/>
      <c r="H7148" s="81"/>
      <c r="I7148" s="81"/>
      <c r="J7148" s="81"/>
      <c r="K7148" s="81"/>
      <c r="L7148" s="81"/>
      <c r="M7148" s="81"/>
      <c r="N7148" s="81"/>
    </row>
    <row r="7149" spans="1:14" ht="14.25" customHeight="1" x14ac:dyDescent="0.25">
      <c r="A7149" s="607"/>
      <c r="B7149" s="608"/>
      <c r="C7149" s="609"/>
      <c r="D7149" s="142"/>
      <c r="E7149" s="107"/>
      <c r="F7149" s="106"/>
      <c r="G7149" s="81"/>
      <c r="H7149" s="81"/>
      <c r="I7149" s="81"/>
      <c r="J7149" s="81"/>
      <c r="K7149" s="81"/>
      <c r="L7149" s="81"/>
      <c r="M7149" s="81"/>
      <c r="N7149" s="81"/>
    </row>
    <row r="7150" spans="1:14" ht="14.25" customHeight="1" x14ac:dyDescent="0.25">
      <c r="A7150" s="607"/>
      <c r="B7150" s="608"/>
      <c r="C7150" s="609"/>
      <c r="D7150" s="142"/>
      <c r="E7150" s="107"/>
      <c r="F7150" s="106"/>
      <c r="G7150" s="81"/>
      <c r="H7150" s="81"/>
      <c r="I7150" s="81"/>
      <c r="J7150" s="81"/>
      <c r="K7150" s="81"/>
      <c r="L7150" s="81"/>
      <c r="M7150" s="81"/>
      <c r="N7150" s="81"/>
    </row>
    <row r="7151" spans="1:14" ht="14.25" customHeight="1" x14ac:dyDescent="0.25">
      <c r="A7151" s="607"/>
      <c r="B7151" s="608"/>
      <c r="C7151" s="609"/>
      <c r="D7151" s="142"/>
      <c r="E7151" s="105"/>
      <c r="F7151" s="106"/>
      <c r="G7151" s="81"/>
      <c r="H7151" s="81"/>
      <c r="I7151" s="81"/>
      <c r="J7151" s="81"/>
      <c r="K7151" s="81"/>
      <c r="L7151" s="81"/>
      <c r="M7151" s="81"/>
      <c r="N7151" s="81"/>
    </row>
    <row r="7152" spans="1:14" ht="14.25" customHeight="1" x14ac:dyDescent="0.25">
      <c r="A7152" s="610"/>
      <c r="B7152" s="608"/>
      <c r="C7152" s="609"/>
      <c r="D7152" s="115"/>
      <c r="E7152" s="107"/>
      <c r="F7152" s="106"/>
      <c r="G7152" s="81"/>
      <c r="H7152" s="81"/>
      <c r="I7152" s="81"/>
      <c r="J7152" s="81"/>
      <c r="K7152" s="81"/>
      <c r="L7152" s="81"/>
      <c r="M7152" s="81"/>
      <c r="N7152" s="81"/>
    </row>
    <row r="7153" spans="1:14" ht="14.25" customHeight="1" x14ac:dyDescent="0.25">
      <c r="A7153" s="611" t="s">
        <v>548</v>
      </c>
      <c r="B7153" s="608"/>
      <c r="C7153" s="609"/>
      <c r="D7153" s="110"/>
      <c r="E7153" s="110"/>
      <c r="F7153" s="112">
        <f>SUM(F7146:F7152)</f>
        <v>1611</v>
      </c>
      <c r="G7153" s="81"/>
      <c r="H7153" s="81"/>
      <c r="I7153" s="81"/>
      <c r="J7153" s="81"/>
      <c r="K7153" s="81"/>
      <c r="L7153" s="81"/>
      <c r="M7153" s="81"/>
      <c r="N7153" s="81"/>
    </row>
    <row r="7154" spans="1:14" ht="14.25" customHeight="1" x14ac:dyDescent="0.25">
      <c r="A7154" s="88"/>
      <c r="B7154" s="88"/>
      <c r="C7154" s="89"/>
      <c r="D7154" s="113"/>
      <c r="E7154" s="113"/>
      <c r="F7154" s="113"/>
      <c r="G7154" s="81"/>
      <c r="H7154" s="81"/>
      <c r="I7154" s="81"/>
      <c r="J7154" s="81"/>
      <c r="K7154" s="81"/>
      <c r="L7154" s="81"/>
      <c r="M7154" s="81"/>
      <c r="N7154" s="81"/>
    </row>
    <row r="7155" spans="1:14" ht="14.25" customHeight="1" x14ac:dyDescent="0.25">
      <c r="A7155" s="96" t="s">
        <v>578</v>
      </c>
      <c r="B7155" s="96"/>
      <c r="C7155" s="92"/>
      <c r="D7155" s="118"/>
      <c r="E7155" s="118"/>
      <c r="F7155" s="118"/>
      <c r="G7155" s="81"/>
      <c r="H7155" s="81"/>
      <c r="I7155" s="81"/>
      <c r="J7155" s="81"/>
      <c r="K7155" s="81"/>
      <c r="L7155" s="81"/>
      <c r="M7155" s="81"/>
      <c r="N7155" s="81"/>
    </row>
    <row r="7156" spans="1:14" ht="14.25" customHeight="1" x14ac:dyDescent="0.25">
      <c r="A7156" s="119" t="s">
        <v>563</v>
      </c>
      <c r="B7156" s="120" t="s">
        <v>579</v>
      </c>
      <c r="C7156" s="120" t="s">
        <v>580</v>
      </c>
      <c r="D7156" s="121" t="s">
        <v>581</v>
      </c>
      <c r="E7156" s="121" t="s">
        <v>575</v>
      </c>
      <c r="F7156" s="121" t="s">
        <v>568</v>
      </c>
      <c r="G7156" s="81"/>
      <c r="H7156" s="81"/>
      <c r="I7156" s="81"/>
      <c r="J7156" s="81"/>
      <c r="K7156" s="81"/>
      <c r="L7156" s="81"/>
      <c r="M7156" s="81"/>
      <c r="N7156" s="81"/>
    </row>
    <row r="7157" spans="1:14" ht="14.25" customHeight="1" x14ac:dyDescent="0.25">
      <c r="A7157" s="122" t="s">
        <v>593</v>
      </c>
      <c r="B7157" s="127">
        <v>1</v>
      </c>
      <c r="C7157" s="101">
        <v>32688</v>
      </c>
      <c r="D7157" s="101">
        <f t="shared" ref="D7157:D7158" si="352">+C7157*1.7</f>
        <v>55569.599999999999</v>
      </c>
      <c r="E7157" s="107">
        <v>3</v>
      </c>
      <c r="F7157" s="106">
        <f t="shared" ref="F7157:F7158" si="353">+B7157*(D7157)/E7157</f>
        <v>18523.2</v>
      </c>
      <c r="G7157" s="81"/>
      <c r="H7157" s="81"/>
      <c r="I7157" s="81"/>
      <c r="J7157" s="81"/>
      <c r="K7157" s="81"/>
      <c r="L7157" s="81"/>
      <c r="M7157" s="81"/>
      <c r="N7157" s="81"/>
    </row>
    <row r="7158" spans="1:14" ht="14.25" customHeight="1" x14ac:dyDescent="0.25">
      <c r="A7158" s="122" t="s">
        <v>594</v>
      </c>
      <c r="B7158" s="127">
        <v>1</v>
      </c>
      <c r="C7158" s="101">
        <v>52538</v>
      </c>
      <c r="D7158" s="101">
        <f t="shared" si="352"/>
        <v>89314.599999999991</v>
      </c>
      <c r="E7158" s="107">
        <f>E7157</f>
        <v>3</v>
      </c>
      <c r="F7158" s="106">
        <f t="shared" si="353"/>
        <v>29771.533333333329</v>
      </c>
      <c r="G7158" s="81"/>
      <c r="H7158" s="81"/>
      <c r="I7158" s="81"/>
      <c r="J7158" s="81"/>
      <c r="K7158" s="81"/>
      <c r="L7158" s="81"/>
      <c r="M7158" s="81"/>
      <c r="N7158" s="81"/>
    </row>
    <row r="7159" spans="1:14" ht="14.25" customHeight="1" x14ac:dyDescent="0.25">
      <c r="A7159" s="122"/>
      <c r="B7159" s="127"/>
      <c r="C7159" s="101"/>
      <c r="D7159" s="101"/>
      <c r="E7159" s="107"/>
      <c r="F7159" s="106"/>
      <c r="G7159" s="81"/>
      <c r="H7159" s="281">
        <f>4262-F8127</f>
        <v>0</v>
      </c>
      <c r="I7159" s="81"/>
      <c r="J7159" s="81"/>
      <c r="K7159" s="81"/>
      <c r="L7159" s="81"/>
      <c r="M7159" s="81"/>
      <c r="N7159" s="81"/>
    </row>
    <row r="7160" spans="1:14" ht="14.25" customHeight="1" x14ac:dyDescent="0.25">
      <c r="A7160" s="122"/>
      <c r="B7160" s="127"/>
      <c r="C7160" s="101"/>
      <c r="D7160" s="101"/>
      <c r="E7160" s="125"/>
      <c r="F7160" s="106"/>
      <c r="G7160" s="81"/>
      <c r="H7160" s="81"/>
      <c r="I7160" s="81"/>
      <c r="J7160" s="81"/>
      <c r="K7160" s="81"/>
      <c r="L7160" s="81"/>
      <c r="M7160" s="81"/>
      <c r="N7160" s="81"/>
    </row>
    <row r="7161" spans="1:14" ht="14.25" customHeight="1" x14ac:dyDescent="0.25">
      <c r="A7161" s="97" t="s">
        <v>548</v>
      </c>
      <c r="B7161" s="128"/>
      <c r="C7161" s="110"/>
      <c r="D7161" s="110"/>
      <c r="E7161" s="110"/>
      <c r="F7161" s="112">
        <f>SUM(F7157:F7160)</f>
        <v>48294.73333333333</v>
      </c>
      <c r="G7161" s="81"/>
      <c r="H7161" s="81"/>
      <c r="I7161" s="81"/>
      <c r="J7161" s="81"/>
      <c r="K7161" s="81"/>
      <c r="L7161" s="81"/>
      <c r="M7161" s="81"/>
      <c r="N7161" s="81"/>
    </row>
    <row r="7162" spans="1:14" ht="14.25" customHeight="1" x14ac:dyDescent="0.25">
      <c r="A7162" s="96"/>
      <c r="B7162" s="129"/>
      <c r="C7162" s="118"/>
      <c r="D7162" s="118"/>
      <c r="E7162" s="118"/>
      <c r="F7162" s="118"/>
      <c r="G7162" s="81"/>
      <c r="H7162" s="81"/>
      <c r="I7162" s="81"/>
      <c r="J7162" s="81"/>
      <c r="K7162" s="81"/>
      <c r="L7162" s="81"/>
      <c r="M7162" s="81"/>
      <c r="N7162" s="81"/>
    </row>
    <row r="7163" spans="1:14" ht="14.25" customHeight="1" x14ac:dyDescent="0.25">
      <c r="A7163" s="95" t="s">
        <v>583</v>
      </c>
      <c r="B7163" s="96"/>
      <c r="C7163" s="92"/>
      <c r="D7163" s="92"/>
      <c r="E7163" s="92" t="s">
        <v>584</v>
      </c>
      <c r="F7163" s="92"/>
      <c r="G7163" s="81"/>
      <c r="H7163" s="81"/>
      <c r="I7163" s="81"/>
      <c r="J7163" s="81"/>
      <c r="K7163" s="81"/>
      <c r="L7163" s="81"/>
      <c r="M7163" s="81"/>
      <c r="N7163" s="81"/>
    </row>
    <row r="7164" spans="1:14" ht="14.25" customHeight="1" x14ac:dyDescent="0.25">
      <c r="A7164" s="97" t="s">
        <v>563</v>
      </c>
      <c r="B7164" s="98" t="s">
        <v>564</v>
      </c>
      <c r="C7164" s="98" t="s">
        <v>585</v>
      </c>
      <c r="D7164" s="98" t="s">
        <v>586</v>
      </c>
      <c r="E7164" s="120" t="s">
        <v>587</v>
      </c>
      <c r="F7164" s="98" t="s">
        <v>568</v>
      </c>
      <c r="G7164" s="81"/>
      <c r="H7164" s="81"/>
      <c r="I7164" s="81"/>
      <c r="J7164" s="81"/>
      <c r="K7164" s="81"/>
      <c r="L7164" s="81"/>
      <c r="M7164" s="81"/>
      <c r="N7164" s="81"/>
    </row>
    <row r="7165" spans="1:14" ht="14.25" customHeight="1" x14ac:dyDescent="0.25">
      <c r="A7165" s="103" t="s">
        <v>1329</v>
      </c>
      <c r="B7165" s="100" t="s">
        <v>1330</v>
      </c>
      <c r="C7165" s="101"/>
      <c r="D7165" s="140"/>
      <c r="E7165" s="107"/>
      <c r="F7165" s="109">
        <v>34000</v>
      </c>
      <c r="G7165" s="81"/>
      <c r="H7165" s="81"/>
      <c r="I7165" s="81"/>
      <c r="J7165" s="81"/>
      <c r="K7165" s="81"/>
      <c r="L7165" s="81"/>
      <c r="M7165" s="81"/>
      <c r="N7165" s="81"/>
    </row>
    <row r="7166" spans="1:14" ht="14.25" customHeight="1" x14ac:dyDescent="0.25">
      <c r="A7166" s="103"/>
      <c r="B7166" s="100"/>
      <c r="C7166" s="107"/>
      <c r="D7166" s="107"/>
      <c r="E7166" s="108"/>
      <c r="F7166" s="109"/>
      <c r="G7166" s="81"/>
      <c r="H7166" s="81"/>
      <c r="I7166" s="81"/>
      <c r="J7166" s="81"/>
      <c r="K7166" s="81"/>
      <c r="L7166" s="81"/>
      <c r="M7166" s="81"/>
      <c r="N7166" s="81"/>
    </row>
    <row r="7167" spans="1:14" ht="14.25" customHeight="1" x14ac:dyDescent="0.25">
      <c r="A7167" s="97" t="s">
        <v>548</v>
      </c>
      <c r="B7167" s="98"/>
      <c r="C7167" s="110"/>
      <c r="D7167" s="110"/>
      <c r="E7167" s="111"/>
      <c r="F7167" s="112">
        <f>SUM(F7165:F7166)</f>
        <v>34000</v>
      </c>
      <c r="G7167" s="81"/>
      <c r="H7167" s="81"/>
      <c r="I7167" s="81"/>
      <c r="J7167" s="81"/>
      <c r="K7167" s="81"/>
      <c r="L7167" s="81"/>
      <c r="M7167" s="81"/>
      <c r="N7167" s="81"/>
    </row>
    <row r="7168" spans="1:14" ht="14.25" customHeight="1" x14ac:dyDescent="0.25">
      <c r="A7168" s="88"/>
      <c r="B7168" s="89"/>
      <c r="C7168" s="113"/>
      <c r="D7168" s="113"/>
      <c r="E7168" s="114"/>
      <c r="F7168" s="113"/>
      <c r="G7168" s="81"/>
      <c r="H7168" s="81"/>
      <c r="I7168" s="81"/>
      <c r="J7168" s="81"/>
      <c r="K7168" s="81"/>
      <c r="L7168" s="81"/>
      <c r="M7168" s="81"/>
      <c r="N7168" s="81"/>
    </row>
    <row r="7169" spans="1:14" ht="14.25" customHeight="1" x14ac:dyDescent="0.25">
      <c r="A7169" s="88"/>
      <c r="B7169" s="89"/>
      <c r="C7169" s="113"/>
      <c r="D7169" s="113"/>
      <c r="E7169" s="114"/>
      <c r="F7169" s="113"/>
      <c r="G7169" s="81"/>
      <c r="H7169" s="81"/>
      <c r="I7169" s="81"/>
      <c r="J7169" s="81"/>
      <c r="K7169" s="81"/>
      <c r="L7169" s="81"/>
      <c r="M7169" s="81"/>
      <c r="N7169" s="81"/>
    </row>
    <row r="7170" spans="1:14" ht="14.25" customHeight="1" x14ac:dyDescent="0.25">
      <c r="A7170" s="612" t="s">
        <v>588</v>
      </c>
      <c r="B7170" s="608"/>
      <c r="C7170" s="608"/>
      <c r="D7170" s="608"/>
      <c r="E7170" s="609"/>
      <c r="F7170" s="131">
        <f>ROUND(F7142+F7153+F7161+F7167,0)</f>
        <v>506765</v>
      </c>
      <c r="G7170" s="81"/>
      <c r="H7170" s="81"/>
      <c r="I7170" s="81"/>
      <c r="J7170" s="81"/>
      <c r="K7170" s="81"/>
      <c r="L7170" s="81"/>
      <c r="M7170" s="81"/>
      <c r="N7170" s="81"/>
    </row>
    <row r="7171" spans="1:14" ht="14.25" customHeight="1" x14ac:dyDescent="0.25">
      <c r="A7171" s="612" t="s">
        <v>589</v>
      </c>
      <c r="B7171" s="608"/>
      <c r="C7171" s="608"/>
      <c r="D7171" s="608"/>
      <c r="E7171" s="609"/>
      <c r="F7171" s="132"/>
      <c r="G7171" s="81"/>
      <c r="H7171" s="81"/>
      <c r="I7171" s="81"/>
      <c r="J7171" s="81"/>
      <c r="K7171" s="81"/>
      <c r="L7171" s="81"/>
      <c r="M7171" s="81"/>
      <c r="N7171" s="81"/>
    </row>
    <row r="7172" spans="1:14" ht="14.25" customHeight="1" x14ac:dyDescent="0.25">
      <c r="A7172" s="612" t="s">
        <v>556</v>
      </c>
      <c r="B7172" s="608"/>
      <c r="C7172" s="608"/>
      <c r="D7172" s="608"/>
      <c r="E7172" s="609"/>
      <c r="F7172" s="133"/>
      <c r="G7172" s="81"/>
      <c r="H7172" s="81"/>
      <c r="I7172" s="81"/>
      <c r="J7172" s="81"/>
      <c r="K7172" s="81"/>
      <c r="L7172" s="81"/>
      <c r="M7172" s="81"/>
      <c r="N7172" s="81"/>
    </row>
    <row r="7173" spans="1:14" ht="14.25" customHeight="1" x14ac:dyDescent="0.25">
      <c r="A7173" s="134"/>
      <c r="B7173" s="135"/>
      <c r="C7173" s="135"/>
      <c r="D7173" s="135"/>
      <c r="E7173" s="135"/>
      <c r="F7173" s="136"/>
      <c r="G7173" s="81"/>
      <c r="H7173" s="81"/>
      <c r="I7173" s="81"/>
      <c r="J7173" s="81"/>
      <c r="K7173" s="81"/>
      <c r="L7173" s="81"/>
      <c r="M7173" s="81"/>
      <c r="N7173" s="81"/>
    </row>
    <row r="7174" spans="1:14" ht="14.25" customHeight="1" x14ac:dyDescent="0.25">
      <c r="A7174" s="134"/>
      <c r="B7174" s="135"/>
      <c r="C7174" s="135"/>
      <c r="D7174" s="135"/>
      <c r="E7174" s="135"/>
      <c r="F7174" s="136"/>
      <c r="G7174" s="81"/>
      <c r="H7174" s="81"/>
      <c r="I7174" s="81"/>
      <c r="J7174" s="81"/>
      <c r="K7174" s="81"/>
      <c r="L7174" s="81"/>
      <c r="M7174" s="81"/>
      <c r="N7174" s="81"/>
    </row>
    <row r="7175" spans="1:14" ht="14.25" customHeight="1" x14ac:dyDescent="0.25">
      <c r="A7175" s="134"/>
      <c r="B7175" s="135"/>
      <c r="C7175" s="135"/>
      <c r="D7175" s="135"/>
      <c r="E7175" s="135"/>
      <c r="F7175" s="136"/>
      <c r="G7175" s="81"/>
      <c r="H7175" s="81"/>
      <c r="I7175" s="81"/>
      <c r="J7175" s="81"/>
      <c r="K7175" s="81"/>
      <c r="L7175" s="81"/>
      <c r="M7175" s="81"/>
      <c r="N7175" s="81"/>
    </row>
    <row r="7176" spans="1:14" ht="14.25" customHeight="1" x14ac:dyDescent="0.25">
      <c r="A7176" s="134"/>
      <c r="B7176" s="135"/>
      <c r="C7176" s="135"/>
      <c r="D7176" s="135"/>
      <c r="E7176" s="135"/>
      <c r="F7176" s="136"/>
      <c r="G7176" s="81"/>
      <c r="H7176" s="81"/>
      <c r="I7176" s="81"/>
      <c r="J7176" s="81"/>
      <c r="K7176" s="81"/>
      <c r="L7176" s="81"/>
      <c r="M7176" s="81"/>
      <c r="N7176" s="81"/>
    </row>
    <row r="7177" spans="1:14" ht="14.25" customHeight="1" x14ac:dyDescent="0.25">
      <c r="A7177" s="81"/>
      <c r="B7177" s="81"/>
      <c r="C7177" s="137"/>
      <c r="D7177" s="81"/>
      <c r="E7177" s="81"/>
      <c r="F7177" s="81"/>
      <c r="G7177" s="81"/>
      <c r="H7177" s="81"/>
      <c r="I7177" s="81"/>
      <c r="J7177" s="81"/>
      <c r="K7177" s="81"/>
      <c r="L7177" s="81"/>
      <c r="M7177" s="81"/>
      <c r="N7177" s="81"/>
    </row>
    <row r="7178" spans="1:14" ht="25.5" customHeight="1" x14ac:dyDescent="0.25">
      <c r="A7178" s="81"/>
      <c r="B7178" s="81"/>
      <c r="C7178" s="137"/>
      <c r="D7178" s="81"/>
      <c r="E7178" s="81"/>
      <c r="F7178" s="81"/>
      <c r="G7178" s="81"/>
      <c r="H7178" s="81"/>
      <c r="I7178" s="81"/>
      <c r="J7178" s="81"/>
      <c r="K7178" s="81"/>
      <c r="L7178" s="81"/>
      <c r="M7178" s="81"/>
      <c r="N7178" s="81"/>
    </row>
    <row r="7179" spans="1:14" ht="14.25" customHeight="1" x14ac:dyDescent="0.25">
      <c r="A7179" s="81"/>
      <c r="B7179" s="81"/>
      <c r="C7179" s="137"/>
      <c r="D7179" s="81"/>
      <c r="E7179" s="81"/>
      <c r="F7179" s="81"/>
      <c r="G7179" s="81"/>
      <c r="H7179" s="81"/>
      <c r="I7179" s="81"/>
      <c r="J7179" s="81"/>
      <c r="K7179" s="81"/>
      <c r="L7179" s="81"/>
      <c r="M7179" s="81"/>
      <c r="N7179" s="81"/>
    </row>
    <row r="7180" spans="1:14" ht="14.25" customHeight="1" x14ac:dyDescent="0.25">
      <c r="A7180" s="81"/>
      <c r="B7180" s="81"/>
      <c r="C7180" s="137"/>
      <c r="D7180" s="81"/>
      <c r="E7180" s="81"/>
      <c r="F7180" s="81"/>
      <c r="G7180" s="81"/>
      <c r="H7180" s="81"/>
      <c r="I7180" s="81"/>
      <c r="J7180" s="81"/>
      <c r="K7180" s="81"/>
      <c r="L7180" s="81"/>
      <c r="M7180" s="81"/>
      <c r="N7180" s="81"/>
    </row>
    <row r="7181" spans="1:14" ht="14.25" customHeight="1" thickBot="1" x14ac:dyDescent="0.3">
      <c r="A7181" s="81"/>
      <c r="B7181" s="81"/>
      <c r="C7181" s="81"/>
      <c r="D7181" s="81"/>
      <c r="E7181" s="81"/>
      <c r="F7181" s="81"/>
      <c r="G7181" s="81"/>
      <c r="H7181" s="81"/>
      <c r="I7181" s="81"/>
      <c r="J7181" s="81"/>
      <c r="K7181" s="81"/>
      <c r="L7181" s="81"/>
      <c r="M7181" s="81"/>
      <c r="N7181" s="81"/>
    </row>
    <row r="7182" spans="1:14" ht="14.25" customHeight="1" x14ac:dyDescent="0.25">
      <c r="A7182" s="83"/>
      <c r="B7182" s="84"/>
      <c r="C7182" s="85"/>
      <c r="D7182" s="86"/>
      <c r="E7182" s="86"/>
      <c r="F7182" s="87"/>
      <c r="G7182" s="81"/>
      <c r="H7182" s="81"/>
      <c r="I7182" s="81"/>
      <c r="J7182" s="81"/>
      <c r="K7182" s="81"/>
      <c r="L7182" s="81"/>
      <c r="M7182" s="81"/>
      <c r="N7182" s="81"/>
    </row>
    <row r="7183" spans="1:14" ht="14.25" customHeight="1" x14ac:dyDescent="0.25">
      <c r="A7183" s="599"/>
      <c r="B7183" s="600"/>
      <c r="C7183" s="600"/>
      <c r="D7183" s="600"/>
      <c r="E7183" s="600"/>
      <c r="F7183" s="601"/>
      <c r="G7183" s="81"/>
      <c r="H7183" s="81"/>
      <c r="I7183" s="81"/>
      <c r="J7183" s="81"/>
      <c r="K7183" s="81"/>
      <c r="L7183" s="81"/>
      <c r="M7183" s="81"/>
      <c r="N7183" s="81"/>
    </row>
    <row r="7184" spans="1:14" ht="14.25" customHeight="1" x14ac:dyDescent="0.25">
      <c r="A7184" s="602" t="s">
        <v>561</v>
      </c>
      <c r="B7184" s="600"/>
      <c r="C7184" s="600"/>
      <c r="D7184" s="600"/>
      <c r="E7184" s="600"/>
      <c r="F7184" s="601"/>
      <c r="G7184" s="81"/>
      <c r="H7184" s="81"/>
      <c r="I7184" s="81"/>
      <c r="J7184" s="81"/>
      <c r="K7184" s="81"/>
      <c r="L7184" s="81"/>
      <c r="M7184" s="81"/>
      <c r="N7184" s="81"/>
    </row>
    <row r="7185" spans="1:14" ht="14.25" customHeight="1" thickBot="1" x14ac:dyDescent="0.3">
      <c r="A7185" s="603"/>
      <c r="B7185" s="604"/>
      <c r="C7185" s="604"/>
      <c r="D7185" s="604"/>
      <c r="E7185" s="604"/>
      <c r="F7185" s="605"/>
      <c r="G7185" s="81"/>
      <c r="H7185" s="81"/>
      <c r="I7185" s="81"/>
      <c r="J7185" s="81"/>
      <c r="K7185" s="81"/>
      <c r="L7185" s="81"/>
      <c r="M7185" s="81"/>
      <c r="N7185" s="81"/>
    </row>
    <row r="7186" spans="1:14" ht="14.25" customHeight="1" x14ac:dyDescent="0.25">
      <c r="A7186" s="88"/>
      <c r="B7186" s="88"/>
      <c r="C7186" s="89"/>
      <c r="D7186" s="89"/>
      <c r="E7186" s="89"/>
      <c r="F7186" s="89"/>
      <c r="G7186" s="81"/>
      <c r="H7186" s="81"/>
      <c r="I7186" s="81"/>
      <c r="J7186" s="81"/>
      <c r="K7186" s="81"/>
      <c r="L7186" s="81"/>
      <c r="M7186" s="81"/>
      <c r="N7186" s="81"/>
    </row>
    <row r="7187" spans="1:14" ht="14.25" customHeight="1" x14ac:dyDescent="0.25">
      <c r="A7187" s="90" t="s">
        <v>47</v>
      </c>
      <c r="B7187" s="613" t="s">
        <v>345</v>
      </c>
      <c r="C7187" s="600"/>
      <c r="D7187" s="600"/>
      <c r="E7187" s="600"/>
      <c r="F7187" s="600"/>
      <c r="G7187" s="81"/>
      <c r="H7187" s="81"/>
      <c r="I7187" s="81"/>
      <c r="J7187" s="81"/>
      <c r="K7187" s="81"/>
      <c r="L7187" s="81"/>
      <c r="M7187" s="81"/>
      <c r="N7187" s="81"/>
    </row>
    <row r="7188" spans="1:14" ht="14.25" customHeight="1" x14ac:dyDescent="0.25">
      <c r="A7188" s="91"/>
      <c r="B7188" s="91"/>
      <c r="C7188" s="91"/>
      <c r="D7188" s="91"/>
      <c r="E7188" s="91"/>
      <c r="F7188" s="91"/>
      <c r="G7188" s="81"/>
      <c r="H7188" s="81"/>
      <c r="I7188" s="81"/>
      <c r="J7188" s="81"/>
      <c r="K7188" s="81"/>
      <c r="L7188" s="81"/>
      <c r="M7188" s="81"/>
      <c r="N7188" s="81"/>
    </row>
    <row r="7189" spans="1:14" ht="14.25" customHeight="1" x14ac:dyDescent="0.25">
      <c r="A7189" s="88" t="s">
        <v>49</v>
      </c>
      <c r="B7189" s="92" t="s">
        <v>99</v>
      </c>
      <c r="C7189" s="89"/>
      <c r="D7189" s="89"/>
      <c r="E7189" s="89"/>
      <c r="F7189" s="93"/>
      <c r="G7189" s="81"/>
      <c r="H7189" s="81"/>
      <c r="I7189" s="81"/>
      <c r="J7189" s="81"/>
      <c r="K7189" s="81"/>
      <c r="L7189" s="81"/>
      <c r="M7189" s="81"/>
      <c r="N7189" s="81"/>
    </row>
    <row r="7190" spans="1:14" ht="14.25" customHeight="1" x14ac:dyDescent="0.25">
      <c r="A7190" s="88"/>
      <c r="B7190" s="94"/>
      <c r="C7190" s="89"/>
      <c r="D7190" s="89"/>
      <c r="E7190" s="89"/>
      <c r="F7190" s="93"/>
      <c r="G7190" s="81"/>
      <c r="H7190" s="81"/>
      <c r="I7190" s="81"/>
      <c r="J7190" s="81"/>
      <c r="K7190" s="81"/>
      <c r="L7190" s="81"/>
      <c r="M7190" s="81"/>
      <c r="N7190" s="81"/>
    </row>
    <row r="7191" spans="1:14" ht="14.25" customHeight="1" x14ac:dyDescent="0.25">
      <c r="A7191" s="95" t="s">
        <v>562</v>
      </c>
      <c r="B7191" s="96"/>
      <c r="C7191" s="92"/>
      <c r="D7191" s="92"/>
      <c r="E7191" s="92"/>
      <c r="F7191" s="92"/>
      <c r="G7191" s="81"/>
      <c r="H7191" s="81"/>
      <c r="I7191" s="81"/>
      <c r="J7191" s="81"/>
      <c r="K7191" s="81"/>
      <c r="L7191" s="81"/>
      <c r="M7191" s="81"/>
      <c r="N7191" s="81"/>
    </row>
    <row r="7192" spans="1:14" ht="14.25" customHeight="1" x14ac:dyDescent="0.25">
      <c r="A7192" s="97" t="s">
        <v>563</v>
      </c>
      <c r="B7192" s="98" t="s">
        <v>564</v>
      </c>
      <c r="C7192" s="98" t="s">
        <v>565</v>
      </c>
      <c r="D7192" s="98" t="s">
        <v>566</v>
      </c>
      <c r="E7192" s="98" t="s">
        <v>567</v>
      </c>
      <c r="F7192" s="98" t="s">
        <v>568</v>
      </c>
      <c r="G7192" s="81"/>
      <c r="H7192" s="81"/>
      <c r="I7192" s="81"/>
      <c r="J7192" s="81"/>
      <c r="K7192" s="81"/>
      <c r="L7192" s="81"/>
      <c r="M7192" s="81"/>
      <c r="N7192" s="81"/>
    </row>
    <row r="7193" spans="1:14" ht="14.25" customHeight="1" x14ac:dyDescent="0.25">
      <c r="A7193" s="99" t="s">
        <v>796</v>
      </c>
      <c r="B7193" s="100" t="s">
        <v>99</v>
      </c>
      <c r="C7193" s="101">
        <v>524678</v>
      </c>
      <c r="D7193" s="149">
        <v>1</v>
      </c>
      <c r="E7193" s="102"/>
      <c r="F7193" s="101">
        <f t="shared" ref="F7193:F7195" si="354">C7193*(D7193+(D7193*E7193))</f>
        <v>524678</v>
      </c>
      <c r="G7193" s="81"/>
      <c r="H7193" s="81"/>
      <c r="I7193" s="81"/>
      <c r="J7193" s="81"/>
      <c r="K7193" s="81"/>
      <c r="L7193" s="81"/>
      <c r="M7193" s="81"/>
      <c r="N7193" s="81"/>
    </row>
    <row r="7194" spans="1:14" ht="14.25" customHeight="1" x14ac:dyDescent="0.25">
      <c r="A7194" s="99" t="s">
        <v>797</v>
      </c>
      <c r="B7194" s="100" t="s">
        <v>99</v>
      </c>
      <c r="C7194" s="101">
        <v>502260</v>
      </c>
      <c r="D7194" s="149">
        <v>1</v>
      </c>
      <c r="E7194" s="102"/>
      <c r="F7194" s="101">
        <f t="shared" si="354"/>
        <v>502260</v>
      </c>
      <c r="G7194" s="81"/>
      <c r="H7194" s="81"/>
      <c r="I7194" s="81"/>
      <c r="J7194" s="81"/>
      <c r="K7194" s="81"/>
      <c r="L7194" s="81"/>
      <c r="M7194" s="81"/>
      <c r="N7194" s="81"/>
    </row>
    <row r="7195" spans="1:14" ht="14.25" customHeight="1" x14ac:dyDescent="0.25">
      <c r="A7195" s="103" t="s">
        <v>737</v>
      </c>
      <c r="B7195" s="100" t="s">
        <v>117</v>
      </c>
      <c r="C7195" s="101">
        <v>1290</v>
      </c>
      <c r="D7195" s="105">
        <v>3.5</v>
      </c>
      <c r="E7195" s="102">
        <v>0.05</v>
      </c>
      <c r="F7195" s="101">
        <f t="shared" si="354"/>
        <v>4740.75</v>
      </c>
      <c r="G7195" s="81"/>
      <c r="H7195" s="81"/>
      <c r="I7195" s="81"/>
      <c r="J7195" s="81"/>
      <c r="K7195" s="81"/>
      <c r="L7195" s="81"/>
      <c r="M7195" s="81"/>
      <c r="N7195" s="81"/>
    </row>
    <row r="7196" spans="1:14" ht="14.25" customHeight="1" x14ac:dyDescent="0.25">
      <c r="A7196" s="99"/>
      <c r="B7196" s="100"/>
      <c r="C7196" s="101"/>
      <c r="D7196" s="149"/>
      <c r="E7196" s="102"/>
      <c r="F7196" s="101"/>
      <c r="G7196" s="81"/>
      <c r="H7196" s="81"/>
      <c r="I7196" s="81"/>
      <c r="J7196" s="81"/>
      <c r="K7196" s="81"/>
      <c r="L7196" s="81"/>
      <c r="M7196" s="81"/>
      <c r="N7196" s="81"/>
    </row>
    <row r="7197" spans="1:14" ht="14.25" customHeight="1" x14ac:dyDescent="0.25">
      <c r="A7197" s="99"/>
      <c r="B7197" s="100"/>
      <c r="C7197" s="106"/>
      <c r="D7197" s="107"/>
      <c r="E7197" s="108"/>
      <c r="F7197" s="106"/>
      <c r="G7197" s="81"/>
      <c r="H7197" s="81"/>
      <c r="I7197" s="81"/>
      <c r="J7197" s="81"/>
      <c r="K7197" s="81"/>
      <c r="L7197" s="81"/>
      <c r="M7197" s="81"/>
      <c r="N7197" s="81"/>
    </row>
    <row r="7198" spans="1:14" ht="14.25" customHeight="1" x14ac:dyDescent="0.25">
      <c r="A7198" s="97" t="s">
        <v>548</v>
      </c>
      <c r="B7198" s="97"/>
      <c r="C7198" s="109"/>
      <c r="D7198" s="110"/>
      <c r="E7198" s="111"/>
      <c r="F7198" s="112">
        <f>SUM(F7193:F7197)</f>
        <v>1031678.75</v>
      </c>
      <c r="G7198" s="81"/>
      <c r="H7198" s="81"/>
      <c r="I7198" s="81"/>
      <c r="J7198" s="81"/>
      <c r="K7198" s="81"/>
      <c r="L7198" s="81"/>
      <c r="M7198" s="81"/>
      <c r="N7198" s="81"/>
    </row>
    <row r="7199" spans="1:14" ht="14.25" customHeight="1" x14ac:dyDescent="0.25">
      <c r="A7199" s="88"/>
      <c r="B7199" s="88"/>
      <c r="C7199" s="113"/>
      <c r="D7199" s="113"/>
      <c r="E7199" s="114"/>
      <c r="F7199" s="113"/>
      <c r="G7199" s="81"/>
      <c r="H7199" s="81"/>
      <c r="I7199" s="81"/>
      <c r="J7199" s="81"/>
      <c r="K7199" s="81"/>
      <c r="L7199" s="81"/>
      <c r="M7199" s="81"/>
      <c r="N7199" s="81"/>
    </row>
    <row r="7200" spans="1:14" ht="14.25" customHeight="1" x14ac:dyDescent="0.25">
      <c r="A7200" s="96" t="s">
        <v>573</v>
      </c>
      <c r="B7200" s="96"/>
      <c r="C7200" s="92"/>
      <c r="D7200" s="92"/>
      <c r="E7200" s="92"/>
      <c r="F7200" s="92"/>
      <c r="G7200" s="81"/>
      <c r="H7200" s="81"/>
      <c r="I7200" s="81"/>
      <c r="J7200" s="81"/>
      <c r="K7200" s="81"/>
      <c r="L7200" s="81"/>
      <c r="M7200" s="81"/>
      <c r="N7200" s="81"/>
    </row>
    <row r="7201" spans="1:14" ht="14.25" customHeight="1" x14ac:dyDescent="0.25">
      <c r="A7201" s="611" t="s">
        <v>563</v>
      </c>
      <c r="B7201" s="608"/>
      <c r="C7201" s="609"/>
      <c r="D7201" s="98" t="s">
        <v>574</v>
      </c>
      <c r="E7201" s="98" t="s">
        <v>575</v>
      </c>
      <c r="F7201" s="98" t="s">
        <v>568</v>
      </c>
      <c r="G7201" s="81"/>
      <c r="H7201" s="81"/>
      <c r="I7201" s="81"/>
      <c r="J7201" s="81"/>
      <c r="K7201" s="81"/>
      <c r="L7201" s="81"/>
      <c r="M7201" s="81"/>
      <c r="N7201" s="81"/>
    </row>
    <row r="7202" spans="1:14" ht="15.75" x14ac:dyDescent="0.25">
      <c r="A7202" s="607" t="s">
        <v>577</v>
      </c>
      <c r="B7202" s="608"/>
      <c r="C7202" s="609"/>
      <c r="D7202" s="116"/>
      <c r="E7202" s="107"/>
      <c r="F7202" s="106">
        <f>+F7217*5%</f>
        <v>2587.2178571428576</v>
      </c>
      <c r="G7202" s="81"/>
      <c r="H7202" s="81"/>
      <c r="I7202" s="81"/>
      <c r="J7202" s="81"/>
      <c r="K7202" s="81"/>
      <c r="L7202" s="81"/>
      <c r="M7202" s="81"/>
      <c r="N7202" s="81"/>
    </row>
    <row r="7203" spans="1:14" ht="14.25" customHeight="1" x14ac:dyDescent="0.25">
      <c r="A7203" s="607"/>
      <c r="B7203" s="608"/>
      <c r="C7203" s="609"/>
      <c r="D7203" s="142"/>
      <c r="E7203" s="107"/>
      <c r="F7203" s="106"/>
      <c r="G7203" s="81"/>
      <c r="H7203" s="81"/>
      <c r="I7203" s="81"/>
      <c r="J7203" s="81"/>
      <c r="K7203" s="81"/>
      <c r="L7203" s="81"/>
      <c r="M7203" s="81"/>
      <c r="N7203" s="81"/>
    </row>
    <row r="7204" spans="1:14" ht="14.25" customHeight="1" x14ac:dyDescent="0.25">
      <c r="A7204" s="607"/>
      <c r="B7204" s="608"/>
      <c r="C7204" s="609"/>
      <c r="D7204" s="142"/>
      <c r="E7204" s="107"/>
      <c r="F7204" s="106"/>
      <c r="G7204" s="81"/>
      <c r="H7204" s="81"/>
      <c r="I7204" s="81"/>
      <c r="J7204" s="81"/>
      <c r="K7204" s="81"/>
      <c r="L7204" s="81"/>
      <c r="M7204" s="81"/>
      <c r="N7204" s="81"/>
    </row>
    <row r="7205" spans="1:14" ht="14.25" customHeight="1" x14ac:dyDescent="0.25">
      <c r="A7205" s="607"/>
      <c r="B7205" s="608"/>
      <c r="C7205" s="609"/>
      <c r="D7205" s="142"/>
      <c r="E7205" s="107"/>
      <c r="F7205" s="106"/>
      <c r="G7205" s="81"/>
      <c r="H7205" s="81"/>
      <c r="I7205" s="81"/>
      <c r="J7205" s="81"/>
      <c r="K7205" s="81"/>
      <c r="L7205" s="81"/>
      <c r="M7205" s="81"/>
      <c r="N7205" s="81"/>
    </row>
    <row r="7206" spans="1:14" ht="14.25" customHeight="1" x14ac:dyDescent="0.25">
      <c r="A7206" s="607"/>
      <c r="B7206" s="608"/>
      <c r="C7206" s="609"/>
      <c r="D7206" s="142"/>
      <c r="E7206" s="107"/>
      <c r="F7206" s="106"/>
      <c r="G7206" s="81"/>
      <c r="H7206" s="81"/>
      <c r="I7206" s="81"/>
      <c r="J7206" s="81"/>
      <c r="K7206" s="81"/>
      <c r="L7206" s="81"/>
      <c r="M7206" s="81"/>
      <c r="N7206" s="81"/>
    </row>
    <row r="7207" spans="1:14" ht="14.25" customHeight="1" x14ac:dyDescent="0.25">
      <c r="A7207" s="607"/>
      <c r="B7207" s="608"/>
      <c r="C7207" s="609"/>
      <c r="D7207" s="142"/>
      <c r="E7207" s="105"/>
      <c r="F7207" s="106"/>
      <c r="G7207" s="81"/>
      <c r="H7207" s="81"/>
      <c r="I7207" s="81"/>
      <c r="J7207" s="81"/>
      <c r="K7207" s="81"/>
      <c r="L7207" s="81"/>
      <c r="M7207" s="81"/>
      <c r="N7207" s="81"/>
    </row>
    <row r="7208" spans="1:14" ht="14.25" customHeight="1" x14ac:dyDescent="0.25">
      <c r="A7208" s="610"/>
      <c r="B7208" s="608"/>
      <c r="C7208" s="609"/>
      <c r="D7208" s="115"/>
      <c r="E7208" s="107"/>
      <c r="F7208" s="106"/>
      <c r="G7208" s="81"/>
      <c r="H7208" s="81"/>
      <c r="I7208" s="81"/>
      <c r="J7208" s="81"/>
      <c r="K7208" s="81"/>
      <c r="L7208" s="81"/>
      <c r="M7208" s="81"/>
      <c r="N7208" s="81"/>
    </row>
    <row r="7209" spans="1:14" ht="14.25" customHeight="1" x14ac:dyDescent="0.25">
      <c r="A7209" s="611" t="s">
        <v>548</v>
      </c>
      <c r="B7209" s="608"/>
      <c r="C7209" s="609"/>
      <c r="D7209" s="110"/>
      <c r="E7209" s="110"/>
      <c r="F7209" s="112">
        <f>SUM(F7202:F7208)</f>
        <v>2587.2178571428576</v>
      </c>
      <c r="G7209" s="81"/>
      <c r="H7209" s="81"/>
      <c r="I7209" s="81"/>
      <c r="J7209" s="81"/>
      <c r="K7209" s="81"/>
      <c r="L7209" s="81"/>
      <c r="M7209" s="81"/>
      <c r="N7209" s="81"/>
    </row>
    <row r="7210" spans="1:14" ht="15.75" x14ac:dyDescent="0.25">
      <c r="A7210" s="88"/>
      <c r="B7210" s="88"/>
      <c r="C7210" s="89"/>
      <c r="D7210" s="113"/>
      <c r="E7210" s="113"/>
      <c r="F7210" s="113"/>
      <c r="G7210" s="81"/>
      <c r="H7210" s="81"/>
      <c r="I7210" s="81"/>
      <c r="J7210" s="81"/>
      <c r="K7210" s="81"/>
      <c r="L7210" s="81"/>
      <c r="M7210" s="81"/>
      <c r="N7210" s="81"/>
    </row>
    <row r="7211" spans="1:14" ht="14.25" customHeight="1" x14ac:dyDescent="0.25">
      <c r="A7211" s="96" t="s">
        <v>578</v>
      </c>
      <c r="B7211" s="96"/>
      <c r="C7211" s="92"/>
      <c r="D7211" s="118"/>
      <c r="E7211" s="118"/>
      <c r="F7211" s="118"/>
      <c r="G7211" s="81"/>
      <c r="H7211" s="81"/>
      <c r="I7211" s="81"/>
      <c r="J7211" s="81"/>
      <c r="K7211" s="81"/>
      <c r="L7211" s="81"/>
      <c r="M7211" s="81"/>
      <c r="N7211" s="81"/>
    </row>
    <row r="7212" spans="1:14" ht="14.25" customHeight="1" x14ac:dyDescent="0.25">
      <c r="A7212" s="119" t="s">
        <v>563</v>
      </c>
      <c r="B7212" s="120" t="s">
        <v>579</v>
      </c>
      <c r="C7212" s="120" t="s">
        <v>580</v>
      </c>
      <c r="D7212" s="121" t="s">
        <v>581</v>
      </c>
      <c r="E7212" s="121" t="s">
        <v>575</v>
      </c>
      <c r="F7212" s="121" t="s">
        <v>568</v>
      </c>
      <c r="G7212" s="81"/>
      <c r="H7212" s="81"/>
      <c r="I7212" s="81"/>
      <c r="J7212" s="81"/>
      <c r="K7212" s="81"/>
      <c r="L7212" s="81"/>
      <c r="M7212" s="81"/>
      <c r="N7212" s="81"/>
    </row>
    <row r="7213" spans="1:14" ht="14.25" customHeight="1" x14ac:dyDescent="0.25">
      <c r="A7213" s="122" t="s">
        <v>593</v>
      </c>
      <c r="B7213" s="127">
        <v>1</v>
      </c>
      <c r="C7213" s="101">
        <v>32688</v>
      </c>
      <c r="D7213" s="101">
        <f t="shared" ref="D7213:D7214" si="355">+C7213*1.7</f>
        <v>55569.599999999999</v>
      </c>
      <c r="E7213" s="107">
        <v>2.8</v>
      </c>
      <c r="F7213" s="106">
        <f t="shared" ref="F7213:F7214" si="356">+B7213*(D7213)/E7213</f>
        <v>19846.285714285714</v>
      </c>
      <c r="G7213" s="81"/>
      <c r="H7213" s="81"/>
      <c r="I7213" s="81"/>
      <c r="J7213" s="81"/>
      <c r="K7213" s="81"/>
      <c r="L7213" s="81"/>
      <c r="M7213" s="81"/>
      <c r="N7213" s="81"/>
    </row>
    <row r="7214" spans="1:14" ht="14.25" customHeight="1" x14ac:dyDescent="0.25">
      <c r="A7214" s="122" t="s">
        <v>594</v>
      </c>
      <c r="B7214" s="127">
        <v>1</v>
      </c>
      <c r="C7214" s="101">
        <v>52538</v>
      </c>
      <c r="D7214" s="101">
        <f t="shared" si="355"/>
        <v>89314.599999999991</v>
      </c>
      <c r="E7214" s="107">
        <f>E7213</f>
        <v>2.8</v>
      </c>
      <c r="F7214" s="106">
        <f t="shared" si="356"/>
        <v>31898.071428571428</v>
      </c>
      <c r="G7214" s="81"/>
      <c r="H7214" s="81"/>
      <c r="I7214" s="81"/>
      <c r="J7214" s="81"/>
      <c r="K7214" s="81"/>
      <c r="L7214" s="81"/>
      <c r="M7214" s="81"/>
      <c r="N7214" s="81"/>
    </row>
    <row r="7215" spans="1:14" ht="14.25" customHeight="1" x14ac:dyDescent="0.25">
      <c r="A7215" s="122"/>
      <c r="B7215" s="127"/>
      <c r="C7215" s="101"/>
      <c r="D7215" s="101"/>
      <c r="E7215" s="107"/>
      <c r="F7215" s="106"/>
      <c r="G7215" s="81"/>
      <c r="H7215" s="81"/>
      <c r="I7215" s="81"/>
      <c r="J7215" s="81"/>
      <c r="K7215" s="81"/>
      <c r="L7215" s="81"/>
      <c r="M7215" s="81"/>
      <c r="N7215" s="81"/>
    </row>
    <row r="7216" spans="1:14" ht="14.25" customHeight="1" x14ac:dyDescent="0.25">
      <c r="A7216" s="122"/>
      <c r="B7216" s="127"/>
      <c r="C7216" s="101"/>
      <c r="D7216" s="101"/>
      <c r="E7216" s="125"/>
      <c r="F7216" s="106"/>
      <c r="G7216" s="81"/>
      <c r="H7216" s="117">
        <f>104000-F8184</f>
        <v>0</v>
      </c>
      <c r="I7216" s="81"/>
      <c r="J7216" s="81"/>
      <c r="K7216" s="81"/>
      <c r="L7216" s="81"/>
      <c r="M7216" s="81"/>
      <c r="N7216" s="81"/>
    </row>
    <row r="7217" spans="1:14" ht="14.25" customHeight="1" x14ac:dyDescent="0.25">
      <c r="A7217" s="97" t="s">
        <v>548</v>
      </c>
      <c r="B7217" s="128"/>
      <c r="C7217" s="110"/>
      <c r="D7217" s="110"/>
      <c r="E7217" s="110"/>
      <c r="F7217" s="112">
        <f>SUM(F7213:F7216)</f>
        <v>51744.357142857145</v>
      </c>
      <c r="G7217" s="81"/>
      <c r="H7217" s="81"/>
      <c r="I7217" s="81"/>
      <c r="J7217" s="81"/>
      <c r="K7217" s="81"/>
      <c r="L7217" s="81"/>
      <c r="M7217" s="81"/>
      <c r="N7217" s="81"/>
    </row>
    <row r="7218" spans="1:14" ht="14.25" customHeight="1" x14ac:dyDescent="0.25">
      <c r="A7218" s="96"/>
      <c r="B7218" s="129"/>
      <c r="C7218" s="118"/>
      <c r="D7218" s="118"/>
      <c r="E7218" s="118"/>
      <c r="F7218" s="118"/>
      <c r="G7218" s="81"/>
      <c r="H7218" s="81"/>
      <c r="I7218" s="81"/>
      <c r="J7218" s="81"/>
      <c r="K7218" s="81"/>
      <c r="L7218" s="81"/>
      <c r="M7218" s="81"/>
      <c r="N7218" s="81"/>
    </row>
    <row r="7219" spans="1:14" ht="14.25" customHeight="1" x14ac:dyDescent="0.25">
      <c r="A7219" s="95" t="s">
        <v>583</v>
      </c>
      <c r="B7219" s="96"/>
      <c r="C7219" s="92"/>
      <c r="D7219" s="92"/>
      <c r="E7219" s="92" t="s">
        <v>584</v>
      </c>
      <c r="F7219" s="92"/>
      <c r="G7219" s="81"/>
      <c r="H7219" s="81"/>
      <c r="I7219" s="81"/>
      <c r="J7219" s="81"/>
      <c r="K7219" s="81"/>
      <c r="L7219" s="81"/>
      <c r="M7219" s="81"/>
      <c r="N7219" s="81"/>
    </row>
    <row r="7220" spans="1:14" ht="14.25" customHeight="1" x14ac:dyDescent="0.25">
      <c r="A7220" s="97" t="s">
        <v>563</v>
      </c>
      <c r="B7220" s="98" t="s">
        <v>564</v>
      </c>
      <c r="C7220" s="98" t="s">
        <v>585</v>
      </c>
      <c r="D7220" s="98" t="s">
        <v>586</v>
      </c>
      <c r="E7220" s="120" t="s">
        <v>587</v>
      </c>
      <c r="F7220" s="98" t="s">
        <v>568</v>
      </c>
      <c r="G7220" s="81"/>
      <c r="H7220" s="143"/>
      <c r="I7220" s="81"/>
      <c r="J7220" s="81"/>
      <c r="K7220" s="81"/>
      <c r="L7220" s="81"/>
      <c r="M7220" s="81"/>
      <c r="N7220" s="81"/>
    </row>
    <row r="7221" spans="1:14" ht="14.25" customHeight="1" x14ac:dyDescent="0.25">
      <c r="A7221" s="103"/>
      <c r="B7221" s="100"/>
      <c r="C7221" s="101"/>
      <c r="D7221" s="140"/>
      <c r="E7221" s="107"/>
      <c r="F7221" s="109"/>
      <c r="G7221" s="81"/>
      <c r="H7221" s="143"/>
      <c r="I7221" s="81"/>
      <c r="J7221" s="81"/>
      <c r="K7221" s="81"/>
      <c r="L7221" s="81"/>
      <c r="M7221" s="81"/>
      <c r="N7221" s="81"/>
    </row>
    <row r="7222" spans="1:14" ht="14.25" customHeight="1" x14ac:dyDescent="0.25">
      <c r="A7222" s="103"/>
      <c r="B7222" s="100"/>
      <c r="C7222" s="107"/>
      <c r="D7222" s="107"/>
      <c r="E7222" s="108"/>
      <c r="F7222" s="109"/>
      <c r="G7222" s="81"/>
      <c r="H7222" s="117"/>
      <c r="I7222" s="81"/>
      <c r="J7222" s="81"/>
      <c r="K7222" s="81"/>
      <c r="L7222" s="81"/>
      <c r="M7222" s="81"/>
      <c r="N7222" s="81"/>
    </row>
    <row r="7223" spans="1:14" ht="14.25" customHeight="1" x14ac:dyDescent="0.25">
      <c r="A7223" s="97" t="s">
        <v>548</v>
      </c>
      <c r="B7223" s="98"/>
      <c r="C7223" s="110"/>
      <c r="D7223" s="110"/>
      <c r="E7223" s="111"/>
      <c r="F7223" s="112">
        <f>SUM(F7221:F7222)</f>
        <v>0</v>
      </c>
      <c r="G7223" s="81"/>
      <c r="H7223" s="81"/>
      <c r="I7223" s="81"/>
      <c r="J7223" s="81"/>
      <c r="K7223" s="81"/>
      <c r="L7223" s="81"/>
      <c r="M7223" s="81"/>
      <c r="N7223" s="81"/>
    </row>
    <row r="7224" spans="1:14" ht="14.25" customHeight="1" x14ac:dyDescent="0.25">
      <c r="A7224" s="88"/>
      <c r="B7224" s="89"/>
      <c r="C7224" s="113"/>
      <c r="D7224" s="113"/>
      <c r="E7224" s="114"/>
      <c r="F7224" s="113"/>
      <c r="G7224" s="81"/>
      <c r="H7224" s="81"/>
      <c r="I7224" s="81"/>
      <c r="J7224" s="81"/>
      <c r="K7224" s="81"/>
      <c r="L7224" s="81"/>
      <c r="M7224" s="81"/>
      <c r="N7224" s="81"/>
    </row>
    <row r="7225" spans="1:14" ht="14.25" customHeight="1" x14ac:dyDescent="0.25">
      <c r="A7225" s="88"/>
      <c r="B7225" s="89"/>
      <c r="C7225" s="113"/>
      <c r="D7225" s="113"/>
      <c r="E7225" s="114"/>
      <c r="F7225" s="113"/>
      <c r="G7225" s="81"/>
      <c r="H7225" s="81"/>
      <c r="I7225" s="81"/>
      <c r="J7225" s="81"/>
      <c r="K7225" s="81"/>
      <c r="L7225" s="81"/>
      <c r="M7225" s="81"/>
      <c r="N7225" s="81"/>
    </row>
    <row r="7226" spans="1:14" ht="14.25" customHeight="1" x14ac:dyDescent="0.25">
      <c r="A7226" s="612" t="s">
        <v>588</v>
      </c>
      <c r="B7226" s="608"/>
      <c r="C7226" s="608"/>
      <c r="D7226" s="608"/>
      <c r="E7226" s="609"/>
      <c r="F7226" s="131">
        <f>ROUND(F7198+F7209+F7217+F7223,0)</f>
        <v>1086010</v>
      </c>
      <c r="G7226" s="81"/>
      <c r="H7226" s="81"/>
      <c r="I7226" s="81"/>
      <c r="J7226" s="81"/>
      <c r="K7226" s="81"/>
      <c r="L7226" s="81"/>
      <c r="M7226" s="81"/>
      <c r="N7226" s="81"/>
    </row>
    <row r="7227" spans="1:14" ht="14.25" customHeight="1" x14ac:dyDescent="0.25">
      <c r="A7227" s="612" t="s">
        <v>589</v>
      </c>
      <c r="B7227" s="608"/>
      <c r="C7227" s="608"/>
      <c r="D7227" s="608"/>
      <c r="E7227" s="609"/>
      <c r="F7227" s="132"/>
      <c r="G7227" s="81"/>
      <c r="H7227" s="81"/>
      <c r="I7227" s="81"/>
      <c r="J7227" s="81"/>
      <c r="K7227" s="81"/>
      <c r="L7227" s="81"/>
      <c r="M7227" s="81"/>
      <c r="N7227" s="81"/>
    </row>
    <row r="7228" spans="1:14" ht="14.25" customHeight="1" x14ac:dyDescent="0.25">
      <c r="A7228" s="612" t="s">
        <v>556</v>
      </c>
      <c r="B7228" s="608"/>
      <c r="C7228" s="608"/>
      <c r="D7228" s="608"/>
      <c r="E7228" s="609"/>
      <c r="F7228" s="133"/>
      <c r="G7228" s="81"/>
      <c r="H7228" s="81"/>
      <c r="I7228" s="81"/>
      <c r="J7228" s="81"/>
      <c r="K7228" s="81"/>
      <c r="L7228" s="81"/>
      <c r="M7228" s="81"/>
      <c r="N7228" s="81"/>
    </row>
    <row r="7229" spans="1:14" ht="14.25" customHeight="1" x14ac:dyDescent="0.25">
      <c r="A7229" s="134"/>
      <c r="B7229" s="135"/>
      <c r="C7229" s="135"/>
      <c r="D7229" s="135"/>
      <c r="E7229" s="135"/>
      <c r="F7229" s="136"/>
      <c r="G7229" s="81"/>
      <c r="H7229" s="81"/>
      <c r="I7229" s="81"/>
      <c r="J7229" s="81"/>
      <c r="K7229" s="81"/>
      <c r="L7229" s="81"/>
      <c r="M7229" s="81"/>
      <c r="N7229" s="81"/>
    </row>
    <row r="7230" spans="1:14" ht="14.25" customHeight="1" x14ac:dyDescent="0.25">
      <c r="A7230" s="134"/>
      <c r="B7230" s="135"/>
      <c r="C7230" s="135"/>
      <c r="D7230" s="135"/>
      <c r="E7230" s="135"/>
      <c r="F7230" s="136"/>
      <c r="G7230" s="81"/>
      <c r="H7230" s="81"/>
      <c r="I7230" s="81"/>
      <c r="J7230" s="81"/>
      <c r="K7230" s="81"/>
      <c r="L7230" s="81"/>
      <c r="M7230" s="81"/>
      <c r="N7230" s="81"/>
    </row>
    <row r="7231" spans="1:14" ht="14.25" customHeight="1" x14ac:dyDescent="0.25">
      <c r="A7231" s="134"/>
      <c r="B7231" s="135"/>
      <c r="C7231" s="135"/>
      <c r="D7231" s="135"/>
      <c r="E7231" s="135"/>
      <c r="F7231" s="136"/>
      <c r="G7231" s="81"/>
      <c r="H7231" s="81"/>
      <c r="I7231" s="81"/>
      <c r="J7231" s="81"/>
      <c r="K7231" s="81"/>
      <c r="L7231" s="81"/>
      <c r="M7231" s="81"/>
      <c r="N7231" s="81"/>
    </row>
    <row r="7232" spans="1:14" ht="14.25" customHeight="1" x14ac:dyDescent="0.25">
      <c r="A7232" s="134"/>
      <c r="B7232" s="135"/>
      <c r="C7232" s="135"/>
      <c r="D7232" s="135"/>
      <c r="E7232" s="135"/>
      <c r="F7232" s="136"/>
      <c r="G7232" s="81"/>
      <c r="H7232" s="81"/>
      <c r="I7232" s="81"/>
      <c r="J7232" s="81"/>
      <c r="K7232" s="81"/>
      <c r="L7232" s="81"/>
      <c r="M7232" s="81"/>
      <c r="N7232" s="81"/>
    </row>
    <row r="7233" spans="1:14" ht="14.25" customHeight="1" x14ac:dyDescent="0.25">
      <c r="A7233" s="81"/>
      <c r="B7233" s="81"/>
      <c r="C7233" s="137"/>
      <c r="D7233" s="81"/>
      <c r="E7233" s="81"/>
      <c r="F7233" s="81"/>
      <c r="G7233" s="81"/>
      <c r="H7233" s="81"/>
      <c r="I7233" s="81"/>
      <c r="J7233" s="81"/>
      <c r="K7233" s="81"/>
      <c r="L7233" s="81"/>
      <c r="M7233" s="81"/>
      <c r="N7233" s="81"/>
    </row>
    <row r="7234" spans="1:14" ht="14.25" customHeight="1" x14ac:dyDescent="0.25">
      <c r="A7234" s="81"/>
      <c r="B7234" s="81"/>
      <c r="C7234" s="137"/>
      <c r="D7234" s="81"/>
      <c r="E7234" s="81"/>
      <c r="F7234" s="81"/>
      <c r="G7234" s="81"/>
      <c r="H7234" s="81"/>
      <c r="I7234" s="81"/>
      <c r="J7234" s="81"/>
      <c r="K7234" s="81"/>
      <c r="L7234" s="81"/>
      <c r="M7234" s="81"/>
      <c r="N7234" s="81"/>
    </row>
    <row r="7235" spans="1:14" ht="14.25" customHeight="1" x14ac:dyDescent="0.25">
      <c r="A7235" s="81"/>
      <c r="B7235" s="81"/>
      <c r="C7235" s="137"/>
      <c r="D7235" s="81"/>
      <c r="E7235" s="81"/>
      <c r="F7235" s="81"/>
      <c r="G7235" s="81"/>
      <c r="H7235" s="81"/>
      <c r="I7235" s="81"/>
      <c r="J7235" s="81"/>
      <c r="K7235" s="81"/>
      <c r="L7235" s="81"/>
      <c r="M7235" s="81"/>
      <c r="N7235" s="81"/>
    </row>
    <row r="7236" spans="1:14" ht="14.25" customHeight="1" x14ac:dyDescent="0.25">
      <c r="A7236" s="81"/>
      <c r="B7236" s="81"/>
      <c r="C7236" s="137"/>
      <c r="D7236" s="81"/>
      <c r="E7236" s="81"/>
      <c r="F7236" s="81"/>
      <c r="G7236" s="81"/>
      <c r="H7236" s="81"/>
      <c r="I7236" s="81"/>
      <c r="J7236" s="81"/>
      <c r="K7236" s="81"/>
      <c r="L7236" s="81"/>
      <c r="M7236" s="81"/>
      <c r="N7236" s="81"/>
    </row>
    <row r="7237" spans="1:14" ht="14.25" customHeight="1" thickBot="1" x14ac:dyDescent="0.3">
      <c r="A7237" s="81"/>
      <c r="B7237" s="81"/>
      <c r="C7237" s="81"/>
      <c r="D7237" s="81"/>
      <c r="E7237" s="81"/>
      <c r="F7237" s="81"/>
      <c r="G7237" s="81"/>
      <c r="H7237" s="81"/>
      <c r="I7237" s="81"/>
      <c r="J7237" s="81"/>
      <c r="K7237" s="81"/>
      <c r="L7237" s="81"/>
      <c r="M7237" s="81"/>
      <c r="N7237" s="81"/>
    </row>
    <row r="7238" spans="1:14" ht="14.25" customHeight="1" x14ac:dyDescent="0.25">
      <c r="A7238" s="83"/>
      <c r="B7238" s="84"/>
      <c r="C7238" s="85"/>
      <c r="D7238" s="86"/>
      <c r="E7238" s="86"/>
      <c r="F7238" s="87"/>
      <c r="G7238" s="81"/>
      <c r="H7238" s="81"/>
      <c r="I7238" s="81"/>
      <c r="J7238" s="81"/>
      <c r="K7238" s="81"/>
      <c r="L7238" s="81"/>
      <c r="M7238" s="81"/>
      <c r="N7238" s="81"/>
    </row>
    <row r="7239" spans="1:14" ht="14.25" customHeight="1" x14ac:dyDescent="0.25">
      <c r="A7239" s="599"/>
      <c r="B7239" s="600"/>
      <c r="C7239" s="600"/>
      <c r="D7239" s="600"/>
      <c r="E7239" s="600"/>
      <c r="F7239" s="601"/>
      <c r="G7239" s="81"/>
      <c r="H7239" s="81"/>
      <c r="I7239" s="81"/>
      <c r="J7239" s="81"/>
      <c r="K7239" s="81"/>
      <c r="L7239" s="81"/>
      <c r="M7239" s="81"/>
      <c r="N7239" s="81"/>
    </row>
    <row r="7240" spans="1:14" ht="14.25" customHeight="1" x14ac:dyDescent="0.25">
      <c r="A7240" s="602" t="s">
        <v>561</v>
      </c>
      <c r="B7240" s="600"/>
      <c r="C7240" s="600"/>
      <c r="D7240" s="600"/>
      <c r="E7240" s="600"/>
      <c r="F7240" s="601"/>
      <c r="G7240" s="81"/>
      <c r="H7240" s="81"/>
      <c r="I7240" s="81"/>
      <c r="J7240" s="81"/>
      <c r="K7240" s="81"/>
      <c r="L7240" s="81"/>
      <c r="M7240" s="81"/>
      <c r="N7240" s="81"/>
    </row>
    <row r="7241" spans="1:14" ht="14.25" customHeight="1" thickBot="1" x14ac:dyDescent="0.3">
      <c r="A7241" s="603"/>
      <c r="B7241" s="604"/>
      <c r="C7241" s="604"/>
      <c r="D7241" s="604"/>
      <c r="E7241" s="604"/>
      <c r="F7241" s="605"/>
      <c r="G7241" s="81"/>
      <c r="H7241" s="81"/>
      <c r="I7241" s="81"/>
      <c r="J7241" s="81"/>
      <c r="K7241" s="81"/>
      <c r="L7241" s="81"/>
      <c r="M7241" s="81"/>
      <c r="N7241" s="81"/>
    </row>
    <row r="7242" spans="1:14" ht="14.25" customHeight="1" x14ac:dyDescent="0.25">
      <c r="A7242" s="88"/>
      <c r="B7242" s="88"/>
      <c r="C7242" s="89"/>
      <c r="D7242" s="89"/>
      <c r="E7242" s="89"/>
      <c r="F7242" s="89"/>
      <c r="G7242" s="81"/>
      <c r="H7242" s="81"/>
      <c r="I7242" s="81"/>
      <c r="J7242" s="81"/>
      <c r="K7242" s="81"/>
      <c r="L7242" s="81"/>
      <c r="M7242" s="81"/>
      <c r="N7242" s="81"/>
    </row>
    <row r="7243" spans="1:14" ht="14.25" customHeight="1" x14ac:dyDescent="0.25">
      <c r="A7243" s="90" t="s">
        <v>47</v>
      </c>
      <c r="B7243" s="613" t="s">
        <v>798</v>
      </c>
      <c r="C7243" s="600"/>
      <c r="D7243" s="600"/>
      <c r="E7243" s="600"/>
      <c r="F7243" s="600"/>
      <c r="G7243" s="81"/>
      <c r="H7243" s="81"/>
      <c r="I7243" s="81"/>
      <c r="J7243" s="81"/>
      <c r="K7243" s="81"/>
      <c r="L7243" s="81"/>
      <c r="M7243" s="81"/>
      <c r="N7243" s="81"/>
    </row>
    <row r="7244" spans="1:14" ht="14.25" customHeight="1" x14ac:dyDescent="0.25">
      <c r="A7244" s="91"/>
      <c r="B7244" s="91"/>
      <c r="C7244" s="91"/>
      <c r="D7244" s="91"/>
      <c r="E7244" s="91"/>
      <c r="F7244" s="91"/>
      <c r="G7244" s="81"/>
      <c r="H7244" s="81"/>
      <c r="I7244" s="81"/>
      <c r="J7244" s="81"/>
      <c r="K7244" s="81"/>
      <c r="L7244" s="81"/>
      <c r="M7244" s="81"/>
      <c r="N7244" s="81"/>
    </row>
    <row r="7245" spans="1:14" ht="14.25" customHeight="1" x14ac:dyDescent="0.25">
      <c r="A7245" s="88" t="s">
        <v>49</v>
      </c>
      <c r="B7245" s="92" t="s">
        <v>99</v>
      </c>
      <c r="C7245" s="89"/>
      <c r="D7245" s="89"/>
      <c r="E7245" s="89"/>
      <c r="F7245" s="93"/>
      <c r="G7245" s="81"/>
      <c r="H7245" s="81"/>
      <c r="I7245" s="81"/>
      <c r="J7245" s="81"/>
      <c r="K7245" s="81"/>
      <c r="L7245" s="81"/>
      <c r="M7245" s="81"/>
      <c r="N7245" s="81"/>
    </row>
    <row r="7246" spans="1:14" ht="14.25" customHeight="1" x14ac:dyDescent="0.25">
      <c r="A7246" s="88"/>
      <c r="B7246" s="94"/>
      <c r="C7246" s="89"/>
      <c r="D7246" s="89"/>
      <c r="E7246" s="89"/>
      <c r="F7246" s="93"/>
      <c r="G7246" s="81"/>
      <c r="H7246" s="81"/>
      <c r="I7246" s="81"/>
      <c r="J7246" s="81"/>
      <c r="K7246" s="81"/>
      <c r="L7246" s="81"/>
      <c r="M7246" s="81"/>
      <c r="N7246" s="81"/>
    </row>
    <row r="7247" spans="1:14" ht="14.25" customHeight="1" x14ac:dyDescent="0.25">
      <c r="A7247" s="95" t="s">
        <v>562</v>
      </c>
      <c r="B7247" s="96"/>
      <c r="C7247" s="92"/>
      <c r="D7247" s="92"/>
      <c r="E7247" s="92"/>
      <c r="F7247" s="92"/>
      <c r="G7247" s="81"/>
      <c r="H7247" s="81"/>
      <c r="I7247" s="81"/>
      <c r="J7247" s="81"/>
      <c r="K7247" s="81"/>
      <c r="L7247" s="81"/>
      <c r="M7247" s="81"/>
      <c r="N7247" s="81"/>
    </row>
    <row r="7248" spans="1:14" ht="14.25" customHeight="1" x14ac:dyDescent="0.25">
      <c r="A7248" s="97" t="s">
        <v>563</v>
      </c>
      <c r="B7248" s="98" t="s">
        <v>564</v>
      </c>
      <c r="C7248" s="98" t="s">
        <v>565</v>
      </c>
      <c r="D7248" s="98" t="s">
        <v>566</v>
      </c>
      <c r="E7248" s="98" t="s">
        <v>567</v>
      </c>
      <c r="F7248" s="98" t="s">
        <v>568</v>
      </c>
      <c r="G7248" s="81"/>
      <c r="H7248" s="81"/>
      <c r="I7248" s="81"/>
      <c r="J7248" s="81"/>
      <c r="K7248" s="81"/>
      <c r="L7248" s="81"/>
      <c r="M7248" s="81"/>
      <c r="N7248" s="81"/>
    </row>
    <row r="7249" spans="1:14" ht="14.25" customHeight="1" x14ac:dyDescent="0.25">
      <c r="A7249" s="99" t="s">
        <v>799</v>
      </c>
      <c r="B7249" s="100" t="s">
        <v>99</v>
      </c>
      <c r="C7249" s="101">
        <v>284855</v>
      </c>
      <c r="D7249" s="149">
        <v>1</v>
      </c>
      <c r="E7249" s="102"/>
      <c r="F7249" s="101">
        <f t="shared" ref="F7249:F7251" si="357">C7249*(D7249+(D7249*E7249))</f>
        <v>284855</v>
      </c>
      <c r="G7249" s="81"/>
      <c r="H7249" s="81"/>
      <c r="I7249" s="81"/>
      <c r="J7249" s="81"/>
      <c r="K7249" s="81"/>
      <c r="L7249" s="81"/>
      <c r="M7249" s="81"/>
      <c r="N7249" s="81"/>
    </row>
    <row r="7250" spans="1:14" ht="14.25" customHeight="1" x14ac:dyDescent="0.25">
      <c r="A7250" s="99" t="s">
        <v>797</v>
      </c>
      <c r="B7250" s="100" t="s">
        <v>99</v>
      </c>
      <c r="C7250" s="101">
        <v>497100</v>
      </c>
      <c r="D7250" s="149">
        <v>1</v>
      </c>
      <c r="E7250" s="102"/>
      <c r="F7250" s="101">
        <f t="shared" si="357"/>
        <v>497100</v>
      </c>
      <c r="G7250" s="81"/>
      <c r="H7250" s="81"/>
      <c r="I7250" s="81"/>
      <c r="J7250" s="81"/>
      <c r="K7250" s="81"/>
      <c r="L7250" s="81"/>
      <c r="M7250" s="81"/>
      <c r="N7250" s="81"/>
    </row>
    <row r="7251" spans="1:14" ht="14.25" customHeight="1" x14ac:dyDescent="0.25">
      <c r="A7251" s="103" t="s">
        <v>737</v>
      </c>
      <c r="B7251" s="100" t="s">
        <v>117</v>
      </c>
      <c r="C7251" s="101">
        <v>1290</v>
      </c>
      <c r="D7251" s="105">
        <v>3</v>
      </c>
      <c r="E7251" s="102">
        <v>0.05</v>
      </c>
      <c r="F7251" s="101">
        <f t="shared" si="357"/>
        <v>4063.5</v>
      </c>
      <c r="G7251" s="81"/>
      <c r="H7251" s="81"/>
      <c r="I7251" s="81"/>
      <c r="J7251" s="81"/>
      <c r="K7251" s="81"/>
      <c r="L7251" s="81"/>
      <c r="M7251" s="81"/>
      <c r="N7251" s="81"/>
    </row>
    <row r="7252" spans="1:14" ht="14.25" customHeight="1" x14ac:dyDescent="0.25">
      <c r="A7252" s="99"/>
      <c r="B7252" s="100"/>
      <c r="C7252" s="101"/>
      <c r="D7252" s="149"/>
      <c r="E7252" s="102"/>
      <c r="F7252" s="101"/>
      <c r="G7252" s="81"/>
      <c r="H7252" s="81"/>
      <c r="I7252" s="81"/>
      <c r="J7252" s="81"/>
      <c r="K7252" s="81"/>
      <c r="L7252" s="81"/>
      <c r="M7252" s="81"/>
      <c r="N7252" s="81"/>
    </row>
    <row r="7253" spans="1:14" ht="14.25" customHeight="1" x14ac:dyDescent="0.25">
      <c r="A7253" s="99"/>
      <c r="B7253" s="100"/>
      <c r="C7253" s="106"/>
      <c r="D7253" s="107"/>
      <c r="E7253" s="108"/>
      <c r="F7253" s="106"/>
      <c r="G7253" s="81"/>
      <c r="H7253" s="81"/>
      <c r="I7253" s="81"/>
      <c r="J7253" s="81"/>
      <c r="K7253" s="81"/>
      <c r="L7253" s="81"/>
      <c r="M7253" s="81"/>
      <c r="N7253" s="81"/>
    </row>
    <row r="7254" spans="1:14" ht="14.25" customHeight="1" x14ac:dyDescent="0.25">
      <c r="A7254" s="97" t="s">
        <v>548</v>
      </c>
      <c r="B7254" s="97"/>
      <c r="C7254" s="109"/>
      <c r="D7254" s="110"/>
      <c r="E7254" s="111"/>
      <c r="F7254" s="112">
        <f>SUM(F7249:F7253)</f>
        <v>786018.5</v>
      </c>
      <c r="G7254" s="81"/>
      <c r="H7254" s="81"/>
      <c r="I7254" s="81"/>
      <c r="J7254" s="81"/>
      <c r="K7254" s="81"/>
      <c r="L7254" s="81"/>
      <c r="M7254" s="81"/>
      <c r="N7254" s="81"/>
    </row>
    <row r="7255" spans="1:14" ht="14.25" customHeight="1" x14ac:dyDescent="0.25">
      <c r="A7255" s="88"/>
      <c r="B7255" s="88"/>
      <c r="C7255" s="113"/>
      <c r="D7255" s="113"/>
      <c r="E7255" s="114"/>
      <c r="F7255" s="113"/>
      <c r="G7255" s="81"/>
      <c r="H7255" s="81"/>
      <c r="I7255" s="81"/>
      <c r="J7255" s="81"/>
      <c r="K7255" s="81"/>
      <c r="L7255" s="81"/>
      <c r="M7255" s="81"/>
      <c r="N7255" s="81"/>
    </row>
    <row r="7256" spans="1:14" ht="14.25" customHeight="1" x14ac:dyDescent="0.25">
      <c r="A7256" s="96" t="s">
        <v>573</v>
      </c>
      <c r="B7256" s="96"/>
      <c r="C7256" s="92"/>
      <c r="D7256" s="92"/>
      <c r="E7256" s="92"/>
      <c r="F7256" s="92"/>
      <c r="G7256" s="81"/>
      <c r="H7256" s="81"/>
      <c r="I7256" s="81"/>
      <c r="J7256" s="81"/>
      <c r="K7256" s="81"/>
      <c r="L7256" s="81"/>
      <c r="M7256" s="81"/>
      <c r="N7256" s="81"/>
    </row>
    <row r="7257" spans="1:14" ht="14.25" customHeight="1" x14ac:dyDescent="0.25">
      <c r="A7257" s="611" t="s">
        <v>563</v>
      </c>
      <c r="B7257" s="608"/>
      <c r="C7257" s="609"/>
      <c r="D7257" s="98" t="s">
        <v>574</v>
      </c>
      <c r="E7257" s="98" t="s">
        <v>575</v>
      </c>
      <c r="F7257" s="98" t="s">
        <v>568</v>
      </c>
      <c r="G7257" s="81"/>
      <c r="H7257" s="81"/>
      <c r="I7257" s="81"/>
      <c r="J7257" s="81"/>
      <c r="K7257" s="81"/>
      <c r="L7257" s="81"/>
      <c r="M7257" s="81"/>
      <c r="N7257" s="81"/>
    </row>
    <row r="7258" spans="1:14" ht="15.75" x14ac:dyDescent="0.25">
      <c r="A7258" s="607" t="s">
        <v>577</v>
      </c>
      <c r="B7258" s="608"/>
      <c r="C7258" s="609"/>
      <c r="D7258" s="116"/>
      <c r="E7258" s="107"/>
      <c r="F7258" s="106">
        <f>+F7273*5%</f>
        <v>2587.2178571428576</v>
      </c>
      <c r="G7258" s="81"/>
      <c r="H7258" s="81"/>
      <c r="I7258" s="81"/>
      <c r="J7258" s="81"/>
      <c r="K7258" s="81"/>
      <c r="L7258" s="81"/>
      <c r="M7258" s="81"/>
      <c r="N7258" s="81"/>
    </row>
    <row r="7259" spans="1:14" ht="14.25" customHeight="1" x14ac:dyDescent="0.25">
      <c r="A7259" s="607"/>
      <c r="B7259" s="608"/>
      <c r="C7259" s="609"/>
      <c r="D7259" s="142"/>
      <c r="E7259" s="107"/>
      <c r="F7259" s="106"/>
      <c r="G7259" s="81"/>
      <c r="H7259" s="81"/>
      <c r="I7259" s="81"/>
      <c r="J7259" s="81"/>
      <c r="K7259" s="81"/>
      <c r="L7259" s="81"/>
      <c r="M7259" s="81"/>
      <c r="N7259" s="81"/>
    </row>
    <row r="7260" spans="1:14" ht="14.25" customHeight="1" x14ac:dyDescent="0.25">
      <c r="A7260" s="607"/>
      <c r="B7260" s="608"/>
      <c r="C7260" s="609"/>
      <c r="D7260" s="142"/>
      <c r="E7260" s="107"/>
      <c r="F7260" s="106"/>
      <c r="G7260" s="81"/>
      <c r="H7260" s="81"/>
      <c r="I7260" s="81"/>
      <c r="J7260" s="81"/>
      <c r="K7260" s="81"/>
      <c r="L7260" s="81"/>
      <c r="M7260" s="81"/>
      <c r="N7260" s="81"/>
    </row>
    <row r="7261" spans="1:14" ht="14.25" customHeight="1" x14ac:dyDescent="0.25">
      <c r="A7261" s="607"/>
      <c r="B7261" s="608"/>
      <c r="C7261" s="609"/>
      <c r="D7261" s="142"/>
      <c r="E7261" s="107"/>
      <c r="F7261" s="106"/>
      <c r="G7261" s="81"/>
      <c r="H7261" s="81"/>
      <c r="I7261" s="81"/>
      <c r="J7261" s="81"/>
      <c r="K7261" s="81"/>
      <c r="L7261" s="81"/>
      <c r="M7261" s="81"/>
      <c r="N7261" s="81"/>
    </row>
    <row r="7262" spans="1:14" ht="14.25" customHeight="1" x14ac:dyDescent="0.25">
      <c r="A7262" s="607"/>
      <c r="B7262" s="608"/>
      <c r="C7262" s="609"/>
      <c r="D7262" s="142"/>
      <c r="E7262" s="107"/>
      <c r="F7262" s="106"/>
      <c r="G7262" s="81"/>
      <c r="H7262" s="81"/>
      <c r="I7262" s="81"/>
      <c r="J7262" s="81"/>
      <c r="K7262" s="81"/>
      <c r="L7262" s="81"/>
      <c r="M7262" s="81"/>
      <c r="N7262" s="81"/>
    </row>
    <row r="7263" spans="1:14" ht="14.25" customHeight="1" x14ac:dyDescent="0.25">
      <c r="A7263" s="607"/>
      <c r="B7263" s="608"/>
      <c r="C7263" s="609"/>
      <c r="D7263" s="142"/>
      <c r="E7263" s="105"/>
      <c r="F7263" s="106"/>
      <c r="G7263" s="81"/>
      <c r="H7263" s="81"/>
      <c r="I7263" s="81"/>
      <c r="J7263" s="81"/>
      <c r="K7263" s="81"/>
      <c r="L7263" s="81"/>
      <c r="M7263" s="81"/>
      <c r="N7263" s="81"/>
    </row>
    <row r="7264" spans="1:14" ht="14.25" customHeight="1" x14ac:dyDescent="0.25">
      <c r="A7264" s="610"/>
      <c r="B7264" s="608"/>
      <c r="C7264" s="609"/>
      <c r="D7264" s="115"/>
      <c r="E7264" s="107"/>
      <c r="F7264" s="106"/>
      <c r="G7264" s="81"/>
      <c r="H7264" s="81"/>
      <c r="I7264" s="81"/>
      <c r="J7264" s="81"/>
      <c r="K7264" s="81"/>
      <c r="L7264" s="81"/>
      <c r="M7264" s="81"/>
      <c r="N7264" s="81"/>
    </row>
    <row r="7265" spans="1:14" ht="14.25" customHeight="1" x14ac:dyDescent="0.25">
      <c r="A7265" s="611" t="s">
        <v>548</v>
      </c>
      <c r="B7265" s="608"/>
      <c r="C7265" s="609"/>
      <c r="D7265" s="110"/>
      <c r="E7265" s="110"/>
      <c r="F7265" s="112">
        <f>SUM(F7258:F7264)</f>
        <v>2587.2178571428576</v>
      </c>
      <c r="G7265" s="81"/>
      <c r="H7265" s="81"/>
      <c r="I7265" s="81"/>
      <c r="J7265" s="81"/>
      <c r="K7265" s="81"/>
      <c r="L7265" s="81"/>
      <c r="M7265" s="81"/>
      <c r="N7265" s="81"/>
    </row>
    <row r="7266" spans="1:14" ht="14.25" customHeight="1" x14ac:dyDescent="0.25">
      <c r="A7266" s="88"/>
      <c r="B7266" s="88"/>
      <c r="C7266" s="89"/>
      <c r="D7266" s="113"/>
      <c r="E7266" s="113"/>
      <c r="F7266" s="113"/>
      <c r="G7266" s="81"/>
      <c r="H7266" s="81"/>
      <c r="I7266" s="81"/>
      <c r="J7266" s="81"/>
      <c r="K7266" s="81"/>
      <c r="L7266" s="81"/>
      <c r="M7266" s="81"/>
      <c r="N7266" s="81"/>
    </row>
    <row r="7267" spans="1:14" ht="14.25" customHeight="1" x14ac:dyDescent="0.25">
      <c r="A7267" s="96" t="s">
        <v>578</v>
      </c>
      <c r="B7267" s="96"/>
      <c r="C7267" s="92"/>
      <c r="D7267" s="118"/>
      <c r="E7267" s="118"/>
      <c r="F7267" s="118"/>
      <c r="G7267" s="81"/>
      <c r="H7267" s="81"/>
      <c r="I7267" s="81"/>
      <c r="J7267" s="81"/>
      <c r="K7267" s="81"/>
      <c r="L7267" s="81"/>
      <c r="M7267" s="81"/>
      <c r="N7267" s="81"/>
    </row>
    <row r="7268" spans="1:14" ht="14.25" customHeight="1" x14ac:dyDescent="0.25">
      <c r="A7268" s="119" t="s">
        <v>563</v>
      </c>
      <c r="B7268" s="120" t="s">
        <v>579</v>
      </c>
      <c r="C7268" s="120" t="s">
        <v>580</v>
      </c>
      <c r="D7268" s="121" t="s">
        <v>581</v>
      </c>
      <c r="E7268" s="121" t="s">
        <v>575</v>
      </c>
      <c r="F7268" s="121" t="s">
        <v>568</v>
      </c>
      <c r="G7268" s="81"/>
      <c r="H7268" s="81"/>
      <c r="I7268" s="81"/>
      <c r="J7268" s="81"/>
      <c r="K7268" s="81"/>
      <c r="L7268" s="81"/>
      <c r="M7268" s="81"/>
      <c r="N7268" s="81"/>
    </row>
    <row r="7269" spans="1:14" ht="14.25" customHeight="1" x14ac:dyDescent="0.25">
      <c r="A7269" s="122" t="s">
        <v>593</v>
      </c>
      <c r="B7269" s="127">
        <v>1</v>
      </c>
      <c r="C7269" s="101">
        <v>32688</v>
      </c>
      <c r="D7269" s="101">
        <f t="shared" ref="D7269:D7270" si="358">+C7269*1.7</f>
        <v>55569.599999999999</v>
      </c>
      <c r="E7269" s="107">
        <v>2.8</v>
      </c>
      <c r="F7269" s="106">
        <f t="shared" ref="F7269:F7270" si="359">+B7269*(D7269)/E7269</f>
        <v>19846.285714285714</v>
      </c>
      <c r="G7269" s="81"/>
      <c r="H7269" s="81"/>
      <c r="I7269" s="81"/>
      <c r="J7269" s="81"/>
      <c r="K7269" s="81"/>
      <c r="L7269" s="81"/>
      <c r="M7269" s="81"/>
      <c r="N7269" s="81"/>
    </row>
    <row r="7270" spans="1:14" ht="14.25" customHeight="1" x14ac:dyDescent="0.25">
      <c r="A7270" s="122" t="s">
        <v>594</v>
      </c>
      <c r="B7270" s="127">
        <v>1</v>
      </c>
      <c r="C7270" s="101">
        <v>52538</v>
      </c>
      <c r="D7270" s="101">
        <f t="shared" si="358"/>
        <v>89314.599999999991</v>
      </c>
      <c r="E7270" s="107">
        <f>E7269</f>
        <v>2.8</v>
      </c>
      <c r="F7270" s="106">
        <f t="shared" si="359"/>
        <v>31898.071428571428</v>
      </c>
      <c r="G7270" s="81"/>
      <c r="H7270" s="81"/>
      <c r="I7270" s="81"/>
      <c r="J7270" s="81"/>
      <c r="K7270" s="81"/>
      <c r="L7270" s="81"/>
      <c r="M7270" s="81"/>
      <c r="N7270" s="81"/>
    </row>
    <row r="7271" spans="1:14" ht="14.25" customHeight="1" x14ac:dyDescent="0.25">
      <c r="A7271" s="122"/>
      <c r="B7271" s="127"/>
      <c r="C7271" s="101"/>
      <c r="D7271" s="101"/>
      <c r="E7271" s="107"/>
      <c r="F7271" s="106"/>
      <c r="G7271" s="81"/>
      <c r="H7271" s="81"/>
      <c r="I7271" s="81"/>
      <c r="J7271" s="81"/>
      <c r="K7271" s="81"/>
      <c r="L7271" s="81"/>
      <c r="M7271" s="81"/>
      <c r="N7271" s="81"/>
    </row>
    <row r="7272" spans="1:14" ht="14.25" customHeight="1" x14ac:dyDescent="0.25">
      <c r="A7272" s="122"/>
      <c r="B7272" s="127"/>
      <c r="C7272" s="101"/>
      <c r="D7272" s="101"/>
      <c r="E7272" s="125"/>
      <c r="F7272" s="106"/>
      <c r="G7272" s="81"/>
      <c r="H7272" s="117">
        <f>59700-F8240</f>
        <v>0</v>
      </c>
      <c r="I7272" s="81"/>
      <c r="J7272" s="81"/>
      <c r="K7272" s="81"/>
      <c r="L7272" s="81"/>
      <c r="M7272" s="81"/>
      <c r="N7272" s="81"/>
    </row>
    <row r="7273" spans="1:14" ht="14.25" customHeight="1" x14ac:dyDescent="0.25">
      <c r="A7273" s="97" t="s">
        <v>548</v>
      </c>
      <c r="B7273" s="128"/>
      <c r="C7273" s="110"/>
      <c r="D7273" s="110"/>
      <c r="E7273" s="110"/>
      <c r="F7273" s="112">
        <f>SUM(F7269:F7272)</f>
        <v>51744.357142857145</v>
      </c>
      <c r="G7273" s="81"/>
      <c r="H7273" s="81"/>
      <c r="I7273" s="81"/>
      <c r="J7273" s="81"/>
      <c r="K7273" s="81"/>
      <c r="L7273" s="81"/>
      <c r="M7273" s="81"/>
      <c r="N7273" s="81"/>
    </row>
    <row r="7274" spans="1:14" ht="14.25" customHeight="1" x14ac:dyDescent="0.25">
      <c r="A7274" s="96"/>
      <c r="B7274" s="129"/>
      <c r="C7274" s="118"/>
      <c r="D7274" s="118"/>
      <c r="E7274" s="118"/>
      <c r="F7274" s="118"/>
      <c r="G7274" s="81"/>
      <c r="H7274" s="81"/>
      <c r="I7274" s="81"/>
      <c r="J7274" s="81"/>
      <c r="K7274" s="81"/>
      <c r="L7274" s="81"/>
      <c r="M7274" s="81"/>
      <c r="N7274" s="81"/>
    </row>
    <row r="7275" spans="1:14" ht="14.25" customHeight="1" x14ac:dyDescent="0.25">
      <c r="A7275" s="95" t="s">
        <v>583</v>
      </c>
      <c r="B7275" s="96"/>
      <c r="C7275" s="92"/>
      <c r="D7275" s="92"/>
      <c r="E7275" s="92" t="s">
        <v>584</v>
      </c>
      <c r="F7275" s="92"/>
      <c r="G7275" s="81"/>
      <c r="H7275" s="81"/>
      <c r="I7275" s="81"/>
      <c r="J7275" s="81"/>
      <c r="K7275" s="81"/>
      <c r="L7275" s="81"/>
      <c r="M7275" s="81"/>
      <c r="N7275" s="81"/>
    </row>
    <row r="7276" spans="1:14" ht="14.25" customHeight="1" x14ac:dyDescent="0.25">
      <c r="A7276" s="97" t="s">
        <v>563</v>
      </c>
      <c r="B7276" s="98" t="s">
        <v>564</v>
      </c>
      <c r="C7276" s="98" t="s">
        <v>585</v>
      </c>
      <c r="D7276" s="98" t="s">
        <v>586</v>
      </c>
      <c r="E7276" s="120" t="s">
        <v>587</v>
      </c>
      <c r="F7276" s="98" t="s">
        <v>568</v>
      </c>
      <c r="G7276" s="81"/>
      <c r="H7276" s="81"/>
      <c r="I7276" s="81"/>
      <c r="J7276" s="81"/>
      <c r="K7276" s="81"/>
      <c r="L7276" s="81"/>
      <c r="M7276" s="81"/>
      <c r="N7276" s="81"/>
    </row>
    <row r="7277" spans="1:14" ht="14.25" customHeight="1" x14ac:dyDescent="0.25">
      <c r="A7277" s="103"/>
      <c r="B7277" s="100"/>
      <c r="C7277" s="101"/>
      <c r="D7277" s="140"/>
      <c r="E7277" s="107"/>
      <c r="F7277" s="109"/>
      <c r="G7277" s="81"/>
      <c r="H7277" s="81"/>
      <c r="I7277" s="81"/>
      <c r="J7277" s="81"/>
      <c r="K7277" s="81"/>
      <c r="L7277" s="81"/>
      <c r="M7277" s="81"/>
      <c r="N7277" s="81"/>
    </row>
    <row r="7278" spans="1:14" ht="14.25" customHeight="1" x14ac:dyDescent="0.25">
      <c r="A7278" s="103"/>
      <c r="B7278" s="100"/>
      <c r="C7278" s="107"/>
      <c r="D7278" s="107"/>
      <c r="E7278" s="108"/>
      <c r="F7278" s="109"/>
      <c r="G7278" s="81"/>
      <c r="H7278" s="81"/>
      <c r="I7278" s="81"/>
      <c r="J7278" s="81"/>
      <c r="K7278" s="81"/>
      <c r="L7278" s="81"/>
      <c r="M7278" s="81"/>
      <c r="N7278" s="81"/>
    </row>
    <row r="7279" spans="1:14" ht="14.25" customHeight="1" x14ac:dyDescent="0.25">
      <c r="A7279" s="97" t="s">
        <v>548</v>
      </c>
      <c r="B7279" s="98"/>
      <c r="C7279" s="110"/>
      <c r="D7279" s="110"/>
      <c r="E7279" s="111"/>
      <c r="F7279" s="112">
        <f>SUM(F7277:F7278)</f>
        <v>0</v>
      </c>
      <c r="G7279" s="81"/>
      <c r="H7279" s="81"/>
      <c r="I7279" s="81"/>
      <c r="J7279" s="81"/>
      <c r="K7279" s="81"/>
      <c r="L7279" s="81"/>
      <c r="M7279" s="81"/>
      <c r="N7279" s="81"/>
    </row>
    <row r="7280" spans="1:14" ht="14.25" customHeight="1" x14ac:dyDescent="0.25">
      <c r="A7280" s="88"/>
      <c r="B7280" s="89"/>
      <c r="C7280" s="113"/>
      <c r="D7280" s="113"/>
      <c r="E7280" s="114"/>
      <c r="F7280" s="113"/>
      <c r="G7280" s="81"/>
      <c r="H7280" s="81"/>
      <c r="I7280" s="81"/>
      <c r="J7280" s="81"/>
      <c r="K7280" s="81"/>
      <c r="L7280" s="81"/>
      <c r="M7280" s="81"/>
      <c r="N7280" s="81"/>
    </row>
    <row r="7281" spans="1:14" ht="14.25" customHeight="1" x14ac:dyDescent="0.25">
      <c r="A7281" s="88"/>
      <c r="B7281" s="89"/>
      <c r="C7281" s="113"/>
      <c r="D7281" s="113"/>
      <c r="E7281" s="114"/>
      <c r="F7281" s="113"/>
      <c r="G7281" s="81"/>
      <c r="H7281" s="81"/>
      <c r="I7281" s="81"/>
      <c r="J7281" s="81"/>
      <c r="K7281" s="81"/>
      <c r="L7281" s="81"/>
      <c r="M7281" s="81"/>
      <c r="N7281" s="81"/>
    </row>
    <row r="7282" spans="1:14" ht="14.25" customHeight="1" x14ac:dyDescent="0.25">
      <c r="A7282" s="612" t="s">
        <v>588</v>
      </c>
      <c r="B7282" s="608"/>
      <c r="C7282" s="608"/>
      <c r="D7282" s="608"/>
      <c r="E7282" s="609"/>
      <c r="F7282" s="131">
        <f>ROUND(F7254+F7265+F7273+F7279,0)</f>
        <v>840350</v>
      </c>
      <c r="G7282" s="81"/>
      <c r="H7282" s="81"/>
      <c r="I7282" s="81"/>
      <c r="J7282" s="81"/>
      <c r="K7282" s="81"/>
      <c r="L7282" s="81"/>
      <c r="M7282" s="81"/>
      <c r="N7282" s="81"/>
    </row>
    <row r="7283" spans="1:14" ht="14.25" customHeight="1" x14ac:dyDescent="0.25">
      <c r="A7283" s="612" t="s">
        <v>589</v>
      </c>
      <c r="B7283" s="608"/>
      <c r="C7283" s="608"/>
      <c r="D7283" s="608"/>
      <c r="E7283" s="609"/>
      <c r="F7283" s="132"/>
      <c r="G7283" s="81"/>
      <c r="H7283" s="81"/>
      <c r="I7283" s="81"/>
      <c r="J7283" s="81"/>
      <c r="K7283" s="81"/>
      <c r="L7283" s="81"/>
      <c r="M7283" s="81"/>
      <c r="N7283" s="81"/>
    </row>
    <row r="7284" spans="1:14" ht="14.25" customHeight="1" x14ac:dyDescent="0.25">
      <c r="A7284" s="612" t="s">
        <v>556</v>
      </c>
      <c r="B7284" s="608"/>
      <c r="C7284" s="608"/>
      <c r="D7284" s="608"/>
      <c r="E7284" s="609"/>
      <c r="F7284" s="133"/>
      <c r="G7284" s="81"/>
      <c r="H7284" s="81"/>
      <c r="I7284" s="81"/>
      <c r="J7284" s="81"/>
      <c r="K7284" s="81"/>
      <c r="L7284" s="81"/>
      <c r="M7284" s="81"/>
      <c r="N7284" s="81"/>
    </row>
    <row r="7285" spans="1:14" ht="14.25" customHeight="1" x14ac:dyDescent="0.25">
      <c r="A7285" s="134"/>
      <c r="B7285" s="135"/>
      <c r="C7285" s="135"/>
      <c r="D7285" s="135"/>
      <c r="E7285" s="135"/>
      <c r="F7285" s="136"/>
      <c r="G7285" s="81"/>
      <c r="H7285" s="81"/>
      <c r="I7285" s="81"/>
      <c r="J7285" s="81"/>
      <c r="K7285" s="81"/>
      <c r="L7285" s="81"/>
      <c r="M7285" s="81"/>
      <c r="N7285" s="81"/>
    </row>
    <row r="7286" spans="1:14" ht="14.25" customHeight="1" x14ac:dyDescent="0.25">
      <c r="A7286" s="134"/>
      <c r="B7286" s="135"/>
      <c r="C7286" s="135"/>
      <c r="D7286" s="135"/>
      <c r="E7286" s="135"/>
      <c r="F7286" s="136"/>
      <c r="G7286" s="81"/>
      <c r="H7286" s="81"/>
      <c r="I7286" s="81"/>
      <c r="J7286" s="81"/>
      <c r="K7286" s="81"/>
      <c r="L7286" s="81"/>
      <c r="M7286" s="81"/>
      <c r="N7286" s="81"/>
    </row>
    <row r="7287" spans="1:14" ht="14.25" customHeight="1" x14ac:dyDescent="0.25">
      <c r="A7287" s="134"/>
      <c r="B7287" s="135"/>
      <c r="C7287" s="135"/>
      <c r="D7287" s="135"/>
      <c r="E7287" s="135"/>
      <c r="F7287" s="136"/>
      <c r="G7287" s="81"/>
      <c r="H7287" s="81"/>
      <c r="I7287" s="81"/>
      <c r="J7287" s="81"/>
      <c r="K7287" s="81"/>
      <c r="L7287" s="81"/>
      <c r="M7287" s="81"/>
      <c r="N7287" s="81"/>
    </row>
    <row r="7288" spans="1:14" ht="14.25" customHeight="1" x14ac:dyDescent="0.25">
      <c r="A7288" s="134"/>
      <c r="B7288" s="135"/>
      <c r="C7288" s="135"/>
      <c r="D7288" s="135"/>
      <c r="E7288" s="135"/>
      <c r="F7288" s="136"/>
      <c r="G7288" s="81"/>
      <c r="H7288" s="81"/>
      <c r="I7288" s="81"/>
      <c r="J7288" s="81"/>
      <c r="K7288" s="81"/>
      <c r="L7288" s="81"/>
      <c r="M7288" s="81"/>
      <c r="N7288" s="81"/>
    </row>
    <row r="7289" spans="1:14" ht="14.25" customHeight="1" x14ac:dyDescent="0.25">
      <c r="A7289" s="81"/>
      <c r="B7289" s="81"/>
      <c r="C7289" s="137"/>
      <c r="D7289" s="81"/>
      <c r="E7289" s="81"/>
      <c r="F7289" s="81"/>
      <c r="G7289" s="81"/>
      <c r="H7289" s="81"/>
      <c r="I7289" s="81"/>
      <c r="J7289" s="81"/>
      <c r="K7289" s="81"/>
      <c r="L7289" s="81"/>
      <c r="M7289" s="81"/>
      <c r="N7289" s="81"/>
    </row>
    <row r="7290" spans="1:14" ht="14.25" customHeight="1" x14ac:dyDescent="0.25">
      <c r="A7290" s="81"/>
      <c r="B7290" s="81"/>
      <c r="C7290" s="137"/>
      <c r="D7290" s="81"/>
      <c r="E7290" s="81"/>
      <c r="F7290" s="81"/>
      <c r="G7290" s="81"/>
      <c r="H7290" s="81"/>
      <c r="I7290" s="81"/>
      <c r="J7290" s="81"/>
      <c r="K7290" s="81"/>
      <c r="L7290" s="81"/>
      <c r="M7290" s="81"/>
      <c r="N7290" s="81"/>
    </row>
    <row r="7291" spans="1:14" ht="14.25" customHeight="1" x14ac:dyDescent="0.25">
      <c r="A7291" s="81"/>
      <c r="B7291" s="81"/>
      <c r="C7291" s="137"/>
      <c r="D7291" s="81"/>
      <c r="E7291" s="81"/>
      <c r="F7291" s="81"/>
      <c r="G7291" s="81"/>
      <c r="H7291" s="81"/>
      <c r="I7291" s="81"/>
      <c r="J7291" s="81"/>
      <c r="K7291" s="81"/>
      <c r="L7291" s="81"/>
      <c r="M7291" s="81"/>
      <c r="N7291" s="81"/>
    </row>
    <row r="7292" spans="1:14" ht="14.25" customHeight="1" x14ac:dyDescent="0.25">
      <c r="A7292" s="81"/>
      <c r="B7292" s="81"/>
      <c r="C7292" s="137"/>
      <c r="D7292" s="81"/>
      <c r="E7292" s="81"/>
      <c r="F7292" s="81"/>
      <c r="G7292" s="81"/>
      <c r="H7292" s="81"/>
      <c r="I7292" s="81"/>
      <c r="J7292" s="81"/>
      <c r="K7292" s="81"/>
      <c r="L7292" s="81"/>
      <c r="M7292" s="81"/>
      <c r="N7292" s="81"/>
    </row>
    <row r="7293" spans="1:14" ht="14.25" customHeight="1" thickBot="1" x14ac:dyDescent="0.3">
      <c r="A7293" s="81"/>
      <c r="B7293" s="81"/>
      <c r="C7293" s="81"/>
      <c r="D7293" s="81"/>
      <c r="E7293" s="81"/>
      <c r="F7293" s="81"/>
      <c r="G7293" s="81"/>
      <c r="H7293" s="81"/>
      <c r="I7293" s="81"/>
      <c r="J7293" s="81"/>
      <c r="K7293" s="81"/>
      <c r="L7293" s="81"/>
      <c r="M7293" s="81"/>
      <c r="N7293" s="81"/>
    </row>
    <row r="7294" spans="1:14" ht="14.25" customHeight="1" x14ac:dyDescent="0.25">
      <c r="A7294" s="83"/>
      <c r="B7294" s="84"/>
      <c r="C7294" s="85"/>
      <c r="D7294" s="86"/>
      <c r="E7294" s="86"/>
      <c r="F7294" s="87"/>
      <c r="G7294" s="81"/>
      <c r="H7294" s="81"/>
      <c r="I7294" s="81"/>
      <c r="J7294" s="81"/>
      <c r="K7294" s="81"/>
      <c r="L7294" s="81"/>
      <c r="M7294" s="81"/>
      <c r="N7294" s="81"/>
    </row>
    <row r="7295" spans="1:14" ht="15.75" x14ac:dyDescent="0.25">
      <c r="A7295" s="599"/>
      <c r="B7295" s="600"/>
      <c r="C7295" s="600"/>
      <c r="D7295" s="600"/>
      <c r="E7295" s="600"/>
      <c r="F7295" s="601"/>
      <c r="G7295" s="81"/>
      <c r="H7295" s="81"/>
      <c r="I7295" s="81"/>
      <c r="J7295" s="81"/>
      <c r="K7295" s="81"/>
      <c r="L7295" s="81"/>
      <c r="M7295" s="81"/>
      <c r="N7295" s="81"/>
    </row>
    <row r="7296" spans="1:14" ht="14.25" customHeight="1" x14ac:dyDescent="0.25">
      <c r="A7296" s="602" t="s">
        <v>561</v>
      </c>
      <c r="B7296" s="600"/>
      <c r="C7296" s="600"/>
      <c r="D7296" s="600"/>
      <c r="E7296" s="600"/>
      <c r="F7296" s="601"/>
      <c r="G7296" s="81"/>
      <c r="H7296" s="81"/>
      <c r="I7296" s="81"/>
      <c r="J7296" s="81"/>
      <c r="K7296" s="81"/>
      <c r="L7296" s="81"/>
      <c r="M7296" s="81"/>
      <c r="N7296" s="81"/>
    </row>
    <row r="7297" spans="1:14" ht="14.25" customHeight="1" thickBot="1" x14ac:dyDescent="0.3">
      <c r="A7297" s="603"/>
      <c r="B7297" s="604"/>
      <c r="C7297" s="604"/>
      <c r="D7297" s="604"/>
      <c r="E7297" s="604"/>
      <c r="F7297" s="605"/>
      <c r="G7297" s="81"/>
      <c r="H7297" s="81"/>
      <c r="I7297" s="81"/>
      <c r="J7297" s="81"/>
      <c r="K7297" s="81"/>
      <c r="L7297" s="81"/>
      <c r="M7297" s="81"/>
      <c r="N7297" s="81"/>
    </row>
    <row r="7298" spans="1:14" ht="14.25" customHeight="1" x14ac:dyDescent="0.25">
      <c r="A7298" s="88"/>
      <c r="B7298" s="88"/>
      <c r="C7298" s="89"/>
      <c r="D7298" s="89"/>
      <c r="E7298" s="89"/>
      <c r="F7298" s="89"/>
      <c r="G7298" s="81"/>
      <c r="H7298" s="81"/>
      <c r="I7298" s="81"/>
      <c r="J7298" s="81"/>
      <c r="K7298" s="81"/>
      <c r="L7298" s="81"/>
      <c r="M7298" s="81"/>
      <c r="N7298" s="81"/>
    </row>
    <row r="7299" spans="1:14" ht="14.25" customHeight="1" x14ac:dyDescent="0.25">
      <c r="A7299" s="90" t="s">
        <v>47</v>
      </c>
      <c r="B7299" s="613" t="s">
        <v>348</v>
      </c>
      <c r="C7299" s="600"/>
      <c r="D7299" s="600"/>
      <c r="E7299" s="600"/>
      <c r="F7299" s="600"/>
      <c r="G7299" s="81"/>
      <c r="H7299" s="81"/>
      <c r="I7299" s="81"/>
      <c r="J7299" s="81"/>
      <c r="K7299" s="81"/>
      <c r="L7299" s="81"/>
      <c r="M7299" s="81"/>
      <c r="N7299" s="81"/>
    </row>
    <row r="7300" spans="1:14" ht="14.25" customHeight="1" x14ac:dyDescent="0.25">
      <c r="A7300" s="91"/>
      <c r="B7300" s="91"/>
      <c r="C7300" s="91"/>
      <c r="D7300" s="91"/>
      <c r="E7300" s="91"/>
      <c r="F7300" s="91"/>
      <c r="G7300" s="81"/>
      <c r="H7300" s="81"/>
      <c r="I7300" s="81"/>
      <c r="J7300" s="81"/>
      <c r="K7300" s="81"/>
      <c r="L7300" s="81"/>
      <c r="M7300" s="81"/>
      <c r="N7300" s="81"/>
    </row>
    <row r="7301" spans="1:14" ht="14.25" customHeight="1" x14ac:dyDescent="0.25">
      <c r="A7301" s="88" t="s">
        <v>49</v>
      </c>
      <c r="B7301" s="92" t="s">
        <v>99</v>
      </c>
      <c r="C7301" s="89"/>
      <c r="D7301" s="89"/>
      <c r="E7301" s="89"/>
      <c r="F7301" s="93"/>
      <c r="G7301" s="81"/>
      <c r="H7301" s="81"/>
      <c r="I7301" s="81"/>
      <c r="J7301" s="81"/>
      <c r="K7301" s="81"/>
      <c r="L7301" s="81"/>
      <c r="M7301" s="81"/>
      <c r="N7301" s="81"/>
    </row>
    <row r="7302" spans="1:14" ht="14.25" customHeight="1" x14ac:dyDescent="0.25">
      <c r="A7302" s="88"/>
      <c r="B7302" s="94"/>
      <c r="C7302" s="89"/>
      <c r="D7302" s="89"/>
      <c r="E7302" s="89"/>
      <c r="F7302" s="93"/>
      <c r="G7302" s="81"/>
      <c r="H7302" s="81"/>
      <c r="I7302" s="81"/>
      <c r="J7302" s="81"/>
      <c r="K7302" s="81"/>
      <c r="L7302" s="81"/>
      <c r="M7302" s="81"/>
      <c r="N7302" s="81"/>
    </row>
    <row r="7303" spans="1:14" ht="14.25" customHeight="1" x14ac:dyDescent="0.25">
      <c r="A7303" s="95" t="s">
        <v>562</v>
      </c>
      <c r="B7303" s="96"/>
      <c r="C7303" s="92"/>
      <c r="D7303" s="92"/>
      <c r="E7303" s="92"/>
      <c r="F7303" s="92"/>
      <c r="G7303" s="81"/>
      <c r="H7303" s="81"/>
      <c r="I7303" s="81"/>
      <c r="J7303" s="81"/>
      <c r="K7303" s="81"/>
      <c r="L7303" s="81"/>
      <c r="M7303" s="81"/>
      <c r="N7303" s="81"/>
    </row>
    <row r="7304" spans="1:14" ht="14.25" customHeight="1" x14ac:dyDescent="0.25">
      <c r="A7304" s="97" t="s">
        <v>563</v>
      </c>
      <c r="B7304" s="98" t="s">
        <v>564</v>
      </c>
      <c r="C7304" s="98" t="s">
        <v>565</v>
      </c>
      <c r="D7304" s="98" t="s">
        <v>566</v>
      </c>
      <c r="E7304" s="98" t="s">
        <v>567</v>
      </c>
      <c r="F7304" s="98" t="s">
        <v>568</v>
      </c>
      <c r="G7304" s="81"/>
      <c r="H7304" s="81"/>
      <c r="I7304" s="81"/>
      <c r="J7304" s="81"/>
      <c r="K7304" s="81"/>
      <c r="L7304" s="81"/>
      <c r="M7304" s="81"/>
      <c r="N7304" s="81"/>
    </row>
    <row r="7305" spans="1:14" ht="14.25" customHeight="1" x14ac:dyDescent="0.25">
      <c r="A7305" s="99" t="s">
        <v>800</v>
      </c>
      <c r="B7305" s="100" t="s">
        <v>99</v>
      </c>
      <c r="C7305" s="101">
        <v>167546</v>
      </c>
      <c r="D7305" s="149">
        <v>1</v>
      </c>
      <c r="E7305" s="102"/>
      <c r="F7305" s="101">
        <f t="shared" ref="F7305:F7306" si="360">C7305*(D7305+(D7305*E7305))</f>
        <v>167546</v>
      </c>
      <c r="G7305" s="81"/>
      <c r="H7305" s="81"/>
      <c r="I7305" s="81"/>
      <c r="J7305" s="81"/>
      <c r="K7305" s="81"/>
      <c r="L7305" s="81"/>
      <c r="M7305" s="81"/>
      <c r="N7305" s="81"/>
    </row>
    <row r="7306" spans="1:14" ht="14.25" customHeight="1" x14ac:dyDescent="0.25">
      <c r="A7306" s="99" t="s">
        <v>769</v>
      </c>
      <c r="B7306" s="100" t="s">
        <v>99</v>
      </c>
      <c r="C7306" s="101">
        <v>1150</v>
      </c>
      <c r="D7306" s="104">
        <v>4</v>
      </c>
      <c r="E7306" s="102">
        <v>0.05</v>
      </c>
      <c r="F7306" s="101">
        <f t="shared" si="360"/>
        <v>4830</v>
      </c>
      <c r="G7306" s="81"/>
      <c r="H7306" s="81"/>
      <c r="I7306" s="81"/>
      <c r="J7306" s="81"/>
      <c r="K7306" s="81"/>
      <c r="L7306" s="81"/>
      <c r="M7306" s="81"/>
      <c r="N7306" s="81"/>
    </row>
    <row r="7307" spans="1:14" ht="14.25" customHeight="1" x14ac:dyDescent="0.25">
      <c r="A7307" s="103"/>
      <c r="B7307" s="100"/>
      <c r="C7307" s="101"/>
      <c r="D7307" s="105"/>
      <c r="E7307" s="102"/>
      <c r="F7307" s="101"/>
      <c r="G7307" s="81"/>
      <c r="H7307" s="81"/>
      <c r="I7307" s="81"/>
      <c r="J7307" s="81"/>
      <c r="K7307" s="81"/>
      <c r="L7307" s="81"/>
      <c r="M7307" s="81"/>
      <c r="N7307" s="81"/>
    </row>
    <row r="7308" spans="1:14" ht="14.25" customHeight="1" x14ac:dyDescent="0.25">
      <c r="A7308" s="99"/>
      <c r="B7308" s="100"/>
      <c r="C7308" s="101"/>
      <c r="D7308" s="149"/>
      <c r="E7308" s="102"/>
      <c r="F7308" s="101"/>
      <c r="G7308" s="81"/>
      <c r="H7308" s="81"/>
      <c r="I7308" s="81"/>
      <c r="J7308" s="81"/>
      <c r="K7308" s="81"/>
      <c r="L7308" s="81"/>
      <c r="M7308" s="81"/>
      <c r="N7308" s="81"/>
    </row>
    <row r="7309" spans="1:14" ht="14.25" customHeight="1" x14ac:dyDescent="0.25">
      <c r="A7309" s="99"/>
      <c r="B7309" s="100"/>
      <c r="C7309" s="106"/>
      <c r="D7309" s="107"/>
      <c r="E7309" s="108"/>
      <c r="F7309" s="106"/>
      <c r="G7309" s="81"/>
      <c r="H7309" s="81"/>
      <c r="I7309" s="81"/>
      <c r="J7309" s="81"/>
      <c r="K7309" s="81"/>
      <c r="L7309" s="81"/>
      <c r="M7309" s="81"/>
      <c r="N7309" s="81"/>
    </row>
    <row r="7310" spans="1:14" ht="14.25" customHeight="1" x14ac:dyDescent="0.25">
      <c r="A7310" s="97" t="s">
        <v>548</v>
      </c>
      <c r="B7310" s="97"/>
      <c r="C7310" s="109"/>
      <c r="D7310" s="110"/>
      <c r="E7310" s="111"/>
      <c r="F7310" s="112">
        <f>SUM(F7305:F7309)</f>
        <v>172376</v>
      </c>
      <c r="G7310" s="81"/>
      <c r="H7310" s="81"/>
      <c r="I7310" s="81"/>
      <c r="J7310" s="81"/>
      <c r="K7310" s="81"/>
      <c r="L7310" s="81"/>
      <c r="M7310" s="81"/>
      <c r="N7310" s="81"/>
    </row>
    <row r="7311" spans="1:14" ht="14.25" customHeight="1" x14ac:dyDescent="0.25">
      <c r="A7311" s="88"/>
      <c r="B7311" s="88"/>
      <c r="C7311" s="113"/>
      <c r="D7311" s="113"/>
      <c r="E7311" s="114"/>
      <c r="F7311" s="113"/>
      <c r="G7311" s="81"/>
      <c r="H7311" s="81"/>
      <c r="I7311" s="81"/>
      <c r="J7311" s="81"/>
      <c r="K7311" s="81"/>
      <c r="L7311" s="81"/>
      <c r="M7311" s="81"/>
      <c r="N7311" s="81"/>
    </row>
    <row r="7312" spans="1:14" ht="14.25" customHeight="1" x14ac:dyDescent="0.25">
      <c r="A7312" s="96" t="s">
        <v>573</v>
      </c>
      <c r="B7312" s="96"/>
      <c r="C7312" s="92"/>
      <c r="D7312" s="92"/>
      <c r="E7312" s="92"/>
      <c r="F7312" s="92"/>
      <c r="G7312" s="81"/>
      <c r="H7312" s="81"/>
      <c r="I7312" s="81"/>
      <c r="J7312" s="81"/>
      <c r="K7312" s="81"/>
      <c r="L7312" s="81"/>
      <c r="M7312" s="81"/>
      <c r="N7312" s="81"/>
    </row>
    <row r="7313" spans="1:14" ht="15.75" x14ac:dyDescent="0.25">
      <c r="A7313" s="611" t="s">
        <v>563</v>
      </c>
      <c r="B7313" s="608"/>
      <c r="C7313" s="609"/>
      <c r="D7313" s="98" t="s">
        <v>574</v>
      </c>
      <c r="E7313" s="98" t="s">
        <v>575</v>
      </c>
      <c r="F7313" s="98" t="s">
        <v>568</v>
      </c>
      <c r="G7313" s="81"/>
      <c r="H7313" s="81"/>
      <c r="I7313" s="81"/>
      <c r="J7313" s="81"/>
      <c r="K7313" s="81"/>
      <c r="L7313" s="81"/>
      <c r="M7313" s="81"/>
      <c r="N7313" s="81"/>
    </row>
    <row r="7314" spans="1:14" ht="14.25" customHeight="1" x14ac:dyDescent="0.25">
      <c r="A7314" s="607" t="s">
        <v>577</v>
      </c>
      <c r="B7314" s="608"/>
      <c r="C7314" s="609"/>
      <c r="D7314" s="116"/>
      <c r="E7314" s="107"/>
      <c r="F7314" s="106">
        <f>+F7329*5%</f>
        <v>1114.4938461538461</v>
      </c>
      <c r="G7314" s="81"/>
      <c r="H7314" s="81"/>
      <c r="I7314" s="81"/>
      <c r="J7314" s="81"/>
      <c r="K7314" s="81"/>
      <c r="L7314" s="81"/>
      <c r="M7314" s="81"/>
      <c r="N7314" s="81"/>
    </row>
    <row r="7315" spans="1:14" ht="14.25" customHeight="1" x14ac:dyDescent="0.25">
      <c r="A7315" s="607"/>
      <c r="B7315" s="608"/>
      <c r="C7315" s="609"/>
      <c r="D7315" s="142"/>
      <c r="E7315" s="107"/>
      <c r="F7315" s="106"/>
      <c r="G7315" s="81"/>
      <c r="H7315" s="81"/>
      <c r="I7315" s="81"/>
      <c r="J7315" s="81"/>
      <c r="K7315" s="81"/>
      <c r="L7315" s="81"/>
      <c r="M7315" s="81"/>
      <c r="N7315" s="81"/>
    </row>
    <row r="7316" spans="1:14" ht="14.25" customHeight="1" x14ac:dyDescent="0.25">
      <c r="A7316" s="607"/>
      <c r="B7316" s="608"/>
      <c r="C7316" s="609"/>
      <c r="D7316" s="142"/>
      <c r="E7316" s="107"/>
      <c r="F7316" s="106"/>
      <c r="G7316" s="81"/>
      <c r="H7316" s="81"/>
      <c r="I7316" s="81"/>
      <c r="J7316" s="81"/>
      <c r="K7316" s="81"/>
      <c r="L7316" s="81"/>
      <c r="M7316" s="81"/>
      <c r="N7316" s="81"/>
    </row>
    <row r="7317" spans="1:14" ht="14.25" customHeight="1" x14ac:dyDescent="0.25">
      <c r="A7317" s="607"/>
      <c r="B7317" s="608"/>
      <c r="C7317" s="609"/>
      <c r="D7317" s="142"/>
      <c r="E7317" s="107"/>
      <c r="F7317" s="106"/>
      <c r="G7317" s="81"/>
      <c r="H7317" s="81"/>
      <c r="I7317" s="81"/>
      <c r="J7317" s="81"/>
      <c r="K7317" s="81"/>
      <c r="L7317" s="81"/>
      <c r="M7317" s="81"/>
      <c r="N7317" s="81"/>
    </row>
    <row r="7318" spans="1:14" ht="14.25" customHeight="1" x14ac:dyDescent="0.25">
      <c r="A7318" s="607"/>
      <c r="B7318" s="608"/>
      <c r="C7318" s="609"/>
      <c r="D7318" s="142"/>
      <c r="E7318" s="107"/>
      <c r="F7318" s="106"/>
      <c r="G7318" s="81"/>
      <c r="H7318" s="81"/>
      <c r="I7318" s="81"/>
      <c r="J7318" s="81"/>
      <c r="K7318" s="81"/>
      <c r="L7318" s="81"/>
      <c r="M7318" s="81"/>
      <c r="N7318" s="81"/>
    </row>
    <row r="7319" spans="1:14" ht="14.25" customHeight="1" x14ac:dyDescent="0.25">
      <c r="A7319" s="607"/>
      <c r="B7319" s="608"/>
      <c r="C7319" s="609"/>
      <c r="D7319" s="142"/>
      <c r="E7319" s="105"/>
      <c r="F7319" s="106"/>
      <c r="G7319" s="81"/>
      <c r="H7319" s="81"/>
      <c r="I7319" s="81"/>
      <c r="J7319" s="81"/>
      <c r="K7319" s="81"/>
      <c r="L7319" s="81"/>
      <c r="M7319" s="81"/>
      <c r="N7319" s="81"/>
    </row>
    <row r="7320" spans="1:14" ht="14.25" customHeight="1" x14ac:dyDescent="0.25">
      <c r="A7320" s="610"/>
      <c r="B7320" s="608"/>
      <c r="C7320" s="609"/>
      <c r="D7320" s="115"/>
      <c r="E7320" s="107"/>
      <c r="F7320" s="106"/>
      <c r="G7320" s="81"/>
      <c r="H7320" s="81"/>
      <c r="I7320" s="81"/>
      <c r="J7320" s="81"/>
      <c r="K7320" s="81"/>
      <c r="L7320" s="81"/>
      <c r="M7320" s="81"/>
      <c r="N7320" s="81"/>
    </row>
    <row r="7321" spans="1:14" ht="14.25" customHeight="1" x14ac:dyDescent="0.25">
      <c r="A7321" s="611" t="s">
        <v>548</v>
      </c>
      <c r="B7321" s="608"/>
      <c r="C7321" s="609"/>
      <c r="D7321" s="110"/>
      <c r="E7321" s="110"/>
      <c r="F7321" s="112">
        <f>SUM(F7314:F7320)</f>
        <v>1114.4938461538461</v>
      </c>
      <c r="G7321" s="81"/>
      <c r="H7321" s="81"/>
      <c r="I7321" s="81"/>
      <c r="J7321" s="81"/>
      <c r="K7321" s="81"/>
      <c r="L7321" s="81"/>
      <c r="M7321" s="81"/>
      <c r="N7321" s="81"/>
    </row>
    <row r="7322" spans="1:14" ht="14.25" customHeight="1" x14ac:dyDescent="0.25">
      <c r="A7322" s="88"/>
      <c r="B7322" s="88"/>
      <c r="C7322" s="89"/>
      <c r="D7322" s="113"/>
      <c r="E7322" s="113"/>
      <c r="F7322" s="113"/>
      <c r="G7322" s="81"/>
      <c r="H7322" s="81"/>
      <c r="I7322" s="81"/>
      <c r="J7322" s="81"/>
      <c r="K7322" s="81"/>
      <c r="L7322" s="81"/>
      <c r="M7322" s="81"/>
      <c r="N7322" s="81"/>
    </row>
    <row r="7323" spans="1:14" ht="14.25" customHeight="1" x14ac:dyDescent="0.25">
      <c r="A7323" s="96" t="s">
        <v>578</v>
      </c>
      <c r="B7323" s="96"/>
      <c r="C7323" s="92"/>
      <c r="D7323" s="118"/>
      <c r="E7323" s="118"/>
      <c r="F7323" s="118"/>
      <c r="G7323" s="81"/>
      <c r="H7323" s="81"/>
      <c r="I7323" s="81"/>
      <c r="J7323" s="81"/>
      <c r="K7323" s="81"/>
      <c r="L7323" s="81"/>
      <c r="M7323" s="81"/>
      <c r="N7323" s="81"/>
    </row>
    <row r="7324" spans="1:14" ht="14.25" customHeight="1" x14ac:dyDescent="0.25">
      <c r="A7324" s="119" t="s">
        <v>563</v>
      </c>
      <c r="B7324" s="120" t="s">
        <v>579</v>
      </c>
      <c r="C7324" s="120" t="s">
        <v>580</v>
      </c>
      <c r="D7324" s="121" t="s">
        <v>581</v>
      </c>
      <c r="E7324" s="121" t="s">
        <v>575</v>
      </c>
      <c r="F7324" s="121" t="s">
        <v>568</v>
      </c>
      <c r="G7324" s="81"/>
      <c r="H7324" s="81"/>
      <c r="I7324" s="81"/>
      <c r="J7324" s="81"/>
      <c r="K7324" s="81"/>
      <c r="L7324" s="81"/>
      <c r="M7324" s="81"/>
      <c r="N7324" s="81"/>
    </row>
    <row r="7325" spans="1:14" ht="14.25" customHeight="1" x14ac:dyDescent="0.25">
      <c r="A7325" s="122" t="s">
        <v>593</v>
      </c>
      <c r="B7325" s="127">
        <v>1</v>
      </c>
      <c r="C7325" s="101">
        <v>32688</v>
      </c>
      <c r="D7325" s="101">
        <f t="shared" ref="D7325:D7326" si="361">+C7325*1.7</f>
        <v>55569.599999999999</v>
      </c>
      <c r="E7325" s="107">
        <v>6.5</v>
      </c>
      <c r="F7325" s="106">
        <f t="shared" ref="F7325:F7326" si="362">+B7325*(D7325)/E7325</f>
        <v>8549.1692307692301</v>
      </c>
      <c r="G7325" s="81"/>
      <c r="H7325" s="81"/>
      <c r="I7325" s="81"/>
      <c r="J7325" s="81"/>
      <c r="K7325" s="81"/>
      <c r="L7325" s="81"/>
      <c r="M7325" s="81"/>
      <c r="N7325" s="81"/>
    </row>
    <row r="7326" spans="1:14" ht="14.25" customHeight="1" x14ac:dyDescent="0.25">
      <c r="A7326" s="122" t="s">
        <v>594</v>
      </c>
      <c r="B7326" s="127">
        <v>1</v>
      </c>
      <c r="C7326" s="101">
        <v>52538</v>
      </c>
      <c r="D7326" s="101">
        <f t="shared" si="361"/>
        <v>89314.599999999991</v>
      </c>
      <c r="E7326" s="107">
        <f>E7325</f>
        <v>6.5</v>
      </c>
      <c r="F7326" s="106">
        <f t="shared" si="362"/>
        <v>13740.707692307691</v>
      </c>
      <c r="G7326" s="81"/>
      <c r="H7326" s="81"/>
      <c r="I7326" s="81"/>
      <c r="J7326" s="81"/>
      <c r="K7326" s="81"/>
      <c r="L7326" s="81"/>
      <c r="M7326" s="81"/>
      <c r="N7326" s="81"/>
    </row>
    <row r="7327" spans="1:14" ht="14.25" customHeight="1" x14ac:dyDescent="0.25">
      <c r="A7327" s="122"/>
      <c r="B7327" s="127"/>
      <c r="C7327" s="101"/>
      <c r="D7327" s="101"/>
      <c r="E7327" s="107"/>
      <c r="F7327" s="106"/>
      <c r="G7327" s="81"/>
      <c r="H7327" s="117"/>
      <c r="I7327" s="81"/>
      <c r="J7327" s="81"/>
      <c r="K7327" s="81"/>
      <c r="L7327" s="81"/>
      <c r="M7327" s="81"/>
      <c r="N7327" s="81"/>
    </row>
    <row r="7328" spans="1:14" ht="14.25" customHeight="1" x14ac:dyDescent="0.25">
      <c r="A7328" s="122"/>
      <c r="B7328" s="127"/>
      <c r="C7328" s="101"/>
      <c r="D7328" s="101"/>
      <c r="E7328" s="125"/>
      <c r="F7328" s="106"/>
      <c r="G7328" s="81"/>
      <c r="H7328" s="81"/>
      <c r="I7328" s="81"/>
      <c r="J7328" s="81"/>
      <c r="K7328" s="81"/>
      <c r="L7328" s="81"/>
      <c r="M7328" s="81"/>
      <c r="N7328" s="81"/>
    </row>
    <row r="7329" spans="1:14" ht="14.25" customHeight="1" x14ac:dyDescent="0.25">
      <c r="A7329" s="97" t="s">
        <v>548</v>
      </c>
      <c r="B7329" s="128"/>
      <c r="C7329" s="110"/>
      <c r="D7329" s="110"/>
      <c r="E7329" s="110"/>
      <c r="F7329" s="112">
        <f>SUM(F7325:F7328)</f>
        <v>22289.876923076921</v>
      </c>
      <c r="G7329" s="81"/>
      <c r="H7329" s="143"/>
      <c r="I7329" s="81"/>
      <c r="J7329" s="81"/>
      <c r="K7329" s="81"/>
      <c r="L7329" s="81"/>
      <c r="M7329" s="81"/>
      <c r="N7329" s="81"/>
    </row>
    <row r="7330" spans="1:14" ht="14.25" customHeight="1" x14ac:dyDescent="0.25">
      <c r="A7330" s="96"/>
      <c r="B7330" s="129"/>
      <c r="C7330" s="118"/>
      <c r="D7330" s="118"/>
      <c r="E7330" s="118"/>
      <c r="F7330" s="118"/>
      <c r="G7330" s="81"/>
      <c r="H7330" s="81"/>
      <c r="I7330" s="81"/>
      <c r="J7330" s="81"/>
      <c r="K7330" s="81"/>
      <c r="L7330" s="81"/>
      <c r="M7330" s="81"/>
      <c r="N7330" s="81"/>
    </row>
    <row r="7331" spans="1:14" ht="14.25" customHeight="1" x14ac:dyDescent="0.25">
      <c r="A7331" s="95" t="s">
        <v>583</v>
      </c>
      <c r="B7331" s="96"/>
      <c r="C7331" s="92"/>
      <c r="D7331" s="92"/>
      <c r="E7331" s="92" t="s">
        <v>584</v>
      </c>
      <c r="F7331" s="92"/>
      <c r="G7331" s="81"/>
      <c r="H7331" s="81"/>
      <c r="I7331" s="81"/>
      <c r="J7331" s="81"/>
      <c r="K7331" s="81"/>
      <c r="L7331" s="81"/>
      <c r="M7331" s="81"/>
      <c r="N7331" s="81"/>
    </row>
    <row r="7332" spans="1:14" ht="14.25" customHeight="1" x14ac:dyDescent="0.25">
      <c r="A7332" s="97" t="s">
        <v>563</v>
      </c>
      <c r="B7332" s="98" t="s">
        <v>564</v>
      </c>
      <c r="C7332" s="98" t="s">
        <v>585</v>
      </c>
      <c r="D7332" s="98" t="s">
        <v>586</v>
      </c>
      <c r="E7332" s="120" t="s">
        <v>587</v>
      </c>
      <c r="F7332" s="98" t="s">
        <v>568</v>
      </c>
      <c r="G7332" s="81"/>
      <c r="H7332" s="81"/>
      <c r="I7332" s="81"/>
      <c r="J7332" s="81"/>
      <c r="K7332" s="81"/>
      <c r="L7332" s="81"/>
      <c r="M7332" s="81"/>
      <c r="N7332" s="81"/>
    </row>
    <row r="7333" spans="1:14" ht="15" customHeight="1" x14ac:dyDescent="0.25">
      <c r="A7333" s="103"/>
      <c r="B7333" s="100"/>
      <c r="C7333" s="101"/>
      <c r="D7333" s="140"/>
      <c r="E7333" s="107"/>
      <c r="F7333" s="109"/>
      <c r="G7333" s="81"/>
      <c r="H7333" s="81"/>
      <c r="I7333" s="81"/>
      <c r="J7333" s="81"/>
      <c r="K7333" s="81"/>
      <c r="L7333" s="81"/>
      <c r="M7333" s="81"/>
      <c r="N7333" s="81"/>
    </row>
    <row r="7334" spans="1:14" ht="14.25" customHeight="1" x14ac:dyDescent="0.25">
      <c r="A7334" s="103"/>
      <c r="B7334" s="100"/>
      <c r="C7334" s="107"/>
      <c r="D7334" s="107"/>
      <c r="E7334" s="108"/>
      <c r="F7334" s="109"/>
      <c r="G7334" s="81"/>
      <c r="H7334" s="81"/>
      <c r="I7334" s="81"/>
      <c r="J7334" s="81"/>
      <c r="K7334" s="81"/>
      <c r="L7334" s="81"/>
      <c r="M7334" s="81"/>
      <c r="N7334" s="81"/>
    </row>
    <row r="7335" spans="1:14" ht="14.25" customHeight="1" x14ac:dyDescent="0.25">
      <c r="A7335" s="97" t="s">
        <v>548</v>
      </c>
      <c r="B7335" s="98"/>
      <c r="C7335" s="110"/>
      <c r="D7335" s="110"/>
      <c r="E7335" s="111"/>
      <c r="F7335" s="112">
        <f>SUM(F7333:F7334)</f>
        <v>0</v>
      </c>
      <c r="G7335" s="81"/>
      <c r="H7335" s="81"/>
      <c r="I7335" s="81"/>
      <c r="J7335" s="81"/>
      <c r="K7335" s="81"/>
      <c r="L7335" s="81"/>
      <c r="M7335" s="81"/>
      <c r="N7335" s="81"/>
    </row>
    <row r="7336" spans="1:14" ht="14.25" customHeight="1" x14ac:dyDescent="0.25">
      <c r="A7336" s="88"/>
      <c r="B7336" s="89"/>
      <c r="C7336" s="113"/>
      <c r="D7336" s="113"/>
      <c r="E7336" s="114"/>
      <c r="F7336" s="113"/>
      <c r="G7336" s="81"/>
      <c r="H7336" s="81"/>
      <c r="I7336" s="81"/>
      <c r="J7336" s="81"/>
      <c r="K7336" s="81"/>
      <c r="L7336" s="81"/>
      <c r="M7336" s="81"/>
      <c r="N7336" s="81"/>
    </row>
    <row r="7337" spans="1:14" ht="14.25" customHeight="1" x14ac:dyDescent="0.25">
      <c r="A7337" s="88"/>
      <c r="B7337" s="89"/>
      <c r="C7337" s="113"/>
      <c r="D7337" s="113"/>
      <c r="E7337" s="114"/>
      <c r="F7337" s="113"/>
      <c r="G7337" s="81"/>
      <c r="H7337" s="81"/>
      <c r="I7337" s="81"/>
      <c r="J7337" s="81"/>
      <c r="K7337" s="81"/>
      <c r="L7337" s="81"/>
      <c r="M7337" s="81"/>
      <c r="N7337" s="81"/>
    </row>
    <row r="7338" spans="1:14" ht="14.25" customHeight="1" x14ac:dyDescent="0.25">
      <c r="A7338" s="612" t="s">
        <v>588</v>
      </c>
      <c r="B7338" s="608"/>
      <c r="C7338" s="608"/>
      <c r="D7338" s="608"/>
      <c r="E7338" s="609"/>
      <c r="F7338" s="131">
        <f>ROUND(F7310+F7321+F7329+F7335,0)</f>
        <v>195780</v>
      </c>
      <c r="G7338" s="81"/>
      <c r="H7338" s="81"/>
      <c r="I7338" s="81"/>
      <c r="J7338" s="81"/>
      <c r="K7338" s="81"/>
      <c r="L7338" s="81"/>
      <c r="M7338" s="81"/>
      <c r="N7338" s="81"/>
    </row>
    <row r="7339" spans="1:14" ht="14.25" customHeight="1" x14ac:dyDescent="0.25">
      <c r="A7339" s="612" t="s">
        <v>589</v>
      </c>
      <c r="B7339" s="608"/>
      <c r="C7339" s="608"/>
      <c r="D7339" s="608"/>
      <c r="E7339" s="609"/>
      <c r="F7339" s="132"/>
      <c r="G7339" s="81"/>
      <c r="H7339" s="81"/>
      <c r="I7339" s="81"/>
      <c r="J7339" s="81"/>
      <c r="K7339" s="81"/>
      <c r="L7339" s="81"/>
      <c r="M7339" s="81"/>
      <c r="N7339" s="81"/>
    </row>
    <row r="7340" spans="1:14" ht="14.25" customHeight="1" x14ac:dyDescent="0.25">
      <c r="A7340" s="612" t="s">
        <v>556</v>
      </c>
      <c r="B7340" s="608"/>
      <c r="C7340" s="608"/>
      <c r="D7340" s="608"/>
      <c r="E7340" s="609"/>
      <c r="F7340" s="133"/>
      <c r="G7340" s="81"/>
      <c r="H7340" s="81"/>
      <c r="I7340" s="81"/>
      <c r="J7340" s="81"/>
      <c r="K7340" s="81"/>
      <c r="L7340" s="81"/>
      <c r="M7340" s="81"/>
      <c r="N7340" s="81"/>
    </row>
    <row r="7341" spans="1:14" ht="14.25" customHeight="1" x14ac:dyDescent="0.25">
      <c r="A7341" s="134"/>
      <c r="B7341" s="135"/>
      <c r="C7341" s="135"/>
      <c r="D7341" s="135"/>
      <c r="E7341" s="135"/>
      <c r="F7341" s="136"/>
      <c r="G7341" s="81"/>
      <c r="H7341" s="81"/>
      <c r="I7341" s="81"/>
      <c r="J7341" s="81"/>
      <c r="K7341" s="81"/>
      <c r="L7341" s="81"/>
      <c r="M7341" s="81"/>
      <c r="N7341" s="81"/>
    </row>
    <row r="7342" spans="1:14" ht="14.25" customHeight="1" x14ac:dyDescent="0.25">
      <c r="A7342" s="134"/>
      <c r="B7342" s="135"/>
      <c r="C7342" s="135"/>
      <c r="D7342" s="135"/>
      <c r="E7342" s="135"/>
      <c r="F7342" s="136"/>
      <c r="G7342" s="81"/>
      <c r="H7342" s="81"/>
      <c r="I7342" s="81"/>
      <c r="J7342" s="81"/>
      <c r="K7342" s="81"/>
      <c r="L7342" s="81"/>
      <c r="M7342" s="81"/>
      <c r="N7342" s="81"/>
    </row>
    <row r="7343" spans="1:14" ht="14.25" customHeight="1" x14ac:dyDescent="0.25">
      <c r="A7343" s="134"/>
      <c r="B7343" s="135"/>
      <c r="C7343" s="135"/>
      <c r="D7343" s="135"/>
      <c r="E7343" s="135"/>
      <c r="F7343" s="136"/>
      <c r="G7343" s="81"/>
      <c r="H7343" s="81"/>
      <c r="I7343" s="81"/>
      <c r="J7343" s="81"/>
      <c r="K7343" s="81"/>
      <c r="L7343" s="81"/>
      <c r="M7343" s="81"/>
      <c r="N7343" s="81"/>
    </row>
    <row r="7344" spans="1:14" ht="29.25" customHeight="1" x14ac:dyDescent="0.25">
      <c r="A7344" s="134"/>
      <c r="B7344" s="135"/>
      <c r="C7344" s="135"/>
      <c r="D7344" s="135"/>
      <c r="E7344" s="135"/>
      <c r="F7344" s="136"/>
      <c r="G7344" s="81"/>
      <c r="H7344" s="81"/>
      <c r="I7344" s="81"/>
      <c r="J7344" s="81"/>
      <c r="K7344" s="81"/>
      <c r="L7344" s="81"/>
      <c r="M7344" s="81"/>
      <c r="N7344" s="81"/>
    </row>
    <row r="7345" spans="1:14" ht="14.25" customHeight="1" x14ac:dyDescent="0.25">
      <c r="A7345" s="81"/>
      <c r="B7345" s="81"/>
      <c r="C7345" s="137"/>
      <c r="D7345" s="81"/>
      <c r="E7345" s="81"/>
      <c r="F7345" s="81"/>
      <c r="G7345" s="81"/>
      <c r="H7345" s="81"/>
      <c r="I7345" s="81"/>
      <c r="J7345" s="81"/>
      <c r="K7345" s="81"/>
      <c r="L7345" s="81"/>
      <c r="M7345" s="81"/>
      <c r="N7345" s="81"/>
    </row>
    <row r="7346" spans="1:14" ht="14.25" customHeight="1" x14ac:dyDescent="0.25">
      <c r="A7346" s="81"/>
      <c r="B7346" s="81"/>
      <c r="C7346" s="137"/>
      <c r="D7346" s="81"/>
      <c r="E7346" s="81"/>
      <c r="F7346" s="81"/>
      <c r="G7346" s="81"/>
      <c r="H7346" s="81"/>
      <c r="I7346" s="81"/>
      <c r="J7346" s="81"/>
      <c r="K7346" s="81"/>
      <c r="L7346" s="81"/>
      <c r="M7346" s="81"/>
      <c r="N7346" s="81"/>
    </row>
    <row r="7347" spans="1:14" ht="14.25" customHeight="1" x14ac:dyDescent="0.25">
      <c r="A7347" s="81"/>
      <c r="B7347" s="81"/>
      <c r="C7347" s="137"/>
      <c r="D7347" s="81"/>
      <c r="E7347" s="81"/>
      <c r="F7347" s="81"/>
      <c r="G7347" s="81"/>
      <c r="H7347" s="81"/>
      <c r="I7347" s="81"/>
      <c r="J7347" s="81"/>
      <c r="K7347" s="81"/>
      <c r="L7347" s="81"/>
      <c r="M7347" s="81"/>
      <c r="N7347" s="81"/>
    </row>
    <row r="7348" spans="1:14" ht="14.25" customHeight="1" x14ac:dyDescent="0.25">
      <c r="A7348" s="81"/>
      <c r="B7348" s="81"/>
      <c r="C7348" s="137"/>
      <c r="D7348" s="81"/>
      <c r="E7348" s="81"/>
      <c r="F7348" s="81"/>
      <c r="G7348" s="81"/>
      <c r="H7348" s="81"/>
      <c r="I7348" s="81"/>
      <c r="J7348" s="81"/>
      <c r="K7348" s="81"/>
      <c r="L7348" s="81"/>
      <c r="M7348" s="81"/>
      <c r="N7348" s="81"/>
    </row>
    <row r="7349" spans="1:14" ht="14.25" customHeight="1" thickBot="1" x14ac:dyDescent="0.3">
      <c r="A7349" s="81"/>
      <c r="B7349" s="81"/>
      <c r="C7349" s="81"/>
      <c r="D7349" s="81"/>
      <c r="E7349" s="81"/>
      <c r="F7349" s="81"/>
      <c r="G7349" s="81"/>
      <c r="H7349" s="81"/>
      <c r="I7349" s="81"/>
      <c r="J7349" s="81"/>
      <c r="K7349" s="81"/>
      <c r="L7349" s="81"/>
      <c r="M7349" s="81"/>
      <c r="N7349" s="81"/>
    </row>
    <row r="7350" spans="1:14" ht="14.25" customHeight="1" x14ac:dyDescent="0.25">
      <c r="A7350" s="83"/>
      <c r="B7350" s="84"/>
      <c r="C7350" s="85"/>
      <c r="D7350" s="86"/>
      <c r="E7350" s="86"/>
      <c r="F7350" s="87"/>
      <c r="G7350" s="81"/>
      <c r="H7350" s="81"/>
      <c r="I7350" s="81"/>
      <c r="J7350" s="81"/>
      <c r="K7350" s="81"/>
      <c r="L7350" s="81"/>
      <c r="M7350" s="81"/>
      <c r="N7350" s="81"/>
    </row>
    <row r="7351" spans="1:14" ht="14.25" customHeight="1" x14ac:dyDescent="0.25">
      <c r="A7351" s="599"/>
      <c r="B7351" s="600"/>
      <c r="C7351" s="600"/>
      <c r="D7351" s="600"/>
      <c r="E7351" s="600"/>
      <c r="F7351" s="601"/>
      <c r="G7351" s="81"/>
      <c r="H7351" s="81"/>
      <c r="I7351" s="81"/>
      <c r="J7351" s="81"/>
      <c r="K7351" s="81"/>
      <c r="L7351" s="81"/>
      <c r="M7351" s="81"/>
      <c r="N7351" s="81"/>
    </row>
    <row r="7352" spans="1:14" ht="14.25" customHeight="1" x14ac:dyDescent="0.25">
      <c r="A7352" s="602" t="s">
        <v>561</v>
      </c>
      <c r="B7352" s="600"/>
      <c r="C7352" s="600"/>
      <c r="D7352" s="600"/>
      <c r="E7352" s="600"/>
      <c r="F7352" s="601"/>
      <c r="G7352" s="81"/>
      <c r="H7352" s="81"/>
      <c r="I7352" s="81"/>
      <c r="J7352" s="81"/>
      <c r="K7352" s="81"/>
      <c r="L7352" s="81"/>
      <c r="M7352" s="81"/>
      <c r="N7352" s="81"/>
    </row>
    <row r="7353" spans="1:14" ht="14.25" customHeight="1" thickBot="1" x14ac:dyDescent="0.3">
      <c r="A7353" s="603"/>
      <c r="B7353" s="604"/>
      <c r="C7353" s="604"/>
      <c r="D7353" s="604"/>
      <c r="E7353" s="604"/>
      <c r="F7353" s="605"/>
      <c r="G7353" s="81"/>
      <c r="H7353" s="81"/>
      <c r="I7353" s="81"/>
      <c r="J7353" s="81"/>
      <c r="K7353" s="81"/>
      <c r="L7353" s="81"/>
      <c r="M7353" s="81"/>
      <c r="N7353" s="81"/>
    </row>
    <row r="7354" spans="1:14" ht="14.25" customHeight="1" x14ac:dyDescent="0.25">
      <c r="A7354" s="88"/>
      <c r="B7354" s="88"/>
      <c r="C7354" s="89"/>
      <c r="D7354" s="89"/>
      <c r="E7354" s="89"/>
      <c r="F7354" s="89"/>
      <c r="G7354" s="81"/>
      <c r="H7354" s="81"/>
      <c r="I7354" s="81"/>
      <c r="J7354" s="81"/>
      <c r="K7354" s="81"/>
      <c r="L7354" s="81"/>
      <c r="M7354" s="81"/>
      <c r="N7354" s="81"/>
    </row>
    <row r="7355" spans="1:14" ht="14.25" customHeight="1" x14ac:dyDescent="0.25">
      <c r="A7355" s="90" t="s">
        <v>47</v>
      </c>
      <c r="B7355" s="613" t="s">
        <v>350</v>
      </c>
      <c r="C7355" s="600"/>
      <c r="D7355" s="600"/>
      <c r="E7355" s="600"/>
      <c r="F7355" s="600"/>
      <c r="G7355" s="81"/>
      <c r="H7355" s="81"/>
      <c r="I7355" s="81"/>
      <c r="J7355" s="81"/>
      <c r="K7355" s="81"/>
      <c r="L7355" s="81"/>
      <c r="M7355" s="81"/>
      <c r="N7355" s="81"/>
    </row>
    <row r="7356" spans="1:14" ht="14.25" customHeight="1" x14ac:dyDescent="0.25">
      <c r="A7356" s="91"/>
      <c r="B7356" s="91"/>
      <c r="C7356" s="91"/>
      <c r="D7356" s="91"/>
      <c r="E7356" s="91"/>
      <c r="F7356" s="91"/>
      <c r="G7356" s="81"/>
      <c r="H7356" s="81"/>
      <c r="I7356" s="81"/>
      <c r="J7356" s="81"/>
      <c r="K7356" s="81"/>
      <c r="L7356" s="81"/>
      <c r="M7356" s="81"/>
      <c r="N7356" s="81"/>
    </row>
    <row r="7357" spans="1:14" ht="14.25" customHeight="1" x14ac:dyDescent="0.25">
      <c r="A7357" s="88" t="s">
        <v>49</v>
      </c>
      <c r="B7357" s="92" t="s">
        <v>99</v>
      </c>
      <c r="C7357" s="89"/>
      <c r="D7357" s="89"/>
      <c r="E7357" s="89"/>
      <c r="F7357" s="93"/>
      <c r="G7357" s="81"/>
      <c r="H7357" s="81"/>
      <c r="I7357" s="81"/>
      <c r="J7357" s="81"/>
      <c r="K7357" s="81"/>
      <c r="L7357" s="81"/>
      <c r="M7357" s="81"/>
      <c r="N7357" s="81"/>
    </row>
    <row r="7358" spans="1:14" ht="14.25" customHeight="1" x14ac:dyDescent="0.25">
      <c r="A7358" s="88"/>
      <c r="B7358" s="94"/>
      <c r="C7358" s="89"/>
      <c r="D7358" s="89"/>
      <c r="E7358" s="89"/>
      <c r="F7358" s="93"/>
      <c r="G7358" s="81"/>
      <c r="H7358" s="81"/>
      <c r="I7358" s="81"/>
      <c r="J7358" s="81"/>
      <c r="K7358" s="81"/>
      <c r="L7358" s="81"/>
      <c r="M7358" s="81"/>
      <c r="N7358" s="81"/>
    </row>
    <row r="7359" spans="1:14" ht="14.25" customHeight="1" x14ac:dyDescent="0.25">
      <c r="A7359" s="95" t="s">
        <v>562</v>
      </c>
      <c r="B7359" s="96"/>
      <c r="C7359" s="92"/>
      <c r="D7359" s="92"/>
      <c r="E7359" s="92"/>
      <c r="F7359" s="92"/>
      <c r="G7359" s="81"/>
      <c r="H7359" s="81"/>
      <c r="I7359" s="81"/>
      <c r="J7359" s="81"/>
      <c r="K7359" s="81"/>
      <c r="L7359" s="81"/>
      <c r="M7359" s="81"/>
      <c r="N7359" s="81"/>
    </row>
    <row r="7360" spans="1:14" ht="14.25" customHeight="1" x14ac:dyDescent="0.25">
      <c r="A7360" s="97" t="s">
        <v>563</v>
      </c>
      <c r="B7360" s="98" t="s">
        <v>564</v>
      </c>
      <c r="C7360" s="98" t="s">
        <v>565</v>
      </c>
      <c r="D7360" s="98" t="s">
        <v>566</v>
      </c>
      <c r="E7360" s="98" t="s">
        <v>567</v>
      </c>
      <c r="F7360" s="98" t="s">
        <v>568</v>
      </c>
      <c r="G7360" s="81"/>
      <c r="H7360" s="81"/>
      <c r="I7360" s="81"/>
      <c r="J7360" s="81"/>
      <c r="K7360" s="81"/>
      <c r="L7360" s="81"/>
      <c r="M7360" s="81"/>
      <c r="N7360" s="81"/>
    </row>
    <row r="7361" spans="1:14" ht="14.25" customHeight="1" x14ac:dyDescent="0.25">
      <c r="A7361" s="99" t="s">
        <v>801</v>
      </c>
      <c r="B7361" s="100" t="s">
        <v>99</v>
      </c>
      <c r="C7361" s="101">
        <v>113984</v>
      </c>
      <c r="D7361" s="149">
        <v>1</v>
      </c>
      <c r="E7361" s="102"/>
      <c r="F7361" s="101">
        <f>C7361*(D7361+(D7361*E7361))</f>
        <v>113984</v>
      </c>
      <c r="G7361" s="81"/>
      <c r="H7361" s="81"/>
      <c r="I7361" s="81"/>
      <c r="J7361" s="81"/>
      <c r="K7361" s="81"/>
      <c r="L7361" s="81"/>
      <c r="M7361" s="81"/>
      <c r="N7361" s="81"/>
    </row>
    <row r="7362" spans="1:14" ht="14.25" customHeight="1" x14ac:dyDescent="0.25">
      <c r="A7362" s="99"/>
      <c r="B7362" s="100"/>
      <c r="C7362" s="101"/>
      <c r="D7362" s="104"/>
      <c r="E7362" s="102"/>
      <c r="F7362" s="101"/>
      <c r="G7362" s="81"/>
      <c r="H7362" s="81"/>
      <c r="I7362" s="81"/>
      <c r="J7362" s="81"/>
      <c r="K7362" s="81"/>
      <c r="L7362" s="81"/>
      <c r="M7362" s="81"/>
      <c r="N7362" s="81"/>
    </row>
    <row r="7363" spans="1:14" ht="14.25" customHeight="1" x14ac:dyDescent="0.25">
      <c r="A7363" s="103"/>
      <c r="B7363" s="100"/>
      <c r="C7363" s="101"/>
      <c r="D7363" s="105"/>
      <c r="E7363" s="102"/>
      <c r="F7363" s="101"/>
      <c r="G7363" s="81"/>
      <c r="H7363" s="81"/>
      <c r="I7363" s="81"/>
      <c r="J7363" s="81"/>
      <c r="K7363" s="81"/>
      <c r="L7363" s="81"/>
      <c r="M7363" s="81"/>
      <c r="N7363" s="81"/>
    </row>
    <row r="7364" spans="1:14" ht="14.25" customHeight="1" x14ac:dyDescent="0.25">
      <c r="A7364" s="99"/>
      <c r="B7364" s="100"/>
      <c r="C7364" s="101"/>
      <c r="D7364" s="149"/>
      <c r="E7364" s="102"/>
      <c r="F7364" s="101"/>
      <c r="G7364" s="81"/>
      <c r="H7364" s="81"/>
      <c r="I7364" s="81"/>
      <c r="J7364" s="81"/>
      <c r="K7364" s="81"/>
      <c r="L7364" s="81"/>
      <c r="M7364" s="81"/>
      <c r="N7364" s="81"/>
    </row>
    <row r="7365" spans="1:14" ht="14.25" customHeight="1" x14ac:dyDescent="0.25">
      <c r="A7365" s="99"/>
      <c r="B7365" s="100"/>
      <c r="C7365" s="106"/>
      <c r="D7365" s="107"/>
      <c r="E7365" s="108"/>
      <c r="F7365" s="106"/>
      <c r="G7365" s="81"/>
      <c r="H7365" s="81"/>
      <c r="I7365" s="81"/>
      <c r="J7365" s="81"/>
      <c r="K7365" s="81"/>
      <c r="L7365" s="81"/>
      <c r="M7365" s="81"/>
      <c r="N7365" s="81"/>
    </row>
    <row r="7366" spans="1:14" ht="14.25" customHeight="1" x14ac:dyDescent="0.25">
      <c r="A7366" s="97" t="s">
        <v>548</v>
      </c>
      <c r="B7366" s="97"/>
      <c r="C7366" s="109"/>
      <c r="D7366" s="110"/>
      <c r="E7366" s="111"/>
      <c r="F7366" s="112">
        <f>SUM(F7361:F7365)</f>
        <v>113984</v>
      </c>
      <c r="G7366" s="81"/>
      <c r="H7366" s="81"/>
      <c r="I7366" s="81"/>
      <c r="J7366" s="81"/>
      <c r="K7366" s="81"/>
      <c r="L7366" s="81"/>
      <c r="M7366" s="81"/>
      <c r="N7366" s="81"/>
    </row>
    <row r="7367" spans="1:14" ht="14.25" customHeight="1" x14ac:dyDescent="0.25">
      <c r="A7367" s="88"/>
      <c r="B7367" s="88"/>
      <c r="C7367" s="113"/>
      <c r="D7367" s="113"/>
      <c r="E7367" s="114"/>
      <c r="F7367" s="113"/>
      <c r="G7367" s="81"/>
      <c r="H7367" s="81"/>
      <c r="I7367" s="81"/>
      <c r="J7367" s="81"/>
      <c r="K7367" s="81"/>
      <c r="L7367" s="81"/>
      <c r="M7367" s="81"/>
      <c r="N7367" s="81"/>
    </row>
    <row r="7368" spans="1:14" ht="14.25" customHeight="1" x14ac:dyDescent="0.25">
      <c r="A7368" s="96" t="s">
        <v>573</v>
      </c>
      <c r="B7368" s="96"/>
      <c r="C7368" s="92"/>
      <c r="D7368" s="92"/>
      <c r="E7368" s="92"/>
      <c r="F7368" s="92"/>
      <c r="G7368" s="81"/>
      <c r="H7368" s="81"/>
      <c r="I7368" s="81"/>
      <c r="J7368" s="81"/>
      <c r="K7368" s="81"/>
      <c r="L7368" s="81"/>
      <c r="M7368" s="81"/>
      <c r="N7368" s="81"/>
    </row>
    <row r="7369" spans="1:14" ht="14.25" customHeight="1" x14ac:dyDescent="0.25">
      <c r="A7369" s="611" t="s">
        <v>563</v>
      </c>
      <c r="B7369" s="608"/>
      <c r="C7369" s="609"/>
      <c r="D7369" s="98" t="s">
        <v>574</v>
      </c>
      <c r="E7369" s="98" t="s">
        <v>575</v>
      </c>
      <c r="F7369" s="98" t="s">
        <v>568</v>
      </c>
      <c r="G7369" s="81"/>
      <c r="H7369" s="81"/>
      <c r="I7369" s="81"/>
      <c r="J7369" s="81"/>
      <c r="K7369" s="81"/>
      <c r="L7369" s="81"/>
      <c r="M7369" s="81"/>
      <c r="N7369" s="81"/>
    </row>
    <row r="7370" spans="1:14" ht="14.25" customHeight="1" x14ac:dyDescent="0.25">
      <c r="A7370" s="607" t="s">
        <v>577</v>
      </c>
      <c r="B7370" s="608"/>
      <c r="C7370" s="609"/>
      <c r="D7370" s="116"/>
      <c r="E7370" s="107"/>
      <c r="F7370" s="106">
        <v>1364</v>
      </c>
      <c r="G7370" s="81"/>
      <c r="H7370" s="81"/>
      <c r="I7370" s="81"/>
      <c r="J7370" s="81"/>
      <c r="K7370" s="81"/>
      <c r="L7370" s="81"/>
      <c r="M7370" s="81"/>
      <c r="N7370" s="81"/>
    </row>
    <row r="7371" spans="1:14" ht="14.25" customHeight="1" x14ac:dyDescent="0.25">
      <c r="A7371" s="607"/>
      <c r="B7371" s="608"/>
      <c r="C7371" s="609"/>
      <c r="D7371" s="142"/>
      <c r="E7371" s="107"/>
      <c r="F7371" s="106"/>
      <c r="G7371" s="81"/>
      <c r="H7371" s="81"/>
      <c r="I7371" s="81"/>
      <c r="J7371" s="81"/>
      <c r="K7371" s="81"/>
      <c r="L7371" s="81"/>
      <c r="M7371" s="81"/>
      <c r="N7371" s="81"/>
    </row>
    <row r="7372" spans="1:14" ht="14.25" customHeight="1" x14ac:dyDescent="0.25">
      <c r="A7372" s="607"/>
      <c r="B7372" s="608"/>
      <c r="C7372" s="609"/>
      <c r="D7372" s="142"/>
      <c r="E7372" s="107"/>
      <c r="F7372" s="106"/>
      <c r="G7372" s="81"/>
      <c r="H7372" s="81"/>
      <c r="I7372" s="81"/>
      <c r="J7372" s="81"/>
      <c r="K7372" s="81"/>
      <c r="L7372" s="81"/>
      <c r="M7372" s="81"/>
      <c r="N7372" s="81"/>
    </row>
    <row r="7373" spans="1:14" ht="14.25" customHeight="1" x14ac:dyDescent="0.25">
      <c r="A7373" s="607"/>
      <c r="B7373" s="608"/>
      <c r="C7373" s="609"/>
      <c r="D7373" s="142"/>
      <c r="E7373" s="107"/>
      <c r="F7373" s="106"/>
      <c r="G7373" s="81"/>
      <c r="H7373" s="81"/>
      <c r="I7373" s="81"/>
      <c r="J7373" s="81"/>
      <c r="K7373" s="81"/>
      <c r="L7373" s="81"/>
      <c r="M7373" s="81"/>
      <c r="N7373" s="81"/>
    </row>
    <row r="7374" spans="1:14" ht="14.25" customHeight="1" x14ac:dyDescent="0.25">
      <c r="A7374" s="607"/>
      <c r="B7374" s="608"/>
      <c r="C7374" s="609"/>
      <c r="D7374" s="142"/>
      <c r="E7374" s="107"/>
      <c r="F7374" s="106"/>
      <c r="G7374" s="81"/>
      <c r="H7374" s="81"/>
      <c r="I7374" s="81"/>
      <c r="J7374" s="81"/>
      <c r="K7374" s="81"/>
      <c r="L7374" s="81"/>
      <c r="M7374" s="81"/>
      <c r="N7374" s="81"/>
    </row>
    <row r="7375" spans="1:14" ht="14.25" customHeight="1" x14ac:dyDescent="0.25">
      <c r="A7375" s="607"/>
      <c r="B7375" s="608"/>
      <c r="C7375" s="609"/>
      <c r="D7375" s="142"/>
      <c r="E7375" s="105"/>
      <c r="F7375" s="106"/>
      <c r="G7375" s="81"/>
      <c r="H7375" s="81"/>
      <c r="I7375" s="81"/>
      <c r="J7375" s="81"/>
      <c r="K7375" s="81"/>
      <c r="L7375" s="81"/>
      <c r="M7375" s="81"/>
      <c r="N7375" s="81"/>
    </row>
    <row r="7376" spans="1:14" ht="14.25" customHeight="1" x14ac:dyDescent="0.25">
      <c r="A7376" s="610"/>
      <c r="B7376" s="608"/>
      <c r="C7376" s="609"/>
      <c r="D7376" s="115"/>
      <c r="E7376" s="107"/>
      <c r="F7376" s="106"/>
      <c r="G7376" s="81"/>
      <c r="H7376" s="81"/>
      <c r="I7376" s="81"/>
      <c r="J7376" s="81"/>
      <c r="K7376" s="81"/>
      <c r="L7376" s="81"/>
      <c r="M7376" s="81"/>
      <c r="N7376" s="81"/>
    </row>
    <row r="7377" spans="1:14" ht="14.25" customHeight="1" x14ac:dyDescent="0.25">
      <c r="A7377" s="611" t="s">
        <v>548</v>
      </c>
      <c r="B7377" s="608"/>
      <c r="C7377" s="609"/>
      <c r="D7377" s="110"/>
      <c r="E7377" s="110"/>
      <c r="F7377" s="112">
        <f>SUM(F7370:F7376)</f>
        <v>1364</v>
      </c>
      <c r="G7377" s="81"/>
      <c r="H7377" s="81"/>
      <c r="I7377" s="81"/>
      <c r="J7377" s="81"/>
      <c r="K7377" s="81"/>
      <c r="L7377" s="81"/>
      <c r="M7377" s="81"/>
      <c r="N7377" s="81"/>
    </row>
    <row r="7378" spans="1:14" ht="14.25" customHeight="1" x14ac:dyDescent="0.25">
      <c r="A7378" s="88"/>
      <c r="B7378" s="88"/>
      <c r="C7378" s="89"/>
      <c r="D7378" s="113"/>
      <c r="E7378" s="113"/>
      <c r="F7378" s="113"/>
      <c r="G7378" s="81"/>
      <c r="H7378" s="81"/>
      <c r="I7378" s="81"/>
      <c r="J7378" s="81"/>
      <c r="K7378" s="81"/>
      <c r="L7378" s="81"/>
      <c r="M7378" s="81"/>
      <c r="N7378" s="81"/>
    </row>
    <row r="7379" spans="1:14" ht="14.25" customHeight="1" x14ac:dyDescent="0.25">
      <c r="A7379" s="96" t="s">
        <v>578</v>
      </c>
      <c r="B7379" s="96"/>
      <c r="C7379" s="92"/>
      <c r="D7379" s="118"/>
      <c r="E7379" s="118"/>
      <c r="F7379" s="118"/>
      <c r="G7379" s="81"/>
      <c r="H7379" s="81"/>
      <c r="I7379" s="81"/>
      <c r="J7379" s="81"/>
      <c r="K7379" s="81"/>
      <c r="L7379" s="81"/>
      <c r="M7379" s="81"/>
      <c r="N7379" s="81"/>
    </row>
    <row r="7380" spans="1:14" ht="14.25" customHeight="1" x14ac:dyDescent="0.25">
      <c r="A7380" s="119" t="s">
        <v>563</v>
      </c>
      <c r="B7380" s="120" t="s">
        <v>579</v>
      </c>
      <c r="C7380" s="120" t="s">
        <v>580</v>
      </c>
      <c r="D7380" s="121" t="s">
        <v>581</v>
      </c>
      <c r="E7380" s="121" t="s">
        <v>575</v>
      </c>
      <c r="F7380" s="121" t="s">
        <v>568</v>
      </c>
      <c r="G7380" s="81"/>
      <c r="H7380" s="81"/>
      <c r="I7380" s="81"/>
      <c r="J7380" s="81"/>
      <c r="K7380" s="81"/>
      <c r="L7380" s="81"/>
      <c r="M7380" s="81"/>
      <c r="N7380" s="81"/>
    </row>
    <row r="7381" spans="1:14" ht="14.25" customHeight="1" x14ac:dyDescent="0.25">
      <c r="A7381" s="122" t="s">
        <v>593</v>
      </c>
      <c r="B7381" s="127">
        <v>1</v>
      </c>
      <c r="C7381" s="101">
        <v>32688</v>
      </c>
      <c r="D7381" s="101">
        <f t="shared" ref="D7381:D7382" si="363">+C7381*1.7</f>
        <v>55569.599999999999</v>
      </c>
      <c r="E7381" s="107">
        <v>2</v>
      </c>
      <c r="F7381" s="106">
        <f t="shared" ref="F7381:F7382" si="364">+B7381*(D7381)/E7381</f>
        <v>27784.799999999999</v>
      </c>
      <c r="G7381" s="81"/>
      <c r="H7381" s="81"/>
      <c r="I7381" s="81"/>
      <c r="J7381" s="81"/>
      <c r="K7381" s="81"/>
      <c r="L7381" s="81"/>
      <c r="M7381" s="81"/>
      <c r="N7381" s="81"/>
    </row>
    <row r="7382" spans="1:14" ht="14.25" customHeight="1" x14ac:dyDescent="0.25">
      <c r="A7382" s="122" t="s">
        <v>594</v>
      </c>
      <c r="B7382" s="127">
        <v>1</v>
      </c>
      <c r="C7382" s="101">
        <v>52538</v>
      </c>
      <c r="D7382" s="101">
        <f t="shared" si="363"/>
        <v>89314.599999999991</v>
      </c>
      <c r="E7382" s="107">
        <f>E7381</f>
        <v>2</v>
      </c>
      <c r="F7382" s="106">
        <f t="shared" si="364"/>
        <v>44657.299999999996</v>
      </c>
      <c r="G7382" s="81"/>
      <c r="H7382" s="117"/>
      <c r="I7382" s="81"/>
      <c r="J7382" s="81"/>
      <c r="K7382" s="81"/>
      <c r="L7382" s="81"/>
      <c r="M7382" s="81"/>
      <c r="N7382" s="81"/>
    </row>
    <row r="7383" spans="1:14" ht="14.25" customHeight="1" x14ac:dyDescent="0.25">
      <c r="A7383" s="122"/>
      <c r="B7383" s="127"/>
      <c r="C7383" s="101"/>
      <c r="D7383" s="101"/>
      <c r="E7383" s="107"/>
      <c r="F7383" s="106"/>
      <c r="G7383" s="81"/>
      <c r="H7383" s="81"/>
      <c r="I7383" s="81"/>
      <c r="J7383" s="81"/>
      <c r="K7383" s="81"/>
      <c r="L7383" s="81"/>
      <c r="M7383" s="81"/>
      <c r="N7383" s="81"/>
    </row>
    <row r="7384" spans="1:14" ht="14.25" customHeight="1" x14ac:dyDescent="0.25">
      <c r="A7384" s="122"/>
      <c r="B7384" s="127"/>
      <c r="C7384" s="101"/>
      <c r="D7384" s="101"/>
      <c r="E7384" s="125"/>
      <c r="F7384" s="106"/>
      <c r="G7384" s="81"/>
      <c r="H7384" s="81"/>
      <c r="I7384" s="81"/>
      <c r="J7384" s="81"/>
      <c r="K7384" s="81"/>
      <c r="L7384" s="81"/>
      <c r="M7384" s="81"/>
      <c r="N7384" s="81"/>
    </row>
    <row r="7385" spans="1:14" ht="14.25" customHeight="1" x14ac:dyDescent="0.25">
      <c r="A7385" s="97" t="s">
        <v>548</v>
      </c>
      <c r="B7385" s="128"/>
      <c r="C7385" s="110"/>
      <c r="D7385" s="110"/>
      <c r="E7385" s="110"/>
      <c r="F7385" s="112">
        <f>SUM(F7381:F7384)</f>
        <v>72442.099999999991</v>
      </c>
      <c r="G7385" s="81"/>
      <c r="H7385" s="81"/>
      <c r="I7385" s="81"/>
      <c r="J7385" s="81"/>
      <c r="K7385" s="81"/>
      <c r="L7385" s="81"/>
      <c r="M7385" s="81"/>
      <c r="N7385" s="81"/>
    </row>
    <row r="7386" spans="1:14" ht="14.25" customHeight="1" x14ac:dyDescent="0.25">
      <c r="A7386" s="96"/>
      <c r="B7386" s="129"/>
      <c r="C7386" s="118"/>
      <c r="D7386" s="118"/>
      <c r="E7386" s="118"/>
      <c r="F7386" s="118"/>
      <c r="G7386" s="81"/>
      <c r="H7386" s="81"/>
      <c r="I7386" s="81"/>
      <c r="J7386" s="81"/>
      <c r="K7386" s="81"/>
      <c r="L7386" s="81"/>
      <c r="M7386" s="81"/>
      <c r="N7386" s="81"/>
    </row>
    <row r="7387" spans="1:14" ht="14.25" customHeight="1" x14ac:dyDescent="0.25">
      <c r="A7387" s="95" t="s">
        <v>583</v>
      </c>
      <c r="B7387" s="96"/>
      <c r="C7387" s="92"/>
      <c r="D7387" s="92"/>
      <c r="E7387" s="92" t="s">
        <v>584</v>
      </c>
      <c r="F7387" s="92"/>
      <c r="G7387" s="81"/>
      <c r="H7387" s="81"/>
      <c r="I7387" s="81"/>
      <c r="J7387" s="81"/>
      <c r="K7387" s="81"/>
      <c r="L7387" s="81"/>
      <c r="M7387" s="81"/>
      <c r="N7387" s="81"/>
    </row>
    <row r="7388" spans="1:14" ht="14.25" customHeight="1" x14ac:dyDescent="0.25">
      <c r="A7388" s="97" t="s">
        <v>563</v>
      </c>
      <c r="B7388" s="98" t="s">
        <v>564</v>
      </c>
      <c r="C7388" s="98" t="s">
        <v>585</v>
      </c>
      <c r="D7388" s="98" t="s">
        <v>586</v>
      </c>
      <c r="E7388" s="120" t="s">
        <v>587</v>
      </c>
      <c r="F7388" s="98" t="s">
        <v>568</v>
      </c>
      <c r="G7388" s="81"/>
      <c r="H7388" s="81"/>
      <c r="I7388" s="81"/>
      <c r="J7388" s="81"/>
      <c r="K7388" s="81"/>
      <c r="L7388" s="81"/>
      <c r="M7388" s="81"/>
      <c r="N7388" s="81"/>
    </row>
    <row r="7389" spans="1:14" ht="14.25" customHeight="1" x14ac:dyDescent="0.25">
      <c r="A7389" s="103"/>
      <c r="B7389" s="100"/>
      <c r="C7389" s="101"/>
      <c r="D7389" s="140"/>
      <c r="E7389" s="107"/>
      <c r="F7389" s="109"/>
      <c r="G7389" s="81"/>
      <c r="H7389" s="81"/>
      <c r="I7389" s="81"/>
      <c r="J7389" s="81"/>
      <c r="K7389" s="81"/>
      <c r="L7389" s="81"/>
      <c r="M7389" s="81"/>
      <c r="N7389" s="81"/>
    </row>
    <row r="7390" spans="1:14" ht="14.25" customHeight="1" x14ac:dyDescent="0.25">
      <c r="A7390" s="103"/>
      <c r="B7390" s="100"/>
      <c r="C7390" s="107"/>
      <c r="D7390" s="107"/>
      <c r="E7390" s="108"/>
      <c r="F7390" s="109"/>
      <c r="G7390" s="81"/>
      <c r="H7390" s="81"/>
      <c r="I7390" s="81"/>
      <c r="J7390" s="81"/>
      <c r="K7390" s="81"/>
      <c r="L7390" s="81"/>
      <c r="M7390" s="81"/>
      <c r="N7390" s="81"/>
    </row>
    <row r="7391" spans="1:14" ht="14.25" customHeight="1" x14ac:dyDescent="0.25">
      <c r="A7391" s="97" t="s">
        <v>548</v>
      </c>
      <c r="B7391" s="98"/>
      <c r="C7391" s="110"/>
      <c r="D7391" s="110"/>
      <c r="E7391" s="111"/>
      <c r="F7391" s="112">
        <f>SUM(F7389:F7390)</f>
        <v>0</v>
      </c>
      <c r="G7391" s="81"/>
      <c r="H7391" s="81"/>
      <c r="I7391" s="81"/>
      <c r="J7391" s="81"/>
      <c r="K7391" s="81"/>
      <c r="L7391" s="81"/>
      <c r="M7391" s="81"/>
      <c r="N7391" s="81"/>
    </row>
    <row r="7392" spans="1:14" ht="14.25" customHeight="1" x14ac:dyDescent="0.25">
      <c r="A7392" s="88"/>
      <c r="B7392" s="89"/>
      <c r="C7392" s="113"/>
      <c r="D7392" s="113"/>
      <c r="E7392" s="114"/>
      <c r="F7392" s="113"/>
      <c r="G7392" s="81"/>
      <c r="H7392" s="81"/>
      <c r="I7392" s="81"/>
      <c r="J7392" s="81"/>
      <c r="K7392" s="81"/>
      <c r="L7392" s="81"/>
      <c r="M7392" s="81"/>
      <c r="N7392" s="81"/>
    </row>
    <row r="7393" spans="1:14" ht="14.25" customHeight="1" x14ac:dyDescent="0.25">
      <c r="A7393" s="88"/>
      <c r="B7393" s="89"/>
      <c r="C7393" s="113"/>
      <c r="D7393" s="113"/>
      <c r="E7393" s="114"/>
      <c r="F7393" s="113"/>
      <c r="G7393" s="81"/>
      <c r="H7393" s="81"/>
      <c r="I7393" s="81"/>
      <c r="J7393" s="81"/>
      <c r="K7393" s="81"/>
      <c r="L7393" s="81"/>
      <c r="M7393" s="81"/>
      <c r="N7393" s="81"/>
    </row>
    <row r="7394" spans="1:14" ht="14.25" customHeight="1" x14ac:dyDescent="0.25">
      <c r="A7394" s="612" t="s">
        <v>588</v>
      </c>
      <c r="B7394" s="608"/>
      <c r="C7394" s="608"/>
      <c r="D7394" s="608"/>
      <c r="E7394" s="609"/>
      <c r="F7394" s="131">
        <f>ROUND(F7366+F7377+F7385+F7391,0)</f>
        <v>187790</v>
      </c>
      <c r="G7394" s="81"/>
      <c r="H7394" s="81"/>
      <c r="I7394" s="81"/>
      <c r="J7394" s="81"/>
      <c r="K7394" s="81"/>
      <c r="L7394" s="81"/>
      <c r="M7394" s="81"/>
      <c r="N7394" s="81"/>
    </row>
    <row r="7395" spans="1:14" ht="14.25" customHeight="1" x14ac:dyDescent="0.25">
      <c r="A7395" s="612" t="s">
        <v>589</v>
      </c>
      <c r="B7395" s="608"/>
      <c r="C7395" s="608"/>
      <c r="D7395" s="608"/>
      <c r="E7395" s="609"/>
      <c r="F7395" s="132"/>
      <c r="G7395" s="81"/>
      <c r="H7395" s="81"/>
      <c r="I7395" s="81"/>
      <c r="J7395" s="81"/>
      <c r="K7395" s="81"/>
      <c r="L7395" s="81"/>
      <c r="M7395" s="81"/>
      <c r="N7395" s="81"/>
    </row>
    <row r="7396" spans="1:14" ht="14.25" customHeight="1" x14ac:dyDescent="0.25">
      <c r="A7396" s="612" t="s">
        <v>556</v>
      </c>
      <c r="B7396" s="608"/>
      <c r="C7396" s="608"/>
      <c r="D7396" s="608"/>
      <c r="E7396" s="609"/>
      <c r="F7396" s="133"/>
      <c r="G7396" s="81"/>
      <c r="H7396" s="81"/>
      <c r="I7396" s="81"/>
      <c r="J7396" s="81"/>
      <c r="K7396" s="81"/>
      <c r="L7396" s="81"/>
      <c r="M7396" s="81"/>
      <c r="N7396" s="81"/>
    </row>
    <row r="7397" spans="1:14" ht="14.25" customHeight="1" x14ac:dyDescent="0.25">
      <c r="A7397" s="134"/>
      <c r="B7397" s="135"/>
      <c r="C7397" s="135"/>
      <c r="D7397" s="135"/>
      <c r="E7397" s="135"/>
      <c r="F7397" s="136"/>
      <c r="G7397" s="81"/>
      <c r="H7397" s="81"/>
      <c r="I7397" s="81"/>
      <c r="J7397" s="81"/>
      <c r="K7397" s="81"/>
      <c r="L7397" s="81"/>
      <c r="M7397" s="81"/>
      <c r="N7397" s="81"/>
    </row>
    <row r="7398" spans="1:14" ht="14.25" customHeight="1" x14ac:dyDescent="0.25">
      <c r="A7398" s="134"/>
      <c r="B7398" s="135"/>
      <c r="C7398" s="135"/>
      <c r="D7398" s="135"/>
      <c r="E7398" s="135"/>
      <c r="F7398" s="136"/>
      <c r="G7398" s="81"/>
      <c r="H7398" s="81"/>
      <c r="I7398" s="81"/>
      <c r="J7398" s="81"/>
      <c r="K7398" s="81"/>
      <c r="L7398" s="81"/>
      <c r="M7398" s="81"/>
      <c r="N7398" s="81"/>
    </row>
    <row r="7399" spans="1:14" ht="20.25" customHeight="1" x14ac:dyDescent="0.25">
      <c r="A7399" s="134"/>
      <c r="B7399" s="135"/>
      <c r="C7399" s="135"/>
      <c r="D7399" s="135"/>
      <c r="E7399" s="135"/>
      <c r="F7399" s="136"/>
      <c r="G7399" s="81"/>
      <c r="H7399" s="81"/>
      <c r="I7399" s="81"/>
      <c r="J7399" s="81"/>
      <c r="K7399" s="81"/>
      <c r="L7399" s="81"/>
      <c r="M7399" s="81"/>
      <c r="N7399" s="81"/>
    </row>
    <row r="7400" spans="1:14" ht="14.25" customHeight="1" x14ac:dyDescent="0.25">
      <c r="A7400" s="134"/>
      <c r="B7400" s="135"/>
      <c r="C7400" s="135"/>
      <c r="D7400" s="135"/>
      <c r="E7400" s="135"/>
      <c r="F7400" s="136"/>
      <c r="G7400" s="81"/>
      <c r="H7400" s="81"/>
      <c r="I7400" s="81"/>
      <c r="J7400" s="81"/>
      <c r="K7400" s="81"/>
      <c r="L7400" s="81"/>
      <c r="M7400" s="81"/>
      <c r="N7400" s="81"/>
    </row>
    <row r="7401" spans="1:14" ht="14.25" customHeight="1" x14ac:dyDescent="0.25">
      <c r="A7401" s="81"/>
      <c r="B7401" s="81"/>
      <c r="C7401" s="137"/>
      <c r="D7401" s="81"/>
      <c r="E7401" s="81"/>
      <c r="F7401" s="81"/>
      <c r="G7401" s="81"/>
      <c r="H7401" s="81"/>
      <c r="I7401" s="81"/>
      <c r="J7401" s="81"/>
      <c r="K7401" s="81"/>
      <c r="L7401" s="81"/>
      <c r="M7401" s="81"/>
      <c r="N7401" s="81"/>
    </row>
    <row r="7402" spans="1:14" ht="14.25" customHeight="1" x14ac:dyDescent="0.25">
      <c r="A7402" s="81"/>
      <c r="B7402" s="81"/>
      <c r="C7402" s="137"/>
      <c r="D7402" s="81"/>
      <c r="E7402" s="81"/>
      <c r="F7402" s="81"/>
      <c r="G7402" s="81"/>
      <c r="H7402" s="81"/>
      <c r="I7402" s="81"/>
      <c r="J7402" s="81"/>
      <c r="K7402" s="81"/>
      <c r="L7402" s="81"/>
      <c r="M7402" s="81"/>
      <c r="N7402" s="81"/>
    </row>
    <row r="7403" spans="1:14" ht="14.25" customHeight="1" x14ac:dyDescent="0.25">
      <c r="A7403" s="81"/>
      <c r="B7403" s="81"/>
      <c r="C7403" s="137"/>
      <c r="D7403" s="81"/>
      <c r="E7403" s="81"/>
      <c r="F7403" s="81"/>
      <c r="G7403" s="81"/>
      <c r="H7403" s="81"/>
      <c r="I7403" s="81"/>
      <c r="J7403" s="81"/>
      <c r="K7403" s="81"/>
      <c r="L7403" s="81"/>
      <c r="M7403" s="81"/>
      <c r="N7403" s="81"/>
    </row>
    <row r="7404" spans="1:14" ht="14.25" customHeight="1" x14ac:dyDescent="0.25">
      <c r="A7404" s="81"/>
      <c r="B7404" s="81"/>
      <c r="C7404" s="137"/>
      <c r="D7404" s="81"/>
      <c r="E7404" s="81"/>
      <c r="F7404" s="81"/>
      <c r="G7404" s="81"/>
      <c r="H7404" s="81"/>
      <c r="I7404" s="81"/>
      <c r="J7404" s="81"/>
      <c r="K7404" s="81"/>
      <c r="L7404" s="81"/>
      <c r="M7404" s="81"/>
      <c r="N7404" s="81"/>
    </row>
    <row r="7405" spans="1:14" ht="14.25" customHeight="1" thickBot="1" x14ac:dyDescent="0.3">
      <c r="A7405" s="81"/>
      <c r="B7405" s="81"/>
      <c r="C7405" s="81"/>
      <c r="D7405" s="81"/>
      <c r="E7405" s="81"/>
      <c r="F7405" s="81"/>
      <c r="G7405" s="81"/>
      <c r="H7405" s="81"/>
      <c r="I7405" s="81"/>
      <c r="J7405" s="81"/>
      <c r="K7405" s="81"/>
      <c r="L7405" s="81"/>
      <c r="M7405" s="81"/>
      <c r="N7405" s="81"/>
    </row>
    <row r="7406" spans="1:14" ht="14.25" customHeight="1" x14ac:dyDescent="0.25">
      <c r="A7406" s="83"/>
      <c r="B7406" s="84"/>
      <c r="C7406" s="85"/>
      <c r="D7406" s="86"/>
      <c r="E7406" s="86"/>
      <c r="F7406" s="87"/>
      <c r="G7406" s="81"/>
      <c r="H7406" s="81"/>
      <c r="I7406" s="81"/>
      <c r="J7406" s="81"/>
      <c r="K7406" s="81"/>
      <c r="L7406" s="81"/>
      <c r="M7406" s="81"/>
      <c r="N7406" s="81"/>
    </row>
    <row r="7407" spans="1:14" ht="14.25" customHeight="1" x14ac:dyDescent="0.25">
      <c r="A7407" s="599"/>
      <c r="B7407" s="600"/>
      <c r="C7407" s="600"/>
      <c r="D7407" s="600"/>
      <c r="E7407" s="600"/>
      <c r="F7407" s="601"/>
      <c r="G7407" s="81"/>
      <c r="H7407" s="81"/>
      <c r="I7407" s="81"/>
      <c r="J7407" s="81"/>
      <c r="K7407" s="81"/>
      <c r="L7407" s="81"/>
      <c r="M7407" s="81"/>
      <c r="N7407" s="81"/>
    </row>
    <row r="7408" spans="1:14" ht="14.25" customHeight="1" x14ac:dyDescent="0.25">
      <c r="A7408" s="602" t="s">
        <v>561</v>
      </c>
      <c r="B7408" s="600"/>
      <c r="C7408" s="600"/>
      <c r="D7408" s="600"/>
      <c r="E7408" s="600"/>
      <c r="F7408" s="601"/>
      <c r="G7408" s="81"/>
      <c r="H7408" s="81"/>
      <c r="I7408" s="81"/>
      <c r="J7408" s="81"/>
      <c r="K7408" s="81"/>
      <c r="L7408" s="81"/>
      <c r="M7408" s="81"/>
      <c r="N7408" s="81"/>
    </row>
    <row r="7409" spans="1:14" ht="14.25" customHeight="1" thickBot="1" x14ac:dyDescent="0.3">
      <c r="A7409" s="603"/>
      <c r="B7409" s="604"/>
      <c r="C7409" s="604"/>
      <c r="D7409" s="604"/>
      <c r="E7409" s="604"/>
      <c r="F7409" s="605"/>
      <c r="G7409" s="81"/>
      <c r="H7409" s="81"/>
      <c r="I7409" s="81"/>
      <c r="J7409" s="81"/>
      <c r="K7409" s="81"/>
      <c r="L7409" s="81"/>
      <c r="M7409" s="81"/>
      <c r="N7409" s="81"/>
    </row>
    <row r="7410" spans="1:14" ht="14.25" customHeight="1" x14ac:dyDescent="0.25">
      <c r="A7410" s="88"/>
      <c r="B7410" s="88"/>
      <c r="C7410" s="89"/>
      <c r="D7410" s="89"/>
      <c r="E7410" s="89"/>
      <c r="F7410" s="89"/>
      <c r="G7410" s="81"/>
      <c r="H7410" s="81"/>
      <c r="I7410" s="81"/>
      <c r="J7410" s="81"/>
      <c r="K7410" s="81"/>
      <c r="L7410" s="81"/>
      <c r="M7410" s="81"/>
      <c r="N7410" s="81"/>
    </row>
    <row r="7411" spans="1:14" ht="14.25" customHeight="1" x14ac:dyDescent="0.25">
      <c r="A7411" s="90" t="s">
        <v>47</v>
      </c>
      <c r="B7411" s="613" t="s">
        <v>352</v>
      </c>
      <c r="C7411" s="600"/>
      <c r="D7411" s="600"/>
      <c r="E7411" s="600"/>
      <c r="F7411" s="600"/>
      <c r="G7411" s="81"/>
      <c r="H7411" s="81"/>
      <c r="I7411" s="81"/>
      <c r="J7411" s="81"/>
      <c r="K7411" s="81"/>
      <c r="L7411" s="81"/>
      <c r="M7411" s="81"/>
      <c r="N7411" s="81"/>
    </row>
    <row r="7412" spans="1:14" ht="14.25" customHeight="1" x14ac:dyDescent="0.25">
      <c r="A7412" s="91"/>
      <c r="B7412" s="91"/>
      <c r="C7412" s="91"/>
      <c r="D7412" s="91"/>
      <c r="E7412" s="91"/>
      <c r="F7412" s="91"/>
      <c r="G7412" s="81"/>
      <c r="H7412" s="81"/>
      <c r="I7412" s="81"/>
      <c r="J7412" s="81"/>
      <c r="K7412" s="81"/>
      <c r="L7412" s="81"/>
      <c r="M7412" s="81"/>
      <c r="N7412" s="81"/>
    </row>
    <row r="7413" spans="1:14" ht="14.25" customHeight="1" x14ac:dyDescent="0.25">
      <c r="A7413" s="88" t="s">
        <v>49</v>
      </c>
      <c r="B7413" s="92" t="s">
        <v>99</v>
      </c>
      <c r="C7413" s="89"/>
      <c r="D7413" s="89"/>
      <c r="E7413" s="89"/>
      <c r="F7413" s="93"/>
      <c r="G7413" s="81"/>
      <c r="H7413" s="81"/>
      <c r="I7413" s="81"/>
      <c r="J7413" s="81"/>
      <c r="K7413" s="81"/>
      <c r="L7413" s="81"/>
      <c r="M7413" s="81"/>
      <c r="N7413" s="81"/>
    </row>
    <row r="7414" spans="1:14" ht="14.25" customHeight="1" x14ac:dyDescent="0.25">
      <c r="A7414" s="88"/>
      <c r="B7414" s="94"/>
      <c r="C7414" s="89"/>
      <c r="D7414" s="89"/>
      <c r="E7414" s="89"/>
      <c r="F7414" s="93"/>
      <c r="G7414" s="81"/>
      <c r="H7414" s="81"/>
      <c r="I7414" s="81"/>
      <c r="J7414" s="81"/>
      <c r="K7414" s="81"/>
      <c r="L7414" s="81"/>
      <c r="M7414" s="81"/>
      <c r="N7414" s="81"/>
    </row>
    <row r="7415" spans="1:14" ht="14.25" customHeight="1" x14ac:dyDescent="0.25">
      <c r="A7415" s="95" t="s">
        <v>562</v>
      </c>
      <c r="B7415" s="96"/>
      <c r="C7415" s="92"/>
      <c r="D7415" s="92"/>
      <c r="E7415" s="92"/>
      <c r="F7415" s="92"/>
      <c r="G7415" s="81"/>
      <c r="H7415" s="81"/>
      <c r="I7415" s="81"/>
      <c r="J7415" s="81"/>
      <c r="K7415" s="81"/>
      <c r="L7415" s="81"/>
      <c r="M7415" s="81"/>
      <c r="N7415" s="81"/>
    </row>
    <row r="7416" spans="1:14" ht="14.25" customHeight="1" x14ac:dyDescent="0.25">
      <c r="A7416" s="97" t="s">
        <v>563</v>
      </c>
      <c r="B7416" s="98" t="s">
        <v>564</v>
      </c>
      <c r="C7416" s="98" t="s">
        <v>565</v>
      </c>
      <c r="D7416" s="98" t="s">
        <v>566</v>
      </c>
      <c r="E7416" s="98" t="s">
        <v>567</v>
      </c>
      <c r="F7416" s="98" t="s">
        <v>568</v>
      </c>
      <c r="G7416" s="81"/>
      <c r="H7416" s="81"/>
      <c r="I7416" s="81"/>
      <c r="J7416" s="81"/>
      <c r="K7416" s="81"/>
      <c r="L7416" s="81"/>
      <c r="M7416" s="81"/>
      <c r="N7416" s="81"/>
    </row>
    <row r="7417" spans="1:14" ht="14.25" customHeight="1" x14ac:dyDescent="0.25">
      <c r="A7417" s="99" t="s">
        <v>802</v>
      </c>
      <c r="B7417" s="100" t="s">
        <v>99</v>
      </c>
      <c r="C7417" s="101">
        <v>113180</v>
      </c>
      <c r="D7417" s="149">
        <v>1</v>
      </c>
      <c r="E7417" s="102"/>
      <c r="F7417" s="101">
        <f t="shared" ref="F7417:F7418" si="365">C7417*(D7417+(D7417*E7417))</f>
        <v>113180</v>
      </c>
      <c r="G7417" s="81"/>
      <c r="H7417" s="81"/>
      <c r="I7417" s="81"/>
      <c r="J7417" s="81"/>
      <c r="K7417" s="81"/>
      <c r="L7417" s="81"/>
      <c r="M7417" s="81"/>
      <c r="N7417" s="81"/>
    </row>
    <row r="7418" spans="1:14" ht="14.25" customHeight="1" x14ac:dyDescent="0.25">
      <c r="A7418" s="99" t="s">
        <v>769</v>
      </c>
      <c r="B7418" s="100" t="s">
        <v>99</v>
      </c>
      <c r="C7418" s="101">
        <v>1150</v>
      </c>
      <c r="D7418" s="104">
        <v>6</v>
      </c>
      <c r="E7418" s="102">
        <v>0.05</v>
      </c>
      <c r="F7418" s="101">
        <f t="shared" si="365"/>
        <v>7245</v>
      </c>
      <c r="G7418" s="81"/>
      <c r="H7418" s="81"/>
      <c r="I7418" s="81"/>
      <c r="J7418" s="81"/>
      <c r="K7418" s="81"/>
      <c r="L7418" s="81"/>
      <c r="M7418" s="81"/>
      <c r="N7418" s="81"/>
    </row>
    <row r="7419" spans="1:14" ht="14.25" customHeight="1" x14ac:dyDescent="0.25">
      <c r="A7419" s="103"/>
      <c r="B7419" s="100"/>
      <c r="C7419" s="101"/>
      <c r="D7419" s="105"/>
      <c r="E7419" s="102"/>
      <c r="F7419" s="101"/>
      <c r="G7419" s="81"/>
      <c r="H7419" s="81"/>
      <c r="I7419" s="81"/>
      <c r="J7419" s="81"/>
      <c r="K7419" s="81"/>
      <c r="L7419" s="81"/>
      <c r="M7419" s="81"/>
      <c r="N7419" s="81"/>
    </row>
    <row r="7420" spans="1:14" ht="14.25" customHeight="1" x14ac:dyDescent="0.25">
      <c r="A7420" s="99"/>
      <c r="B7420" s="100"/>
      <c r="C7420" s="101"/>
      <c r="D7420" s="149"/>
      <c r="E7420" s="102"/>
      <c r="F7420" s="101"/>
      <c r="G7420" s="81"/>
      <c r="H7420" s="81"/>
      <c r="I7420" s="81"/>
      <c r="J7420" s="81"/>
      <c r="K7420" s="81"/>
      <c r="L7420" s="81"/>
      <c r="M7420" s="81"/>
      <c r="N7420" s="81"/>
    </row>
    <row r="7421" spans="1:14" ht="14.25" customHeight="1" x14ac:dyDescent="0.25">
      <c r="A7421" s="99"/>
      <c r="B7421" s="100"/>
      <c r="C7421" s="106"/>
      <c r="D7421" s="107"/>
      <c r="E7421" s="108"/>
      <c r="F7421" s="106"/>
      <c r="G7421" s="81"/>
      <c r="H7421" s="81"/>
      <c r="I7421" s="81"/>
      <c r="J7421" s="81"/>
      <c r="K7421" s="81"/>
      <c r="L7421" s="81"/>
      <c r="M7421" s="81"/>
      <c r="N7421" s="81"/>
    </row>
    <row r="7422" spans="1:14" ht="14.25" customHeight="1" x14ac:dyDescent="0.25">
      <c r="A7422" s="97" t="s">
        <v>548</v>
      </c>
      <c r="B7422" s="97"/>
      <c r="C7422" s="109"/>
      <c r="D7422" s="110"/>
      <c r="E7422" s="111"/>
      <c r="F7422" s="112">
        <f>SUM(F7417:F7421)</f>
        <v>120425</v>
      </c>
      <c r="G7422" s="81"/>
      <c r="H7422" s="81"/>
      <c r="I7422" s="81"/>
      <c r="J7422" s="81"/>
      <c r="K7422" s="81"/>
      <c r="L7422" s="81"/>
      <c r="M7422" s="81"/>
      <c r="N7422" s="81"/>
    </row>
    <row r="7423" spans="1:14" ht="14.25" customHeight="1" x14ac:dyDescent="0.25">
      <c r="A7423" s="88"/>
      <c r="B7423" s="88"/>
      <c r="C7423" s="113"/>
      <c r="D7423" s="113"/>
      <c r="E7423" s="114"/>
      <c r="F7423" s="113"/>
      <c r="G7423" s="81"/>
      <c r="H7423" s="81"/>
      <c r="I7423" s="81"/>
      <c r="J7423" s="81"/>
      <c r="K7423" s="81"/>
      <c r="L7423" s="81"/>
      <c r="M7423" s="81"/>
      <c r="N7423" s="81"/>
    </row>
    <row r="7424" spans="1:14" ht="14.25" customHeight="1" x14ac:dyDescent="0.25">
      <c r="A7424" s="96" t="s">
        <v>573</v>
      </c>
      <c r="B7424" s="96"/>
      <c r="C7424" s="92"/>
      <c r="D7424" s="92"/>
      <c r="E7424" s="92"/>
      <c r="F7424" s="92"/>
      <c r="G7424" s="81"/>
      <c r="H7424" s="81"/>
      <c r="I7424" s="81"/>
      <c r="J7424" s="81"/>
      <c r="K7424" s="81"/>
      <c r="L7424" s="81"/>
      <c r="M7424" s="81"/>
      <c r="N7424" s="81"/>
    </row>
    <row r="7425" spans="1:14" ht="14.25" customHeight="1" x14ac:dyDescent="0.25">
      <c r="A7425" s="611" t="s">
        <v>563</v>
      </c>
      <c r="B7425" s="608"/>
      <c r="C7425" s="609"/>
      <c r="D7425" s="98" t="s">
        <v>574</v>
      </c>
      <c r="E7425" s="98" t="s">
        <v>575</v>
      </c>
      <c r="F7425" s="98" t="s">
        <v>568</v>
      </c>
      <c r="G7425" s="81"/>
      <c r="H7425" s="81"/>
      <c r="I7425" s="81"/>
      <c r="J7425" s="81"/>
      <c r="K7425" s="81"/>
      <c r="L7425" s="81"/>
      <c r="M7425" s="81"/>
      <c r="N7425" s="81"/>
    </row>
    <row r="7426" spans="1:14" ht="14.25" customHeight="1" x14ac:dyDescent="0.25">
      <c r="A7426" s="607" t="s">
        <v>577</v>
      </c>
      <c r="B7426" s="608"/>
      <c r="C7426" s="609"/>
      <c r="D7426" s="116"/>
      <c r="E7426" s="107"/>
      <c r="F7426" s="106">
        <f>+F7441*5%</f>
        <v>1207.3683333333333</v>
      </c>
      <c r="G7426" s="81"/>
      <c r="H7426" s="81"/>
      <c r="I7426" s="81"/>
      <c r="J7426" s="81"/>
      <c r="K7426" s="81"/>
      <c r="L7426" s="81"/>
      <c r="M7426" s="81"/>
      <c r="N7426" s="81"/>
    </row>
    <row r="7427" spans="1:14" ht="14.25" customHeight="1" x14ac:dyDescent="0.25">
      <c r="A7427" s="607"/>
      <c r="B7427" s="608"/>
      <c r="C7427" s="609"/>
      <c r="D7427" s="142"/>
      <c r="E7427" s="107"/>
      <c r="F7427" s="106"/>
      <c r="G7427" s="81"/>
      <c r="H7427" s="81"/>
      <c r="I7427" s="81"/>
      <c r="J7427" s="81"/>
      <c r="K7427" s="81"/>
      <c r="L7427" s="81"/>
      <c r="M7427" s="81"/>
      <c r="N7427" s="81"/>
    </row>
    <row r="7428" spans="1:14" ht="14.25" customHeight="1" x14ac:dyDescent="0.25">
      <c r="A7428" s="607"/>
      <c r="B7428" s="608"/>
      <c r="C7428" s="609"/>
      <c r="D7428" s="142"/>
      <c r="E7428" s="107"/>
      <c r="F7428" s="106"/>
      <c r="G7428" s="81"/>
      <c r="H7428" s="81"/>
      <c r="I7428" s="81"/>
      <c r="J7428" s="81"/>
      <c r="K7428" s="81"/>
      <c r="L7428" s="81"/>
      <c r="M7428" s="81"/>
      <c r="N7428" s="81"/>
    </row>
    <row r="7429" spans="1:14" ht="14.25" customHeight="1" x14ac:dyDescent="0.25">
      <c r="A7429" s="607"/>
      <c r="B7429" s="608"/>
      <c r="C7429" s="609"/>
      <c r="D7429" s="142"/>
      <c r="E7429" s="107"/>
      <c r="F7429" s="106"/>
      <c r="G7429" s="81"/>
      <c r="H7429" s="81"/>
      <c r="I7429" s="81"/>
      <c r="J7429" s="81"/>
      <c r="K7429" s="81"/>
      <c r="L7429" s="81"/>
      <c r="M7429" s="81"/>
      <c r="N7429" s="81"/>
    </row>
    <row r="7430" spans="1:14" ht="14.25" customHeight="1" x14ac:dyDescent="0.25">
      <c r="A7430" s="607"/>
      <c r="B7430" s="608"/>
      <c r="C7430" s="609"/>
      <c r="D7430" s="142"/>
      <c r="E7430" s="107"/>
      <c r="F7430" s="106"/>
      <c r="G7430" s="81"/>
      <c r="H7430" s="81"/>
      <c r="I7430" s="81"/>
      <c r="J7430" s="81"/>
      <c r="K7430" s="81"/>
      <c r="L7430" s="81"/>
      <c r="M7430" s="81"/>
      <c r="N7430" s="81"/>
    </row>
    <row r="7431" spans="1:14" ht="14.25" customHeight="1" x14ac:dyDescent="0.25">
      <c r="A7431" s="607"/>
      <c r="B7431" s="608"/>
      <c r="C7431" s="609"/>
      <c r="D7431" s="142"/>
      <c r="E7431" s="105"/>
      <c r="F7431" s="106"/>
      <c r="G7431" s="81"/>
      <c r="H7431" s="81"/>
      <c r="I7431" s="81"/>
      <c r="J7431" s="81"/>
      <c r="K7431" s="81"/>
      <c r="L7431" s="81"/>
      <c r="M7431" s="81"/>
      <c r="N7431" s="81"/>
    </row>
    <row r="7432" spans="1:14" ht="14.25" customHeight="1" x14ac:dyDescent="0.25">
      <c r="A7432" s="610"/>
      <c r="B7432" s="608"/>
      <c r="C7432" s="609"/>
      <c r="D7432" s="115"/>
      <c r="E7432" s="107"/>
      <c r="F7432" s="106"/>
      <c r="G7432" s="81"/>
      <c r="H7432" s="81"/>
      <c r="I7432" s="81"/>
      <c r="J7432" s="81"/>
      <c r="K7432" s="81"/>
      <c r="L7432" s="81"/>
      <c r="M7432" s="81"/>
      <c r="N7432" s="81"/>
    </row>
    <row r="7433" spans="1:14" ht="14.25" customHeight="1" x14ac:dyDescent="0.25">
      <c r="A7433" s="611" t="s">
        <v>548</v>
      </c>
      <c r="B7433" s="608"/>
      <c r="C7433" s="609"/>
      <c r="D7433" s="110"/>
      <c r="E7433" s="110"/>
      <c r="F7433" s="112">
        <f>SUM(F7426:F7432)</f>
        <v>1207.3683333333333</v>
      </c>
      <c r="G7433" s="81"/>
      <c r="H7433" s="81"/>
      <c r="I7433" s="81"/>
      <c r="J7433" s="81"/>
      <c r="K7433" s="81"/>
      <c r="L7433" s="81"/>
      <c r="M7433" s="81"/>
      <c r="N7433" s="81"/>
    </row>
    <row r="7434" spans="1:14" ht="14.25" customHeight="1" x14ac:dyDescent="0.25">
      <c r="A7434" s="88"/>
      <c r="B7434" s="88"/>
      <c r="C7434" s="89"/>
      <c r="D7434" s="113"/>
      <c r="E7434" s="113"/>
      <c r="F7434" s="113"/>
      <c r="G7434" s="81"/>
      <c r="H7434" s="81"/>
      <c r="I7434" s="81"/>
      <c r="J7434" s="81"/>
      <c r="K7434" s="81"/>
      <c r="L7434" s="81"/>
      <c r="M7434" s="81"/>
      <c r="N7434" s="81"/>
    </row>
    <row r="7435" spans="1:14" ht="14.25" customHeight="1" x14ac:dyDescent="0.25">
      <c r="A7435" s="96" t="s">
        <v>578</v>
      </c>
      <c r="B7435" s="96"/>
      <c r="C7435" s="92"/>
      <c r="D7435" s="118"/>
      <c r="E7435" s="118"/>
      <c r="F7435" s="118"/>
      <c r="G7435" s="81"/>
      <c r="H7435" s="81"/>
      <c r="I7435" s="81"/>
      <c r="J7435" s="81"/>
      <c r="K7435" s="81"/>
      <c r="L7435" s="81"/>
      <c r="M7435" s="81"/>
      <c r="N7435" s="81"/>
    </row>
    <row r="7436" spans="1:14" ht="14.25" customHeight="1" x14ac:dyDescent="0.25">
      <c r="A7436" s="119" t="s">
        <v>563</v>
      </c>
      <c r="B7436" s="120" t="s">
        <v>579</v>
      </c>
      <c r="C7436" s="120" t="s">
        <v>580</v>
      </c>
      <c r="D7436" s="121" t="s">
        <v>581</v>
      </c>
      <c r="E7436" s="121" t="s">
        <v>575</v>
      </c>
      <c r="F7436" s="121" t="s">
        <v>568</v>
      </c>
      <c r="G7436" s="81"/>
      <c r="H7436" s="81"/>
      <c r="I7436" s="81"/>
      <c r="J7436" s="81"/>
      <c r="K7436" s="81"/>
      <c r="L7436" s="81"/>
      <c r="M7436" s="81"/>
      <c r="N7436" s="81"/>
    </row>
    <row r="7437" spans="1:14" ht="14.25" customHeight="1" x14ac:dyDescent="0.25">
      <c r="A7437" s="122" t="s">
        <v>593</v>
      </c>
      <c r="B7437" s="127">
        <v>1</v>
      </c>
      <c r="C7437" s="101">
        <v>32688</v>
      </c>
      <c r="D7437" s="101">
        <f t="shared" ref="D7437:D7438" si="366">+C7437*1.7</f>
        <v>55569.599999999999</v>
      </c>
      <c r="E7437" s="107">
        <v>6</v>
      </c>
      <c r="F7437" s="106">
        <f t="shared" ref="F7437:F7438" si="367">+B7437*(D7437)/E7437</f>
        <v>9261.6</v>
      </c>
      <c r="G7437" s="81"/>
      <c r="H7437" s="117"/>
      <c r="I7437" s="81"/>
      <c r="J7437" s="81"/>
      <c r="K7437" s="81"/>
      <c r="L7437" s="81"/>
      <c r="M7437" s="81"/>
      <c r="N7437" s="81"/>
    </row>
    <row r="7438" spans="1:14" ht="14.25" customHeight="1" x14ac:dyDescent="0.25">
      <c r="A7438" s="122" t="s">
        <v>594</v>
      </c>
      <c r="B7438" s="127">
        <v>1</v>
      </c>
      <c r="C7438" s="101">
        <v>52538</v>
      </c>
      <c r="D7438" s="101">
        <f t="shared" si="366"/>
        <v>89314.599999999991</v>
      </c>
      <c r="E7438" s="107">
        <f>E7437</f>
        <v>6</v>
      </c>
      <c r="F7438" s="106">
        <f t="shared" si="367"/>
        <v>14885.766666666665</v>
      </c>
      <c r="G7438" s="81"/>
      <c r="H7438" s="81"/>
      <c r="I7438" s="81"/>
      <c r="J7438" s="81"/>
      <c r="K7438" s="81"/>
      <c r="L7438" s="81"/>
      <c r="M7438" s="81"/>
      <c r="N7438" s="81"/>
    </row>
    <row r="7439" spans="1:14" ht="14.25" customHeight="1" x14ac:dyDescent="0.25">
      <c r="A7439" s="122"/>
      <c r="B7439" s="127"/>
      <c r="C7439" s="101"/>
      <c r="D7439" s="101"/>
      <c r="E7439" s="107"/>
      <c r="F7439" s="106"/>
      <c r="G7439" s="81"/>
      <c r="H7439" s="81"/>
      <c r="I7439" s="81"/>
      <c r="J7439" s="81"/>
      <c r="K7439" s="81"/>
      <c r="L7439" s="81"/>
      <c r="M7439" s="81"/>
      <c r="N7439" s="81"/>
    </row>
    <row r="7440" spans="1:14" ht="14.25" customHeight="1" x14ac:dyDescent="0.25">
      <c r="A7440" s="122"/>
      <c r="B7440" s="127"/>
      <c r="C7440" s="101"/>
      <c r="D7440" s="101"/>
      <c r="E7440" s="125"/>
      <c r="F7440" s="106"/>
      <c r="G7440" s="81"/>
      <c r="H7440" s="81"/>
      <c r="I7440" s="81"/>
      <c r="J7440" s="81"/>
      <c r="K7440" s="81"/>
      <c r="L7440" s="81"/>
      <c r="M7440" s="81"/>
      <c r="N7440" s="81"/>
    </row>
    <row r="7441" spans="1:14" ht="14.25" customHeight="1" x14ac:dyDescent="0.25">
      <c r="A7441" s="97" t="s">
        <v>548</v>
      </c>
      <c r="B7441" s="128"/>
      <c r="C7441" s="110"/>
      <c r="D7441" s="110"/>
      <c r="E7441" s="110"/>
      <c r="F7441" s="112">
        <f>SUM(F7437:F7440)</f>
        <v>24147.366666666665</v>
      </c>
      <c r="G7441" s="81"/>
      <c r="H7441" s="81"/>
      <c r="I7441" s="81"/>
      <c r="J7441" s="81"/>
      <c r="K7441" s="81"/>
      <c r="L7441" s="81"/>
      <c r="M7441" s="81"/>
      <c r="N7441" s="81"/>
    </row>
    <row r="7442" spans="1:14" ht="14.25" customHeight="1" x14ac:dyDescent="0.25">
      <c r="A7442" s="96"/>
      <c r="B7442" s="129"/>
      <c r="C7442" s="118"/>
      <c r="D7442" s="118"/>
      <c r="E7442" s="118"/>
      <c r="F7442" s="118"/>
      <c r="G7442" s="81"/>
      <c r="H7442" s="81"/>
      <c r="I7442" s="81"/>
      <c r="J7442" s="81"/>
      <c r="K7442" s="81"/>
      <c r="L7442" s="81"/>
      <c r="M7442" s="81"/>
      <c r="N7442" s="81"/>
    </row>
    <row r="7443" spans="1:14" ht="14.25" customHeight="1" x14ac:dyDescent="0.25">
      <c r="A7443" s="95" t="s">
        <v>583</v>
      </c>
      <c r="B7443" s="96"/>
      <c r="C7443" s="92"/>
      <c r="D7443" s="92"/>
      <c r="E7443" s="92" t="s">
        <v>584</v>
      </c>
      <c r="F7443" s="92"/>
      <c r="G7443" s="81"/>
      <c r="H7443" s="81"/>
      <c r="I7443" s="81"/>
      <c r="J7443" s="81"/>
      <c r="K7443" s="81"/>
      <c r="L7443" s="81"/>
      <c r="M7443" s="81"/>
      <c r="N7443" s="81"/>
    </row>
    <row r="7444" spans="1:14" ht="14.25" customHeight="1" x14ac:dyDescent="0.25">
      <c r="A7444" s="97" t="s">
        <v>563</v>
      </c>
      <c r="B7444" s="98" t="s">
        <v>564</v>
      </c>
      <c r="C7444" s="98" t="s">
        <v>585</v>
      </c>
      <c r="D7444" s="98" t="s">
        <v>586</v>
      </c>
      <c r="E7444" s="120" t="s">
        <v>587</v>
      </c>
      <c r="F7444" s="98" t="s">
        <v>568</v>
      </c>
      <c r="G7444" s="81"/>
      <c r="H7444" s="81"/>
      <c r="I7444" s="81"/>
      <c r="J7444" s="81"/>
      <c r="K7444" s="81"/>
      <c r="L7444" s="81"/>
      <c r="M7444" s="81"/>
      <c r="N7444" s="81"/>
    </row>
    <row r="7445" spans="1:14" ht="14.25" customHeight="1" x14ac:dyDescent="0.25">
      <c r="A7445" s="103"/>
      <c r="B7445" s="100"/>
      <c r="C7445" s="101"/>
      <c r="D7445" s="140"/>
      <c r="E7445" s="107"/>
      <c r="F7445" s="109"/>
      <c r="G7445" s="81"/>
      <c r="H7445" s="81"/>
      <c r="I7445" s="81"/>
      <c r="J7445" s="81"/>
      <c r="K7445" s="81"/>
      <c r="L7445" s="81"/>
      <c r="M7445" s="81"/>
      <c r="N7445" s="81"/>
    </row>
    <row r="7446" spans="1:14" ht="14.25" customHeight="1" x14ac:dyDescent="0.25">
      <c r="A7446" s="103"/>
      <c r="B7446" s="100"/>
      <c r="C7446" s="107"/>
      <c r="D7446" s="107"/>
      <c r="E7446" s="108"/>
      <c r="F7446" s="109"/>
      <c r="G7446" s="81"/>
      <c r="H7446" s="81"/>
      <c r="I7446" s="81"/>
      <c r="J7446" s="81"/>
      <c r="K7446" s="81"/>
      <c r="L7446" s="81"/>
      <c r="M7446" s="81"/>
      <c r="N7446" s="81"/>
    </row>
    <row r="7447" spans="1:14" ht="14.25" customHeight="1" x14ac:dyDescent="0.25">
      <c r="A7447" s="97" t="s">
        <v>548</v>
      </c>
      <c r="B7447" s="98"/>
      <c r="C7447" s="110"/>
      <c r="D7447" s="110"/>
      <c r="E7447" s="111"/>
      <c r="F7447" s="112">
        <f>SUM(F7445:F7446)</f>
        <v>0</v>
      </c>
      <c r="G7447" s="81"/>
      <c r="H7447" s="81"/>
      <c r="I7447" s="81"/>
      <c r="J7447" s="81"/>
      <c r="K7447" s="81"/>
      <c r="L7447" s="81"/>
      <c r="M7447" s="81"/>
      <c r="N7447" s="81"/>
    </row>
    <row r="7448" spans="1:14" ht="14.25" customHeight="1" x14ac:dyDescent="0.25">
      <c r="A7448" s="88"/>
      <c r="B7448" s="89"/>
      <c r="C7448" s="113"/>
      <c r="D7448" s="113"/>
      <c r="E7448" s="114"/>
      <c r="F7448" s="113"/>
      <c r="G7448" s="81"/>
      <c r="H7448" s="81"/>
      <c r="I7448" s="81"/>
      <c r="J7448" s="81"/>
      <c r="K7448" s="81"/>
      <c r="L7448" s="81"/>
      <c r="M7448" s="81"/>
      <c r="N7448" s="81"/>
    </row>
    <row r="7449" spans="1:14" ht="14.25" customHeight="1" x14ac:dyDescent="0.25">
      <c r="A7449" s="88"/>
      <c r="B7449" s="89"/>
      <c r="C7449" s="113"/>
      <c r="D7449" s="113"/>
      <c r="E7449" s="114"/>
      <c r="F7449" s="113"/>
      <c r="G7449" s="81"/>
      <c r="H7449" s="81"/>
      <c r="I7449" s="81"/>
      <c r="J7449" s="81"/>
      <c r="K7449" s="81"/>
      <c r="L7449" s="81"/>
      <c r="M7449" s="81"/>
      <c r="N7449" s="81"/>
    </row>
    <row r="7450" spans="1:14" ht="14.25" customHeight="1" x14ac:dyDescent="0.25">
      <c r="A7450" s="612" t="s">
        <v>588</v>
      </c>
      <c r="B7450" s="608"/>
      <c r="C7450" s="608"/>
      <c r="D7450" s="608"/>
      <c r="E7450" s="609"/>
      <c r="F7450" s="131">
        <f>ROUND(F7422+F7433+F7441+F7447,0)</f>
        <v>145780</v>
      </c>
      <c r="G7450" s="81"/>
      <c r="H7450" s="81"/>
      <c r="I7450" s="81"/>
      <c r="J7450" s="81"/>
      <c r="K7450" s="81"/>
      <c r="L7450" s="81"/>
      <c r="M7450" s="81"/>
      <c r="N7450" s="81"/>
    </row>
    <row r="7451" spans="1:14" ht="14.25" customHeight="1" x14ac:dyDescent="0.25">
      <c r="A7451" s="612" t="s">
        <v>589</v>
      </c>
      <c r="B7451" s="608"/>
      <c r="C7451" s="608"/>
      <c r="D7451" s="608"/>
      <c r="E7451" s="609"/>
      <c r="F7451" s="132"/>
      <c r="G7451" s="81"/>
      <c r="H7451" s="81"/>
      <c r="I7451" s="81"/>
      <c r="J7451" s="81"/>
      <c r="K7451" s="81"/>
      <c r="L7451" s="81"/>
      <c r="M7451" s="81"/>
      <c r="N7451" s="81"/>
    </row>
    <row r="7452" spans="1:14" ht="14.25" customHeight="1" x14ac:dyDescent="0.25">
      <c r="A7452" s="612" t="s">
        <v>556</v>
      </c>
      <c r="B7452" s="608"/>
      <c r="C7452" s="608"/>
      <c r="D7452" s="608"/>
      <c r="E7452" s="609"/>
      <c r="F7452" s="133"/>
      <c r="G7452" s="81"/>
      <c r="H7452" s="81"/>
      <c r="I7452" s="81"/>
      <c r="J7452" s="81"/>
      <c r="K7452" s="81"/>
      <c r="L7452" s="81"/>
      <c r="M7452" s="81"/>
      <c r="N7452" s="81"/>
    </row>
    <row r="7453" spans="1:14" ht="14.25" customHeight="1" x14ac:dyDescent="0.25">
      <c r="A7453" s="134"/>
      <c r="B7453" s="135"/>
      <c r="C7453" s="135"/>
      <c r="D7453" s="135"/>
      <c r="E7453" s="135"/>
      <c r="F7453" s="136"/>
      <c r="G7453" s="81"/>
      <c r="H7453" s="81"/>
      <c r="I7453" s="81"/>
      <c r="J7453" s="81"/>
      <c r="K7453" s="81"/>
      <c r="L7453" s="81"/>
      <c r="M7453" s="81"/>
      <c r="N7453" s="81"/>
    </row>
    <row r="7454" spans="1:14" ht="14.25" customHeight="1" x14ac:dyDescent="0.25">
      <c r="A7454" s="134"/>
      <c r="B7454" s="135"/>
      <c r="C7454" s="135"/>
      <c r="D7454" s="135"/>
      <c r="E7454" s="135"/>
      <c r="F7454" s="136"/>
      <c r="G7454" s="81"/>
      <c r="H7454" s="81"/>
      <c r="I7454" s="81"/>
      <c r="J7454" s="81"/>
      <c r="K7454" s="81"/>
      <c r="L7454" s="81"/>
      <c r="M7454" s="81"/>
      <c r="N7454" s="81"/>
    </row>
    <row r="7455" spans="1:14" ht="14.25" customHeight="1" x14ac:dyDescent="0.25">
      <c r="A7455" s="134"/>
      <c r="B7455" s="135"/>
      <c r="C7455" s="135"/>
      <c r="D7455" s="135"/>
      <c r="E7455" s="135"/>
      <c r="F7455" s="136"/>
      <c r="G7455" s="81"/>
      <c r="H7455" s="81"/>
      <c r="I7455" s="81"/>
      <c r="J7455" s="81"/>
      <c r="K7455" s="81"/>
      <c r="L7455" s="81"/>
      <c r="M7455" s="81"/>
      <c r="N7455" s="81"/>
    </row>
    <row r="7456" spans="1:14" ht="14.25" customHeight="1" x14ac:dyDescent="0.25">
      <c r="A7456" s="134"/>
      <c r="B7456" s="135"/>
      <c r="C7456" s="135"/>
      <c r="D7456" s="135"/>
      <c r="E7456" s="135"/>
      <c r="F7456" s="136"/>
      <c r="G7456" s="81"/>
      <c r="H7456" s="81"/>
      <c r="I7456" s="81"/>
      <c r="J7456" s="81"/>
      <c r="K7456" s="81"/>
      <c r="L7456" s="81"/>
      <c r="M7456" s="81"/>
      <c r="N7456" s="81"/>
    </row>
    <row r="7457" spans="1:14" ht="14.25" customHeight="1" x14ac:dyDescent="0.25">
      <c r="A7457" s="81"/>
      <c r="B7457" s="81"/>
      <c r="C7457" s="137"/>
      <c r="D7457" s="81"/>
      <c r="E7457" s="81"/>
      <c r="F7457" s="81"/>
      <c r="G7457" s="81"/>
      <c r="H7457" s="81"/>
      <c r="I7457" s="81"/>
      <c r="J7457" s="81"/>
      <c r="K7457" s="81"/>
      <c r="L7457" s="81"/>
      <c r="M7457" s="81"/>
      <c r="N7457" s="81"/>
    </row>
    <row r="7458" spans="1:14" ht="14.25" customHeight="1" x14ac:dyDescent="0.25">
      <c r="A7458" s="81"/>
      <c r="B7458" s="81"/>
      <c r="C7458" s="137"/>
      <c r="D7458" s="81"/>
      <c r="E7458" s="81"/>
      <c r="F7458" s="81"/>
      <c r="G7458" s="81"/>
      <c r="H7458" s="81"/>
      <c r="I7458" s="81"/>
      <c r="J7458" s="81"/>
      <c r="K7458" s="81"/>
      <c r="L7458" s="81"/>
      <c r="M7458" s="81"/>
      <c r="N7458" s="81"/>
    </row>
    <row r="7459" spans="1:14" ht="14.25" customHeight="1" x14ac:dyDescent="0.25">
      <c r="A7459" s="81"/>
      <c r="B7459" s="81"/>
      <c r="C7459" s="137"/>
      <c r="D7459" s="81"/>
      <c r="E7459" s="81"/>
      <c r="F7459" s="81"/>
      <c r="G7459" s="81"/>
      <c r="H7459" s="81"/>
      <c r="I7459" s="81"/>
      <c r="J7459" s="81"/>
      <c r="K7459" s="81"/>
      <c r="L7459" s="81"/>
      <c r="M7459" s="81"/>
      <c r="N7459" s="81"/>
    </row>
    <row r="7460" spans="1:14" ht="14.25" customHeight="1" x14ac:dyDescent="0.25">
      <c r="A7460" s="81"/>
      <c r="B7460" s="81"/>
      <c r="C7460" s="137"/>
      <c r="D7460" s="81"/>
      <c r="E7460" s="81"/>
      <c r="F7460" s="81"/>
      <c r="G7460" s="81"/>
      <c r="H7460" s="81"/>
      <c r="I7460" s="81"/>
      <c r="J7460" s="81"/>
      <c r="K7460" s="81"/>
      <c r="L7460" s="81"/>
      <c r="M7460" s="81"/>
      <c r="N7460" s="81"/>
    </row>
    <row r="7461" spans="1:14" ht="16.5" thickBot="1" x14ac:dyDescent="0.3">
      <c r="A7461" s="81"/>
      <c r="B7461" s="81"/>
      <c r="C7461" s="81"/>
      <c r="D7461" s="81"/>
      <c r="E7461" s="81"/>
      <c r="F7461" s="81"/>
      <c r="G7461" s="81"/>
      <c r="H7461" s="81"/>
      <c r="I7461" s="81"/>
      <c r="J7461" s="81"/>
      <c r="K7461" s="81"/>
      <c r="L7461" s="81"/>
      <c r="M7461" s="81"/>
      <c r="N7461" s="81"/>
    </row>
    <row r="7462" spans="1:14" ht="14.25" customHeight="1" x14ac:dyDescent="0.25">
      <c r="A7462" s="83"/>
      <c r="B7462" s="84"/>
      <c r="C7462" s="85"/>
      <c r="D7462" s="86"/>
      <c r="E7462" s="86"/>
      <c r="F7462" s="87"/>
      <c r="G7462" s="81"/>
      <c r="H7462" s="81"/>
      <c r="I7462" s="81"/>
      <c r="J7462" s="81"/>
      <c r="K7462" s="81"/>
      <c r="L7462" s="81"/>
      <c r="M7462" s="81"/>
      <c r="N7462" s="81"/>
    </row>
    <row r="7463" spans="1:14" ht="14.25" customHeight="1" x14ac:dyDescent="0.25">
      <c r="A7463" s="599"/>
      <c r="B7463" s="600"/>
      <c r="C7463" s="600"/>
      <c r="D7463" s="600"/>
      <c r="E7463" s="600"/>
      <c r="F7463" s="601"/>
      <c r="G7463" s="81"/>
      <c r="H7463" s="81"/>
      <c r="I7463" s="81"/>
      <c r="J7463" s="81"/>
      <c r="K7463" s="81"/>
      <c r="L7463" s="81"/>
      <c r="M7463" s="81"/>
      <c r="N7463" s="81"/>
    </row>
    <row r="7464" spans="1:14" ht="14.25" customHeight="1" x14ac:dyDescent="0.25">
      <c r="A7464" s="602" t="s">
        <v>561</v>
      </c>
      <c r="B7464" s="600"/>
      <c r="C7464" s="600"/>
      <c r="D7464" s="600"/>
      <c r="E7464" s="600"/>
      <c r="F7464" s="601"/>
      <c r="G7464" s="81"/>
      <c r="H7464" s="81"/>
      <c r="I7464" s="81"/>
      <c r="J7464" s="81"/>
      <c r="K7464" s="81"/>
      <c r="L7464" s="81"/>
      <c r="M7464" s="81"/>
      <c r="N7464" s="81"/>
    </row>
    <row r="7465" spans="1:14" ht="14.25" customHeight="1" thickBot="1" x14ac:dyDescent="0.3">
      <c r="A7465" s="603"/>
      <c r="B7465" s="604"/>
      <c r="C7465" s="604"/>
      <c r="D7465" s="604"/>
      <c r="E7465" s="604"/>
      <c r="F7465" s="605"/>
      <c r="G7465" s="81"/>
      <c r="H7465" s="81"/>
      <c r="I7465" s="81"/>
      <c r="J7465" s="81"/>
      <c r="K7465" s="81"/>
      <c r="L7465" s="81"/>
      <c r="M7465" s="81"/>
      <c r="N7465" s="81"/>
    </row>
    <row r="7466" spans="1:14" ht="14.25" customHeight="1" x14ac:dyDescent="0.25">
      <c r="A7466" s="88"/>
      <c r="B7466" s="88"/>
      <c r="C7466" s="89"/>
      <c r="D7466" s="89"/>
      <c r="E7466" s="89"/>
      <c r="F7466" s="89"/>
      <c r="G7466" s="81"/>
      <c r="H7466" s="81"/>
      <c r="I7466" s="81"/>
      <c r="J7466" s="81"/>
      <c r="K7466" s="81"/>
      <c r="L7466" s="81"/>
      <c r="M7466" s="81"/>
      <c r="N7466" s="81"/>
    </row>
    <row r="7467" spans="1:14" ht="14.25" customHeight="1" x14ac:dyDescent="0.25">
      <c r="A7467" s="90" t="s">
        <v>47</v>
      </c>
      <c r="B7467" s="613" t="s">
        <v>354</v>
      </c>
      <c r="C7467" s="600"/>
      <c r="D7467" s="600"/>
      <c r="E7467" s="600"/>
      <c r="F7467" s="600"/>
      <c r="G7467" s="81"/>
      <c r="H7467" s="81"/>
      <c r="I7467" s="81"/>
      <c r="J7467" s="81"/>
      <c r="K7467" s="81"/>
      <c r="L7467" s="81"/>
      <c r="M7467" s="81"/>
      <c r="N7467" s="81"/>
    </row>
    <row r="7468" spans="1:14" ht="14.25" customHeight="1" x14ac:dyDescent="0.25">
      <c r="A7468" s="91"/>
      <c r="B7468" s="91"/>
      <c r="C7468" s="91"/>
      <c r="D7468" s="91"/>
      <c r="E7468" s="91"/>
      <c r="F7468" s="91"/>
      <c r="G7468" s="81"/>
      <c r="H7468" s="81"/>
      <c r="I7468" s="81"/>
      <c r="J7468" s="81"/>
      <c r="K7468" s="81"/>
      <c r="L7468" s="81"/>
      <c r="M7468" s="81"/>
      <c r="N7468" s="81"/>
    </row>
    <row r="7469" spans="1:14" ht="14.25" customHeight="1" x14ac:dyDescent="0.25">
      <c r="A7469" s="88" t="s">
        <v>49</v>
      </c>
      <c r="B7469" s="92" t="s">
        <v>99</v>
      </c>
      <c r="C7469" s="89"/>
      <c r="D7469" s="89"/>
      <c r="E7469" s="89"/>
      <c r="F7469" s="93"/>
      <c r="G7469" s="81"/>
      <c r="H7469" s="81"/>
      <c r="I7469" s="81"/>
      <c r="J7469" s="81"/>
      <c r="K7469" s="81"/>
      <c r="L7469" s="81"/>
      <c r="M7469" s="81"/>
      <c r="N7469" s="81"/>
    </row>
    <row r="7470" spans="1:14" ht="14.25" customHeight="1" x14ac:dyDescent="0.25">
      <c r="A7470" s="88"/>
      <c r="B7470" s="94"/>
      <c r="C7470" s="89"/>
      <c r="D7470" s="89"/>
      <c r="E7470" s="89"/>
      <c r="F7470" s="93"/>
      <c r="G7470" s="81"/>
      <c r="H7470" s="81"/>
      <c r="I7470" s="81"/>
      <c r="J7470" s="81"/>
      <c r="K7470" s="81"/>
      <c r="L7470" s="81"/>
      <c r="M7470" s="81"/>
      <c r="N7470" s="81"/>
    </row>
    <row r="7471" spans="1:14" ht="14.25" customHeight="1" x14ac:dyDescent="0.25">
      <c r="A7471" s="95" t="s">
        <v>562</v>
      </c>
      <c r="B7471" s="96"/>
      <c r="C7471" s="92"/>
      <c r="D7471" s="92"/>
      <c r="E7471" s="92"/>
      <c r="F7471" s="92"/>
      <c r="G7471" s="81"/>
      <c r="H7471" s="81"/>
      <c r="I7471" s="81"/>
      <c r="J7471" s="81"/>
      <c r="K7471" s="81"/>
      <c r="L7471" s="81"/>
      <c r="M7471" s="81"/>
      <c r="N7471" s="81"/>
    </row>
    <row r="7472" spans="1:14" ht="14.25" customHeight="1" x14ac:dyDescent="0.25">
      <c r="A7472" s="97" t="s">
        <v>563</v>
      </c>
      <c r="B7472" s="98" t="s">
        <v>564</v>
      </c>
      <c r="C7472" s="98" t="s">
        <v>565</v>
      </c>
      <c r="D7472" s="98" t="s">
        <v>566</v>
      </c>
      <c r="E7472" s="98" t="s">
        <v>567</v>
      </c>
      <c r="F7472" s="98" t="s">
        <v>568</v>
      </c>
      <c r="G7472" s="81"/>
      <c r="H7472" s="81"/>
      <c r="I7472" s="81"/>
      <c r="J7472" s="81"/>
      <c r="K7472" s="81"/>
      <c r="L7472" s="81"/>
      <c r="M7472" s="81"/>
      <c r="N7472" s="81"/>
    </row>
    <row r="7473" spans="1:14" ht="14.25" customHeight="1" x14ac:dyDescent="0.25">
      <c r="A7473" s="99" t="s">
        <v>803</v>
      </c>
      <c r="B7473" s="100" t="s">
        <v>99</v>
      </c>
      <c r="C7473" s="101">
        <v>39870</v>
      </c>
      <c r="D7473" s="149">
        <v>1</v>
      </c>
      <c r="E7473" s="102">
        <v>0.05</v>
      </c>
      <c r="F7473" s="101">
        <f t="shared" ref="F7473:F7474" si="368">C7473*(D7473+(D7473*E7473))</f>
        <v>41863.5</v>
      </c>
      <c r="G7473" s="81"/>
      <c r="H7473" s="81"/>
      <c r="I7473" s="81"/>
      <c r="J7473" s="81"/>
      <c r="K7473" s="81"/>
      <c r="L7473" s="81"/>
      <c r="M7473" s="81"/>
      <c r="N7473" s="81"/>
    </row>
    <row r="7474" spans="1:14" ht="14.25" customHeight="1" x14ac:dyDescent="0.25">
      <c r="A7474" s="99" t="s">
        <v>769</v>
      </c>
      <c r="B7474" s="100" t="s">
        <v>99</v>
      </c>
      <c r="C7474" s="101">
        <v>1150</v>
      </c>
      <c r="D7474" s="104">
        <v>4</v>
      </c>
      <c r="E7474" s="102">
        <v>0.05</v>
      </c>
      <c r="F7474" s="101">
        <f t="shared" si="368"/>
        <v>4830</v>
      </c>
      <c r="G7474" s="81"/>
      <c r="H7474" s="81"/>
      <c r="I7474" s="81"/>
      <c r="J7474" s="81"/>
      <c r="K7474" s="81"/>
      <c r="L7474" s="81"/>
      <c r="M7474" s="81"/>
      <c r="N7474" s="81"/>
    </row>
    <row r="7475" spans="1:14" ht="14.25" customHeight="1" x14ac:dyDescent="0.25">
      <c r="A7475" s="103"/>
      <c r="B7475" s="100"/>
      <c r="C7475" s="101"/>
      <c r="D7475" s="105"/>
      <c r="E7475" s="102"/>
      <c r="F7475" s="101"/>
      <c r="G7475" s="81"/>
      <c r="H7475" s="81"/>
      <c r="I7475" s="81"/>
      <c r="J7475" s="81"/>
      <c r="K7475" s="81"/>
      <c r="L7475" s="81"/>
      <c r="M7475" s="81"/>
      <c r="N7475" s="81"/>
    </row>
    <row r="7476" spans="1:14" ht="14.25" customHeight="1" x14ac:dyDescent="0.25">
      <c r="A7476" s="99"/>
      <c r="B7476" s="100"/>
      <c r="C7476" s="101"/>
      <c r="D7476" s="149"/>
      <c r="E7476" s="102"/>
      <c r="F7476" s="101"/>
      <c r="G7476" s="81"/>
      <c r="H7476" s="81"/>
      <c r="I7476" s="81"/>
      <c r="J7476" s="81"/>
      <c r="K7476" s="81"/>
      <c r="L7476" s="81"/>
      <c r="M7476" s="81"/>
      <c r="N7476" s="81"/>
    </row>
    <row r="7477" spans="1:14" ht="14.25" customHeight="1" x14ac:dyDescent="0.25">
      <c r="A7477" s="99"/>
      <c r="B7477" s="100"/>
      <c r="C7477" s="106"/>
      <c r="D7477" s="107"/>
      <c r="E7477" s="108"/>
      <c r="F7477" s="106"/>
      <c r="G7477" s="81"/>
      <c r="H7477" s="81"/>
      <c r="I7477" s="81"/>
      <c r="J7477" s="81"/>
      <c r="K7477" s="81"/>
      <c r="L7477" s="81"/>
      <c r="M7477" s="81"/>
      <c r="N7477" s="81"/>
    </row>
    <row r="7478" spans="1:14" ht="14.25" customHeight="1" x14ac:dyDescent="0.25">
      <c r="A7478" s="97" t="s">
        <v>548</v>
      </c>
      <c r="B7478" s="97"/>
      <c r="C7478" s="109"/>
      <c r="D7478" s="110"/>
      <c r="E7478" s="111"/>
      <c r="F7478" s="112">
        <f>SUM(F7473:F7477)</f>
        <v>46693.5</v>
      </c>
      <c r="G7478" s="81"/>
      <c r="H7478" s="81"/>
      <c r="I7478" s="81"/>
      <c r="J7478" s="81"/>
      <c r="K7478" s="81"/>
      <c r="L7478" s="81"/>
      <c r="M7478" s="81"/>
      <c r="N7478" s="81"/>
    </row>
    <row r="7479" spans="1:14" ht="15.75" x14ac:dyDescent="0.25">
      <c r="A7479" s="88"/>
      <c r="B7479" s="88"/>
      <c r="C7479" s="113"/>
      <c r="D7479" s="113"/>
      <c r="E7479" s="114"/>
      <c r="F7479" s="113"/>
      <c r="G7479" s="81"/>
      <c r="H7479" s="81"/>
      <c r="I7479" s="81"/>
      <c r="J7479" s="81"/>
      <c r="K7479" s="81"/>
      <c r="L7479" s="81"/>
      <c r="M7479" s="81"/>
      <c r="N7479" s="81"/>
    </row>
    <row r="7480" spans="1:14" ht="14.25" customHeight="1" x14ac:dyDescent="0.25">
      <c r="A7480" s="96" t="s">
        <v>573</v>
      </c>
      <c r="B7480" s="96"/>
      <c r="C7480" s="92"/>
      <c r="D7480" s="92"/>
      <c r="E7480" s="92"/>
      <c r="F7480" s="92"/>
      <c r="G7480" s="81"/>
      <c r="H7480" s="81"/>
      <c r="I7480" s="81"/>
      <c r="J7480" s="81"/>
      <c r="K7480" s="81"/>
      <c r="L7480" s="81"/>
      <c r="M7480" s="81"/>
      <c r="N7480" s="81"/>
    </row>
    <row r="7481" spans="1:14" ht="14.25" customHeight="1" x14ac:dyDescent="0.25">
      <c r="A7481" s="611" t="s">
        <v>563</v>
      </c>
      <c r="B7481" s="608"/>
      <c r="C7481" s="609"/>
      <c r="D7481" s="98" t="s">
        <v>574</v>
      </c>
      <c r="E7481" s="98" t="s">
        <v>575</v>
      </c>
      <c r="F7481" s="98" t="s">
        <v>568</v>
      </c>
      <c r="G7481" s="81"/>
      <c r="H7481" s="81"/>
      <c r="I7481" s="81"/>
      <c r="J7481" s="81"/>
      <c r="K7481" s="81"/>
      <c r="L7481" s="81"/>
      <c r="M7481" s="81"/>
      <c r="N7481" s="81"/>
    </row>
    <row r="7482" spans="1:14" ht="14.25" customHeight="1" x14ac:dyDescent="0.25">
      <c r="A7482" s="607" t="s">
        <v>577</v>
      </c>
      <c r="B7482" s="608"/>
      <c r="C7482" s="609"/>
      <c r="D7482" s="116"/>
      <c r="E7482" s="107"/>
      <c r="F7482" s="106">
        <f>+F7497*5%</f>
        <v>1006.5037374607497</v>
      </c>
      <c r="G7482" s="81"/>
      <c r="H7482" s="81"/>
      <c r="I7482" s="81"/>
      <c r="J7482" s="81"/>
      <c r="K7482" s="81"/>
      <c r="L7482" s="81"/>
      <c r="M7482" s="81"/>
      <c r="N7482" s="81"/>
    </row>
    <row r="7483" spans="1:14" ht="14.25" customHeight="1" x14ac:dyDescent="0.25">
      <c r="A7483" s="607"/>
      <c r="B7483" s="608"/>
      <c r="C7483" s="609"/>
      <c r="D7483" s="142"/>
      <c r="E7483" s="107"/>
      <c r="F7483" s="106"/>
      <c r="G7483" s="81"/>
      <c r="H7483" s="81"/>
      <c r="I7483" s="81"/>
      <c r="J7483" s="81"/>
      <c r="K7483" s="81"/>
      <c r="L7483" s="81"/>
      <c r="M7483" s="81"/>
      <c r="N7483" s="81"/>
    </row>
    <row r="7484" spans="1:14" ht="14.25" customHeight="1" x14ac:dyDescent="0.25">
      <c r="A7484" s="607"/>
      <c r="B7484" s="608"/>
      <c r="C7484" s="609"/>
      <c r="D7484" s="142"/>
      <c r="E7484" s="107"/>
      <c r="F7484" s="106"/>
      <c r="G7484" s="81"/>
      <c r="H7484" s="117"/>
      <c r="I7484" s="81"/>
      <c r="J7484" s="81"/>
      <c r="K7484" s="81"/>
      <c r="L7484" s="81"/>
      <c r="M7484" s="81"/>
      <c r="N7484" s="81"/>
    </row>
    <row r="7485" spans="1:14" ht="14.25" customHeight="1" x14ac:dyDescent="0.25">
      <c r="A7485" s="607"/>
      <c r="B7485" s="608"/>
      <c r="C7485" s="609"/>
      <c r="D7485" s="142"/>
      <c r="E7485" s="107"/>
      <c r="F7485" s="106"/>
      <c r="G7485" s="81"/>
      <c r="H7485" s="81"/>
      <c r="I7485" s="81"/>
      <c r="J7485" s="81"/>
      <c r="K7485" s="81"/>
      <c r="L7485" s="81"/>
      <c r="M7485" s="81"/>
      <c r="N7485" s="81"/>
    </row>
    <row r="7486" spans="1:14" ht="14.25" customHeight="1" x14ac:dyDescent="0.25">
      <c r="A7486" s="607"/>
      <c r="B7486" s="608"/>
      <c r="C7486" s="609"/>
      <c r="D7486" s="142"/>
      <c r="E7486" s="107"/>
      <c r="F7486" s="106"/>
      <c r="G7486" s="81"/>
      <c r="H7486" s="81"/>
      <c r="I7486" s="81"/>
      <c r="J7486" s="81"/>
      <c r="K7486" s="81"/>
      <c r="L7486" s="81"/>
      <c r="M7486" s="81"/>
      <c r="N7486" s="81"/>
    </row>
    <row r="7487" spans="1:14" ht="14.25" customHeight="1" x14ac:dyDescent="0.25">
      <c r="A7487" s="607"/>
      <c r="B7487" s="608"/>
      <c r="C7487" s="609"/>
      <c r="D7487" s="142"/>
      <c r="E7487" s="105"/>
      <c r="F7487" s="106"/>
      <c r="G7487" s="81"/>
      <c r="H7487" s="81"/>
      <c r="I7487" s="81"/>
      <c r="J7487" s="81"/>
      <c r="K7487" s="81"/>
      <c r="L7487" s="81"/>
      <c r="M7487" s="81"/>
      <c r="N7487" s="81"/>
    </row>
    <row r="7488" spans="1:14" ht="14.25" customHeight="1" x14ac:dyDescent="0.25">
      <c r="A7488" s="610"/>
      <c r="B7488" s="608"/>
      <c r="C7488" s="609"/>
      <c r="D7488" s="115"/>
      <c r="E7488" s="107"/>
      <c r="F7488" s="106"/>
      <c r="G7488" s="81"/>
      <c r="H7488" s="81"/>
      <c r="I7488" s="81"/>
      <c r="J7488" s="81"/>
      <c r="K7488" s="81"/>
      <c r="L7488" s="81"/>
      <c r="M7488" s="81"/>
      <c r="N7488" s="81"/>
    </row>
    <row r="7489" spans="1:14" ht="14.25" customHeight="1" x14ac:dyDescent="0.25">
      <c r="A7489" s="611" t="s">
        <v>548</v>
      </c>
      <c r="B7489" s="608"/>
      <c r="C7489" s="609"/>
      <c r="D7489" s="110"/>
      <c r="E7489" s="110"/>
      <c r="F7489" s="112">
        <f>SUM(F7482:F7488)</f>
        <v>1006.5037374607497</v>
      </c>
      <c r="G7489" s="81"/>
      <c r="H7489" s="81"/>
      <c r="I7489" s="81"/>
      <c r="J7489" s="81"/>
      <c r="K7489" s="81"/>
      <c r="L7489" s="81"/>
      <c r="M7489" s="81"/>
      <c r="N7489" s="81"/>
    </row>
    <row r="7490" spans="1:14" ht="14.25" customHeight="1" x14ac:dyDescent="0.25">
      <c r="A7490" s="88"/>
      <c r="B7490" s="88"/>
      <c r="C7490" s="89"/>
      <c r="D7490" s="113"/>
      <c r="E7490" s="113"/>
      <c r="F7490" s="113"/>
      <c r="G7490" s="81"/>
      <c r="H7490" s="81"/>
      <c r="I7490" s="81"/>
      <c r="J7490" s="81"/>
      <c r="K7490" s="81"/>
      <c r="L7490" s="81"/>
      <c r="M7490" s="81"/>
      <c r="N7490" s="81"/>
    </row>
    <row r="7491" spans="1:14" ht="14.25" customHeight="1" x14ac:dyDescent="0.25">
      <c r="A7491" s="96" t="s">
        <v>578</v>
      </c>
      <c r="B7491" s="96"/>
      <c r="C7491" s="92"/>
      <c r="D7491" s="118"/>
      <c r="E7491" s="118"/>
      <c r="F7491" s="118"/>
      <c r="G7491" s="81"/>
      <c r="H7491" s="81"/>
      <c r="I7491" s="81"/>
      <c r="J7491" s="81"/>
      <c r="K7491" s="81"/>
      <c r="L7491" s="81"/>
      <c r="M7491" s="81"/>
      <c r="N7491" s="81"/>
    </row>
    <row r="7492" spans="1:14" ht="14.25" customHeight="1" x14ac:dyDescent="0.25">
      <c r="A7492" s="119" t="s">
        <v>563</v>
      </c>
      <c r="B7492" s="120" t="s">
        <v>579</v>
      </c>
      <c r="C7492" s="120" t="s">
        <v>580</v>
      </c>
      <c r="D7492" s="121" t="s">
        <v>581</v>
      </c>
      <c r="E7492" s="121" t="s">
        <v>575</v>
      </c>
      <c r="F7492" s="121" t="s">
        <v>568</v>
      </c>
      <c r="G7492" s="81"/>
      <c r="H7492" s="81"/>
      <c r="I7492" s="81"/>
      <c r="J7492" s="81"/>
      <c r="K7492" s="81"/>
      <c r="L7492" s="81"/>
      <c r="M7492" s="81"/>
      <c r="N7492" s="81"/>
    </row>
    <row r="7493" spans="1:14" ht="14.25" customHeight="1" x14ac:dyDescent="0.25">
      <c r="A7493" s="122" t="s">
        <v>593</v>
      </c>
      <c r="B7493" s="127">
        <v>1</v>
      </c>
      <c r="C7493" s="101">
        <v>32688</v>
      </c>
      <c r="D7493" s="101">
        <f t="shared" ref="D7493:D7494" si="369">+C7493*1.7</f>
        <v>55569.599999999999</v>
      </c>
      <c r="E7493" s="107">
        <v>7.1974</v>
      </c>
      <c r="F7493" s="106">
        <f t="shared" ref="F7493:F7494" si="370">+B7493*(D7493)/E7493</f>
        <v>7720.7880623558503</v>
      </c>
      <c r="G7493" s="81"/>
      <c r="H7493" s="117"/>
      <c r="I7493" s="81"/>
      <c r="J7493" s="81"/>
      <c r="K7493" s="81"/>
      <c r="L7493" s="81"/>
      <c r="M7493" s="81"/>
      <c r="N7493" s="81"/>
    </row>
    <row r="7494" spans="1:14" ht="14.25" customHeight="1" x14ac:dyDescent="0.25">
      <c r="A7494" s="122" t="s">
        <v>594</v>
      </c>
      <c r="B7494" s="127">
        <v>1</v>
      </c>
      <c r="C7494" s="101">
        <v>52538</v>
      </c>
      <c r="D7494" s="101">
        <f t="shared" si="369"/>
        <v>89314.599999999991</v>
      </c>
      <c r="E7494" s="107">
        <f>E7493</f>
        <v>7.1974</v>
      </c>
      <c r="F7494" s="106">
        <f t="shared" si="370"/>
        <v>12409.286686859143</v>
      </c>
      <c r="G7494" s="81"/>
      <c r="H7494" s="81"/>
      <c r="I7494" s="81"/>
      <c r="J7494" s="81"/>
      <c r="K7494" s="81"/>
      <c r="L7494" s="81"/>
      <c r="M7494" s="81"/>
      <c r="N7494" s="81"/>
    </row>
    <row r="7495" spans="1:14" ht="14.25" customHeight="1" x14ac:dyDescent="0.25">
      <c r="A7495" s="122"/>
      <c r="B7495" s="127"/>
      <c r="C7495" s="101"/>
      <c r="D7495" s="101"/>
      <c r="E7495" s="107"/>
      <c r="F7495" s="106"/>
      <c r="G7495" s="81"/>
      <c r="H7495" s="81"/>
      <c r="I7495" s="81"/>
      <c r="J7495" s="81"/>
      <c r="K7495" s="81"/>
      <c r="L7495" s="81"/>
      <c r="M7495" s="81"/>
      <c r="N7495" s="81"/>
    </row>
    <row r="7496" spans="1:14" ht="14.25" customHeight="1" x14ac:dyDescent="0.25">
      <c r="A7496" s="122"/>
      <c r="B7496" s="127"/>
      <c r="C7496" s="101"/>
      <c r="D7496" s="101"/>
      <c r="E7496" s="125"/>
      <c r="F7496" s="106"/>
      <c r="G7496" s="81"/>
      <c r="H7496" s="81"/>
      <c r="I7496" s="81"/>
      <c r="J7496" s="81"/>
      <c r="K7496" s="81"/>
      <c r="L7496" s="81"/>
      <c r="M7496" s="81"/>
      <c r="N7496" s="81"/>
    </row>
    <row r="7497" spans="1:14" ht="14.25" customHeight="1" x14ac:dyDescent="0.25">
      <c r="A7497" s="97" t="s">
        <v>548</v>
      </c>
      <c r="B7497" s="128"/>
      <c r="C7497" s="110"/>
      <c r="D7497" s="110"/>
      <c r="E7497" s="110"/>
      <c r="F7497" s="112">
        <f>SUM(F7493:F7496)</f>
        <v>20130.074749214993</v>
      </c>
      <c r="G7497" s="81"/>
      <c r="H7497" s="81"/>
      <c r="I7497" s="81"/>
      <c r="J7497" s="81"/>
      <c r="K7497" s="81"/>
      <c r="L7497" s="81"/>
      <c r="M7497" s="81"/>
      <c r="N7497" s="81"/>
    </row>
    <row r="7498" spans="1:14" ht="14.25" customHeight="1" x14ac:dyDescent="0.25">
      <c r="A7498" s="96"/>
      <c r="B7498" s="129"/>
      <c r="C7498" s="118"/>
      <c r="D7498" s="118"/>
      <c r="E7498" s="118"/>
      <c r="F7498" s="118"/>
      <c r="G7498" s="81"/>
      <c r="H7498" s="81"/>
      <c r="I7498" s="81"/>
      <c r="J7498" s="81"/>
      <c r="K7498" s="81"/>
      <c r="L7498" s="81"/>
      <c r="M7498" s="81"/>
      <c r="N7498" s="81"/>
    </row>
    <row r="7499" spans="1:14" ht="14.25" customHeight="1" x14ac:dyDescent="0.25">
      <c r="A7499" s="95" t="s">
        <v>583</v>
      </c>
      <c r="B7499" s="96"/>
      <c r="C7499" s="92"/>
      <c r="D7499" s="92"/>
      <c r="E7499" s="92" t="s">
        <v>584</v>
      </c>
      <c r="F7499" s="92"/>
      <c r="G7499" s="81"/>
      <c r="H7499" s="81"/>
      <c r="I7499" s="81"/>
      <c r="J7499" s="81"/>
      <c r="K7499" s="81"/>
      <c r="L7499" s="81"/>
      <c r="M7499" s="81"/>
      <c r="N7499" s="81"/>
    </row>
    <row r="7500" spans="1:14" ht="14.25" customHeight="1" x14ac:dyDescent="0.25">
      <c r="A7500" s="97" t="s">
        <v>563</v>
      </c>
      <c r="B7500" s="98" t="s">
        <v>564</v>
      </c>
      <c r="C7500" s="98" t="s">
        <v>585</v>
      </c>
      <c r="D7500" s="98" t="s">
        <v>586</v>
      </c>
      <c r="E7500" s="120" t="s">
        <v>587</v>
      </c>
      <c r="F7500" s="98" t="s">
        <v>568</v>
      </c>
      <c r="G7500" s="81"/>
      <c r="H7500" s="81"/>
      <c r="I7500" s="81"/>
      <c r="J7500" s="81"/>
      <c r="K7500" s="81"/>
      <c r="L7500" s="81"/>
      <c r="M7500" s="81"/>
      <c r="N7500" s="81"/>
    </row>
    <row r="7501" spans="1:14" ht="14.25" customHeight="1" x14ac:dyDescent="0.25">
      <c r="A7501" s="103"/>
      <c r="B7501" s="100"/>
      <c r="C7501" s="101"/>
      <c r="D7501" s="140"/>
      <c r="E7501" s="107"/>
      <c r="F7501" s="109"/>
      <c r="G7501" s="81"/>
      <c r="H7501" s="81"/>
      <c r="I7501" s="81"/>
      <c r="J7501" s="81"/>
      <c r="K7501" s="81"/>
      <c r="L7501" s="81"/>
      <c r="M7501" s="81"/>
      <c r="N7501" s="81"/>
    </row>
    <row r="7502" spans="1:14" ht="14.25" customHeight="1" x14ac:dyDescent="0.25">
      <c r="A7502" s="103"/>
      <c r="B7502" s="100"/>
      <c r="C7502" s="107"/>
      <c r="D7502" s="107"/>
      <c r="E7502" s="108"/>
      <c r="F7502" s="109"/>
      <c r="G7502" s="81"/>
      <c r="H7502" s="81"/>
      <c r="I7502" s="81"/>
      <c r="J7502" s="81"/>
      <c r="K7502" s="81"/>
      <c r="L7502" s="81"/>
      <c r="M7502" s="81"/>
      <c r="N7502" s="81"/>
    </row>
    <row r="7503" spans="1:14" ht="14.25" customHeight="1" x14ac:dyDescent="0.25">
      <c r="A7503" s="97" t="s">
        <v>548</v>
      </c>
      <c r="B7503" s="98"/>
      <c r="C7503" s="110"/>
      <c r="D7503" s="110"/>
      <c r="E7503" s="111"/>
      <c r="F7503" s="112">
        <f>SUM(F7501:F7502)</f>
        <v>0</v>
      </c>
      <c r="G7503" s="81"/>
      <c r="H7503" s="81"/>
      <c r="I7503" s="81"/>
      <c r="J7503" s="81"/>
      <c r="K7503" s="81"/>
      <c r="L7503" s="81"/>
      <c r="M7503" s="81"/>
      <c r="N7503" s="81"/>
    </row>
    <row r="7504" spans="1:14" ht="14.25" customHeight="1" x14ac:dyDescent="0.25">
      <c r="A7504" s="88"/>
      <c r="B7504" s="89"/>
      <c r="C7504" s="113"/>
      <c r="D7504" s="113"/>
      <c r="E7504" s="114"/>
      <c r="F7504" s="113"/>
      <c r="G7504" s="81"/>
      <c r="H7504" s="81"/>
      <c r="I7504" s="81"/>
      <c r="J7504" s="81"/>
      <c r="K7504" s="81"/>
      <c r="L7504" s="81"/>
      <c r="M7504" s="81"/>
      <c r="N7504" s="81"/>
    </row>
    <row r="7505" spans="1:14" ht="14.25" customHeight="1" x14ac:dyDescent="0.25">
      <c r="A7505" s="88"/>
      <c r="B7505" s="89"/>
      <c r="C7505" s="113"/>
      <c r="D7505" s="113"/>
      <c r="E7505" s="114"/>
      <c r="F7505" s="113"/>
      <c r="G7505" s="81"/>
      <c r="H7505" s="81"/>
      <c r="I7505" s="81"/>
      <c r="J7505" s="81"/>
      <c r="K7505" s="81"/>
      <c r="L7505" s="81"/>
      <c r="M7505" s="81"/>
      <c r="N7505" s="81"/>
    </row>
    <row r="7506" spans="1:14" ht="14.25" customHeight="1" x14ac:dyDescent="0.25">
      <c r="A7506" s="612" t="s">
        <v>588</v>
      </c>
      <c r="B7506" s="608"/>
      <c r="C7506" s="608"/>
      <c r="D7506" s="608"/>
      <c r="E7506" s="609"/>
      <c r="F7506" s="131">
        <f>ROUND(F7478+F7489+F7497+F7503,0)</f>
        <v>67830</v>
      </c>
      <c r="G7506" s="81"/>
      <c r="H7506" s="81"/>
      <c r="I7506" s="81"/>
      <c r="J7506" s="81"/>
      <c r="K7506" s="81"/>
      <c r="L7506" s="81"/>
      <c r="M7506" s="81"/>
      <c r="N7506" s="81"/>
    </row>
    <row r="7507" spans="1:14" ht="14.25" customHeight="1" x14ac:dyDescent="0.25">
      <c r="A7507" s="612" t="s">
        <v>589</v>
      </c>
      <c r="B7507" s="608"/>
      <c r="C7507" s="608"/>
      <c r="D7507" s="608"/>
      <c r="E7507" s="609"/>
      <c r="F7507" s="132"/>
      <c r="G7507" s="81"/>
      <c r="H7507" s="81"/>
      <c r="I7507" s="81"/>
      <c r="J7507" s="81"/>
      <c r="K7507" s="81"/>
      <c r="L7507" s="81"/>
      <c r="M7507" s="81"/>
      <c r="N7507" s="81"/>
    </row>
    <row r="7508" spans="1:14" ht="14.25" customHeight="1" x14ac:dyDescent="0.25">
      <c r="A7508" s="612" t="s">
        <v>556</v>
      </c>
      <c r="B7508" s="608"/>
      <c r="C7508" s="608"/>
      <c r="D7508" s="608"/>
      <c r="E7508" s="609"/>
      <c r="F7508" s="133"/>
      <c r="G7508" s="81"/>
      <c r="H7508" s="81"/>
      <c r="I7508" s="81"/>
      <c r="J7508" s="81"/>
      <c r="K7508" s="81"/>
      <c r="L7508" s="81"/>
      <c r="M7508" s="81"/>
      <c r="N7508" s="81"/>
    </row>
    <row r="7509" spans="1:14" ht="14.25" customHeight="1" x14ac:dyDescent="0.25">
      <c r="A7509" s="134"/>
      <c r="B7509" s="135"/>
      <c r="C7509" s="135"/>
      <c r="D7509" s="135"/>
      <c r="E7509" s="135"/>
      <c r="F7509" s="136"/>
      <c r="G7509" s="81"/>
      <c r="H7509" s="81"/>
      <c r="I7509" s="81"/>
      <c r="J7509" s="81"/>
      <c r="K7509" s="81"/>
      <c r="L7509" s="81"/>
      <c r="M7509" s="81"/>
      <c r="N7509" s="81"/>
    </row>
    <row r="7510" spans="1:14" ht="14.25" customHeight="1" x14ac:dyDescent="0.25">
      <c r="A7510" s="134"/>
      <c r="B7510" s="135"/>
      <c r="C7510" s="135"/>
      <c r="D7510" s="135"/>
      <c r="E7510" s="135"/>
      <c r="F7510" s="136"/>
      <c r="G7510" s="81"/>
      <c r="H7510" s="81"/>
      <c r="I7510" s="81"/>
      <c r="J7510" s="81"/>
      <c r="K7510" s="81"/>
      <c r="L7510" s="81"/>
      <c r="M7510" s="81"/>
      <c r="N7510" s="81"/>
    </row>
    <row r="7511" spans="1:14" ht="14.25" customHeight="1" x14ac:dyDescent="0.25">
      <c r="A7511" s="134"/>
      <c r="B7511" s="135"/>
      <c r="C7511" s="135"/>
      <c r="D7511" s="135"/>
      <c r="E7511" s="135"/>
      <c r="F7511" s="136"/>
      <c r="G7511" s="81"/>
      <c r="H7511" s="81"/>
      <c r="I7511" s="81"/>
      <c r="J7511" s="81"/>
      <c r="K7511" s="81"/>
      <c r="L7511" s="81"/>
      <c r="M7511" s="81"/>
      <c r="N7511" s="81"/>
    </row>
    <row r="7512" spans="1:14" ht="14.25" customHeight="1" x14ac:dyDescent="0.25">
      <c r="A7512" s="134"/>
      <c r="B7512" s="135"/>
      <c r="C7512" s="135"/>
      <c r="D7512" s="135"/>
      <c r="E7512" s="135"/>
      <c r="F7512" s="136"/>
      <c r="G7512" s="81"/>
      <c r="H7512" s="81"/>
      <c r="I7512" s="81"/>
      <c r="J7512" s="81"/>
      <c r="K7512" s="81"/>
      <c r="L7512" s="81"/>
      <c r="M7512" s="81"/>
      <c r="N7512" s="81"/>
    </row>
    <row r="7513" spans="1:14" ht="14.25" customHeight="1" x14ac:dyDescent="0.25">
      <c r="A7513" s="81"/>
      <c r="B7513" s="81"/>
      <c r="C7513" s="137"/>
      <c r="D7513" s="81"/>
      <c r="E7513" s="81"/>
      <c r="F7513" s="81"/>
      <c r="G7513" s="81"/>
      <c r="H7513" s="81"/>
      <c r="I7513" s="81"/>
      <c r="J7513" s="81"/>
      <c r="K7513" s="81"/>
      <c r="L7513" s="81"/>
      <c r="M7513" s="81"/>
      <c r="N7513" s="81"/>
    </row>
    <row r="7514" spans="1:14" ht="14.25" customHeight="1" x14ac:dyDescent="0.25">
      <c r="A7514" s="81"/>
      <c r="B7514" s="81"/>
      <c r="C7514" s="137"/>
      <c r="D7514" s="81"/>
      <c r="E7514" s="81"/>
      <c r="F7514" s="81"/>
      <c r="G7514" s="81"/>
      <c r="H7514" s="81"/>
      <c r="I7514" s="81"/>
      <c r="J7514" s="81"/>
      <c r="K7514" s="81"/>
      <c r="L7514" s="81"/>
      <c r="M7514" s="81"/>
      <c r="N7514" s="81"/>
    </row>
    <row r="7515" spans="1:14" ht="14.25" customHeight="1" x14ac:dyDescent="0.25">
      <c r="A7515" s="81"/>
      <c r="B7515" s="81"/>
      <c r="C7515" s="137"/>
      <c r="D7515" s="81"/>
      <c r="E7515" s="81"/>
      <c r="F7515" s="81"/>
      <c r="G7515" s="81"/>
      <c r="H7515" s="81"/>
      <c r="I7515" s="81"/>
      <c r="J7515" s="81"/>
      <c r="K7515" s="81"/>
      <c r="L7515" s="81"/>
      <c r="M7515" s="81"/>
      <c r="N7515" s="81"/>
    </row>
    <row r="7516" spans="1:14" ht="14.25" customHeight="1" x14ac:dyDescent="0.25">
      <c r="A7516" s="81"/>
      <c r="B7516" s="81"/>
      <c r="C7516" s="137"/>
      <c r="D7516" s="81"/>
      <c r="E7516" s="81"/>
      <c r="F7516" s="81"/>
      <c r="G7516" s="81"/>
      <c r="H7516" s="81"/>
      <c r="I7516" s="81"/>
      <c r="J7516" s="81"/>
      <c r="K7516" s="81"/>
      <c r="L7516" s="81"/>
      <c r="M7516" s="81"/>
      <c r="N7516" s="81"/>
    </row>
    <row r="7517" spans="1:14" ht="14.25" customHeight="1" thickBot="1" x14ac:dyDescent="0.3">
      <c r="A7517" s="81"/>
      <c r="B7517" s="81"/>
      <c r="C7517" s="81"/>
      <c r="D7517" s="81"/>
      <c r="E7517" s="81"/>
      <c r="F7517" s="81"/>
      <c r="G7517" s="81"/>
      <c r="H7517" s="81"/>
      <c r="I7517" s="81"/>
      <c r="J7517" s="81"/>
      <c r="K7517" s="81"/>
      <c r="L7517" s="81"/>
      <c r="M7517" s="81"/>
      <c r="N7517" s="81"/>
    </row>
    <row r="7518" spans="1:14" ht="14.25" customHeight="1" x14ac:dyDescent="0.25">
      <c r="A7518" s="83"/>
      <c r="B7518" s="84"/>
      <c r="C7518" s="85"/>
      <c r="D7518" s="86"/>
      <c r="E7518" s="86"/>
      <c r="F7518" s="87"/>
      <c r="G7518" s="81"/>
      <c r="H7518" s="81"/>
      <c r="I7518" s="81"/>
      <c r="J7518" s="81"/>
      <c r="K7518" s="81"/>
      <c r="L7518" s="81"/>
      <c r="M7518" s="81"/>
      <c r="N7518" s="81"/>
    </row>
    <row r="7519" spans="1:14" ht="14.25" customHeight="1" x14ac:dyDescent="0.25">
      <c r="A7519" s="599"/>
      <c r="B7519" s="600"/>
      <c r="C7519" s="600"/>
      <c r="D7519" s="600"/>
      <c r="E7519" s="600"/>
      <c r="F7519" s="601"/>
      <c r="G7519" s="81"/>
      <c r="H7519" s="81"/>
      <c r="I7519" s="81"/>
      <c r="J7519" s="81"/>
      <c r="K7519" s="81"/>
      <c r="L7519" s="81"/>
      <c r="M7519" s="81"/>
      <c r="N7519" s="81"/>
    </row>
    <row r="7520" spans="1:14" ht="14.25" customHeight="1" x14ac:dyDescent="0.25">
      <c r="A7520" s="602" t="s">
        <v>561</v>
      </c>
      <c r="B7520" s="600"/>
      <c r="C7520" s="600"/>
      <c r="D7520" s="600"/>
      <c r="E7520" s="600"/>
      <c r="F7520" s="601"/>
      <c r="G7520" s="81"/>
      <c r="H7520" s="81"/>
      <c r="I7520" s="81"/>
      <c r="J7520" s="81"/>
      <c r="K7520" s="81"/>
      <c r="L7520" s="81"/>
      <c r="M7520" s="81"/>
      <c r="N7520" s="81"/>
    </row>
    <row r="7521" spans="1:14" ht="14.25" customHeight="1" thickBot="1" x14ac:dyDescent="0.3">
      <c r="A7521" s="603"/>
      <c r="B7521" s="604"/>
      <c r="C7521" s="604"/>
      <c r="D7521" s="604"/>
      <c r="E7521" s="604"/>
      <c r="F7521" s="605"/>
      <c r="G7521" s="81"/>
      <c r="H7521" s="81"/>
      <c r="I7521" s="81"/>
      <c r="J7521" s="81"/>
      <c r="K7521" s="81"/>
      <c r="L7521" s="81"/>
      <c r="M7521" s="81"/>
      <c r="N7521" s="81"/>
    </row>
    <row r="7522" spans="1:14" ht="14.25" customHeight="1" x14ac:dyDescent="0.25">
      <c r="A7522" s="88"/>
      <c r="B7522" s="88"/>
      <c r="C7522" s="89"/>
      <c r="D7522" s="89"/>
      <c r="E7522" s="89"/>
      <c r="F7522" s="89"/>
      <c r="G7522" s="81"/>
      <c r="H7522" s="81"/>
      <c r="I7522" s="81"/>
      <c r="J7522" s="81"/>
      <c r="K7522" s="81"/>
      <c r="L7522" s="81"/>
      <c r="M7522" s="81"/>
      <c r="N7522" s="81"/>
    </row>
    <row r="7523" spans="1:14" ht="14.25" customHeight="1" x14ac:dyDescent="0.25">
      <c r="A7523" s="90" t="s">
        <v>47</v>
      </c>
      <c r="B7523" s="613" t="s">
        <v>356</v>
      </c>
      <c r="C7523" s="600"/>
      <c r="D7523" s="600"/>
      <c r="E7523" s="600"/>
      <c r="F7523" s="600"/>
      <c r="G7523" s="81"/>
      <c r="H7523" s="81"/>
      <c r="I7523" s="81"/>
      <c r="J7523" s="81"/>
      <c r="K7523" s="81"/>
      <c r="L7523" s="81"/>
      <c r="M7523" s="81"/>
      <c r="N7523" s="81"/>
    </row>
    <row r="7524" spans="1:14" ht="14.25" customHeight="1" x14ac:dyDescent="0.25">
      <c r="A7524" s="91"/>
      <c r="B7524" s="91"/>
      <c r="C7524" s="91"/>
      <c r="D7524" s="91"/>
      <c r="E7524" s="91"/>
      <c r="F7524" s="91"/>
      <c r="G7524" s="81"/>
      <c r="H7524" s="81"/>
      <c r="I7524" s="81"/>
      <c r="J7524" s="81"/>
      <c r="K7524" s="81"/>
      <c r="L7524" s="81"/>
      <c r="M7524" s="81"/>
      <c r="N7524" s="81"/>
    </row>
    <row r="7525" spans="1:14" ht="14.25" customHeight="1" x14ac:dyDescent="0.25">
      <c r="A7525" s="88" t="s">
        <v>49</v>
      </c>
      <c r="B7525" s="92" t="s">
        <v>56</v>
      </c>
      <c r="C7525" s="89"/>
      <c r="D7525" s="89"/>
      <c r="E7525" s="89"/>
      <c r="F7525" s="93"/>
      <c r="G7525" s="81"/>
      <c r="H7525" s="81"/>
      <c r="I7525" s="81"/>
      <c r="J7525" s="81"/>
      <c r="K7525" s="81"/>
      <c r="L7525" s="81"/>
      <c r="M7525" s="81"/>
      <c r="N7525" s="81"/>
    </row>
    <row r="7526" spans="1:14" ht="14.25" customHeight="1" x14ac:dyDescent="0.25">
      <c r="A7526" s="88"/>
      <c r="B7526" s="94"/>
      <c r="C7526" s="89"/>
      <c r="D7526" s="89"/>
      <c r="E7526" s="89"/>
      <c r="F7526" s="93"/>
      <c r="G7526" s="81"/>
      <c r="H7526" s="81"/>
      <c r="I7526" s="81"/>
      <c r="J7526" s="81"/>
      <c r="K7526" s="81"/>
      <c r="L7526" s="81"/>
      <c r="M7526" s="81"/>
      <c r="N7526" s="81"/>
    </row>
    <row r="7527" spans="1:14" ht="14.25" customHeight="1" x14ac:dyDescent="0.25">
      <c r="A7527" s="95" t="s">
        <v>562</v>
      </c>
      <c r="B7527" s="96"/>
      <c r="C7527" s="92"/>
      <c r="D7527" s="92"/>
      <c r="E7527" s="92"/>
      <c r="F7527" s="92"/>
      <c r="G7527" s="81"/>
      <c r="H7527" s="81"/>
      <c r="I7527" s="81"/>
      <c r="J7527" s="81"/>
      <c r="K7527" s="81"/>
      <c r="L7527" s="81"/>
      <c r="M7527" s="81"/>
      <c r="N7527" s="81"/>
    </row>
    <row r="7528" spans="1:14" ht="14.25" customHeight="1" x14ac:dyDescent="0.25">
      <c r="A7528" s="97" t="s">
        <v>563</v>
      </c>
      <c r="B7528" s="98" t="s">
        <v>564</v>
      </c>
      <c r="C7528" s="98" t="s">
        <v>565</v>
      </c>
      <c r="D7528" s="98" t="s">
        <v>566</v>
      </c>
      <c r="E7528" s="98" t="s">
        <v>567</v>
      </c>
      <c r="F7528" s="98" t="s">
        <v>568</v>
      </c>
      <c r="G7528" s="81"/>
      <c r="H7528" s="81"/>
      <c r="I7528" s="81"/>
      <c r="J7528" s="81"/>
      <c r="K7528" s="81"/>
      <c r="L7528" s="81"/>
      <c r="M7528" s="81"/>
      <c r="N7528" s="81"/>
    </row>
    <row r="7529" spans="1:14" ht="14.25" customHeight="1" x14ac:dyDescent="0.25">
      <c r="A7529" s="99" t="s">
        <v>804</v>
      </c>
      <c r="B7529" s="100" t="s">
        <v>56</v>
      </c>
      <c r="C7529" s="101">
        <v>356200</v>
      </c>
      <c r="D7529" s="149">
        <v>1</v>
      </c>
      <c r="E7529" s="102">
        <v>0.05</v>
      </c>
      <c r="F7529" s="101">
        <f t="shared" ref="F7529:F7531" si="371">C7529*(D7529+(D7529*E7529))</f>
        <v>374010</v>
      </c>
      <c r="G7529" s="81"/>
      <c r="H7529" s="81"/>
      <c r="I7529" s="81"/>
      <c r="J7529" s="81"/>
      <c r="K7529" s="81"/>
      <c r="L7529" s="81"/>
      <c r="M7529" s="81"/>
      <c r="N7529" s="81"/>
    </row>
    <row r="7530" spans="1:14" ht="14.25" customHeight="1" x14ac:dyDescent="0.25">
      <c r="A7530" s="99" t="s">
        <v>769</v>
      </c>
      <c r="B7530" s="100" t="s">
        <v>99</v>
      </c>
      <c r="C7530" s="101">
        <v>1150</v>
      </c>
      <c r="D7530" s="104">
        <v>4</v>
      </c>
      <c r="E7530" s="102">
        <v>0.05</v>
      </c>
      <c r="F7530" s="101">
        <f t="shared" si="371"/>
        <v>4830</v>
      </c>
      <c r="G7530" s="81"/>
      <c r="H7530" s="81"/>
      <c r="I7530" s="81"/>
      <c r="J7530" s="81"/>
      <c r="K7530" s="81"/>
      <c r="L7530" s="81"/>
      <c r="M7530" s="81"/>
      <c r="N7530" s="81"/>
    </row>
    <row r="7531" spans="1:14" ht="14.25" customHeight="1" x14ac:dyDescent="0.25">
      <c r="A7531" s="99" t="s">
        <v>805</v>
      </c>
      <c r="B7531" s="100" t="s">
        <v>56</v>
      </c>
      <c r="C7531" s="101">
        <v>23750</v>
      </c>
      <c r="D7531" s="105">
        <v>1</v>
      </c>
      <c r="E7531" s="102">
        <v>0.05</v>
      </c>
      <c r="F7531" s="101">
        <f t="shared" si="371"/>
        <v>24937.5</v>
      </c>
      <c r="G7531" s="81"/>
      <c r="H7531" s="81"/>
      <c r="I7531" s="81"/>
      <c r="J7531" s="81"/>
      <c r="K7531" s="81"/>
      <c r="L7531" s="81"/>
      <c r="M7531" s="81"/>
      <c r="N7531" s="81"/>
    </row>
    <row r="7532" spans="1:14" ht="14.25" customHeight="1" x14ac:dyDescent="0.25">
      <c r="A7532" s="99"/>
      <c r="B7532" s="100"/>
      <c r="C7532" s="101"/>
      <c r="D7532" s="149"/>
      <c r="E7532" s="102"/>
      <c r="F7532" s="101"/>
      <c r="G7532" s="81"/>
      <c r="H7532" s="81"/>
      <c r="I7532" s="81"/>
      <c r="J7532" s="81"/>
      <c r="K7532" s="81"/>
      <c r="L7532" s="81"/>
      <c r="M7532" s="81"/>
      <c r="N7532" s="81"/>
    </row>
    <row r="7533" spans="1:14" ht="14.25" customHeight="1" x14ac:dyDescent="0.25">
      <c r="A7533" s="99"/>
      <c r="B7533" s="100"/>
      <c r="C7533" s="106"/>
      <c r="D7533" s="107"/>
      <c r="E7533" s="108"/>
      <c r="F7533" s="106"/>
      <c r="G7533" s="81"/>
      <c r="H7533" s="81"/>
      <c r="I7533" s="81"/>
      <c r="J7533" s="81"/>
      <c r="K7533" s="81"/>
      <c r="L7533" s="81"/>
      <c r="M7533" s="81"/>
      <c r="N7533" s="81"/>
    </row>
    <row r="7534" spans="1:14" ht="14.25" customHeight="1" x14ac:dyDescent="0.25">
      <c r="A7534" s="97" t="s">
        <v>548</v>
      </c>
      <c r="B7534" s="97"/>
      <c r="C7534" s="109"/>
      <c r="D7534" s="110"/>
      <c r="E7534" s="111"/>
      <c r="F7534" s="112">
        <f>SUM(F7529:F7533)</f>
        <v>403777.5</v>
      </c>
      <c r="G7534" s="81"/>
      <c r="H7534" s="81"/>
      <c r="I7534" s="81"/>
      <c r="J7534" s="81"/>
      <c r="K7534" s="81"/>
      <c r="L7534" s="81"/>
      <c r="M7534" s="81"/>
      <c r="N7534" s="81"/>
    </row>
    <row r="7535" spans="1:14" ht="15.75" x14ac:dyDescent="0.25">
      <c r="A7535" s="88"/>
      <c r="B7535" s="88"/>
      <c r="C7535" s="113"/>
      <c r="D7535" s="113"/>
      <c r="E7535" s="114"/>
      <c r="F7535" s="113"/>
      <c r="G7535" s="81"/>
      <c r="H7535" s="81"/>
      <c r="I7535" s="81"/>
      <c r="J7535" s="81"/>
      <c r="K7535" s="81"/>
      <c r="L7535" s="81"/>
      <c r="M7535" s="81"/>
      <c r="N7535" s="81"/>
    </row>
    <row r="7536" spans="1:14" ht="14.25" customHeight="1" x14ac:dyDescent="0.25">
      <c r="A7536" s="96" t="s">
        <v>573</v>
      </c>
      <c r="B7536" s="96"/>
      <c r="C7536" s="92"/>
      <c r="D7536" s="92"/>
      <c r="E7536" s="92"/>
      <c r="F7536" s="92"/>
      <c r="G7536" s="81"/>
      <c r="H7536" s="81"/>
      <c r="I7536" s="81"/>
      <c r="J7536" s="81"/>
      <c r="K7536" s="81"/>
      <c r="L7536" s="81"/>
      <c r="M7536" s="81"/>
      <c r="N7536" s="81"/>
    </row>
    <row r="7537" spans="1:14" ht="14.25" customHeight="1" x14ac:dyDescent="0.25">
      <c r="A7537" s="611" t="s">
        <v>563</v>
      </c>
      <c r="B7537" s="608"/>
      <c r="C7537" s="609"/>
      <c r="D7537" s="98" t="s">
        <v>574</v>
      </c>
      <c r="E7537" s="98" t="s">
        <v>575</v>
      </c>
      <c r="F7537" s="98" t="s">
        <v>568</v>
      </c>
      <c r="G7537" s="81"/>
      <c r="H7537" s="81"/>
      <c r="I7537" s="81"/>
      <c r="J7537" s="81"/>
      <c r="K7537" s="81"/>
      <c r="L7537" s="81"/>
      <c r="M7537" s="81"/>
      <c r="N7537" s="81"/>
    </row>
    <row r="7538" spans="1:14" ht="14.25" customHeight="1" x14ac:dyDescent="0.25">
      <c r="A7538" s="607" t="s">
        <v>577</v>
      </c>
      <c r="B7538" s="608"/>
      <c r="C7538" s="609"/>
      <c r="D7538" s="116"/>
      <c r="E7538" s="107"/>
      <c r="F7538" s="106">
        <f>+F7553*5%</f>
        <v>4015.8600809357504</v>
      </c>
      <c r="G7538" s="81"/>
      <c r="H7538" s="81"/>
      <c r="I7538" s="81"/>
      <c r="J7538" s="81"/>
      <c r="K7538" s="81"/>
      <c r="L7538" s="81"/>
      <c r="M7538" s="81"/>
      <c r="N7538" s="81"/>
    </row>
    <row r="7539" spans="1:14" ht="14.25" customHeight="1" x14ac:dyDescent="0.25">
      <c r="A7539" s="607"/>
      <c r="B7539" s="608"/>
      <c r="C7539" s="609"/>
      <c r="D7539" s="142"/>
      <c r="E7539" s="107"/>
      <c r="F7539" s="106"/>
      <c r="G7539" s="81"/>
      <c r="H7539" s="81"/>
      <c r="I7539" s="81"/>
      <c r="J7539" s="81"/>
      <c r="K7539" s="81"/>
      <c r="L7539" s="81"/>
      <c r="M7539" s="81"/>
      <c r="N7539" s="81"/>
    </row>
    <row r="7540" spans="1:14" ht="14.25" customHeight="1" x14ac:dyDescent="0.25">
      <c r="A7540" s="607"/>
      <c r="B7540" s="608"/>
      <c r="C7540" s="609"/>
      <c r="D7540" s="142"/>
      <c r="E7540" s="107"/>
      <c r="F7540" s="106"/>
      <c r="G7540" s="81"/>
      <c r="H7540" s="81"/>
      <c r="I7540" s="81"/>
      <c r="J7540" s="81"/>
      <c r="K7540" s="81"/>
      <c r="L7540" s="81"/>
      <c r="M7540" s="81"/>
      <c r="N7540" s="81"/>
    </row>
    <row r="7541" spans="1:14" ht="14.25" customHeight="1" x14ac:dyDescent="0.25">
      <c r="A7541" s="607"/>
      <c r="B7541" s="608"/>
      <c r="C7541" s="609"/>
      <c r="D7541" s="142"/>
      <c r="E7541" s="107"/>
      <c r="F7541" s="106"/>
      <c r="G7541" s="81"/>
      <c r="H7541" s="81"/>
      <c r="I7541" s="81"/>
      <c r="J7541" s="81"/>
      <c r="K7541" s="81"/>
      <c r="L7541" s="81"/>
      <c r="M7541" s="81"/>
      <c r="N7541" s="81"/>
    </row>
    <row r="7542" spans="1:14" ht="14.25" customHeight="1" x14ac:dyDescent="0.25">
      <c r="A7542" s="607"/>
      <c r="B7542" s="608"/>
      <c r="C7542" s="609"/>
      <c r="D7542" s="142"/>
      <c r="E7542" s="107"/>
      <c r="F7542" s="106"/>
      <c r="G7542" s="81"/>
      <c r="H7542" s="81"/>
      <c r="I7542" s="81"/>
      <c r="J7542" s="81"/>
      <c r="K7542" s="81"/>
      <c r="L7542" s="81"/>
      <c r="M7542" s="81"/>
      <c r="N7542" s="81"/>
    </row>
    <row r="7543" spans="1:14" ht="14.25" customHeight="1" x14ac:dyDescent="0.25">
      <c r="A7543" s="607"/>
      <c r="B7543" s="608"/>
      <c r="C7543" s="609"/>
      <c r="D7543" s="142"/>
      <c r="E7543" s="105"/>
      <c r="F7543" s="106"/>
      <c r="G7543" s="81"/>
      <c r="H7543" s="81"/>
      <c r="I7543" s="81"/>
      <c r="J7543" s="81"/>
      <c r="K7543" s="81"/>
      <c r="L7543" s="81"/>
      <c r="M7543" s="81"/>
      <c r="N7543" s="81"/>
    </row>
    <row r="7544" spans="1:14" ht="14.25" customHeight="1" x14ac:dyDescent="0.25">
      <c r="A7544" s="610"/>
      <c r="B7544" s="608"/>
      <c r="C7544" s="609"/>
      <c r="D7544" s="115"/>
      <c r="E7544" s="107"/>
      <c r="F7544" s="106"/>
      <c r="G7544" s="81"/>
      <c r="H7544" s="81"/>
      <c r="I7544" s="81"/>
      <c r="J7544" s="81"/>
      <c r="K7544" s="81"/>
      <c r="L7544" s="81"/>
      <c r="M7544" s="81"/>
      <c r="N7544" s="81"/>
    </row>
    <row r="7545" spans="1:14" ht="14.25" customHeight="1" x14ac:dyDescent="0.25">
      <c r="A7545" s="611" t="s">
        <v>548</v>
      </c>
      <c r="B7545" s="608"/>
      <c r="C7545" s="609"/>
      <c r="D7545" s="110"/>
      <c r="E7545" s="110"/>
      <c r="F7545" s="112">
        <f>SUM(F7538:F7544)</f>
        <v>4015.8600809357504</v>
      </c>
      <c r="G7545" s="81"/>
      <c r="H7545" s="81"/>
      <c r="I7545" s="81"/>
      <c r="J7545" s="81"/>
      <c r="K7545" s="81"/>
      <c r="L7545" s="81"/>
      <c r="M7545" s="81"/>
      <c r="N7545" s="81"/>
    </row>
    <row r="7546" spans="1:14" ht="14.25" customHeight="1" x14ac:dyDescent="0.25">
      <c r="A7546" s="88"/>
      <c r="B7546" s="88"/>
      <c r="C7546" s="89"/>
      <c r="D7546" s="113"/>
      <c r="E7546" s="113"/>
      <c r="F7546" s="113"/>
      <c r="G7546" s="81"/>
      <c r="H7546" s="81"/>
      <c r="I7546" s="81"/>
      <c r="J7546" s="81"/>
      <c r="K7546" s="81"/>
      <c r="L7546" s="81"/>
      <c r="M7546" s="81"/>
      <c r="N7546" s="81"/>
    </row>
    <row r="7547" spans="1:14" ht="14.25" customHeight="1" x14ac:dyDescent="0.25">
      <c r="A7547" s="96" t="s">
        <v>578</v>
      </c>
      <c r="B7547" s="96"/>
      <c r="C7547" s="92"/>
      <c r="D7547" s="118"/>
      <c r="E7547" s="118"/>
      <c r="F7547" s="118"/>
      <c r="G7547" s="81"/>
      <c r="H7547" s="81"/>
      <c r="I7547" s="81"/>
      <c r="J7547" s="81"/>
      <c r="K7547" s="81"/>
      <c r="L7547" s="81"/>
      <c r="M7547" s="81"/>
      <c r="N7547" s="81"/>
    </row>
    <row r="7548" spans="1:14" ht="14.25" customHeight="1" x14ac:dyDescent="0.25">
      <c r="A7548" s="119" t="s">
        <v>563</v>
      </c>
      <c r="B7548" s="120" t="s">
        <v>579</v>
      </c>
      <c r="C7548" s="120" t="s">
        <v>580</v>
      </c>
      <c r="D7548" s="121" t="s">
        <v>581</v>
      </c>
      <c r="E7548" s="121" t="s">
        <v>575</v>
      </c>
      <c r="F7548" s="121" t="s">
        <v>568</v>
      </c>
      <c r="G7548" s="81"/>
      <c r="H7548" s="81"/>
      <c r="I7548" s="81"/>
      <c r="J7548" s="81"/>
      <c r="K7548" s="81"/>
      <c r="L7548" s="81"/>
      <c r="M7548" s="81"/>
      <c r="N7548" s="81"/>
    </row>
    <row r="7549" spans="1:14" ht="14.25" customHeight="1" x14ac:dyDescent="0.25">
      <c r="A7549" s="122" t="s">
        <v>593</v>
      </c>
      <c r="B7549" s="127">
        <v>1</v>
      </c>
      <c r="C7549" s="101">
        <v>32688</v>
      </c>
      <c r="D7549" s="101">
        <f t="shared" ref="D7549:D7550" si="372">+C7549*1.7</f>
        <v>55569.599999999999</v>
      </c>
      <c r="E7549" s="107">
        <v>1.8039000000000001</v>
      </c>
      <c r="F7549" s="106">
        <f t="shared" ref="F7549:F7550" si="373">+B7549*(D7549)/E7549</f>
        <v>30805.255280226174</v>
      </c>
      <c r="G7549" s="81"/>
      <c r="H7549" s="117"/>
      <c r="I7549" s="81"/>
      <c r="J7549" s="81"/>
      <c r="K7549" s="81"/>
      <c r="L7549" s="81"/>
      <c r="M7549" s="81"/>
      <c r="N7549" s="81"/>
    </row>
    <row r="7550" spans="1:14" ht="14.25" customHeight="1" x14ac:dyDescent="0.25">
      <c r="A7550" s="122" t="s">
        <v>594</v>
      </c>
      <c r="B7550" s="127">
        <v>1</v>
      </c>
      <c r="C7550" s="101">
        <v>52538</v>
      </c>
      <c r="D7550" s="101">
        <f t="shared" si="372"/>
        <v>89314.599999999991</v>
      </c>
      <c r="E7550" s="107">
        <f>E7549</f>
        <v>1.8039000000000001</v>
      </c>
      <c r="F7550" s="106">
        <f t="shared" si="373"/>
        <v>49511.946338488822</v>
      </c>
      <c r="G7550" s="81"/>
      <c r="H7550" s="81"/>
      <c r="I7550" s="81"/>
      <c r="J7550" s="81"/>
      <c r="K7550" s="81"/>
      <c r="L7550" s="81"/>
      <c r="M7550" s="81"/>
      <c r="N7550" s="81"/>
    </row>
    <row r="7551" spans="1:14" ht="14.25" customHeight="1" x14ac:dyDescent="0.25">
      <c r="A7551" s="122"/>
      <c r="B7551" s="127"/>
      <c r="C7551" s="101"/>
      <c r="D7551" s="101"/>
      <c r="E7551" s="107"/>
      <c r="F7551" s="106"/>
      <c r="G7551" s="81"/>
      <c r="H7551" s="81"/>
      <c r="I7551" s="81"/>
      <c r="J7551" s="81"/>
      <c r="K7551" s="81"/>
      <c r="L7551" s="81"/>
      <c r="M7551" s="81"/>
      <c r="N7551" s="81"/>
    </row>
    <row r="7552" spans="1:14" ht="14.25" customHeight="1" x14ac:dyDescent="0.25">
      <c r="A7552" s="122"/>
      <c r="B7552" s="127"/>
      <c r="C7552" s="101"/>
      <c r="D7552" s="101"/>
      <c r="E7552" s="125"/>
      <c r="F7552" s="106"/>
      <c r="G7552" s="81"/>
      <c r="H7552" s="81"/>
      <c r="I7552" s="81"/>
      <c r="J7552" s="81"/>
      <c r="K7552" s="81"/>
      <c r="L7552" s="81"/>
      <c r="M7552" s="81"/>
      <c r="N7552" s="81"/>
    </row>
    <row r="7553" spans="1:14" ht="14.25" customHeight="1" x14ac:dyDescent="0.25">
      <c r="A7553" s="97" t="s">
        <v>548</v>
      </c>
      <c r="B7553" s="128"/>
      <c r="C7553" s="110"/>
      <c r="D7553" s="110"/>
      <c r="E7553" s="110"/>
      <c r="F7553" s="112">
        <f>SUM(F7549:F7552)</f>
        <v>80317.201618715</v>
      </c>
      <c r="G7553" s="81"/>
      <c r="H7553" s="81"/>
      <c r="I7553" s="81"/>
      <c r="J7553" s="81"/>
      <c r="K7553" s="81"/>
      <c r="L7553" s="81"/>
      <c r="M7553" s="81"/>
      <c r="N7553" s="81"/>
    </row>
    <row r="7554" spans="1:14" ht="14.25" customHeight="1" x14ac:dyDescent="0.25">
      <c r="A7554" s="96"/>
      <c r="B7554" s="129"/>
      <c r="C7554" s="118"/>
      <c r="D7554" s="118"/>
      <c r="E7554" s="118"/>
      <c r="F7554" s="118"/>
      <c r="G7554" s="81"/>
      <c r="H7554" s="81"/>
      <c r="I7554" s="81"/>
      <c r="J7554" s="81"/>
      <c r="K7554" s="81"/>
      <c r="L7554" s="81"/>
      <c r="M7554" s="81"/>
      <c r="N7554" s="81"/>
    </row>
    <row r="7555" spans="1:14" ht="14.25" customHeight="1" x14ac:dyDescent="0.25">
      <c r="A7555" s="95" t="s">
        <v>583</v>
      </c>
      <c r="B7555" s="96"/>
      <c r="C7555" s="92"/>
      <c r="D7555" s="92"/>
      <c r="E7555" s="92" t="s">
        <v>584</v>
      </c>
      <c r="F7555" s="92"/>
      <c r="G7555" s="81"/>
      <c r="H7555" s="81"/>
      <c r="I7555" s="81"/>
      <c r="J7555" s="81"/>
      <c r="K7555" s="81"/>
      <c r="L7555" s="81"/>
      <c r="M7555" s="81"/>
      <c r="N7555" s="81"/>
    </row>
    <row r="7556" spans="1:14" ht="14.25" customHeight="1" x14ac:dyDescent="0.25">
      <c r="A7556" s="97" t="s">
        <v>563</v>
      </c>
      <c r="B7556" s="98" t="s">
        <v>564</v>
      </c>
      <c r="C7556" s="98" t="s">
        <v>585</v>
      </c>
      <c r="D7556" s="98" t="s">
        <v>586</v>
      </c>
      <c r="E7556" s="120" t="s">
        <v>587</v>
      </c>
      <c r="F7556" s="98" t="s">
        <v>568</v>
      </c>
      <c r="G7556" s="81"/>
      <c r="H7556" s="81"/>
      <c r="I7556" s="81"/>
      <c r="J7556" s="81"/>
      <c r="K7556" s="81"/>
      <c r="L7556" s="81"/>
      <c r="M7556" s="81"/>
      <c r="N7556" s="81"/>
    </row>
    <row r="7557" spans="1:14" ht="14.25" customHeight="1" x14ac:dyDescent="0.25">
      <c r="A7557" s="103"/>
      <c r="B7557" s="100"/>
      <c r="C7557" s="101"/>
      <c r="D7557" s="140"/>
      <c r="E7557" s="107"/>
      <c r="F7557" s="109"/>
      <c r="G7557" s="81"/>
      <c r="H7557" s="81"/>
      <c r="I7557" s="81"/>
      <c r="J7557" s="81"/>
      <c r="K7557" s="81"/>
      <c r="L7557" s="81"/>
      <c r="M7557" s="81"/>
      <c r="N7557" s="81"/>
    </row>
    <row r="7558" spans="1:14" ht="14.25" customHeight="1" x14ac:dyDescent="0.25">
      <c r="A7558" s="103"/>
      <c r="B7558" s="100"/>
      <c r="C7558" s="107"/>
      <c r="D7558" s="107"/>
      <c r="E7558" s="108"/>
      <c r="F7558" s="109"/>
      <c r="G7558" s="81"/>
      <c r="H7558" s="81"/>
      <c r="I7558" s="81"/>
      <c r="J7558" s="81"/>
      <c r="K7558" s="81"/>
      <c r="L7558" s="81"/>
      <c r="M7558" s="81"/>
      <c r="N7558" s="81"/>
    </row>
    <row r="7559" spans="1:14" ht="14.25" customHeight="1" x14ac:dyDescent="0.25">
      <c r="A7559" s="97" t="s">
        <v>548</v>
      </c>
      <c r="B7559" s="98"/>
      <c r="C7559" s="110"/>
      <c r="D7559" s="110"/>
      <c r="E7559" s="111"/>
      <c r="F7559" s="112">
        <f>SUM(F7557:F7558)</f>
        <v>0</v>
      </c>
      <c r="G7559" s="81"/>
      <c r="H7559" s="81"/>
      <c r="I7559" s="81"/>
      <c r="J7559" s="81"/>
      <c r="K7559" s="81"/>
      <c r="L7559" s="81"/>
      <c r="M7559" s="81"/>
      <c r="N7559" s="81"/>
    </row>
    <row r="7560" spans="1:14" ht="14.25" customHeight="1" x14ac:dyDescent="0.25">
      <c r="A7560" s="88"/>
      <c r="B7560" s="89"/>
      <c r="C7560" s="113"/>
      <c r="D7560" s="113"/>
      <c r="E7560" s="114"/>
      <c r="F7560" s="113"/>
      <c r="G7560" s="81"/>
      <c r="H7560" s="81"/>
      <c r="I7560" s="81"/>
      <c r="J7560" s="81"/>
      <c r="K7560" s="81"/>
      <c r="L7560" s="81"/>
      <c r="M7560" s="81"/>
      <c r="N7560" s="81"/>
    </row>
    <row r="7561" spans="1:14" ht="14.25" customHeight="1" x14ac:dyDescent="0.25">
      <c r="A7561" s="88"/>
      <c r="B7561" s="89"/>
      <c r="C7561" s="113"/>
      <c r="D7561" s="113"/>
      <c r="E7561" s="114"/>
      <c r="F7561" s="113"/>
      <c r="G7561" s="81"/>
      <c r="H7561" s="81"/>
      <c r="I7561" s="81"/>
      <c r="J7561" s="81"/>
      <c r="K7561" s="81"/>
      <c r="L7561" s="81"/>
      <c r="M7561" s="81"/>
      <c r="N7561" s="81"/>
    </row>
    <row r="7562" spans="1:14" ht="14.25" customHeight="1" x14ac:dyDescent="0.25">
      <c r="A7562" s="612" t="s">
        <v>588</v>
      </c>
      <c r="B7562" s="608"/>
      <c r="C7562" s="608"/>
      <c r="D7562" s="608"/>
      <c r="E7562" s="609"/>
      <c r="F7562" s="131">
        <f>ROUND(F7534+F7545+F7553+F7559,0)</f>
        <v>488111</v>
      </c>
      <c r="G7562" s="81"/>
      <c r="H7562" s="81"/>
      <c r="I7562" s="81"/>
      <c r="J7562" s="81"/>
      <c r="K7562" s="81"/>
      <c r="L7562" s="81"/>
      <c r="M7562" s="81"/>
      <c r="N7562" s="81"/>
    </row>
    <row r="7563" spans="1:14" ht="14.25" customHeight="1" x14ac:dyDescent="0.25">
      <c r="A7563" s="612" t="s">
        <v>589</v>
      </c>
      <c r="B7563" s="608"/>
      <c r="C7563" s="608"/>
      <c r="D7563" s="608"/>
      <c r="E7563" s="609"/>
      <c r="F7563" s="132"/>
      <c r="G7563" s="81"/>
      <c r="H7563" s="81"/>
      <c r="I7563" s="81"/>
      <c r="J7563" s="81"/>
      <c r="K7563" s="81"/>
      <c r="L7563" s="81"/>
      <c r="M7563" s="81"/>
      <c r="N7563" s="81"/>
    </row>
    <row r="7564" spans="1:14" ht="14.25" customHeight="1" x14ac:dyDescent="0.25">
      <c r="A7564" s="612" t="s">
        <v>556</v>
      </c>
      <c r="B7564" s="608"/>
      <c r="C7564" s="608"/>
      <c r="D7564" s="608"/>
      <c r="E7564" s="609"/>
      <c r="F7564" s="133"/>
      <c r="G7564" s="81"/>
      <c r="H7564" s="81"/>
      <c r="I7564" s="81"/>
      <c r="J7564" s="81"/>
      <c r="K7564" s="81"/>
      <c r="L7564" s="81"/>
      <c r="M7564" s="81"/>
      <c r="N7564" s="81"/>
    </row>
    <row r="7565" spans="1:14" ht="14.25" customHeight="1" x14ac:dyDescent="0.25">
      <c r="A7565" s="134"/>
      <c r="B7565" s="135"/>
      <c r="C7565" s="135"/>
      <c r="D7565" s="135"/>
      <c r="E7565" s="135"/>
      <c r="F7565" s="136"/>
      <c r="G7565" s="81"/>
      <c r="H7565" s="81"/>
      <c r="I7565" s="81"/>
      <c r="J7565" s="81"/>
      <c r="K7565" s="81"/>
      <c r="L7565" s="81"/>
      <c r="M7565" s="81"/>
      <c r="N7565" s="81"/>
    </row>
    <row r="7566" spans="1:14" ht="14.25" customHeight="1" x14ac:dyDescent="0.25">
      <c r="A7566" s="134"/>
      <c r="B7566" s="135"/>
      <c r="C7566" s="135"/>
      <c r="D7566" s="135"/>
      <c r="E7566" s="135"/>
      <c r="F7566" s="136"/>
      <c r="G7566" s="81"/>
      <c r="H7566" s="81"/>
      <c r="I7566" s="81"/>
      <c r="J7566" s="81"/>
      <c r="K7566" s="81"/>
      <c r="L7566" s="81"/>
      <c r="M7566" s="81"/>
      <c r="N7566" s="81"/>
    </row>
    <row r="7567" spans="1:14" ht="14.25" customHeight="1" x14ac:dyDescent="0.25">
      <c r="A7567" s="134"/>
      <c r="B7567" s="135"/>
      <c r="C7567" s="135"/>
      <c r="D7567" s="135"/>
      <c r="E7567" s="135"/>
      <c r="F7567" s="136"/>
      <c r="G7567" s="81"/>
      <c r="H7567" s="81"/>
      <c r="I7567" s="81"/>
      <c r="J7567" s="81"/>
      <c r="K7567" s="81"/>
      <c r="L7567" s="81"/>
      <c r="M7567" s="81"/>
      <c r="N7567" s="81"/>
    </row>
    <row r="7568" spans="1:14" ht="14.25" customHeight="1" x14ac:dyDescent="0.25">
      <c r="A7568" s="134"/>
      <c r="B7568" s="135"/>
      <c r="C7568" s="135"/>
      <c r="D7568" s="135"/>
      <c r="E7568" s="135"/>
      <c r="F7568" s="136"/>
      <c r="G7568" s="81"/>
      <c r="H7568" s="81"/>
      <c r="I7568" s="81"/>
      <c r="J7568" s="81"/>
      <c r="K7568" s="81"/>
      <c r="L7568" s="81"/>
      <c r="M7568" s="81"/>
      <c r="N7568" s="81"/>
    </row>
    <row r="7569" spans="1:14" ht="14.25" customHeight="1" x14ac:dyDescent="0.25">
      <c r="A7569" s="81"/>
      <c r="B7569" s="81"/>
      <c r="C7569" s="137"/>
      <c r="D7569" s="81"/>
      <c r="E7569" s="81"/>
      <c r="F7569" s="81"/>
      <c r="G7569" s="81"/>
      <c r="H7569" s="81"/>
      <c r="I7569" s="81"/>
      <c r="J7569" s="81"/>
      <c r="K7569" s="81"/>
      <c r="L7569" s="81"/>
      <c r="M7569" s="81"/>
      <c r="N7569" s="81"/>
    </row>
    <row r="7570" spans="1:14" ht="14.25" customHeight="1" x14ac:dyDescent="0.25">
      <c r="A7570" s="81"/>
      <c r="B7570" s="81"/>
      <c r="C7570" s="137"/>
      <c r="D7570" s="81"/>
      <c r="E7570" s="81"/>
      <c r="F7570" s="81"/>
      <c r="G7570" s="81"/>
      <c r="H7570" s="81"/>
      <c r="I7570" s="81"/>
      <c r="J7570" s="81"/>
      <c r="K7570" s="81"/>
      <c r="L7570" s="81"/>
      <c r="M7570" s="81"/>
      <c r="N7570" s="81"/>
    </row>
    <row r="7571" spans="1:14" ht="14.25" customHeight="1" x14ac:dyDescent="0.25">
      <c r="A7571" s="81"/>
      <c r="B7571" s="81"/>
      <c r="C7571" s="137"/>
      <c r="D7571" s="81"/>
      <c r="E7571" s="81"/>
      <c r="F7571" s="81"/>
      <c r="G7571" s="81"/>
      <c r="H7571" s="81"/>
      <c r="I7571" s="81"/>
      <c r="J7571" s="81"/>
      <c r="K7571" s="81"/>
      <c r="L7571" s="81"/>
      <c r="M7571" s="81"/>
      <c r="N7571" s="81"/>
    </row>
    <row r="7572" spans="1:14" ht="14.25" customHeight="1" x14ac:dyDescent="0.25">
      <c r="A7572" s="81"/>
      <c r="B7572" s="81"/>
      <c r="C7572" s="137"/>
      <c r="D7572" s="81"/>
      <c r="E7572" s="81"/>
      <c r="F7572" s="81"/>
      <c r="G7572" s="81"/>
      <c r="H7572" s="81"/>
      <c r="I7572" s="81"/>
      <c r="J7572" s="81"/>
      <c r="K7572" s="81"/>
      <c r="L7572" s="81"/>
      <c r="M7572" s="81"/>
      <c r="N7572" s="81"/>
    </row>
    <row r="7573" spans="1:14" ht="14.25" customHeight="1" thickBot="1" x14ac:dyDescent="0.3">
      <c r="A7573" s="81"/>
      <c r="B7573" s="81"/>
      <c r="C7573" s="81"/>
      <c r="D7573" s="81"/>
      <c r="E7573" s="81"/>
      <c r="F7573" s="81"/>
      <c r="G7573" s="81"/>
      <c r="H7573" s="81"/>
      <c r="I7573" s="81"/>
      <c r="J7573" s="81"/>
      <c r="K7573" s="81"/>
      <c r="L7573" s="81"/>
      <c r="M7573" s="81"/>
      <c r="N7573" s="81"/>
    </row>
    <row r="7574" spans="1:14" ht="14.25" customHeight="1" x14ac:dyDescent="0.25">
      <c r="A7574" s="83"/>
      <c r="B7574" s="84"/>
      <c r="C7574" s="85"/>
      <c r="D7574" s="86"/>
      <c r="E7574" s="86"/>
      <c r="F7574" s="87"/>
      <c r="G7574" s="81"/>
      <c r="H7574" s="81"/>
      <c r="I7574" s="81"/>
      <c r="J7574" s="81"/>
      <c r="K7574" s="81"/>
      <c r="L7574" s="81"/>
      <c r="M7574" s="81"/>
      <c r="N7574" s="81"/>
    </row>
    <row r="7575" spans="1:14" ht="14.25" customHeight="1" x14ac:dyDescent="0.25">
      <c r="A7575" s="599"/>
      <c r="B7575" s="600"/>
      <c r="C7575" s="600"/>
      <c r="D7575" s="600"/>
      <c r="E7575" s="600"/>
      <c r="F7575" s="601"/>
      <c r="G7575" s="81"/>
      <c r="H7575" s="81"/>
      <c r="I7575" s="81"/>
      <c r="J7575" s="81"/>
      <c r="K7575" s="81"/>
      <c r="L7575" s="81"/>
      <c r="M7575" s="81"/>
      <c r="N7575" s="81"/>
    </row>
    <row r="7576" spans="1:14" ht="14.25" customHeight="1" x14ac:dyDescent="0.25">
      <c r="A7576" s="602" t="s">
        <v>561</v>
      </c>
      <c r="B7576" s="600"/>
      <c r="C7576" s="600"/>
      <c r="D7576" s="600"/>
      <c r="E7576" s="600"/>
      <c r="F7576" s="601"/>
      <c r="G7576" s="81"/>
      <c r="H7576" s="81"/>
      <c r="I7576" s="81"/>
      <c r="J7576" s="81"/>
      <c r="K7576" s="81"/>
      <c r="L7576" s="81"/>
      <c r="M7576" s="81"/>
      <c r="N7576" s="81"/>
    </row>
    <row r="7577" spans="1:14" ht="14.25" customHeight="1" thickBot="1" x14ac:dyDescent="0.3">
      <c r="A7577" s="603"/>
      <c r="B7577" s="604"/>
      <c r="C7577" s="604"/>
      <c r="D7577" s="604"/>
      <c r="E7577" s="604"/>
      <c r="F7577" s="605"/>
      <c r="G7577" s="81"/>
      <c r="H7577" s="81"/>
      <c r="I7577" s="81"/>
      <c r="J7577" s="81"/>
      <c r="K7577" s="81"/>
      <c r="L7577" s="81"/>
      <c r="M7577" s="81"/>
      <c r="N7577" s="81"/>
    </row>
    <row r="7578" spans="1:14" ht="14.25" customHeight="1" x14ac:dyDescent="0.25">
      <c r="A7578" s="88"/>
      <c r="B7578" s="88"/>
      <c r="C7578" s="89"/>
      <c r="D7578" s="89"/>
      <c r="E7578" s="89"/>
      <c r="F7578" s="89"/>
      <c r="G7578" s="81"/>
      <c r="H7578" s="81"/>
      <c r="I7578" s="81"/>
      <c r="J7578" s="81"/>
      <c r="K7578" s="81"/>
      <c r="L7578" s="81"/>
      <c r="M7578" s="81"/>
      <c r="N7578" s="81"/>
    </row>
    <row r="7579" spans="1:14" ht="14.25" customHeight="1" x14ac:dyDescent="0.25">
      <c r="A7579" s="90" t="s">
        <v>47</v>
      </c>
      <c r="B7579" s="613" t="s">
        <v>358</v>
      </c>
      <c r="C7579" s="600"/>
      <c r="D7579" s="600"/>
      <c r="E7579" s="600"/>
      <c r="F7579" s="600"/>
      <c r="G7579" s="81"/>
      <c r="H7579" s="81"/>
      <c r="I7579" s="81"/>
      <c r="J7579" s="81"/>
      <c r="K7579" s="81"/>
      <c r="L7579" s="81"/>
      <c r="M7579" s="81"/>
      <c r="N7579" s="81"/>
    </row>
    <row r="7580" spans="1:14" ht="14.25" customHeight="1" x14ac:dyDescent="0.25">
      <c r="A7580" s="91"/>
      <c r="B7580" s="91"/>
      <c r="C7580" s="91"/>
      <c r="D7580" s="91"/>
      <c r="E7580" s="91"/>
      <c r="F7580" s="91"/>
      <c r="G7580" s="81"/>
      <c r="H7580" s="81"/>
      <c r="I7580" s="81"/>
      <c r="J7580" s="81"/>
      <c r="K7580" s="81"/>
      <c r="L7580" s="81"/>
      <c r="M7580" s="81"/>
      <c r="N7580" s="81"/>
    </row>
    <row r="7581" spans="1:14" ht="14.25" customHeight="1" x14ac:dyDescent="0.25">
      <c r="A7581" s="88" t="s">
        <v>49</v>
      </c>
      <c r="B7581" s="92" t="s">
        <v>99</v>
      </c>
      <c r="C7581" s="89"/>
      <c r="D7581" s="89"/>
      <c r="E7581" s="89"/>
      <c r="F7581" s="93"/>
      <c r="G7581" s="81"/>
      <c r="H7581" s="81"/>
      <c r="I7581" s="81"/>
      <c r="J7581" s="81"/>
      <c r="K7581" s="81"/>
      <c r="L7581" s="81"/>
      <c r="M7581" s="81"/>
      <c r="N7581" s="81"/>
    </row>
    <row r="7582" spans="1:14" ht="14.25" customHeight="1" x14ac:dyDescent="0.25">
      <c r="A7582" s="88"/>
      <c r="B7582" s="94"/>
      <c r="C7582" s="89"/>
      <c r="D7582" s="89"/>
      <c r="E7582" s="89"/>
      <c r="F7582" s="93"/>
      <c r="G7582" s="81"/>
      <c r="H7582" s="81"/>
      <c r="I7582" s="81"/>
      <c r="J7582" s="81"/>
      <c r="K7582" s="81"/>
      <c r="L7582" s="81"/>
      <c r="M7582" s="81"/>
      <c r="N7582" s="81"/>
    </row>
    <row r="7583" spans="1:14" ht="14.25" customHeight="1" x14ac:dyDescent="0.25">
      <c r="A7583" s="95" t="s">
        <v>562</v>
      </c>
      <c r="B7583" s="96"/>
      <c r="C7583" s="92"/>
      <c r="D7583" s="92"/>
      <c r="E7583" s="92"/>
      <c r="F7583" s="92"/>
      <c r="G7583" s="81"/>
      <c r="H7583" s="81"/>
      <c r="I7583" s="81"/>
      <c r="J7583" s="81"/>
      <c r="K7583" s="81"/>
      <c r="L7583" s="81"/>
      <c r="M7583" s="81"/>
      <c r="N7583" s="81"/>
    </row>
    <row r="7584" spans="1:14" ht="14.25" customHeight="1" x14ac:dyDescent="0.25">
      <c r="A7584" s="97" t="s">
        <v>563</v>
      </c>
      <c r="B7584" s="98" t="s">
        <v>564</v>
      </c>
      <c r="C7584" s="98" t="s">
        <v>565</v>
      </c>
      <c r="D7584" s="98" t="s">
        <v>566</v>
      </c>
      <c r="E7584" s="98" t="s">
        <v>567</v>
      </c>
      <c r="F7584" s="98" t="s">
        <v>568</v>
      </c>
      <c r="G7584" s="81"/>
      <c r="H7584" s="81"/>
      <c r="I7584" s="81"/>
      <c r="J7584" s="81"/>
      <c r="K7584" s="81"/>
      <c r="L7584" s="81"/>
      <c r="M7584" s="81"/>
      <c r="N7584" s="81"/>
    </row>
    <row r="7585" spans="1:14" ht="14.25" customHeight="1" x14ac:dyDescent="0.25">
      <c r="A7585" s="99" t="s">
        <v>806</v>
      </c>
      <c r="B7585" s="100" t="s">
        <v>99</v>
      </c>
      <c r="C7585" s="101">
        <v>13563</v>
      </c>
      <c r="D7585" s="149">
        <v>1</v>
      </c>
      <c r="E7585" s="102"/>
      <c r="F7585" s="101">
        <f t="shared" ref="F7585:F7586" si="374">C7585*(D7585+(D7585*E7585))</f>
        <v>13563</v>
      </c>
      <c r="G7585" s="81"/>
      <c r="H7585" s="81"/>
      <c r="I7585" s="81"/>
      <c r="J7585" s="81"/>
      <c r="K7585" s="81"/>
      <c r="L7585" s="81"/>
      <c r="M7585" s="81"/>
      <c r="N7585" s="81"/>
    </row>
    <row r="7586" spans="1:14" ht="14.25" customHeight="1" x14ac:dyDescent="0.25">
      <c r="A7586" s="103" t="s">
        <v>737</v>
      </c>
      <c r="B7586" s="100" t="s">
        <v>117</v>
      </c>
      <c r="C7586" s="101">
        <v>1290</v>
      </c>
      <c r="D7586" s="105">
        <v>1</v>
      </c>
      <c r="E7586" s="102">
        <v>0.05</v>
      </c>
      <c r="F7586" s="101">
        <f t="shared" si="374"/>
        <v>1354.5</v>
      </c>
      <c r="G7586" s="81"/>
      <c r="H7586" s="81"/>
      <c r="I7586" s="81"/>
      <c r="J7586" s="81"/>
      <c r="K7586" s="81"/>
      <c r="L7586" s="81"/>
      <c r="M7586" s="81"/>
      <c r="N7586" s="81"/>
    </row>
    <row r="7587" spans="1:14" ht="14.25" customHeight="1" x14ac:dyDescent="0.25">
      <c r="A7587" s="99"/>
      <c r="B7587" s="100"/>
      <c r="C7587" s="101"/>
      <c r="D7587" s="149"/>
      <c r="E7587" s="102"/>
      <c r="F7587" s="101"/>
      <c r="G7587" s="81"/>
      <c r="H7587" s="81"/>
      <c r="I7587" s="81"/>
      <c r="J7587" s="81"/>
      <c r="K7587" s="81"/>
      <c r="L7587" s="81"/>
      <c r="M7587" s="81"/>
      <c r="N7587" s="81"/>
    </row>
    <row r="7588" spans="1:14" ht="14.25" customHeight="1" x14ac:dyDescent="0.25">
      <c r="A7588" s="99"/>
      <c r="B7588" s="100"/>
      <c r="C7588" s="106"/>
      <c r="D7588" s="107"/>
      <c r="E7588" s="108"/>
      <c r="F7588" s="106"/>
      <c r="G7588" s="81"/>
      <c r="H7588" s="81"/>
      <c r="I7588" s="81"/>
      <c r="J7588" s="81"/>
      <c r="K7588" s="81"/>
      <c r="L7588" s="81"/>
      <c r="M7588" s="81"/>
      <c r="N7588" s="81"/>
    </row>
    <row r="7589" spans="1:14" ht="14.25" customHeight="1" x14ac:dyDescent="0.25">
      <c r="A7589" s="97" t="s">
        <v>548</v>
      </c>
      <c r="B7589" s="97"/>
      <c r="C7589" s="109"/>
      <c r="D7589" s="110"/>
      <c r="E7589" s="111"/>
      <c r="F7589" s="112">
        <f>SUM(F7585:F7588)</f>
        <v>14917.5</v>
      </c>
      <c r="G7589" s="81"/>
      <c r="H7589" s="81"/>
      <c r="I7589" s="81"/>
      <c r="J7589" s="81"/>
      <c r="K7589" s="81"/>
      <c r="L7589" s="81"/>
      <c r="M7589" s="81"/>
      <c r="N7589" s="81"/>
    </row>
    <row r="7590" spans="1:14" ht="14.25" customHeight="1" x14ac:dyDescent="0.25">
      <c r="A7590" s="88"/>
      <c r="B7590" s="88"/>
      <c r="C7590" s="113"/>
      <c r="D7590" s="113"/>
      <c r="E7590" s="114"/>
      <c r="F7590" s="113"/>
      <c r="G7590" s="81"/>
      <c r="H7590" s="81"/>
      <c r="I7590" s="81"/>
      <c r="J7590" s="81"/>
      <c r="K7590" s="81"/>
      <c r="L7590" s="81"/>
      <c r="M7590" s="81"/>
      <c r="N7590" s="81"/>
    </row>
    <row r="7591" spans="1:14" ht="15.75" x14ac:dyDescent="0.25">
      <c r="A7591" s="96" t="s">
        <v>573</v>
      </c>
      <c r="B7591" s="96"/>
      <c r="C7591" s="92"/>
      <c r="D7591" s="92"/>
      <c r="E7591" s="92"/>
      <c r="F7591" s="92"/>
      <c r="G7591" s="81"/>
      <c r="H7591" s="81"/>
      <c r="I7591" s="81"/>
      <c r="J7591" s="81"/>
      <c r="K7591" s="81"/>
      <c r="L7591" s="81"/>
      <c r="M7591" s="81"/>
      <c r="N7591" s="81"/>
    </row>
    <row r="7592" spans="1:14" ht="14.25" customHeight="1" x14ac:dyDescent="0.25">
      <c r="A7592" s="611" t="s">
        <v>563</v>
      </c>
      <c r="B7592" s="608"/>
      <c r="C7592" s="609"/>
      <c r="D7592" s="98" t="s">
        <v>574</v>
      </c>
      <c r="E7592" s="98" t="s">
        <v>575</v>
      </c>
      <c r="F7592" s="98" t="s">
        <v>568</v>
      </c>
      <c r="G7592" s="81"/>
      <c r="H7592" s="81"/>
      <c r="I7592" s="81"/>
      <c r="J7592" s="81"/>
      <c r="K7592" s="81"/>
      <c r="L7592" s="81"/>
      <c r="M7592" s="81"/>
      <c r="N7592" s="81"/>
    </row>
    <row r="7593" spans="1:14" ht="14.25" customHeight="1" x14ac:dyDescent="0.25">
      <c r="A7593" s="607" t="s">
        <v>577</v>
      </c>
      <c r="B7593" s="608"/>
      <c r="C7593" s="609"/>
      <c r="D7593" s="116"/>
      <c r="E7593" s="107"/>
      <c r="F7593" s="106">
        <f>+F7608*5%</f>
        <v>517.44357142857132</v>
      </c>
      <c r="G7593" s="81"/>
      <c r="H7593" s="81"/>
      <c r="I7593" s="81"/>
      <c r="J7593" s="81"/>
      <c r="K7593" s="81"/>
      <c r="L7593" s="81"/>
      <c r="M7593" s="81"/>
      <c r="N7593" s="81"/>
    </row>
    <row r="7594" spans="1:14" ht="14.25" customHeight="1" x14ac:dyDescent="0.25">
      <c r="A7594" s="607"/>
      <c r="B7594" s="608"/>
      <c r="C7594" s="609"/>
      <c r="D7594" s="142"/>
      <c r="E7594" s="107"/>
      <c r="F7594" s="106"/>
      <c r="G7594" s="81"/>
      <c r="H7594" s="81"/>
      <c r="I7594" s="81"/>
      <c r="J7594" s="81"/>
      <c r="K7594" s="81"/>
      <c r="L7594" s="81"/>
      <c r="M7594" s="81"/>
      <c r="N7594" s="81"/>
    </row>
    <row r="7595" spans="1:14" ht="14.25" customHeight="1" x14ac:dyDescent="0.25">
      <c r="A7595" s="607"/>
      <c r="B7595" s="608"/>
      <c r="C7595" s="609"/>
      <c r="D7595" s="142"/>
      <c r="E7595" s="107"/>
      <c r="F7595" s="106"/>
      <c r="G7595" s="81"/>
      <c r="H7595" s="81"/>
      <c r="I7595" s="81"/>
      <c r="J7595" s="81"/>
      <c r="K7595" s="81"/>
      <c r="L7595" s="81"/>
      <c r="M7595" s="81"/>
      <c r="N7595" s="81"/>
    </row>
    <row r="7596" spans="1:14" ht="14.25" customHeight="1" x14ac:dyDescent="0.25">
      <c r="A7596" s="607"/>
      <c r="B7596" s="608"/>
      <c r="C7596" s="609"/>
      <c r="D7596" s="142"/>
      <c r="E7596" s="107"/>
      <c r="F7596" s="106"/>
      <c r="G7596" s="81"/>
      <c r="H7596" s="81"/>
      <c r="I7596" s="81"/>
      <c r="J7596" s="81"/>
      <c r="K7596" s="81"/>
      <c r="L7596" s="81"/>
      <c r="M7596" s="81"/>
      <c r="N7596" s="81"/>
    </row>
    <row r="7597" spans="1:14" ht="14.25" customHeight="1" x14ac:dyDescent="0.25">
      <c r="A7597" s="607"/>
      <c r="B7597" s="608"/>
      <c r="C7597" s="609"/>
      <c r="D7597" s="142"/>
      <c r="E7597" s="107"/>
      <c r="F7597" s="106"/>
      <c r="G7597" s="81"/>
      <c r="H7597" s="81"/>
      <c r="I7597" s="81"/>
      <c r="J7597" s="81"/>
      <c r="K7597" s="81"/>
      <c r="L7597" s="81"/>
      <c r="M7597" s="81"/>
      <c r="N7597" s="81"/>
    </row>
    <row r="7598" spans="1:14" ht="14.25" customHeight="1" x14ac:dyDescent="0.25">
      <c r="A7598" s="607"/>
      <c r="B7598" s="608"/>
      <c r="C7598" s="609"/>
      <c r="D7598" s="142"/>
      <c r="E7598" s="105"/>
      <c r="F7598" s="106"/>
      <c r="G7598" s="81"/>
      <c r="H7598" s="81"/>
      <c r="I7598" s="81"/>
      <c r="J7598" s="81"/>
      <c r="K7598" s="81"/>
      <c r="L7598" s="81"/>
      <c r="M7598" s="81"/>
      <c r="N7598" s="81"/>
    </row>
    <row r="7599" spans="1:14" ht="14.25" customHeight="1" x14ac:dyDescent="0.25">
      <c r="A7599" s="610"/>
      <c r="B7599" s="608"/>
      <c r="C7599" s="609"/>
      <c r="D7599" s="115"/>
      <c r="E7599" s="107"/>
      <c r="F7599" s="106"/>
      <c r="G7599" s="81"/>
      <c r="H7599" s="81"/>
      <c r="I7599" s="81"/>
      <c r="J7599" s="81"/>
      <c r="K7599" s="81"/>
      <c r="L7599" s="81"/>
      <c r="M7599" s="81"/>
      <c r="N7599" s="81"/>
    </row>
    <row r="7600" spans="1:14" ht="14.25" customHeight="1" x14ac:dyDescent="0.25">
      <c r="A7600" s="611" t="s">
        <v>548</v>
      </c>
      <c r="B7600" s="608"/>
      <c r="C7600" s="609"/>
      <c r="D7600" s="110"/>
      <c r="E7600" s="110"/>
      <c r="F7600" s="112">
        <f>SUM(F7593:F7599)</f>
        <v>517.44357142857132</v>
      </c>
      <c r="G7600" s="81"/>
      <c r="H7600" s="81"/>
      <c r="I7600" s="81"/>
      <c r="J7600" s="81"/>
      <c r="K7600" s="81"/>
      <c r="L7600" s="81"/>
      <c r="M7600" s="81"/>
      <c r="N7600" s="81"/>
    </row>
    <row r="7601" spans="1:14" ht="14.25" customHeight="1" x14ac:dyDescent="0.25">
      <c r="A7601" s="88"/>
      <c r="B7601" s="88"/>
      <c r="C7601" s="89"/>
      <c r="D7601" s="113"/>
      <c r="E7601" s="113"/>
      <c r="F7601" s="113"/>
      <c r="G7601" s="81"/>
      <c r="H7601" s="81"/>
      <c r="I7601" s="81"/>
      <c r="J7601" s="81"/>
      <c r="K7601" s="81"/>
      <c r="L7601" s="81"/>
      <c r="M7601" s="81"/>
      <c r="N7601" s="81"/>
    </row>
    <row r="7602" spans="1:14" ht="14.25" customHeight="1" x14ac:dyDescent="0.25">
      <c r="A7602" s="96" t="s">
        <v>578</v>
      </c>
      <c r="B7602" s="96"/>
      <c r="C7602" s="92"/>
      <c r="D7602" s="118"/>
      <c r="E7602" s="118"/>
      <c r="F7602" s="118"/>
      <c r="G7602" s="81"/>
      <c r="H7602" s="81"/>
      <c r="I7602" s="81"/>
      <c r="J7602" s="81"/>
      <c r="K7602" s="81"/>
      <c r="L7602" s="81"/>
      <c r="M7602" s="81"/>
      <c r="N7602" s="81"/>
    </row>
    <row r="7603" spans="1:14" ht="14.25" customHeight="1" x14ac:dyDescent="0.25">
      <c r="A7603" s="119" t="s">
        <v>563</v>
      </c>
      <c r="B7603" s="120" t="s">
        <v>579</v>
      </c>
      <c r="C7603" s="120" t="s">
        <v>580</v>
      </c>
      <c r="D7603" s="121" t="s">
        <v>581</v>
      </c>
      <c r="E7603" s="121" t="s">
        <v>575</v>
      </c>
      <c r="F7603" s="121" t="s">
        <v>568</v>
      </c>
      <c r="G7603" s="81"/>
      <c r="H7603" s="81"/>
      <c r="I7603" s="81"/>
      <c r="J7603" s="81"/>
      <c r="K7603" s="81"/>
      <c r="L7603" s="81"/>
      <c r="M7603" s="81"/>
      <c r="N7603" s="81"/>
    </row>
    <row r="7604" spans="1:14" ht="14.25" customHeight="1" x14ac:dyDescent="0.25">
      <c r="A7604" s="122" t="s">
        <v>593</v>
      </c>
      <c r="B7604" s="127">
        <v>1</v>
      </c>
      <c r="C7604" s="101">
        <v>32688</v>
      </c>
      <c r="D7604" s="101">
        <f t="shared" ref="D7604:D7605" si="375">+C7604*1.7</f>
        <v>55569.599999999999</v>
      </c>
      <c r="E7604" s="107">
        <v>14</v>
      </c>
      <c r="F7604" s="106">
        <f t="shared" ref="F7604:F7605" si="376">+B7604*(D7604)/E7604</f>
        <v>3969.2571428571428</v>
      </c>
      <c r="G7604" s="81"/>
      <c r="H7604" s="81"/>
      <c r="I7604" s="81"/>
      <c r="J7604" s="81"/>
      <c r="K7604" s="81"/>
      <c r="L7604" s="81"/>
      <c r="M7604" s="81"/>
      <c r="N7604" s="81"/>
    </row>
    <row r="7605" spans="1:14" ht="14.25" customHeight="1" x14ac:dyDescent="0.25">
      <c r="A7605" s="122" t="s">
        <v>594</v>
      </c>
      <c r="B7605" s="127">
        <v>1</v>
      </c>
      <c r="C7605" s="101">
        <v>52538</v>
      </c>
      <c r="D7605" s="101">
        <f t="shared" si="375"/>
        <v>89314.599999999991</v>
      </c>
      <c r="E7605" s="107">
        <f>E7604</f>
        <v>14</v>
      </c>
      <c r="F7605" s="106">
        <f t="shared" si="376"/>
        <v>6379.614285714285</v>
      </c>
      <c r="G7605" s="81"/>
      <c r="H7605" s="117"/>
      <c r="I7605" s="81"/>
      <c r="J7605" s="81"/>
      <c r="K7605" s="81"/>
      <c r="L7605" s="81"/>
      <c r="M7605" s="81"/>
      <c r="N7605" s="81"/>
    </row>
    <row r="7606" spans="1:14" ht="14.25" customHeight="1" x14ac:dyDescent="0.25">
      <c r="A7606" s="122"/>
      <c r="B7606" s="127"/>
      <c r="C7606" s="101"/>
      <c r="D7606" s="101"/>
      <c r="E7606" s="107"/>
      <c r="F7606" s="106"/>
      <c r="G7606" s="81"/>
      <c r="H7606" s="81"/>
      <c r="I7606" s="81"/>
      <c r="J7606" s="81"/>
      <c r="K7606" s="81"/>
      <c r="L7606" s="81"/>
      <c r="M7606" s="81"/>
      <c r="N7606" s="81"/>
    </row>
    <row r="7607" spans="1:14" ht="14.25" customHeight="1" x14ac:dyDescent="0.25">
      <c r="A7607" s="122"/>
      <c r="B7607" s="127"/>
      <c r="C7607" s="101"/>
      <c r="D7607" s="101"/>
      <c r="E7607" s="125"/>
      <c r="F7607" s="106"/>
      <c r="G7607" s="81"/>
      <c r="H7607" s="81"/>
      <c r="I7607" s="81"/>
      <c r="J7607" s="81"/>
      <c r="K7607" s="81"/>
      <c r="L7607" s="81"/>
      <c r="M7607" s="81"/>
      <c r="N7607" s="81"/>
    </row>
    <row r="7608" spans="1:14" ht="14.25" customHeight="1" x14ac:dyDescent="0.25">
      <c r="A7608" s="97" t="s">
        <v>548</v>
      </c>
      <c r="B7608" s="128"/>
      <c r="C7608" s="110"/>
      <c r="D7608" s="110"/>
      <c r="E7608" s="110"/>
      <c r="F7608" s="112">
        <f>SUM(F7604:F7607)</f>
        <v>10348.871428571427</v>
      </c>
      <c r="G7608" s="81"/>
      <c r="H7608" s="81"/>
      <c r="I7608" s="81"/>
      <c r="J7608" s="81"/>
      <c r="K7608" s="81"/>
      <c r="L7608" s="81"/>
      <c r="M7608" s="81"/>
      <c r="N7608" s="81"/>
    </row>
    <row r="7609" spans="1:14" ht="14.25" customHeight="1" x14ac:dyDescent="0.25">
      <c r="A7609" s="96"/>
      <c r="B7609" s="129"/>
      <c r="C7609" s="118"/>
      <c r="D7609" s="118"/>
      <c r="E7609" s="118"/>
      <c r="F7609" s="118"/>
      <c r="G7609" s="81"/>
      <c r="H7609" s="81"/>
      <c r="I7609" s="81"/>
      <c r="J7609" s="81"/>
      <c r="K7609" s="81"/>
      <c r="L7609" s="81"/>
      <c r="M7609" s="81"/>
      <c r="N7609" s="81"/>
    </row>
    <row r="7610" spans="1:14" ht="14.25" customHeight="1" x14ac:dyDescent="0.25">
      <c r="A7610" s="95" t="s">
        <v>583</v>
      </c>
      <c r="B7610" s="96"/>
      <c r="C7610" s="92"/>
      <c r="D7610" s="92"/>
      <c r="E7610" s="92" t="s">
        <v>584</v>
      </c>
      <c r="F7610" s="92"/>
      <c r="G7610" s="81"/>
      <c r="H7610" s="81"/>
      <c r="I7610" s="81"/>
      <c r="J7610" s="81"/>
      <c r="K7610" s="81"/>
      <c r="L7610" s="81"/>
      <c r="M7610" s="81"/>
      <c r="N7610" s="81"/>
    </row>
    <row r="7611" spans="1:14" ht="14.25" customHeight="1" x14ac:dyDescent="0.25">
      <c r="A7611" s="97" t="s">
        <v>563</v>
      </c>
      <c r="B7611" s="98" t="s">
        <v>564</v>
      </c>
      <c r="C7611" s="98" t="s">
        <v>585</v>
      </c>
      <c r="D7611" s="98" t="s">
        <v>586</v>
      </c>
      <c r="E7611" s="120" t="s">
        <v>587</v>
      </c>
      <c r="F7611" s="98" t="s">
        <v>568</v>
      </c>
      <c r="G7611" s="81"/>
      <c r="H7611" s="81"/>
      <c r="I7611" s="81"/>
      <c r="J7611" s="81"/>
      <c r="K7611" s="81"/>
      <c r="L7611" s="81"/>
      <c r="M7611" s="81"/>
      <c r="N7611" s="81"/>
    </row>
    <row r="7612" spans="1:14" ht="14.25" customHeight="1" x14ac:dyDescent="0.25">
      <c r="A7612" s="103"/>
      <c r="B7612" s="100"/>
      <c r="C7612" s="101"/>
      <c r="D7612" s="140"/>
      <c r="E7612" s="107"/>
      <c r="F7612" s="109"/>
      <c r="G7612" s="81"/>
      <c r="H7612" s="81"/>
      <c r="I7612" s="81"/>
      <c r="J7612" s="81"/>
      <c r="K7612" s="81"/>
      <c r="L7612" s="81"/>
      <c r="M7612" s="81"/>
      <c r="N7612" s="81"/>
    </row>
    <row r="7613" spans="1:14" ht="14.25" customHeight="1" x14ac:dyDescent="0.25">
      <c r="A7613" s="103"/>
      <c r="B7613" s="100"/>
      <c r="C7613" s="107"/>
      <c r="D7613" s="107"/>
      <c r="E7613" s="108"/>
      <c r="F7613" s="109"/>
      <c r="G7613" s="81"/>
      <c r="H7613" s="81"/>
      <c r="I7613" s="81"/>
      <c r="J7613" s="81"/>
      <c r="K7613" s="81"/>
      <c r="L7613" s="81"/>
      <c r="M7613" s="81"/>
      <c r="N7613" s="81"/>
    </row>
    <row r="7614" spans="1:14" ht="14.25" customHeight="1" x14ac:dyDescent="0.25">
      <c r="A7614" s="97" t="s">
        <v>548</v>
      </c>
      <c r="B7614" s="98"/>
      <c r="C7614" s="110"/>
      <c r="D7614" s="110"/>
      <c r="E7614" s="111"/>
      <c r="F7614" s="112">
        <f>SUM(F7612:F7613)</f>
        <v>0</v>
      </c>
      <c r="G7614" s="81"/>
      <c r="H7614" s="81"/>
      <c r="I7614" s="81"/>
      <c r="J7614" s="81"/>
      <c r="K7614" s="81"/>
      <c r="L7614" s="81"/>
      <c r="M7614" s="81"/>
      <c r="N7614" s="81"/>
    </row>
    <row r="7615" spans="1:14" ht="14.25" customHeight="1" x14ac:dyDescent="0.25">
      <c r="A7615" s="88"/>
      <c r="B7615" s="89"/>
      <c r="C7615" s="113"/>
      <c r="D7615" s="113"/>
      <c r="E7615" s="114"/>
      <c r="F7615" s="113"/>
      <c r="G7615" s="81"/>
      <c r="H7615" s="81"/>
      <c r="I7615" s="81"/>
      <c r="J7615" s="81"/>
      <c r="K7615" s="81"/>
      <c r="L7615" s="81"/>
      <c r="M7615" s="81"/>
      <c r="N7615" s="81"/>
    </row>
    <row r="7616" spans="1:14" ht="14.25" customHeight="1" x14ac:dyDescent="0.25">
      <c r="A7616" s="88"/>
      <c r="B7616" s="89"/>
      <c r="C7616" s="113"/>
      <c r="D7616" s="113"/>
      <c r="E7616" s="114"/>
      <c r="F7616" s="113"/>
      <c r="G7616" s="81"/>
      <c r="H7616" s="81"/>
      <c r="I7616" s="81"/>
      <c r="J7616" s="81"/>
      <c r="K7616" s="81"/>
      <c r="L7616" s="81"/>
      <c r="M7616" s="81"/>
      <c r="N7616" s="81"/>
    </row>
    <row r="7617" spans="1:14" ht="14.25" customHeight="1" x14ac:dyDescent="0.25">
      <c r="A7617" s="612" t="s">
        <v>588</v>
      </c>
      <c r="B7617" s="608"/>
      <c r="C7617" s="608"/>
      <c r="D7617" s="608"/>
      <c r="E7617" s="609"/>
      <c r="F7617" s="131">
        <f>ROUND(F7589+F7600+F7608+F7614,0)</f>
        <v>25784</v>
      </c>
      <c r="G7617" s="81"/>
      <c r="H7617" s="81"/>
      <c r="I7617" s="81"/>
      <c r="J7617" s="81"/>
      <c r="K7617" s="81"/>
      <c r="L7617" s="81"/>
      <c r="M7617" s="81"/>
      <c r="N7617" s="81"/>
    </row>
    <row r="7618" spans="1:14" ht="14.25" customHeight="1" x14ac:dyDescent="0.25">
      <c r="A7618" s="612" t="s">
        <v>589</v>
      </c>
      <c r="B7618" s="608"/>
      <c r="C7618" s="608"/>
      <c r="D7618" s="608"/>
      <c r="E7618" s="609"/>
      <c r="F7618" s="132"/>
      <c r="G7618" s="81"/>
      <c r="H7618" s="81"/>
      <c r="I7618" s="81"/>
      <c r="J7618" s="81"/>
      <c r="K7618" s="81"/>
      <c r="L7618" s="81"/>
      <c r="M7618" s="81"/>
      <c r="N7618" s="81"/>
    </row>
    <row r="7619" spans="1:14" ht="14.25" customHeight="1" x14ac:dyDescent="0.25">
      <c r="A7619" s="612" t="s">
        <v>556</v>
      </c>
      <c r="B7619" s="608"/>
      <c r="C7619" s="608"/>
      <c r="D7619" s="608"/>
      <c r="E7619" s="609"/>
      <c r="F7619" s="133"/>
      <c r="G7619" s="81"/>
      <c r="H7619" s="81"/>
      <c r="I7619" s="81"/>
      <c r="J7619" s="81"/>
      <c r="K7619" s="81"/>
      <c r="L7619" s="81"/>
      <c r="M7619" s="81"/>
      <c r="N7619" s="81"/>
    </row>
    <row r="7620" spans="1:14" ht="14.25" customHeight="1" x14ac:dyDescent="0.25">
      <c r="A7620" s="134"/>
      <c r="B7620" s="135"/>
      <c r="C7620" s="135"/>
      <c r="D7620" s="135"/>
      <c r="E7620" s="135"/>
      <c r="F7620" s="136"/>
      <c r="G7620" s="81"/>
      <c r="H7620" s="81"/>
      <c r="I7620" s="81"/>
      <c r="J7620" s="81"/>
      <c r="K7620" s="81"/>
      <c r="L7620" s="81"/>
      <c r="M7620" s="81"/>
      <c r="N7620" s="81"/>
    </row>
    <row r="7621" spans="1:14" ht="14.25" customHeight="1" x14ac:dyDescent="0.25">
      <c r="A7621" s="134"/>
      <c r="B7621" s="135"/>
      <c r="C7621" s="135"/>
      <c r="D7621" s="135"/>
      <c r="E7621" s="135"/>
      <c r="F7621" s="136"/>
      <c r="G7621" s="81"/>
      <c r="H7621" s="81"/>
      <c r="I7621" s="81"/>
      <c r="J7621" s="81"/>
      <c r="K7621" s="81"/>
      <c r="L7621" s="81"/>
      <c r="M7621" s="81"/>
      <c r="N7621" s="81"/>
    </row>
    <row r="7622" spans="1:14" ht="14.25" customHeight="1" x14ac:dyDescent="0.25">
      <c r="A7622" s="134"/>
      <c r="B7622" s="135"/>
      <c r="C7622" s="135"/>
      <c r="D7622" s="135"/>
      <c r="E7622" s="135"/>
      <c r="F7622" s="136"/>
      <c r="G7622" s="81"/>
      <c r="H7622" s="81"/>
      <c r="I7622" s="81"/>
      <c r="J7622" s="81"/>
      <c r="K7622" s="81"/>
      <c r="L7622" s="81"/>
      <c r="M7622" s="81"/>
      <c r="N7622" s="81"/>
    </row>
    <row r="7623" spans="1:14" ht="14.25" customHeight="1" x14ac:dyDescent="0.25">
      <c r="A7623" s="134"/>
      <c r="B7623" s="135"/>
      <c r="C7623" s="135"/>
      <c r="D7623" s="135"/>
      <c r="E7623" s="135"/>
      <c r="F7623" s="136"/>
      <c r="G7623" s="81"/>
      <c r="H7623" s="81"/>
      <c r="I7623" s="81"/>
      <c r="J7623" s="81"/>
      <c r="K7623" s="81"/>
      <c r="L7623" s="81"/>
      <c r="M7623" s="81"/>
      <c r="N7623" s="81"/>
    </row>
    <row r="7624" spans="1:14" ht="14.25" customHeight="1" x14ac:dyDescent="0.25">
      <c r="A7624" s="81"/>
      <c r="B7624" s="81"/>
      <c r="C7624" s="137"/>
      <c r="D7624" s="81"/>
      <c r="E7624" s="81"/>
      <c r="F7624" s="81"/>
      <c r="G7624" s="81"/>
      <c r="H7624" s="81"/>
      <c r="I7624" s="81"/>
      <c r="J7624" s="81"/>
      <c r="K7624" s="81"/>
      <c r="L7624" s="81"/>
      <c r="M7624" s="81"/>
      <c r="N7624" s="81"/>
    </row>
    <row r="7625" spans="1:14" ht="14.25" customHeight="1" x14ac:dyDescent="0.25">
      <c r="A7625" s="81"/>
      <c r="B7625" s="81"/>
      <c r="C7625" s="137"/>
      <c r="D7625" s="81"/>
      <c r="E7625" s="81"/>
      <c r="F7625" s="81"/>
      <c r="G7625" s="81"/>
      <c r="H7625" s="81"/>
      <c r="I7625" s="81"/>
      <c r="J7625" s="81"/>
      <c r="K7625" s="81"/>
      <c r="L7625" s="81"/>
      <c r="M7625" s="81"/>
      <c r="N7625" s="81"/>
    </row>
    <row r="7626" spans="1:14" ht="14.25" customHeight="1" x14ac:dyDescent="0.25">
      <c r="A7626" s="81"/>
      <c r="B7626" s="81"/>
      <c r="C7626" s="137"/>
      <c r="D7626" s="81"/>
      <c r="E7626" s="81"/>
      <c r="F7626" s="81"/>
      <c r="G7626" s="81"/>
      <c r="H7626" s="81"/>
      <c r="I7626" s="81"/>
      <c r="J7626" s="81"/>
      <c r="K7626" s="81"/>
      <c r="L7626" s="81"/>
      <c r="M7626" s="81"/>
      <c r="N7626" s="81"/>
    </row>
    <row r="7627" spans="1:14" ht="14.25" customHeight="1" x14ac:dyDescent="0.25">
      <c r="A7627" s="81"/>
      <c r="B7627" s="81"/>
      <c r="C7627" s="137"/>
      <c r="D7627" s="81"/>
      <c r="E7627" s="81"/>
      <c r="F7627" s="81"/>
      <c r="G7627" s="81"/>
      <c r="H7627" s="81"/>
      <c r="I7627" s="81"/>
      <c r="J7627" s="81"/>
      <c r="K7627" s="81"/>
      <c r="L7627" s="81"/>
      <c r="M7627" s="81"/>
      <c r="N7627" s="81"/>
    </row>
    <row r="7628" spans="1:14" ht="14.25" customHeight="1" thickBot="1" x14ac:dyDescent="0.3">
      <c r="A7628" s="81"/>
      <c r="B7628" s="81"/>
      <c r="C7628" s="81"/>
      <c r="D7628" s="81"/>
      <c r="E7628" s="81"/>
      <c r="F7628" s="81"/>
      <c r="G7628" s="81"/>
      <c r="H7628" s="81"/>
      <c r="I7628" s="81"/>
      <c r="J7628" s="81"/>
      <c r="K7628" s="81"/>
      <c r="L7628" s="81"/>
      <c r="M7628" s="81"/>
      <c r="N7628" s="81"/>
    </row>
    <row r="7629" spans="1:14" ht="14.25" customHeight="1" x14ac:dyDescent="0.25">
      <c r="A7629" s="83"/>
      <c r="B7629" s="84"/>
      <c r="C7629" s="85"/>
      <c r="D7629" s="86"/>
      <c r="E7629" s="86"/>
      <c r="F7629" s="87"/>
      <c r="G7629" s="81"/>
      <c r="H7629" s="81"/>
      <c r="I7629" s="81"/>
      <c r="J7629" s="81"/>
      <c r="K7629" s="81"/>
      <c r="L7629" s="81"/>
      <c r="M7629" s="81"/>
      <c r="N7629" s="81"/>
    </row>
    <row r="7630" spans="1:14" ht="14.25" customHeight="1" x14ac:dyDescent="0.25">
      <c r="A7630" s="599"/>
      <c r="B7630" s="600"/>
      <c r="C7630" s="600"/>
      <c r="D7630" s="600"/>
      <c r="E7630" s="600"/>
      <c r="F7630" s="601"/>
      <c r="G7630" s="81"/>
      <c r="H7630" s="81"/>
      <c r="I7630" s="81"/>
      <c r="J7630" s="81"/>
      <c r="K7630" s="81"/>
      <c r="L7630" s="81"/>
      <c r="M7630" s="81"/>
      <c r="N7630" s="81"/>
    </row>
    <row r="7631" spans="1:14" ht="14.25" customHeight="1" x14ac:dyDescent="0.25">
      <c r="A7631" s="602" t="s">
        <v>561</v>
      </c>
      <c r="B7631" s="600"/>
      <c r="C7631" s="600"/>
      <c r="D7631" s="600"/>
      <c r="E7631" s="600"/>
      <c r="F7631" s="601"/>
      <c r="G7631" s="81"/>
      <c r="H7631" s="81"/>
      <c r="I7631" s="81"/>
      <c r="J7631" s="81"/>
      <c r="K7631" s="81"/>
      <c r="L7631" s="81"/>
      <c r="M7631" s="81"/>
      <c r="N7631" s="81"/>
    </row>
    <row r="7632" spans="1:14" ht="14.25" customHeight="1" thickBot="1" x14ac:dyDescent="0.3">
      <c r="A7632" s="603"/>
      <c r="B7632" s="604"/>
      <c r="C7632" s="604"/>
      <c r="D7632" s="604"/>
      <c r="E7632" s="604"/>
      <c r="F7632" s="605"/>
      <c r="G7632" s="81"/>
      <c r="H7632" s="81"/>
      <c r="I7632" s="81"/>
      <c r="J7632" s="81"/>
      <c r="K7632" s="81"/>
      <c r="L7632" s="81"/>
      <c r="M7632" s="81"/>
      <c r="N7632" s="81"/>
    </row>
    <row r="7633" spans="1:14" ht="14.25" customHeight="1" x14ac:dyDescent="0.25">
      <c r="A7633" s="88"/>
      <c r="B7633" s="88"/>
      <c r="C7633" s="89"/>
      <c r="D7633" s="89"/>
      <c r="E7633" s="89"/>
      <c r="F7633" s="89"/>
      <c r="G7633" s="81"/>
      <c r="H7633" s="81"/>
      <c r="I7633" s="81"/>
      <c r="J7633" s="81"/>
      <c r="K7633" s="81"/>
      <c r="L7633" s="81"/>
      <c r="M7633" s="81"/>
      <c r="N7633" s="81"/>
    </row>
    <row r="7634" spans="1:14" ht="14.25" customHeight="1" x14ac:dyDescent="0.25">
      <c r="A7634" s="90" t="s">
        <v>47</v>
      </c>
      <c r="B7634" s="613" t="s">
        <v>362</v>
      </c>
      <c r="C7634" s="600"/>
      <c r="D7634" s="600"/>
      <c r="E7634" s="600"/>
      <c r="F7634" s="600"/>
      <c r="G7634" s="81"/>
      <c r="H7634" s="81"/>
      <c r="I7634" s="81"/>
      <c r="J7634" s="81"/>
      <c r="K7634" s="81"/>
      <c r="L7634" s="81"/>
      <c r="M7634" s="81"/>
      <c r="N7634" s="81"/>
    </row>
    <row r="7635" spans="1:14" ht="14.25" customHeight="1" x14ac:dyDescent="0.25">
      <c r="A7635" s="91"/>
      <c r="B7635" s="91"/>
      <c r="C7635" s="91"/>
      <c r="D7635" s="91"/>
      <c r="E7635" s="91"/>
      <c r="F7635" s="91"/>
      <c r="G7635" s="81"/>
      <c r="H7635" s="81"/>
      <c r="I7635" s="81"/>
      <c r="J7635" s="81"/>
      <c r="K7635" s="81"/>
      <c r="L7635" s="81"/>
      <c r="M7635" s="81"/>
      <c r="N7635" s="81"/>
    </row>
    <row r="7636" spans="1:14" ht="14.25" customHeight="1" x14ac:dyDescent="0.25">
      <c r="A7636" s="88" t="s">
        <v>49</v>
      </c>
      <c r="B7636" s="92" t="s">
        <v>99</v>
      </c>
      <c r="C7636" s="89"/>
      <c r="D7636" s="89"/>
      <c r="E7636" s="89"/>
      <c r="F7636" s="93"/>
      <c r="G7636" s="81"/>
      <c r="H7636" s="81"/>
      <c r="I7636" s="81"/>
      <c r="J7636" s="81"/>
      <c r="K7636" s="81"/>
      <c r="L7636" s="81"/>
      <c r="M7636" s="81"/>
      <c r="N7636" s="81"/>
    </row>
    <row r="7637" spans="1:14" ht="14.25" customHeight="1" x14ac:dyDescent="0.25">
      <c r="A7637" s="88"/>
      <c r="B7637" s="94"/>
      <c r="C7637" s="89"/>
      <c r="D7637" s="89"/>
      <c r="E7637" s="89"/>
      <c r="F7637" s="93"/>
      <c r="G7637" s="81"/>
      <c r="H7637" s="81"/>
      <c r="I7637" s="81"/>
      <c r="J7637" s="81"/>
      <c r="K7637" s="81"/>
      <c r="L7637" s="81"/>
      <c r="M7637" s="81"/>
      <c r="N7637" s="81"/>
    </row>
    <row r="7638" spans="1:14" ht="14.25" customHeight="1" x14ac:dyDescent="0.25">
      <c r="A7638" s="95" t="s">
        <v>562</v>
      </c>
      <c r="B7638" s="96"/>
      <c r="C7638" s="92"/>
      <c r="D7638" s="92"/>
      <c r="E7638" s="92"/>
      <c r="F7638" s="92"/>
      <c r="G7638" s="81"/>
      <c r="H7638" s="81"/>
      <c r="I7638" s="81"/>
      <c r="J7638" s="81"/>
      <c r="K7638" s="81"/>
      <c r="L7638" s="81"/>
      <c r="M7638" s="81"/>
      <c r="N7638" s="81"/>
    </row>
    <row r="7639" spans="1:14" ht="14.25" customHeight="1" x14ac:dyDescent="0.25">
      <c r="A7639" s="97" t="s">
        <v>563</v>
      </c>
      <c r="B7639" s="98" t="s">
        <v>564</v>
      </c>
      <c r="C7639" s="98" t="s">
        <v>565</v>
      </c>
      <c r="D7639" s="98" t="s">
        <v>566</v>
      </c>
      <c r="E7639" s="98" t="s">
        <v>567</v>
      </c>
      <c r="F7639" s="98" t="s">
        <v>568</v>
      </c>
      <c r="G7639" s="81"/>
      <c r="H7639" s="81"/>
      <c r="I7639" s="81"/>
      <c r="J7639" s="81"/>
      <c r="K7639" s="81"/>
      <c r="L7639" s="81"/>
      <c r="M7639" s="81"/>
      <c r="N7639" s="81"/>
    </row>
    <row r="7640" spans="1:14" ht="14.25" customHeight="1" x14ac:dyDescent="0.25">
      <c r="A7640" s="99"/>
      <c r="B7640" s="100"/>
      <c r="C7640" s="101"/>
      <c r="D7640" s="149"/>
      <c r="E7640" s="102"/>
      <c r="F7640" s="101"/>
      <c r="G7640" s="81"/>
      <c r="H7640" s="81"/>
      <c r="I7640" s="81"/>
      <c r="J7640" s="81"/>
      <c r="K7640" s="81"/>
      <c r="L7640" s="81"/>
      <c r="M7640" s="81"/>
      <c r="N7640" s="81"/>
    </row>
    <row r="7641" spans="1:14" ht="14.25" customHeight="1" x14ac:dyDescent="0.25">
      <c r="A7641" s="103"/>
      <c r="B7641" s="100"/>
      <c r="C7641" s="101"/>
      <c r="D7641" s="105"/>
      <c r="E7641" s="102"/>
      <c r="F7641" s="101"/>
      <c r="G7641" s="81"/>
      <c r="H7641" s="81"/>
      <c r="I7641" s="81"/>
      <c r="J7641" s="81"/>
      <c r="K7641" s="81"/>
      <c r="L7641" s="81"/>
      <c r="M7641" s="81"/>
      <c r="N7641" s="81"/>
    </row>
    <row r="7642" spans="1:14" ht="14.25" customHeight="1" x14ac:dyDescent="0.25">
      <c r="A7642" s="99"/>
      <c r="B7642" s="100"/>
      <c r="C7642" s="101"/>
      <c r="D7642" s="149"/>
      <c r="E7642" s="102"/>
      <c r="F7642" s="101"/>
      <c r="G7642" s="81"/>
      <c r="H7642" s="81"/>
      <c r="I7642" s="81"/>
      <c r="J7642" s="81"/>
      <c r="K7642" s="81"/>
      <c r="L7642" s="81"/>
      <c r="M7642" s="81"/>
      <c r="N7642" s="81"/>
    </row>
    <row r="7643" spans="1:14" ht="14.25" customHeight="1" x14ac:dyDescent="0.25">
      <c r="A7643" s="99"/>
      <c r="B7643" s="100"/>
      <c r="C7643" s="106"/>
      <c r="D7643" s="107"/>
      <c r="E7643" s="108"/>
      <c r="F7643" s="106"/>
      <c r="G7643" s="81"/>
      <c r="H7643" s="81"/>
      <c r="I7643" s="81"/>
      <c r="J7643" s="81"/>
      <c r="K7643" s="81"/>
      <c r="L7643" s="81"/>
      <c r="M7643" s="81"/>
      <c r="N7643" s="81"/>
    </row>
    <row r="7644" spans="1:14" ht="14.25" customHeight="1" x14ac:dyDescent="0.25">
      <c r="A7644" s="97" t="s">
        <v>548</v>
      </c>
      <c r="B7644" s="97"/>
      <c r="C7644" s="109"/>
      <c r="D7644" s="110"/>
      <c r="E7644" s="111"/>
      <c r="F7644" s="112">
        <f>SUM(F7640:F7643)</f>
        <v>0</v>
      </c>
      <c r="G7644" s="81"/>
      <c r="H7644" s="81"/>
      <c r="I7644" s="81"/>
      <c r="J7644" s="81"/>
      <c r="K7644" s="81"/>
      <c r="L7644" s="81"/>
      <c r="M7644" s="81"/>
      <c r="N7644" s="81"/>
    </row>
    <row r="7645" spans="1:14" ht="14.25" customHeight="1" x14ac:dyDescent="0.25">
      <c r="A7645" s="88"/>
      <c r="B7645" s="88"/>
      <c r="C7645" s="113"/>
      <c r="D7645" s="113"/>
      <c r="E7645" s="114"/>
      <c r="F7645" s="113"/>
      <c r="G7645" s="81"/>
      <c r="H7645" s="81"/>
      <c r="I7645" s="81"/>
      <c r="J7645" s="81"/>
      <c r="K7645" s="81"/>
      <c r="L7645" s="81"/>
      <c r="M7645" s="81"/>
      <c r="N7645" s="81"/>
    </row>
    <row r="7646" spans="1:14" ht="14.25" customHeight="1" x14ac:dyDescent="0.25">
      <c r="A7646" s="96" t="s">
        <v>573</v>
      </c>
      <c r="B7646" s="96"/>
      <c r="C7646" s="92"/>
      <c r="D7646" s="92"/>
      <c r="E7646" s="92"/>
      <c r="F7646" s="92"/>
      <c r="G7646" s="81"/>
      <c r="H7646" s="81"/>
      <c r="I7646" s="81"/>
      <c r="J7646" s="81"/>
      <c r="K7646" s="81"/>
      <c r="L7646" s="81"/>
      <c r="M7646" s="81"/>
      <c r="N7646" s="81"/>
    </row>
    <row r="7647" spans="1:14" ht="15.75" x14ac:dyDescent="0.25">
      <c r="A7647" s="611" t="s">
        <v>563</v>
      </c>
      <c r="B7647" s="608"/>
      <c r="C7647" s="609"/>
      <c r="D7647" s="98" t="s">
        <v>574</v>
      </c>
      <c r="E7647" s="98" t="s">
        <v>575</v>
      </c>
      <c r="F7647" s="98" t="s">
        <v>568</v>
      </c>
      <c r="G7647" s="81"/>
      <c r="H7647" s="81"/>
      <c r="I7647" s="81"/>
      <c r="J7647" s="81"/>
      <c r="K7647" s="81"/>
      <c r="L7647" s="81"/>
      <c r="M7647" s="81"/>
      <c r="N7647" s="81"/>
    </row>
    <row r="7648" spans="1:14" ht="14.25" customHeight="1" x14ac:dyDescent="0.25">
      <c r="A7648" s="607" t="s">
        <v>577</v>
      </c>
      <c r="B7648" s="608"/>
      <c r="C7648" s="609"/>
      <c r="D7648" s="116"/>
      <c r="E7648" s="107"/>
      <c r="F7648" s="106">
        <v>637415</v>
      </c>
      <c r="G7648" s="81"/>
      <c r="H7648" s="81"/>
      <c r="I7648" s="81"/>
      <c r="J7648" s="81"/>
      <c r="K7648" s="81"/>
      <c r="L7648" s="81"/>
      <c r="M7648" s="81"/>
      <c r="N7648" s="81"/>
    </row>
    <row r="7649" spans="1:14" ht="14.25" customHeight="1" x14ac:dyDescent="0.25">
      <c r="A7649" s="607" t="s">
        <v>639</v>
      </c>
      <c r="B7649" s="608"/>
      <c r="C7649" s="609"/>
      <c r="D7649" s="142">
        <v>5150</v>
      </c>
      <c r="E7649" s="105">
        <v>7.0000000000000001E-3</v>
      </c>
      <c r="F7649" s="106">
        <f t="shared" ref="F7649:F7651" si="377">D7649/E7649</f>
        <v>735714.28571428568</v>
      </c>
      <c r="G7649" s="81"/>
      <c r="H7649" s="81"/>
      <c r="I7649" s="81"/>
      <c r="J7649" s="81"/>
      <c r="K7649" s="81"/>
      <c r="L7649" s="81"/>
      <c r="M7649" s="81"/>
      <c r="N7649" s="81"/>
    </row>
    <row r="7650" spans="1:14" ht="14.25" customHeight="1" x14ac:dyDescent="0.25">
      <c r="A7650" s="607" t="s">
        <v>702</v>
      </c>
      <c r="B7650" s="608"/>
      <c r="C7650" s="609"/>
      <c r="D7650" s="142">
        <v>3250</v>
      </c>
      <c r="E7650" s="105">
        <v>7.0000000000000001E-3</v>
      </c>
      <c r="F7650" s="106">
        <f t="shared" si="377"/>
        <v>464285.71428571426</v>
      </c>
      <c r="G7650" s="81"/>
      <c r="H7650" s="81"/>
      <c r="I7650" s="81"/>
      <c r="J7650" s="81"/>
      <c r="K7650" s="81"/>
      <c r="L7650" s="81"/>
      <c r="M7650" s="81"/>
      <c r="N7650" s="81"/>
    </row>
    <row r="7651" spans="1:14" ht="14.25" customHeight="1" x14ac:dyDescent="0.25">
      <c r="A7651" s="607" t="s">
        <v>610</v>
      </c>
      <c r="B7651" s="608"/>
      <c r="C7651" s="609"/>
      <c r="D7651" s="142">
        <v>85000</v>
      </c>
      <c r="E7651" s="105">
        <v>0.05</v>
      </c>
      <c r="F7651" s="106">
        <f t="shared" si="377"/>
        <v>1700000</v>
      </c>
      <c r="G7651" s="81"/>
      <c r="H7651" s="81"/>
      <c r="I7651" s="81"/>
      <c r="J7651" s="81"/>
      <c r="K7651" s="81"/>
      <c r="L7651" s="81"/>
      <c r="M7651" s="81"/>
      <c r="N7651" s="81"/>
    </row>
    <row r="7652" spans="1:14" ht="14.25" customHeight="1" x14ac:dyDescent="0.25">
      <c r="A7652" s="607" t="s">
        <v>654</v>
      </c>
      <c r="B7652" s="608"/>
      <c r="C7652" s="609"/>
      <c r="D7652" s="142">
        <v>90000</v>
      </c>
      <c r="E7652" s="105">
        <v>0.05</v>
      </c>
      <c r="F7652" s="106">
        <f t="shared" ref="F7652" si="378">D7652/E7652</f>
        <v>1800000</v>
      </c>
      <c r="G7652" s="81"/>
      <c r="H7652" s="81"/>
      <c r="I7652" s="81"/>
      <c r="J7652" s="81"/>
      <c r="K7652" s="81"/>
      <c r="L7652" s="81"/>
      <c r="M7652" s="81"/>
      <c r="N7652" s="81"/>
    </row>
    <row r="7653" spans="1:14" ht="14.25" customHeight="1" x14ac:dyDescent="0.25">
      <c r="A7653" s="607"/>
      <c r="B7653" s="608"/>
      <c r="C7653" s="609"/>
      <c r="D7653" s="142"/>
      <c r="E7653" s="105"/>
      <c r="F7653" s="106"/>
      <c r="G7653" s="81"/>
      <c r="H7653" s="81"/>
      <c r="I7653" s="81"/>
      <c r="J7653" s="81"/>
      <c r="K7653" s="81"/>
      <c r="L7653" s="81"/>
      <c r="M7653" s="81"/>
      <c r="N7653" s="81"/>
    </row>
    <row r="7654" spans="1:14" ht="14.25" customHeight="1" x14ac:dyDescent="0.25">
      <c r="A7654" s="610"/>
      <c r="B7654" s="608"/>
      <c r="C7654" s="609"/>
      <c r="D7654" s="115"/>
      <c r="E7654" s="107"/>
      <c r="F7654" s="106"/>
      <c r="G7654" s="81"/>
      <c r="H7654" s="81"/>
      <c r="I7654" s="81"/>
      <c r="J7654" s="81"/>
      <c r="K7654" s="81"/>
      <c r="L7654" s="81"/>
      <c r="M7654" s="81"/>
      <c r="N7654" s="81"/>
    </row>
    <row r="7655" spans="1:14" ht="14.25" customHeight="1" x14ac:dyDescent="0.25">
      <c r="A7655" s="611" t="s">
        <v>548</v>
      </c>
      <c r="B7655" s="608"/>
      <c r="C7655" s="609"/>
      <c r="D7655" s="110"/>
      <c r="E7655" s="110"/>
      <c r="F7655" s="112">
        <f>SUM(F7648:F7654)</f>
        <v>5337415</v>
      </c>
      <c r="G7655" s="81"/>
      <c r="H7655" s="81"/>
      <c r="I7655" s="81"/>
      <c r="J7655" s="81"/>
      <c r="K7655" s="81"/>
      <c r="L7655" s="81"/>
      <c r="M7655" s="81"/>
      <c r="N7655" s="81"/>
    </row>
    <row r="7656" spans="1:14" ht="14.25" customHeight="1" x14ac:dyDescent="0.25">
      <c r="A7656" s="88"/>
      <c r="B7656" s="88"/>
      <c r="C7656" s="89"/>
      <c r="D7656" s="113"/>
      <c r="E7656" s="113"/>
      <c r="F7656" s="113"/>
      <c r="G7656" s="81"/>
      <c r="H7656" s="81"/>
      <c r="I7656" s="81"/>
      <c r="J7656" s="81"/>
      <c r="K7656" s="81"/>
      <c r="L7656" s="81"/>
      <c r="M7656" s="81"/>
      <c r="N7656" s="81"/>
    </row>
    <row r="7657" spans="1:14" ht="14.25" customHeight="1" x14ac:dyDescent="0.25">
      <c r="A7657" s="96" t="s">
        <v>578</v>
      </c>
      <c r="B7657" s="96"/>
      <c r="C7657" s="92"/>
      <c r="D7657" s="118"/>
      <c r="E7657" s="118"/>
      <c r="F7657" s="118"/>
      <c r="G7657" s="81"/>
      <c r="H7657" s="81"/>
      <c r="I7657" s="81"/>
      <c r="J7657" s="81"/>
      <c r="K7657" s="81"/>
      <c r="L7657" s="81"/>
      <c r="M7657" s="81"/>
      <c r="N7657" s="81"/>
    </row>
    <row r="7658" spans="1:14" ht="14.25" customHeight="1" x14ac:dyDescent="0.25">
      <c r="A7658" s="119" t="s">
        <v>563</v>
      </c>
      <c r="B7658" s="120" t="s">
        <v>579</v>
      </c>
      <c r="C7658" s="120" t="s">
        <v>580</v>
      </c>
      <c r="D7658" s="121" t="s">
        <v>581</v>
      </c>
      <c r="E7658" s="121" t="s">
        <v>575</v>
      </c>
      <c r="F7658" s="121" t="s">
        <v>568</v>
      </c>
      <c r="G7658" s="81"/>
      <c r="H7658" s="81"/>
      <c r="I7658" s="81"/>
      <c r="J7658" s="81"/>
      <c r="K7658" s="81"/>
      <c r="L7658" s="81"/>
      <c r="M7658" s="81"/>
      <c r="N7658" s="81"/>
    </row>
    <row r="7659" spans="1:14" ht="14.25" customHeight="1" x14ac:dyDescent="0.25">
      <c r="A7659" s="122" t="s">
        <v>593</v>
      </c>
      <c r="B7659" s="127">
        <v>1</v>
      </c>
      <c r="C7659" s="101">
        <v>32688</v>
      </c>
      <c r="D7659" s="101">
        <f t="shared" ref="D7659:D7660" si="379">+C7659*1.7</f>
        <v>55569.599999999999</v>
      </c>
      <c r="E7659" s="155">
        <v>5.8925753999999999E-3</v>
      </c>
      <c r="F7659" s="106">
        <f t="shared" ref="F7659:F7660" si="380">+B7659*(D7659)/E7659</f>
        <v>9430443.6053546295</v>
      </c>
      <c r="G7659" s="81"/>
      <c r="H7659" s="81"/>
      <c r="I7659" s="81"/>
      <c r="J7659" s="81"/>
      <c r="K7659" s="81"/>
      <c r="L7659" s="81"/>
      <c r="M7659" s="81"/>
      <c r="N7659" s="81"/>
    </row>
    <row r="7660" spans="1:14" ht="14.25" customHeight="1" x14ac:dyDescent="0.25">
      <c r="A7660" s="122" t="s">
        <v>594</v>
      </c>
      <c r="B7660" s="127">
        <v>1</v>
      </c>
      <c r="C7660" s="101">
        <v>52538</v>
      </c>
      <c r="D7660" s="101">
        <f t="shared" si="379"/>
        <v>89314.599999999991</v>
      </c>
      <c r="E7660" s="155">
        <f>E7659</f>
        <v>5.8925753999999999E-3</v>
      </c>
      <c r="F7660" s="106">
        <f t="shared" si="380"/>
        <v>15157141.646418303</v>
      </c>
      <c r="G7660" s="81"/>
      <c r="H7660" s="81"/>
      <c r="I7660" s="81"/>
      <c r="J7660" s="81"/>
      <c r="K7660" s="81"/>
      <c r="L7660" s="81"/>
      <c r="M7660" s="81"/>
      <c r="N7660" s="81"/>
    </row>
    <row r="7661" spans="1:14" ht="14.25" customHeight="1" x14ac:dyDescent="0.25">
      <c r="A7661" s="122"/>
      <c r="B7661" s="127"/>
      <c r="C7661" s="101"/>
      <c r="D7661" s="101"/>
      <c r="E7661" s="107"/>
      <c r="F7661" s="106"/>
      <c r="G7661" s="81"/>
      <c r="H7661" s="117"/>
      <c r="I7661" s="81"/>
      <c r="J7661" s="81"/>
      <c r="K7661" s="81"/>
      <c r="L7661" s="81"/>
      <c r="M7661" s="81"/>
      <c r="N7661" s="81"/>
    </row>
    <row r="7662" spans="1:14" ht="14.25" customHeight="1" x14ac:dyDescent="0.25">
      <c r="A7662" s="122"/>
      <c r="B7662" s="127"/>
      <c r="C7662" s="101"/>
      <c r="D7662" s="101"/>
      <c r="E7662" s="125"/>
      <c r="F7662" s="106"/>
      <c r="G7662" s="81"/>
      <c r="H7662" s="81"/>
      <c r="I7662" s="81"/>
      <c r="J7662" s="81"/>
      <c r="K7662" s="81"/>
      <c r="L7662" s="81"/>
      <c r="M7662" s="81"/>
      <c r="N7662" s="81"/>
    </row>
    <row r="7663" spans="1:14" ht="14.25" customHeight="1" x14ac:dyDescent="0.25">
      <c r="A7663" s="97" t="s">
        <v>548</v>
      </c>
      <c r="B7663" s="128"/>
      <c r="C7663" s="110"/>
      <c r="D7663" s="110"/>
      <c r="E7663" s="110"/>
      <c r="F7663" s="112">
        <f>SUM(F7659:F7662)</f>
        <v>24587585.251772933</v>
      </c>
      <c r="G7663" s="81"/>
      <c r="H7663" s="81"/>
      <c r="I7663" s="81"/>
      <c r="J7663" s="81"/>
      <c r="K7663" s="81"/>
      <c r="L7663" s="81"/>
      <c r="M7663" s="81"/>
      <c r="N7663" s="81"/>
    </row>
    <row r="7664" spans="1:14" ht="14.25" customHeight="1" x14ac:dyDescent="0.25">
      <c r="A7664" s="96"/>
      <c r="B7664" s="129"/>
      <c r="C7664" s="118"/>
      <c r="D7664" s="118"/>
      <c r="E7664" s="118"/>
      <c r="F7664" s="118"/>
      <c r="G7664" s="81"/>
      <c r="H7664" s="81"/>
      <c r="I7664" s="81"/>
      <c r="J7664" s="81"/>
      <c r="K7664" s="81"/>
      <c r="L7664" s="81"/>
      <c r="M7664" s="81"/>
      <c r="N7664" s="81"/>
    </row>
    <row r="7665" spans="1:14" ht="14.25" customHeight="1" x14ac:dyDescent="0.25">
      <c r="A7665" s="95" t="s">
        <v>583</v>
      </c>
      <c r="B7665" s="96"/>
      <c r="C7665" s="92"/>
      <c r="D7665" s="92"/>
      <c r="E7665" s="92" t="s">
        <v>584</v>
      </c>
      <c r="F7665" s="92"/>
      <c r="G7665" s="81"/>
      <c r="H7665" s="81"/>
      <c r="I7665" s="81"/>
      <c r="J7665" s="81"/>
      <c r="K7665" s="81"/>
      <c r="L7665" s="81"/>
      <c r="M7665" s="81"/>
      <c r="N7665" s="81"/>
    </row>
    <row r="7666" spans="1:14" ht="14.25" customHeight="1" x14ac:dyDescent="0.25">
      <c r="A7666" s="97" t="s">
        <v>563</v>
      </c>
      <c r="B7666" s="98" t="s">
        <v>564</v>
      </c>
      <c r="C7666" s="98" t="s">
        <v>585</v>
      </c>
      <c r="D7666" s="98" t="s">
        <v>586</v>
      </c>
      <c r="E7666" s="120" t="s">
        <v>587</v>
      </c>
      <c r="F7666" s="98" t="s">
        <v>568</v>
      </c>
      <c r="G7666" s="81"/>
      <c r="H7666" s="81"/>
      <c r="I7666" s="81"/>
      <c r="J7666" s="81"/>
      <c r="K7666" s="81"/>
      <c r="L7666" s="81"/>
      <c r="M7666" s="81"/>
      <c r="N7666" s="81"/>
    </row>
    <row r="7667" spans="1:14" ht="14.25" customHeight="1" x14ac:dyDescent="0.25">
      <c r="A7667" s="103" t="s">
        <v>604</v>
      </c>
      <c r="B7667" s="100" t="s">
        <v>605</v>
      </c>
      <c r="C7667" s="101">
        <v>1000</v>
      </c>
      <c r="D7667" s="140">
        <v>875</v>
      </c>
      <c r="E7667" s="107">
        <v>6</v>
      </c>
      <c r="F7667" s="109">
        <f>+C7667*D7667*E7667</f>
        <v>5250000</v>
      </c>
      <c r="G7667" s="81"/>
      <c r="H7667" s="81"/>
      <c r="I7667" s="81"/>
      <c r="J7667" s="81"/>
      <c r="K7667" s="81"/>
      <c r="L7667" s="81"/>
      <c r="M7667" s="81"/>
      <c r="N7667" s="81"/>
    </row>
    <row r="7668" spans="1:14" ht="14.25" customHeight="1" x14ac:dyDescent="0.25">
      <c r="A7668" s="103"/>
      <c r="B7668" s="100"/>
      <c r="C7668" s="107"/>
      <c r="D7668" s="107"/>
      <c r="E7668" s="108"/>
      <c r="F7668" s="109"/>
      <c r="G7668" s="81"/>
      <c r="H7668" s="81"/>
      <c r="I7668" s="81"/>
      <c r="J7668" s="81"/>
      <c r="K7668" s="81"/>
      <c r="L7668" s="81"/>
      <c r="M7668" s="81"/>
      <c r="N7668" s="81"/>
    </row>
    <row r="7669" spans="1:14" ht="14.25" customHeight="1" x14ac:dyDescent="0.25">
      <c r="A7669" s="97" t="s">
        <v>548</v>
      </c>
      <c r="B7669" s="98"/>
      <c r="C7669" s="110"/>
      <c r="D7669" s="110"/>
      <c r="E7669" s="111"/>
      <c r="F7669" s="112">
        <f>SUM(F7667:F7668)</f>
        <v>5250000</v>
      </c>
      <c r="G7669" s="81"/>
      <c r="H7669" s="81"/>
      <c r="I7669" s="81"/>
      <c r="J7669" s="81"/>
      <c r="K7669" s="81"/>
      <c r="L7669" s="81"/>
      <c r="M7669" s="81"/>
      <c r="N7669" s="81"/>
    </row>
    <row r="7670" spans="1:14" ht="14.25" customHeight="1" x14ac:dyDescent="0.25">
      <c r="A7670" s="88"/>
      <c r="B7670" s="89"/>
      <c r="C7670" s="113"/>
      <c r="D7670" s="113"/>
      <c r="E7670" s="114"/>
      <c r="F7670" s="113"/>
      <c r="G7670" s="81"/>
      <c r="H7670" s="81"/>
      <c r="I7670" s="81"/>
      <c r="J7670" s="81"/>
      <c r="K7670" s="81"/>
      <c r="L7670" s="81"/>
      <c r="M7670" s="81"/>
      <c r="N7670" s="81"/>
    </row>
    <row r="7671" spans="1:14" ht="14.25" customHeight="1" x14ac:dyDescent="0.25">
      <c r="A7671" s="88"/>
      <c r="B7671" s="89"/>
      <c r="C7671" s="113"/>
      <c r="D7671" s="113"/>
      <c r="E7671" s="114"/>
      <c r="F7671" s="113"/>
      <c r="G7671" s="81"/>
      <c r="H7671" s="81"/>
      <c r="I7671" s="81"/>
      <c r="J7671" s="81"/>
      <c r="K7671" s="81"/>
      <c r="L7671" s="81"/>
      <c r="M7671" s="81"/>
      <c r="N7671" s="81"/>
    </row>
    <row r="7672" spans="1:14" ht="14.25" customHeight="1" x14ac:dyDescent="0.25">
      <c r="A7672" s="612" t="s">
        <v>588</v>
      </c>
      <c r="B7672" s="608"/>
      <c r="C7672" s="608"/>
      <c r="D7672" s="608"/>
      <c r="E7672" s="609"/>
      <c r="F7672" s="131">
        <f>ROUND(F7644+F7655+F7663+F7669,0)</f>
        <v>35175000</v>
      </c>
      <c r="G7672" s="81"/>
      <c r="H7672" s="81"/>
      <c r="I7672" s="81"/>
      <c r="J7672" s="81"/>
      <c r="K7672" s="81"/>
      <c r="L7672" s="81"/>
      <c r="M7672" s="81"/>
      <c r="N7672" s="81"/>
    </row>
    <row r="7673" spans="1:14" ht="14.25" customHeight="1" x14ac:dyDescent="0.25">
      <c r="A7673" s="612" t="s">
        <v>589</v>
      </c>
      <c r="B7673" s="608"/>
      <c r="C7673" s="608"/>
      <c r="D7673" s="608"/>
      <c r="E7673" s="609"/>
      <c r="F7673" s="132"/>
      <c r="G7673" s="81"/>
      <c r="H7673" s="81"/>
      <c r="I7673" s="81"/>
      <c r="J7673" s="81"/>
      <c r="K7673" s="81"/>
      <c r="L7673" s="81"/>
      <c r="M7673" s="81"/>
      <c r="N7673" s="81"/>
    </row>
    <row r="7674" spans="1:14" ht="14.25" customHeight="1" x14ac:dyDescent="0.25">
      <c r="A7674" s="612" t="s">
        <v>556</v>
      </c>
      <c r="B7674" s="608"/>
      <c r="C7674" s="608"/>
      <c r="D7674" s="608"/>
      <c r="E7674" s="609"/>
      <c r="F7674" s="133"/>
      <c r="G7674" s="81"/>
      <c r="H7674" s="81"/>
      <c r="I7674" s="81"/>
      <c r="J7674" s="81"/>
      <c r="K7674" s="81"/>
      <c r="L7674" s="81"/>
      <c r="M7674" s="81"/>
      <c r="N7674" s="81"/>
    </row>
    <row r="7675" spans="1:14" ht="14.25" customHeight="1" x14ac:dyDescent="0.25">
      <c r="A7675" s="134"/>
      <c r="B7675" s="135"/>
      <c r="C7675" s="135"/>
      <c r="D7675" s="135"/>
      <c r="E7675" s="135"/>
      <c r="F7675" s="136"/>
      <c r="G7675" s="81"/>
      <c r="H7675" s="81"/>
      <c r="I7675" s="81"/>
      <c r="J7675" s="81"/>
      <c r="K7675" s="81"/>
      <c r="L7675" s="81"/>
      <c r="M7675" s="81"/>
      <c r="N7675" s="81"/>
    </row>
    <row r="7676" spans="1:14" ht="14.25" customHeight="1" x14ac:dyDescent="0.25">
      <c r="A7676" s="134"/>
      <c r="B7676" s="135"/>
      <c r="C7676" s="135"/>
      <c r="D7676" s="135"/>
      <c r="E7676" s="135"/>
      <c r="F7676" s="136"/>
      <c r="G7676" s="81"/>
      <c r="H7676" s="81"/>
      <c r="I7676" s="81"/>
      <c r="J7676" s="81"/>
      <c r="K7676" s="81"/>
      <c r="L7676" s="81"/>
      <c r="M7676" s="81"/>
      <c r="N7676" s="81"/>
    </row>
    <row r="7677" spans="1:14" ht="14.25" customHeight="1" x14ac:dyDescent="0.25">
      <c r="A7677" s="134"/>
      <c r="B7677" s="135"/>
      <c r="C7677" s="135"/>
      <c r="D7677" s="135"/>
      <c r="E7677" s="135"/>
      <c r="F7677" s="136"/>
      <c r="G7677" s="81"/>
      <c r="H7677" s="81"/>
      <c r="I7677" s="81"/>
      <c r="J7677" s="81"/>
      <c r="K7677" s="81"/>
      <c r="L7677" s="81"/>
      <c r="M7677" s="81"/>
      <c r="N7677" s="81"/>
    </row>
    <row r="7678" spans="1:14" ht="14.25" customHeight="1" x14ac:dyDescent="0.25">
      <c r="A7678" s="134"/>
      <c r="B7678" s="135"/>
      <c r="C7678" s="135"/>
      <c r="D7678" s="135"/>
      <c r="E7678" s="135"/>
      <c r="F7678" s="136"/>
      <c r="G7678" s="81"/>
      <c r="H7678" s="81"/>
      <c r="I7678" s="81"/>
      <c r="J7678" s="81"/>
      <c r="K7678" s="81"/>
      <c r="L7678" s="81"/>
      <c r="M7678" s="81"/>
      <c r="N7678" s="81"/>
    </row>
    <row r="7679" spans="1:14" ht="14.25" customHeight="1" x14ac:dyDescent="0.25">
      <c r="A7679" s="134"/>
      <c r="B7679" s="135"/>
      <c r="C7679" s="135"/>
      <c r="D7679" s="135"/>
      <c r="E7679" s="135"/>
      <c r="F7679" s="136"/>
      <c r="G7679" s="81"/>
      <c r="H7679" s="81"/>
      <c r="I7679" s="81"/>
      <c r="J7679" s="81"/>
      <c r="K7679" s="81"/>
      <c r="L7679" s="81"/>
      <c r="M7679" s="81"/>
      <c r="N7679" s="81"/>
    </row>
    <row r="7680" spans="1:14" ht="14.25" customHeight="1" x14ac:dyDescent="0.25">
      <c r="A7680" s="81"/>
      <c r="B7680" s="81"/>
      <c r="C7680" s="137"/>
      <c r="D7680" s="81"/>
      <c r="E7680" s="81"/>
      <c r="F7680" s="81"/>
      <c r="G7680" s="81"/>
      <c r="H7680" s="81"/>
      <c r="I7680" s="81"/>
      <c r="J7680" s="81"/>
      <c r="K7680" s="81"/>
      <c r="L7680" s="81"/>
      <c r="M7680" s="81"/>
      <c r="N7680" s="81"/>
    </row>
    <row r="7681" spans="1:14" ht="14.25" customHeight="1" x14ac:dyDescent="0.25">
      <c r="A7681" s="81"/>
      <c r="B7681" s="81"/>
      <c r="C7681" s="137"/>
      <c r="D7681" s="81"/>
      <c r="E7681" s="81"/>
      <c r="F7681" s="81"/>
      <c r="G7681" s="81"/>
      <c r="H7681" s="81"/>
      <c r="I7681" s="81"/>
      <c r="J7681" s="81"/>
      <c r="K7681" s="81"/>
      <c r="L7681" s="81"/>
      <c r="M7681" s="81"/>
      <c r="N7681" s="81"/>
    </row>
    <row r="7682" spans="1:14" ht="14.25" customHeight="1" x14ac:dyDescent="0.25">
      <c r="A7682" s="81"/>
      <c r="B7682" s="81"/>
      <c r="C7682" s="137"/>
      <c r="D7682" s="81"/>
      <c r="E7682" s="81"/>
      <c r="F7682" s="81"/>
      <c r="G7682" s="81"/>
      <c r="H7682" s="81"/>
      <c r="I7682" s="81"/>
      <c r="J7682" s="81"/>
      <c r="K7682" s="81"/>
      <c r="L7682" s="81"/>
      <c r="M7682" s="81"/>
      <c r="N7682" s="81"/>
    </row>
    <row r="7683" spans="1:14" ht="14.25" customHeight="1" x14ac:dyDescent="0.25">
      <c r="A7683" s="81"/>
      <c r="B7683" s="81"/>
      <c r="C7683" s="137"/>
      <c r="D7683" s="81"/>
      <c r="E7683" s="81"/>
      <c r="F7683" s="81"/>
      <c r="G7683" s="81"/>
      <c r="H7683" s="81"/>
      <c r="I7683" s="81"/>
      <c r="J7683" s="81"/>
      <c r="K7683" s="81"/>
      <c r="L7683" s="81"/>
      <c r="M7683" s="81"/>
      <c r="N7683" s="81"/>
    </row>
    <row r="7684" spans="1:14" ht="14.25" customHeight="1" thickBot="1" x14ac:dyDescent="0.3">
      <c r="A7684" s="81"/>
      <c r="B7684" s="81"/>
      <c r="C7684" s="81"/>
      <c r="D7684" s="81"/>
      <c r="E7684" s="81"/>
      <c r="F7684" s="81"/>
      <c r="G7684" s="81"/>
      <c r="H7684" s="81"/>
      <c r="I7684" s="81"/>
      <c r="J7684" s="81"/>
      <c r="K7684" s="81"/>
      <c r="L7684" s="81"/>
      <c r="M7684" s="81"/>
      <c r="N7684" s="81"/>
    </row>
    <row r="7685" spans="1:14" ht="14.25" customHeight="1" x14ac:dyDescent="0.25">
      <c r="A7685" s="83"/>
      <c r="B7685" s="84"/>
      <c r="C7685" s="85"/>
      <c r="D7685" s="86"/>
      <c r="E7685" s="86"/>
      <c r="F7685" s="87"/>
      <c r="G7685" s="81"/>
      <c r="H7685" s="81"/>
      <c r="I7685" s="81"/>
      <c r="J7685" s="81"/>
      <c r="K7685" s="81"/>
      <c r="L7685" s="81"/>
      <c r="M7685" s="81"/>
      <c r="N7685" s="81"/>
    </row>
    <row r="7686" spans="1:14" ht="14.25" customHeight="1" x14ac:dyDescent="0.25">
      <c r="A7686" s="599"/>
      <c r="B7686" s="600"/>
      <c r="C7686" s="600"/>
      <c r="D7686" s="600"/>
      <c r="E7686" s="600"/>
      <c r="F7686" s="601"/>
      <c r="G7686" s="81"/>
      <c r="H7686" s="81"/>
      <c r="I7686" s="81"/>
      <c r="J7686" s="81"/>
      <c r="K7686" s="81"/>
      <c r="L7686" s="81"/>
      <c r="M7686" s="81"/>
      <c r="N7686" s="81"/>
    </row>
    <row r="7687" spans="1:14" ht="14.25" customHeight="1" x14ac:dyDescent="0.25">
      <c r="A7687" s="602" t="s">
        <v>561</v>
      </c>
      <c r="B7687" s="600"/>
      <c r="C7687" s="600"/>
      <c r="D7687" s="600"/>
      <c r="E7687" s="600"/>
      <c r="F7687" s="601"/>
      <c r="G7687" s="81"/>
      <c r="H7687" s="81"/>
      <c r="I7687" s="81"/>
      <c r="J7687" s="81"/>
      <c r="K7687" s="81"/>
      <c r="L7687" s="81"/>
      <c r="M7687" s="81"/>
      <c r="N7687" s="81"/>
    </row>
    <row r="7688" spans="1:14" ht="14.25" customHeight="1" thickBot="1" x14ac:dyDescent="0.3">
      <c r="A7688" s="603"/>
      <c r="B7688" s="604"/>
      <c r="C7688" s="604"/>
      <c r="D7688" s="604"/>
      <c r="E7688" s="604"/>
      <c r="F7688" s="605"/>
      <c r="G7688" s="81"/>
      <c r="H7688" s="81"/>
      <c r="I7688" s="81"/>
      <c r="J7688" s="81"/>
      <c r="K7688" s="81"/>
      <c r="L7688" s="81"/>
      <c r="M7688" s="81"/>
      <c r="N7688" s="81"/>
    </row>
    <row r="7689" spans="1:14" ht="14.25" customHeight="1" x14ac:dyDescent="0.25">
      <c r="A7689" s="88"/>
      <c r="B7689" s="88"/>
      <c r="C7689" s="89"/>
      <c r="D7689" s="89"/>
      <c r="E7689" s="89"/>
      <c r="F7689" s="89"/>
      <c r="G7689" s="81"/>
      <c r="H7689" s="81"/>
      <c r="I7689" s="81"/>
      <c r="J7689" s="81"/>
      <c r="K7689" s="81"/>
      <c r="L7689" s="81"/>
      <c r="M7689" s="81"/>
      <c r="N7689" s="81"/>
    </row>
    <row r="7690" spans="1:14" ht="14.25" customHeight="1" x14ac:dyDescent="0.25">
      <c r="A7690" s="90" t="s">
        <v>47</v>
      </c>
      <c r="B7690" s="613" t="s">
        <v>364</v>
      </c>
      <c r="C7690" s="600"/>
      <c r="D7690" s="600"/>
      <c r="E7690" s="600"/>
      <c r="F7690" s="600"/>
      <c r="G7690" s="81"/>
      <c r="H7690" s="81"/>
      <c r="I7690" s="81"/>
      <c r="J7690" s="81"/>
      <c r="K7690" s="81"/>
      <c r="L7690" s="81"/>
      <c r="M7690" s="81"/>
      <c r="N7690" s="81"/>
    </row>
    <row r="7691" spans="1:14" ht="14.25" customHeight="1" x14ac:dyDescent="0.25">
      <c r="A7691" s="91"/>
      <c r="B7691" s="91"/>
      <c r="C7691" s="91"/>
      <c r="D7691" s="91"/>
      <c r="E7691" s="91"/>
      <c r="F7691" s="91"/>
      <c r="G7691" s="81"/>
      <c r="H7691" s="81"/>
      <c r="I7691" s="81"/>
      <c r="J7691" s="81"/>
      <c r="K7691" s="81"/>
      <c r="L7691" s="81"/>
      <c r="M7691" s="81"/>
      <c r="N7691" s="81"/>
    </row>
    <row r="7692" spans="1:14" ht="14.25" customHeight="1" x14ac:dyDescent="0.25">
      <c r="A7692" s="88" t="s">
        <v>49</v>
      </c>
      <c r="B7692" s="92" t="s">
        <v>99</v>
      </c>
      <c r="C7692" s="89"/>
      <c r="D7692" s="89"/>
      <c r="E7692" s="89"/>
      <c r="F7692" s="93"/>
      <c r="G7692" s="81"/>
      <c r="H7692" s="81"/>
      <c r="I7692" s="81"/>
      <c r="J7692" s="81"/>
      <c r="K7692" s="81"/>
      <c r="L7692" s="81"/>
      <c r="M7692" s="81"/>
      <c r="N7692" s="81"/>
    </row>
    <row r="7693" spans="1:14" ht="14.25" customHeight="1" x14ac:dyDescent="0.25">
      <c r="A7693" s="88"/>
      <c r="B7693" s="94"/>
      <c r="C7693" s="89"/>
      <c r="D7693" s="89"/>
      <c r="E7693" s="89"/>
      <c r="F7693" s="93"/>
      <c r="G7693" s="81"/>
      <c r="H7693" s="81"/>
      <c r="I7693" s="81"/>
      <c r="J7693" s="81"/>
      <c r="K7693" s="81"/>
      <c r="L7693" s="81"/>
      <c r="M7693" s="81"/>
      <c r="N7693" s="81"/>
    </row>
    <row r="7694" spans="1:14" ht="14.25" customHeight="1" x14ac:dyDescent="0.25">
      <c r="A7694" s="95" t="s">
        <v>562</v>
      </c>
      <c r="B7694" s="96"/>
      <c r="C7694" s="92"/>
      <c r="D7694" s="92"/>
      <c r="E7694" s="92"/>
      <c r="F7694" s="92"/>
      <c r="G7694" s="81"/>
      <c r="H7694" s="81"/>
      <c r="I7694" s="81"/>
      <c r="J7694" s="81"/>
      <c r="K7694" s="81"/>
      <c r="L7694" s="81"/>
      <c r="M7694" s="81"/>
      <c r="N7694" s="81"/>
    </row>
    <row r="7695" spans="1:14" ht="14.25" customHeight="1" x14ac:dyDescent="0.25">
      <c r="A7695" s="97" t="s">
        <v>563</v>
      </c>
      <c r="B7695" s="98" t="s">
        <v>564</v>
      </c>
      <c r="C7695" s="98" t="s">
        <v>565</v>
      </c>
      <c r="D7695" s="98" t="s">
        <v>566</v>
      </c>
      <c r="E7695" s="98" t="s">
        <v>567</v>
      </c>
      <c r="F7695" s="98" t="s">
        <v>568</v>
      </c>
      <c r="G7695" s="81"/>
      <c r="H7695" s="81"/>
      <c r="I7695" s="81"/>
      <c r="J7695" s="81"/>
      <c r="K7695" s="81"/>
      <c r="L7695" s="81"/>
      <c r="M7695" s="81"/>
      <c r="N7695" s="81"/>
    </row>
    <row r="7696" spans="1:14" ht="14.25" customHeight="1" x14ac:dyDescent="0.25">
      <c r="A7696" s="99" t="s">
        <v>807</v>
      </c>
      <c r="B7696" s="100" t="s">
        <v>99</v>
      </c>
      <c r="C7696" s="101">
        <v>34000000</v>
      </c>
      <c r="D7696" s="149">
        <v>1</v>
      </c>
      <c r="E7696" s="102"/>
      <c r="F7696" s="101">
        <f t="shared" ref="F7696:F7700" si="381">C7696*(D7696+(D7696*E7696))</f>
        <v>34000000</v>
      </c>
      <c r="G7696" s="81"/>
      <c r="H7696" s="81"/>
      <c r="I7696" s="81"/>
      <c r="J7696" s="81"/>
      <c r="K7696" s="81"/>
      <c r="L7696" s="81"/>
      <c r="M7696" s="81"/>
      <c r="N7696" s="81"/>
    </row>
    <row r="7697" spans="1:14" ht="14.25" customHeight="1" x14ac:dyDescent="0.25">
      <c r="A7697" s="99" t="s">
        <v>808</v>
      </c>
      <c r="B7697" s="100" t="s">
        <v>99</v>
      </c>
      <c r="C7697" s="101">
        <v>20500000</v>
      </c>
      <c r="D7697" s="149">
        <v>1</v>
      </c>
      <c r="E7697" s="102"/>
      <c r="F7697" s="101">
        <f t="shared" si="381"/>
        <v>20500000</v>
      </c>
      <c r="G7697" s="81"/>
      <c r="H7697" s="81"/>
      <c r="I7697" s="81"/>
      <c r="J7697" s="81"/>
      <c r="K7697" s="81"/>
      <c r="L7697" s="81"/>
      <c r="M7697" s="81"/>
      <c r="N7697" s="81"/>
    </row>
    <row r="7698" spans="1:14" ht="14.25" customHeight="1" x14ac:dyDescent="0.25">
      <c r="A7698" s="103" t="s">
        <v>809</v>
      </c>
      <c r="B7698" s="100" t="s">
        <v>99</v>
      </c>
      <c r="C7698" s="101">
        <v>18370250</v>
      </c>
      <c r="D7698" s="105">
        <v>1</v>
      </c>
      <c r="E7698" s="102"/>
      <c r="F7698" s="101">
        <f t="shared" si="381"/>
        <v>18370250</v>
      </c>
      <c r="G7698" s="81"/>
      <c r="H7698" s="81"/>
      <c r="I7698" s="81"/>
      <c r="J7698" s="81"/>
      <c r="K7698" s="81"/>
      <c r="L7698" s="81"/>
      <c r="M7698" s="81"/>
      <c r="N7698" s="81"/>
    </row>
    <row r="7699" spans="1:14" ht="14.25" customHeight="1" x14ac:dyDescent="0.25">
      <c r="A7699" s="99" t="s">
        <v>810</v>
      </c>
      <c r="B7699" s="100" t="s">
        <v>99</v>
      </c>
      <c r="C7699" s="101">
        <v>17890620</v>
      </c>
      <c r="D7699" s="105">
        <v>1</v>
      </c>
      <c r="E7699" s="102"/>
      <c r="F7699" s="101">
        <f t="shared" si="381"/>
        <v>17890620</v>
      </c>
      <c r="G7699" s="81"/>
      <c r="H7699" s="81"/>
      <c r="I7699" s="81"/>
      <c r="J7699" s="81"/>
      <c r="K7699" s="81"/>
      <c r="L7699" s="81"/>
      <c r="M7699" s="81"/>
      <c r="N7699" s="81"/>
    </row>
    <row r="7700" spans="1:14" ht="14.25" customHeight="1" x14ac:dyDescent="0.25">
      <c r="A7700" s="99" t="s">
        <v>811</v>
      </c>
      <c r="B7700" s="100" t="s">
        <v>99</v>
      </c>
      <c r="C7700" s="101">
        <v>13270400</v>
      </c>
      <c r="D7700" s="149">
        <v>1</v>
      </c>
      <c r="E7700" s="102"/>
      <c r="F7700" s="101">
        <f t="shared" si="381"/>
        <v>13270400</v>
      </c>
      <c r="G7700" s="81"/>
      <c r="H7700" s="81"/>
      <c r="I7700" s="81"/>
      <c r="J7700" s="81"/>
      <c r="K7700" s="81"/>
      <c r="L7700" s="81"/>
      <c r="M7700" s="81"/>
      <c r="N7700" s="81"/>
    </row>
    <row r="7701" spans="1:14" ht="14.25" customHeight="1" x14ac:dyDescent="0.25">
      <c r="A7701" s="99"/>
      <c r="B7701" s="100"/>
      <c r="C7701" s="106"/>
      <c r="D7701" s="107"/>
      <c r="E7701" s="108"/>
      <c r="F7701" s="106"/>
      <c r="G7701" s="81"/>
      <c r="H7701" s="81"/>
      <c r="I7701" s="81"/>
      <c r="J7701" s="81"/>
      <c r="K7701" s="81"/>
      <c r="L7701" s="81"/>
      <c r="M7701" s="81"/>
      <c r="N7701" s="81"/>
    </row>
    <row r="7702" spans="1:14" ht="14.25" customHeight="1" x14ac:dyDescent="0.25">
      <c r="A7702" s="97" t="s">
        <v>548</v>
      </c>
      <c r="B7702" s="97"/>
      <c r="C7702" s="109"/>
      <c r="D7702" s="110"/>
      <c r="E7702" s="111"/>
      <c r="F7702" s="112">
        <f>SUM(F7696:F7701)</f>
        <v>104031270</v>
      </c>
      <c r="G7702" s="81"/>
      <c r="H7702" s="81"/>
      <c r="I7702" s="81"/>
      <c r="J7702" s="81"/>
      <c r="K7702" s="81"/>
      <c r="L7702" s="81"/>
      <c r="M7702" s="81"/>
      <c r="N7702" s="81"/>
    </row>
    <row r="7703" spans="1:14" ht="15.75" x14ac:dyDescent="0.25">
      <c r="A7703" s="88"/>
      <c r="B7703" s="88"/>
      <c r="C7703" s="113"/>
      <c r="D7703" s="113"/>
      <c r="E7703" s="114"/>
      <c r="F7703" s="113"/>
      <c r="G7703" s="81"/>
      <c r="H7703" s="81"/>
      <c r="I7703" s="81"/>
      <c r="J7703" s="81"/>
      <c r="K7703" s="81"/>
      <c r="L7703" s="81"/>
      <c r="M7703" s="81"/>
      <c r="N7703" s="81"/>
    </row>
    <row r="7704" spans="1:14" ht="14.25" customHeight="1" x14ac:dyDescent="0.25">
      <c r="A7704" s="96" t="s">
        <v>573</v>
      </c>
      <c r="B7704" s="96"/>
      <c r="C7704" s="92"/>
      <c r="D7704" s="92"/>
      <c r="E7704" s="92"/>
      <c r="F7704" s="92"/>
      <c r="G7704" s="81"/>
      <c r="H7704" s="81"/>
      <c r="I7704" s="81"/>
      <c r="J7704" s="81"/>
      <c r="K7704" s="81"/>
      <c r="L7704" s="81"/>
      <c r="M7704" s="81"/>
      <c r="N7704" s="81"/>
    </row>
    <row r="7705" spans="1:14" ht="14.25" customHeight="1" x14ac:dyDescent="0.25">
      <c r="A7705" s="611" t="s">
        <v>563</v>
      </c>
      <c r="B7705" s="608"/>
      <c r="C7705" s="609"/>
      <c r="D7705" s="98" t="s">
        <v>574</v>
      </c>
      <c r="E7705" s="98" t="s">
        <v>575</v>
      </c>
      <c r="F7705" s="98" t="s">
        <v>568</v>
      </c>
      <c r="G7705" s="81"/>
      <c r="H7705" s="81"/>
      <c r="I7705" s="81"/>
      <c r="J7705" s="81"/>
      <c r="K7705" s="81"/>
      <c r="L7705" s="81"/>
      <c r="M7705" s="81"/>
      <c r="N7705" s="81"/>
    </row>
    <row r="7706" spans="1:14" ht="14.25" customHeight="1" x14ac:dyDescent="0.25">
      <c r="A7706" s="607" t="s">
        <v>577</v>
      </c>
      <c r="B7706" s="608"/>
      <c r="C7706" s="609"/>
      <c r="D7706" s="116"/>
      <c r="E7706" s="107"/>
      <c r="F7706" s="106">
        <v>293749.05</v>
      </c>
      <c r="G7706" s="81"/>
      <c r="H7706" s="81"/>
      <c r="I7706" s="81"/>
      <c r="J7706" s="81"/>
      <c r="K7706" s="81"/>
      <c r="L7706" s="81"/>
      <c r="M7706" s="81"/>
      <c r="N7706" s="81"/>
    </row>
    <row r="7707" spans="1:14" ht="14.25" customHeight="1" x14ac:dyDescent="0.25">
      <c r="A7707" s="607" t="s">
        <v>610</v>
      </c>
      <c r="B7707" s="608"/>
      <c r="C7707" s="609"/>
      <c r="D7707" s="142">
        <v>85000</v>
      </c>
      <c r="E7707" s="105">
        <v>0.05</v>
      </c>
      <c r="F7707" s="106">
        <f t="shared" ref="F7707" si="382">D7707/E7707</f>
        <v>1700000</v>
      </c>
      <c r="G7707" s="81"/>
      <c r="H7707" s="81"/>
      <c r="I7707" s="81"/>
      <c r="J7707" s="81"/>
      <c r="K7707" s="81"/>
      <c r="L7707" s="81"/>
      <c r="M7707" s="81"/>
      <c r="N7707" s="81"/>
    </row>
    <row r="7708" spans="1:14" ht="14.25" customHeight="1" x14ac:dyDescent="0.25">
      <c r="A7708" s="607"/>
      <c r="B7708" s="608"/>
      <c r="C7708" s="609"/>
      <c r="D7708" s="142"/>
      <c r="E7708" s="105"/>
      <c r="F7708" s="106"/>
      <c r="G7708" s="81"/>
      <c r="H7708" s="81"/>
      <c r="I7708" s="81"/>
      <c r="J7708" s="81"/>
      <c r="K7708" s="81"/>
      <c r="L7708" s="81"/>
      <c r="M7708" s="81"/>
      <c r="N7708" s="81"/>
    </row>
    <row r="7709" spans="1:14" ht="14.25" customHeight="1" x14ac:dyDescent="0.25">
      <c r="A7709" s="607"/>
      <c r="B7709" s="608"/>
      <c r="C7709" s="609"/>
      <c r="D7709" s="142"/>
      <c r="E7709" s="105"/>
      <c r="F7709" s="106"/>
      <c r="G7709" s="81"/>
      <c r="H7709" s="81"/>
      <c r="I7709" s="81"/>
      <c r="J7709" s="81"/>
      <c r="K7709" s="81"/>
      <c r="L7709" s="81"/>
      <c r="M7709" s="81"/>
      <c r="N7709" s="81"/>
    </row>
    <row r="7710" spans="1:14" ht="14.25" customHeight="1" x14ac:dyDescent="0.25">
      <c r="A7710" s="607"/>
      <c r="B7710" s="608"/>
      <c r="C7710" s="609"/>
      <c r="D7710" s="142"/>
      <c r="E7710" s="107"/>
      <c r="F7710" s="106"/>
      <c r="G7710" s="81"/>
      <c r="H7710" s="81"/>
      <c r="I7710" s="81"/>
      <c r="J7710" s="81"/>
      <c r="K7710" s="81"/>
      <c r="L7710" s="81"/>
      <c r="M7710" s="81"/>
      <c r="N7710" s="81"/>
    </row>
    <row r="7711" spans="1:14" ht="14.25" customHeight="1" x14ac:dyDescent="0.25">
      <c r="A7711" s="607"/>
      <c r="B7711" s="608"/>
      <c r="C7711" s="609"/>
      <c r="D7711" s="142"/>
      <c r="E7711" s="105"/>
      <c r="F7711" s="106"/>
      <c r="G7711" s="81"/>
      <c r="H7711" s="81"/>
      <c r="I7711" s="81"/>
      <c r="J7711" s="81"/>
      <c r="K7711" s="81"/>
      <c r="L7711" s="81"/>
      <c r="M7711" s="81"/>
      <c r="N7711" s="81"/>
    </row>
    <row r="7712" spans="1:14" ht="14.25" customHeight="1" x14ac:dyDescent="0.25">
      <c r="A7712" s="610"/>
      <c r="B7712" s="608"/>
      <c r="C7712" s="609"/>
      <c r="D7712" s="115"/>
      <c r="E7712" s="107"/>
      <c r="F7712" s="106"/>
      <c r="G7712" s="81"/>
      <c r="H7712" s="81"/>
      <c r="I7712" s="81"/>
      <c r="J7712" s="81"/>
      <c r="K7712" s="81"/>
      <c r="L7712" s="81"/>
      <c r="M7712" s="81"/>
      <c r="N7712" s="81"/>
    </row>
    <row r="7713" spans="1:14" ht="14.25" customHeight="1" x14ac:dyDescent="0.25">
      <c r="A7713" s="611" t="s">
        <v>548</v>
      </c>
      <c r="B7713" s="608"/>
      <c r="C7713" s="609"/>
      <c r="D7713" s="110"/>
      <c r="E7713" s="110"/>
      <c r="F7713" s="112">
        <f>SUM(F7706:F7712)</f>
        <v>1993749.05</v>
      </c>
      <c r="G7713" s="81"/>
      <c r="H7713" s="81"/>
      <c r="I7713" s="81"/>
      <c r="J7713" s="81"/>
      <c r="K7713" s="81"/>
      <c r="L7713" s="81"/>
      <c r="M7713" s="81"/>
      <c r="N7713" s="81"/>
    </row>
    <row r="7714" spans="1:14" ht="14.25" customHeight="1" x14ac:dyDescent="0.25">
      <c r="A7714" s="88"/>
      <c r="B7714" s="88"/>
      <c r="C7714" s="89"/>
      <c r="D7714" s="113"/>
      <c r="E7714" s="113"/>
      <c r="F7714" s="113"/>
      <c r="G7714" s="81"/>
      <c r="H7714" s="81"/>
      <c r="I7714" s="81"/>
      <c r="J7714" s="81"/>
      <c r="K7714" s="81"/>
      <c r="L7714" s="81"/>
      <c r="M7714" s="81"/>
      <c r="N7714" s="81"/>
    </row>
    <row r="7715" spans="1:14" ht="14.25" customHeight="1" x14ac:dyDescent="0.25">
      <c r="A7715" s="96" t="s">
        <v>578</v>
      </c>
      <c r="B7715" s="96"/>
      <c r="C7715" s="92"/>
      <c r="D7715" s="118"/>
      <c r="E7715" s="118"/>
      <c r="F7715" s="118"/>
      <c r="G7715" s="81"/>
      <c r="H7715" s="81"/>
      <c r="I7715" s="81"/>
      <c r="J7715" s="81"/>
      <c r="K7715" s="81"/>
      <c r="L7715" s="81"/>
      <c r="M7715" s="81"/>
      <c r="N7715" s="81"/>
    </row>
    <row r="7716" spans="1:14" ht="14.25" customHeight="1" x14ac:dyDescent="0.25">
      <c r="A7716" s="119" t="s">
        <v>563</v>
      </c>
      <c r="B7716" s="120" t="s">
        <v>579</v>
      </c>
      <c r="C7716" s="120" t="s">
        <v>580</v>
      </c>
      <c r="D7716" s="121" t="s">
        <v>581</v>
      </c>
      <c r="E7716" s="121" t="s">
        <v>575</v>
      </c>
      <c r="F7716" s="121" t="s">
        <v>568</v>
      </c>
      <c r="G7716" s="81"/>
      <c r="H7716" s="81"/>
      <c r="I7716" s="81"/>
      <c r="J7716" s="81"/>
      <c r="K7716" s="81"/>
      <c r="L7716" s="81"/>
      <c r="M7716" s="81"/>
      <c r="N7716" s="81"/>
    </row>
    <row r="7717" spans="1:14" ht="14.25" customHeight="1" x14ac:dyDescent="0.25">
      <c r="A7717" s="122" t="s">
        <v>593</v>
      </c>
      <c r="B7717" s="127">
        <v>1</v>
      </c>
      <c r="C7717" s="101">
        <v>32688</v>
      </c>
      <c r="D7717" s="101">
        <f t="shared" ref="D7717:D7718" si="383">+C7717*1.7</f>
        <v>55569.599999999999</v>
      </c>
      <c r="E7717" s="155">
        <v>3.6334612999999998E-3</v>
      </c>
      <c r="F7717" s="106">
        <f t="shared" ref="F7717:F7718" si="384">+B7717*(D7717)/E7717</f>
        <v>15293846.669015024</v>
      </c>
      <c r="G7717" s="81"/>
      <c r="H7717" s="117"/>
      <c r="I7717" s="81"/>
      <c r="J7717" s="81"/>
      <c r="K7717" s="81"/>
      <c r="L7717" s="81"/>
      <c r="M7717" s="81"/>
      <c r="N7717" s="81"/>
    </row>
    <row r="7718" spans="1:14" ht="14.25" customHeight="1" x14ac:dyDescent="0.25">
      <c r="A7718" s="122" t="s">
        <v>594</v>
      </c>
      <c r="B7718" s="127">
        <v>1</v>
      </c>
      <c r="C7718" s="101">
        <v>52538</v>
      </c>
      <c r="D7718" s="101">
        <f t="shared" si="383"/>
        <v>89314.599999999991</v>
      </c>
      <c r="E7718" s="155">
        <f>E7717</f>
        <v>3.6334612999999998E-3</v>
      </c>
      <c r="F7718" s="106">
        <f t="shared" si="384"/>
        <v>24581134.247941487</v>
      </c>
      <c r="G7718" s="81"/>
      <c r="H7718" s="81"/>
      <c r="I7718" s="81"/>
      <c r="J7718" s="81"/>
      <c r="K7718" s="81"/>
      <c r="L7718" s="81"/>
      <c r="M7718" s="81"/>
      <c r="N7718" s="81"/>
    </row>
    <row r="7719" spans="1:14" ht="14.25" customHeight="1" x14ac:dyDescent="0.25">
      <c r="A7719" s="122"/>
      <c r="B7719" s="127"/>
      <c r="C7719" s="101"/>
      <c r="D7719" s="101"/>
      <c r="E7719" s="107"/>
      <c r="F7719" s="106"/>
      <c r="G7719" s="81"/>
      <c r="H7719" s="81"/>
      <c r="I7719" s="81"/>
      <c r="J7719" s="81"/>
      <c r="K7719" s="81"/>
      <c r="L7719" s="81"/>
      <c r="M7719" s="81"/>
      <c r="N7719" s="81"/>
    </row>
    <row r="7720" spans="1:14" ht="14.25" customHeight="1" x14ac:dyDescent="0.25">
      <c r="A7720" s="122"/>
      <c r="B7720" s="127"/>
      <c r="C7720" s="101"/>
      <c r="D7720" s="101"/>
      <c r="E7720" s="125"/>
      <c r="F7720" s="106"/>
      <c r="G7720" s="81"/>
      <c r="H7720" s="81"/>
      <c r="I7720" s="81"/>
      <c r="J7720" s="81"/>
      <c r="K7720" s="81"/>
      <c r="L7720" s="81"/>
      <c r="M7720" s="81"/>
      <c r="N7720" s="81"/>
    </row>
    <row r="7721" spans="1:14" ht="14.25" customHeight="1" x14ac:dyDescent="0.25">
      <c r="A7721" s="97" t="s">
        <v>548</v>
      </c>
      <c r="B7721" s="128"/>
      <c r="C7721" s="110"/>
      <c r="D7721" s="110"/>
      <c r="E7721" s="110"/>
      <c r="F7721" s="112">
        <f>SUM(F7717:F7720)</f>
        <v>39874980.916956514</v>
      </c>
      <c r="G7721" s="81"/>
      <c r="H7721" s="81"/>
      <c r="I7721" s="81"/>
      <c r="J7721" s="81"/>
      <c r="K7721" s="81"/>
      <c r="L7721" s="81"/>
      <c r="M7721" s="81"/>
      <c r="N7721" s="81"/>
    </row>
    <row r="7722" spans="1:14" ht="14.25" customHeight="1" x14ac:dyDescent="0.25">
      <c r="A7722" s="96"/>
      <c r="B7722" s="129"/>
      <c r="C7722" s="118"/>
      <c r="D7722" s="118"/>
      <c r="E7722" s="118"/>
      <c r="F7722" s="118"/>
      <c r="G7722" s="81"/>
      <c r="H7722" s="81"/>
      <c r="I7722" s="81"/>
      <c r="J7722" s="81"/>
      <c r="K7722" s="81"/>
      <c r="L7722" s="81"/>
      <c r="M7722" s="81"/>
      <c r="N7722" s="81"/>
    </row>
    <row r="7723" spans="1:14" ht="14.25" customHeight="1" x14ac:dyDescent="0.25">
      <c r="A7723" s="95" t="s">
        <v>583</v>
      </c>
      <c r="B7723" s="96"/>
      <c r="C7723" s="92"/>
      <c r="D7723" s="92"/>
      <c r="E7723" s="92" t="s">
        <v>584</v>
      </c>
      <c r="F7723" s="92"/>
      <c r="G7723" s="81"/>
      <c r="H7723" s="81"/>
      <c r="I7723" s="81"/>
      <c r="J7723" s="81"/>
      <c r="K7723" s="81"/>
      <c r="L7723" s="81"/>
      <c r="M7723" s="81"/>
      <c r="N7723" s="81"/>
    </row>
    <row r="7724" spans="1:14" ht="14.25" customHeight="1" x14ac:dyDescent="0.25">
      <c r="A7724" s="97" t="s">
        <v>563</v>
      </c>
      <c r="B7724" s="98" t="s">
        <v>564</v>
      </c>
      <c r="C7724" s="98" t="s">
        <v>585</v>
      </c>
      <c r="D7724" s="98" t="s">
        <v>586</v>
      </c>
      <c r="E7724" s="120" t="s">
        <v>587</v>
      </c>
      <c r="F7724" s="98" t="s">
        <v>568</v>
      </c>
      <c r="G7724" s="81"/>
      <c r="H7724" s="81"/>
      <c r="I7724" s="81"/>
      <c r="J7724" s="81"/>
      <c r="K7724" s="81"/>
      <c r="L7724" s="81"/>
      <c r="M7724" s="81"/>
      <c r="N7724" s="81"/>
    </row>
    <row r="7725" spans="1:14" ht="14.25" customHeight="1" x14ac:dyDescent="0.25">
      <c r="A7725" s="103" t="s">
        <v>604</v>
      </c>
      <c r="B7725" s="100" t="s">
        <v>605</v>
      </c>
      <c r="C7725" s="101">
        <v>1000</v>
      </c>
      <c r="D7725" s="140">
        <v>1640</v>
      </c>
      <c r="E7725" s="107">
        <v>12.5</v>
      </c>
      <c r="F7725" s="109">
        <f>+C7725*D7725*E7725</f>
        <v>20500000</v>
      </c>
      <c r="G7725" s="81"/>
      <c r="H7725" s="81"/>
      <c r="I7725" s="81"/>
      <c r="J7725" s="81"/>
      <c r="K7725" s="81"/>
      <c r="L7725" s="81"/>
      <c r="M7725" s="81"/>
      <c r="N7725" s="81"/>
    </row>
    <row r="7726" spans="1:14" ht="14.25" customHeight="1" x14ac:dyDescent="0.25">
      <c r="A7726" s="103"/>
      <c r="B7726" s="100"/>
      <c r="C7726" s="107"/>
      <c r="D7726" s="107"/>
      <c r="E7726" s="108"/>
      <c r="F7726" s="109"/>
      <c r="G7726" s="81"/>
      <c r="H7726" s="81"/>
      <c r="I7726" s="81"/>
      <c r="J7726" s="81"/>
      <c r="K7726" s="81"/>
      <c r="L7726" s="81"/>
      <c r="M7726" s="81"/>
      <c r="N7726" s="81"/>
    </row>
    <row r="7727" spans="1:14" ht="14.25" customHeight="1" x14ac:dyDescent="0.25">
      <c r="A7727" s="97" t="s">
        <v>548</v>
      </c>
      <c r="B7727" s="98"/>
      <c r="C7727" s="110"/>
      <c r="D7727" s="110"/>
      <c r="E7727" s="111"/>
      <c r="F7727" s="112">
        <f>SUM(F7725:F7726)</f>
        <v>20500000</v>
      </c>
      <c r="G7727" s="81"/>
      <c r="H7727" s="81"/>
      <c r="I7727" s="81"/>
      <c r="J7727" s="81"/>
      <c r="K7727" s="81"/>
      <c r="L7727" s="81"/>
      <c r="M7727" s="81"/>
      <c r="N7727" s="81"/>
    </row>
    <row r="7728" spans="1:14" ht="14.25" customHeight="1" x14ac:dyDescent="0.25">
      <c r="A7728" s="88"/>
      <c r="B7728" s="89"/>
      <c r="C7728" s="113"/>
      <c r="D7728" s="113"/>
      <c r="E7728" s="114"/>
      <c r="F7728" s="113"/>
      <c r="G7728" s="81"/>
      <c r="H7728" s="81"/>
      <c r="I7728" s="81"/>
      <c r="J7728" s="81"/>
      <c r="K7728" s="81"/>
      <c r="L7728" s="81"/>
      <c r="M7728" s="81"/>
      <c r="N7728" s="81"/>
    </row>
    <row r="7729" spans="1:14" ht="14.25" customHeight="1" x14ac:dyDescent="0.25">
      <c r="A7729" s="88"/>
      <c r="B7729" s="89"/>
      <c r="C7729" s="113"/>
      <c r="D7729" s="113"/>
      <c r="E7729" s="114"/>
      <c r="F7729" s="113"/>
      <c r="G7729" s="81"/>
      <c r="H7729" s="81"/>
      <c r="I7729" s="81"/>
      <c r="J7729" s="81"/>
      <c r="K7729" s="81"/>
      <c r="L7729" s="81"/>
      <c r="M7729" s="81"/>
      <c r="N7729" s="81"/>
    </row>
    <row r="7730" spans="1:14" ht="14.25" customHeight="1" x14ac:dyDescent="0.25">
      <c r="A7730" s="612" t="s">
        <v>588</v>
      </c>
      <c r="B7730" s="608"/>
      <c r="C7730" s="608"/>
      <c r="D7730" s="608"/>
      <c r="E7730" s="609"/>
      <c r="F7730" s="131">
        <f>ROUND(F7702+F7713+F7721+F7727,0)</f>
        <v>166400000</v>
      </c>
      <c r="G7730" s="81"/>
      <c r="H7730" s="81"/>
      <c r="I7730" s="81"/>
      <c r="J7730" s="81"/>
      <c r="K7730" s="81"/>
      <c r="L7730" s="81"/>
      <c r="M7730" s="81"/>
      <c r="N7730" s="81"/>
    </row>
    <row r="7731" spans="1:14" ht="14.25" customHeight="1" x14ac:dyDescent="0.25">
      <c r="A7731" s="612" t="s">
        <v>589</v>
      </c>
      <c r="B7731" s="608"/>
      <c r="C7731" s="608"/>
      <c r="D7731" s="608"/>
      <c r="E7731" s="609"/>
      <c r="F7731" s="132"/>
      <c r="G7731" s="81"/>
      <c r="H7731" s="81"/>
      <c r="I7731" s="81"/>
      <c r="J7731" s="81"/>
      <c r="K7731" s="81"/>
      <c r="L7731" s="81"/>
      <c r="M7731" s="81"/>
      <c r="N7731" s="81"/>
    </row>
    <row r="7732" spans="1:14" ht="14.25" customHeight="1" x14ac:dyDescent="0.25">
      <c r="A7732" s="612" t="s">
        <v>556</v>
      </c>
      <c r="B7732" s="608"/>
      <c r="C7732" s="608"/>
      <c r="D7732" s="608"/>
      <c r="E7732" s="609"/>
      <c r="F7732" s="133"/>
      <c r="G7732" s="81"/>
      <c r="H7732" s="81"/>
      <c r="I7732" s="81"/>
      <c r="J7732" s="81"/>
      <c r="K7732" s="81"/>
      <c r="L7732" s="81"/>
      <c r="M7732" s="81"/>
      <c r="N7732" s="81"/>
    </row>
    <row r="7733" spans="1:14" ht="14.25" customHeight="1" x14ac:dyDescent="0.25">
      <c r="A7733" s="134"/>
      <c r="B7733" s="135"/>
      <c r="C7733" s="135"/>
      <c r="D7733" s="135"/>
      <c r="E7733" s="135"/>
      <c r="F7733" s="136"/>
      <c r="G7733" s="81"/>
      <c r="H7733" s="81"/>
      <c r="I7733" s="81"/>
      <c r="J7733" s="81"/>
      <c r="K7733" s="81"/>
      <c r="L7733" s="81"/>
      <c r="M7733" s="81"/>
      <c r="N7733" s="81"/>
    </row>
    <row r="7734" spans="1:14" ht="14.25" customHeight="1" x14ac:dyDescent="0.25">
      <c r="A7734" s="134"/>
      <c r="B7734" s="135"/>
      <c r="C7734" s="135"/>
      <c r="D7734" s="135"/>
      <c r="E7734" s="135"/>
      <c r="F7734" s="136"/>
      <c r="G7734" s="81"/>
      <c r="H7734" s="81"/>
      <c r="I7734" s="81"/>
      <c r="J7734" s="81"/>
      <c r="K7734" s="81"/>
      <c r="L7734" s="81"/>
      <c r="M7734" s="81"/>
      <c r="N7734" s="81"/>
    </row>
    <row r="7735" spans="1:14" ht="14.25" customHeight="1" x14ac:dyDescent="0.25">
      <c r="A7735" s="134"/>
      <c r="B7735" s="135"/>
      <c r="C7735" s="135"/>
      <c r="D7735" s="135"/>
      <c r="E7735" s="135"/>
      <c r="F7735" s="136"/>
      <c r="G7735" s="81"/>
      <c r="H7735" s="81"/>
      <c r="I7735" s="81"/>
      <c r="J7735" s="81"/>
      <c r="K7735" s="81"/>
      <c r="L7735" s="81"/>
      <c r="M7735" s="81"/>
      <c r="N7735" s="81"/>
    </row>
    <row r="7736" spans="1:14" ht="14.25" customHeight="1" x14ac:dyDescent="0.25">
      <c r="A7736" s="134"/>
      <c r="B7736" s="135"/>
      <c r="C7736" s="135"/>
      <c r="D7736" s="135"/>
      <c r="E7736" s="135"/>
      <c r="F7736" s="136"/>
      <c r="G7736" s="81"/>
      <c r="H7736" s="81"/>
      <c r="I7736" s="81"/>
      <c r="J7736" s="81"/>
      <c r="K7736" s="81"/>
      <c r="L7736" s="81"/>
      <c r="M7736" s="81"/>
      <c r="N7736" s="81"/>
    </row>
    <row r="7737" spans="1:14" ht="14.25" customHeight="1" x14ac:dyDescent="0.25">
      <c r="A7737" s="81"/>
      <c r="B7737" s="81"/>
      <c r="C7737" s="137"/>
      <c r="D7737" s="81"/>
      <c r="E7737" s="81"/>
      <c r="F7737" s="81"/>
      <c r="G7737" s="81"/>
      <c r="H7737" s="81"/>
      <c r="I7737" s="81"/>
      <c r="J7737" s="81"/>
      <c r="K7737" s="81"/>
      <c r="L7737" s="81"/>
      <c r="M7737" s="81"/>
      <c r="N7737" s="81"/>
    </row>
    <row r="7738" spans="1:14" ht="14.25" customHeight="1" x14ac:dyDescent="0.25">
      <c r="A7738" s="81"/>
      <c r="B7738" s="81"/>
      <c r="C7738" s="137"/>
      <c r="D7738" s="81"/>
      <c r="E7738" s="81"/>
      <c r="F7738" s="81"/>
      <c r="G7738" s="81"/>
      <c r="H7738" s="81"/>
      <c r="I7738" s="81"/>
      <c r="J7738" s="81"/>
      <c r="K7738" s="81"/>
      <c r="L7738" s="81"/>
      <c r="M7738" s="81"/>
      <c r="N7738" s="81"/>
    </row>
    <row r="7739" spans="1:14" ht="14.25" customHeight="1" x14ac:dyDescent="0.25">
      <c r="A7739" s="81"/>
      <c r="B7739" s="81"/>
      <c r="C7739" s="137"/>
      <c r="D7739" s="81"/>
      <c r="E7739" s="81"/>
      <c r="F7739" s="81"/>
      <c r="G7739" s="81"/>
      <c r="H7739" s="81"/>
      <c r="I7739" s="81"/>
      <c r="J7739" s="81"/>
      <c r="K7739" s="81"/>
      <c r="L7739" s="81"/>
      <c r="M7739" s="81"/>
      <c r="N7739" s="81"/>
    </row>
    <row r="7740" spans="1:14" ht="14.25" customHeight="1" x14ac:dyDescent="0.25">
      <c r="A7740" s="81"/>
      <c r="B7740" s="81"/>
      <c r="C7740" s="137"/>
      <c r="D7740" s="81"/>
      <c r="E7740" s="81"/>
      <c r="F7740" s="81"/>
      <c r="G7740" s="81"/>
      <c r="H7740" s="81"/>
      <c r="I7740" s="81"/>
      <c r="J7740" s="81"/>
      <c r="K7740" s="81"/>
      <c r="L7740" s="81"/>
      <c r="M7740" s="81"/>
      <c r="N7740" s="81"/>
    </row>
    <row r="7741" spans="1:14" ht="14.25" customHeight="1" thickBot="1" x14ac:dyDescent="0.3">
      <c r="A7741" s="81"/>
      <c r="B7741" s="81"/>
      <c r="C7741" s="81"/>
      <c r="D7741" s="81"/>
      <c r="E7741" s="81"/>
      <c r="F7741" s="81"/>
      <c r="G7741" s="81"/>
      <c r="H7741" s="81"/>
      <c r="I7741" s="81"/>
      <c r="J7741" s="81"/>
      <c r="K7741" s="81"/>
      <c r="L7741" s="81"/>
      <c r="M7741" s="81"/>
      <c r="N7741" s="81"/>
    </row>
    <row r="7742" spans="1:14" ht="14.25" customHeight="1" x14ac:dyDescent="0.25">
      <c r="A7742" s="83"/>
      <c r="B7742" s="84"/>
      <c r="C7742" s="85"/>
      <c r="D7742" s="86"/>
      <c r="E7742" s="86"/>
      <c r="F7742" s="87"/>
      <c r="G7742" s="81"/>
      <c r="H7742" s="81"/>
      <c r="I7742" s="81"/>
      <c r="J7742" s="81"/>
      <c r="K7742" s="81"/>
      <c r="L7742" s="81"/>
      <c r="M7742" s="81"/>
      <c r="N7742" s="81"/>
    </row>
    <row r="7743" spans="1:14" ht="14.25" customHeight="1" x14ac:dyDescent="0.25">
      <c r="A7743" s="599"/>
      <c r="B7743" s="600"/>
      <c r="C7743" s="600"/>
      <c r="D7743" s="600"/>
      <c r="E7743" s="600"/>
      <c r="F7743" s="601"/>
      <c r="G7743" s="81"/>
      <c r="H7743" s="81"/>
      <c r="I7743" s="81"/>
      <c r="J7743" s="81"/>
      <c r="K7743" s="81"/>
      <c r="L7743" s="81"/>
      <c r="M7743" s="81"/>
      <c r="N7743" s="81"/>
    </row>
    <row r="7744" spans="1:14" ht="14.25" customHeight="1" x14ac:dyDescent="0.25">
      <c r="A7744" s="602" t="s">
        <v>561</v>
      </c>
      <c r="B7744" s="600"/>
      <c r="C7744" s="600"/>
      <c r="D7744" s="600"/>
      <c r="E7744" s="600"/>
      <c r="F7744" s="601"/>
      <c r="G7744" s="81"/>
      <c r="H7744" s="81"/>
      <c r="I7744" s="81"/>
      <c r="J7744" s="81"/>
      <c r="K7744" s="81"/>
      <c r="L7744" s="81"/>
      <c r="M7744" s="81"/>
      <c r="N7744" s="81"/>
    </row>
    <row r="7745" spans="1:14" ht="14.25" customHeight="1" thickBot="1" x14ac:dyDescent="0.3">
      <c r="A7745" s="603"/>
      <c r="B7745" s="604"/>
      <c r="C7745" s="604"/>
      <c r="D7745" s="604"/>
      <c r="E7745" s="604"/>
      <c r="F7745" s="605"/>
      <c r="G7745" s="81"/>
      <c r="H7745" s="81"/>
      <c r="I7745" s="81"/>
      <c r="J7745" s="81"/>
      <c r="K7745" s="81"/>
      <c r="L7745" s="81"/>
      <c r="M7745" s="81"/>
      <c r="N7745" s="81"/>
    </row>
    <row r="7746" spans="1:14" ht="14.25" customHeight="1" x14ac:dyDescent="0.25">
      <c r="A7746" s="88"/>
      <c r="B7746" s="88"/>
      <c r="C7746" s="89"/>
      <c r="D7746" s="89"/>
      <c r="E7746" s="89"/>
      <c r="F7746" s="89"/>
      <c r="G7746" s="81"/>
      <c r="H7746" s="81"/>
      <c r="I7746" s="81"/>
      <c r="J7746" s="81"/>
      <c r="K7746" s="81"/>
      <c r="L7746" s="81"/>
      <c r="M7746" s="81"/>
      <c r="N7746" s="81"/>
    </row>
    <row r="7747" spans="1:14" ht="14.25" customHeight="1" x14ac:dyDescent="0.25">
      <c r="A7747" s="90" t="s">
        <v>47</v>
      </c>
      <c r="B7747" s="613" t="s">
        <v>368</v>
      </c>
      <c r="C7747" s="600"/>
      <c r="D7747" s="600"/>
      <c r="E7747" s="600"/>
      <c r="F7747" s="600"/>
      <c r="G7747" s="81"/>
      <c r="H7747" s="81"/>
      <c r="I7747" s="81"/>
      <c r="J7747" s="81"/>
      <c r="K7747" s="81"/>
      <c r="L7747" s="81"/>
      <c r="M7747" s="81"/>
      <c r="N7747" s="81"/>
    </row>
    <row r="7748" spans="1:14" ht="14.25" customHeight="1" x14ac:dyDescent="0.25">
      <c r="A7748" s="91"/>
      <c r="B7748" s="91"/>
      <c r="C7748" s="91"/>
      <c r="D7748" s="91"/>
      <c r="E7748" s="91"/>
      <c r="F7748" s="91"/>
      <c r="G7748" s="81"/>
      <c r="H7748" s="81"/>
      <c r="I7748" s="81"/>
      <c r="J7748" s="81"/>
      <c r="K7748" s="81"/>
      <c r="L7748" s="81"/>
      <c r="M7748" s="81"/>
      <c r="N7748" s="81"/>
    </row>
    <row r="7749" spans="1:14" ht="14.25" customHeight="1" x14ac:dyDescent="0.25">
      <c r="A7749" s="88" t="s">
        <v>49</v>
      </c>
      <c r="B7749" s="92" t="s">
        <v>56</v>
      </c>
      <c r="C7749" s="89"/>
      <c r="D7749" s="89"/>
      <c r="E7749" s="89"/>
      <c r="F7749" s="93"/>
      <c r="G7749" s="81"/>
      <c r="H7749" s="81"/>
      <c r="I7749" s="81"/>
      <c r="J7749" s="81"/>
      <c r="K7749" s="81"/>
      <c r="L7749" s="81"/>
      <c r="M7749" s="81"/>
      <c r="N7749" s="81"/>
    </row>
    <row r="7750" spans="1:14" ht="14.25" customHeight="1" x14ac:dyDescent="0.25">
      <c r="A7750" s="88"/>
      <c r="B7750" s="94"/>
      <c r="C7750" s="89"/>
      <c r="D7750" s="89"/>
      <c r="E7750" s="89"/>
      <c r="F7750" s="93"/>
      <c r="G7750" s="81"/>
      <c r="H7750" s="81"/>
      <c r="I7750" s="81"/>
      <c r="J7750" s="81"/>
      <c r="K7750" s="81"/>
      <c r="L7750" s="81"/>
      <c r="M7750" s="81"/>
      <c r="N7750" s="81"/>
    </row>
    <row r="7751" spans="1:14" ht="14.25" customHeight="1" x14ac:dyDescent="0.25">
      <c r="A7751" s="95" t="s">
        <v>562</v>
      </c>
      <c r="B7751" s="96"/>
      <c r="C7751" s="92"/>
      <c r="D7751" s="92"/>
      <c r="E7751" s="92"/>
      <c r="F7751" s="92"/>
      <c r="G7751" s="81"/>
      <c r="H7751" s="81"/>
      <c r="I7751" s="81"/>
      <c r="J7751" s="81"/>
      <c r="K7751" s="81"/>
      <c r="L7751" s="81"/>
      <c r="M7751" s="81"/>
      <c r="N7751" s="81"/>
    </row>
    <row r="7752" spans="1:14" ht="14.25" customHeight="1" x14ac:dyDescent="0.25">
      <c r="A7752" s="97" t="s">
        <v>563</v>
      </c>
      <c r="B7752" s="98" t="s">
        <v>564</v>
      </c>
      <c r="C7752" s="98" t="s">
        <v>565</v>
      </c>
      <c r="D7752" s="98" t="s">
        <v>566</v>
      </c>
      <c r="E7752" s="98" t="s">
        <v>567</v>
      </c>
      <c r="F7752" s="98" t="s">
        <v>568</v>
      </c>
      <c r="G7752" s="81"/>
      <c r="H7752" s="81"/>
      <c r="I7752" s="81"/>
      <c r="J7752" s="81"/>
      <c r="K7752" s="81"/>
      <c r="L7752" s="81"/>
      <c r="M7752" s="81"/>
      <c r="N7752" s="81"/>
    </row>
    <row r="7753" spans="1:14" ht="14.25" customHeight="1" x14ac:dyDescent="0.25">
      <c r="A7753" s="99" t="s">
        <v>812</v>
      </c>
      <c r="B7753" s="100" t="s">
        <v>651</v>
      </c>
      <c r="C7753" s="101">
        <v>53650</v>
      </c>
      <c r="D7753" s="149">
        <v>0.3</v>
      </c>
      <c r="E7753" s="102">
        <v>0.05</v>
      </c>
      <c r="F7753" s="101">
        <f t="shared" ref="F7753:F7756" si="385">C7753*(D7753+(D7753*E7753))</f>
        <v>16899.75</v>
      </c>
      <c r="G7753" s="81"/>
      <c r="H7753" s="81"/>
      <c r="I7753" s="81"/>
      <c r="J7753" s="81"/>
      <c r="K7753" s="81"/>
      <c r="L7753" s="81"/>
      <c r="M7753" s="81"/>
      <c r="N7753" s="81"/>
    </row>
    <row r="7754" spans="1:14" ht="14.25" customHeight="1" x14ac:dyDescent="0.25">
      <c r="A7754" s="99" t="s">
        <v>653</v>
      </c>
      <c r="B7754" s="100" t="s">
        <v>99</v>
      </c>
      <c r="C7754" s="101">
        <v>1200</v>
      </c>
      <c r="D7754" s="104">
        <v>3</v>
      </c>
      <c r="E7754" s="102">
        <v>0.05</v>
      </c>
      <c r="F7754" s="101">
        <f t="shared" si="385"/>
        <v>3780</v>
      </c>
      <c r="G7754" s="81"/>
      <c r="H7754" s="81"/>
      <c r="I7754" s="81"/>
      <c r="J7754" s="81"/>
      <c r="K7754" s="81"/>
      <c r="L7754" s="81"/>
      <c r="M7754" s="81"/>
      <c r="N7754" s="81"/>
    </row>
    <row r="7755" spans="1:14" ht="14.25" customHeight="1" x14ac:dyDescent="0.25">
      <c r="A7755" s="99"/>
      <c r="B7755" s="100"/>
      <c r="C7755" s="101"/>
      <c r="D7755" s="104"/>
      <c r="E7755" s="102"/>
      <c r="F7755" s="101">
        <f t="shared" si="385"/>
        <v>0</v>
      </c>
      <c r="G7755" s="81"/>
      <c r="H7755" s="81"/>
      <c r="I7755" s="81"/>
      <c r="J7755" s="81"/>
      <c r="K7755" s="81"/>
      <c r="L7755" s="81"/>
      <c r="M7755" s="81"/>
      <c r="N7755" s="81"/>
    </row>
    <row r="7756" spans="1:14" ht="14.25" customHeight="1" x14ac:dyDescent="0.25">
      <c r="A7756" s="99"/>
      <c r="B7756" s="100"/>
      <c r="C7756" s="101"/>
      <c r="D7756" s="104"/>
      <c r="E7756" s="102"/>
      <c r="F7756" s="101">
        <f t="shared" si="385"/>
        <v>0</v>
      </c>
      <c r="G7756" s="81"/>
      <c r="H7756" s="81"/>
      <c r="I7756" s="81"/>
      <c r="J7756" s="81"/>
      <c r="K7756" s="81"/>
      <c r="L7756" s="81"/>
      <c r="M7756" s="81"/>
      <c r="N7756" s="81"/>
    </row>
    <row r="7757" spans="1:14" ht="14.25" customHeight="1" x14ac:dyDescent="0.25">
      <c r="A7757" s="99"/>
      <c r="B7757" s="100"/>
      <c r="C7757" s="106"/>
      <c r="D7757" s="107"/>
      <c r="E7757" s="108"/>
      <c r="F7757" s="106"/>
      <c r="G7757" s="81"/>
      <c r="H7757" s="81"/>
      <c r="I7757" s="81"/>
      <c r="J7757" s="81"/>
      <c r="K7757" s="81"/>
      <c r="L7757" s="81"/>
      <c r="M7757" s="81"/>
      <c r="N7757" s="81"/>
    </row>
    <row r="7758" spans="1:14" ht="14.25" customHeight="1" x14ac:dyDescent="0.25">
      <c r="A7758" s="97" t="s">
        <v>548</v>
      </c>
      <c r="B7758" s="97"/>
      <c r="C7758" s="109"/>
      <c r="D7758" s="110"/>
      <c r="E7758" s="111"/>
      <c r="F7758" s="112">
        <f>SUM(F7753:F7757)</f>
        <v>20679.75</v>
      </c>
      <c r="G7758" s="81"/>
      <c r="H7758" s="81"/>
      <c r="I7758" s="81"/>
      <c r="J7758" s="81"/>
      <c r="K7758" s="81"/>
      <c r="L7758" s="81"/>
      <c r="M7758" s="81"/>
      <c r="N7758" s="81"/>
    </row>
    <row r="7759" spans="1:14" ht="15.75" x14ac:dyDescent="0.25">
      <c r="A7759" s="88"/>
      <c r="B7759" s="88"/>
      <c r="C7759" s="113"/>
      <c r="D7759" s="113"/>
      <c r="E7759" s="114"/>
      <c r="F7759" s="113"/>
      <c r="G7759" s="81"/>
      <c r="H7759" s="81"/>
      <c r="I7759" s="81"/>
      <c r="J7759" s="81"/>
      <c r="K7759" s="81"/>
      <c r="L7759" s="81"/>
      <c r="M7759" s="81"/>
      <c r="N7759" s="81"/>
    </row>
    <row r="7760" spans="1:14" ht="14.25" customHeight="1" x14ac:dyDescent="0.25">
      <c r="A7760" s="96" t="s">
        <v>573</v>
      </c>
      <c r="B7760" s="96"/>
      <c r="C7760" s="92"/>
      <c r="D7760" s="92"/>
      <c r="E7760" s="92"/>
      <c r="F7760" s="92"/>
      <c r="G7760" s="81"/>
      <c r="H7760" s="81"/>
      <c r="I7760" s="81"/>
      <c r="J7760" s="81"/>
      <c r="K7760" s="81"/>
      <c r="L7760" s="81"/>
      <c r="M7760" s="81"/>
      <c r="N7760" s="81"/>
    </row>
    <row r="7761" spans="1:14" ht="14.25" customHeight="1" x14ac:dyDescent="0.25">
      <c r="A7761" s="611" t="s">
        <v>563</v>
      </c>
      <c r="B7761" s="608"/>
      <c r="C7761" s="609"/>
      <c r="D7761" s="98" t="s">
        <v>574</v>
      </c>
      <c r="E7761" s="98" t="s">
        <v>575</v>
      </c>
      <c r="F7761" s="98" t="s">
        <v>568</v>
      </c>
      <c r="G7761" s="81"/>
      <c r="H7761" s="81"/>
      <c r="I7761" s="81"/>
      <c r="J7761" s="81"/>
      <c r="K7761" s="81"/>
      <c r="L7761" s="81"/>
      <c r="M7761" s="81"/>
      <c r="N7761" s="81"/>
    </row>
    <row r="7762" spans="1:14" ht="14.25" customHeight="1" x14ac:dyDescent="0.25">
      <c r="A7762" s="607" t="s">
        <v>577</v>
      </c>
      <c r="B7762" s="608"/>
      <c r="C7762" s="609"/>
      <c r="D7762" s="116"/>
      <c r="E7762" s="107"/>
      <c r="F7762" s="106">
        <f>+F7777*5%</f>
        <v>723.33599600599098</v>
      </c>
      <c r="G7762" s="81"/>
      <c r="H7762" s="81"/>
      <c r="I7762" s="81"/>
      <c r="J7762" s="81"/>
      <c r="K7762" s="81"/>
      <c r="L7762" s="81"/>
      <c r="M7762" s="81"/>
      <c r="N7762" s="81"/>
    </row>
    <row r="7763" spans="1:14" ht="14.25" customHeight="1" x14ac:dyDescent="0.25">
      <c r="A7763" s="607"/>
      <c r="B7763" s="608"/>
      <c r="C7763" s="609"/>
      <c r="D7763" s="142"/>
      <c r="E7763" s="105"/>
      <c r="F7763" s="106"/>
      <c r="G7763" s="81"/>
      <c r="H7763" s="81"/>
      <c r="I7763" s="81"/>
      <c r="J7763" s="81"/>
      <c r="K7763" s="81"/>
      <c r="L7763" s="81"/>
      <c r="M7763" s="81"/>
      <c r="N7763" s="81"/>
    </row>
    <row r="7764" spans="1:14" ht="14.25" customHeight="1" x14ac:dyDescent="0.25">
      <c r="A7764" s="607"/>
      <c r="B7764" s="608"/>
      <c r="C7764" s="609"/>
      <c r="D7764" s="142"/>
      <c r="E7764" s="105"/>
      <c r="F7764" s="106"/>
      <c r="G7764" s="81"/>
      <c r="H7764" s="81"/>
      <c r="I7764" s="81"/>
      <c r="J7764" s="81"/>
      <c r="K7764" s="81"/>
      <c r="L7764" s="81"/>
      <c r="M7764" s="81"/>
      <c r="N7764" s="81"/>
    </row>
    <row r="7765" spans="1:14" ht="14.25" customHeight="1" x14ac:dyDescent="0.25">
      <c r="A7765" s="607"/>
      <c r="B7765" s="608"/>
      <c r="C7765" s="609"/>
      <c r="D7765" s="142"/>
      <c r="E7765" s="107"/>
      <c r="F7765" s="106"/>
      <c r="G7765" s="81"/>
      <c r="H7765" s="81"/>
      <c r="I7765" s="81"/>
      <c r="J7765" s="81"/>
      <c r="K7765" s="81"/>
      <c r="L7765" s="81"/>
      <c r="M7765" s="81"/>
      <c r="N7765" s="81"/>
    </row>
    <row r="7766" spans="1:14" ht="14.25" customHeight="1" x14ac:dyDescent="0.25">
      <c r="A7766" s="607"/>
      <c r="B7766" s="608"/>
      <c r="C7766" s="609"/>
      <c r="D7766" s="142"/>
      <c r="E7766" s="107"/>
      <c r="F7766" s="106"/>
      <c r="G7766" s="81"/>
      <c r="H7766" s="81"/>
      <c r="I7766" s="81"/>
      <c r="J7766" s="81"/>
      <c r="K7766" s="81"/>
      <c r="L7766" s="81"/>
      <c r="M7766" s="81"/>
      <c r="N7766" s="81"/>
    </row>
    <row r="7767" spans="1:14" ht="14.25" customHeight="1" x14ac:dyDescent="0.25">
      <c r="A7767" s="607"/>
      <c r="B7767" s="608"/>
      <c r="C7767" s="609"/>
      <c r="D7767" s="142"/>
      <c r="E7767" s="105"/>
      <c r="F7767" s="106"/>
      <c r="G7767" s="81"/>
      <c r="H7767" s="81"/>
      <c r="I7767" s="81"/>
      <c r="J7767" s="81"/>
      <c r="K7767" s="81"/>
      <c r="L7767" s="81"/>
      <c r="M7767" s="81"/>
      <c r="N7767" s="81"/>
    </row>
    <row r="7768" spans="1:14" ht="14.25" customHeight="1" x14ac:dyDescent="0.25">
      <c r="A7768" s="610"/>
      <c r="B7768" s="608"/>
      <c r="C7768" s="609"/>
      <c r="D7768" s="115"/>
      <c r="E7768" s="107"/>
      <c r="F7768" s="106"/>
      <c r="G7768" s="81"/>
      <c r="H7768" s="81"/>
      <c r="I7768" s="81"/>
      <c r="J7768" s="81"/>
      <c r="K7768" s="81"/>
      <c r="L7768" s="81"/>
      <c r="M7768" s="81"/>
      <c r="N7768" s="81"/>
    </row>
    <row r="7769" spans="1:14" ht="14.25" customHeight="1" x14ac:dyDescent="0.25">
      <c r="A7769" s="611" t="s">
        <v>548</v>
      </c>
      <c r="B7769" s="608"/>
      <c r="C7769" s="609"/>
      <c r="D7769" s="110"/>
      <c r="E7769" s="110"/>
      <c r="F7769" s="112">
        <f>SUM(F7762:F7768)</f>
        <v>723.33599600599098</v>
      </c>
      <c r="G7769" s="81"/>
      <c r="H7769" s="81"/>
      <c r="I7769" s="81"/>
      <c r="J7769" s="81"/>
      <c r="K7769" s="81"/>
      <c r="L7769" s="81"/>
      <c r="M7769" s="81"/>
      <c r="N7769" s="81"/>
    </row>
    <row r="7770" spans="1:14" ht="14.25" customHeight="1" x14ac:dyDescent="0.25">
      <c r="A7770" s="88"/>
      <c r="B7770" s="88"/>
      <c r="C7770" s="89"/>
      <c r="D7770" s="113"/>
      <c r="E7770" s="113"/>
      <c r="F7770" s="113"/>
      <c r="G7770" s="81"/>
      <c r="H7770" s="81"/>
      <c r="I7770" s="81"/>
      <c r="J7770" s="81"/>
      <c r="K7770" s="81"/>
      <c r="L7770" s="81"/>
      <c r="M7770" s="81"/>
      <c r="N7770" s="81"/>
    </row>
    <row r="7771" spans="1:14" ht="14.25" customHeight="1" x14ac:dyDescent="0.25">
      <c r="A7771" s="96" t="s">
        <v>578</v>
      </c>
      <c r="B7771" s="96"/>
      <c r="C7771" s="92"/>
      <c r="D7771" s="118"/>
      <c r="E7771" s="118"/>
      <c r="F7771" s="118"/>
      <c r="G7771" s="81"/>
      <c r="H7771" s="81"/>
      <c r="I7771" s="81"/>
      <c r="J7771" s="81"/>
      <c r="K7771" s="81"/>
      <c r="L7771" s="81"/>
      <c r="M7771" s="81"/>
      <c r="N7771" s="81"/>
    </row>
    <row r="7772" spans="1:14" ht="14.25" customHeight="1" x14ac:dyDescent="0.25">
      <c r="A7772" s="119" t="s">
        <v>563</v>
      </c>
      <c r="B7772" s="120" t="s">
        <v>579</v>
      </c>
      <c r="C7772" s="120" t="s">
        <v>580</v>
      </c>
      <c r="D7772" s="121" t="s">
        <v>581</v>
      </c>
      <c r="E7772" s="121" t="s">
        <v>575</v>
      </c>
      <c r="F7772" s="121" t="s">
        <v>568</v>
      </c>
      <c r="G7772" s="81"/>
      <c r="H7772" s="81"/>
      <c r="I7772" s="81"/>
      <c r="J7772" s="81"/>
      <c r="K7772" s="81"/>
      <c r="L7772" s="81"/>
      <c r="M7772" s="81"/>
      <c r="N7772" s="81"/>
    </row>
    <row r="7773" spans="1:14" ht="14.25" customHeight="1" x14ac:dyDescent="0.25">
      <c r="A7773" s="122" t="s">
        <v>593</v>
      </c>
      <c r="B7773" s="127">
        <v>1</v>
      </c>
      <c r="C7773" s="101">
        <v>32688</v>
      </c>
      <c r="D7773" s="101">
        <f t="shared" ref="D7773:D7774" si="386">+C7773*1.7</f>
        <v>55569.599999999999</v>
      </c>
      <c r="E7773" s="107">
        <v>10.015000000000001</v>
      </c>
      <c r="F7773" s="106">
        <f t="shared" ref="F7773:F7774" si="387">+B7773*(D7773)/E7773</f>
        <v>5548.6370444333497</v>
      </c>
      <c r="G7773" s="81"/>
      <c r="H7773" s="117"/>
      <c r="I7773" s="81"/>
      <c r="J7773" s="81"/>
      <c r="K7773" s="81"/>
      <c r="L7773" s="81"/>
      <c r="M7773" s="81"/>
      <c r="N7773" s="81"/>
    </row>
    <row r="7774" spans="1:14" ht="14.25" customHeight="1" x14ac:dyDescent="0.25">
      <c r="A7774" s="122" t="s">
        <v>594</v>
      </c>
      <c r="B7774" s="127">
        <v>1</v>
      </c>
      <c r="C7774" s="101">
        <v>52538</v>
      </c>
      <c r="D7774" s="101">
        <f t="shared" si="386"/>
        <v>89314.599999999991</v>
      </c>
      <c r="E7774" s="107">
        <f>E7773</f>
        <v>10.015000000000001</v>
      </c>
      <c r="F7774" s="106">
        <f t="shared" si="387"/>
        <v>8918.0828756864685</v>
      </c>
      <c r="G7774" s="81"/>
      <c r="H7774" s="81"/>
      <c r="I7774" s="81"/>
      <c r="J7774" s="81"/>
      <c r="K7774" s="81"/>
      <c r="L7774" s="81"/>
      <c r="M7774" s="81"/>
      <c r="N7774" s="81"/>
    </row>
    <row r="7775" spans="1:14" ht="14.25" customHeight="1" x14ac:dyDescent="0.25">
      <c r="A7775" s="122"/>
      <c r="B7775" s="127"/>
      <c r="C7775" s="101"/>
      <c r="D7775" s="101"/>
      <c r="E7775" s="107"/>
      <c r="F7775" s="106"/>
      <c r="G7775" s="81"/>
      <c r="H7775" s="81"/>
      <c r="I7775" s="81"/>
      <c r="J7775" s="81"/>
      <c r="K7775" s="81"/>
      <c r="L7775" s="81"/>
      <c r="M7775" s="81"/>
      <c r="N7775" s="81"/>
    </row>
    <row r="7776" spans="1:14" ht="14.25" customHeight="1" x14ac:dyDescent="0.25">
      <c r="A7776" s="122"/>
      <c r="B7776" s="127"/>
      <c r="C7776" s="101"/>
      <c r="D7776" s="101"/>
      <c r="E7776" s="125"/>
      <c r="F7776" s="106"/>
      <c r="G7776" s="81"/>
      <c r="H7776" s="81"/>
      <c r="I7776" s="81"/>
      <c r="J7776" s="81"/>
      <c r="K7776" s="81"/>
      <c r="L7776" s="81"/>
      <c r="M7776" s="81"/>
      <c r="N7776" s="81"/>
    </row>
    <row r="7777" spans="1:14" ht="14.25" customHeight="1" x14ac:dyDescent="0.25">
      <c r="A7777" s="97" t="s">
        <v>548</v>
      </c>
      <c r="B7777" s="128"/>
      <c r="C7777" s="110"/>
      <c r="D7777" s="110"/>
      <c r="E7777" s="110"/>
      <c r="F7777" s="112">
        <f>SUM(F7773:F7776)</f>
        <v>14466.719920119818</v>
      </c>
      <c r="G7777" s="81"/>
      <c r="H7777" s="81"/>
      <c r="I7777" s="81"/>
      <c r="J7777" s="81"/>
      <c r="K7777" s="81"/>
      <c r="L7777" s="81"/>
      <c r="M7777" s="81"/>
      <c r="N7777" s="81"/>
    </row>
    <row r="7778" spans="1:14" ht="14.25" customHeight="1" x14ac:dyDescent="0.25">
      <c r="A7778" s="96"/>
      <c r="B7778" s="129"/>
      <c r="C7778" s="118"/>
      <c r="D7778" s="118"/>
      <c r="E7778" s="118"/>
      <c r="F7778" s="118"/>
      <c r="G7778" s="81"/>
      <c r="H7778" s="81"/>
      <c r="I7778" s="81"/>
      <c r="J7778" s="81"/>
      <c r="K7778" s="81"/>
      <c r="L7778" s="81"/>
      <c r="M7778" s="81"/>
      <c r="N7778" s="81"/>
    </row>
    <row r="7779" spans="1:14" ht="14.25" customHeight="1" x14ac:dyDescent="0.25">
      <c r="A7779" s="95" t="s">
        <v>583</v>
      </c>
      <c r="B7779" s="96"/>
      <c r="C7779" s="92"/>
      <c r="D7779" s="92"/>
      <c r="E7779" s="92" t="s">
        <v>584</v>
      </c>
      <c r="F7779" s="92"/>
      <c r="G7779" s="81"/>
      <c r="H7779" s="81"/>
      <c r="I7779" s="81"/>
      <c r="J7779" s="81"/>
      <c r="K7779" s="81"/>
      <c r="L7779" s="81"/>
      <c r="M7779" s="81"/>
      <c r="N7779" s="81"/>
    </row>
    <row r="7780" spans="1:14" ht="14.25" customHeight="1" x14ac:dyDescent="0.25">
      <c r="A7780" s="97" t="s">
        <v>563</v>
      </c>
      <c r="B7780" s="98" t="s">
        <v>564</v>
      </c>
      <c r="C7780" s="98" t="s">
        <v>585</v>
      </c>
      <c r="D7780" s="98" t="s">
        <v>586</v>
      </c>
      <c r="E7780" s="120" t="s">
        <v>587</v>
      </c>
      <c r="F7780" s="98" t="s">
        <v>568</v>
      </c>
      <c r="G7780" s="81"/>
      <c r="H7780" s="81"/>
      <c r="I7780" s="81"/>
      <c r="J7780" s="81"/>
      <c r="K7780" s="81"/>
      <c r="L7780" s="81"/>
      <c r="M7780" s="81"/>
      <c r="N7780" s="81"/>
    </row>
    <row r="7781" spans="1:14" ht="14.25" customHeight="1" x14ac:dyDescent="0.25">
      <c r="A7781" s="103"/>
      <c r="B7781" s="100"/>
      <c r="C7781" s="101"/>
      <c r="D7781" s="140"/>
      <c r="E7781" s="107"/>
      <c r="F7781" s="109"/>
      <c r="G7781" s="81"/>
      <c r="H7781" s="81"/>
      <c r="I7781" s="81"/>
      <c r="J7781" s="81"/>
      <c r="K7781" s="81"/>
      <c r="L7781" s="81"/>
      <c r="M7781" s="81"/>
      <c r="N7781" s="81"/>
    </row>
    <row r="7782" spans="1:14" ht="14.25" customHeight="1" x14ac:dyDescent="0.25">
      <c r="A7782" s="103"/>
      <c r="B7782" s="100"/>
      <c r="C7782" s="107"/>
      <c r="D7782" s="107"/>
      <c r="E7782" s="108"/>
      <c r="F7782" s="109"/>
      <c r="G7782" s="81"/>
      <c r="H7782" s="81"/>
      <c r="I7782" s="81"/>
      <c r="J7782" s="81"/>
      <c r="K7782" s="81"/>
      <c r="L7782" s="81"/>
      <c r="M7782" s="81"/>
      <c r="N7782" s="81"/>
    </row>
    <row r="7783" spans="1:14" ht="14.25" customHeight="1" x14ac:dyDescent="0.25">
      <c r="A7783" s="97" t="s">
        <v>548</v>
      </c>
      <c r="B7783" s="98"/>
      <c r="C7783" s="110"/>
      <c r="D7783" s="110"/>
      <c r="E7783" s="111"/>
      <c r="F7783" s="112">
        <f>SUM(F7781:F7782)</f>
        <v>0</v>
      </c>
      <c r="G7783" s="81"/>
      <c r="H7783" s="81"/>
      <c r="I7783" s="81"/>
      <c r="J7783" s="81"/>
      <c r="K7783" s="81"/>
      <c r="L7783" s="81"/>
      <c r="M7783" s="81"/>
      <c r="N7783" s="81"/>
    </row>
    <row r="7784" spans="1:14" ht="14.25" customHeight="1" x14ac:dyDescent="0.25">
      <c r="A7784" s="88"/>
      <c r="B7784" s="89"/>
      <c r="C7784" s="113"/>
      <c r="D7784" s="113"/>
      <c r="E7784" s="114"/>
      <c r="F7784" s="113"/>
      <c r="G7784" s="81"/>
      <c r="H7784" s="81"/>
      <c r="I7784" s="81"/>
      <c r="J7784" s="81"/>
      <c r="K7784" s="81"/>
      <c r="L7784" s="81"/>
      <c r="M7784" s="81"/>
      <c r="N7784" s="81"/>
    </row>
    <row r="7785" spans="1:14" ht="14.25" customHeight="1" x14ac:dyDescent="0.25">
      <c r="A7785" s="88"/>
      <c r="B7785" s="89"/>
      <c r="C7785" s="113"/>
      <c r="D7785" s="113"/>
      <c r="E7785" s="114"/>
      <c r="F7785" s="113"/>
      <c r="G7785" s="81"/>
      <c r="H7785" s="81"/>
      <c r="I7785" s="81"/>
      <c r="J7785" s="81"/>
      <c r="K7785" s="81"/>
      <c r="L7785" s="81"/>
      <c r="M7785" s="81"/>
      <c r="N7785" s="81"/>
    </row>
    <row r="7786" spans="1:14" ht="14.25" customHeight="1" x14ac:dyDescent="0.25">
      <c r="A7786" s="612" t="s">
        <v>588</v>
      </c>
      <c r="B7786" s="608"/>
      <c r="C7786" s="608"/>
      <c r="D7786" s="608"/>
      <c r="E7786" s="609"/>
      <c r="F7786" s="131">
        <f>ROUND(F7758+F7769+F7777+F7783,0)</f>
        <v>35870</v>
      </c>
      <c r="G7786" s="81"/>
      <c r="H7786" s="81"/>
      <c r="I7786" s="81"/>
      <c r="J7786" s="81"/>
      <c r="K7786" s="81"/>
      <c r="L7786" s="81"/>
      <c r="M7786" s="81"/>
      <c r="N7786" s="81"/>
    </row>
    <row r="7787" spans="1:14" ht="14.25" customHeight="1" x14ac:dyDescent="0.25">
      <c r="A7787" s="612" t="s">
        <v>589</v>
      </c>
      <c r="B7787" s="608"/>
      <c r="C7787" s="608"/>
      <c r="D7787" s="608"/>
      <c r="E7787" s="609"/>
      <c r="F7787" s="132"/>
      <c r="G7787" s="81"/>
      <c r="H7787" s="81"/>
      <c r="I7787" s="81"/>
      <c r="J7787" s="81"/>
      <c r="K7787" s="81"/>
      <c r="L7787" s="81"/>
      <c r="M7787" s="81"/>
      <c r="N7787" s="81"/>
    </row>
    <row r="7788" spans="1:14" ht="14.25" customHeight="1" x14ac:dyDescent="0.25">
      <c r="A7788" s="612" t="s">
        <v>556</v>
      </c>
      <c r="B7788" s="608"/>
      <c r="C7788" s="608"/>
      <c r="D7788" s="608"/>
      <c r="E7788" s="609"/>
      <c r="F7788" s="133"/>
      <c r="G7788" s="81"/>
      <c r="H7788" s="81"/>
      <c r="I7788" s="81"/>
      <c r="J7788" s="81"/>
      <c r="K7788" s="81"/>
      <c r="L7788" s="81"/>
      <c r="M7788" s="81"/>
      <c r="N7788" s="81"/>
    </row>
    <row r="7789" spans="1:14" ht="14.25" customHeight="1" x14ac:dyDescent="0.25">
      <c r="A7789" s="134"/>
      <c r="B7789" s="135"/>
      <c r="C7789" s="135"/>
      <c r="D7789" s="135"/>
      <c r="E7789" s="135"/>
      <c r="F7789" s="136"/>
      <c r="G7789" s="81"/>
      <c r="H7789" s="81"/>
      <c r="I7789" s="81"/>
      <c r="J7789" s="81"/>
      <c r="K7789" s="81"/>
      <c r="L7789" s="81"/>
      <c r="M7789" s="81"/>
      <c r="N7789" s="81"/>
    </row>
    <row r="7790" spans="1:14" ht="14.25" customHeight="1" x14ac:dyDescent="0.25">
      <c r="A7790" s="134"/>
      <c r="B7790" s="135"/>
      <c r="C7790" s="135"/>
      <c r="D7790" s="135"/>
      <c r="E7790" s="135"/>
      <c r="F7790" s="136"/>
      <c r="G7790" s="81"/>
      <c r="H7790" s="81"/>
      <c r="I7790" s="81"/>
      <c r="J7790" s="81"/>
      <c r="K7790" s="81"/>
      <c r="L7790" s="81"/>
      <c r="M7790" s="81"/>
      <c r="N7790" s="81"/>
    </row>
    <row r="7791" spans="1:14" ht="14.25" customHeight="1" x14ac:dyDescent="0.25">
      <c r="A7791" s="134"/>
      <c r="B7791" s="135"/>
      <c r="C7791" s="135"/>
      <c r="D7791" s="135"/>
      <c r="E7791" s="135"/>
      <c r="F7791" s="136"/>
      <c r="G7791" s="81"/>
      <c r="H7791" s="81"/>
      <c r="I7791" s="81"/>
      <c r="J7791" s="81"/>
      <c r="K7791" s="81"/>
      <c r="L7791" s="81"/>
      <c r="M7791" s="81"/>
      <c r="N7791" s="81"/>
    </row>
    <row r="7792" spans="1:14" ht="14.25" customHeight="1" x14ac:dyDescent="0.25">
      <c r="A7792" s="134"/>
      <c r="B7792" s="135"/>
      <c r="C7792" s="135"/>
      <c r="D7792" s="135"/>
      <c r="E7792" s="135"/>
      <c r="F7792" s="136"/>
      <c r="G7792" s="81"/>
      <c r="H7792" s="81"/>
      <c r="I7792" s="81"/>
      <c r="J7792" s="81"/>
      <c r="K7792" s="81"/>
      <c r="L7792" s="81"/>
      <c r="M7792" s="81"/>
      <c r="N7792" s="81"/>
    </row>
    <row r="7793" spans="1:14" ht="14.25" customHeight="1" x14ac:dyDescent="0.25">
      <c r="A7793" s="134"/>
      <c r="B7793" s="135"/>
      <c r="C7793" s="135"/>
      <c r="D7793" s="135"/>
      <c r="E7793" s="135"/>
      <c r="F7793" s="136"/>
      <c r="G7793" s="81"/>
      <c r="H7793" s="81"/>
      <c r="I7793" s="81"/>
      <c r="J7793" s="81"/>
      <c r="K7793" s="81"/>
      <c r="L7793" s="81"/>
      <c r="M7793" s="81"/>
      <c r="N7793" s="81"/>
    </row>
    <row r="7794" spans="1:14" ht="14.25" customHeight="1" x14ac:dyDescent="0.25">
      <c r="A7794" s="81"/>
      <c r="B7794" s="81"/>
      <c r="C7794" s="137"/>
      <c r="D7794" s="81"/>
      <c r="E7794" s="81"/>
      <c r="F7794" s="81"/>
      <c r="G7794" s="81"/>
      <c r="H7794" s="81"/>
      <c r="I7794" s="81"/>
      <c r="J7794" s="81"/>
      <c r="K7794" s="81"/>
      <c r="L7794" s="81"/>
      <c r="M7794" s="81"/>
      <c r="N7794" s="81"/>
    </row>
    <row r="7795" spans="1:14" ht="14.25" customHeight="1" x14ac:dyDescent="0.25">
      <c r="A7795" s="81"/>
      <c r="B7795" s="81"/>
      <c r="C7795" s="137"/>
      <c r="D7795" s="81"/>
      <c r="E7795" s="81"/>
      <c r="F7795" s="81"/>
      <c r="G7795" s="81"/>
      <c r="H7795" s="81"/>
      <c r="I7795" s="81"/>
      <c r="J7795" s="81"/>
      <c r="K7795" s="81"/>
      <c r="L7795" s="81"/>
      <c r="M7795" s="81"/>
      <c r="N7795" s="81"/>
    </row>
    <row r="7796" spans="1:14" ht="14.25" customHeight="1" x14ac:dyDescent="0.25">
      <c r="A7796" s="81"/>
      <c r="B7796" s="81"/>
      <c r="C7796" s="137"/>
      <c r="D7796" s="81"/>
      <c r="E7796" s="81"/>
      <c r="F7796" s="81"/>
      <c r="G7796" s="81"/>
      <c r="H7796" s="81"/>
      <c r="I7796" s="81"/>
      <c r="J7796" s="81"/>
      <c r="K7796" s="81"/>
      <c r="L7796" s="81"/>
      <c r="M7796" s="81"/>
      <c r="N7796" s="81"/>
    </row>
    <row r="7797" spans="1:14" ht="14.25" customHeight="1" x14ac:dyDescent="0.25">
      <c r="A7797" s="81"/>
      <c r="B7797" s="81"/>
      <c r="C7797" s="137"/>
      <c r="D7797" s="81"/>
      <c r="E7797" s="81"/>
      <c r="F7797" s="81"/>
      <c r="G7797" s="81"/>
      <c r="H7797" s="81"/>
      <c r="I7797" s="81"/>
      <c r="J7797" s="81"/>
      <c r="K7797" s="81"/>
      <c r="L7797" s="81"/>
      <c r="M7797" s="81"/>
      <c r="N7797" s="81"/>
    </row>
    <row r="7798" spans="1:14" ht="14.25" customHeight="1" thickBot="1" x14ac:dyDescent="0.3">
      <c r="A7798" s="81"/>
      <c r="B7798" s="81"/>
      <c r="C7798" s="81"/>
      <c r="D7798" s="81"/>
      <c r="E7798" s="81"/>
      <c r="F7798" s="81"/>
      <c r="G7798" s="81"/>
      <c r="H7798" s="81"/>
      <c r="I7798" s="81"/>
      <c r="J7798" s="81"/>
      <c r="K7798" s="81"/>
      <c r="L7798" s="81"/>
      <c r="M7798" s="81"/>
      <c r="N7798" s="81"/>
    </row>
    <row r="7799" spans="1:14" ht="14.25" customHeight="1" x14ac:dyDescent="0.25">
      <c r="A7799" s="83"/>
      <c r="B7799" s="84"/>
      <c r="C7799" s="85"/>
      <c r="D7799" s="86"/>
      <c r="E7799" s="86"/>
      <c r="F7799" s="87"/>
      <c r="G7799" s="81"/>
      <c r="H7799" s="81"/>
      <c r="I7799" s="81"/>
      <c r="J7799" s="81"/>
      <c r="K7799" s="81"/>
      <c r="L7799" s="81"/>
      <c r="M7799" s="81"/>
      <c r="N7799" s="81"/>
    </row>
    <row r="7800" spans="1:14" ht="14.25" customHeight="1" x14ac:dyDescent="0.25">
      <c r="A7800" s="599"/>
      <c r="B7800" s="600"/>
      <c r="C7800" s="600"/>
      <c r="D7800" s="600"/>
      <c r="E7800" s="600"/>
      <c r="F7800" s="601"/>
      <c r="G7800" s="81"/>
      <c r="H7800" s="81"/>
      <c r="I7800" s="81"/>
      <c r="J7800" s="81"/>
      <c r="K7800" s="81"/>
      <c r="L7800" s="81"/>
      <c r="M7800" s="81"/>
      <c r="N7800" s="81"/>
    </row>
    <row r="7801" spans="1:14" ht="14.25" customHeight="1" x14ac:dyDescent="0.25">
      <c r="A7801" s="602" t="s">
        <v>561</v>
      </c>
      <c r="B7801" s="600"/>
      <c r="C7801" s="600"/>
      <c r="D7801" s="600"/>
      <c r="E7801" s="600"/>
      <c r="F7801" s="601"/>
      <c r="G7801" s="81"/>
      <c r="H7801" s="81"/>
      <c r="I7801" s="81"/>
      <c r="J7801" s="81"/>
      <c r="K7801" s="81"/>
      <c r="L7801" s="81"/>
      <c r="M7801" s="81"/>
      <c r="N7801" s="81"/>
    </row>
    <row r="7802" spans="1:14" ht="14.25" customHeight="1" thickBot="1" x14ac:dyDescent="0.3">
      <c r="A7802" s="603"/>
      <c r="B7802" s="604"/>
      <c r="C7802" s="604"/>
      <c r="D7802" s="604"/>
      <c r="E7802" s="604"/>
      <c r="F7802" s="605"/>
      <c r="G7802" s="81"/>
      <c r="H7802" s="81"/>
      <c r="I7802" s="81"/>
      <c r="J7802" s="81"/>
      <c r="K7802" s="81"/>
      <c r="L7802" s="81"/>
      <c r="M7802" s="81"/>
      <c r="N7802" s="81"/>
    </row>
    <row r="7803" spans="1:14" ht="14.25" customHeight="1" x14ac:dyDescent="0.25">
      <c r="A7803" s="88"/>
      <c r="B7803" s="88"/>
      <c r="C7803" s="89"/>
      <c r="D7803" s="89"/>
      <c r="E7803" s="89"/>
      <c r="F7803" s="89"/>
      <c r="G7803" s="81"/>
      <c r="H7803" s="81"/>
      <c r="I7803" s="81"/>
      <c r="J7803" s="81"/>
      <c r="K7803" s="81"/>
      <c r="L7803" s="81"/>
      <c r="M7803" s="81"/>
      <c r="N7803" s="81"/>
    </row>
    <row r="7804" spans="1:14" ht="14.25" customHeight="1" x14ac:dyDescent="0.25">
      <c r="A7804" s="90" t="s">
        <v>47</v>
      </c>
      <c r="B7804" s="613" t="s">
        <v>372</v>
      </c>
      <c r="C7804" s="600"/>
      <c r="D7804" s="600"/>
      <c r="E7804" s="600"/>
      <c r="F7804" s="600"/>
      <c r="G7804" s="81"/>
      <c r="H7804" s="81"/>
      <c r="I7804" s="81"/>
      <c r="J7804" s="81"/>
      <c r="K7804" s="81"/>
      <c r="L7804" s="81"/>
      <c r="M7804" s="81"/>
      <c r="N7804" s="81"/>
    </row>
    <row r="7805" spans="1:14" ht="14.25" customHeight="1" x14ac:dyDescent="0.25">
      <c r="A7805" s="91"/>
      <c r="B7805" s="91"/>
      <c r="C7805" s="91"/>
      <c r="D7805" s="91"/>
      <c r="E7805" s="91"/>
      <c r="F7805" s="91"/>
      <c r="G7805" s="81"/>
      <c r="H7805" s="81"/>
      <c r="I7805" s="81"/>
      <c r="J7805" s="81"/>
      <c r="K7805" s="81"/>
      <c r="L7805" s="81"/>
      <c r="M7805" s="81"/>
      <c r="N7805" s="81"/>
    </row>
    <row r="7806" spans="1:14" ht="14.25" customHeight="1" x14ac:dyDescent="0.25">
      <c r="A7806" s="88" t="s">
        <v>49</v>
      </c>
      <c r="B7806" s="92" t="s">
        <v>59</v>
      </c>
      <c r="C7806" s="89"/>
      <c r="D7806" s="89"/>
      <c r="E7806" s="89"/>
      <c r="F7806" s="93"/>
      <c r="G7806" s="81"/>
      <c r="H7806" s="81"/>
      <c r="I7806" s="81"/>
      <c r="J7806" s="81"/>
      <c r="K7806" s="81"/>
      <c r="L7806" s="81"/>
      <c r="M7806" s="81"/>
      <c r="N7806" s="81"/>
    </row>
    <row r="7807" spans="1:14" ht="14.25" customHeight="1" x14ac:dyDescent="0.25">
      <c r="A7807" s="88"/>
      <c r="B7807" s="94"/>
      <c r="C7807" s="89"/>
      <c r="D7807" s="89"/>
      <c r="E7807" s="89"/>
      <c r="F7807" s="93"/>
      <c r="G7807" s="81"/>
      <c r="H7807" s="81"/>
      <c r="I7807" s="81"/>
      <c r="J7807" s="81"/>
      <c r="K7807" s="81"/>
      <c r="L7807" s="81"/>
      <c r="M7807" s="81"/>
      <c r="N7807" s="81"/>
    </row>
    <row r="7808" spans="1:14" ht="14.25" customHeight="1" x14ac:dyDescent="0.25">
      <c r="A7808" s="95" t="s">
        <v>562</v>
      </c>
      <c r="B7808" s="96"/>
      <c r="C7808" s="92"/>
      <c r="D7808" s="92"/>
      <c r="E7808" s="92"/>
      <c r="F7808" s="92"/>
      <c r="G7808" s="81"/>
      <c r="H7808" s="81"/>
      <c r="I7808" s="81"/>
      <c r="J7808" s="81"/>
      <c r="K7808" s="81"/>
      <c r="L7808" s="81"/>
      <c r="M7808" s="81"/>
      <c r="N7808" s="81"/>
    </row>
    <row r="7809" spans="1:14" ht="14.25" customHeight="1" x14ac:dyDescent="0.25">
      <c r="A7809" s="97" t="s">
        <v>563</v>
      </c>
      <c r="B7809" s="98" t="s">
        <v>564</v>
      </c>
      <c r="C7809" s="98" t="s">
        <v>565</v>
      </c>
      <c r="D7809" s="98" t="s">
        <v>566</v>
      </c>
      <c r="E7809" s="98" t="s">
        <v>567</v>
      </c>
      <c r="F7809" s="98" t="s">
        <v>568</v>
      </c>
      <c r="G7809" s="81"/>
      <c r="H7809" s="81"/>
      <c r="I7809" s="81"/>
      <c r="J7809" s="81"/>
      <c r="K7809" s="81"/>
      <c r="L7809" s="81"/>
      <c r="M7809" s="81"/>
      <c r="N7809" s="81"/>
    </row>
    <row r="7810" spans="1:14" ht="14.25" customHeight="1" x14ac:dyDescent="0.25">
      <c r="A7810" s="99" t="s">
        <v>644</v>
      </c>
      <c r="B7810" s="100" t="s">
        <v>64</v>
      </c>
      <c r="C7810" s="101">
        <v>408050</v>
      </c>
      <c r="D7810" s="149">
        <f>(0.2*0.15)</f>
        <v>0.03</v>
      </c>
      <c r="E7810" s="102">
        <v>0.05</v>
      </c>
      <c r="F7810" s="101">
        <f t="shared" ref="F7810:F7813" si="388">C7810*(D7810+(D7810*E7810))</f>
        <v>12853.575000000001</v>
      </c>
      <c r="G7810" s="81"/>
      <c r="H7810" s="81"/>
      <c r="I7810" s="81"/>
      <c r="J7810" s="81"/>
      <c r="K7810" s="81"/>
      <c r="L7810" s="81"/>
      <c r="M7810" s="81"/>
      <c r="N7810" s="81"/>
    </row>
    <row r="7811" spans="1:14" ht="14.25" customHeight="1" x14ac:dyDescent="0.25">
      <c r="A7811" s="99" t="s">
        <v>119</v>
      </c>
      <c r="B7811" s="100" t="s">
        <v>117</v>
      </c>
      <c r="C7811" s="101">
        <v>4300</v>
      </c>
      <c r="D7811" s="149">
        <f>+D7810*60</f>
        <v>1.7999999999999998</v>
      </c>
      <c r="E7811" s="102">
        <v>0.05</v>
      </c>
      <c r="F7811" s="101">
        <f t="shared" si="388"/>
        <v>8127</v>
      </c>
      <c r="G7811" s="81"/>
      <c r="H7811" s="81"/>
      <c r="I7811" s="81"/>
      <c r="J7811" s="81"/>
      <c r="K7811" s="81"/>
      <c r="L7811" s="81"/>
      <c r="M7811" s="81"/>
      <c r="N7811" s="81"/>
    </row>
    <row r="7812" spans="1:14" ht="14.25" customHeight="1" x14ac:dyDescent="0.25">
      <c r="A7812" s="99"/>
      <c r="B7812" s="100"/>
      <c r="C7812" s="101"/>
      <c r="D7812" s="104"/>
      <c r="E7812" s="102"/>
      <c r="F7812" s="101">
        <f t="shared" si="388"/>
        <v>0</v>
      </c>
      <c r="G7812" s="81"/>
      <c r="H7812" s="81"/>
      <c r="I7812" s="81"/>
      <c r="J7812" s="81"/>
      <c r="K7812" s="81"/>
      <c r="L7812" s="81"/>
      <c r="M7812" s="81"/>
      <c r="N7812" s="81"/>
    </row>
    <row r="7813" spans="1:14" ht="14.25" customHeight="1" x14ac:dyDescent="0.25">
      <c r="A7813" s="99"/>
      <c r="B7813" s="100"/>
      <c r="C7813" s="101"/>
      <c r="D7813" s="104"/>
      <c r="E7813" s="102"/>
      <c r="F7813" s="101">
        <f t="shared" si="388"/>
        <v>0</v>
      </c>
      <c r="G7813" s="81"/>
      <c r="H7813" s="81"/>
      <c r="I7813" s="81"/>
      <c r="J7813" s="81"/>
      <c r="K7813" s="81"/>
      <c r="L7813" s="81"/>
      <c r="M7813" s="81"/>
      <c r="N7813" s="81"/>
    </row>
    <row r="7814" spans="1:14" ht="14.25" customHeight="1" x14ac:dyDescent="0.25">
      <c r="A7814" s="99"/>
      <c r="B7814" s="100"/>
      <c r="C7814" s="106"/>
      <c r="D7814" s="107"/>
      <c r="E7814" s="108"/>
      <c r="F7814" s="106"/>
      <c r="G7814" s="81"/>
      <c r="H7814" s="81"/>
      <c r="I7814" s="81"/>
      <c r="J7814" s="81"/>
      <c r="K7814" s="81"/>
      <c r="L7814" s="81"/>
      <c r="M7814" s="81"/>
      <c r="N7814" s="81"/>
    </row>
    <row r="7815" spans="1:14" ht="14.25" customHeight="1" x14ac:dyDescent="0.25">
      <c r="A7815" s="97" t="s">
        <v>548</v>
      </c>
      <c r="B7815" s="97"/>
      <c r="C7815" s="109"/>
      <c r="D7815" s="110"/>
      <c r="E7815" s="111"/>
      <c r="F7815" s="112">
        <f>SUM(F7810:F7814)</f>
        <v>20980.575000000001</v>
      </c>
      <c r="G7815" s="81"/>
      <c r="H7815" s="81"/>
      <c r="I7815" s="81"/>
      <c r="J7815" s="81"/>
      <c r="K7815" s="81"/>
      <c r="L7815" s="81"/>
      <c r="M7815" s="81"/>
      <c r="N7815" s="81"/>
    </row>
    <row r="7816" spans="1:14" ht="15.75" x14ac:dyDescent="0.25">
      <c r="A7816" s="88"/>
      <c r="B7816" s="88"/>
      <c r="C7816" s="113"/>
      <c r="D7816" s="113"/>
      <c r="E7816" s="114"/>
      <c r="F7816" s="113"/>
      <c r="G7816" s="81"/>
      <c r="H7816" s="81"/>
      <c r="I7816" s="81"/>
      <c r="J7816" s="81"/>
      <c r="K7816" s="81"/>
      <c r="L7816" s="81"/>
      <c r="M7816" s="81"/>
      <c r="N7816" s="81"/>
    </row>
    <row r="7817" spans="1:14" ht="14.25" customHeight="1" x14ac:dyDescent="0.25">
      <c r="A7817" s="96" t="s">
        <v>573</v>
      </c>
      <c r="B7817" s="96"/>
      <c r="C7817" s="92"/>
      <c r="D7817" s="92"/>
      <c r="E7817" s="92"/>
      <c r="F7817" s="92"/>
      <c r="G7817" s="81"/>
      <c r="H7817" s="81"/>
      <c r="I7817" s="81"/>
      <c r="J7817" s="81"/>
      <c r="K7817" s="81"/>
      <c r="L7817" s="81"/>
      <c r="M7817" s="81"/>
      <c r="N7817" s="81"/>
    </row>
    <row r="7818" spans="1:14" ht="14.25" customHeight="1" x14ac:dyDescent="0.25">
      <c r="A7818" s="611" t="s">
        <v>563</v>
      </c>
      <c r="B7818" s="608"/>
      <c r="C7818" s="609"/>
      <c r="D7818" s="98" t="s">
        <v>574</v>
      </c>
      <c r="E7818" s="98" t="s">
        <v>575</v>
      </c>
      <c r="F7818" s="98" t="s">
        <v>568</v>
      </c>
      <c r="G7818" s="81"/>
      <c r="H7818" s="81"/>
      <c r="I7818" s="81"/>
      <c r="J7818" s="81"/>
      <c r="K7818" s="81"/>
      <c r="L7818" s="81"/>
      <c r="M7818" s="81"/>
      <c r="N7818" s="81"/>
    </row>
    <row r="7819" spans="1:14" ht="14.25" customHeight="1" x14ac:dyDescent="0.25">
      <c r="A7819" s="607" t="s">
        <v>577</v>
      </c>
      <c r="B7819" s="608"/>
      <c r="C7819" s="609"/>
      <c r="D7819" s="116"/>
      <c r="E7819" s="107"/>
      <c r="F7819" s="106">
        <v>252</v>
      </c>
      <c r="G7819" s="81"/>
      <c r="H7819" s="81"/>
      <c r="I7819" s="81"/>
      <c r="J7819" s="81"/>
      <c r="K7819" s="81"/>
      <c r="L7819" s="81"/>
      <c r="M7819" s="81"/>
      <c r="N7819" s="81"/>
    </row>
    <row r="7820" spans="1:14" ht="14.25" customHeight="1" x14ac:dyDescent="0.25">
      <c r="A7820" s="607" t="s">
        <v>642</v>
      </c>
      <c r="B7820" s="608"/>
      <c r="C7820" s="609"/>
      <c r="D7820" s="142">
        <v>8750</v>
      </c>
      <c r="E7820" s="105">
        <v>8</v>
      </c>
      <c r="F7820" s="106">
        <f t="shared" ref="F7820:F7821" si="389">D7820/E7820</f>
        <v>1093.75</v>
      </c>
      <c r="G7820" s="81"/>
      <c r="H7820" s="81"/>
      <c r="I7820" s="81"/>
      <c r="J7820" s="81"/>
      <c r="K7820" s="81"/>
      <c r="L7820" s="81"/>
      <c r="M7820" s="81"/>
      <c r="N7820" s="81"/>
    </row>
    <row r="7821" spans="1:14" ht="14.25" customHeight="1" x14ac:dyDescent="0.25">
      <c r="A7821" s="607" t="s">
        <v>643</v>
      </c>
      <c r="B7821" s="608"/>
      <c r="C7821" s="609"/>
      <c r="D7821" s="142">
        <v>12350</v>
      </c>
      <c r="E7821" s="105">
        <v>5</v>
      </c>
      <c r="F7821" s="106">
        <f t="shared" si="389"/>
        <v>2470</v>
      </c>
      <c r="G7821" s="81"/>
      <c r="H7821" s="81"/>
      <c r="I7821" s="81"/>
      <c r="J7821" s="81"/>
      <c r="K7821" s="81"/>
      <c r="L7821" s="81"/>
      <c r="M7821" s="81"/>
      <c r="N7821" s="81"/>
    </row>
    <row r="7822" spans="1:14" ht="14.25" customHeight="1" x14ac:dyDescent="0.25">
      <c r="A7822" s="607"/>
      <c r="B7822" s="608"/>
      <c r="C7822" s="609"/>
      <c r="D7822" s="142"/>
      <c r="E7822" s="107"/>
      <c r="F7822" s="106"/>
      <c r="G7822" s="81"/>
      <c r="H7822" s="81"/>
      <c r="I7822" s="81"/>
      <c r="J7822" s="81"/>
      <c r="K7822" s="81"/>
      <c r="L7822" s="81"/>
      <c r="M7822" s="81"/>
      <c r="N7822" s="81"/>
    </row>
    <row r="7823" spans="1:14" ht="14.25" customHeight="1" x14ac:dyDescent="0.25">
      <c r="A7823" s="607"/>
      <c r="B7823" s="608"/>
      <c r="C7823" s="609"/>
      <c r="D7823" s="142"/>
      <c r="E7823" s="107"/>
      <c r="F7823" s="106"/>
      <c r="G7823" s="81"/>
      <c r="H7823" s="81"/>
      <c r="I7823" s="81"/>
      <c r="J7823" s="81"/>
      <c r="K7823" s="81"/>
      <c r="L7823" s="81"/>
      <c r="M7823" s="81"/>
      <c r="N7823" s="81"/>
    </row>
    <row r="7824" spans="1:14" ht="14.25" customHeight="1" x14ac:dyDescent="0.25">
      <c r="A7824" s="607"/>
      <c r="B7824" s="608"/>
      <c r="C7824" s="609"/>
      <c r="D7824" s="142"/>
      <c r="E7824" s="105"/>
      <c r="F7824" s="106"/>
      <c r="G7824" s="81"/>
      <c r="H7824" s="81"/>
      <c r="I7824" s="81"/>
      <c r="J7824" s="81"/>
      <c r="K7824" s="81"/>
      <c r="L7824" s="81"/>
      <c r="M7824" s="81"/>
      <c r="N7824" s="81"/>
    </row>
    <row r="7825" spans="1:14" ht="14.25" customHeight="1" x14ac:dyDescent="0.25">
      <c r="A7825" s="610"/>
      <c r="B7825" s="608"/>
      <c r="C7825" s="609"/>
      <c r="D7825" s="115"/>
      <c r="E7825" s="107"/>
      <c r="F7825" s="106"/>
      <c r="G7825" s="81"/>
      <c r="H7825" s="81"/>
      <c r="I7825" s="81"/>
      <c r="J7825" s="81"/>
      <c r="K7825" s="81"/>
      <c r="L7825" s="81"/>
      <c r="M7825" s="81"/>
      <c r="N7825" s="81"/>
    </row>
    <row r="7826" spans="1:14" ht="14.25" customHeight="1" x14ac:dyDescent="0.25">
      <c r="A7826" s="611" t="s">
        <v>548</v>
      </c>
      <c r="B7826" s="608"/>
      <c r="C7826" s="609"/>
      <c r="D7826" s="110"/>
      <c r="E7826" s="110"/>
      <c r="F7826" s="112">
        <f>SUM(F7819:F7825)</f>
        <v>3815.75</v>
      </c>
      <c r="G7826" s="81"/>
      <c r="H7826" s="81"/>
      <c r="I7826" s="81"/>
      <c r="J7826" s="81"/>
      <c r="K7826" s="81"/>
      <c r="L7826" s="81"/>
      <c r="M7826" s="81"/>
      <c r="N7826" s="81"/>
    </row>
    <row r="7827" spans="1:14" ht="14.25" customHeight="1" x14ac:dyDescent="0.25">
      <c r="A7827" s="88"/>
      <c r="B7827" s="88"/>
      <c r="C7827" s="89"/>
      <c r="D7827" s="113"/>
      <c r="E7827" s="113"/>
      <c r="F7827" s="113"/>
      <c r="G7827" s="81"/>
      <c r="H7827" s="81"/>
      <c r="I7827" s="81"/>
      <c r="J7827" s="81"/>
      <c r="K7827" s="81"/>
      <c r="L7827" s="81"/>
      <c r="M7827" s="81"/>
      <c r="N7827" s="81"/>
    </row>
    <row r="7828" spans="1:14" ht="14.25" customHeight="1" x14ac:dyDescent="0.25">
      <c r="A7828" s="96" t="s">
        <v>578</v>
      </c>
      <c r="B7828" s="96"/>
      <c r="C7828" s="92"/>
      <c r="D7828" s="118"/>
      <c r="E7828" s="118"/>
      <c r="F7828" s="118"/>
      <c r="G7828" s="81"/>
      <c r="H7828" s="81"/>
      <c r="I7828" s="81"/>
      <c r="J7828" s="81"/>
      <c r="K7828" s="81"/>
      <c r="L7828" s="81"/>
      <c r="M7828" s="81"/>
      <c r="N7828" s="81"/>
    </row>
    <row r="7829" spans="1:14" ht="14.25" customHeight="1" x14ac:dyDescent="0.25">
      <c r="A7829" s="119" t="s">
        <v>563</v>
      </c>
      <c r="B7829" s="120" t="s">
        <v>579</v>
      </c>
      <c r="C7829" s="120" t="s">
        <v>580</v>
      </c>
      <c r="D7829" s="121" t="s">
        <v>581</v>
      </c>
      <c r="E7829" s="121" t="s">
        <v>575</v>
      </c>
      <c r="F7829" s="121" t="s">
        <v>568</v>
      </c>
      <c r="G7829" s="81"/>
      <c r="H7829" s="81"/>
      <c r="I7829" s="81"/>
      <c r="J7829" s="81"/>
      <c r="K7829" s="81"/>
      <c r="L7829" s="81"/>
      <c r="M7829" s="81"/>
      <c r="N7829" s="81"/>
    </row>
    <row r="7830" spans="1:14" ht="14.25" customHeight="1" x14ac:dyDescent="0.25">
      <c r="A7830" s="122" t="s">
        <v>593</v>
      </c>
      <c r="B7830" s="127">
        <v>5</v>
      </c>
      <c r="C7830" s="101">
        <v>32688</v>
      </c>
      <c r="D7830" s="101">
        <f t="shared" ref="D7830:D7831" si="390">+C7830*1.7</f>
        <v>55569.599999999999</v>
      </c>
      <c r="E7830" s="107">
        <v>80</v>
      </c>
      <c r="F7830" s="106">
        <f t="shared" ref="F7830:F7831" si="391">+B7830*(D7830)/E7830</f>
        <v>3473.1</v>
      </c>
      <c r="G7830" s="81"/>
      <c r="H7830" s="117"/>
      <c r="I7830" s="81"/>
      <c r="J7830" s="81"/>
      <c r="K7830" s="81"/>
      <c r="L7830" s="81"/>
      <c r="M7830" s="81"/>
      <c r="N7830" s="81"/>
    </row>
    <row r="7831" spans="1:14" ht="14.25" customHeight="1" x14ac:dyDescent="0.25">
      <c r="A7831" s="122" t="s">
        <v>594</v>
      </c>
      <c r="B7831" s="127">
        <v>3</v>
      </c>
      <c r="C7831" s="101">
        <v>52538</v>
      </c>
      <c r="D7831" s="101">
        <f t="shared" si="390"/>
        <v>89314.599999999991</v>
      </c>
      <c r="E7831" s="107">
        <f>E7830</f>
        <v>80</v>
      </c>
      <c r="F7831" s="106">
        <f t="shared" si="391"/>
        <v>3349.2974999999997</v>
      </c>
      <c r="G7831" s="81"/>
      <c r="H7831" s="81"/>
      <c r="I7831" s="81"/>
      <c r="J7831" s="81"/>
      <c r="K7831" s="81"/>
      <c r="L7831" s="81"/>
      <c r="M7831" s="81"/>
      <c r="N7831" s="81"/>
    </row>
    <row r="7832" spans="1:14" ht="14.25" customHeight="1" x14ac:dyDescent="0.25">
      <c r="A7832" s="122"/>
      <c r="B7832" s="127"/>
      <c r="C7832" s="101"/>
      <c r="D7832" s="101"/>
      <c r="E7832" s="107"/>
      <c r="F7832" s="106"/>
      <c r="G7832" s="81"/>
      <c r="H7832" s="81"/>
      <c r="I7832" s="81"/>
      <c r="J7832" s="81"/>
      <c r="K7832" s="81"/>
      <c r="L7832" s="81"/>
      <c r="M7832" s="81"/>
      <c r="N7832" s="81"/>
    </row>
    <row r="7833" spans="1:14" ht="14.25" customHeight="1" x14ac:dyDescent="0.25">
      <c r="A7833" s="122"/>
      <c r="B7833" s="127"/>
      <c r="C7833" s="101"/>
      <c r="D7833" s="101"/>
      <c r="E7833" s="125"/>
      <c r="F7833" s="106"/>
      <c r="G7833" s="81"/>
      <c r="H7833" s="81"/>
      <c r="I7833" s="81"/>
      <c r="J7833" s="81"/>
      <c r="K7833" s="81"/>
      <c r="L7833" s="81"/>
      <c r="M7833" s="81"/>
      <c r="N7833" s="81"/>
    </row>
    <row r="7834" spans="1:14" ht="14.25" customHeight="1" x14ac:dyDescent="0.25">
      <c r="A7834" s="97" t="s">
        <v>548</v>
      </c>
      <c r="B7834" s="128"/>
      <c r="C7834" s="110"/>
      <c r="D7834" s="110"/>
      <c r="E7834" s="110"/>
      <c r="F7834" s="112">
        <f>SUM(F7830:F7833)</f>
        <v>6822.3974999999991</v>
      </c>
      <c r="G7834" s="81"/>
      <c r="H7834" s="81"/>
      <c r="I7834" s="81"/>
      <c r="J7834" s="81"/>
      <c r="K7834" s="81"/>
      <c r="L7834" s="81"/>
      <c r="M7834" s="81"/>
      <c r="N7834" s="81"/>
    </row>
    <row r="7835" spans="1:14" ht="14.25" customHeight="1" x14ac:dyDescent="0.25">
      <c r="A7835" s="96"/>
      <c r="B7835" s="129"/>
      <c r="C7835" s="118"/>
      <c r="D7835" s="118"/>
      <c r="E7835" s="118"/>
      <c r="F7835" s="118"/>
      <c r="G7835" s="81"/>
      <c r="H7835" s="81"/>
      <c r="I7835" s="81"/>
      <c r="J7835" s="81"/>
      <c r="K7835" s="81"/>
      <c r="L7835" s="81"/>
      <c r="M7835" s="81"/>
      <c r="N7835" s="81"/>
    </row>
    <row r="7836" spans="1:14" ht="14.25" customHeight="1" x14ac:dyDescent="0.25">
      <c r="A7836" s="95" t="s">
        <v>583</v>
      </c>
      <c r="B7836" s="96"/>
      <c r="C7836" s="92"/>
      <c r="D7836" s="92"/>
      <c r="E7836" s="92" t="s">
        <v>584</v>
      </c>
      <c r="F7836" s="92"/>
      <c r="G7836" s="81"/>
      <c r="H7836" s="81"/>
      <c r="I7836" s="81"/>
      <c r="J7836" s="81"/>
      <c r="K7836" s="81"/>
      <c r="L7836" s="81"/>
      <c r="M7836" s="81"/>
      <c r="N7836" s="81"/>
    </row>
    <row r="7837" spans="1:14" ht="14.25" customHeight="1" x14ac:dyDescent="0.25">
      <c r="A7837" s="97" t="s">
        <v>563</v>
      </c>
      <c r="B7837" s="98" t="s">
        <v>564</v>
      </c>
      <c r="C7837" s="98" t="s">
        <v>585</v>
      </c>
      <c r="D7837" s="98" t="s">
        <v>586</v>
      </c>
      <c r="E7837" s="120" t="s">
        <v>587</v>
      </c>
      <c r="F7837" s="98" t="s">
        <v>568</v>
      </c>
      <c r="G7837" s="81"/>
      <c r="H7837" s="81"/>
      <c r="I7837" s="81"/>
      <c r="J7837" s="81"/>
      <c r="K7837" s="81"/>
      <c r="L7837" s="81"/>
      <c r="M7837" s="81"/>
      <c r="N7837" s="81"/>
    </row>
    <row r="7838" spans="1:14" ht="14.25" customHeight="1" x14ac:dyDescent="0.25">
      <c r="A7838" s="103"/>
      <c r="B7838" s="100"/>
      <c r="C7838" s="101"/>
      <c r="D7838" s="140"/>
      <c r="E7838" s="107"/>
      <c r="F7838" s="109"/>
      <c r="G7838" s="81"/>
      <c r="H7838" s="81"/>
      <c r="I7838" s="81"/>
      <c r="J7838" s="81"/>
      <c r="K7838" s="81"/>
      <c r="L7838" s="81"/>
      <c r="M7838" s="81"/>
      <c r="N7838" s="81"/>
    </row>
    <row r="7839" spans="1:14" ht="14.25" customHeight="1" x14ac:dyDescent="0.25">
      <c r="A7839" s="103"/>
      <c r="B7839" s="100"/>
      <c r="C7839" s="107"/>
      <c r="D7839" s="107"/>
      <c r="E7839" s="108"/>
      <c r="F7839" s="109"/>
      <c r="G7839" s="81"/>
      <c r="H7839" s="81"/>
      <c r="I7839" s="81"/>
      <c r="J7839" s="81"/>
      <c r="K7839" s="81"/>
      <c r="L7839" s="81"/>
      <c r="M7839" s="81"/>
      <c r="N7839" s="81"/>
    </row>
    <row r="7840" spans="1:14" ht="14.25" customHeight="1" x14ac:dyDescent="0.25">
      <c r="A7840" s="97" t="s">
        <v>548</v>
      </c>
      <c r="B7840" s="98"/>
      <c r="C7840" s="110"/>
      <c r="D7840" s="110"/>
      <c r="E7840" s="111"/>
      <c r="F7840" s="112">
        <f>SUM(F7838:F7839)</f>
        <v>0</v>
      </c>
      <c r="G7840" s="81"/>
      <c r="H7840" s="81"/>
      <c r="I7840" s="81"/>
      <c r="J7840" s="81"/>
      <c r="K7840" s="81"/>
      <c r="L7840" s="81"/>
      <c r="M7840" s="81"/>
      <c r="N7840" s="81"/>
    </row>
    <row r="7841" spans="1:14" ht="14.25" customHeight="1" x14ac:dyDescent="0.25">
      <c r="A7841" s="88"/>
      <c r="B7841" s="89"/>
      <c r="C7841" s="113"/>
      <c r="D7841" s="113"/>
      <c r="E7841" s="114"/>
      <c r="F7841" s="113"/>
      <c r="G7841" s="81"/>
      <c r="H7841" s="81"/>
      <c r="I7841" s="81"/>
      <c r="J7841" s="81"/>
      <c r="K7841" s="81"/>
      <c r="L7841" s="81"/>
      <c r="M7841" s="81"/>
      <c r="N7841" s="81"/>
    </row>
    <row r="7842" spans="1:14" ht="14.25" customHeight="1" x14ac:dyDescent="0.25">
      <c r="A7842" s="88"/>
      <c r="B7842" s="89"/>
      <c r="C7842" s="113"/>
      <c r="D7842" s="113"/>
      <c r="E7842" s="114"/>
      <c r="F7842" s="113"/>
      <c r="G7842" s="81"/>
      <c r="H7842" s="81"/>
      <c r="I7842" s="81"/>
      <c r="J7842" s="81"/>
      <c r="K7842" s="81"/>
      <c r="L7842" s="81"/>
      <c r="M7842" s="81"/>
      <c r="N7842" s="81"/>
    </row>
    <row r="7843" spans="1:14" ht="14.25" customHeight="1" x14ac:dyDescent="0.25">
      <c r="A7843" s="612" t="s">
        <v>588</v>
      </c>
      <c r="B7843" s="608"/>
      <c r="C7843" s="608"/>
      <c r="D7843" s="608"/>
      <c r="E7843" s="609"/>
      <c r="F7843" s="131">
        <f>ROUND(F7815+F7826+F7834+F7840,0)</f>
        <v>31619</v>
      </c>
      <c r="G7843" s="81"/>
      <c r="H7843" s="81"/>
      <c r="I7843" s="81"/>
      <c r="J7843" s="81"/>
      <c r="K7843" s="81"/>
      <c r="L7843" s="81"/>
      <c r="M7843" s="81"/>
      <c r="N7843" s="81"/>
    </row>
    <row r="7844" spans="1:14" ht="14.25" customHeight="1" x14ac:dyDescent="0.25">
      <c r="A7844" s="612" t="s">
        <v>589</v>
      </c>
      <c r="B7844" s="608"/>
      <c r="C7844" s="608"/>
      <c r="D7844" s="608"/>
      <c r="E7844" s="609"/>
      <c r="F7844" s="132"/>
      <c r="G7844" s="81"/>
      <c r="H7844" s="81"/>
      <c r="I7844" s="81"/>
      <c r="J7844" s="81"/>
      <c r="K7844" s="81"/>
      <c r="L7844" s="81"/>
      <c r="M7844" s="81"/>
      <c r="N7844" s="81"/>
    </row>
    <row r="7845" spans="1:14" ht="14.25" customHeight="1" x14ac:dyDescent="0.25">
      <c r="A7845" s="612" t="s">
        <v>556</v>
      </c>
      <c r="B7845" s="608"/>
      <c r="C7845" s="608"/>
      <c r="D7845" s="608"/>
      <c r="E7845" s="609"/>
      <c r="F7845" s="133"/>
      <c r="G7845" s="81"/>
      <c r="H7845" s="81"/>
      <c r="I7845" s="81"/>
      <c r="J7845" s="81"/>
      <c r="K7845" s="81"/>
      <c r="L7845" s="81"/>
      <c r="M7845" s="81"/>
      <c r="N7845" s="81"/>
    </row>
    <row r="7846" spans="1:14" ht="14.25" customHeight="1" x14ac:dyDescent="0.25">
      <c r="A7846" s="134"/>
      <c r="B7846" s="135"/>
      <c r="C7846" s="135"/>
      <c r="D7846" s="135"/>
      <c r="E7846" s="135"/>
      <c r="F7846" s="136"/>
      <c r="G7846" s="81"/>
      <c r="H7846" s="81"/>
      <c r="I7846" s="81"/>
      <c r="J7846" s="81"/>
      <c r="K7846" s="81"/>
      <c r="L7846" s="81"/>
      <c r="M7846" s="81"/>
      <c r="N7846" s="81"/>
    </row>
    <row r="7847" spans="1:14" ht="14.25" customHeight="1" x14ac:dyDescent="0.25">
      <c r="A7847" s="134"/>
      <c r="B7847" s="135"/>
      <c r="C7847" s="135"/>
      <c r="D7847" s="135"/>
      <c r="E7847" s="135"/>
      <c r="F7847" s="136"/>
      <c r="G7847" s="81"/>
      <c r="H7847" s="81"/>
      <c r="I7847" s="81"/>
      <c r="J7847" s="81"/>
      <c r="K7847" s="81"/>
      <c r="L7847" s="81"/>
      <c r="M7847" s="81"/>
      <c r="N7847" s="81"/>
    </row>
    <row r="7848" spans="1:14" ht="14.25" customHeight="1" x14ac:dyDescent="0.25">
      <c r="A7848" s="134"/>
      <c r="B7848" s="135"/>
      <c r="C7848" s="135"/>
      <c r="D7848" s="135"/>
      <c r="E7848" s="135"/>
      <c r="F7848" s="136"/>
      <c r="G7848" s="81"/>
      <c r="H7848" s="81"/>
      <c r="I7848" s="81"/>
      <c r="J7848" s="81"/>
      <c r="K7848" s="81"/>
      <c r="L7848" s="81"/>
      <c r="M7848" s="81"/>
      <c r="N7848" s="81"/>
    </row>
    <row r="7849" spans="1:14" ht="14.25" customHeight="1" x14ac:dyDescent="0.25">
      <c r="A7849" s="134"/>
      <c r="B7849" s="135"/>
      <c r="C7849" s="135"/>
      <c r="D7849" s="135"/>
      <c r="E7849" s="135"/>
      <c r="F7849" s="136"/>
      <c r="G7849" s="81"/>
      <c r="H7849" s="81"/>
      <c r="I7849" s="81"/>
      <c r="J7849" s="81"/>
      <c r="K7849" s="81"/>
      <c r="L7849" s="81"/>
      <c r="M7849" s="81"/>
      <c r="N7849" s="81"/>
    </row>
    <row r="7850" spans="1:14" ht="14.25" customHeight="1" x14ac:dyDescent="0.25">
      <c r="A7850" s="134"/>
      <c r="B7850" s="135"/>
      <c r="C7850" s="135"/>
      <c r="D7850" s="135"/>
      <c r="E7850" s="135"/>
      <c r="F7850" s="136"/>
      <c r="G7850" s="81"/>
      <c r="H7850" s="81"/>
      <c r="I7850" s="81"/>
      <c r="J7850" s="81"/>
      <c r="K7850" s="81"/>
      <c r="L7850" s="81"/>
      <c r="M7850" s="81"/>
      <c r="N7850" s="81"/>
    </row>
    <row r="7851" spans="1:14" ht="14.25" customHeight="1" x14ac:dyDescent="0.25">
      <c r="A7851" s="81"/>
      <c r="B7851" s="81"/>
      <c r="C7851" s="137"/>
      <c r="D7851" s="81"/>
      <c r="E7851" s="81"/>
      <c r="F7851" s="81"/>
      <c r="G7851" s="81"/>
      <c r="H7851" s="81"/>
      <c r="I7851" s="81"/>
      <c r="J7851" s="81"/>
      <c r="K7851" s="81"/>
      <c r="L7851" s="81"/>
      <c r="M7851" s="81"/>
      <c r="N7851" s="81"/>
    </row>
    <row r="7852" spans="1:14" ht="14.25" customHeight="1" x14ac:dyDescent="0.25">
      <c r="A7852" s="81"/>
      <c r="B7852" s="81"/>
      <c r="C7852" s="137"/>
      <c r="D7852" s="81"/>
      <c r="E7852" s="81"/>
      <c r="F7852" s="81"/>
      <c r="G7852" s="81"/>
      <c r="H7852" s="81"/>
      <c r="I7852" s="81"/>
      <c r="J7852" s="81"/>
      <c r="K7852" s="81"/>
      <c r="L7852" s="81"/>
      <c r="M7852" s="81"/>
      <c r="N7852" s="81"/>
    </row>
    <row r="7853" spans="1:14" ht="14.25" customHeight="1" x14ac:dyDescent="0.25">
      <c r="A7853" s="81"/>
      <c r="B7853" s="81"/>
      <c r="C7853" s="137"/>
      <c r="D7853" s="81"/>
      <c r="E7853" s="81"/>
      <c r="F7853" s="81"/>
      <c r="G7853" s="81"/>
      <c r="H7853" s="81"/>
      <c r="I7853" s="81"/>
      <c r="J7853" s="81"/>
      <c r="K7853" s="81"/>
      <c r="L7853" s="81"/>
      <c r="M7853" s="81"/>
      <c r="N7853" s="81"/>
    </row>
    <row r="7854" spans="1:14" ht="14.25" customHeight="1" x14ac:dyDescent="0.25">
      <c r="A7854" s="81"/>
      <c r="B7854" s="81"/>
      <c r="C7854" s="137"/>
      <c r="D7854" s="81"/>
      <c r="E7854" s="81"/>
      <c r="F7854" s="81"/>
      <c r="G7854" s="81"/>
      <c r="H7854" s="81"/>
      <c r="I7854" s="81"/>
      <c r="J7854" s="81"/>
      <c r="K7854" s="81"/>
      <c r="L7854" s="81"/>
      <c r="M7854" s="81"/>
      <c r="N7854" s="81"/>
    </row>
    <row r="7855" spans="1:14" ht="14.25" customHeight="1" thickBot="1" x14ac:dyDescent="0.3">
      <c r="A7855" s="81"/>
      <c r="B7855" s="81"/>
      <c r="C7855" s="81"/>
      <c r="D7855" s="81"/>
      <c r="E7855" s="81"/>
      <c r="F7855" s="81"/>
      <c r="G7855" s="81"/>
      <c r="H7855" s="81"/>
      <c r="I7855" s="81"/>
      <c r="J7855" s="81"/>
      <c r="K7855" s="81"/>
      <c r="L7855" s="81"/>
      <c r="M7855" s="81"/>
      <c r="N7855" s="81"/>
    </row>
    <row r="7856" spans="1:14" ht="14.25" customHeight="1" x14ac:dyDescent="0.25">
      <c r="A7856" s="83"/>
      <c r="B7856" s="84"/>
      <c r="C7856" s="85"/>
      <c r="D7856" s="86"/>
      <c r="E7856" s="86"/>
      <c r="F7856" s="87"/>
      <c r="G7856" s="81"/>
      <c r="H7856" s="81"/>
      <c r="I7856" s="81"/>
      <c r="J7856" s="81"/>
      <c r="K7856" s="81"/>
      <c r="L7856" s="81"/>
      <c r="M7856" s="81"/>
      <c r="N7856" s="81"/>
    </row>
    <row r="7857" spans="1:14" ht="14.25" customHeight="1" x14ac:dyDescent="0.25">
      <c r="A7857" s="599"/>
      <c r="B7857" s="600"/>
      <c r="C7857" s="600"/>
      <c r="D7857" s="600"/>
      <c r="E7857" s="600"/>
      <c r="F7857" s="601"/>
      <c r="G7857" s="81"/>
      <c r="H7857" s="81"/>
      <c r="I7857" s="81"/>
      <c r="J7857" s="81"/>
      <c r="K7857" s="81"/>
      <c r="L7857" s="81"/>
      <c r="M7857" s="81"/>
      <c r="N7857" s="81"/>
    </row>
    <row r="7858" spans="1:14" ht="14.25" customHeight="1" x14ac:dyDescent="0.25">
      <c r="A7858" s="602" t="s">
        <v>561</v>
      </c>
      <c r="B7858" s="600"/>
      <c r="C7858" s="600"/>
      <c r="D7858" s="600"/>
      <c r="E7858" s="600"/>
      <c r="F7858" s="601"/>
      <c r="G7858" s="81"/>
      <c r="H7858" s="81"/>
      <c r="I7858" s="81"/>
      <c r="J7858" s="81"/>
      <c r="K7858" s="81"/>
      <c r="L7858" s="81"/>
      <c r="M7858" s="81"/>
      <c r="N7858" s="81"/>
    </row>
    <row r="7859" spans="1:14" ht="14.25" customHeight="1" thickBot="1" x14ac:dyDescent="0.3">
      <c r="A7859" s="603"/>
      <c r="B7859" s="604"/>
      <c r="C7859" s="604"/>
      <c r="D7859" s="604"/>
      <c r="E7859" s="604"/>
      <c r="F7859" s="605"/>
      <c r="G7859" s="81"/>
      <c r="H7859" s="81"/>
      <c r="I7859" s="81"/>
      <c r="J7859" s="81"/>
      <c r="K7859" s="81"/>
      <c r="L7859" s="81"/>
      <c r="M7859" s="81"/>
      <c r="N7859" s="81"/>
    </row>
    <row r="7860" spans="1:14" ht="14.25" customHeight="1" x14ac:dyDescent="0.25">
      <c r="A7860" s="88"/>
      <c r="B7860" s="88"/>
      <c r="C7860" s="89"/>
      <c r="D7860" s="89"/>
      <c r="E7860" s="89"/>
      <c r="F7860" s="89"/>
      <c r="G7860" s="81"/>
      <c r="H7860" s="81"/>
      <c r="I7860" s="81"/>
      <c r="J7860" s="81"/>
      <c r="K7860" s="81"/>
      <c r="L7860" s="81"/>
      <c r="M7860" s="81"/>
      <c r="N7860" s="81"/>
    </row>
    <row r="7861" spans="1:14" ht="14.25" customHeight="1" x14ac:dyDescent="0.25">
      <c r="A7861" s="90" t="s">
        <v>47</v>
      </c>
      <c r="B7861" s="613" t="s">
        <v>374</v>
      </c>
      <c r="C7861" s="600"/>
      <c r="D7861" s="600"/>
      <c r="E7861" s="600"/>
      <c r="F7861" s="600"/>
      <c r="G7861" s="81"/>
      <c r="H7861" s="81"/>
      <c r="I7861" s="81"/>
      <c r="J7861" s="81"/>
      <c r="K7861" s="81"/>
      <c r="L7861" s="81"/>
      <c r="M7861" s="81"/>
      <c r="N7861" s="81"/>
    </row>
    <row r="7862" spans="1:14" ht="14.25" customHeight="1" x14ac:dyDescent="0.25">
      <c r="A7862" s="91"/>
      <c r="B7862" s="91"/>
      <c r="C7862" s="91"/>
      <c r="D7862" s="91"/>
      <c r="E7862" s="91"/>
      <c r="F7862" s="91"/>
      <c r="G7862" s="81"/>
      <c r="H7862" s="81"/>
      <c r="I7862" s="81"/>
      <c r="J7862" s="81"/>
      <c r="K7862" s="81"/>
      <c r="L7862" s="81"/>
      <c r="M7862" s="81"/>
      <c r="N7862" s="81"/>
    </row>
    <row r="7863" spans="1:14" ht="14.25" customHeight="1" x14ac:dyDescent="0.25">
      <c r="A7863" s="88" t="s">
        <v>49</v>
      </c>
      <c r="B7863" s="92" t="s">
        <v>59</v>
      </c>
      <c r="C7863" s="89"/>
      <c r="D7863" s="89"/>
      <c r="E7863" s="89"/>
      <c r="F7863" s="93"/>
      <c r="G7863" s="81"/>
      <c r="H7863" s="81"/>
      <c r="I7863" s="81"/>
      <c r="J7863" s="81"/>
      <c r="K7863" s="81"/>
      <c r="L7863" s="81"/>
      <c r="M7863" s="81"/>
      <c r="N7863" s="81"/>
    </row>
    <row r="7864" spans="1:14" ht="14.25" customHeight="1" x14ac:dyDescent="0.25">
      <c r="A7864" s="88"/>
      <c r="B7864" s="94"/>
      <c r="C7864" s="89"/>
      <c r="D7864" s="89"/>
      <c r="E7864" s="89"/>
      <c r="F7864" s="93"/>
      <c r="G7864" s="81"/>
      <c r="H7864" s="81"/>
      <c r="I7864" s="81"/>
      <c r="J7864" s="81"/>
      <c r="K7864" s="81"/>
      <c r="L7864" s="81"/>
      <c r="M7864" s="81"/>
      <c r="N7864" s="81"/>
    </row>
    <row r="7865" spans="1:14" ht="14.25" customHeight="1" x14ac:dyDescent="0.25">
      <c r="A7865" s="95" t="s">
        <v>562</v>
      </c>
      <c r="B7865" s="96"/>
      <c r="C7865" s="92"/>
      <c r="D7865" s="92"/>
      <c r="E7865" s="92"/>
      <c r="F7865" s="92"/>
      <c r="G7865" s="81"/>
      <c r="H7865" s="81"/>
      <c r="I7865" s="81"/>
      <c r="J7865" s="81"/>
      <c r="K7865" s="81"/>
      <c r="L7865" s="81"/>
      <c r="M7865" s="81"/>
      <c r="N7865" s="81"/>
    </row>
    <row r="7866" spans="1:14" ht="14.25" customHeight="1" x14ac:dyDescent="0.25">
      <c r="A7866" s="97" t="s">
        <v>563</v>
      </c>
      <c r="B7866" s="98" t="s">
        <v>564</v>
      </c>
      <c r="C7866" s="98" t="s">
        <v>565</v>
      </c>
      <c r="D7866" s="98" t="s">
        <v>566</v>
      </c>
      <c r="E7866" s="98" t="s">
        <v>567</v>
      </c>
      <c r="F7866" s="98" t="s">
        <v>568</v>
      </c>
      <c r="G7866" s="81"/>
      <c r="H7866" s="81"/>
      <c r="I7866" s="81"/>
      <c r="J7866" s="81"/>
      <c r="K7866" s="81"/>
      <c r="L7866" s="81"/>
      <c r="M7866" s="81"/>
      <c r="N7866" s="81"/>
    </row>
    <row r="7867" spans="1:14" ht="14.25" customHeight="1" x14ac:dyDescent="0.25">
      <c r="A7867" s="99" t="s">
        <v>813</v>
      </c>
      <c r="B7867" s="100" t="s">
        <v>59</v>
      </c>
      <c r="C7867" s="101">
        <v>46380</v>
      </c>
      <c r="D7867" s="149">
        <v>1</v>
      </c>
      <c r="E7867" s="102">
        <v>0.05</v>
      </c>
      <c r="F7867" s="101">
        <f t="shared" ref="F7867:F7870" si="392">C7867*(D7867+(D7867*E7867))</f>
        <v>48699</v>
      </c>
      <c r="G7867" s="81"/>
      <c r="H7867" s="81"/>
      <c r="I7867" s="81"/>
      <c r="J7867" s="81"/>
      <c r="K7867" s="81"/>
      <c r="L7867" s="81"/>
      <c r="M7867" s="81"/>
      <c r="N7867" s="81"/>
    </row>
    <row r="7868" spans="1:14" ht="14.25" customHeight="1" x14ac:dyDescent="0.25">
      <c r="A7868" s="99"/>
      <c r="B7868" s="100"/>
      <c r="C7868" s="101"/>
      <c r="D7868" s="149"/>
      <c r="E7868" s="102"/>
      <c r="F7868" s="101">
        <f t="shared" si="392"/>
        <v>0</v>
      </c>
      <c r="G7868" s="81"/>
      <c r="H7868" s="81"/>
      <c r="I7868" s="81"/>
      <c r="J7868" s="81"/>
      <c r="K7868" s="81"/>
      <c r="L7868" s="81"/>
      <c r="M7868" s="81"/>
      <c r="N7868" s="81"/>
    </row>
    <row r="7869" spans="1:14" ht="14.25" customHeight="1" x14ac:dyDescent="0.25">
      <c r="A7869" s="99"/>
      <c r="B7869" s="100"/>
      <c r="C7869" s="101"/>
      <c r="D7869" s="104"/>
      <c r="E7869" s="102"/>
      <c r="F7869" s="101">
        <f t="shared" si="392"/>
        <v>0</v>
      </c>
      <c r="G7869" s="81"/>
      <c r="H7869" s="81"/>
      <c r="I7869" s="81"/>
      <c r="J7869" s="81"/>
      <c r="K7869" s="81"/>
      <c r="L7869" s="81"/>
      <c r="M7869" s="81"/>
      <c r="N7869" s="81"/>
    </row>
    <row r="7870" spans="1:14" ht="14.25" customHeight="1" x14ac:dyDescent="0.25">
      <c r="A7870" s="99"/>
      <c r="B7870" s="100"/>
      <c r="C7870" s="101"/>
      <c r="D7870" s="104"/>
      <c r="E7870" s="102"/>
      <c r="F7870" s="101">
        <f t="shared" si="392"/>
        <v>0</v>
      </c>
      <c r="G7870" s="81"/>
      <c r="H7870" s="81"/>
      <c r="I7870" s="81"/>
      <c r="J7870" s="81"/>
      <c r="K7870" s="81"/>
      <c r="L7870" s="81"/>
      <c r="M7870" s="81"/>
      <c r="N7870" s="81"/>
    </row>
    <row r="7871" spans="1:14" ht="14.25" customHeight="1" x14ac:dyDescent="0.25">
      <c r="A7871" s="99"/>
      <c r="B7871" s="100"/>
      <c r="C7871" s="106"/>
      <c r="D7871" s="107"/>
      <c r="E7871" s="108"/>
      <c r="F7871" s="106"/>
      <c r="G7871" s="81"/>
      <c r="H7871" s="81"/>
      <c r="I7871" s="81"/>
      <c r="J7871" s="81"/>
      <c r="K7871" s="81"/>
      <c r="L7871" s="81"/>
      <c r="M7871" s="81"/>
      <c r="N7871" s="81"/>
    </row>
    <row r="7872" spans="1:14" ht="14.25" customHeight="1" x14ac:dyDescent="0.25">
      <c r="A7872" s="97" t="s">
        <v>548</v>
      </c>
      <c r="B7872" s="97"/>
      <c r="C7872" s="109"/>
      <c r="D7872" s="110"/>
      <c r="E7872" s="111"/>
      <c r="F7872" s="112">
        <f>SUM(F7867:F7871)</f>
        <v>48699</v>
      </c>
      <c r="G7872" s="81"/>
      <c r="H7872" s="81"/>
      <c r="I7872" s="81"/>
      <c r="J7872" s="81"/>
      <c r="K7872" s="81"/>
      <c r="L7872" s="81"/>
      <c r="M7872" s="81"/>
      <c r="N7872" s="81"/>
    </row>
    <row r="7873" spans="1:14" ht="15.75" x14ac:dyDescent="0.25">
      <c r="A7873" s="88"/>
      <c r="B7873" s="88"/>
      <c r="C7873" s="113"/>
      <c r="D7873" s="113"/>
      <c r="E7873" s="114"/>
      <c r="F7873" s="113"/>
      <c r="G7873" s="81"/>
      <c r="H7873" s="81"/>
      <c r="I7873" s="81"/>
      <c r="J7873" s="81"/>
      <c r="K7873" s="81"/>
      <c r="L7873" s="81"/>
      <c r="M7873" s="81"/>
      <c r="N7873" s="81"/>
    </row>
    <row r="7874" spans="1:14" ht="14.25" customHeight="1" x14ac:dyDescent="0.25">
      <c r="A7874" s="96" t="s">
        <v>573</v>
      </c>
      <c r="B7874" s="96"/>
      <c r="C7874" s="92"/>
      <c r="D7874" s="92"/>
      <c r="E7874" s="92"/>
      <c r="F7874" s="92"/>
      <c r="G7874" s="81"/>
      <c r="H7874" s="81"/>
      <c r="I7874" s="81"/>
      <c r="J7874" s="81"/>
      <c r="K7874" s="81"/>
      <c r="L7874" s="81"/>
      <c r="M7874" s="81"/>
      <c r="N7874" s="81"/>
    </row>
    <row r="7875" spans="1:14" ht="14.25" customHeight="1" x14ac:dyDescent="0.25">
      <c r="A7875" s="611" t="s">
        <v>563</v>
      </c>
      <c r="B7875" s="608"/>
      <c r="C7875" s="609"/>
      <c r="D7875" s="98" t="s">
        <v>574</v>
      </c>
      <c r="E7875" s="98" t="s">
        <v>575</v>
      </c>
      <c r="F7875" s="98" t="s">
        <v>568</v>
      </c>
      <c r="G7875" s="81"/>
      <c r="H7875" s="81"/>
      <c r="I7875" s="81"/>
      <c r="J7875" s="81"/>
      <c r="K7875" s="81"/>
      <c r="L7875" s="81"/>
      <c r="M7875" s="81"/>
      <c r="N7875" s="81"/>
    </row>
    <row r="7876" spans="1:14" ht="14.25" customHeight="1" x14ac:dyDescent="0.25">
      <c r="A7876" s="607" t="s">
        <v>577</v>
      </c>
      <c r="B7876" s="608"/>
      <c r="C7876" s="609"/>
      <c r="D7876" s="116"/>
      <c r="E7876" s="107"/>
      <c r="F7876" s="106">
        <f>+F7891*5%</f>
        <v>908.14852887713278</v>
      </c>
      <c r="G7876" s="81"/>
      <c r="H7876" s="81"/>
      <c r="I7876" s="81"/>
      <c r="J7876" s="81"/>
      <c r="K7876" s="81"/>
      <c r="L7876" s="81"/>
      <c r="M7876" s="81"/>
      <c r="N7876" s="81"/>
    </row>
    <row r="7877" spans="1:14" ht="14.25" customHeight="1" x14ac:dyDescent="0.25">
      <c r="A7877" s="607"/>
      <c r="B7877" s="608"/>
      <c r="C7877" s="609"/>
      <c r="D7877" s="142"/>
      <c r="E7877" s="105"/>
      <c r="F7877" s="106"/>
      <c r="G7877" s="81"/>
      <c r="H7877" s="81"/>
      <c r="I7877" s="81"/>
      <c r="J7877" s="81"/>
      <c r="K7877" s="81"/>
      <c r="L7877" s="81"/>
      <c r="M7877" s="81"/>
      <c r="N7877" s="81"/>
    </row>
    <row r="7878" spans="1:14" ht="14.25" customHeight="1" x14ac:dyDescent="0.25">
      <c r="A7878" s="607"/>
      <c r="B7878" s="608"/>
      <c r="C7878" s="609"/>
      <c r="D7878" s="142"/>
      <c r="E7878" s="105"/>
      <c r="F7878" s="106"/>
      <c r="G7878" s="81"/>
      <c r="H7878" s="81"/>
      <c r="I7878" s="81"/>
      <c r="J7878" s="81"/>
      <c r="K7878" s="81"/>
      <c r="L7878" s="81"/>
      <c r="M7878" s="81"/>
      <c r="N7878" s="81"/>
    </row>
    <row r="7879" spans="1:14" ht="14.25" customHeight="1" x14ac:dyDescent="0.25">
      <c r="A7879" s="607"/>
      <c r="B7879" s="608"/>
      <c r="C7879" s="609"/>
      <c r="D7879" s="142"/>
      <c r="E7879" s="107"/>
      <c r="F7879" s="106"/>
      <c r="G7879" s="81"/>
      <c r="H7879" s="81"/>
      <c r="I7879" s="81"/>
      <c r="J7879" s="81"/>
      <c r="K7879" s="81"/>
      <c r="L7879" s="81"/>
      <c r="M7879" s="81"/>
      <c r="N7879" s="81"/>
    </row>
    <row r="7880" spans="1:14" ht="14.25" customHeight="1" x14ac:dyDescent="0.25">
      <c r="A7880" s="607"/>
      <c r="B7880" s="608"/>
      <c r="C7880" s="609"/>
      <c r="D7880" s="142"/>
      <c r="E7880" s="107"/>
      <c r="F7880" s="106"/>
      <c r="G7880" s="81"/>
      <c r="H7880" s="81"/>
      <c r="I7880" s="81"/>
      <c r="J7880" s="81"/>
      <c r="K7880" s="81"/>
      <c r="L7880" s="81"/>
      <c r="M7880" s="81"/>
      <c r="N7880" s="81"/>
    </row>
    <row r="7881" spans="1:14" ht="14.25" customHeight="1" x14ac:dyDescent="0.25">
      <c r="A7881" s="607"/>
      <c r="B7881" s="608"/>
      <c r="C7881" s="609"/>
      <c r="D7881" s="142"/>
      <c r="E7881" s="105"/>
      <c r="F7881" s="106"/>
      <c r="G7881" s="81"/>
      <c r="H7881" s="81"/>
      <c r="I7881" s="81"/>
      <c r="J7881" s="81"/>
      <c r="K7881" s="81"/>
      <c r="L7881" s="81"/>
      <c r="M7881" s="81"/>
      <c r="N7881" s="81"/>
    </row>
    <row r="7882" spans="1:14" ht="14.25" customHeight="1" x14ac:dyDescent="0.25">
      <c r="A7882" s="610"/>
      <c r="B7882" s="608"/>
      <c r="C7882" s="609"/>
      <c r="D7882" s="115"/>
      <c r="E7882" s="107"/>
      <c r="F7882" s="106"/>
      <c r="G7882" s="81"/>
      <c r="H7882" s="81"/>
      <c r="I7882" s="81"/>
      <c r="J7882" s="81"/>
      <c r="K7882" s="81"/>
      <c r="L7882" s="81"/>
      <c r="M7882" s="81"/>
      <c r="N7882" s="81"/>
    </row>
    <row r="7883" spans="1:14" ht="14.25" customHeight="1" x14ac:dyDescent="0.25">
      <c r="A7883" s="611" t="s">
        <v>548</v>
      </c>
      <c r="B7883" s="608"/>
      <c r="C7883" s="609"/>
      <c r="D7883" s="110"/>
      <c r="E7883" s="110"/>
      <c r="F7883" s="112">
        <f>SUM(F7876:F7882)</f>
        <v>908.14852887713278</v>
      </c>
      <c r="G7883" s="81"/>
      <c r="H7883" s="81"/>
      <c r="I7883" s="81"/>
      <c r="J7883" s="81"/>
      <c r="K7883" s="81"/>
      <c r="L7883" s="81"/>
      <c r="M7883" s="81"/>
      <c r="N7883" s="81"/>
    </row>
    <row r="7884" spans="1:14" ht="14.25" customHeight="1" x14ac:dyDescent="0.25">
      <c r="A7884" s="88"/>
      <c r="B7884" s="88"/>
      <c r="C7884" s="89"/>
      <c r="D7884" s="113"/>
      <c r="E7884" s="113"/>
      <c r="F7884" s="113"/>
      <c r="G7884" s="81"/>
      <c r="H7884" s="81"/>
      <c r="I7884" s="81"/>
      <c r="J7884" s="81"/>
      <c r="K7884" s="81"/>
      <c r="L7884" s="81"/>
      <c r="M7884" s="81"/>
      <c r="N7884" s="81"/>
    </row>
    <row r="7885" spans="1:14" ht="14.25" customHeight="1" x14ac:dyDescent="0.25">
      <c r="A7885" s="96" t="s">
        <v>578</v>
      </c>
      <c r="B7885" s="96"/>
      <c r="C7885" s="92"/>
      <c r="D7885" s="118"/>
      <c r="E7885" s="118"/>
      <c r="F7885" s="118"/>
      <c r="G7885" s="81"/>
      <c r="H7885" s="81"/>
      <c r="I7885" s="81"/>
      <c r="J7885" s="81"/>
      <c r="K7885" s="81"/>
      <c r="L7885" s="81"/>
      <c r="M7885" s="81"/>
      <c r="N7885" s="81"/>
    </row>
    <row r="7886" spans="1:14" ht="14.25" customHeight="1" x14ac:dyDescent="0.25">
      <c r="A7886" s="119" t="s">
        <v>563</v>
      </c>
      <c r="B7886" s="120" t="s">
        <v>579</v>
      </c>
      <c r="C7886" s="120" t="s">
        <v>580</v>
      </c>
      <c r="D7886" s="121" t="s">
        <v>581</v>
      </c>
      <c r="E7886" s="121" t="s">
        <v>575</v>
      </c>
      <c r="F7886" s="121" t="s">
        <v>568</v>
      </c>
      <c r="G7886" s="81"/>
      <c r="H7886" s="81"/>
      <c r="I7886" s="81"/>
      <c r="J7886" s="81"/>
      <c r="K7886" s="81"/>
      <c r="L7886" s="81"/>
      <c r="M7886" s="81"/>
      <c r="N7886" s="81"/>
    </row>
    <row r="7887" spans="1:14" ht="14.25" customHeight="1" x14ac:dyDescent="0.25">
      <c r="A7887" s="122" t="s">
        <v>593</v>
      </c>
      <c r="B7887" s="127">
        <v>1</v>
      </c>
      <c r="C7887" s="101">
        <v>32688</v>
      </c>
      <c r="D7887" s="101">
        <f t="shared" ref="D7887:D7888" si="393">+C7887*1.7</f>
        <v>55569.599999999999</v>
      </c>
      <c r="E7887" s="107">
        <v>7.9768999999999997</v>
      </c>
      <c r="F7887" s="106">
        <f t="shared" ref="F7887:F7888" si="394">+B7887*(D7887)/E7887</f>
        <v>6966.315235241761</v>
      </c>
      <c r="G7887" s="81"/>
      <c r="H7887" s="117"/>
      <c r="I7887" s="81"/>
      <c r="J7887" s="81"/>
      <c r="K7887" s="81"/>
      <c r="L7887" s="81"/>
      <c r="M7887" s="81"/>
      <c r="N7887" s="81"/>
    </row>
    <row r="7888" spans="1:14" ht="14.25" customHeight="1" x14ac:dyDescent="0.25">
      <c r="A7888" s="122" t="s">
        <v>594</v>
      </c>
      <c r="B7888" s="127">
        <v>1</v>
      </c>
      <c r="C7888" s="101">
        <v>52538</v>
      </c>
      <c r="D7888" s="101">
        <f t="shared" si="393"/>
        <v>89314.599999999991</v>
      </c>
      <c r="E7888" s="107">
        <f>E7887</f>
        <v>7.9768999999999997</v>
      </c>
      <c r="F7888" s="106">
        <f t="shared" si="394"/>
        <v>11196.655342300894</v>
      </c>
      <c r="G7888" s="81"/>
      <c r="H7888" s="81"/>
      <c r="I7888" s="81"/>
      <c r="J7888" s="81"/>
      <c r="K7888" s="81"/>
      <c r="L7888" s="81"/>
      <c r="M7888" s="81"/>
      <c r="N7888" s="81"/>
    </row>
    <row r="7889" spans="1:14" ht="14.25" customHeight="1" x14ac:dyDescent="0.25">
      <c r="A7889" s="122"/>
      <c r="B7889" s="127"/>
      <c r="C7889" s="101"/>
      <c r="D7889" s="101"/>
      <c r="E7889" s="107"/>
      <c r="F7889" s="106"/>
      <c r="G7889" s="81"/>
      <c r="H7889" s="81"/>
      <c r="I7889" s="81"/>
      <c r="J7889" s="81"/>
      <c r="K7889" s="81"/>
      <c r="L7889" s="81"/>
      <c r="M7889" s="81"/>
      <c r="N7889" s="81"/>
    </row>
    <row r="7890" spans="1:14" ht="14.25" customHeight="1" x14ac:dyDescent="0.25">
      <c r="A7890" s="122"/>
      <c r="B7890" s="127"/>
      <c r="C7890" s="101"/>
      <c r="D7890" s="101"/>
      <c r="E7890" s="125"/>
      <c r="F7890" s="106"/>
      <c r="G7890" s="81"/>
      <c r="H7890" s="81"/>
      <c r="I7890" s="81"/>
      <c r="J7890" s="81"/>
      <c r="K7890" s="81"/>
      <c r="L7890" s="81"/>
      <c r="M7890" s="81"/>
      <c r="N7890" s="81"/>
    </row>
    <row r="7891" spans="1:14" ht="14.25" customHeight="1" x14ac:dyDescent="0.25">
      <c r="A7891" s="97" t="s">
        <v>548</v>
      </c>
      <c r="B7891" s="128"/>
      <c r="C7891" s="110"/>
      <c r="D7891" s="110"/>
      <c r="E7891" s="110"/>
      <c r="F7891" s="112">
        <f>SUM(F7887:F7890)</f>
        <v>18162.970577542656</v>
      </c>
      <c r="G7891" s="81"/>
      <c r="H7891" s="81"/>
      <c r="I7891" s="81"/>
      <c r="J7891" s="81"/>
      <c r="K7891" s="81"/>
      <c r="L7891" s="81"/>
      <c r="M7891" s="81"/>
      <c r="N7891" s="81"/>
    </row>
    <row r="7892" spans="1:14" ht="14.25" customHeight="1" x14ac:dyDescent="0.25">
      <c r="A7892" s="96"/>
      <c r="B7892" s="129"/>
      <c r="C7892" s="118"/>
      <c r="D7892" s="118"/>
      <c r="E7892" s="118"/>
      <c r="F7892" s="118"/>
      <c r="G7892" s="81"/>
      <c r="H7892" s="81"/>
      <c r="I7892" s="81"/>
      <c r="J7892" s="81"/>
      <c r="K7892" s="81"/>
      <c r="L7892" s="81"/>
      <c r="M7892" s="81"/>
      <c r="N7892" s="81"/>
    </row>
    <row r="7893" spans="1:14" ht="14.25" customHeight="1" x14ac:dyDescent="0.25">
      <c r="A7893" s="95" t="s">
        <v>583</v>
      </c>
      <c r="B7893" s="96"/>
      <c r="C7893" s="92"/>
      <c r="D7893" s="92"/>
      <c r="E7893" s="92" t="s">
        <v>584</v>
      </c>
      <c r="F7893" s="92"/>
      <c r="G7893" s="81"/>
      <c r="H7893" s="81"/>
      <c r="I7893" s="81"/>
      <c r="J7893" s="81"/>
      <c r="K7893" s="81"/>
      <c r="L7893" s="81"/>
      <c r="M7893" s="81"/>
      <c r="N7893" s="81"/>
    </row>
    <row r="7894" spans="1:14" ht="14.25" customHeight="1" x14ac:dyDescent="0.25">
      <c r="A7894" s="97" t="s">
        <v>563</v>
      </c>
      <c r="B7894" s="98" t="s">
        <v>564</v>
      </c>
      <c r="C7894" s="98" t="s">
        <v>585</v>
      </c>
      <c r="D7894" s="98" t="s">
        <v>586</v>
      </c>
      <c r="E7894" s="120" t="s">
        <v>587</v>
      </c>
      <c r="F7894" s="98" t="s">
        <v>568</v>
      </c>
      <c r="G7894" s="81"/>
      <c r="H7894" s="81"/>
      <c r="I7894" s="81"/>
      <c r="J7894" s="81"/>
      <c r="K7894" s="81"/>
      <c r="L7894" s="81"/>
      <c r="M7894" s="81"/>
      <c r="N7894" s="81"/>
    </row>
    <row r="7895" spans="1:14" ht="14.25" customHeight="1" x14ac:dyDescent="0.25">
      <c r="A7895" s="103"/>
      <c r="B7895" s="100"/>
      <c r="C7895" s="101"/>
      <c r="D7895" s="140"/>
      <c r="E7895" s="107"/>
      <c r="F7895" s="109"/>
      <c r="G7895" s="81"/>
      <c r="H7895" s="81"/>
      <c r="I7895" s="81"/>
      <c r="J7895" s="81"/>
      <c r="K7895" s="81"/>
      <c r="L7895" s="81"/>
      <c r="M7895" s="81"/>
      <c r="N7895" s="81"/>
    </row>
    <row r="7896" spans="1:14" ht="14.25" customHeight="1" x14ac:dyDescent="0.25">
      <c r="A7896" s="103"/>
      <c r="B7896" s="100"/>
      <c r="C7896" s="107"/>
      <c r="D7896" s="107"/>
      <c r="E7896" s="108"/>
      <c r="F7896" s="109"/>
      <c r="G7896" s="81"/>
      <c r="H7896" s="81"/>
      <c r="I7896" s="81"/>
      <c r="J7896" s="81"/>
      <c r="K7896" s="81"/>
      <c r="L7896" s="81"/>
      <c r="M7896" s="81"/>
      <c r="N7896" s="81"/>
    </row>
    <row r="7897" spans="1:14" ht="14.25" customHeight="1" x14ac:dyDescent="0.25">
      <c r="A7897" s="97" t="s">
        <v>548</v>
      </c>
      <c r="B7897" s="98"/>
      <c r="C7897" s="110"/>
      <c r="D7897" s="110"/>
      <c r="E7897" s="111"/>
      <c r="F7897" s="112">
        <f>SUM(F7895:F7896)</f>
        <v>0</v>
      </c>
      <c r="G7897" s="81"/>
      <c r="H7897" s="81"/>
      <c r="I7897" s="81"/>
      <c r="J7897" s="81"/>
      <c r="K7897" s="81"/>
      <c r="L7897" s="81"/>
      <c r="M7897" s="81"/>
      <c r="N7897" s="81"/>
    </row>
    <row r="7898" spans="1:14" ht="14.25" customHeight="1" x14ac:dyDescent="0.25">
      <c r="A7898" s="88"/>
      <c r="B7898" s="89"/>
      <c r="C7898" s="113"/>
      <c r="D7898" s="113"/>
      <c r="E7898" s="114"/>
      <c r="F7898" s="113"/>
      <c r="G7898" s="81"/>
      <c r="H7898" s="81"/>
      <c r="I7898" s="81"/>
      <c r="J7898" s="81"/>
      <c r="K7898" s="81"/>
      <c r="L7898" s="81"/>
      <c r="M7898" s="81"/>
      <c r="N7898" s="81"/>
    </row>
    <row r="7899" spans="1:14" ht="14.25" customHeight="1" x14ac:dyDescent="0.25">
      <c r="A7899" s="88"/>
      <c r="B7899" s="89"/>
      <c r="C7899" s="113"/>
      <c r="D7899" s="113"/>
      <c r="E7899" s="114"/>
      <c r="F7899" s="113"/>
      <c r="G7899" s="81"/>
      <c r="H7899" s="81"/>
      <c r="I7899" s="81"/>
      <c r="J7899" s="81"/>
      <c r="K7899" s="81"/>
      <c r="L7899" s="81"/>
      <c r="M7899" s="81"/>
      <c r="N7899" s="81"/>
    </row>
    <row r="7900" spans="1:14" ht="14.25" customHeight="1" x14ac:dyDescent="0.25">
      <c r="A7900" s="612" t="s">
        <v>588</v>
      </c>
      <c r="B7900" s="608"/>
      <c r="C7900" s="608"/>
      <c r="D7900" s="608"/>
      <c r="E7900" s="609"/>
      <c r="F7900" s="131">
        <f>ROUND(F7872+F7883+F7891+F7897,0)</f>
        <v>67770</v>
      </c>
      <c r="G7900" s="81"/>
      <c r="H7900" s="81"/>
      <c r="I7900" s="81"/>
      <c r="J7900" s="81"/>
      <c r="K7900" s="81"/>
      <c r="L7900" s="81"/>
      <c r="M7900" s="81"/>
      <c r="N7900" s="81"/>
    </row>
    <row r="7901" spans="1:14" ht="14.25" customHeight="1" x14ac:dyDescent="0.25">
      <c r="A7901" s="612" t="s">
        <v>589</v>
      </c>
      <c r="B7901" s="608"/>
      <c r="C7901" s="608"/>
      <c r="D7901" s="608"/>
      <c r="E7901" s="609"/>
      <c r="F7901" s="132"/>
      <c r="G7901" s="81"/>
      <c r="H7901" s="81"/>
      <c r="I7901" s="81"/>
      <c r="J7901" s="81"/>
      <c r="K7901" s="81"/>
      <c r="L7901" s="81"/>
      <c r="M7901" s="81"/>
      <c r="N7901" s="81"/>
    </row>
    <row r="7902" spans="1:14" ht="14.25" customHeight="1" x14ac:dyDescent="0.25">
      <c r="A7902" s="612" t="s">
        <v>556</v>
      </c>
      <c r="B7902" s="608"/>
      <c r="C7902" s="608"/>
      <c r="D7902" s="608"/>
      <c r="E7902" s="609"/>
      <c r="F7902" s="133"/>
      <c r="G7902" s="81"/>
      <c r="H7902" s="81"/>
      <c r="I7902" s="81"/>
      <c r="J7902" s="81"/>
      <c r="K7902" s="81"/>
      <c r="L7902" s="81"/>
      <c r="M7902" s="81"/>
      <c r="N7902" s="81"/>
    </row>
    <row r="7903" spans="1:14" ht="14.25" customHeight="1" x14ac:dyDescent="0.25">
      <c r="A7903" s="134"/>
      <c r="B7903" s="135"/>
      <c r="C7903" s="135"/>
      <c r="D7903" s="135"/>
      <c r="E7903" s="135"/>
      <c r="F7903" s="136"/>
      <c r="G7903" s="81"/>
      <c r="H7903" s="81"/>
      <c r="I7903" s="81"/>
      <c r="J7903" s="81"/>
      <c r="K7903" s="81"/>
      <c r="L7903" s="81"/>
      <c r="M7903" s="81"/>
      <c r="N7903" s="81"/>
    </row>
    <row r="7904" spans="1:14" ht="14.25" customHeight="1" x14ac:dyDescent="0.25">
      <c r="A7904" s="134"/>
      <c r="B7904" s="135"/>
      <c r="C7904" s="135"/>
      <c r="D7904" s="135"/>
      <c r="E7904" s="135"/>
      <c r="F7904" s="136"/>
      <c r="G7904" s="81"/>
      <c r="H7904" s="81"/>
      <c r="I7904" s="81"/>
      <c r="J7904" s="81"/>
      <c r="K7904" s="81"/>
      <c r="L7904" s="81"/>
      <c r="M7904" s="81"/>
      <c r="N7904" s="81"/>
    </row>
    <row r="7905" spans="1:14" ht="14.25" customHeight="1" x14ac:dyDescent="0.25">
      <c r="A7905" s="134"/>
      <c r="B7905" s="135"/>
      <c r="C7905" s="135"/>
      <c r="D7905" s="135"/>
      <c r="E7905" s="135"/>
      <c r="F7905" s="136"/>
      <c r="G7905" s="81"/>
      <c r="H7905" s="81"/>
      <c r="I7905" s="81"/>
      <c r="J7905" s="81"/>
      <c r="K7905" s="81"/>
      <c r="L7905" s="81"/>
      <c r="M7905" s="81"/>
      <c r="N7905" s="81"/>
    </row>
    <row r="7906" spans="1:14" ht="14.25" customHeight="1" x14ac:dyDescent="0.25">
      <c r="A7906" s="134"/>
      <c r="B7906" s="135"/>
      <c r="C7906" s="135"/>
      <c r="D7906" s="135"/>
      <c r="E7906" s="135"/>
      <c r="F7906" s="136"/>
      <c r="G7906" s="81"/>
      <c r="H7906" s="81"/>
      <c r="I7906" s="81"/>
      <c r="J7906" s="81"/>
      <c r="K7906" s="81"/>
      <c r="L7906" s="81"/>
      <c r="M7906" s="81"/>
      <c r="N7906" s="81"/>
    </row>
    <row r="7907" spans="1:14" ht="14.25" customHeight="1" x14ac:dyDescent="0.25">
      <c r="A7907" s="134"/>
      <c r="B7907" s="135"/>
      <c r="C7907" s="135"/>
      <c r="D7907" s="135"/>
      <c r="E7907" s="135"/>
      <c r="F7907" s="136"/>
      <c r="G7907" s="81"/>
      <c r="H7907" s="81"/>
      <c r="I7907" s="81"/>
      <c r="J7907" s="81"/>
      <c r="K7907" s="81"/>
      <c r="L7907" s="81"/>
      <c r="M7907" s="81"/>
      <c r="N7907" s="81"/>
    </row>
    <row r="7908" spans="1:14" ht="14.25" customHeight="1" x14ac:dyDescent="0.25">
      <c r="A7908" s="81"/>
      <c r="B7908" s="81"/>
      <c r="C7908" s="137"/>
      <c r="D7908" s="81"/>
      <c r="E7908" s="81"/>
      <c r="F7908" s="81"/>
      <c r="G7908" s="81"/>
      <c r="H7908" s="81"/>
      <c r="I7908" s="81"/>
      <c r="J7908" s="81"/>
      <c r="K7908" s="81"/>
      <c r="L7908" s="81"/>
      <c r="M7908" s="81"/>
      <c r="N7908" s="81"/>
    </row>
    <row r="7909" spans="1:14" ht="14.25" customHeight="1" x14ac:dyDescent="0.25">
      <c r="A7909" s="81"/>
      <c r="B7909" s="81"/>
      <c r="C7909" s="137"/>
      <c r="D7909" s="81"/>
      <c r="E7909" s="81"/>
      <c r="F7909" s="81"/>
      <c r="G7909" s="81"/>
      <c r="H7909" s="81"/>
      <c r="I7909" s="81"/>
      <c r="J7909" s="81"/>
      <c r="K7909" s="81"/>
      <c r="L7909" s="81"/>
      <c r="M7909" s="81"/>
      <c r="N7909" s="81"/>
    </row>
    <row r="7910" spans="1:14" ht="14.25" customHeight="1" x14ac:dyDescent="0.25">
      <c r="A7910" s="81"/>
      <c r="B7910" s="81"/>
      <c r="C7910" s="137"/>
      <c r="D7910" s="81"/>
      <c r="E7910" s="81"/>
      <c r="F7910" s="81"/>
      <c r="G7910" s="81"/>
      <c r="H7910" s="81"/>
      <c r="I7910" s="81"/>
      <c r="J7910" s="81"/>
      <c r="K7910" s="81"/>
      <c r="L7910" s="81"/>
      <c r="M7910" s="81"/>
      <c r="N7910" s="81"/>
    </row>
    <row r="7911" spans="1:14" ht="14.25" customHeight="1" x14ac:dyDescent="0.25">
      <c r="A7911" s="81"/>
      <c r="B7911" s="81"/>
      <c r="C7911" s="137"/>
      <c r="D7911" s="81"/>
      <c r="E7911" s="81"/>
      <c r="F7911" s="81"/>
      <c r="G7911" s="81"/>
      <c r="H7911" s="81"/>
      <c r="I7911" s="81"/>
      <c r="J7911" s="81"/>
      <c r="K7911" s="81"/>
      <c r="L7911" s="81"/>
      <c r="M7911" s="81"/>
      <c r="N7911" s="81"/>
    </row>
    <row r="7912" spans="1:14" ht="14.25" customHeight="1" thickBot="1" x14ac:dyDescent="0.3">
      <c r="A7912" s="81"/>
      <c r="B7912" s="81"/>
      <c r="C7912" s="81"/>
      <c r="D7912" s="81"/>
      <c r="E7912" s="81"/>
      <c r="F7912" s="81"/>
      <c r="G7912" s="81"/>
      <c r="H7912" s="81"/>
      <c r="I7912" s="81"/>
      <c r="J7912" s="81"/>
      <c r="K7912" s="81"/>
      <c r="L7912" s="81"/>
      <c r="M7912" s="81"/>
      <c r="N7912" s="81"/>
    </row>
    <row r="7913" spans="1:14" ht="14.25" customHeight="1" x14ac:dyDescent="0.25">
      <c r="A7913" s="83"/>
      <c r="B7913" s="84"/>
      <c r="C7913" s="85"/>
      <c r="D7913" s="86"/>
      <c r="E7913" s="86"/>
      <c r="F7913" s="87"/>
      <c r="G7913" s="81"/>
      <c r="H7913" s="81"/>
      <c r="I7913" s="81"/>
      <c r="J7913" s="81"/>
      <c r="K7913" s="81"/>
      <c r="L7913" s="81"/>
      <c r="M7913" s="81"/>
      <c r="N7913" s="81"/>
    </row>
    <row r="7914" spans="1:14" ht="14.25" customHeight="1" x14ac:dyDescent="0.25">
      <c r="A7914" s="599"/>
      <c r="B7914" s="600"/>
      <c r="C7914" s="600"/>
      <c r="D7914" s="600"/>
      <c r="E7914" s="600"/>
      <c r="F7914" s="601"/>
      <c r="G7914" s="81"/>
      <c r="H7914" s="81"/>
      <c r="I7914" s="81"/>
      <c r="J7914" s="81"/>
      <c r="K7914" s="81"/>
      <c r="L7914" s="81"/>
      <c r="M7914" s="81"/>
      <c r="N7914" s="81"/>
    </row>
    <row r="7915" spans="1:14" ht="14.25" customHeight="1" x14ac:dyDescent="0.25">
      <c r="A7915" s="602" t="s">
        <v>561</v>
      </c>
      <c r="B7915" s="600"/>
      <c r="C7915" s="600"/>
      <c r="D7915" s="600"/>
      <c r="E7915" s="600"/>
      <c r="F7915" s="601"/>
      <c r="G7915" s="81"/>
      <c r="H7915" s="81"/>
      <c r="I7915" s="81"/>
      <c r="J7915" s="81"/>
      <c r="K7915" s="81"/>
      <c r="L7915" s="81"/>
      <c r="M7915" s="81"/>
      <c r="N7915" s="81"/>
    </row>
    <row r="7916" spans="1:14" ht="14.25" customHeight="1" thickBot="1" x14ac:dyDescent="0.3">
      <c r="A7916" s="603"/>
      <c r="B7916" s="604"/>
      <c r="C7916" s="604"/>
      <c r="D7916" s="604"/>
      <c r="E7916" s="604"/>
      <c r="F7916" s="605"/>
      <c r="G7916" s="81"/>
      <c r="H7916" s="81"/>
      <c r="I7916" s="81"/>
      <c r="J7916" s="81"/>
      <c r="K7916" s="81"/>
      <c r="L7916" s="81"/>
      <c r="M7916" s="81"/>
      <c r="N7916" s="81"/>
    </row>
    <row r="7917" spans="1:14" ht="14.25" customHeight="1" x14ac:dyDescent="0.25">
      <c r="A7917" s="88"/>
      <c r="B7917" s="88"/>
      <c r="C7917" s="89"/>
      <c r="D7917" s="89"/>
      <c r="E7917" s="89"/>
      <c r="F7917" s="89"/>
      <c r="G7917" s="81"/>
      <c r="H7917" s="81"/>
      <c r="I7917" s="81"/>
      <c r="J7917" s="81"/>
      <c r="K7917" s="81"/>
      <c r="L7917" s="81"/>
      <c r="M7917" s="81"/>
      <c r="N7917" s="81"/>
    </row>
    <row r="7918" spans="1:14" ht="14.25" customHeight="1" x14ac:dyDescent="0.25">
      <c r="A7918" s="90" t="s">
        <v>47</v>
      </c>
      <c r="B7918" s="613" t="s">
        <v>376</v>
      </c>
      <c r="C7918" s="600"/>
      <c r="D7918" s="600"/>
      <c r="E7918" s="600"/>
      <c r="F7918" s="600"/>
      <c r="G7918" s="81"/>
      <c r="H7918" s="81"/>
      <c r="I7918" s="81"/>
      <c r="J7918" s="81"/>
      <c r="K7918" s="81"/>
      <c r="L7918" s="81"/>
      <c r="M7918" s="81"/>
      <c r="N7918" s="81"/>
    </row>
    <row r="7919" spans="1:14" ht="14.25" customHeight="1" x14ac:dyDescent="0.25">
      <c r="A7919" s="91"/>
      <c r="B7919" s="91"/>
      <c r="C7919" s="91"/>
      <c r="D7919" s="91"/>
      <c r="E7919" s="91"/>
      <c r="F7919" s="91"/>
      <c r="G7919" s="81"/>
      <c r="H7919" s="81"/>
      <c r="I7919" s="81"/>
      <c r="J7919" s="81"/>
      <c r="K7919" s="81"/>
      <c r="L7919" s="81"/>
      <c r="M7919" s="81"/>
      <c r="N7919" s="81"/>
    </row>
    <row r="7920" spans="1:14" ht="14.25" customHeight="1" x14ac:dyDescent="0.25">
      <c r="A7920" s="88" t="s">
        <v>49</v>
      </c>
      <c r="B7920" s="92" t="s">
        <v>56</v>
      </c>
      <c r="C7920" s="89"/>
      <c r="D7920" s="89"/>
      <c r="E7920" s="89"/>
      <c r="F7920" s="93"/>
      <c r="G7920" s="81"/>
      <c r="H7920" s="81"/>
      <c r="I7920" s="81"/>
      <c r="J7920" s="81"/>
      <c r="K7920" s="81"/>
      <c r="L7920" s="81"/>
      <c r="M7920" s="81"/>
      <c r="N7920" s="81"/>
    </row>
    <row r="7921" spans="1:14" ht="14.25" customHeight="1" x14ac:dyDescent="0.25">
      <c r="A7921" s="88"/>
      <c r="B7921" s="94"/>
      <c r="C7921" s="89"/>
      <c r="D7921" s="89"/>
      <c r="E7921" s="89"/>
      <c r="F7921" s="93"/>
      <c r="G7921" s="81"/>
      <c r="H7921" s="81"/>
      <c r="I7921" s="81"/>
      <c r="J7921" s="81"/>
      <c r="K7921" s="81"/>
      <c r="L7921" s="81"/>
      <c r="M7921" s="81"/>
      <c r="N7921" s="81"/>
    </row>
    <row r="7922" spans="1:14" ht="14.25" customHeight="1" x14ac:dyDescent="0.25">
      <c r="A7922" s="95" t="s">
        <v>562</v>
      </c>
      <c r="B7922" s="96"/>
      <c r="C7922" s="92"/>
      <c r="D7922" s="92"/>
      <c r="E7922" s="92"/>
      <c r="F7922" s="92"/>
      <c r="G7922" s="81"/>
      <c r="H7922" s="81"/>
      <c r="I7922" s="81"/>
      <c r="J7922" s="81"/>
      <c r="K7922" s="81"/>
      <c r="L7922" s="81"/>
      <c r="M7922" s="81"/>
      <c r="N7922" s="81"/>
    </row>
    <row r="7923" spans="1:14" ht="14.25" customHeight="1" x14ac:dyDescent="0.25">
      <c r="A7923" s="97" t="s">
        <v>563</v>
      </c>
      <c r="B7923" s="98" t="s">
        <v>564</v>
      </c>
      <c r="C7923" s="98" t="s">
        <v>565</v>
      </c>
      <c r="D7923" s="98" t="s">
        <v>566</v>
      </c>
      <c r="E7923" s="98" t="s">
        <v>567</v>
      </c>
      <c r="F7923" s="98" t="s">
        <v>568</v>
      </c>
      <c r="G7923" s="81"/>
      <c r="H7923" s="81"/>
      <c r="I7923" s="81"/>
      <c r="J7923" s="81"/>
      <c r="K7923" s="81"/>
      <c r="L7923" s="81"/>
      <c r="M7923" s="81"/>
      <c r="N7923" s="81"/>
    </row>
    <row r="7924" spans="1:14" ht="14.25" customHeight="1" x14ac:dyDescent="0.25">
      <c r="A7924" s="99" t="s">
        <v>814</v>
      </c>
      <c r="B7924" s="100" t="s">
        <v>56</v>
      </c>
      <c r="C7924" s="101">
        <v>5885</v>
      </c>
      <c r="D7924" s="149">
        <v>1</v>
      </c>
      <c r="E7924" s="102">
        <v>0.05</v>
      </c>
      <c r="F7924" s="101">
        <f t="shared" ref="F7924:F7927" si="395">C7924*(D7924+(D7924*E7924))</f>
        <v>6179.25</v>
      </c>
      <c r="G7924" s="81"/>
      <c r="H7924" s="81"/>
      <c r="I7924" s="81"/>
      <c r="J7924" s="81"/>
      <c r="K7924" s="81"/>
      <c r="L7924" s="81"/>
      <c r="M7924" s="81"/>
      <c r="N7924" s="81"/>
    </row>
    <row r="7925" spans="1:14" ht="14.25" customHeight="1" x14ac:dyDescent="0.25">
      <c r="A7925" s="99"/>
      <c r="B7925" s="100"/>
      <c r="C7925" s="101"/>
      <c r="D7925" s="149"/>
      <c r="E7925" s="102"/>
      <c r="F7925" s="101">
        <f t="shared" si="395"/>
        <v>0</v>
      </c>
      <c r="G7925" s="81"/>
      <c r="H7925" s="81"/>
      <c r="I7925" s="81"/>
      <c r="J7925" s="81"/>
      <c r="K7925" s="81"/>
      <c r="L7925" s="81"/>
      <c r="M7925" s="81"/>
      <c r="N7925" s="81"/>
    </row>
    <row r="7926" spans="1:14" ht="14.25" customHeight="1" x14ac:dyDescent="0.25">
      <c r="A7926" s="99"/>
      <c r="B7926" s="100"/>
      <c r="C7926" s="101"/>
      <c r="D7926" s="104"/>
      <c r="E7926" s="102"/>
      <c r="F7926" s="101">
        <f t="shared" si="395"/>
        <v>0</v>
      </c>
      <c r="G7926" s="81"/>
      <c r="H7926" s="81"/>
      <c r="I7926" s="81"/>
      <c r="J7926" s="81"/>
      <c r="K7926" s="81"/>
      <c r="L7926" s="81"/>
      <c r="M7926" s="81"/>
      <c r="N7926" s="81"/>
    </row>
    <row r="7927" spans="1:14" ht="14.25" customHeight="1" x14ac:dyDescent="0.25">
      <c r="A7927" s="99"/>
      <c r="B7927" s="100"/>
      <c r="C7927" s="101"/>
      <c r="D7927" s="104"/>
      <c r="E7927" s="102"/>
      <c r="F7927" s="101">
        <f t="shared" si="395"/>
        <v>0</v>
      </c>
      <c r="G7927" s="81"/>
      <c r="H7927" s="81"/>
      <c r="I7927" s="81"/>
      <c r="J7927" s="81"/>
      <c r="K7927" s="81"/>
      <c r="L7927" s="81"/>
      <c r="M7927" s="81"/>
      <c r="N7927" s="81"/>
    </row>
    <row r="7928" spans="1:14" ht="14.25" customHeight="1" x14ac:dyDescent="0.25">
      <c r="A7928" s="99"/>
      <c r="B7928" s="100"/>
      <c r="C7928" s="106"/>
      <c r="D7928" s="107"/>
      <c r="E7928" s="108"/>
      <c r="F7928" s="106"/>
      <c r="G7928" s="81"/>
      <c r="H7928" s="81"/>
      <c r="I7928" s="81"/>
      <c r="J7928" s="81"/>
      <c r="K7928" s="81"/>
      <c r="L7928" s="81"/>
      <c r="M7928" s="81"/>
      <c r="N7928" s="81"/>
    </row>
    <row r="7929" spans="1:14" ht="14.25" customHeight="1" x14ac:dyDescent="0.25">
      <c r="A7929" s="97" t="s">
        <v>548</v>
      </c>
      <c r="B7929" s="97"/>
      <c r="C7929" s="109"/>
      <c r="D7929" s="110"/>
      <c r="E7929" s="111"/>
      <c r="F7929" s="112">
        <f>SUM(F7924:F7928)</f>
        <v>6179.25</v>
      </c>
      <c r="G7929" s="81"/>
      <c r="H7929" s="81"/>
      <c r="I7929" s="81"/>
      <c r="J7929" s="81"/>
      <c r="K7929" s="81"/>
      <c r="L7929" s="81"/>
      <c r="M7929" s="81"/>
      <c r="N7929" s="81"/>
    </row>
    <row r="7930" spans="1:14" ht="15.75" x14ac:dyDescent="0.25">
      <c r="A7930" s="88"/>
      <c r="B7930" s="88"/>
      <c r="C7930" s="113"/>
      <c r="D7930" s="113"/>
      <c r="E7930" s="114"/>
      <c r="F7930" s="113"/>
      <c r="G7930" s="81"/>
      <c r="H7930" s="81"/>
      <c r="I7930" s="81"/>
      <c r="J7930" s="81"/>
      <c r="K7930" s="81"/>
      <c r="L7930" s="81"/>
      <c r="M7930" s="81"/>
      <c r="N7930" s="81"/>
    </row>
    <row r="7931" spans="1:14" ht="14.25" customHeight="1" x14ac:dyDescent="0.25">
      <c r="A7931" s="96" t="s">
        <v>573</v>
      </c>
      <c r="B7931" s="96"/>
      <c r="C7931" s="92"/>
      <c r="D7931" s="92"/>
      <c r="E7931" s="92"/>
      <c r="F7931" s="92"/>
      <c r="G7931" s="81"/>
      <c r="H7931" s="81"/>
      <c r="I7931" s="81"/>
      <c r="J7931" s="81"/>
      <c r="K7931" s="81"/>
      <c r="L7931" s="81"/>
      <c r="M7931" s="81"/>
      <c r="N7931" s="81"/>
    </row>
    <row r="7932" spans="1:14" ht="14.25" customHeight="1" x14ac:dyDescent="0.25">
      <c r="A7932" s="611" t="s">
        <v>563</v>
      </c>
      <c r="B7932" s="608"/>
      <c r="C7932" s="609"/>
      <c r="D7932" s="98" t="s">
        <v>574</v>
      </c>
      <c r="E7932" s="98" t="s">
        <v>575</v>
      </c>
      <c r="F7932" s="98" t="s">
        <v>568</v>
      </c>
      <c r="G7932" s="81"/>
      <c r="H7932" s="81"/>
      <c r="I7932" s="81"/>
      <c r="J7932" s="81"/>
      <c r="K7932" s="81"/>
      <c r="L7932" s="81"/>
      <c r="M7932" s="81"/>
      <c r="N7932" s="81"/>
    </row>
    <row r="7933" spans="1:14" ht="14.25" customHeight="1" x14ac:dyDescent="0.25">
      <c r="A7933" s="607" t="s">
        <v>577</v>
      </c>
      <c r="B7933" s="608"/>
      <c r="C7933" s="609"/>
      <c r="D7933" s="116"/>
      <c r="E7933" s="107"/>
      <c r="F7933" s="106">
        <f>+F7948*5%</f>
        <v>241.47366666666667</v>
      </c>
      <c r="G7933" s="81"/>
      <c r="H7933" s="81"/>
      <c r="I7933" s="81"/>
      <c r="J7933" s="81"/>
      <c r="K7933" s="81"/>
      <c r="L7933" s="81"/>
      <c r="M7933" s="81"/>
      <c r="N7933" s="81"/>
    </row>
    <row r="7934" spans="1:14" ht="14.25" customHeight="1" x14ac:dyDescent="0.25">
      <c r="A7934" s="607"/>
      <c r="B7934" s="608"/>
      <c r="C7934" s="609"/>
      <c r="D7934" s="142"/>
      <c r="E7934" s="105"/>
      <c r="F7934" s="106"/>
      <c r="G7934" s="81"/>
      <c r="H7934" s="81"/>
      <c r="I7934" s="81"/>
      <c r="J7934" s="81"/>
      <c r="K7934" s="81"/>
      <c r="L7934" s="81"/>
      <c r="M7934" s="81"/>
      <c r="N7934" s="81"/>
    </row>
    <row r="7935" spans="1:14" ht="14.25" customHeight="1" x14ac:dyDescent="0.25">
      <c r="A7935" s="607"/>
      <c r="B7935" s="608"/>
      <c r="C7935" s="609"/>
      <c r="D7935" s="142"/>
      <c r="E7935" s="105"/>
      <c r="F7935" s="106"/>
      <c r="G7935" s="81"/>
      <c r="H7935" s="81"/>
      <c r="I7935" s="81"/>
      <c r="J7935" s="81"/>
      <c r="K7935" s="81"/>
      <c r="L7935" s="81"/>
      <c r="M7935" s="81"/>
      <c r="N7935" s="81"/>
    </row>
    <row r="7936" spans="1:14" ht="14.25" customHeight="1" x14ac:dyDescent="0.25">
      <c r="A7936" s="607"/>
      <c r="B7936" s="608"/>
      <c r="C7936" s="609"/>
      <c r="D7936" s="142"/>
      <c r="E7936" s="107"/>
      <c r="F7936" s="106"/>
      <c r="G7936" s="81"/>
      <c r="H7936" s="81"/>
      <c r="I7936" s="81"/>
      <c r="J7936" s="81"/>
      <c r="K7936" s="81"/>
      <c r="L7936" s="81"/>
      <c r="M7936" s="81"/>
      <c r="N7936" s="81"/>
    </row>
    <row r="7937" spans="1:14" ht="14.25" customHeight="1" x14ac:dyDescent="0.25">
      <c r="A7937" s="607"/>
      <c r="B7937" s="608"/>
      <c r="C7937" s="609"/>
      <c r="D7937" s="142"/>
      <c r="E7937" s="107"/>
      <c r="F7937" s="106"/>
      <c r="G7937" s="81"/>
      <c r="H7937" s="81"/>
      <c r="I7937" s="81"/>
      <c r="J7937" s="81"/>
      <c r="K7937" s="81"/>
      <c r="L7937" s="81"/>
      <c r="M7937" s="81"/>
      <c r="N7937" s="81"/>
    </row>
    <row r="7938" spans="1:14" ht="14.25" customHeight="1" x14ac:dyDescent="0.25">
      <c r="A7938" s="607"/>
      <c r="B7938" s="608"/>
      <c r="C7938" s="609"/>
      <c r="D7938" s="142"/>
      <c r="E7938" s="105"/>
      <c r="F7938" s="106"/>
      <c r="G7938" s="81"/>
      <c r="H7938" s="81"/>
      <c r="I7938" s="81"/>
      <c r="J7938" s="81"/>
      <c r="K7938" s="81"/>
      <c r="L7938" s="81"/>
      <c r="M7938" s="81"/>
      <c r="N7938" s="81"/>
    </row>
    <row r="7939" spans="1:14" ht="14.25" customHeight="1" x14ac:dyDescent="0.25">
      <c r="A7939" s="610"/>
      <c r="B7939" s="608"/>
      <c r="C7939" s="609"/>
      <c r="D7939" s="115"/>
      <c r="E7939" s="107"/>
      <c r="F7939" s="106"/>
      <c r="G7939" s="81"/>
      <c r="H7939" s="81"/>
      <c r="I7939" s="81"/>
      <c r="J7939" s="81"/>
      <c r="K7939" s="81"/>
      <c r="L7939" s="81"/>
      <c r="M7939" s="81"/>
      <c r="N7939" s="81"/>
    </row>
    <row r="7940" spans="1:14" ht="14.25" customHeight="1" x14ac:dyDescent="0.25">
      <c r="A7940" s="611" t="s">
        <v>548</v>
      </c>
      <c r="B7940" s="608"/>
      <c r="C7940" s="609"/>
      <c r="D7940" s="110"/>
      <c r="E7940" s="110"/>
      <c r="F7940" s="112">
        <f>SUM(F7933:F7939)</f>
        <v>241.47366666666667</v>
      </c>
      <c r="G7940" s="81"/>
      <c r="H7940" s="81"/>
      <c r="I7940" s="81"/>
      <c r="J7940" s="81"/>
      <c r="K7940" s="81"/>
      <c r="L7940" s="81"/>
      <c r="M7940" s="81"/>
      <c r="N7940" s="81"/>
    </row>
    <row r="7941" spans="1:14" ht="14.25" customHeight="1" x14ac:dyDescent="0.25">
      <c r="A7941" s="88"/>
      <c r="B7941" s="88"/>
      <c r="C7941" s="89"/>
      <c r="D7941" s="113"/>
      <c r="E7941" s="113"/>
      <c r="F7941" s="113"/>
      <c r="G7941" s="81"/>
      <c r="H7941" s="81"/>
      <c r="I7941" s="81"/>
      <c r="J7941" s="81"/>
      <c r="K7941" s="81"/>
      <c r="L7941" s="81"/>
      <c r="M7941" s="81"/>
      <c r="N7941" s="81"/>
    </row>
    <row r="7942" spans="1:14" ht="14.25" customHeight="1" x14ac:dyDescent="0.25">
      <c r="A7942" s="96" t="s">
        <v>578</v>
      </c>
      <c r="B7942" s="96"/>
      <c r="C7942" s="92"/>
      <c r="D7942" s="118"/>
      <c r="E7942" s="118"/>
      <c r="F7942" s="118"/>
      <c r="G7942" s="81"/>
      <c r="H7942" s="81"/>
      <c r="I7942" s="81"/>
      <c r="J7942" s="81"/>
      <c r="K7942" s="81"/>
      <c r="L7942" s="81"/>
      <c r="M7942" s="81"/>
      <c r="N7942" s="81"/>
    </row>
    <row r="7943" spans="1:14" ht="14.25" customHeight="1" x14ac:dyDescent="0.25">
      <c r="A7943" s="119" t="s">
        <v>563</v>
      </c>
      <c r="B7943" s="120" t="s">
        <v>579</v>
      </c>
      <c r="C7943" s="120" t="s">
        <v>580</v>
      </c>
      <c r="D7943" s="121" t="s">
        <v>581</v>
      </c>
      <c r="E7943" s="121" t="s">
        <v>575</v>
      </c>
      <c r="F7943" s="121" t="s">
        <v>568</v>
      </c>
      <c r="G7943" s="81"/>
      <c r="H7943" s="81"/>
      <c r="I7943" s="81"/>
      <c r="J7943" s="81"/>
      <c r="K7943" s="81"/>
      <c r="L7943" s="81"/>
      <c r="M7943" s="81"/>
      <c r="N7943" s="81"/>
    </row>
    <row r="7944" spans="1:14" ht="14.25" customHeight="1" x14ac:dyDescent="0.25">
      <c r="A7944" s="122" t="s">
        <v>593</v>
      </c>
      <c r="B7944" s="127">
        <v>1</v>
      </c>
      <c r="C7944" s="101">
        <v>32688</v>
      </c>
      <c r="D7944" s="101">
        <f t="shared" ref="D7944:D7945" si="396">+C7944*1.7</f>
        <v>55569.599999999999</v>
      </c>
      <c r="E7944" s="107">
        <v>30</v>
      </c>
      <c r="F7944" s="106">
        <f t="shared" ref="F7944:F7945" si="397">+B7944*(D7944)/E7944</f>
        <v>1852.32</v>
      </c>
      <c r="G7944" s="81"/>
      <c r="H7944" s="117"/>
      <c r="I7944" s="81"/>
      <c r="J7944" s="81"/>
      <c r="K7944" s="81"/>
      <c r="L7944" s="81"/>
      <c r="M7944" s="81"/>
      <c r="N7944" s="81"/>
    </row>
    <row r="7945" spans="1:14" ht="14.25" customHeight="1" x14ac:dyDescent="0.25">
      <c r="A7945" s="122" t="s">
        <v>594</v>
      </c>
      <c r="B7945" s="127">
        <v>1</v>
      </c>
      <c r="C7945" s="101">
        <v>52538</v>
      </c>
      <c r="D7945" s="101">
        <f t="shared" si="396"/>
        <v>89314.599999999991</v>
      </c>
      <c r="E7945" s="107">
        <f>E7944</f>
        <v>30</v>
      </c>
      <c r="F7945" s="106">
        <f t="shared" si="397"/>
        <v>2977.1533333333332</v>
      </c>
      <c r="G7945" s="81"/>
      <c r="H7945" s="81"/>
      <c r="I7945" s="81"/>
      <c r="J7945" s="81"/>
      <c r="K7945" s="81"/>
      <c r="L7945" s="81"/>
      <c r="M7945" s="81"/>
      <c r="N7945" s="81"/>
    </row>
    <row r="7946" spans="1:14" ht="14.25" customHeight="1" x14ac:dyDescent="0.25">
      <c r="A7946" s="122"/>
      <c r="B7946" s="127"/>
      <c r="C7946" s="101"/>
      <c r="D7946" s="101"/>
      <c r="E7946" s="107"/>
      <c r="F7946" s="106"/>
      <c r="G7946" s="81"/>
      <c r="H7946" s="81"/>
      <c r="I7946" s="81"/>
      <c r="J7946" s="81"/>
      <c r="K7946" s="81"/>
      <c r="L7946" s="81"/>
      <c r="M7946" s="81"/>
      <c r="N7946" s="81"/>
    </row>
    <row r="7947" spans="1:14" ht="14.25" customHeight="1" x14ac:dyDescent="0.25">
      <c r="A7947" s="122"/>
      <c r="B7947" s="127"/>
      <c r="C7947" s="101"/>
      <c r="D7947" s="101"/>
      <c r="E7947" s="125"/>
      <c r="F7947" s="106"/>
      <c r="G7947" s="81"/>
      <c r="H7947" s="81"/>
      <c r="I7947" s="81"/>
      <c r="J7947" s="81"/>
      <c r="K7947" s="81"/>
      <c r="L7947" s="81"/>
      <c r="M7947" s="81"/>
      <c r="N7947" s="81"/>
    </row>
    <row r="7948" spans="1:14" ht="14.25" customHeight="1" x14ac:dyDescent="0.25">
      <c r="A7948" s="97" t="s">
        <v>548</v>
      </c>
      <c r="B7948" s="128"/>
      <c r="C7948" s="110"/>
      <c r="D7948" s="110"/>
      <c r="E7948" s="110"/>
      <c r="F7948" s="112">
        <f>SUM(F7944:F7947)</f>
        <v>4829.4733333333334</v>
      </c>
      <c r="G7948" s="81"/>
      <c r="H7948" s="81"/>
      <c r="I7948" s="81"/>
      <c r="J7948" s="81"/>
      <c r="K7948" s="81"/>
      <c r="L7948" s="81"/>
      <c r="M7948" s="81"/>
      <c r="N7948" s="81"/>
    </row>
    <row r="7949" spans="1:14" ht="14.25" customHeight="1" x14ac:dyDescent="0.25">
      <c r="A7949" s="96"/>
      <c r="B7949" s="129"/>
      <c r="C7949" s="118"/>
      <c r="D7949" s="118"/>
      <c r="E7949" s="118"/>
      <c r="F7949" s="118"/>
      <c r="G7949" s="81"/>
      <c r="H7949" s="81"/>
      <c r="I7949" s="81"/>
      <c r="J7949" s="81"/>
      <c r="K7949" s="81"/>
      <c r="L7949" s="81"/>
      <c r="M7949" s="81"/>
      <c r="N7949" s="81"/>
    </row>
    <row r="7950" spans="1:14" ht="14.25" customHeight="1" x14ac:dyDescent="0.25">
      <c r="A7950" s="95" t="s">
        <v>583</v>
      </c>
      <c r="B7950" s="96"/>
      <c r="C7950" s="92"/>
      <c r="D7950" s="92"/>
      <c r="E7950" s="92" t="s">
        <v>584</v>
      </c>
      <c r="F7950" s="92"/>
      <c r="G7950" s="81"/>
      <c r="H7950" s="81"/>
      <c r="I7950" s="81"/>
      <c r="J7950" s="81"/>
      <c r="K7950" s="81"/>
      <c r="L7950" s="81"/>
      <c r="M7950" s="81"/>
      <c r="N7950" s="81"/>
    </row>
    <row r="7951" spans="1:14" ht="14.25" customHeight="1" x14ac:dyDescent="0.25">
      <c r="A7951" s="97" t="s">
        <v>563</v>
      </c>
      <c r="B7951" s="98" t="s">
        <v>564</v>
      </c>
      <c r="C7951" s="98" t="s">
        <v>585</v>
      </c>
      <c r="D7951" s="98" t="s">
        <v>586</v>
      </c>
      <c r="E7951" s="120" t="s">
        <v>587</v>
      </c>
      <c r="F7951" s="98" t="s">
        <v>568</v>
      </c>
      <c r="G7951" s="81"/>
      <c r="H7951" s="81"/>
      <c r="I7951" s="81"/>
      <c r="J7951" s="81"/>
      <c r="K7951" s="81"/>
      <c r="L7951" s="81"/>
      <c r="M7951" s="81"/>
      <c r="N7951" s="81"/>
    </row>
    <row r="7952" spans="1:14" ht="14.25" customHeight="1" x14ac:dyDescent="0.25">
      <c r="A7952" s="103"/>
      <c r="B7952" s="100"/>
      <c r="C7952" s="101"/>
      <c r="D7952" s="140"/>
      <c r="E7952" s="107"/>
      <c r="F7952" s="109"/>
      <c r="G7952" s="81"/>
      <c r="H7952" s="81"/>
      <c r="I7952" s="81"/>
      <c r="J7952" s="81"/>
      <c r="K7952" s="81"/>
      <c r="L7952" s="81"/>
      <c r="M7952" s="81"/>
      <c r="N7952" s="81"/>
    </row>
    <row r="7953" spans="1:14" ht="14.25" customHeight="1" x14ac:dyDescent="0.25">
      <c r="A7953" s="103"/>
      <c r="B7953" s="100"/>
      <c r="C7953" s="107"/>
      <c r="D7953" s="107"/>
      <c r="E7953" s="108"/>
      <c r="F7953" s="109"/>
      <c r="G7953" s="81"/>
      <c r="H7953" s="81"/>
      <c r="I7953" s="81"/>
      <c r="J7953" s="81"/>
      <c r="K7953" s="81"/>
      <c r="L7953" s="81"/>
      <c r="M7953" s="81"/>
      <c r="N7953" s="81"/>
    </row>
    <row r="7954" spans="1:14" ht="14.25" customHeight="1" x14ac:dyDescent="0.25">
      <c r="A7954" s="97" t="s">
        <v>548</v>
      </c>
      <c r="B7954" s="98"/>
      <c r="C7954" s="110"/>
      <c r="D7954" s="110"/>
      <c r="E7954" s="111"/>
      <c r="F7954" s="112">
        <f>SUM(F7952:F7953)</f>
        <v>0</v>
      </c>
      <c r="G7954" s="81"/>
      <c r="H7954" s="81"/>
      <c r="I7954" s="81"/>
      <c r="J7954" s="81"/>
      <c r="K7954" s="81"/>
      <c r="L7954" s="81"/>
      <c r="M7954" s="81"/>
      <c r="N7954" s="81"/>
    </row>
    <row r="7955" spans="1:14" ht="14.25" customHeight="1" x14ac:dyDescent="0.25">
      <c r="A7955" s="88"/>
      <c r="B7955" s="89"/>
      <c r="C7955" s="113"/>
      <c r="D7955" s="113"/>
      <c r="E7955" s="114"/>
      <c r="F7955" s="113"/>
      <c r="G7955" s="81"/>
      <c r="H7955" s="81"/>
      <c r="I7955" s="81"/>
      <c r="J7955" s="81"/>
      <c r="K7955" s="81"/>
      <c r="L7955" s="81"/>
      <c r="M7955" s="81"/>
      <c r="N7955" s="81"/>
    </row>
    <row r="7956" spans="1:14" ht="14.25" customHeight="1" x14ac:dyDescent="0.25">
      <c r="A7956" s="88"/>
      <c r="B7956" s="89"/>
      <c r="C7956" s="113"/>
      <c r="D7956" s="113"/>
      <c r="E7956" s="114"/>
      <c r="F7956" s="113"/>
      <c r="G7956" s="81"/>
      <c r="H7956" s="81"/>
      <c r="I7956" s="81"/>
      <c r="J7956" s="81"/>
      <c r="K7956" s="81"/>
      <c r="L7956" s="81"/>
      <c r="M7956" s="81"/>
      <c r="N7956" s="81"/>
    </row>
    <row r="7957" spans="1:14" ht="14.25" customHeight="1" x14ac:dyDescent="0.25">
      <c r="A7957" s="612" t="s">
        <v>588</v>
      </c>
      <c r="B7957" s="608"/>
      <c r="C7957" s="608"/>
      <c r="D7957" s="608"/>
      <c r="E7957" s="609"/>
      <c r="F7957" s="131">
        <f>ROUND(F7929+F7940+F7948+F7954,0)</f>
        <v>11250</v>
      </c>
      <c r="G7957" s="81"/>
      <c r="H7957" s="81"/>
      <c r="I7957" s="81"/>
      <c r="J7957" s="81"/>
      <c r="K7957" s="81"/>
      <c r="L7957" s="81"/>
      <c r="M7957" s="81"/>
      <c r="N7957" s="81"/>
    </row>
    <row r="7958" spans="1:14" ht="14.25" customHeight="1" x14ac:dyDescent="0.25">
      <c r="A7958" s="612" t="s">
        <v>589</v>
      </c>
      <c r="B7958" s="608"/>
      <c r="C7958" s="608"/>
      <c r="D7958" s="608"/>
      <c r="E7958" s="609"/>
      <c r="F7958" s="132"/>
      <c r="G7958" s="81"/>
      <c r="H7958" s="81"/>
      <c r="I7958" s="81"/>
      <c r="J7958" s="81"/>
      <c r="K7958" s="81"/>
      <c r="L7958" s="81"/>
      <c r="M7958" s="81"/>
      <c r="N7958" s="81"/>
    </row>
    <row r="7959" spans="1:14" ht="14.25" customHeight="1" x14ac:dyDescent="0.25">
      <c r="A7959" s="612" t="s">
        <v>556</v>
      </c>
      <c r="B7959" s="608"/>
      <c r="C7959" s="608"/>
      <c r="D7959" s="608"/>
      <c r="E7959" s="609"/>
      <c r="F7959" s="133"/>
      <c r="G7959" s="81"/>
      <c r="H7959" s="81"/>
      <c r="I7959" s="81"/>
      <c r="J7959" s="81"/>
      <c r="K7959" s="81"/>
      <c r="L7959" s="81"/>
      <c r="M7959" s="81"/>
      <c r="N7959" s="81"/>
    </row>
    <row r="7960" spans="1:14" ht="14.25" customHeight="1" x14ac:dyDescent="0.25">
      <c r="A7960" s="134"/>
      <c r="B7960" s="135"/>
      <c r="C7960" s="135"/>
      <c r="D7960" s="135"/>
      <c r="E7960" s="135"/>
      <c r="F7960" s="136"/>
      <c r="G7960" s="81"/>
      <c r="H7960" s="81"/>
      <c r="I7960" s="81"/>
      <c r="J7960" s="81"/>
      <c r="K7960" s="81"/>
      <c r="L7960" s="81"/>
      <c r="M7960" s="81"/>
      <c r="N7960" s="81"/>
    </row>
    <row r="7961" spans="1:14" ht="14.25" customHeight="1" x14ac:dyDescent="0.25">
      <c r="A7961" s="134"/>
      <c r="B7961" s="135"/>
      <c r="C7961" s="135"/>
      <c r="D7961" s="135"/>
      <c r="E7961" s="135"/>
      <c r="F7961" s="136"/>
      <c r="G7961" s="81"/>
      <c r="H7961" s="81"/>
      <c r="I7961" s="81"/>
      <c r="J7961" s="81"/>
      <c r="K7961" s="81"/>
      <c r="L7961" s="81"/>
      <c r="M7961" s="81"/>
      <c r="N7961" s="81"/>
    </row>
    <row r="7962" spans="1:14" ht="14.25" customHeight="1" x14ac:dyDescent="0.25">
      <c r="A7962" s="134"/>
      <c r="B7962" s="135"/>
      <c r="C7962" s="135"/>
      <c r="D7962" s="135"/>
      <c r="E7962" s="135"/>
      <c r="F7962" s="136"/>
      <c r="G7962" s="81"/>
      <c r="H7962" s="81"/>
      <c r="I7962" s="81"/>
      <c r="J7962" s="81"/>
      <c r="K7962" s="81"/>
      <c r="L7962" s="81"/>
      <c r="M7962" s="81"/>
      <c r="N7962" s="81"/>
    </row>
    <row r="7963" spans="1:14" ht="14.25" customHeight="1" x14ac:dyDescent="0.25">
      <c r="A7963" s="134"/>
      <c r="B7963" s="135"/>
      <c r="C7963" s="135"/>
      <c r="D7963" s="135"/>
      <c r="E7963" s="135"/>
      <c r="F7963" s="136"/>
      <c r="G7963" s="81"/>
      <c r="H7963" s="81"/>
      <c r="I7963" s="81"/>
      <c r="J7963" s="81"/>
      <c r="K7963" s="81"/>
      <c r="L7963" s="81"/>
      <c r="M7963" s="81"/>
      <c r="N7963" s="81"/>
    </row>
    <row r="7964" spans="1:14" ht="14.25" customHeight="1" x14ac:dyDescent="0.25">
      <c r="A7964" s="134"/>
      <c r="B7964" s="135"/>
      <c r="C7964" s="135"/>
      <c r="D7964" s="135"/>
      <c r="E7964" s="135"/>
      <c r="F7964" s="136"/>
      <c r="G7964" s="81"/>
      <c r="H7964" s="81"/>
      <c r="I7964" s="81"/>
      <c r="J7964" s="81"/>
      <c r="K7964" s="81"/>
      <c r="L7964" s="81"/>
      <c r="M7964" s="81"/>
      <c r="N7964" s="81"/>
    </row>
    <row r="7965" spans="1:14" ht="14.25" customHeight="1" x14ac:dyDescent="0.25">
      <c r="A7965" s="81"/>
      <c r="B7965" s="81"/>
      <c r="C7965" s="137"/>
      <c r="D7965" s="81"/>
      <c r="E7965" s="81"/>
      <c r="F7965" s="81"/>
      <c r="G7965" s="81"/>
      <c r="H7965" s="81"/>
      <c r="I7965" s="81"/>
      <c r="J7965" s="81"/>
      <c r="K7965" s="81"/>
      <c r="L7965" s="81"/>
      <c r="M7965" s="81"/>
      <c r="N7965" s="81"/>
    </row>
    <row r="7966" spans="1:14" ht="14.25" customHeight="1" x14ac:dyDescent="0.25">
      <c r="A7966" s="81"/>
      <c r="B7966" s="81"/>
      <c r="C7966" s="137"/>
      <c r="D7966" s="81"/>
      <c r="E7966" s="81"/>
      <c r="F7966" s="81"/>
      <c r="G7966" s="81"/>
      <c r="H7966" s="81"/>
      <c r="I7966" s="81"/>
      <c r="J7966" s="81"/>
      <c r="K7966" s="81"/>
      <c r="L7966" s="81"/>
      <c r="M7966" s="81"/>
      <c r="N7966" s="81"/>
    </row>
    <row r="7967" spans="1:14" ht="14.25" customHeight="1" x14ac:dyDescent="0.25">
      <c r="A7967" s="81"/>
      <c r="B7967" s="81"/>
      <c r="C7967" s="137"/>
      <c r="D7967" s="81"/>
      <c r="E7967" s="81"/>
      <c r="F7967" s="81"/>
      <c r="G7967" s="81"/>
      <c r="H7967" s="81"/>
      <c r="I7967" s="81"/>
      <c r="J7967" s="81"/>
      <c r="K7967" s="81"/>
      <c r="L7967" s="81"/>
      <c r="M7967" s="81"/>
      <c r="N7967" s="81"/>
    </row>
    <row r="7968" spans="1:14" ht="14.25" customHeight="1" x14ac:dyDescent="0.25">
      <c r="A7968" s="81"/>
      <c r="B7968" s="81"/>
      <c r="C7968" s="137"/>
      <c r="D7968" s="81"/>
      <c r="E7968" s="81"/>
      <c r="F7968" s="81"/>
      <c r="G7968" s="81"/>
      <c r="H7968" s="81"/>
      <c r="I7968" s="81"/>
      <c r="J7968" s="81"/>
      <c r="K7968" s="81"/>
      <c r="L7968" s="81"/>
      <c r="M7968" s="81"/>
      <c r="N7968" s="81"/>
    </row>
    <row r="7969" spans="1:14" ht="14.25" customHeight="1" thickBot="1" x14ac:dyDescent="0.3">
      <c r="A7969" s="81"/>
      <c r="B7969" s="81"/>
      <c r="C7969" s="81"/>
      <c r="D7969" s="81"/>
      <c r="E7969" s="81"/>
      <c r="F7969" s="81"/>
      <c r="G7969" s="81"/>
      <c r="H7969" s="81"/>
      <c r="I7969" s="81"/>
      <c r="J7969" s="81"/>
      <c r="K7969" s="81"/>
      <c r="L7969" s="81"/>
      <c r="M7969" s="81"/>
      <c r="N7969" s="81"/>
    </row>
    <row r="7970" spans="1:14" ht="14.25" customHeight="1" x14ac:dyDescent="0.25">
      <c r="A7970" s="83"/>
      <c r="B7970" s="84"/>
      <c r="C7970" s="85"/>
      <c r="D7970" s="86"/>
      <c r="E7970" s="86"/>
      <c r="F7970" s="87"/>
      <c r="G7970" s="81"/>
      <c r="H7970" s="81"/>
      <c r="I7970" s="81"/>
      <c r="J7970" s="81"/>
      <c r="K7970" s="81"/>
      <c r="L7970" s="81"/>
      <c r="M7970" s="81"/>
      <c r="N7970" s="81"/>
    </row>
    <row r="7971" spans="1:14" ht="14.25" customHeight="1" x14ac:dyDescent="0.25">
      <c r="A7971" s="599"/>
      <c r="B7971" s="600"/>
      <c r="C7971" s="600"/>
      <c r="D7971" s="600"/>
      <c r="E7971" s="600"/>
      <c r="F7971" s="601"/>
      <c r="G7971" s="81"/>
      <c r="H7971" s="81"/>
      <c r="I7971" s="81"/>
      <c r="J7971" s="81"/>
      <c r="K7971" s="81"/>
      <c r="L7971" s="81"/>
      <c r="M7971" s="81"/>
      <c r="N7971" s="81"/>
    </row>
    <row r="7972" spans="1:14" ht="14.25" customHeight="1" x14ac:dyDescent="0.25">
      <c r="A7972" s="602" t="s">
        <v>561</v>
      </c>
      <c r="B7972" s="600"/>
      <c r="C7972" s="600"/>
      <c r="D7972" s="600"/>
      <c r="E7972" s="600"/>
      <c r="F7972" s="601"/>
      <c r="G7972" s="81"/>
      <c r="H7972" s="81"/>
      <c r="I7972" s="81"/>
      <c r="J7972" s="81"/>
      <c r="K7972" s="81"/>
      <c r="L7972" s="81"/>
      <c r="M7972" s="81"/>
      <c r="N7972" s="81"/>
    </row>
    <row r="7973" spans="1:14" ht="14.25" customHeight="1" thickBot="1" x14ac:dyDescent="0.3">
      <c r="A7973" s="603"/>
      <c r="B7973" s="604"/>
      <c r="C7973" s="604"/>
      <c r="D7973" s="604"/>
      <c r="E7973" s="604"/>
      <c r="F7973" s="605"/>
      <c r="G7973" s="81"/>
      <c r="H7973" s="81"/>
      <c r="I7973" s="81"/>
      <c r="J7973" s="81"/>
      <c r="K7973" s="81"/>
      <c r="L7973" s="81"/>
      <c r="M7973" s="81"/>
      <c r="N7973" s="81"/>
    </row>
    <row r="7974" spans="1:14" ht="14.25" customHeight="1" x14ac:dyDescent="0.25">
      <c r="A7974" s="88"/>
      <c r="B7974" s="88"/>
      <c r="C7974" s="89"/>
      <c r="D7974" s="89"/>
      <c r="E7974" s="89"/>
      <c r="F7974" s="89"/>
      <c r="G7974" s="81"/>
      <c r="H7974" s="81"/>
      <c r="I7974" s="81"/>
      <c r="J7974" s="81"/>
      <c r="K7974" s="81"/>
      <c r="L7974" s="81"/>
      <c r="M7974" s="81"/>
      <c r="N7974" s="81"/>
    </row>
    <row r="7975" spans="1:14" ht="14.25" customHeight="1" x14ac:dyDescent="0.25">
      <c r="A7975" s="90" t="s">
        <v>47</v>
      </c>
      <c r="B7975" s="613" t="s">
        <v>378</v>
      </c>
      <c r="C7975" s="600"/>
      <c r="D7975" s="600"/>
      <c r="E7975" s="600"/>
      <c r="F7975" s="600"/>
      <c r="G7975" s="81"/>
      <c r="H7975" s="81"/>
      <c r="I7975" s="81"/>
      <c r="J7975" s="81"/>
      <c r="K7975" s="81"/>
      <c r="L7975" s="81"/>
      <c r="M7975" s="81"/>
      <c r="N7975" s="81"/>
    </row>
    <row r="7976" spans="1:14" ht="14.25" customHeight="1" x14ac:dyDescent="0.25">
      <c r="A7976" s="91"/>
      <c r="B7976" s="91"/>
      <c r="C7976" s="91"/>
      <c r="D7976" s="91"/>
      <c r="E7976" s="91"/>
      <c r="F7976" s="91"/>
      <c r="G7976" s="81"/>
      <c r="H7976" s="81"/>
      <c r="I7976" s="81"/>
      <c r="J7976" s="81"/>
      <c r="K7976" s="81"/>
      <c r="L7976" s="81"/>
      <c r="M7976" s="81"/>
      <c r="N7976" s="81"/>
    </row>
    <row r="7977" spans="1:14" ht="14.25" customHeight="1" x14ac:dyDescent="0.25">
      <c r="A7977" s="88" t="s">
        <v>49</v>
      </c>
      <c r="B7977" s="92" t="s">
        <v>64</v>
      </c>
      <c r="C7977" s="89"/>
      <c r="D7977" s="89"/>
      <c r="E7977" s="89"/>
      <c r="F7977" s="93"/>
      <c r="G7977" s="81"/>
      <c r="H7977" s="81"/>
      <c r="I7977" s="81"/>
      <c r="J7977" s="81"/>
      <c r="K7977" s="81"/>
      <c r="L7977" s="81"/>
      <c r="M7977" s="81"/>
      <c r="N7977" s="81"/>
    </row>
    <row r="7978" spans="1:14" ht="14.25" customHeight="1" x14ac:dyDescent="0.25">
      <c r="A7978" s="88"/>
      <c r="B7978" s="94"/>
      <c r="C7978" s="89"/>
      <c r="D7978" s="89"/>
      <c r="E7978" s="89"/>
      <c r="F7978" s="93"/>
      <c r="G7978" s="81"/>
      <c r="H7978" s="81"/>
      <c r="I7978" s="81"/>
      <c r="J7978" s="81"/>
      <c r="K7978" s="81"/>
      <c r="L7978" s="81"/>
      <c r="M7978" s="81"/>
      <c r="N7978" s="81"/>
    </row>
    <row r="7979" spans="1:14" ht="14.25" customHeight="1" x14ac:dyDescent="0.25">
      <c r="A7979" s="95" t="s">
        <v>562</v>
      </c>
      <c r="B7979" s="96"/>
      <c r="C7979" s="92"/>
      <c r="D7979" s="92"/>
      <c r="E7979" s="92"/>
      <c r="F7979" s="92"/>
      <c r="G7979" s="81"/>
      <c r="H7979" s="81"/>
      <c r="I7979" s="81"/>
      <c r="J7979" s="81"/>
      <c r="K7979" s="81"/>
      <c r="L7979" s="81"/>
      <c r="M7979" s="81"/>
      <c r="N7979" s="81"/>
    </row>
    <row r="7980" spans="1:14" ht="14.25" customHeight="1" x14ac:dyDescent="0.25">
      <c r="A7980" s="97" t="s">
        <v>563</v>
      </c>
      <c r="B7980" s="98" t="s">
        <v>564</v>
      </c>
      <c r="C7980" s="98" t="s">
        <v>565</v>
      </c>
      <c r="D7980" s="98" t="s">
        <v>566</v>
      </c>
      <c r="E7980" s="98" t="s">
        <v>567</v>
      </c>
      <c r="F7980" s="98" t="s">
        <v>568</v>
      </c>
      <c r="G7980" s="81"/>
      <c r="H7980" s="81"/>
      <c r="I7980" s="81"/>
      <c r="J7980" s="81"/>
      <c r="K7980" s="81"/>
      <c r="L7980" s="81"/>
      <c r="M7980" s="81"/>
      <c r="N7980" s="81"/>
    </row>
    <row r="7981" spans="1:14" ht="14.25" customHeight="1" x14ac:dyDescent="0.25">
      <c r="A7981" s="99" t="s">
        <v>815</v>
      </c>
      <c r="B7981" s="100" t="s">
        <v>64</v>
      </c>
      <c r="C7981" s="101">
        <v>95350</v>
      </c>
      <c r="D7981" s="149">
        <v>1</v>
      </c>
      <c r="E7981" s="102">
        <v>0.05</v>
      </c>
      <c r="F7981" s="101">
        <f t="shared" ref="F7981:F7984" si="398">C7981*(D7981+(D7981*E7981))</f>
        <v>100117.5</v>
      </c>
      <c r="G7981" s="81"/>
      <c r="H7981" s="81"/>
      <c r="I7981" s="81"/>
      <c r="J7981" s="81"/>
      <c r="K7981" s="81"/>
      <c r="L7981" s="81"/>
      <c r="M7981" s="81"/>
      <c r="N7981" s="81"/>
    </row>
    <row r="7982" spans="1:14" ht="14.25" customHeight="1" x14ac:dyDescent="0.25">
      <c r="A7982" s="99"/>
      <c r="B7982" s="100"/>
      <c r="C7982" s="101"/>
      <c r="D7982" s="149"/>
      <c r="E7982" s="102"/>
      <c r="F7982" s="101">
        <f t="shared" si="398"/>
        <v>0</v>
      </c>
      <c r="G7982" s="81"/>
      <c r="H7982" s="81"/>
      <c r="I7982" s="81"/>
      <c r="J7982" s="81"/>
      <c r="K7982" s="81"/>
      <c r="L7982" s="81"/>
      <c r="M7982" s="81"/>
      <c r="N7982" s="81"/>
    </row>
    <row r="7983" spans="1:14" ht="14.25" customHeight="1" x14ac:dyDescent="0.25">
      <c r="A7983" s="99"/>
      <c r="B7983" s="100"/>
      <c r="C7983" s="101"/>
      <c r="D7983" s="104"/>
      <c r="E7983" s="102"/>
      <c r="F7983" s="101">
        <f t="shared" si="398"/>
        <v>0</v>
      </c>
      <c r="G7983" s="81"/>
      <c r="H7983" s="81"/>
      <c r="I7983" s="81"/>
      <c r="J7983" s="81"/>
      <c r="K7983" s="81"/>
      <c r="L7983" s="81"/>
      <c r="M7983" s="81"/>
      <c r="N7983" s="81"/>
    </row>
    <row r="7984" spans="1:14" ht="14.25" customHeight="1" x14ac:dyDescent="0.25">
      <c r="A7984" s="99"/>
      <c r="B7984" s="100"/>
      <c r="C7984" s="101"/>
      <c r="D7984" s="104"/>
      <c r="E7984" s="102"/>
      <c r="F7984" s="101">
        <f t="shared" si="398"/>
        <v>0</v>
      </c>
      <c r="G7984" s="81"/>
      <c r="H7984" s="81"/>
      <c r="I7984" s="81"/>
      <c r="J7984" s="81"/>
      <c r="K7984" s="81"/>
      <c r="L7984" s="81"/>
      <c r="M7984" s="81"/>
      <c r="N7984" s="81"/>
    </row>
    <row r="7985" spans="1:14" ht="14.25" customHeight="1" x14ac:dyDescent="0.25">
      <c r="A7985" s="99"/>
      <c r="B7985" s="100"/>
      <c r="C7985" s="106"/>
      <c r="D7985" s="107"/>
      <c r="E7985" s="108"/>
      <c r="F7985" s="106"/>
      <c r="G7985" s="81"/>
      <c r="H7985" s="81"/>
      <c r="I7985" s="81"/>
      <c r="J7985" s="81"/>
      <c r="K7985" s="81"/>
      <c r="L7985" s="81"/>
      <c r="M7985" s="81"/>
      <c r="N7985" s="81"/>
    </row>
    <row r="7986" spans="1:14" ht="14.25" customHeight="1" x14ac:dyDescent="0.25">
      <c r="A7986" s="97" t="s">
        <v>548</v>
      </c>
      <c r="B7986" s="97"/>
      <c r="C7986" s="109"/>
      <c r="D7986" s="110"/>
      <c r="E7986" s="111"/>
      <c r="F7986" s="112">
        <f>SUM(F7981:F7985)</f>
        <v>100117.5</v>
      </c>
      <c r="G7986" s="81"/>
      <c r="H7986" s="81"/>
      <c r="I7986" s="81"/>
      <c r="J7986" s="81"/>
      <c r="K7986" s="81"/>
      <c r="L7986" s="81"/>
      <c r="M7986" s="81"/>
      <c r="N7986" s="81"/>
    </row>
    <row r="7987" spans="1:14" ht="14.25" customHeight="1" x14ac:dyDescent="0.25">
      <c r="A7987" s="88"/>
      <c r="B7987" s="88"/>
      <c r="C7987" s="113"/>
      <c r="D7987" s="113"/>
      <c r="E7987" s="114"/>
      <c r="F7987" s="113"/>
      <c r="G7987" s="81"/>
      <c r="H7987" s="81"/>
      <c r="I7987" s="81"/>
      <c r="J7987" s="81"/>
      <c r="K7987" s="81"/>
      <c r="L7987" s="81"/>
      <c r="M7987" s="81"/>
      <c r="N7987" s="81"/>
    </row>
    <row r="7988" spans="1:14" ht="14.25" customHeight="1" x14ac:dyDescent="0.25">
      <c r="A7988" s="96" t="s">
        <v>573</v>
      </c>
      <c r="B7988" s="96"/>
      <c r="C7988" s="92"/>
      <c r="D7988" s="92"/>
      <c r="E7988" s="92"/>
      <c r="F7988" s="92"/>
      <c r="G7988" s="81"/>
      <c r="H7988" s="81"/>
      <c r="I7988" s="81"/>
      <c r="J7988" s="81"/>
      <c r="K7988" s="81"/>
      <c r="L7988" s="81"/>
      <c r="M7988" s="81"/>
      <c r="N7988" s="81"/>
    </row>
    <row r="7989" spans="1:14" ht="14.25" customHeight="1" x14ac:dyDescent="0.25">
      <c r="A7989" s="611" t="s">
        <v>563</v>
      </c>
      <c r="B7989" s="608"/>
      <c r="C7989" s="609"/>
      <c r="D7989" s="98" t="s">
        <v>574</v>
      </c>
      <c r="E7989" s="98" t="s">
        <v>575</v>
      </c>
      <c r="F7989" s="98" t="s">
        <v>568</v>
      </c>
      <c r="G7989" s="81"/>
      <c r="H7989" s="81"/>
      <c r="I7989" s="81"/>
      <c r="J7989" s="81"/>
      <c r="K7989" s="81"/>
      <c r="L7989" s="81"/>
      <c r="M7989" s="81"/>
      <c r="N7989" s="81"/>
    </row>
    <row r="7990" spans="1:14" ht="14.25" customHeight="1" x14ac:dyDescent="0.25">
      <c r="A7990" s="607" t="s">
        <v>577</v>
      </c>
      <c r="B7990" s="608"/>
      <c r="C7990" s="609"/>
      <c r="D7990" s="116"/>
      <c r="E7990" s="107"/>
      <c r="F7990" s="106">
        <f>+F8005*5%</f>
        <v>384.79815149261663</v>
      </c>
      <c r="G7990" s="81"/>
      <c r="H7990" s="81"/>
      <c r="I7990" s="81"/>
      <c r="J7990" s="81"/>
      <c r="K7990" s="81"/>
      <c r="L7990" s="81"/>
      <c r="M7990" s="81"/>
      <c r="N7990" s="81"/>
    </row>
    <row r="7991" spans="1:14" ht="14.25" customHeight="1" x14ac:dyDescent="0.25">
      <c r="A7991" s="607" t="s">
        <v>613</v>
      </c>
      <c r="B7991" s="608"/>
      <c r="C7991" s="609"/>
      <c r="D7991" s="142">
        <v>100000</v>
      </c>
      <c r="E7991" s="107">
        <v>15</v>
      </c>
      <c r="F7991" s="106">
        <f t="shared" ref="F7991:F7994" si="399">D7991/E7991</f>
        <v>6666.666666666667</v>
      </c>
      <c r="G7991" s="81"/>
      <c r="H7991" s="81"/>
      <c r="I7991" s="81"/>
      <c r="J7991" s="81"/>
      <c r="K7991" s="81"/>
      <c r="L7991" s="81"/>
      <c r="M7991" s="81"/>
      <c r="N7991" s="81"/>
    </row>
    <row r="7992" spans="1:14" ht="14.25" customHeight="1" x14ac:dyDescent="0.25">
      <c r="A7992" s="607" t="s">
        <v>608</v>
      </c>
      <c r="B7992" s="608"/>
      <c r="C7992" s="609"/>
      <c r="D7992" s="142">
        <v>110000</v>
      </c>
      <c r="E7992" s="107">
        <v>22</v>
      </c>
      <c r="F7992" s="106">
        <f t="shared" si="399"/>
        <v>5000</v>
      </c>
      <c r="G7992" s="81"/>
      <c r="H7992" s="81"/>
      <c r="I7992" s="81"/>
      <c r="J7992" s="81"/>
      <c r="K7992" s="81"/>
      <c r="L7992" s="81"/>
      <c r="M7992" s="81"/>
      <c r="N7992" s="81"/>
    </row>
    <row r="7993" spans="1:14" ht="14.25" customHeight="1" x14ac:dyDescent="0.25">
      <c r="A7993" s="607" t="s">
        <v>610</v>
      </c>
      <c r="B7993" s="608"/>
      <c r="C7993" s="609"/>
      <c r="D7993" s="142">
        <v>150000</v>
      </c>
      <c r="E7993" s="107">
        <v>18</v>
      </c>
      <c r="F7993" s="106">
        <f t="shared" si="399"/>
        <v>8333.3333333333339</v>
      </c>
      <c r="G7993" s="81"/>
      <c r="H7993" s="81"/>
      <c r="I7993" s="81"/>
      <c r="J7993" s="81"/>
      <c r="K7993" s="81"/>
      <c r="L7993" s="81"/>
      <c r="M7993" s="81"/>
      <c r="N7993" s="81"/>
    </row>
    <row r="7994" spans="1:14" ht="14.25" customHeight="1" x14ac:dyDescent="0.25">
      <c r="A7994" s="607" t="s">
        <v>609</v>
      </c>
      <c r="B7994" s="608"/>
      <c r="C7994" s="609"/>
      <c r="D7994" s="142">
        <v>130000</v>
      </c>
      <c r="E7994" s="107">
        <v>18</v>
      </c>
      <c r="F7994" s="106">
        <f t="shared" si="399"/>
        <v>7222.2222222222226</v>
      </c>
      <c r="G7994" s="81"/>
      <c r="H7994" s="81"/>
      <c r="I7994" s="81"/>
      <c r="J7994" s="81"/>
      <c r="K7994" s="81"/>
      <c r="L7994" s="81"/>
      <c r="M7994" s="81"/>
      <c r="N7994" s="81"/>
    </row>
    <row r="7995" spans="1:14" ht="14.25" customHeight="1" x14ac:dyDescent="0.25">
      <c r="A7995" s="607"/>
      <c r="B7995" s="608"/>
      <c r="C7995" s="609"/>
      <c r="D7995" s="142"/>
      <c r="E7995" s="105"/>
      <c r="F7995" s="106"/>
      <c r="G7995" s="81"/>
      <c r="H7995" s="81"/>
      <c r="I7995" s="81"/>
      <c r="J7995" s="81"/>
      <c r="K7995" s="81"/>
      <c r="L7995" s="81"/>
      <c r="M7995" s="81"/>
      <c r="N7995" s="81"/>
    </row>
    <row r="7996" spans="1:14" ht="14.25" customHeight="1" x14ac:dyDescent="0.25">
      <c r="A7996" s="610"/>
      <c r="B7996" s="608"/>
      <c r="C7996" s="609"/>
      <c r="D7996" s="115"/>
      <c r="E7996" s="107"/>
      <c r="F7996" s="106"/>
      <c r="G7996" s="81"/>
      <c r="H7996" s="81"/>
      <c r="I7996" s="81"/>
      <c r="J7996" s="81"/>
      <c r="K7996" s="81"/>
      <c r="L7996" s="81"/>
      <c r="M7996" s="81"/>
      <c r="N7996" s="81"/>
    </row>
    <row r="7997" spans="1:14" ht="14.25" customHeight="1" x14ac:dyDescent="0.25">
      <c r="A7997" s="611" t="s">
        <v>548</v>
      </c>
      <c r="B7997" s="608"/>
      <c r="C7997" s="609"/>
      <c r="D7997" s="110"/>
      <c r="E7997" s="110"/>
      <c r="F7997" s="112">
        <f>SUM(F7990:F7996)</f>
        <v>27607.02037371484</v>
      </c>
      <c r="G7997" s="81"/>
      <c r="H7997" s="81"/>
      <c r="I7997" s="81"/>
      <c r="J7997" s="81"/>
      <c r="K7997" s="81"/>
      <c r="L7997" s="81"/>
      <c r="M7997" s="81"/>
      <c r="N7997" s="81"/>
    </row>
    <row r="7998" spans="1:14" ht="14.25" customHeight="1" x14ac:dyDescent="0.25">
      <c r="A7998" s="88"/>
      <c r="B7998" s="88"/>
      <c r="C7998" s="89"/>
      <c r="D7998" s="113"/>
      <c r="E7998" s="113"/>
      <c r="F7998" s="113"/>
      <c r="G7998" s="81"/>
      <c r="H7998" s="81"/>
      <c r="I7998" s="81"/>
      <c r="J7998" s="81"/>
      <c r="K7998" s="81"/>
      <c r="L7998" s="81"/>
      <c r="M7998" s="81"/>
      <c r="N7998" s="81"/>
    </row>
    <row r="7999" spans="1:14" ht="14.25" customHeight="1" x14ac:dyDescent="0.25">
      <c r="A7999" s="96" t="s">
        <v>578</v>
      </c>
      <c r="B7999" s="96"/>
      <c r="C7999" s="92"/>
      <c r="D7999" s="118"/>
      <c r="E7999" s="118"/>
      <c r="F7999" s="118"/>
      <c r="G7999" s="81"/>
      <c r="H7999" s="81"/>
      <c r="I7999" s="81"/>
      <c r="J7999" s="81"/>
      <c r="K7999" s="81"/>
      <c r="L7999" s="81"/>
      <c r="M7999" s="81"/>
      <c r="N7999" s="81"/>
    </row>
    <row r="8000" spans="1:14" ht="14.25" customHeight="1" x14ac:dyDescent="0.25">
      <c r="A8000" s="119" t="s">
        <v>563</v>
      </c>
      <c r="B8000" s="120" t="s">
        <v>579</v>
      </c>
      <c r="C8000" s="120" t="s">
        <v>580</v>
      </c>
      <c r="D8000" s="121" t="s">
        <v>581</v>
      </c>
      <c r="E8000" s="121" t="s">
        <v>575</v>
      </c>
      <c r="F8000" s="121" t="s">
        <v>568</v>
      </c>
      <c r="G8000" s="81"/>
      <c r="H8000" s="81"/>
      <c r="I8000" s="81"/>
      <c r="J8000" s="81"/>
      <c r="K8000" s="81"/>
      <c r="L8000" s="81"/>
      <c r="M8000" s="81"/>
      <c r="N8000" s="81"/>
    </row>
    <row r="8001" spans="1:14" ht="14.25" customHeight="1" x14ac:dyDescent="0.25">
      <c r="A8001" s="122" t="s">
        <v>593</v>
      </c>
      <c r="B8001" s="127">
        <v>1</v>
      </c>
      <c r="C8001" s="101">
        <v>32688</v>
      </c>
      <c r="D8001" s="101">
        <f t="shared" ref="D8001:D8002" si="400">+C8001*1.7</f>
        <v>55569.599999999999</v>
      </c>
      <c r="E8001" s="107">
        <v>18.826000000000001</v>
      </c>
      <c r="F8001" s="106">
        <f t="shared" ref="F8001:F8002" si="401">+B8001*(D8001)/E8001</f>
        <v>2951.7475831297143</v>
      </c>
      <c r="G8001" s="81"/>
      <c r="H8001" s="117"/>
      <c r="I8001" s="81"/>
      <c r="J8001" s="81"/>
      <c r="K8001" s="81"/>
      <c r="L8001" s="81"/>
      <c r="M8001" s="81"/>
      <c r="N8001" s="81"/>
    </row>
    <row r="8002" spans="1:14" ht="14.25" customHeight="1" x14ac:dyDescent="0.25">
      <c r="A8002" s="122" t="s">
        <v>594</v>
      </c>
      <c r="B8002" s="127">
        <v>1</v>
      </c>
      <c r="C8002" s="101">
        <v>52538</v>
      </c>
      <c r="D8002" s="101">
        <f t="shared" si="400"/>
        <v>89314.599999999991</v>
      </c>
      <c r="E8002" s="107">
        <f>E8001</f>
        <v>18.826000000000001</v>
      </c>
      <c r="F8002" s="106">
        <f t="shared" si="401"/>
        <v>4744.2154467226173</v>
      </c>
      <c r="G8002" s="81"/>
      <c r="H8002" s="81"/>
      <c r="I8002" s="81"/>
      <c r="J8002" s="81"/>
      <c r="K8002" s="81"/>
      <c r="L8002" s="81"/>
      <c r="M8002" s="81"/>
      <c r="N8002" s="81"/>
    </row>
    <row r="8003" spans="1:14" ht="14.25" customHeight="1" x14ac:dyDescent="0.25">
      <c r="A8003" s="122"/>
      <c r="B8003" s="127"/>
      <c r="C8003" s="101"/>
      <c r="D8003" s="101"/>
      <c r="E8003" s="107"/>
      <c r="F8003" s="106"/>
      <c r="G8003" s="81"/>
      <c r="H8003" s="81"/>
      <c r="I8003" s="81"/>
      <c r="J8003" s="81"/>
      <c r="K8003" s="81"/>
      <c r="L8003" s="81"/>
      <c r="M8003" s="81"/>
      <c r="N8003" s="81"/>
    </row>
    <row r="8004" spans="1:14" ht="14.25" customHeight="1" x14ac:dyDescent="0.25">
      <c r="A8004" s="122"/>
      <c r="B8004" s="127"/>
      <c r="C8004" s="101"/>
      <c r="D8004" s="101"/>
      <c r="E8004" s="125"/>
      <c r="F8004" s="106"/>
      <c r="G8004" s="81"/>
      <c r="H8004" s="81"/>
      <c r="I8004" s="81"/>
      <c r="J8004" s="81"/>
      <c r="K8004" s="81"/>
      <c r="L8004" s="81"/>
      <c r="M8004" s="81"/>
      <c r="N8004" s="81"/>
    </row>
    <row r="8005" spans="1:14" ht="14.25" customHeight="1" x14ac:dyDescent="0.25">
      <c r="A8005" s="97" t="s">
        <v>548</v>
      </c>
      <c r="B8005" s="128"/>
      <c r="C8005" s="110"/>
      <c r="D8005" s="110"/>
      <c r="E8005" s="110"/>
      <c r="F8005" s="112">
        <f>SUM(F8001:F8004)</f>
        <v>7695.9630298523316</v>
      </c>
      <c r="G8005" s="81"/>
      <c r="H8005" s="81"/>
      <c r="I8005" s="81"/>
      <c r="J8005" s="81"/>
      <c r="K8005" s="81"/>
      <c r="L8005" s="81"/>
      <c r="M8005" s="81"/>
      <c r="N8005" s="81"/>
    </row>
    <row r="8006" spans="1:14" ht="14.25" customHeight="1" x14ac:dyDescent="0.25">
      <c r="A8006" s="96"/>
      <c r="B8006" s="129"/>
      <c r="C8006" s="118"/>
      <c r="D8006" s="118"/>
      <c r="E8006" s="118"/>
      <c r="F8006" s="118"/>
      <c r="G8006" s="81"/>
      <c r="H8006" s="81"/>
      <c r="I8006" s="81"/>
      <c r="J8006" s="81"/>
      <c r="K8006" s="81"/>
      <c r="L8006" s="81"/>
      <c r="M8006" s="81"/>
      <c r="N8006" s="81"/>
    </row>
    <row r="8007" spans="1:14" ht="14.25" customHeight="1" x14ac:dyDescent="0.25">
      <c r="A8007" s="95" t="s">
        <v>583</v>
      </c>
      <c r="B8007" s="96"/>
      <c r="C8007" s="92"/>
      <c r="D8007" s="92"/>
      <c r="E8007" s="92" t="s">
        <v>584</v>
      </c>
      <c r="F8007" s="92"/>
      <c r="G8007" s="81"/>
      <c r="H8007" s="81"/>
      <c r="I8007" s="81"/>
      <c r="J8007" s="81"/>
      <c r="K8007" s="81"/>
      <c r="L8007" s="81"/>
      <c r="M8007" s="81"/>
      <c r="N8007" s="81"/>
    </row>
    <row r="8008" spans="1:14" ht="14.25" customHeight="1" x14ac:dyDescent="0.25">
      <c r="A8008" s="97" t="s">
        <v>563</v>
      </c>
      <c r="B8008" s="98" t="s">
        <v>564</v>
      </c>
      <c r="C8008" s="98" t="s">
        <v>585</v>
      </c>
      <c r="D8008" s="98" t="s">
        <v>586</v>
      </c>
      <c r="E8008" s="120" t="s">
        <v>587</v>
      </c>
      <c r="F8008" s="98" t="s">
        <v>568</v>
      </c>
      <c r="G8008" s="81"/>
      <c r="H8008" s="81"/>
      <c r="I8008" s="81"/>
      <c r="J8008" s="81"/>
      <c r="K8008" s="81"/>
      <c r="L8008" s="81"/>
      <c r="M8008" s="81"/>
      <c r="N8008" s="81"/>
    </row>
    <row r="8009" spans="1:14" ht="14.25" customHeight="1" x14ac:dyDescent="0.25">
      <c r="A8009" s="103"/>
      <c r="B8009" s="100"/>
      <c r="C8009" s="101"/>
      <c r="D8009" s="140"/>
      <c r="E8009" s="107"/>
      <c r="F8009" s="109"/>
      <c r="G8009" s="81"/>
      <c r="H8009" s="81"/>
      <c r="I8009" s="81"/>
      <c r="J8009" s="81"/>
      <c r="K8009" s="81"/>
      <c r="L8009" s="81"/>
      <c r="M8009" s="81"/>
      <c r="N8009" s="81"/>
    </row>
    <row r="8010" spans="1:14" ht="14.25" customHeight="1" x14ac:dyDescent="0.25">
      <c r="A8010" s="103"/>
      <c r="B8010" s="100"/>
      <c r="C8010" s="107"/>
      <c r="D8010" s="107"/>
      <c r="E8010" s="108"/>
      <c r="F8010" s="109"/>
      <c r="G8010" s="81"/>
      <c r="H8010" s="81"/>
      <c r="I8010" s="81"/>
      <c r="J8010" s="81"/>
      <c r="K8010" s="81"/>
      <c r="L8010" s="81"/>
      <c r="M8010" s="81"/>
      <c r="N8010" s="81"/>
    </row>
    <row r="8011" spans="1:14" ht="14.25" customHeight="1" x14ac:dyDescent="0.25">
      <c r="A8011" s="97" t="s">
        <v>548</v>
      </c>
      <c r="B8011" s="98"/>
      <c r="C8011" s="110"/>
      <c r="D8011" s="110"/>
      <c r="E8011" s="111"/>
      <c r="F8011" s="112">
        <f>SUM(F8009:F8010)</f>
        <v>0</v>
      </c>
      <c r="G8011" s="81"/>
      <c r="H8011" s="81"/>
      <c r="I8011" s="81"/>
      <c r="J8011" s="81"/>
      <c r="K8011" s="81"/>
      <c r="L8011" s="81"/>
      <c r="M8011" s="81"/>
      <c r="N8011" s="81"/>
    </row>
    <row r="8012" spans="1:14" ht="14.25" customHeight="1" x14ac:dyDescent="0.25">
      <c r="A8012" s="88"/>
      <c r="B8012" s="89"/>
      <c r="C8012" s="113"/>
      <c r="D8012" s="113"/>
      <c r="E8012" s="114"/>
      <c r="F8012" s="113"/>
      <c r="G8012" s="81"/>
      <c r="H8012" s="81"/>
      <c r="I8012" s="81"/>
      <c r="J8012" s="81"/>
      <c r="K8012" s="81"/>
      <c r="L8012" s="81"/>
      <c r="M8012" s="81"/>
      <c r="N8012" s="81"/>
    </row>
    <row r="8013" spans="1:14" ht="14.25" customHeight="1" x14ac:dyDescent="0.25">
      <c r="A8013" s="88"/>
      <c r="B8013" s="89"/>
      <c r="C8013" s="113"/>
      <c r="D8013" s="113"/>
      <c r="E8013" s="114"/>
      <c r="F8013" s="113"/>
      <c r="G8013" s="81"/>
      <c r="H8013" s="81"/>
      <c r="I8013" s="81"/>
      <c r="J8013" s="81"/>
      <c r="K8013" s="81"/>
      <c r="L8013" s="81"/>
      <c r="M8013" s="81"/>
      <c r="N8013" s="81"/>
    </row>
    <row r="8014" spans="1:14" ht="14.25" customHeight="1" x14ac:dyDescent="0.25">
      <c r="A8014" s="612" t="s">
        <v>588</v>
      </c>
      <c r="B8014" s="608"/>
      <c r="C8014" s="608"/>
      <c r="D8014" s="608"/>
      <c r="E8014" s="609"/>
      <c r="F8014" s="131">
        <f>ROUND(F7986+F7997+F8005+F8011,0)</f>
        <v>135420</v>
      </c>
      <c r="G8014" s="81"/>
      <c r="H8014" s="81"/>
      <c r="I8014" s="81"/>
      <c r="J8014" s="81"/>
      <c r="K8014" s="81"/>
      <c r="L8014" s="81"/>
      <c r="M8014" s="81"/>
      <c r="N8014" s="81"/>
    </row>
    <row r="8015" spans="1:14" ht="14.25" customHeight="1" x14ac:dyDescent="0.25">
      <c r="A8015" s="612" t="s">
        <v>589</v>
      </c>
      <c r="B8015" s="608"/>
      <c r="C8015" s="608"/>
      <c r="D8015" s="608"/>
      <c r="E8015" s="609"/>
      <c r="F8015" s="132"/>
      <c r="G8015" s="81"/>
      <c r="H8015" s="81"/>
      <c r="I8015" s="81"/>
      <c r="J8015" s="81"/>
      <c r="K8015" s="81"/>
      <c r="L8015" s="81"/>
      <c r="M8015" s="81"/>
      <c r="N8015" s="81"/>
    </row>
    <row r="8016" spans="1:14" ht="14.25" customHeight="1" x14ac:dyDescent="0.25">
      <c r="A8016" s="612" t="s">
        <v>556</v>
      </c>
      <c r="B8016" s="608"/>
      <c r="C8016" s="608"/>
      <c r="D8016" s="608"/>
      <c r="E8016" s="609"/>
      <c r="F8016" s="133"/>
      <c r="G8016" s="81"/>
      <c r="H8016" s="81"/>
      <c r="I8016" s="81"/>
      <c r="J8016" s="81"/>
      <c r="K8016" s="81"/>
      <c r="L8016" s="81"/>
      <c r="M8016" s="81"/>
      <c r="N8016" s="81"/>
    </row>
    <row r="8017" spans="1:14" ht="14.25" customHeight="1" x14ac:dyDescent="0.25">
      <c r="A8017" s="134"/>
      <c r="B8017" s="135"/>
      <c r="C8017" s="135"/>
      <c r="D8017" s="135"/>
      <c r="E8017" s="135"/>
      <c r="F8017" s="136"/>
      <c r="G8017" s="81"/>
      <c r="H8017" s="81"/>
      <c r="I8017" s="81"/>
      <c r="J8017" s="81"/>
      <c r="K8017" s="81"/>
      <c r="L8017" s="81"/>
      <c r="M8017" s="81"/>
      <c r="N8017" s="81"/>
    </row>
    <row r="8018" spans="1:14" ht="14.25" customHeight="1" x14ac:dyDescent="0.25">
      <c r="A8018" s="134"/>
      <c r="B8018" s="135"/>
      <c r="C8018" s="135"/>
      <c r="D8018" s="135"/>
      <c r="E8018" s="135"/>
      <c r="F8018" s="136"/>
      <c r="G8018" s="81"/>
      <c r="H8018" s="81"/>
      <c r="I8018" s="81"/>
      <c r="J8018" s="81"/>
      <c r="K8018" s="81"/>
      <c r="L8018" s="81"/>
      <c r="M8018" s="81"/>
      <c r="N8018" s="81"/>
    </row>
    <row r="8019" spans="1:14" ht="14.25" customHeight="1" x14ac:dyDescent="0.25">
      <c r="A8019" s="134"/>
      <c r="B8019" s="135"/>
      <c r="C8019" s="135"/>
      <c r="D8019" s="135"/>
      <c r="E8019" s="135"/>
      <c r="F8019" s="136"/>
      <c r="G8019" s="81"/>
      <c r="H8019" s="81"/>
      <c r="I8019" s="81"/>
      <c r="J8019" s="81"/>
      <c r="K8019" s="81"/>
      <c r="L8019" s="81"/>
      <c r="M8019" s="81"/>
      <c r="N8019" s="81"/>
    </row>
    <row r="8020" spans="1:14" ht="14.25" customHeight="1" x14ac:dyDescent="0.25">
      <c r="A8020" s="134"/>
      <c r="B8020" s="135"/>
      <c r="C8020" s="135"/>
      <c r="D8020" s="135"/>
      <c r="E8020" s="135"/>
      <c r="F8020" s="136"/>
      <c r="G8020" s="81"/>
      <c r="H8020" s="81"/>
      <c r="I8020" s="81"/>
      <c r="J8020" s="81"/>
      <c r="K8020" s="81"/>
      <c r="L8020" s="81"/>
      <c r="M8020" s="81"/>
      <c r="N8020" s="81"/>
    </row>
    <row r="8021" spans="1:14" ht="14.25" customHeight="1" x14ac:dyDescent="0.25">
      <c r="A8021" s="81"/>
      <c r="B8021" s="81"/>
      <c r="C8021" s="137"/>
      <c r="D8021" s="81"/>
      <c r="E8021" s="81"/>
      <c r="F8021" s="81"/>
      <c r="G8021" s="81"/>
      <c r="H8021" s="81"/>
      <c r="I8021" s="81"/>
      <c r="J8021" s="81"/>
      <c r="K8021" s="81"/>
      <c r="L8021" s="81"/>
      <c r="M8021" s="81"/>
      <c r="N8021" s="81"/>
    </row>
    <row r="8022" spans="1:14" ht="14.25" customHeight="1" x14ac:dyDescent="0.25">
      <c r="A8022" s="81"/>
      <c r="B8022" s="81"/>
      <c r="C8022" s="137"/>
      <c r="D8022" s="81"/>
      <c r="E8022" s="81"/>
      <c r="F8022" s="81"/>
      <c r="G8022" s="81"/>
      <c r="H8022" s="81"/>
      <c r="I8022" s="81"/>
      <c r="J8022" s="81"/>
      <c r="K8022" s="81"/>
      <c r="L8022" s="81"/>
      <c r="M8022" s="81"/>
      <c r="N8022" s="81"/>
    </row>
    <row r="8023" spans="1:14" ht="14.25" customHeight="1" x14ac:dyDescent="0.25">
      <c r="A8023" s="134"/>
      <c r="B8023" s="135"/>
      <c r="C8023" s="135"/>
      <c r="D8023" s="135"/>
      <c r="E8023" s="135"/>
      <c r="F8023" s="136"/>
      <c r="G8023" s="81"/>
      <c r="H8023" s="81"/>
      <c r="I8023" s="81"/>
      <c r="J8023" s="81"/>
      <c r="K8023" s="81"/>
      <c r="L8023" s="81"/>
      <c r="M8023" s="81"/>
      <c r="N8023" s="81"/>
    </row>
    <row r="8024" spans="1:14" ht="14.25" customHeight="1" x14ac:dyDescent="0.25">
      <c r="A8024" s="134"/>
      <c r="B8024" s="135"/>
      <c r="C8024" s="135"/>
      <c r="D8024" s="135"/>
      <c r="E8024" s="135"/>
      <c r="F8024" s="136"/>
      <c r="G8024" s="81"/>
      <c r="H8024" s="81"/>
      <c r="I8024" s="81"/>
      <c r="J8024" s="81"/>
      <c r="K8024" s="81"/>
      <c r="L8024" s="81"/>
      <c r="M8024" s="81"/>
      <c r="N8024" s="81"/>
    </row>
    <row r="8025" spans="1:14" ht="15.75" x14ac:dyDescent="0.25">
      <c r="A8025" s="134"/>
      <c r="B8025" s="135"/>
      <c r="C8025" s="135"/>
      <c r="D8025" s="135"/>
      <c r="E8025" s="135"/>
      <c r="F8025" s="136"/>
      <c r="G8025" s="81"/>
      <c r="H8025" s="81"/>
      <c r="I8025" s="81"/>
      <c r="J8025" s="81"/>
      <c r="K8025" s="81"/>
      <c r="L8025" s="81"/>
      <c r="M8025" s="81"/>
      <c r="N8025" s="81"/>
    </row>
    <row r="8026" spans="1:14" ht="14.25" customHeight="1" thickBot="1" x14ac:dyDescent="0.3">
      <c r="A8026" s="81"/>
      <c r="B8026" s="81"/>
      <c r="C8026" s="81"/>
      <c r="D8026" s="81"/>
      <c r="E8026" s="81"/>
      <c r="F8026" s="81"/>
      <c r="G8026" s="81"/>
      <c r="H8026" s="81"/>
      <c r="I8026" s="81"/>
      <c r="J8026" s="81"/>
      <c r="K8026" s="81"/>
      <c r="L8026" s="81"/>
      <c r="M8026" s="81"/>
      <c r="N8026" s="81"/>
    </row>
    <row r="8027" spans="1:14" ht="14.25" customHeight="1" x14ac:dyDescent="0.25">
      <c r="A8027" s="83"/>
      <c r="B8027" s="84"/>
      <c r="C8027" s="85"/>
      <c r="D8027" s="86"/>
      <c r="E8027" s="86"/>
      <c r="F8027" s="87"/>
      <c r="G8027" s="81"/>
      <c r="H8027" s="81"/>
      <c r="I8027" s="81"/>
      <c r="J8027" s="81"/>
      <c r="K8027" s="81"/>
      <c r="L8027" s="81"/>
      <c r="M8027" s="81"/>
      <c r="N8027" s="81"/>
    </row>
    <row r="8028" spans="1:14" ht="14.25" customHeight="1" x14ac:dyDescent="0.25">
      <c r="A8028" s="599"/>
      <c r="B8028" s="600"/>
      <c r="C8028" s="600"/>
      <c r="D8028" s="600"/>
      <c r="E8028" s="600"/>
      <c r="F8028" s="601"/>
      <c r="G8028" s="81"/>
      <c r="H8028" s="81"/>
      <c r="I8028" s="81"/>
      <c r="J8028" s="81"/>
      <c r="K8028" s="81"/>
      <c r="L8028" s="81"/>
      <c r="M8028" s="81"/>
      <c r="N8028" s="81"/>
    </row>
    <row r="8029" spans="1:14" ht="14.25" customHeight="1" x14ac:dyDescent="0.25">
      <c r="A8029" s="602" t="s">
        <v>561</v>
      </c>
      <c r="B8029" s="600"/>
      <c r="C8029" s="600"/>
      <c r="D8029" s="600"/>
      <c r="E8029" s="600"/>
      <c r="F8029" s="601"/>
      <c r="G8029" s="81"/>
      <c r="H8029" s="81"/>
      <c r="I8029" s="81"/>
      <c r="J8029" s="81"/>
      <c r="K8029" s="81"/>
      <c r="L8029" s="81"/>
      <c r="M8029" s="81"/>
      <c r="N8029" s="81"/>
    </row>
    <row r="8030" spans="1:14" ht="14.25" customHeight="1" thickBot="1" x14ac:dyDescent="0.3">
      <c r="A8030" s="603"/>
      <c r="B8030" s="604"/>
      <c r="C8030" s="604"/>
      <c r="D8030" s="604"/>
      <c r="E8030" s="604"/>
      <c r="F8030" s="605"/>
      <c r="G8030" s="81"/>
      <c r="H8030" s="81"/>
      <c r="I8030" s="81"/>
      <c r="J8030" s="81"/>
      <c r="K8030" s="81"/>
      <c r="L8030" s="81"/>
      <c r="M8030" s="81"/>
      <c r="N8030" s="81"/>
    </row>
    <row r="8031" spans="1:14" ht="14.25" customHeight="1" x14ac:dyDescent="0.25">
      <c r="A8031" s="88"/>
      <c r="B8031" s="88"/>
      <c r="C8031" s="89"/>
      <c r="D8031" s="89"/>
      <c r="E8031" s="89"/>
      <c r="F8031" s="89"/>
      <c r="G8031" s="81"/>
      <c r="H8031" s="81"/>
      <c r="I8031" s="81"/>
      <c r="J8031" s="81"/>
      <c r="K8031" s="81"/>
      <c r="L8031" s="81"/>
      <c r="M8031" s="81"/>
      <c r="N8031" s="81"/>
    </row>
    <row r="8032" spans="1:14" ht="14.25" customHeight="1" x14ac:dyDescent="0.25">
      <c r="A8032" s="90" t="s">
        <v>47</v>
      </c>
      <c r="B8032" s="613" t="s">
        <v>380</v>
      </c>
      <c r="C8032" s="600"/>
      <c r="D8032" s="600"/>
      <c r="E8032" s="600"/>
      <c r="F8032" s="600"/>
      <c r="G8032" s="81"/>
      <c r="H8032" s="81"/>
      <c r="I8032" s="81"/>
      <c r="J8032" s="81"/>
      <c r="K8032" s="81"/>
      <c r="L8032" s="81"/>
      <c r="M8032" s="81"/>
      <c r="N8032" s="81"/>
    </row>
    <row r="8033" spans="1:14" ht="14.25" customHeight="1" x14ac:dyDescent="0.25">
      <c r="A8033" s="91"/>
      <c r="B8033" s="91"/>
      <c r="C8033" s="91"/>
      <c r="D8033" s="91"/>
      <c r="E8033" s="91"/>
      <c r="F8033" s="91"/>
      <c r="G8033" s="81"/>
      <c r="H8033" s="81"/>
      <c r="I8033" s="81"/>
      <c r="J8033" s="81"/>
      <c r="K8033" s="81"/>
      <c r="L8033" s="81"/>
      <c r="M8033" s="81"/>
      <c r="N8033" s="81"/>
    </row>
    <row r="8034" spans="1:14" ht="14.25" customHeight="1" x14ac:dyDescent="0.25">
      <c r="A8034" s="88" t="s">
        <v>49</v>
      </c>
      <c r="B8034" s="92" t="s">
        <v>64</v>
      </c>
      <c r="C8034" s="89"/>
      <c r="D8034" s="89"/>
      <c r="E8034" s="89"/>
      <c r="F8034" s="93"/>
      <c r="G8034" s="81"/>
      <c r="H8034" s="81"/>
      <c r="I8034" s="81"/>
      <c r="J8034" s="81"/>
      <c r="K8034" s="81"/>
      <c r="L8034" s="81"/>
      <c r="M8034" s="81"/>
      <c r="N8034" s="81"/>
    </row>
    <row r="8035" spans="1:14" ht="14.25" customHeight="1" x14ac:dyDescent="0.25">
      <c r="A8035" s="88"/>
      <c r="B8035" s="94"/>
      <c r="C8035" s="89"/>
      <c r="D8035" s="89"/>
      <c r="E8035" s="89"/>
      <c r="F8035" s="93"/>
      <c r="G8035" s="81"/>
      <c r="H8035" s="81"/>
      <c r="I8035" s="81"/>
      <c r="J8035" s="81"/>
      <c r="K8035" s="81"/>
      <c r="L8035" s="81"/>
      <c r="M8035" s="81"/>
      <c r="N8035" s="81"/>
    </row>
    <row r="8036" spans="1:14" ht="14.25" customHeight="1" x14ac:dyDescent="0.25">
      <c r="A8036" s="95" t="s">
        <v>562</v>
      </c>
      <c r="B8036" s="96"/>
      <c r="C8036" s="92"/>
      <c r="D8036" s="92"/>
      <c r="E8036" s="92"/>
      <c r="F8036" s="92"/>
      <c r="G8036" s="81"/>
      <c r="H8036" s="81"/>
      <c r="I8036" s="81"/>
      <c r="J8036" s="81"/>
      <c r="K8036" s="81"/>
      <c r="L8036" s="81"/>
      <c r="M8036" s="81"/>
      <c r="N8036" s="81"/>
    </row>
    <row r="8037" spans="1:14" ht="14.25" customHeight="1" x14ac:dyDescent="0.25">
      <c r="A8037" s="97" t="s">
        <v>563</v>
      </c>
      <c r="B8037" s="98" t="s">
        <v>564</v>
      </c>
      <c r="C8037" s="98" t="s">
        <v>565</v>
      </c>
      <c r="D8037" s="98" t="s">
        <v>566</v>
      </c>
      <c r="E8037" s="98" t="s">
        <v>567</v>
      </c>
      <c r="F8037" s="98" t="s">
        <v>568</v>
      </c>
      <c r="G8037" s="81"/>
      <c r="H8037" s="81"/>
      <c r="I8037" s="81"/>
      <c r="J8037" s="81"/>
      <c r="K8037" s="81"/>
      <c r="L8037" s="81"/>
      <c r="M8037" s="81"/>
      <c r="N8037" s="81"/>
    </row>
    <row r="8038" spans="1:14" ht="14.25" customHeight="1" x14ac:dyDescent="0.25">
      <c r="A8038" s="99" t="s">
        <v>816</v>
      </c>
      <c r="B8038" s="100" t="s">
        <v>64</v>
      </c>
      <c r="C8038" s="101">
        <v>46310</v>
      </c>
      <c r="D8038" s="104">
        <v>1.3</v>
      </c>
      <c r="E8038" s="102">
        <v>0.05</v>
      </c>
      <c r="F8038" s="101">
        <f t="shared" ref="F8038:F8039" si="402">C8038*(D8038+(D8038*E8038))</f>
        <v>63213.15</v>
      </c>
      <c r="G8038" s="81"/>
      <c r="H8038" s="81"/>
      <c r="I8038" s="81"/>
      <c r="J8038" s="81"/>
      <c r="K8038" s="81"/>
      <c r="L8038" s="81"/>
      <c r="M8038" s="81"/>
      <c r="N8038" s="81"/>
    </row>
    <row r="8039" spans="1:14" ht="14.25" customHeight="1" x14ac:dyDescent="0.25">
      <c r="A8039" s="99" t="s">
        <v>611</v>
      </c>
      <c r="B8039" s="100" t="s">
        <v>612</v>
      </c>
      <c r="C8039" s="101">
        <v>12</v>
      </c>
      <c r="D8039" s="104">
        <v>12</v>
      </c>
      <c r="E8039" s="102">
        <v>0.05</v>
      </c>
      <c r="F8039" s="101">
        <f t="shared" si="402"/>
        <v>151.19999999999999</v>
      </c>
      <c r="G8039" s="81"/>
      <c r="H8039" s="81"/>
      <c r="I8039" s="81"/>
      <c r="J8039" s="81"/>
      <c r="K8039" s="81"/>
      <c r="L8039" s="81"/>
      <c r="M8039" s="81"/>
      <c r="N8039" s="81"/>
    </row>
    <row r="8040" spans="1:14" ht="14.25" customHeight="1" x14ac:dyDescent="0.25">
      <c r="A8040" s="103"/>
      <c r="B8040" s="100"/>
      <c r="C8040" s="101"/>
      <c r="D8040" s="104"/>
      <c r="E8040" s="102"/>
      <c r="F8040" s="101"/>
      <c r="G8040" s="81"/>
      <c r="H8040" s="81"/>
      <c r="I8040" s="81"/>
      <c r="J8040" s="81"/>
      <c r="K8040" s="81"/>
      <c r="L8040" s="81"/>
      <c r="M8040" s="81"/>
      <c r="N8040" s="81"/>
    </row>
    <row r="8041" spans="1:14" ht="14.25" customHeight="1" x14ac:dyDescent="0.25">
      <c r="A8041" s="99"/>
      <c r="B8041" s="100"/>
      <c r="C8041" s="101"/>
      <c r="D8041" s="104"/>
      <c r="E8041" s="102"/>
      <c r="F8041" s="101"/>
      <c r="G8041" s="81"/>
      <c r="H8041" s="81"/>
      <c r="I8041" s="81"/>
      <c r="J8041" s="81"/>
      <c r="K8041" s="81"/>
      <c r="L8041" s="81"/>
      <c r="M8041" s="81"/>
      <c r="N8041" s="81"/>
    </row>
    <row r="8042" spans="1:14" ht="14.25" customHeight="1" x14ac:dyDescent="0.25">
      <c r="A8042" s="99"/>
      <c r="B8042" s="100"/>
      <c r="C8042" s="106"/>
      <c r="D8042" s="104"/>
      <c r="E8042" s="102"/>
      <c r="F8042" s="101"/>
      <c r="G8042" s="81"/>
      <c r="H8042" s="81"/>
      <c r="I8042" s="81"/>
      <c r="J8042" s="81"/>
      <c r="K8042" s="81"/>
      <c r="L8042" s="81"/>
      <c r="M8042" s="81"/>
      <c r="N8042" s="81"/>
    </row>
    <row r="8043" spans="1:14" ht="15.75" x14ac:dyDescent="0.25">
      <c r="A8043" s="103"/>
      <c r="B8043" s="100"/>
      <c r="C8043" s="101"/>
      <c r="D8043" s="105"/>
      <c r="E8043" s="102"/>
      <c r="F8043" s="101"/>
      <c r="G8043" s="81"/>
      <c r="H8043" s="81"/>
      <c r="I8043" s="81"/>
      <c r="J8043" s="81"/>
      <c r="K8043" s="81"/>
      <c r="L8043" s="81"/>
      <c r="M8043" s="81"/>
      <c r="N8043" s="81"/>
    </row>
    <row r="8044" spans="1:14" ht="14.25" customHeight="1" x14ac:dyDescent="0.25">
      <c r="A8044" s="99"/>
      <c r="B8044" s="100"/>
      <c r="C8044" s="106"/>
      <c r="D8044" s="107"/>
      <c r="E8044" s="108"/>
      <c r="F8044" s="106"/>
      <c r="G8044" s="81"/>
      <c r="H8044" s="81"/>
      <c r="I8044" s="81"/>
      <c r="J8044" s="81"/>
      <c r="K8044" s="81"/>
      <c r="L8044" s="81"/>
      <c r="M8044" s="81"/>
      <c r="N8044" s="81"/>
    </row>
    <row r="8045" spans="1:14" ht="14.25" customHeight="1" x14ac:dyDescent="0.25">
      <c r="A8045" s="97" t="s">
        <v>548</v>
      </c>
      <c r="B8045" s="97"/>
      <c r="C8045" s="109"/>
      <c r="D8045" s="110"/>
      <c r="E8045" s="111"/>
      <c r="F8045" s="112">
        <f>SUM(F8038:F8044)</f>
        <v>63364.35</v>
      </c>
      <c r="G8045" s="81"/>
      <c r="H8045" s="81"/>
      <c r="I8045" s="81"/>
      <c r="J8045" s="81"/>
      <c r="K8045" s="81"/>
      <c r="L8045" s="81"/>
      <c r="M8045" s="81"/>
      <c r="N8045" s="81"/>
    </row>
    <row r="8046" spans="1:14" ht="14.25" customHeight="1" x14ac:dyDescent="0.25">
      <c r="A8046" s="88"/>
      <c r="B8046" s="88"/>
      <c r="C8046" s="113"/>
      <c r="D8046" s="113"/>
      <c r="E8046" s="114"/>
      <c r="F8046" s="113"/>
      <c r="G8046" s="81"/>
      <c r="H8046" s="81"/>
      <c r="I8046" s="81"/>
      <c r="J8046" s="81"/>
      <c r="K8046" s="81"/>
      <c r="L8046" s="81"/>
      <c r="M8046" s="81"/>
      <c r="N8046" s="81"/>
    </row>
    <row r="8047" spans="1:14" ht="14.25" customHeight="1" x14ac:dyDescent="0.25">
      <c r="A8047" s="96" t="s">
        <v>573</v>
      </c>
      <c r="B8047" s="96"/>
      <c r="C8047" s="92"/>
      <c r="D8047" s="92"/>
      <c r="E8047" s="92"/>
      <c r="F8047" s="92"/>
      <c r="G8047" s="81"/>
      <c r="H8047" s="81"/>
      <c r="I8047" s="81"/>
      <c r="J8047" s="81"/>
      <c r="K8047" s="81"/>
      <c r="L8047" s="81"/>
      <c r="M8047" s="81"/>
      <c r="N8047" s="81"/>
    </row>
    <row r="8048" spans="1:14" ht="14.25" customHeight="1" x14ac:dyDescent="0.25">
      <c r="A8048" s="611" t="s">
        <v>563</v>
      </c>
      <c r="B8048" s="608"/>
      <c r="C8048" s="609"/>
      <c r="D8048" s="98" t="s">
        <v>574</v>
      </c>
      <c r="E8048" s="98" t="s">
        <v>575</v>
      </c>
      <c r="F8048" s="98" t="s">
        <v>568</v>
      </c>
      <c r="G8048" s="81"/>
      <c r="H8048" s="81"/>
      <c r="I8048" s="81"/>
      <c r="J8048" s="81"/>
      <c r="K8048" s="81"/>
      <c r="L8048" s="81"/>
      <c r="M8048" s="81"/>
      <c r="N8048" s="81"/>
    </row>
    <row r="8049" spans="1:14" ht="14.25" customHeight="1" x14ac:dyDescent="0.25">
      <c r="A8049" s="607" t="s">
        <v>577</v>
      </c>
      <c r="B8049" s="608"/>
      <c r="C8049" s="609"/>
      <c r="D8049" s="116"/>
      <c r="E8049" s="107"/>
      <c r="F8049" s="106">
        <f>+F8061*5%</f>
        <v>1110.410950505066</v>
      </c>
      <c r="G8049" s="81"/>
      <c r="H8049" s="81"/>
      <c r="I8049" s="81"/>
      <c r="J8049" s="81"/>
      <c r="K8049" s="81"/>
      <c r="L8049" s="81"/>
      <c r="M8049" s="81"/>
      <c r="N8049" s="81"/>
    </row>
    <row r="8050" spans="1:14" ht="14.25" customHeight="1" x14ac:dyDescent="0.25">
      <c r="A8050" s="607" t="s">
        <v>613</v>
      </c>
      <c r="B8050" s="608"/>
      <c r="C8050" s="609"/>
      <c r="D8050" s="142">
        <v>100000</v>
      </c>
      <c r="E8050" s="107">
        <v>18</v>
      </c>
      <c r="F8050" s="106">
        <f t="shared" ref="F8050:F8051" si="403">D8050/E8050</f>
        <v>5555.5555555555557</v>
      </c>
      <c r="G8050" s="81"/>
      <c r="H8050" s="81"/>
      <c r="I8050" s="81"/>
      <c r="J8050" s="81"/>
      <c r="K8050" s="81"/>
      <c r="L8050" s="81"/>
      <c r="M8050" s="81"/>
      <c r="N8050" s="81"/>
    </row>
    <row r="8051" spans="1:14" ht="15.75" x14ac:dyDescent="0.25">
      <c r="A8051" s="607" t="s">
        <v>608</v>
      </c>
      <c r="B8051" s="608"/>
      <c r="C8051" s="609"/>
      <c r="D8051" s="142">
        <v>110000</v>
      </c>
      <c r="E8051" s="107">
        <v>18</v>
      </c>
      <c r="F8051" s="106">
        <f t="shared" si="403"/>
        <v>6111.1111111111113</v>
      </c>
      <c r="G8051" s="81"/>
      <c r="H8051" s="81"/>
      <c r="I8051" s="81"/>
      <c r="J8051" s="81"/>
      <c r="K8051" s="81"/>
      <c r="L8051" s="81"/>
      <c r="M8051" s="81"/>
      <c r="N8051" s="81"/>
    </row>
    <row r="8052" spans="1:14" ht="14.25" customHeight="1" x14ac:dyDescent="0.25">
      <c r="A8052" s="610"/>
      <c r="B8052" s="608"/>
      <c r="C8052" s="609"/>
      <c r="D8052" s="115"/>
      <c r="E8052" s="107"/>
      <c r="F8052" s="106"/>
      <c r="G8052" s="81"/>
      <c r="H8052" s="81"/>
      <c r="I8052" s="81"/>
      <c r="J8052" s="81"/>
      <c r="K8052" s="81"/>
      <c r="L8052" s="81"/>
      <c r="M8052" s="81"/>
      <c r="N8052" s="81"/>
    </row>
    <row r="8053" spans="1:14" ht="14.25" customHeight="1" x14ac:dyDescent="0.25">
      <c r="A8053" s="611" t="s">
        <v>548</v>
      </c>
      <c r="B8053" s="608"/>
      <c r="C8053" s="609"/>
      <c r="D8053" s="110"/>
      <c r="E8053" s="110"/>
      <c r="F8053" s="112">
        <f>SUM(F8049:F8051)</f>
        <v>12777.077617171733</v>
      </c>
      <c r="G8053" s="81"/>
      <c r="H8053" s="81"/>
      <c r="I8053" s="81"/>
      <c r="J8053" s="81"/>
      <c r="K8053" s="81"/>
      <c r="L8053" s="81"/>
      <c r="M8053" s="81"/>
      <c r="N8053" s="81"/>
    </row>
    <row r="8054" spans="1:14" ht="14.25" customHeight="1" x14ac:dyDescent="0.25">
      <c r="A8054" s="88"/>
      <c r="B8054" s="88"/>
      <c r="C8054" s="89"/>
      <c r="D8054" s="113"/>
      <c r="E8054" s="113"/>
      <c r="F8054" s="113"/>
      <c r="G8054" s="81"/>
      <c r="H8054" s="81"/>
      <c r="I8054" s="81"/>
      <c r="J8054" s="81"/>
      <c r="K8054" s="81"/>
      <c r="L8054" s="81"/>
      <c r="M8054" s="81"/>
      <c r="N8054" s="81"/>
    </row>
    <row r="8055" spans="1:14" ht="14.25" customHeight="1" x14ac:dyDescent="0.25">
      <c r="A8055" s="96" t="s">
        <v>578</v>
      </c>
      <c r="B8055" s="96"/>
      <c r="C8055" s="92"/>
      <c r="D8055" s="118"/>
      <c r="E8055" s="118"/>
      <c r="F8055" s="118"/>
      <c r="G8055" s="81"/>
      <c r="H8055" s="81"/>
      <c r="I8055" s="81"/>
      <c r="J8055" s="81"/>
      <c r="K8055" s="81"/>
      <c r="L8055" s="81"/>
      <c r="M8055" s="81"/>
      <c r="N8055" s="81"/>
    </row>
    <row r="8056" spans="1:14" ht="14.25" customHeight="1" x14ac:dyDescent="0.25">
      <c r="A8056" s="119" t="s">
        <v>563</v>
      </c>
      <c r="B8056" s="120" t="s">
        <v>579</v>
      </c>
      <c r="C8056" s="120" t="s">
        <v>580</v>
      </c>
      <c r="D8056" s="121" t="s">
        <v>581</v>
      </c>
      <c r="E8056" s="121" t="s">
        <v>575</v>
      </c>
      <c r="F8056" s="121" t="s">
        <v>568</v>
      </c>
      <c r="G8056" s="81"/>
      <c r="H8056" s="81"/>
      <c r="I8056" s="81"/>
      <c r="J8056" s="81"/>
      <c r="K8056" s="81"/>
      <c r="L8056" s="81"/>
      <c r="M8056" s="81"/>
      <c r="N8056" s="81"/>
    </row>
    <row r="8057" spans="1:14" ht="14.25" customHeight="1" x14ac:dyDescent="0.25">
      <c r="A8057" s="122" t="s">
        <v>593</v>
      </c>
      <c r="B8057" s="127">
        <v>1</v>
      </c>
      <c r="C8057" s="101">
        <v>32688</v>
      </c>
      <c r="D8057" s="101">
        <f t="shared" ref="D8057:D8058" si="404">+C8057*1.7</f>
        <v>55569.599999999999</v>
      </c>
      <c r="E8057" s="107">
        <v>6.5239000000000003</v>
      </c>
      <c r="F8057" s="106">
        <f t="shared" ref="F8057:F8058" si="405">+B8057*(D8057)/E8057</f>
        <v>8517.8497524486884</v>
      </c>
      <c r="G8057" s="81"/>
      <c r="H8057" s="117"/>
      <c r="I8057" s="81"/>
      <c r="J8057" s="81"/>
      <c r="K8057" s="81"/>
      <c r="L8057" s="81"/>
      <c r="M8057" s="81"/>
      <c r="N8057" s="81"/>
    </row>
    <row r="8058" spans="1:14" ht="14.25" customHeight="1" x14ac:dyDescent="0.25">
      <c r="A8058" s="122" t="s">
        <v>594</v>
      </c>
      <c r="B8058" s="127">
        <v>1</v>
      </c>
      <c r="C8058" s="101">
        <v>52538</v>
      </c>
      <c r="D8058" s="101">
        <f t="shared" si="404"/>
        <v>89314.599999999991</v>
      </c>
      <c r="E8058" s="107">
        <f>E8057</f>
        <v>6.5239000000000003</v>
      </c>
      <c r="F8058" s="106">
        <f t="shared" si="405"/>
        <v>13690.36925765263</v>
      </c>
      <c r="G8058" s="81"/>
      <c r="H8058" s="81"/>
      <c r="I8058" s="81"/>
      <c r="J8058" s="81"/>
      <c r="K8058" s="81"/>
      <c r="L8058" s="81"/>
      <c r="M8058" s="81"/>
      <c r="N8058" s="81"/>
    </row>
    <row r="8059" spans="1:14" ht="14.25" customHeight="1" x14ac:dyDescent="0.25">
      <c r="A8059" s="122"/>
      <c r="B8059" s="127"/>
      <c r="C8059" s="101"/>
      <c r="D8059" s="101"/>
      <c r="E8059" s="107"/>
      <c r="F8059" s="106"/>
      <c r="G8059" s="81"/>
      <c r="H8059" s="81"/>
      <c r="I8059" s="81"/>
      <c r="J8059" s="81"/>
      <c r="K8059" s="81"/>
      <c r="L8059" s="81"/>
      <c r="M8059" s="81"/>
      <c r="N8059" s="81"/>
    </row>
    <row r="8060" spans="1:14" ht="14.25" customHeight="1" x14ac:dyDescent="0.25">
      <c r="A8060" s="122"/>
      <c r="B8060" s="127"/>
      <c r="C8060" s="101"/>
      <c r="D8060" s="101"/>
      <c r="E8060" s="125"/>
      <c r="F8060" s="106"/>
      <c r="G8060" s="81"/>
      <c r="H8060" s="117"/>
      <c r="I8060" s="81"/>
      <c r="J8060" s="81"/>
      <c r="K8060" s="81"/>
      <c r="L8060" s="81"/>
      <c r="M8060" s="81"/>
      <c r="N8060" s="81"/>
    </row>
    <row r="8061" spans="1:14" ht="14.25" customHeight="1" x14ac:dyDescent="0.25">
      <c r="A8061" s="97" t="s">
        <v>548</v>
      </c>
      <c r="B8061" s="128"/>
      <c r="C8061" s="110"/>
      <c r="D8061" s="110"/>
      <c r="E8061" s="110"/>
      <c r="F8061" s="112">
        <f>SUM(F8057:F8060)</f>
        <v>22208.219010101318</v>
      </c>
      <c r="G8061" s="81"/>
      <c r="H8061" s="81"/>
      <c r="I8061" s="81"/>
      <c r="J8061" s="81"/>
      <c r="K8061" s="81"/>
      <c r="L8061" s="81"/>
      <c r="M8061" s="81"/>
      <c r="N8061" s="81"/>
    </row>
    <row r="8062" spans="1:14" ht="14.25" customHeight="1" x14ac:dyDescent="0.25">
      <c r="A8062" s="96"/>
      <c r="B8062" s="129"/>
      <c r="C8062" s="118"/>
      <c r="D8062" s="118"/>
      <c r="E8062" s="118"/>
      <c r="F8062" s="118"/>
      <c r="G8062" s="81"/>
      <c r="H8062" s="81"/>
      <c r="I8062" s="81"/>
      <c r="J8062" s="81"/>
      <c r="K8062" s="81"/>
      <c r="L8062" s="81"/>
      <c r="M8062" s="81"/>
      <c r="N8062" s="81"/>
    </row>
    <row r="8063" spans="1:14" ht="14.25" customHeight="1" x14ac:dyDescent="0.25">
      <c r="A8063" s="95" t="s">
        <v>583</v>
      </c>
      <c r="B8063" s="96"/>
      <c r="C8063" s="92"/>
      <c r="D8063" s="92"/>
      <c r="E8063" s="92" t="s">
        <v>584</v>
      </c>
      <c r="F8063" s="92"/>
      <c r="G8063" s="81"/>
      <c r="H8063" s="81"/>
      <c r="I8063" s="81"/>
      <c r="J8063" s="81"/>
      <c r="K8063" s="81"/>
      <c r="L8063" s="81"/>
      <c r="M8063" s="81"/>
      <c r="N8063" s="81"/>
    </row>
    <row r="8064" spans="1:14" ht="14.25" customHeight="1" x14ac:dyDescent="0.25">
      <c r="A8064" s="97" t="s">
        <v>563</v>
      </c>
      <c r="B8064" s="98" t="s">
        <v>564</v>
      </c>
      <c r="C8064" s="98" t="s">
        <v>585</v>
      </c>
      <c r="D8064" s="98" t="s">
        <v>586</v>
      </c>
      <c r="E8064" s="120" t="s">
        <v>587</v>
      </c>
      <c r="F8064" s="98" t="s">
        <v>568</v>
      </c>
      <c r="G8064" s="81"/>
      <c r="H8064" s="81"/>
      <c r="I8064" s="81"/>
      <c r="J8064" s="81"/>
      <c r="K8064" s="81"/>
      <c r="L8064" s="81"/>
      <c r="M8064" s="81"/>
      <c r="N8064" s="81"/>
    </row>
    <row r="8065" spans="1:14" ht="14.25" customHeight="1" x14ac:dyDescent="0.25">
      <c r="A8065" s="103"/>
      <c r="B8065" s="100"/>
      <c r="C8065" s="101"/>
      <c r="D8065" s="140"/>
      <c r="E8065" s="107"/>
      <c r="F8065" s="109">
        <f>+C8065*D8065*E8065</f>
        <v>0</v>
      </c>
      <c r="G8065" s="81"/>
      <c r="H8065" s="81"/>
      <c r="I8065" s="81"/>
      <c r="J8065" s="81"/>
      <c r="K8065" s="81"/>
      <c r="L8065" s="81"/>
      <c r="M8065" s="81"/>
      <c r="N8065" s="81"/>
    </row>
    <row r="8066" spans="1:14" ht="14.25" customHeight="1" x14ac:dyDescent="0.25">
      <c r="A8066" s="103"/>
      <c r="B8066" s="100"/>
      <c r="C8066" s="107"/>
      <c r="D8066" s="107"/>
      <c r="E8066" s="108"/>
      <c r="F8066" s="109"/>
      <c r="G8066" s="81"/>
      <c r="H8066" s="81"/>
      <c r="I8066" s="81"/>
      <c r="J8066" s="81"/>
      <c r="K8066" s="81"/>
      <c r="L8066" s="81"/>
      <c r="M8066" s="81"/>
      <c r="N8066" s="81"/>
    </row>
    <row r="8067" spans="1:14" ht="14.25" customHeight="1" x14ac:dyDescent="0.25">
      <c r="A8067" s="97" t="s">
        <v>548</v>
      </c>
      <c r="B8067" s="98"/>
      <c r="C8067" s="110"/>
      <c r="D8067" s="110"/>
      <c r="E8067" s="111"/>
      <c r="F8067" s="112">
        <f>SUM(F8065:F8066)</f>
        <v>0</v>
      </c>
      <c r="G8067" s="81"/>
      <c r="H8067" s="81"/>
      <c r="I8067" s="81"/>
      <c r="J8067" s="81"/>
      <c r="K8067" s="81"/>
      <c r="L8067" s="81"/>
      <c r="M8067" s="81"/>
      <c r="N8067" s="81"/>
    </row>
    <row r="8068" spans="1:14" ht="14.25" customHeight="1" x14ac:dyDescent="0.25">
      <c r="A8068" s="88"/>
      <c r="B8068" s="89"/>
      <c r="C8068" s="113"/>
      <c r="D8068" s="113"/>
      <c r="E8068" s="114"/>
      <c r="F8068" s="113"/>
      <c r="G8068" s="81"/>
      <c r="H8068" s="81"/>
      <c r="I8068" s="81"/>
      <c r="J8068" s="81"/>
      <c r="K8068" s="81"/>
      <c r="L8068" s="81"/>
      <c r="M8068" s="81"/>
      <c r="N8068" s="81"/>
    </row>
    <row r="8069" spans="1:14" ht="14.25" customHeight="1" x14ac:dyDescent="0.25">
      <c r="A8069" s="88"/>
      <c r="B8069" s="89"/>
      <c r="C8069" s="113"/>
      <c r="D8069" s="113"/>
      <c r="E8069" s="114"/>
      <c r="F8069" s="113"/>
      <c r="G8069" s="81"/>
      <c r="H8069" s="81"/>
      <c r="I8069" s="81"/>
      <c r="J8069" s="81"/>
      <c r="K8069" s="81"/>
      <c r="L8069" s="81"/>
      <c r="M8069" s="81"/>
      <c r="N8069" s="81"/>
    </row>
    <row r="8070" spans="1:14" ht="14.25" customHeight="1" x14ac:dyDescent="0.25">
      <c r="A8070" s="612" t="s">
        <v>588</v>
      </c>
      <c r="B8070" s="608"/>
      <c r="C8070" s="608"/>
      <c r="D8070" s="608"/>
      <c r="E8070" s="609"/>
      <c r="F8070" s="131">
        <f>ROUND(F8045+F8053+F8061+F8067,0)</f>
        <v>98350</v>
      </c>
      <c r="G8070" s="81"/>
      <c r="H8070" s="81"/>
      <c r="I8070" s="81"/>
      <c r="J8070" s="81"/>
      <c r="K8070" s="81"/>
      <c r="L8070" s="81"/>
      <c r="M8070" s="81"/>
      <c r="N8070" s="81"/>
    </row>
    <row r="8071" spans="1:14" ht="14.25" customHeight="1" x14ac:dyDescent="0.25">
      <c r="A8071" s="612" t="s">
        <v>589</v>
      </c>
      <c r="B8071" s="608"/>
      <c r="C8071" s="608"/>
      <c r="D8071" s="608"/>
      <c r="E8071" s="609"/>
      <c r="F8071" s="132"/>
      <c r="G8071" s="81"/>
      <c r="H8071" s="81"/>
      <c r="I8071" s="81"/>
      <c r="J8071" s="81"/>
      <c r="K8071" s="81"/>
      <c r="L8071" s="81"/>
      <c r="M8071" s="81"/>
      <c r="N8071" s="81"/>
    </row>
    <row r="8072" spans="1:14" ht="14.25" customHeight="1" x14ac:dyDescent="0.25">
      <c r="A8072" s="612" t="s">
        <v>556</v>
      </c>
      <c r="B8072" s="608"/>
      <c r="C8072" s="608"/>
      <c r="D8072" s="608"/>
      <c r="E8072" s="609"/>
      <c r="F8072" s="133"/>
      <c r="G8072" s="81"/>
      <c r="H8072" s="81"/>
      <c r="I8072" s="81"/>
      <c r="J8072" s="81"/>
      <c r="K8072" s="81"/>
      <c r="L8072" s="81"/>
      <c r="M8072" s="81"/>
      <c r="N8072" s="81"/>
    </row>
    <row r="8073" spans="1:14" ht="14.25" customHeight="1" x14ac:dyDescent="0.25">
      <c r="A8073" s="134"/>
      <c r="B8073" s="135"/>
      <c r="C8073" s="135"/>
      <c r="D8073" s="135"/>
      <c r="E8073" s="135"/>
      <c r="F8073" s="136"/>
      <c r="G8073" s="81"/>
      <c r="H8073" s="81"/>
      <c r="I8073" s="81"/>
      <c r="J8073" s="81"/>
      <c r="K8073" s="81"/>
      <c r="L8073" s="81"/>
      <c r="M8073" s="81"/>
      <c r="N8073" s="81"/>
    </row>
    <row r="8074" spans="1:14" ht="14.25" customHeight="1" x14ac:dyDescent="0.25">
      <c r="A8074" s="81"/>
      <c r="B8074" s="81"/>
      <c r="C8074" s="137"/>
      <c r="D8074" s="81"/>
      <c r="E8074" s="81"/>
      <c r="F8074" s="81"/>
      <c r="G8074" s="81"/>
      <c r="H8074" s="81"/>
      <c r="I8074" s="81"/>
      <c r="J8074" s="81"/>
      <c r="K8074" s="81"/>
      <c r="L8074" s="81"/>
      <c r="M8074" s="81"/>
      <c r="N8074" s="81"/>
    </row>
    <row r="8075" spans="1:14" ht="14.25" customHeight="1" x14ac:dyDescent="0.25">
      <c r="A8075" s="81"/>
      <c r="B8075" s="81"/>
      <c r="C8075" s="137"/>
      <c r="D8075" s="81"/>
      <c r="E8075" s="81"/>
      <c r="F8075" s="81"/>
      <c r="G8075" s="81"/>
      <c r="H8075" s="81"/>
      <c r="I8075" s="81"/>
      <c r="J8075" s="81"/>
      <c r="K8075" s="81"/>
      <c r="L8075" s="81"/>
      <c r="M8075" s="81"/>
      <c r="N8075" s="81"/>
    </row>
    <row r="8076" spans="1:14" ht="14.25" customHeight="1" x14ac:dyDescent="0.25">
      <c r="A8076" s="81"/>
      <c r="B8076" s="81"/>
      <c r="C8076" s="137"/>
      <c r="D8076" s="81"/>
      <c r="E8076" s="81"/>
      <c r="F8076" s="81"/>
      <c r="G8076" s="81"/>
      <c r="H8076" s="81"/>
      <c r="I8076" s="81"/>
      <c r="J8076" s="81"/>
      <c r="K8076" s="81"/>
      <c r="L8076" s="81"/>
      <c r="M8076" s="81"/>
      <c r="N8076" s="81"/>
    </row>
    <row r="8077" spans="1:14" ht="14.25" customHeight="1" x14ac:dyDescent="0.25">
      <c r="A8077" s="81"/>
      <c r="B8077" s="81"/>
      <c r="C8077" s="137"/>
      <c r="D8077" s="81"/>
      <c r="E8077" s="81"/>
      <c r="F8077" s="81"/>
      <c r="G8077" s="81"/>
      <c r="H8077" s="81"/>
      <c r="I8077" s="81"/>
      <c r="J8077" s="81"/>
      <c r="K8077" s="81"/>
      <c r="L8077" s="81"/>
      <c r="M8077" s="81"/>
      <c r="N8077" s="81"/>
    </row>
    <row r="8078" spans="1:14" ht="14.25" customHeight="1" x14ac:dyDescent="0.25">
      <c r="A8078" s="81"/>
      <c r="B8078" s="81"/>
      <c r="C8078" s="137"/>
      <c r="D8078" s="81"/>
      <c r="E8078" s="81"/>
      <c r="F8078" s="81"/>
      <c r="G8078" s="81"/>
      <c r="H8078" s="81"/>
      <c r="I8078" s="81"/>
      <c r="J8078" s="81"/>
      <c r="K8078" s="81"/>
      <c r="L8078" s="81"/>
      <c r="M8078" s="81"/>
      <c r="N8078" s="81"/>
    </row>
    <row r="8079" spans="1:14" ht="14.25" customHeight="1" x14ac:dyDescent="0.25">
      <c r="A8079" s="81"/>
      <c r="B8079" s="81"/>
      <c r="C8079" s="137"/>
      <c r="D8079" s="81"/>
      <c r="E8079" s="81"/>
      <c r="F8079" s="81"/>
      <c r="G8079" s="81"/>
      <c r="H8079" s="81"/>
      <c r="I8079" s="81"/>
      <c r="J8079" s="81"/>
      <c r="K8079" s="81"/>
      <c r="L8079" s="81"/>
      <c r="M8079" s="81"/>
      <c r="N8079" s="81"/>
    </row>
    <row r="8080" spans="1:14" ht="15.75" x14ac:dyDescent="0.25">
      <c r="A8080" s="134"/>
      <c r="B8080" s="135"/>
      <c r="C8080" s="135"/>
      <c r="D8080" s="135"/>
      <c r="E8080" s="135"/>
      <c r="F8080" s="136"/>
      <c r="G8080" s="81"/>
      <c r="H8080" s="81"/>
      <c r="I8080" s="81"/>
      <c r="J8080" s="81"/>
      <c r="K8080" s="81"/>
      <c r="L8080" s="81"/>
      <c r="M8080" s="81"/>
      <c r="N8080" s="81"/>
    </row>
    <row r="8081" spans="1:14" ht="14.25" customHeight="1" x14ac:dyDescent="0.25">
      <c r="A8081" s="134"/>
      <c r="B8081" s="135"/>
      <c r="C8081" s="135"/>
      <c r="D8081" s="135"/>
      <c r="E8081" s="135"/>
      <c r="F8081" s="136"/>
      <c r="G8081" s="81"/>
      <c r="H8081" s="81"/>
      <c r="I8081" s="81"/>
      <c r="J8081" s="81"/>
      <c r="K8081" s="81"/>
      <c r="L8081" s="81"/>
      <c r="M8081" s="81"/>
      <c r="N8081" s="81"/>
    </row>
    <row r="8082" spans="1:14" ht="14.25" customHeight="1" x14ac:dyDescent="0.25">
      <c r="A8082" s="134"/>
      <c r="B8082" s="135"/>
      <c r="C8082" s="135"/>
      <c r="D8082" s="135"/>
      <c r="E8082" s="135"/>
      <c r="F8082" s="136"/>
      <c r="G8082" s="81"/>
      <c r="H8082" s="81"/>
      <c r="I8082" s="81"/>
      <c r="J8082" s="81"/>
      <c r="K8082" s="81"/>
      <c r="L8082" s="81"/>
      <c r="M8082" s="81"/>
      <c r="N8082" s="81"/>
    </row>
    <row r="8083" spans="1:14" ht="14.25" customHeight="1" thickBot="1" x14ac:dyDescent="0.3">
      <c r="A8083" s="81"/>
      <c r="B8083" s="81"/>
      <c r="C8083" s="81"/>
      <c r="D8083" s="81"/>
      <c r="E8083" s="81"/>
      <c r="F8083" s="81"/>
      <c r="G8083" s="81"/>
      <c r="H8083" s="81"/>
      <c r="I8083" s="81"/>
      <c r="J8083" s="81"/>
      <c r="K8083" s="81"/>
      <c r="L8083" s="81"/>
      <c r="M8083" s="81"/>
      <c r="N8083" s="81"/>
    </row>
    <row r="8084" spans="1:14" ht="14.25" customHeight="1" x14ac:dyDescent="0.25">
      <c r="A8084" s="83"/>
      <c r="B8084" s="84"/>
      <c r="C8084" s="85"/>
      <c r="D8084" s="86"/>
      <c r="E8084" s="86"/>
      <c r="F8084" s="87"/>
      <c r="G8084" s="81"/>
      <c r="H8084" s="81"/>
      <c r="I8084" s="81"/>
      <c r="J8084" s="81"/>
      <c r="K8084" s="81"/>
      <c r="L8084" s="81"/>
      <c r="M8084" s="81"/>
      <c r="N8084" s="81"/>
    </row>
    <row r="8085" spans="1:14" ht="14.25" customHeight="1" x14ac:dyDescent="0.25">
      <c r="A8085" s="599"/>
      <c r="B8085" s="600"/>
      <c r="C8085" s="600"/>
      <c r="D8085" s="600"/>
      <c r="E8085" s="600"/>
      <c r="F8085" s="601"/>
      <c r="G8085" s="81"/>
      <c r="H8085" s="81"/>
      <c r="I8085" s="81"/>
      <c r="J8085" s="81"/>
      <c r="K8085" s="81"/>
      <c r="L8085" s="81"/>
      <c r="M8085" s="81"/>
      <c r="N8085" s="81"/>
    </row>
    <row r="8086" spans="1:14" ht="14.25" customHeight="1" x14ac:dyDescent="0.25">
      <c r="A8086" s="602" t="s">
        <v>561</v>
      </c>
      <c r="B8086" s="600"/>
      <c r="C8086" s="600"/>
      <c r="D8086" s="600"/>
      <c r="E8086" s="600"/>
      <c r="F8086" s="601"/>
      <c r="G8086" s="81"/>
      <c r="H8086" s="81"/>
      <c r="I8086" s="81"/>
      <c r="J8086" s="81"/>
      <c r="K8086" s="81"/>
      <c r="L8086" s="81"/>
      <c r="M8086" s="81"/>
      <c r="N8086" s="81"/>
    </row>
    <row r="8087" spans="1:14" ht="14.25" customHeight="1" thickBot="1" x14ac:dyDescent="0.3">
      <c r="A8087" s="603"/>
      <c r="B8087" s="604"/>
      <c r="C8087" s="604"/>
      <c r="D8087" s="604"/>
      <c r="E8087" s="604"/>
      <c r="F8087" s="605"/>
      <c r="G8087" s="81"/>
      <c r="H8087" s="81"/>
      <c r="I8087" s="81"/>
      <c r="J8087" s="81"/>
      <c r="K8087" s="81"/>
      <c r="L8087" s="81"/>
      <c r="M8087" s="81"/>
      <c r="N8087" s="81"/>
    </row>
    <row r="8088" spans="1:14" ht="14.25" customHeight="1" x14ac:dyDescent="0.25">
      <c r="A8088" s="88"/>
      <c r="B8088" s="88"/>
      <c r="C8088" s="89"/>
      <c r="D8088" s="89"/>
      <c r="E8088" s="89"/>
      <c r="F8088" s="89"/>
      <c r="G8088" s="81"/>
      <c r="H8088" s="81"/>
      <c r="I8088" s="81"/>
      <c r="J8088" s="81"/>
      <c r="K8088" s="81"/>
      <c r="L8088" s="81"/>
      <c r="M8088" s="81"/>
      <c r="N8088" s="81"/>
    </row>
    <row r="8089" spans="1:14" ht="14.25" customHeight="1" x14ac:dyDescent="0.25">
      <c r="A8089" s="90" t="s">
        <v>47</v>
      </c>
      <c r="B8089" s="613" t="s">
        <v>429</v>
      </c>
      <c r="C8089" s="600"/>
      <c r="D8089" s="600"/>
      <c r="E8089" s="600"/>
      <c r="F8089" s="600"/>
      <c r="G8089" s="81"/>
      <c r="H8089" s="81"/>
      <c r="I8089" s="81"/>
      <c r="J8089" s="81"/>
      <c r="K8089" s="81"/>
      <c r="L8089" s="81"/>
      <c r="M8089" s="81"/>
      <c r="N8089" s="81"/>
    </row>
    <row r="8090" spans="1:14" ht="14.25" customHeight="1" x14ac:dyDescent="0.25">
      <c r="A8090" s="91"/>
      <c r="B8090" s="91"/>
      <c r="C8090" s="91"/>
      <c r="D8090" s="91"/>
      <c r="E8090" s="91"/>
      <c r="F8090" s="91"/>
      <c r="G8090" s="81"/>
      <c r="H8090" s="81"/>
      <c r="I8090" s="81"/>
      <c r="J8090" s="81"/>
      <c r="K8090" s="81"/>
      <c r="L8090" s="81"/>
      <c r="M8090" s="81"/>
      <c r="N8090" s="81"/>
    </row>
    <row r="8091" spans="1:14" ht="14.25" customHeight="1" x14ac:dyDescent="0.25">
      <c r="A8091" s="88" t="s">
        <v>49</v>
      </c>
      <c r="B8091" s="92" t="s">
        <v>56</v>
      </c>
      <c r="C8091" s="89"/>
      <c r="D8091" s="89"/>
      <c r="E8091" s="89"/>
      <c r="F8091" s="93"/>
      <c r="G8091" s="81"/>
      <c r="H8091" s="81"/>
      <c r="I8091" s="81"/>
      <c r="J8091" s="81"/>
      <c r="K8091" s="81"/>
      <c r="L8091" s="81"/>
      <c r="M8091" s="81"/>
      <c r="N8091" s="81"/>
    </row>
    <row r="8092" spans="1:14" ht="14.25" customHeight="1" x14ac:dyDescent="0.25">
      <c r="A8092" s="88"/>
      <c r="B8092" s="94"/>
      <c r="C8092" s="89"/>
      <c r="D8092" s="89"/>
      <c r="E8092" s="89"/>
      <c r="F8092" s="93"/>
      <c r="G8092" s="81"/>
      <c r="H8092" s="81"/>
      <c r="I8092" s="81"/>
      <c r="J8092" s="81"/>
      <c r="K8092" s="81"/>
      <c r="L8092" s="81"/>
      <c r="M8092" s="81"/>
      <c r="N8092" s="81"/>
    </row>
    <row r="8093" spans="1:14" ht="14.25" customHeight="1" x14ac:dyDescent="0.25">
      <c r="A8093" s="95" t="s">
        <v>562</v>
      </c>
      <c r="B8093" s="96"/>
      <c r="C8093" s="92"/>
      <c r="D8093" s="92"/>
      <c r="E8093" s="92"/>
      <c r="F8093" s="92"/>
      <c r="G8093" s="81"/>
      <c r="H8093" s="81"/>
      <c r="I8093" s="81"/>
      <c r="J8093" s="81"/>
      <c r="K8093" s="81"/>
      <c r="L8093" s="81"/>
      <c r="M8093" s="81"/>
      <c r="N8093" s="81"/>
    </row>
    <row r="8094" spans="1:14" ht="14.25" customHeight="1" x14ac:dyDescent="0.25">
      <c r="A8094" s="97" t="s">
        <v>563</v>
      </c>
      <c r="B8094" s="98" t="s">
        <v>564</v>
      </c>
      <c r="C8094" s="98" t="s">
        <v>565</v>
      </c>
      <c r="D8094" s="98" t="s">
        <v>566</v>
      </c>
      <c r="E8094" s="98" t="s">
        <v>567</v>
      </c>
      <c r="F8094" s="98" t="s">
        <v>568</v>
      </c>
      <c r="G8094" s="81"/>
      <c r="H8094" s="81"/>
      <c r="I8094" s="81"/>
      <c r="J8094" s="81"/>
      <c r="K8094" s="81"/>
      <c r="L8094" s="81"/>
      <c r="M8094" s="81"/>
      <c r="N8094" s="81"/>
    </row>
    <row r="8095" spans="1:14" ht="14.25" customHeight="1" x14ac:dyDescent="0.25">
      <c r="A8095" s="99" t="s">
        <v>817</v>
      </c>
      <c r="B8095" s="100" t="s">
        <v>818</v>
      </c>
      <c r="C8095" s="101">
        <v>2400</v>
      </c>
      <c r="D8095" s="104">
        <v>1</v>
      </c>
      <c r="E8095" s="102">
        <v>0.05</v>
      </c>
      <c r="F8095" s="101">
        <f>C8095*(D8095+(D8095*E8095))</f>
        <v>2520</v>
      </c>
      <c r="G8095" s="81"/>
      <c r="H8095" s="81"/>
      <c r="I8095" s="81"/>
      <c r="J8095" s="81"/>
      <c r="K8095" s="81"/>
      <c r="L8095" s="81"/>
      <c r="M8095" s="81"/>
      <c r="N8095" s="81"/>
    </row>
    <row r="8096" spans="1:14" ht="14.25" customHeight="1" x14ac:dyDescent="0.25">
      <c r="A8096" s="99" t="s">
        <v>654</v>
      </c>
      <c r="B8096" s="100"/>
      <c r="C8096" s="101">
        <v>90000</v>
      </c>
      <c r="D8096" s="104">
        <v>150</v>
      </c>
      <c r="E8096" s="102"/>
      <c r="F8096" s="101">
        <f>C8096/D8096</f>
        <v>600</v>
      </c>
      <c r="G8096" s="81"/>
      <c r="H8096" s="81"/>
      <c r="I8096" s="81"/>
      <c r="J8096" s="81"/>
      <c r="K8096" s="81"/>
      <c r="L8096" s="81"/>
      <c r="M8096" s="81"/>
      <c r="N8096" s="81"/>
    </row>
    <row r="8097" spans="1:14" ht="14.25" customHeight="1" x14ac:dyDescent="0.25">
      <c r="A8097" s="103"/>
      <c r="B8097" s="100"/>
      <c r="C8097" s="101"/>
      <c r="D8097" s="104"/>
      <c r="E8097" s="102"/>
      <c r="F8097" s="101"/>
      <c r="G8097" s="81"/>
      <c r="H8097" s="81"/>
      <c r="I8097" s="81"/>
      <c r="J8097" s="81"/>
      <c r="K8097" s="81"/>
      <c r="L8097" s="81"/>
      <c r="M8097" s="81"/>
      <c r="N8097" s="81"/>
    </row>
    <row r="8098" spans="1:14" ht="15.75" x14ac:dyDescent="0.25">
      <c r="A8098" s="99"/>
      <c r="B8098" s="100"/>
      <c r="C8098" s="101"/>
      <c r="D8098" s="104"/>
      <c r="E8098" s="102"/>
      <c r="F8098" s="101"/>
      <c r="G8098" s="81"/>
      <c r="H8098" s="81"/>
      <c r="I8098" s="81"/>
      <c r="J8098" s="81"/>
      <c r="K8098" s="81"/>
      <c r="L8098" s="81"/>
      <c r="M8098" s="81"/>
      <c r="N8098" s="81"/>
    </row>
    <row r="8099" spans="1:14" ht="14.25" customHeight="1" x14ac:dyDescent="0.25">
      <c r="A8099" s="99"/>
      <c r="B8099" s="100"/>
      <c r="C8099" s="106"/>
      <c r="D8099" s="104"/>
      <c r="E8099" s="102"/>
      <c r="F8099" s="101"/>
      <c r="G8099" s="81"/>
      <c r="H8099" s="81"/>
      <c r="I8099" s="81"/>
      <c r="J8099" s="81"/>
      <c r="K8099" s="81"/>
      <c r="L8099" s="81"/>
      <c r="M8099" s="81"/>
      <c r="N8099" s="81"/>
    </row>
    <row r="8100" spans="1:14" ht="14.25" customHeight="1" x14ac:dyDescent="0.25">
      <c r="A8100" s="103"/>
      <c r="B8100" s="100"/>
      <c r="C8100" s="101"/>
      <c r="D8100" s="105"/>
      <c r="E8100" s="102"/>
      <c r="F8100" s="101"/>
      <c r="G8100" s="81"/>
      <c r="H8100" s="81"/>
      <c r="I8100" s="81"/>
      <c r="J8100" s="81"/>
      <c r="K8100" s="81"/>
      <c r="L8100" s="81"/>
      <c r="M8100" s="81"/>
      <c r="N8100" s="81"/>
    </row>
    <row r="8101" spans="1:14" ht="14.25" customHeight="1" x14ac:dyDescent="0.25">
      <c r="A8101" s="99"/>
      <c r="B8101" s="100"/>
      <c r="C8101" s="106"/>
      <c r="D8101" s="107"/>
      <c r="E8101" s="108"/>
      <c r="F8101" s="106"/>
      <c r="G8101" s="81"/>
      <c r="H8101" s="81"/>
      <c r="I8101" s="81"/>
      <c r="J8101" s="81"/>
      <c r="K8101" s="81"/>
      <c r="L8101" s="81"/>
      <c r="M8101" s="81"/>
      <c r="N8101" s="81"/>
    </row>
    <row r="8102" spans="1:14" ht="14.25" customHeight="1" x14ac:dyDescent="0.25">
      <c r="A8102" s="97" t="s">
        <v>548</v>
      </c>
      <c r="B8102" s="97"/>
      <c r="C8102" s="109"/>
      <c r="D8102" s="110"/>
      <c r="E8102" s="111"/>
      <c r="F8102" s="112">
        <f>SUM(F8095:F8101)</f>
        <v>3120</v>
      </c>
      <c r="G8102" s="81"/>
      <c r="H8102" s="81"/>
      <c r="I8102" s="81"/>
      <c r="J8102" s="81"/>
      <c r="K8102" s="81"/>
      <c r="L8102" s="81"/>
      <c r="M8102" s="81"/>
      <c r="N8102" s="81"/>
    </row>
    <row r="8103" spans="1:14" ht="14.25" customHeight="1" x14ac:dyDescent="0.25">
      <c r="A8103" s="88"/>
      <c r="B8103" s="88"/>
      <c r="C8103" s="113"/>
      <c r="D8103" s="113"/>
      <c r="E8103" s="114"/>
      <c r="F8103" s="113"/>
      <c r="G8103" s="81"/>
      <c r="H8103" s="81"/>
      <c r="I8103" s="81"/>
      <c r="J8103" s="81"/>
      <c r="K8103" s="81"/>
      <c r="L8103" s="81"/>
      <c r="M8103" s="81"/>
      <c r="N8103" s="81"/>
    </row>
    <row r="8104" spans="1:14" ht="14.25" customHeight="1" x14ac:dyDescent="0.25">
      <c r="A8104" s="96" t="s">
        <v>573</v>
      </c>
      <c r="B8104" s="96"/>
      <c r="C8104" s="92"/>
      <c r="D8104" s="92"/>
      <c r="E8104" s="92"/>
      <c r="F8104" s="92"/>
      <c r="G8104" s="81"/>
      <c r="H8104" s="81"/>
      <c r="I8104" s="81"/>
      <c r="J8104" s="81"/>
      <c r="K8104" s="81"/>
      <c r="L8104" s="81"/>
      <c r="M8104" s="81"/>
      <c r="N8104" s="81"/>
    </row>
    <row r="8105" spans="1:14" ht="14.25" customHeight="1" x14ac:dyDescent="0.25">
      <c r="A8105" s="611" t="s">
        <v>563</v>
      </c>
      <c r="B8105" s="608"/>
      <c r="C8105" s="609"/>
      <c r="D8105" s="98" t="s">
        <v>574</v>
      </c>
      <c r="E8105" s="98" t="s">
        <v>575</v>
      </c>
      <c r="F8105" s="98" t="s">
        <v>568</v>
      </c>
      <c r="G8105" s="81"/>
      <c r="H8105" s="81"/>
      <c r="I8105" s="81"/>
      <c r="J8105" s="81"/>
      <c r="K8105" s="81"/>
      <c r="L8105" s="81"/>
      <c r="M8105" s="81"/>
      <c r="N8105" s="81"/>
    </row>
    <row r="8106" spans="1:14" ht="14.25" customHeight="1" x14ac:dyDescent="0.25">
      <c r="A8106" s="607" t="s">
        <v>577</v>
      </c>
      <c r="B8106" s="608"/>
      <c r="C8106" s="609"/>
      <c r="D8106" s="116"/>
      <c r="E8106" s="107"/>
      <c r="F8106" s="106">
        <v>176</v>
      </c>
      <c r="G8106" s="81"/>
      <c r="H8106" s="81"/>
      <c r="I8106" s="81"/>
      <c r="J8106" s="81"/>
      <c r="K8106" s="81"/>
      <c r="L8106" s="81"/>
      <c r="M8106" s="81"/>
      <c r="N8106" s="81"/>
    </row>
    <row r="8107" spans="1:14" ht="14.25" customHeight="1" x14ac:dyDescent="0.25">
      <c r="A8107" s="607"/>
      <c r="B8107" s="608"/>
      <c r="C8107" s="609"/>
      <c r="D8107" s="142"/>
      <c r="E8107" s="107"/>
      <c r="F8107" s="106"/>
      <c r="G8107" s="81"/>
      <c r="H8107" s="81"/>
      <c r="I8107" s="81"/>
      <c r="J8107" s="81"/>
      <c r="K8107" s="81"/>
      <c r="L8107" s="81"/>
      <c r="M8107" s="81"/>
      <c r="N8107" s="81"/>
    </row>
    <row r="8108" spans="1:14" ht="14.25" customHeight="1" x14ac:dyDescent="0.25">
      <c r="A8108" s="607"/>
      <c r="B8108" s="608"/>
      <c r="C8108" s="609"/>
      <c r="D8108" s="142"/>
      <c r="E8108" s="107"/>
      <c r="F8108" s="106"/>
      <c r="G8108" s="81"/>
      <c r="H8108" s="81"/>
      <c r="I8108" s="81"/>
      <c r="J8108" s="81"/>
      <c r="K8108" s="81"/>
      <c r="L8108" s="81"/>
      <c r="M8108" s="81"/>
      <c r="N8108" s="81"/>
    </row>
    <row r="8109" spans="1:14" ht="14.25" customHeight="1" x14ac:dyDescent="0.25">
      <c r="A8109" s="610"/>
      <c r="B8109" s="608"/>
      <c r="C8109" s="609"/>
      <c r="D8109" s="115"/>
      <c r="E8109" s="107"/>
      <c r="F8109" s="106"/>
      <c r="G8109" s="81"/>
      <c r="H8109" s="81"/>
      <c r="I8109" s="81"/>
      <c r="J8109" s="81"/>
      <c r="K8109" s="81"/>
      <c r="L8109" s="81"/>
      <c r="M8109" s="81"/>
      <c r="N8109" s="81"/>
    </row>
    <row r="8110" spans="1:14" ht="14.25" customHeight="1" x14ac:dyDescent="0.25">
      <c r="A8110" s="611" t="s">
        <v>548</v>
      </c>
      <c r="B8110" s="608"/>
      <c r="C8110" s="609"/>
      <c r="D8110" s="110"/>
      <c r="E8110" s="110"/>
      <c r="F8110" s="112">
        <f>SUM(F8106:F8108)</f>
        <v>176</v>
      </c>
      <c r="G8110" s="81"/>
      <c r="H8110" s="81"/>
      <c r="I8110" s="81"/>
      <c r="J8110" s="81"/>
      <c r="K8110" s="81"/>
      <c r="L8110" s="81"/>
      <c r="M8110" s="81"/>
      <c r="N8110" s="81"/>
    </row>
    <row r="8111" spans="1:14" ht="14.25" customHeight="1" x14ac:dyDescent="0.25">
      <c r="A8111" s="88"/>
      <c r="B8111" s="88"/>
      <c r="C8111" s="89"/>
      <c r="D8111" s="113"/>
      <c r="E8111" s="113"/>
      <c r="F8111" s="113"/>
      <c r="G8111" s="81"/>
      <c r="H8111" s="81"/>
      <c r="I8111" s="81"/>
      <c r="J8111" s="81"/>
      <c r="K8111" s="81"/>
      <c r="L8111" s="81"/>
      <c r="M8111" s="81"/>
      <c r="N8111" s="81"/>
    </row>
    <row r="8112" spans="1:14" ht="14.25" customHeight="1" x14ac:dyDescent="0.25">
      <c r="A8112" s="96" t="s">
        <v>578</v>
      </c>
      <c r="B8112" s="96"/>
      <c r="C8112" s="92"/>
      <c r="D8112" s="118"/>
      <c r="E8112" s="118"/>
      <c r="F8112" s="118"/>
      <c r="G8112" s="81"/>
      <c r="H8112" s="117"/>
      <c r="I8112" s="81"/>
      <c r="J8112" s="81"/>
      <c r="K8112" s="81"/>
      <c r="L8112" s="81"/>
      <c r="M8112" s="81"/>
      <c r="N8112" s="81"/>
    </row>
    <row r="8113" spans="1:14" ht="14.25" customHeight="1" x14ac:dyDescent="0.25">
      <c r="A8113" s="119" t="s">
        <v>563</v>
      </c>
      <c r="B8113" s="120" t="s">
        <v>579</v>
      </c>
      <c r="C8113" s="120" t="s">
        <v>580</v>
      </c>
      <c r="D8113" s="121" t="s">
        <v>581</v>
      </c>
      <c r="E8113" s="121" t="s">
        <v>575</v>
      </c>
      <c r="F8113" s="121" t="s">
        <v>568</v>
      </c>
      <c r="G8113" s="81"/>
      <c r="H8113" s="81"/>
      <c r="I8113" s="81"/>
      <c r="J8113" s="81"/>
      <c r="K8113" s="81"/>
      <c r="L8113" s="81"/>
      <c r="M8113" s="81"/>
      <c r="N8113" s="81"/>
    </row>
    <row r="8114" spans="1:14" ht="14.25" customHeight="1" x14ac:dyDescent="0.25">
      <c r="A8114" s="122" t="s">
        <v>593</v>
      </c>
      <c r="B8114" s="127">
        <v>1</v>
      </c>
      <c r="C8114" s="101">
        <v>32688</v>
      </c>
      <c r="D8114" s="101">
        <f t="shared" ref="D8114:D8115" si="406">+C8114*1.7</f>
        <v>55569.599999999999</v>
      </c>
      <c r="E8114" s="107">
        <v>150</v>
      </c>
      <c r="F8114" s="106">
        <f t="shared" ref="F8114:F8115" si="407">+B8114*(D8114)/E8114</f>
        <v>370.464</v>
      </c>
      <c r="G8114" s="81"/>
      <c r="H8114" s="81"/>
      <c r="I8114" s="81"/>
      <c r="J8114" s="81"/>
      <c r="K8114" s="81"/>
      <c r="L8114" s="81"/>
      <c r="M8114" s="81"/>
      <c r="N8114" s="81"/>
    </row>
    <row r="8115" spans="1:14" ht="14.25" customHeight="1" x14ac:dyDescent="0.25">
      <c r="A8115" s="122" t="s">
        <v>594</v>
      </c>
      <c r="B8115" s="127">
        <v>1</v>
      </c>
      <c r="C8115" s="101">
        <v>52538</v>
      </c>
      <c r="D8115" s="101">
        <f t="shared" si="406"/>
        <v>89314.599999999991</v>
      </c>
      <c r="E8115" s="107">
        <f>E8114</f>
        <v>150</v>
      </c>
      <c r="F8115" s="106">
        <f t="shared" si="407"/>
        <v>595.43066666666664</v>
      </c>
      <c r="G8115" s="81"/>
      <c r="H8115" s="117"/>
      <c r="I8115" s="81"/>
      <c r="J8115" s="81"/>
      <c r="K8115" s="81"/>
      <c r="L8115" s="81"/>
      <c r="M8115" s="81"/>
      <c r="N8115" s="81"/>
    </row>
    <row r="8116" spans="1:14" ht="14.25" customHeight="1" x14ac:dyDescent="0.25">
      <c r="A8116" s="122"/>
      <c r="B8116" s="127"/>
      <c r="C8116" s="101"/>
      <c r="D8116" s="101"/>
      <c r="E8116" s="107"/>
      <c r="F8116" s="106"/>
      <c r="G8116" s="81"/>
      <c r="H8116" s="81"/>
      <c r="I8116" s="81"/>
      <c r="J8116" s="81"/>
      <c r="K8116" s="81"/>
      <c r="L8116" s="81"/>
      <c r="M8116" s="81"/>
      <c r="N8116" s="81"/>
    </row>
    <row r="8117" spans="1:14" ht="14.25" customHeight="1" x14ac:dyDescent="0.25">
      <c r="A8117" s="122"/>
      <c r="B8117" s="127"/>
      <c r="C8117" s="101"/>
      <c r="D8117" s="101"/>
      <c r="E8117" s="125"/>
      <c r="F8117" s="106"/>
      <c r="G8117" s="81"/>
      <c r="H8117" s="81"/>
      <c r="I8117" s="81"/>
      <c r="J8117" s="81"/>
      <c r="K8117" s="81"/>
      <c r="L8117" s="81"/>
      <c r="M8117" s="81"/>
      <c r="N8117" s="81"/>
    </row>
    <row r="8118" spans="1:14" ht="14.25" customHeight="1" x14ac:dyDescent="0.25">
      <c r="A8118" s="97" t="s">
        <v>548</v>
      </c>
      <c r="B8118" s="128"/>
      <c r="C8118" s="110"/>
      <c r="D8118" s="110"/>
      <c r="E8118" s="110"/>
      <c r="F8118" s="112">
        <f>SUM(F8114:F8117)</f>
        <v>965.89466666666658</v>
      </c>
      <c r="G8118" s="81"/>
      <c r="H8118" s="81"/>
      <c r="I8118" s="81"/>
      <c r="J8118" s="81"/>
      <c r="K8118" s="81"/>
      <c r="L8118" s="81"/>
      <c r="M8118" s="81"/>
      <c r="N8118" s="81"/>
    </row>
    <row r="8119" spans="1:14" ht="14.25" customHeight="1" x14ac:dyDescent="0.25">
      <c r="A8119" s="96"/>
      <c r="B8119" s="129"/>
      <c r="C8119" s="118"/>
      <c r="D8119" s="118"/>
      <c r="E8119" s="118"/>
      <c r="F8119" s="118"/>
      <c r="G8119" s="81"/>
      <c r="H8119" s="81"/>
      <c r="I8119" s="81"/>
      <c r="J8119" s="81"/>
      <c r="K8119" s="81"/>
      <c r="L8119" s="81"/>
      <c r="M8119" s="81"/>
      <c r="N8119" s="81"/>
    </row>
    <row r="8120" spans="1:14" ht="14.25" customHeight="1" x14ac:dyDescent="0.25">
      <c r="A8120" s="95" t="s">
        <v>583</v>
      </c>
      <c r="B8120" s="96"/>
      <c r="C8120" s="92"/>
      <c r="D8120" s="92"/>
      <c r="E8120" s="92" t="s">
        <v>584</v>
      </c>
      <c r="F8120" s="92"/>
      <c r="G8120" s="81"/>
      <c r="H8120" s="81"/>
      <c r="I8120" s="81"/>
      <c r="J8120" s="81"/>
      <c r="K8120" s="81"/>
      <c r="L8120" s="81"/>
      <c r="M8120" s="81"/>
      <c r="N8120" s="81"/>
    </row>
    <row r="8121" spans="1:14" ht="14.25" customHeight="1" x14ac:dyDescent="0.25">
      <c r="A8121" s="97" t="s">
        <v>563</v>
      </c>
      <c r="B8121" s="98" t="s">
        <v>564</v>
      </c>
      <c r="C8121" s="98" t="s">
        <v>585</v>
      </c>
      <c r="D8121" s="98" t="s">
        <v>586</v>
      </c>
      <c r="E8121" s="120" t="s">
        <v>587</v>
      </c>
      <c r="F8121" s="98" t="s">
        <v>568</v>
      </c>
      <c r="G8121" s="81"/>
      <c r="H8121" s="81"/>
      <c r="I8121" s="81"/>
      <c r="J8121" s="81"/>
      <c r="K8121" s="81"/>
      <c r="L8121" s="81"/>
      <c r="M8121" s="81"/>
      <c r="N8121" s="81"/>
    </row>
    <row r="8122" spans="1:14" ht="14.25" customHeight="1" x14ac:dyDescent="0.25">
      <c r="A8122" s="103"/>
      <c r="B8122" s="100"/>
      <c r="C8122" s="101"/>
      <c r="D8122" s="140"/>
      <c r="E8122" s="107"/>
      <c r="F8122" s="109">
        <f>+C8122*D8122*E8122</f>
        <v>0</v>
      </c>
      <c r="G8122" s="81"/>
      <c r="H8122" s="81"/>
      <c r="I8122" s="81"/>
      <c r="J8122" s="81"/>
      <c r="K8122" s="81"/>
      <c r="L8122" s="81"/>
      <c r="M8122" s="81"/>
      <c r="N8122" s="81"/>
    </row>
    <row r="8123" spans="1:14" ht="14.25" customHeight="1" x14ac:dyDescent="0.25">
      <c r="A8123" s="103"/>
      <c r="B8123" s="100"/>
      <c r="C8123" s="107"/>
      <c r="D8123" s="107"/>
      <c r="E8123" s="108"/>
      <c r="F8123" s="109"/>
      <c r="G8123" s="81"/>
      <c r="H8123" s="81"/>
      <c r="I8123" s="81"/>
      <c r="J8123" s="81"/>
      <c r="K8123" s="81"/>
      <c r="L8123" s="81"/>
      <c r="M8123" s="81"/>
      <c r="N8123" s="81"/>
    </row>
    <row r="8124" spans="1:14" ht="14.25" customHeight="1" x14ac:dyDescent="0.25">
      <c r="A8124" s="97" t="s">
        <v>548</v>
      </c>
      <c r="B8124" s="98"/>
      <c r="C8124" s="110"/>
      <c r="D8124" s="110"/>
      <c r="E8124" s="111"/>
      <c r="F8124" s="112">
        <f>SUM(F8122:F8123)</f>
        <v>0</v>
      </c>
      <c r="G8124" s="81"/>
      <c r="H8124" s="81"/>
      <c r="I8124" s="81"/>
      <c r="J8124" s="81"/>
      <c r="K8124" s="81"/>
      <c r="L8124" s="81"/>
      <c r="M8124" s="81"/>
      <c r="N8124" s="81"/>
    </row>
    <row r="8125" spans="1:14" ht="14.25" customHeight="1" x14ac:dyDescent="0.25">
      <c r="A8125" s="88"/>
      <c r="B8125" s="89"/>
      <c r="C8125" s="113"/>
      <c r="D8125" s="113"/>
      <c r="E8125" s="114"/>
      <c r="F8125" s="113"/>
      <c r="G8125" s="81"/>
      <c r="H8125" s="81"/>
      <c r="I8125" s="81"/>
      <c r="J8125" s="81"/>
      <c r="K8125" s="81"/>
      <c r="L8125" s="81"/>
      <c r="M8125" s="81"/>
      <c r="N8125" s="81"/>
    </row>
    <row r="8126" spans="1:14" ht="14.25" customHeight="1" x14ac:dyDescent="0.25">
      <c r="A8126" s="88"/>
      <c r="B8126" s="89"/>
      <c r="C8126" s="113"/>
      <c r="D8126" s="113"/>
      <c r="E8126" s="114"/>
      <c r="F8126" s="113"/>
      <c r="G8126" s="81"/>
      <c r="H8126" s="81"/>
      <c r="I8126" s="81"/>
      <c r="J8126" s="81"/>
      <c r="K8126" s="81"/>
      <c r="L8126" s="81"/>
      <c r="M8126" s="81"/>
      <c r="N8126" s="81"/>
    </row>
    <row r="8127" spans="1:14" ht="14.25" customHeight="1" x14ac:dyDescent="0.25">
      <c r="A8127" s="612" t="s">
        <v>588</v>
      </c>
      <c r="B8127" s="608"/>
      <c r="C8127" s="608"/>
      <c r="D8127" s="608"/>
      <c r="E8127" s="609"/>
      <c r="F8127" s="131">
        <f>ROUND(F8102+F8110+F8118+F8124,0)</f>
        <v>4262</v>
      </c>
      <c r="G8127" s="81"/>
      <c r="H8127" s="81"/>
      <c r="I8127" s="81"/>
      <c r="J8127" s="81"/>
      <c r="K8127" s="81"/>
      <c r="L8127" s="81"/>
      <c r="M8127" s="81"/>
      <c r="N8127" s="81"/>
    </row>
    <row r="8128" spans="1:14" ht="14.25" customHeight="1" x14ac:dyDescent="0.25">
      <c r="A8128" s="612" t="s">
        <v>589</v>
      </c>
      <c r="B8128" s="608"/>
      <c r="C8128" s="608"/>
      <c r="D8128" s="608"/>
      <c r="E8128" s="609"/>
      <c r="F8128" s="132"/>
      <c r="G8128" s="81"/>
      <c r="H8128" s="81"/>
      <c r="I8128" s="81"/>
      <c r="J8128" s="81"/>
      <c r="K8128" s="81"/>
      <c r="L8128" s="81"/>
      <c r="M8128" s="81"/>
      <c r="N8128" s="81"/>
    </row>
    <row r="8129" spans="1:14" ht="32.25" customHeight="1" x14ac:dyDescent="0.25">
      <c r="A8129" s="612" t="s">
        <v>556</v>
      </c>
      <c r="B8129" s="608"/>
      <c r="C8129" s="608"/>
      <c r="D8129" s="608"/>
      <c r="E8129" s="609"/>
      <c r="F8129" s="133"/>
      <c r="G8129" s="81"/>
      <c r="H8129" s="81"/>
      <c r="I8129" s="81"/>
      <c r="J8129" s="81"/>
      <c r="K8129" s="81"/>
      <c r="L8129" s="81"/>
      <c r="M8129" s="81"/>
      <c r="N8129" s="81"/>
    </row>
    <row r="8130" spans="1:14" ht="14.25" customHeight="1" x14ac:dyDescent="0.25">
      <c r="A8130" s="134"/>
      <c r="B8130" s="135"/>
      <c r="C8130" s="135"/>
      <c r="D8130" s="135"/>
      <c r="E8130" s="135"/>
      <c r="F8130" s="136"/>
      <c r="G8130" s="81"/>
      <c r="H8130" s="81"/>
      <c r="I8130" s="81"/>
      <c r="J8130" s="81"/>
      <c r="K8130" s="81"/>
      <c r="L8130" s="81"/>
      <c r="M8130" s="81"/>
      <c r="N8130" s="81"/>
    </row>
    <row r="8131" spans="1:14" ht="14.25" customHeight="1" x14ac:dyDescent="0.25">
      <c r="A8131" s="81"/>
      <c r="B8131" s="81"/>
      <c r="C8131" s="137"/>
      <c r="D8131" s="81"/>
      <c r="E8131" s="81"/>
      <c r="F8131" s="81"/>
      <c r="G8131" s="81"/>
      <c r="H8131" s="81"/>
      <c r="I8131" s="81"/>
      <c r="J8131" s="81"/>
      <c r="K8131" s="81"/>
      <c r="L8131" s="81"/>
      <c r="M8131" s="81"/>
      <c r="N8131" s="81"/>
    </row>
    <row r="8132" spans="1:14" ht="14.25" customHeight="1" x14ac:dyDescent="0.25">
      <c r="A8132" s="81"/>
      <c r="B8132" s="81"/>
      <c r="C8132" s="137"/>
      <c r="D8132" s="81"/>
      <c r="E8132" s="81"/>
      <c r="F8132" s="81"/>
      <c r="G8132" s="81"/>
      <c r="H8132" s="81"/>
      <c r="I8132" s="81"/>
      <c r="J8132" s="81"/>
      <c r="K8132" s="81"/>
      <c r="L8132" s="81"/>
      <c r="M8132" s="81"/>
      <c r="N8132" s="81"/>
    </row>
    <row r="8133" spans="1:14" ht="14.25" customHeight="1" x14ac:dyDescent="0.25">
      <c r="A8133" s="81"/>
      <c r="B8133" s="81"/>
      <c r="C8133" s="137"/>
      <c r="D8133" s="81"/>
      <c r="E8133" s="81"/>
      <c r="F8133" s="81"/>
      <c r="G8133" s="81"/>
      <c r="H8133" s="81"/>
      <c r="I8133" s="81"/>
      <c r="J8133" s="81"/>
      <c r="K8133" s="81"/>
      <c r="L8133" s="81"/>
      <c r="M8133" s="81"/>
      <c r="N8133" s="81"/>
    </row>
    <row r="8134" spans="1:14" ht="14.25" customHeight="1" x14ac:dyDescent="0.25">
      <c r="A8134" s="81"/>
      <c r="B8134" s="81"/>
      <c r="C8134" s="137"/>
      <c r="D8134" s="81"/>
      <c r="E8134" s="81"/>
      <c r="F8134" s="81"/>
      <c r="G8134" s="81"/>
      <c r="H8134" s="81"/>
      <c r="I8134" s="81"/>
      <c r="J8134" s="81"/>
      <c r="K8134" s="81"/>
      <c r="L8134" s="81"/>
      <c r="M8134" s="81"/>
      <c r="N8134" s="81"/>
    </row>
    <row r="8135" spans="1:14" ht="15.75" x14ac:dyDescent="0.25">
      <c r="A8135" s="81"/>
      <c r="B8135" s="81"/>
      <c r="C8135" s="137"/>
      <c r="D8135" s="81"/>
      <c r="E8135" s="81"/>
      <c r="F8135" s="81"/>
      <c r="G8135" s="81"/>
      <c r="H8135" s="81"/>
      <c r="I8135" s="81"/>
      <c r="J8135" s="81"/>
      <c r="K8135" s="81"/>
      <c r="L8135" s="81"/>
      <c r="M8135" s="81"/>
      <c r="N8135" s="81"/>
    </row>
    <row r="8136" spans="1:14" ht="14.25" customHeight="1" x14ac:dyDescent="0.25">
      <c r="A8136" s="81"/>
      <c r="B8136" s="81"/>
      <c r="C8136" s="137"/>
      <c r="D8136" s="81"/>
      <c r="E8136" s="81"/>
      <c r="F8136" s="81"/>
      <c r="G8136" s="81"/>
      <c r="H8136" s="81"/>
      <c r="I8136" s="81"/>
      <c r="J8136" s="81"/>
      <c r="K8136" s="81"/>
      <c r="L8136" s="81"/>
      <c r="M8136" s="81"/>
      <c r="N8136" s="81"/>
    </row>
    <row r="8137" spans="1:14" ht="14.25" customHeight="1" x14ac:dyDescent="0.25">
      <c r="A8137" s="134"/>
      <c r="B8137" s="135"/>
      <c r="C8137" s="135"/>
      <c r="D8137" s="135"/>
      <c r="E8137" s="135"/>
      <c r="F8137" s="136"/>
      <c r="G8137" s="81"/>
      <c r="H8137" s="81"/>
      <c r="I8137" s="81"/>
      <c r="J8137" s="81"/>
      <c r="K8137" s="81"/>
      <c r="L8137" s="81"/>
      <c r="M8137" s="81"/>
      <c r="N8137" s="81"/>
    </row>
    <row r="8138" spans="1:14" ht="14.25" customHeight="1" x14ac:dyDescent="0.25">
      <c r="A8138" s="134"/>
      <c r="B8138" s="135"/>
      <c r="C8138" s="135"/>
      <c r="D8138" s="135"/>
      <c r="E8138" s="135"/>
      <c r="F8138" s="136"/>
      <c r="G8138" s="81"/>
      <c r="H8138" s="81"/>
      <c r="I8138" s="81"/>
      <c r="J8138" s="81"/>
      <c r="K8138" s="81"/>
      <c r="L8138" s="81"/>
      <c r="M8138" s="81"/>
      <c r="N8138" s="81"/>
    </row>
    <row r="8139" spans="1:14" ht="14.25" customHeight="1" x14ac:dyDescent="0.25">
      <c r="A8139" s="134"/>
      <c r="B8139" s="135"/>
      <c r="C8139" s="135"/>
      <c r="D8139" s="135"/>
      <c r="E8139" s="135"/>
      <c r="F8139" s="136"/>
      <c r="G8139" s="81"/>
      <c r="H8139" s="81"/>
      <c r="I8139" s="81"/>
      <c r="J8139" s="81"/>
      <c r="K8139" s="81"/>
      <c r="L8139" s="81"/>
      <c r="M8139" s="81"/>
      <c r="N8139" s="81"/>
    </row>
    <row r="8140" spans="1:14" ht="14.25" customHeight="1" thickBot="1" x14ac:dyDescent="0.3">
      <c r="A8140" s="81"/>
      <c r="B8140" s="81"/>
      <c r="C8140" s="81"/>
      <c r="D8140" s="81"/>
      <c r="E8140" s="81"/>
      <c r="F8140" s="81"/>
      <c r="G8140" s="81"/>
      <c r="H8140" s="81"/>
      <c r="I8140" s="81"/>
      <c r="J8140" s="81"/>
      <c r="K8140" s="81"/>
      <c r="L8140" s="81"/>
      <c r="M8140" s="81"/>
      <c r="N8140" s="81"/>
    </row>
    <row r="8141" spans="1:14" ht="14.25" customHeight="1" x14ac:dyDescent="0.25">
      <c r="A8141" s="83"/>
      <c r="B8141" s="84"/>
      <c r="C8141" s="85"/>
      <c r="D8141" s="86"/>
      <c r="E8141" s="86"/>
      <c r="F8141" s="87"/>
      <c r="G8141" s="81"/>
      <c r="H8141" s="81"/>
      <c r="I8141" s="81"/>
      <c r="J8141" s="81"/>
      <c r="K8141" s="81"/>
      <c r="L8141" s="81"/>
      <c r="M8141" s="81"/>
      <c r="N8141" s="81"/>
    </row>
    <row r="8142" spans="1:14" ht="14.25" customHeight="1" x14ac:dyDescent="0.25">
      <c r="A8142" s="599"/>
      <c r="B8142" s="600"/>
      <c r="C8142" s="600"/>
      <c r="D8142" s="600"/>
      <c r="E8142" s="600"/>
      <c r="F8142" s="601"/>
      <c r="G8142" s="81"/>
      <c r="H8142" s="81"/>
      <c r="I8142" s="81"/>
      <c r="J8142" s="81"/>
      <c r="K8142" s="81"/>
      <c r="L8142" s="81"/>
      <c r="M8142" s="81"/>
      <c r="N8142" s="81"/>
    </row>
    <row r="8143" spans="1:14" ht="14.25" customHeight="1" x14ac:dyDescent="0.25">
      <c r="A8143" s="602" t="s">
        <v>561</v>
      </c>
      <c r="B8143" s="600"/>
      <c r="C8143" s="600"/>
      <c r="D8143" s="600"/>
      <c r="E8143" s="600"/>
      <c r="F8143" s="601"/>
      <c r="G8143" s="81"/>
      <c r="H8143" s="81"/>
      <c r="I8143" s="81"/>
      <c r="J8143" s="81"/>
      <c r="K8143" s="81"/>
      <c r="L8143" s="81"/>
      <c r="M8143" s="81"/>
      <c r="N8143" s="81"/>
    </row>
    <row r="8144" spans="1:14" ht="14.25" customHeight="1" thickBot="1" x14ac:dyDescent="0.3">
      <c r="A8144" s="603"/>
      <c r="B8144" s="604"/>
      <c r="C8144" s="604"/>
      <c r="D8144" s="604"/>
      <c r="E8144" s="604"/>
      <c r="F8144" s="605"/>
      <c r="G8144" s="81"/>
      <c r="H8144" s="81"/>
      <c r="I8144" s="81"/>
      <c r="J8144" s="81"/>
      <c r="K8144" s="81"/>
      <c r="L8144" s="81"/>
      <c r="M8144" s="81"/>
      <c r="N8144" s="81"/>
    </row>
    <row r="8145" spans="1:14" ht="14.25" customHeight="1" x14ac:dyDescent="0.25">
      <c r="A8145" s="88"/>
      <c r="B8145" s="88"/>
      <c r="C8145" s="89"/>
      <c r="D8145" s="89"/>
      <c r="E8145" s="89"/>
      <c r="F8145" s="89"/>
      <c r="G8145" s="81"/>
      <c r="H8145" s="81"/>
      <c r="I8145" s="81"/>
      <c r="J8145" s="81"/>
      <c r="K8145" s="81"/>
      <c r="L8145" s="81"/>
      <c r="M8145" s="81"/>
      <c r="N8145" s="81"/>
    </row>
    <row r="8146" spans="1:14" ht="14.25" customHeight="1" x14ac:dyDescent="0.25">
      <c r="A8146" s="90" t="s">
        <v>47</v>
      </c>
      <c r="B8146" s="613" t="s">
        <v>383</v>
      </c>
      <c r="C8146" s="600"/>
      <c r="D8146" s="600"/>
      <c r="E8146" s="600"/>
      <c r="F8146" s="600"/>
      <c r="G8146" s="81"/>
      <c r="H8146" s="81"/>
      <c r="I8146" s="81"/>
      <c r="J8146" s="81"/>
      <c r="K8146" s="81"/>
      <c r="L8146" s="81"/>
      <c r="M8146" s="81"/>
      <c r="N8146" s="81"/>
    </row>
    <row r="8147" spans="1:14" ht="14.25" customHeight="1" x14ac:dyDescent="0.25">
      <c r="A8147" s="91"/>
      <c r="B8147" s="91"/>
      <c r="C8147" s="91"/>
      <c r="D8147" s="91"/>
      <c r="E8147" s="91"/>
      <c r="F8147" s="91"/>
      <c r="G8147" s="81"/>
      <c r="H8147" s="81"/>
      <c r="I8147" s="81"/>
      <c r="J8147" s="81"/>
      <c r="K8147" s="81"/>
      <c r="L8147" s="81"/>
      <c r="M8147" s="81"/>
      <c r="N8147" s="81"/>
    </row>
    <row r="8148" spans="1:14" ht="14.25" customHeight="1" x14ac:dyDescent="0.25">
      <c r="A8148" s="88" t="s">
        <v>49</v>
      </c>
      <c r="B8148" s="92" t="s">
        <v>56</v>
      </c>
      <c r="C8148" s="89"/>
      <c r="D8148" s="89"/>
      <c r="E8148" s="89"/>
      <c r="F8148" s="93"/>
      <c r="G8148" s="81"/>
      <c r="H8148" s="81"/>
      <c r="I8148" s="81"/>
      <c r="J8148" s="81"/>
      <c r="K8148" s="81"/>
      <c r="L8148" s="81"/>
      <c r="M8148" s="81"/>
      <c r="N8148" s="81"/>
    </row>
    <row r="8149" spans="1:14" ht="14.25" customHeight="1" x14ac:dyDescent="0.25">
      <c r="A8149" s="88"/>
      <c r="B8149" s="94"/>
      <c r="C8149" s="89"/>
      <c r="D8149" s="89"/>
      <c r="E8149" s="89"/>
      <c r="F8149" s="93"/>
      <c r="G8149" s="81"/>
      <c r="H8149" s="81"/>
      <c r="I8149" s="81"/>
      <c r="J8149" s="81"/>
      <c r="K8149" s="81"/>
      <c r="L8149" s="81"/>
      <c r="M8149" s="81"/>
      <c r="N8149" s="81"/>
    </row>
    <row r="8150" spans="1:14" ht="14.25" customHeight="1" x14ac:dyDescent="0.25">
      <c r="A8150" s="95" t="s">
        <v>562</v>
      </c>
      <c r="B8150" s="96"/>
      <c r="C8150" s="92"/>
      <c r="D8150" s="92"/>
      <c r="E8150" s="92"/>
      <c r="F8150" s="92"/>
      <c r="G8150" s="81"/>
      <c r="H8150" s="81"/>
      <c r="I8150" s="81"/>
      <c r="J8150" s="81"/>
      <c r="K8150" s="81"/>
      <c r="L8150" s="81"/>
      <c r="M8150" s="81"/>
      <c r="N8150" s="81"/>
    </row>
    <row r="8151" spans="1:14" ht="14.25" customHeight="1" x14ac:dyDescent="0.25">
      <c r="A8151" s="97" t="s">
        <v>563</v>
      </c>
      <c r="B8151" s="98" t="s">
        <v>564</v>
      </c>
      <c r="C8151" s="98" t="s">
        <v>565</v>
      </c>
      <c r="D8151" s="98" t="s">
        <v>566</v>
      </c>
      <c r="E8151" s="98" t="s">
        <v>567</v>
      </c>
      <c r="F8151" s="98" t="s">
        <v>568</v>
      </c>
      <c r="G8151" s="81"/>
      <c r="H8151" s="81"/>
      <c r="I8151" s="81"/>
      <c r="J8151" s="81"/>
      <c r="K8151" s="81"/>
      <c r="L8151" s="81"/>
      <c r="M8151" s="81"/>
      <c r="N8151" s="81"/>
    </row>
    <row r="8152" spans="1:14" ht="14.25" customHeight="1" x14ac:dyDescent="0.25">
      <c r="A8152" s="99" t="s">
        <v>819</v>
      </c>
      <c r="B8152" s="100" t="s">
        <v>56</v>
      </c>
      <c r="C8152" s="101">
        <v>62150</v>
      </c>
      <c r="D8152" s="104">
        <v>1</v>
      </c>
      <c r="E8152" s="102">
        <v>0.05</v>
      </c>
      <c r="F8152" s="101">
        <f t="shared" ref="F8152:F8154" si="408">C8152*(D8152+(D8152*E8152))</f>
        <v>65257.5</v>
      </c>
      <c r="G8152" s="81"/>
      <c r="H8152" s="81"/>
      <c r="I8152" s="81"/>
      <c r="J8152" s="81"/>
      <c r="K8152" s="81"/>
      <c r="L8152" s="81"/>
      <c r="M8152" s="81"/>
      <c r="N8152" s="81"/>
    </row>
    <row r="8153" spans="1:14" ht="14.25" customHeight="1" x14ac:dyDescent="0.25">
      <c r="A8153" s="99" t="s">
        <v>820</v>
      </c>
      <c r="B8153" s="100" t="s">
        <v>117</v>
      </c>
      <c r="C8153" s="101">
        <v>1310</v>
      </c>
      <c r="D8153" s="104">
        <v>11</v>
      </c>
      <c r="E8153" s="102">
        <v>0.05</v>
      </c>
      <c r="F8153" s="101">
        <f t="shared" si="408"/>
        <v>15130.500000000002</v>
      </c>
      <c r="G8153" s="81"/>
      <c r="H8153" s="81"/>
      <c r="I8153" s="81"/>
      <c r="J8153" s="81"/>
      <c r="K8153" s="81"/>
      <c r="L8153" s="81"/>
      <c r="M8153" s="81"/>
      <c r="N8153" s="81"/>
    </row>
    <row r="8154" spans="1:14" ht="14.25" customHeight="1" x14ac:dyDescent="0.25">
      <c r="A8154" s="103" t="s">
        <v>821</v>
      </c>
      <c r="B8154" s="100" t="s">
        <v>117</v>
      </c>
      <c r="C8154" s="101">
        <v>1410</v>
      </c>
      <c r="D8154" s="104">
        <v>6</v>
      </c>
      <c r="E8154" s="102">
        <v>0.05</v>
      </c>
      <c r="F8154" s="101">
        <f t="shared" si="408"/>
        <v>8883</v>
      </c>
      <c r="G8154" s="81"/>
      <c r="H8154" s="81"/>
      <c r="I8154" s="81"/>
      <c r="J8154" s="81"/>
      <c r="K8154" s="81"/>
      <c r="L8154" s="81"/>
      <c r="M8154" s="81"/>
      <c r="N8154" s="81"/>
    </row>
    <row r="8155" spans="1:14" ht="14.25" customHeight="1" x14ac:dyDescent="0.25">
      <c r="A8155" s="99"/>
      <c r="B8155" s="100"/>
      <c r="C8155" s="101"/>
      <c r="D8155" s="104"/>
      <c r="E8155" s="102"/>
      <c r="F8155" s="101"/>
      <c r="G8155" s="81"/>
      <c r="H8155" s="81"/>
      <c r="I8155" s="81"/>
      <c r="J8155" s="81"/>
      <c r="K8155" s="81"/>
      <c r="L8155" s="81"/>
      <c r="M8155" s="81"/>
      <c r="N8155" s="81"/>
    </row>
    <row r="8156" spans="1:14" ht="14.25" customHeight="1" x14ac:dyDescent="0.25">
      <c r="A8156" s="99"/>
      <c r="B8156" s="100"/>
      <c r="C8156" s="106"/>
      <c r="D8156" s="104"/>
      <c r="E8156" s="102"/>
      <c r="F8156" s="101"/>
      <c r="G8156" s="81"/>
      <c r="H8156" s="81"/>
      <c r="I8156" s="81"/>
      <c r="J8156" s="81"/>
      <c r="K8156" s="81"/>
      <c r="L8156" s="81"/>
      <c r="M8156" s="81"/>
      <c r="N8156" s="81"/>
    </row>
    <row r="8157" spans="1:14" ht="14.25" customHeight="1" x14ac:dyDescent="0.25">
      <c r="A8157" s="103"/>
      <c r="B8157" s="100"/>
      <c r="C8157" s="101"/>
      <c r="D8157" s="105"/>
      <c r="E8157" s="102"/>
      <c r="F8157" s="101"/>
      <c r="G8157" s="81"/>
      <c r="H8157" s="81"/>
      <c r="I8157" s="81"/>
      <c r="J8157" s="81"/>
      <c r="K8157" s="81"/>
      <c r="L8157" s="81"/>
      <c r="M8157" s="81"/>
      <c r="N8157" s="81"/>
    </row>
    <row r="8158" spans="1:14" ht="14.25" customHeight="1" x14ac:dyDescent="0.25">
      <c r="A8158" s="99"/>
      <c r="B8158" s="100"/>
      <c r="C8158" s="106"/>
      <c r="D8158" s="107"/>
      <c r="E8158" s="108"/>
      <c r="F8158" s="106"/>
      <c r="G8158" s="81"/>
      <c r="H8158" s="81"/>
      <c r="I8158" s="81"/>
      <c r="J8158" s="81"/>
      <c r="K8158" s="81"/>
      <c r="L8158" s="81"/>
      <c r="M8158" s="81"/>
      <c r="N8158" s="81"/>
    </row>
    <row r="8159" spans="1:14" ht="14.25" customHeight="1" x14ac:dyDescent="0.25">
      <c r="A8159" s="97" t="s">
        <v>548</v>
      </c>
      <c r="B8159" s="97"/>
      <c r="C8159" s="109"/>
      <c r="D8159" s="110"/>
      <c r="E8159" s="111"/>
      <c r="F8159" s="112">
        <f>SUM(F8152:F8158)</f>
        <v>89271</v>
      </c>
      <c r="G8159" s="81"/>
      <c r="H8159" s="81"/>
      <c r="I8159" s="81"/>
      <c r="J8159" s="81"/>
      <c r="K8159" s="81"/>
      <c r="L8159" s="81"/>
      <c r="M8159" s="81"/>
      <c r="N8159" s="81"/>
    </row>
    <row r="8160" spans="1:14" ht="14.25" customHeight="1" x14ac:dyDescent="0.25">
      <c r="A8160" s="88"/>
      <c r="B8160" s="88"/>
      <c r="C8160" s="113"/>
      <c r="D8160" s="113"/>
      <c r="E8160" s="114"/>
      <c r="F8160" s="113"/>
      <c r="G8160" s="81"/>
      <c r="H8160" s="81"/>
      <c r="I8160" s="81"/>
      <c r="J8160" s="81"/>
      <c r="K8160" s="81"/>
      <c r="L8160" s="81"/>
      <c r="M8160" s="81"/>
      <c r="N8160" s="81"/>
    </row>
    <row r="8161" spans="1:14" ht="14.25" customHeight="1" x14ac:dyDescent="0.25">
      <c r="A8161" s="96" t="s">
        <v>573</v>
      </c>
      <c r="B8161" s="96"/>
      <c r="C8161" s="92"/>
      <c r="D8161" s="92"/>
      <c r="E8161" s="92"/>
      <c r="F8161" s="92"/>
      <c r="G8161" s="81"/>
      <c r="H8161" s="81"/>
      <c r="I8161" s="81"/>
      <c r="J8161" s="81"/>
      <c r="K8161" s="81"/>
      <c r="L8161" s="81"/>
      <c r="M8161" s="81"/>
      <c r="N8161" s="81"/>
    </row>
    <row r="8162" spans="1:14" ht="14.25" customHeight="1" x14ac:dyDescent="0.25">
      <c r="A8162" s="611" t="s">
        <v>563</v>
      </c>
      <c r="B8162" s="608"/>
      <c r="C8162" s="609"/>
      <c r="D8162" s="98" t="s">
        <v>574</v>
      </c>
      <c r="E8162" s="98" t="s">
        <v>575</v>
      </c>
      <c r="F8162" s="98" t="s">
        <v>568</v>
      </c>
      <c r="G8162" s="81"/>
      <c r="H8162" s="81"/>
      <c r="I8162" s="81"/>
      <c r="J8162" s="81"/>
      <c r="K8162" s="81"/>
      <c r="L8162" s="81"/>
      <c r="M8162" s="81"/>
      <c r="N8162" s="81"/>
    </row>
    <row r="8163" spans="1:14" ht="14.25" customHeight="1" x14ac:dyDescent="0.25">
      <c r="A8163" s="607" t="s">
        <v>577</v>
      </c>
      <c r="B8163" s="608"/>
      <c r="C8163" s="609"/>
      <c r="D8163" s="116"/>
      <c r="E8163" s="107"/>
      <c r="F8163" s="106">
        <v>241</v>
      </c>
      <c r="G8163" s="81"/>
      <c r="H8163" s="81"/>
      <c r="I8163" s="81"/>
      <c r="J8163" s="81"/>
      <c r="K8163" s="81"/>
      <c r="L8163" s="81"/>
      <c r="M8163" s="81"/>
      <c r="N8163" s="81"/>
    </row>
    <row r="8164" spans="1:14" ht="14.25" customHeight="1" x14ac:dyDescent="0.25">
      <c r="A8164" s="607"/>
      <c r="B8164" s="608"/>
      <c r="C8164" s="609"/>
      <c r="D8164" s="142"/>
      <c r="E8164" s="107"/>
      <c r="F8164" s="106"/>
      <c r="G8164" s="81"/>
      <c r="H8164" s="81"/>
      <c r="I8164" s="81"/>
      <c r="J8164" s="81"/>
      <c r="K8164" s="81"/>
      <c r="L8164" s="81"/>
      <c r="M8164" s="81"/>
      <c r="N8164" s="81"/>
    </row>
    <row r="8165" spans="1:14" ht="14.25" customHeight="1" x14ac:dyDescent="0.25">
      <c r="A8165" s="607"/>
      <c r="B8165" s="608"/>
      <c r="C8165" s="609"/>
      <c r="D8165" s="142"/>
      <c r="E8165" s="107"/>
      <c r="F8165" s="106"/>
      <c r="G8165" s="81"/>
      <c r="H8165" s="81"/>
      <c r="I8165" s="81"/>
      <c r="J8165" s="81"/>
      <c r="K8165" s="81"/>
      <c r="L8165" s="81"/>
      <c r="M8165" s="81"/>
      <c r="N8165" s="81"/>
    </row>
    <row r="8166" spans="1:14" ht="14.25" customHeight="1" x14ac:dyDescent="0.25">
      <c r="A8166" s="610"/>
      <c r="B8166" s="608"/>
      <c r="C8166" s="609"/>
      <c r="D8166" s="115"/>
      <c r="E8166" s="107"/>
      <c r="F8166" s="106"/>
      <c r="G8166" s="81"/>
      <c r="H8166" s="81"/>
      <c r="I8166" s="81"/>
      <c r="J8166" s="81"/>
      <c r="K8166" s="81"/>
      <c r="L8166" s="81"/>
      <c r="M8166" s="81"/>
      <c r="N8166" s="81"/>
    </row>
    <row r="8167" spans="1:14" ht="14.25" customHeight="1" x14ac:dyDescent="0.25">
      <c r="A8167" s="611" t="s">
        <v>548</v>
      </c>
      <c r="B8167" s="608"/>
      <c r="C8167" s="609"/>
      <c r="D8167" s="110"/>
      <c r="E8167" s="110"/>
      <c r="F8167" s="112">
        <f>SUM(F8163:F8165)</f>
        <v>241</v>
      </c>
      <c r="G8167" s="81"/>
      <c r="H8167" s="117"/>
      <c r="I8167" s="81"/>
      <c r="J8167" s="81"/>
      <c r="K8167" s="81"/>
      <c r="L8167" s="81"/>
      <c r="M8167" s="81"/>
      <c r="N8167" s="81"/>
    </row>
    <row r="8168" spans="1:14" ht="14.25" customHeight="1" x14ac:dyDescent="0.25">
      <c r="A8168" s="88"/>
      <c r="B8168" s="88"/>
      <c r="C8168" s="89"/>
      <c r="D8168" s="113"/>
      <c r="E8168" s="113"/>
      <c r="F8168" s="113"/>
      <c r="G8168" s="81"/>
      <c r="H8168" s="81"/>
      <c r="I8168" s="81"/>
      <c r="J8168" s="81"/>
      <c r="K8168" s="81"/>
      <c r="L8168" s="81"/>
      <c r="M8168" s="81"/>
      <c r="N8168" s="81"/>
    </row>
    <row r="8169" spans="1:14" ht="14.25" customHeight="1" x14ac:dyDescent="0.25">
      <c r="A8169" s="96" t="s">
        <v>578</v>
      </c>
      <c r="B8169" s="96"/>
      <c r="C8169" s="92"/>
      <c r="D8169" s="118"/>
      <c r="E8169" s="118"/>
      <c r="F8169" s="118"/>
      <c r="G8169" s="81"/>
      <c r="H8169" s="81"/>
      <c r="I8169" s="81"/>
      <c r="J8169" s="81"/>
      <c r="K8169" s="81"/>
      <c r="L8169" s="81"/>
      <c r="M8169" s="81"/>
      <c r="N8169" s="81"/>
    </row>
    <row r="8170" spans="1:14" ht="14.25" customHeight="1" x14ac:dyDescent="0.25">
      <c r="A8170" s="119" t="s">
        <v>563</v>
      </c>
      <c r="B8170" s="120" t="s">
        <v>579</v>
      </c>
      <c r="C8170" s="120" t="s">
        <v>580</v>
      </c>
      <c r="D8170" s="121" t="s">
        <v>581</v>
      </c>
      <c r="E8170" s="121" t="s">
        <v>575</v>
      </c>
      <c r="F8170" s="121" t="s">
        <v>568</v>
      </c>
      <c r="G8170" s="81"/>
      <c r="H8170" s="81"/>
      <c r="I8170" s="81"/>
      <c r="J8170" s="81"/>
      <c r="K8170" s="81"/>
      <c r="L8170" s="81"/>
      <c r="M8170" s="81"/>
      <c r="N8170" s="81"/>
    </row>
    <row r="8171" spans="1:14" ht="14.25" customHeight="1" x14ac:dyDescent="0.25">
      <c r="A8171" s="122" t="s">
        <v>593</v>
      </c>
      <c r="B8171" s="127">
        <v>1</v>
      </c>
      <c r="C8171" s="101">
        <v>32688</v>
      </c>
      <c r="D8171" s="101">
        <f t="shared" ref="D8171:D8172" si="409">+C8171*1.7</f>
        <v>55569.599999999999</v>
      </c>
      <c r="E8171" s="107">
        <v>10</v>
      </c>
      <c r="F8171" s="106">
        <f t="shared" ref="F8171:F8172" si="410">+B8171*(D8171)/E8171</f>
        <v>5556.96</v>
      </c>
      <c r="G8171" s="81"/>
      <c r="H8171" s="143"/>
      <c r="I8171" s="81"/>
      <c r="J8171" s="81"/>
      <c r="K8171" s="81"/>
      <c r="L8171" s="81"/>
      <c r="M8171" s="81"/>
      <c r="N8171" s="81"/>
    </row>
    <row r="8172" spans="1:14" ht="14.25" customHeight="1" x14ac:dyDescent="0.25">
      <c r="A8172" s="122" t="s">
        <v>594</v>
      </c>
      <c r="B8172" s="127">
        <v>1</v>
      </c>
      <c r="C8172" s="101">
        <v>52538</v>
      </c>
      <c r="D8172" s="101">
        <f t="shared" si="409"/>
        <v>89314.599999999991</v>
      </c>
      <c r="E8172" s="107">
        <f>E8171</f>
        <v>10</v>
      </c>
      <c r="F8172" s="106">
        <f t="shared" si="410"/>
        <v>8931.4599999999991</v>
      </c>
      <c r="G8172" s="81"/>
      <c r="H8172" s="81"/>
      <c r="I8172" s="81"/>
      <c r="J8172" s="81"/>
      <c r="K8172" s="81"/>
      <c r="L8172" s="81"/>
      <c r="M8172" s="81"/>
      <c r="N8172" s="81"/>
    </row>
    <row r="8173" spans="1:14" ht="14.25" customHeight="1" x14ac:dyDescent="0.25">
      <c r="A8173" s="122"/>
      <c r="B8173" s="127"/>
      <c r="C8173" s="101"/>
      <c r="D8173" s="101"/>
      <c r="E8173" s="107"/>
      <c r="F8173" s="106"/>
      <c r="G8173" s="81"/>
      <c r="H8173" s="81"/>
      <c r="I8173" s="81"/>
      <c r="J8173" s="81"/>
      <c r="K8173" s="81"/>
      <c r="L8173" s="81"/>
      <c r="M8173" s="81"/>
      <c r="N8173" s="81"/>
    </row>
    <row r="8174" spans="1:14" ht="14.25" customHeight="1" x14ac:dyDescent="0.25">
      <c r="A8174" s="122"/>
      <c r="B8174" s="127"/>
      <c r="C8174" s="101"/>
      <c r="D8174" s="101"/>
      <c r="E8174" s="125"/>
      <c r="F8174" s="106"/>
      <c r="G8174" s="81"/>
      <c r="H8174" s="81"/>
      <c r="I8174" s="81"/>
      <c r="J8174" s="81"/>
      <c r="K8174" s="81"/>
      <c r="L8174" s="81"/>
      <c r="M8174" s="81"/>
      <c r="N8174" s="81"/>
    </row>
    <row r="8175" spans="1:14" ht="14.25" customHeight="1" x14ac:dyDescent="0.25">
      <c r="A8175" s="97" t="s">
        <v>548</v>
      </c>
      <c r="B8175" s="128"/>
      <c r="C8175" s="110"/>
      <c r="D8175" s="110"/>
      <c r="E8175" s="110"/>
      <c r="F8175" s="112">
        <f>SUM(F8171:F8174)</f>
        <v>14488.419999999998</v>
      </c>
      <c r="G8175" s="81"/>
      <c r="H8175" s="81"/>
      <c r="I8175" s="81"/>
      <c r="J8175" s="81"/>
      <c r="K8175" s="81"/>
      <c r="L8175" s="81"/>
      <c r="M8175" s="81"/>
      <c r="N8175" s="81"/>
    </row>
    <row r="8176" spans="1:14" ht="14.25" customHeight="1" x14ac:dyDescent="0.25">
      <c r="A8176" s="96"/>
      <c r="B8176" s="129"/>
      <c r="C8176" s="118"/>
      <c r="D8176" s="118"/>
      <c r="E8176" s="118"/>
      <c r="F8176" s="118"/>
      <c r="G8176" s="81"/>
      <c r="H8176" s="81"/>
      <c r="I8176" s="81"/>
      <c r="J8176" s="81"/>
      <c r="K8176" s="81"/>
      <c r="L8176" s="81"/>
      <c r="M8176" s="81"/>
      <c r="N8176" s="81"/>
    </row>
    <row r="8177" spans="1:14" ht="14.25" customHeight="1" x14ac:dyDescent="0.25">
      <c r="A8177" s="95" t="s">
        <v>583</v>
      </c>
      <c r="B8177" s="96"/>
      <c r="C8177" s="92"/>
      <c r="D8177" s="92"/>
      <c r="E8177" s="92" t="s">
        <v>584</v>
      </c>
      <c r="F8177" s="92"/>
      <c r="G8177" s="81"/>
      <c r="H8177" s="81"/>
      <c r="I8177" s="81"/>
      <c r="J8177" s="81"/>
      <c r="K8177" s="81"/>
      <c r="L8177" s="81"/>
      <c r="M8177" s="81"/>
      <c r="N8177" s="81"/>
    </row>
    <row r="8178" spans="1:14" ht="14.25" customHeight="1" x14ac:dyDescent="0.25">
      <c r="A8178" s="97" t="s">
        <v>563</v>
      </c>
      <c r="B8178" s="98" t="s">
        <v>564</v>
      </c>
      <c r="C8178" s="98" t="s">
        <v>585</v>
      </c>
      <c r="D8178" s="98" t="s">
        <v>586</v>
      </c>
      <c r="E8178" s="120" t="s">
        <v>587</v>
      </c>
      <c r="F8178" s="98" t="s">
        <v>568</v>
      </c>
      <c r="G8178" s="81"/>
      <c r="H8178" s="81"/>
      <c r="I8178" s="81"/>
      <c r="J8178" s="81"/>
      <c r="K8178" s="81"/>
      <c r="L8178" s="81"/>
      <c r="M8178" s="81"/>
      <c r="N8178" s="81"/>
    </row>
    <row r="8179" spans="1:14" ht="14.25" customHeight="1" x14ac:dyDescent="0.25">
      <c r="A8179" s="103"/>
      <c r="B8179" s="100"/>
      <c r="C8179" s="101"/>
      <c r="D8179" s="140"/>
      <c r="E8179" s="107"/>
      <c r="F8179" s="109">
        <f>+C8179*D8179*E8179</f>
        <v>0</v>
      </c>
      <c r="G8179" s="81"/>
      <c r="H8179" s="81"/>
      <c r="I8179" s="81"/>
      <c r="J8179" s="81"/>
      <c r="K8179" s="81"/>
      <c r="L8179" s="81"/>
      <c r="M8179" s="81"/>
      <c r="N8179" s="81"/>
    </row>
    <row r="8180" spans="1:14" ht="14.25" customHeight="1" x14ac:dyDescent="0.25">
      <c r="A8180" s="103"/>
      <c r="B8180" s="100"/>
      <c r="C8180" s="107"/>
      <c r="D8180" s="107"/>
      <c r="E8180" s="108"/>
      <c r="F8180" s="109"/>
      <c r="G8180" s="81"/>
      <c r="H8180" s="81"/>
      <c r="I8180" s="81"/>
      <c r="J8180" s="81"/>
      <c r="K8180" s="81"/>
      <c r="L8180" s="81"/>
      <c r="M8180" s="81"/>
      <c r="N8180" s="81"/>
    </row>
    <row r="8181" spans="1:14" ht="14.25" customHeight="1" x14ac:dyDescent="0.25">
      <c r="A8181" s="97" t="s">
        <v>548</v>
      </c>
      <c r="B8181" s="98"/>
      <c r="C8181" s="110"/>
      <c r="D8181" s="110"/>
      <c r="E8181" s="111"/>
      <c r="F8181" s="112">
        <f>SUM(F8179:F8180)</f>
        <v>0</v>
      </c>
      <c r="G8181" s="81"/>
      <c r="H8181" s="81"/>
      <c r="I8181" s="81"/>
      <c r="J8181" s="81"/>
      <c r="K8181" s="81"/>
      <c r="L8181" s="81"/>
      <c r="M8181" s="81"/>
      <c r="N8181" s="81"/>
    </row>
    <row r="8182" spans="1:14" ht="14.25" customHeight="1" x14ac:dyDescent="0.25">
      <c r="A8182" s="88"/>
      <c r="B8182" s="89"/>
      <c r="C8182" s="113"/>
      <c r="D8182" s="113"/>
      <c r="E8182" s="114"/>
      <c r="F8182" s="113"/>
      <c r="G8182" s="81"/>
      <c r="H8182" s="81"/>
      <c r="I8182" s="81"/>
      <c r="J8182" s="81"/>
      <c r="K8182" s="81"/>
      <c r="L8182" s="81"/>
      <c r="M8182" s="81"/>
      <c r="N8182" s="81"/>
    </row>
    <row r="8183" spans="1:14" ht="14.25" customHeight="1" x14ac:dyDescent="0.25">
      <c r="A8183" s="88"/>
      <c r="B8183" s="89"/>
      <c r="C8183" s="113"/>
      <c r="D8183" s="113"/>
      <c r="E8183" s="114"/>
      <c r="F8183" s="113"/>
      <c r="G8183" s="81"/>
      <c r="H8183" s="81"/>
      <c r="I8183" s="81"/>
      <c r="J8183" s="81"/>
      <c r="K8183" s="81"/>
      <c r="L8183" s="81"/>
      <c r="M8183" s="81"/>
      <c r="N8183" s="81"/>
    </row>
    <row r="8184" spans="1:14" ht="14.25" customHeight="1" x14ac:dyDescent="0.25">
      <c r="A8184" s="612" t="s">
        <v>588</v>
      </c>
      <c r="B8184" s="608"/>
      <c r="C8184" s="608"/>
      <c r="D8184" s="608"/>
      <c r="E8184" s="609"/>
      <c r="F8184" s="131">
        <f>ROUND(F8159+F8167+F8175+F8181,0)</f>
        <v>104000</v>
      </c>
      <c r="G8184" s="81"/>
      <c r="H8184" s="81"/>
      <c r="I8184" s="81"/>
      <c r="J8184" s="81"/>
      <c r="K8184" s="81"/>
      <c r="L8184" s="81"/>
      <c r="M8184" s="81"/>
      <c r="N8184" s="81"/>
    </row>
    <row r="8185" spans="1:14" ht="14.25" customHeight="1" x14ac:dyDescent="0.25">
      <c r="A8185" s="612" t="s">
        <v>589</v>
      </c>
      <c r="B8185" s="608"/>
      <c r="C8185" s="608"/>
      <c r="D8185" s="608"/>
      <c r="E8185" s="609"/>
      <c r="F8185" s="132"/>
      <c r="G8185" s="81"/>
      <c r="H8185" s="81"/>
      <c r="I8185" s="81"/>
      <c r="J8185" s="81"/>
      <c r="K8185" s="81"/>
      <c r="L8185" s="81"/>
      <c r="M8185" s="81"/>
      <c r="N8185" s="81"/>
    </row>
    <row r="8186" spans="1:14" ht="14.25" customHeight="1" x14ac:dyDescent="0.25">
      <c r="A8186" s="612" t="s">
        <v>556</v>
      </c>
      <c r="B8186" s="608"/>
      <c r="C8186" s="608"/>
      <c r="D8186" s="608"/>
      <c r="E8186" s="609"/>
      <c r="F8186" s="133"/>
      <c r="G8186" s="81"/>
      <c r="H8186" s="81"/>
      <c r="I8186" s="81"/>
      <c r="J8186" s="81"/>
      <c r="K8186" s="81"/>
      <c r="L8186" s="81"/>
      <c r="M8186" s="81"/>
      <c r="N8186" s="81"/>
    </row>
    <row r="8187" spans="1:14" ht="14.25" customHeight="1" x14ac:dyDescent="0.25">
      <c r="A8187" s="134"/>
      <c r="B8187" s="135"/>
      <c r="C8187" s="135"/>
      <c r="D8187" s="135"/>
      <c r="E8187" s="135"/>
      <c r="F8187" s="136"/>
      <c r="G8187" s="81"/>
      <c r="H8187" s="81"/>
      <c r="I8187" s="81"/>
      <c r="J8187" s="81"/>
      <c r="K8187" s="81"/>
      <c r="L8187" s="81"/>
      <c r="M8187" s="81"/>
      <c r="N8187" s="81"/>
    </row>
    <row r="8188" spans="1:14" ht="14.25" customHeight="1" x14ac:dyDescent="0.25">
      <c r="A8188" s="81"/>
      <c r="B8188" s="81"/>
      <c r="C8188" s="137"/>
      <c r="D8188" s="81"/>
      <c r="E8188" s="81"/>
      <c r="F8188" s="81"/>
      <c r="G8188" s="81"/>
      <c r="H8188" s="81"/>
      <c r="I8188" s="81"/>
      <c r="J8188" s="81"/>
      <c r="K8188" s="81"/>
      <c r="L8188" s="81"/>
      <c r="M8188" s="81"/>
      <c r="N8188" s="81"/>
    </row>
    <row r="8189" spans="1:14" ht="14.25" customHeight="1" x14ac:dyDescent="0.25">
      <c r="A8189" s="81"/>
      <c r="B8189" s="81"/>
      <c r="C8189" s="137"/>
      <c r="D8189" s="81"/>
      <c r="E8189" s="81"/>
      <c r="F8189" s="81"/>
      <c r="G8189" s="81"/>
      <c r="H8189" s="81"/>
      <c r="I8189" s="81"/>
      <c r="J8189" s="81"/>
      <c r="K8189" s="81"/>
      <c r="L8189" s="81"/>
      <c r="M8189" s="81"/>
      <c r="N8189" s="81"/>
    </row>
    <row r="8190" spans="1:14" ht="15.75" x14ac:dyDescent="0.25">
      <c r="A8190" s="81"/>
      <c r="B8190" s="81"/>
      <c r="C8190" s="137"/>
      <c r="D8190" s="81"/>
      <c r="E8190" s="81"/>
      <c r="F8190" s="81"/>
      <c r="G8190" s="81"/>
      <c r="H8190" s="81"/>
      <c r="I8190" s="81"/>
      <c r="J8190" s="81"/>
      <c r="K8190" s="81"/>
      <c r="L8190" s="81"/>
      <c r="M8190" s="81"/>
      <c r="N8190" s="81"/>
    </row>
    <row r="8191" spans="1:14" ht="14.25" customHeight="1" x14ac:dyDescent="0.25">
      <c r="A8191" s="81"/>
      <c r="B8191" s="81"/>
      <c r="C8191" s="137"/>
      <c r="D8191" s="81"/>
      <c r="E8191" s="81"/>
      <c r="F8191" s="81"/>
      <c r="G8191" s="81"/>
      <c r="H8191" s="81"/>
      <c r="I8191" s="81"/>
      <c r="J8191" s="81"/>
      <c r="K8191" s="81"/>
      <c r="L8191" s="81"/>
      <c r="M8191" s="81"/>
      <c r="N8191" s="81"/>
    </row>
    <row r="8192" spans="1:14" ht="14.25" customHeight="1" x14ac:dyDescent="0.25">
      <c r="A8192" s="81"/>
      <c r="B8192" s="81"/>
      <c r="C8192" s="137"/>
      <c r="D8192" s="81"/>
      <c r="E8192" s="81"/>
      <c r="F8192" s="81"/>
      <c r="G8192" s="81"/>
      <c r="H8192" s="81"/>
      <c r="I8192" s="81"/>
      <c r="J8192" s="81"/>
      <c r="K8192" s="81"/>
      <c r="L8192" s="81"/>
      <c r="M8192" s="81"/>
      <c r="N8192" s="81"/>
    </row>
    <row r="8193" spans="1:14" ht="14.25" customHeight="1" x14ac:dyDescent="0.25">
      <c r="A8193" s="134"/>
      <c r="B8193" s="135"/>
      <c r="C8193" s="135"/>
      <c r="D8193" s="135"/>
      <c r="E8193" s="135"/>
      <c r="F8193" s="136"/>
      <c r="G8193" s="81"/>
      <c r="H8193" s="81"/>
      <c r="I8193" s="81"/>
      <c r="J8193" s="81"/>
      <c r="K8193" s="81"/>
      <c r="L8193" s="81"/>
      <c r="M8193" s="81"/>
      <c r="N8193" s="81"/>
    </row>
    <row r="8194" spans="1:14" ht="14.25" customHeight="1" x14ac:dyDescent="0.25">
      <c r="A8194" s="134"/>
      <c r="B8194" s="135"/>
      <c r="C8194" s="135"/>
      <c r="D8194" s="135"/>
      <c r="E8194" s="135"/>
      <c r="F8194" s="136"/>
      <c r="G8194" s="81"/>
      <c r="H8194" s="81"/>
      <c r="I8194" s="81"/>
      <c r="J8194" s="81"/>
      <c r="K8194" s="81"/>
      <c r="L8194" s="81"/>
      <c r="M8194" s="81"/>
      <c r="N8194" s="81"/>
    </row>
    <row r="8195" spans="1:14" ht="14.25" customHeight="1" x14ac:dyDescent="0.25">
      <c r="A8195" s="134"/>
      <c r="B8195" s="135"/>
      <c r="C8195" s="135"/>
      <c r="D8195" s="135"/>
      <c r="E8195" s="135"/>
      <c r="F8195" s="136"/>
      <c r="G8195" s="81"/>
      <c r="H8195" s="81"/>
      <c r="I8195" s="81"/>
      <c r="J8195" s="81"/>
      <c r="K8195" s="81"/>
      <c r="L8195" s="81"/>
      <c r="M8195" s="81"/>
      <c r="N8195" s="81"/>
    </row>
    <row r="8196" spans="1:14" ht="14.25" customHeight="1" thickBot="1" x14ac:dyDescent="0.3">
      <c r="A8196" s="81"/>
      <c r="B8196" s="81"/>
      <c r="C8196" s="81"/>
      <c r="D8196" s="81"/>
      <c r="E8196" s="81"/>
      <c r="F8196" s="81"/>
      <c r="G8196" s="81"/>
      <c r="H8196" s="81"/>
      <c r="I8196" s="81"/>
      <c r="J8196" s="81"/>
      <c r="K8196" s="81"/>
      <c r="L8196" s="81"/>
      <c r="M8196" s="81"/>
      <c r="N8196" s="81"/>
    </row>
    <row r="8197" spans="1:14" ht="14.25" customHeight="1" x14ac:dyDescent="0.25">
      <c r="A8197" s="83"/>
      <c r="B8197" s="84"/>
      <c r="C8197" s="85"/>
      <c r="D8197" s="86"/>
      <c r="E8197" s="86"/>
      <c r="F8197" s="87"/>
      <c r="G8197" s="81"/>
      <c r="H8197" s="81"/>
      <c r="I8197" s="81"/>
      <c r="J8197" s="81"/>
      <c r="K8197" s="81"/>
      <c r="L8197" s="81"/>
      <c r="M8197" s="81"/>
      <c r="N8197" s="81"/>
    </row>
    <row r="8198" spans="1:14" ht="14.25" customHeight="1" x14ac:dyDescent="0.25">
      <c r="A8198" s="599"/>
      <c r="B8198" s="600"/>
      <c r="C8198" s="600"/>
      <c r="D8198" s="600"/>
      <c r="E8198" s="600"/>
      <c r="F8198" s="601"/>
      <c r="G8198" s="81"/>
      <c r="H8198" s="81"/>
      <c r="I8198" s="81"/>
      <c r="J8198" s="81"/>
      <c r="K8198" s="81"/>
      <c r="L8198" s="81"/>
      <c r="M8198" s="81"/>
      <c r="N8198" s="81"/>
    </row>
    <row r="8199" spans="1:14" ht="14.25" customHeight="1" x14ac:dyDescent="0.25">
      <c r="A8199" s="602" t="s">
        <v>561</v>
      </c>
      <c r="B8199" s="600"/>
      <c r="C8199" s="600"/>
      <c r="D8199" s="600"/>
      <c r="E8199" s="600"/>
      <c r="F8199" s="601"/>
      <c r="G8199" s="81"/>
      <c r="H8199" s="81"/>
      <c r="I8199" s="81"/>
      <c r="J8199" s="81"/>
      <c r="K8199" s="81"/>
      <c r="L8199" s="81"/>
      <c r="M8199" s="81"/>
      <c r="N8199" s="81"/>
    </row>
    <row r="8200" spans="1:14" ht="14.25" customHeight="1" thickBot="1" x14ac:dyDescent="0.3">
      <c r="A8200" s="603"/>
      <c r="B8200" s="604"/>
      <c r="C8200" s="604"/>
      <c r="D8200" s="604"/>
      <c r="E8200" s="604"/>
      <c r="F8200" s="605"/>
      <c r="G8200" s="81"/>
      <c r="H8200" s="81"/>
      <c r="I8200" s="81"/>
      <c r="J8200" s="81"/>
      <c r="K8200" s="81"/>
      <c r="L8200" s="81"/>
      <c r="M8200" s="81"/>
      <c r="N8200" s="81"/>
    </row>
    <row r="8201" spans="1:14" ht="14.25" customHeight="1" x14ac:dyDescent="0.25">
      <c r="A8201" s="88"/>
      <c r="B8201" s="88"/>
      <c r="C8201" s="89"/>
      <c r="D8201" s="89"/>
      <c r="E8201" s="89"/>
      <c r="F8201" s="89"/>
      <c r="G8201" s="81"/>
      <c r="H8201" s="81"/>
      <c r="I8201" s="81"/>
      <c r="J8201" s="81"/>
      <c r="K8201" s="81"/>
      <c r="L8201" s="81"/>
      <c r="M8201" s="81"/>
      <c r="N8201" s="81"/>
    </row>
    <row r="8202" spans="1:14" ht="14.25" customHeight="1" x14ac:dyDescent="0.25">
      <c r="A8202" s="90" t="s">
        <v>47</v>
      </c>
      <c r="B8202" s="613" t="s">
        <v>385</v>
      </c>
      <c r="C8202" s="600"/>
      <c r="D8202" s="600"/>
      <c r="E8202" s="600"/>
      <c r="F8202" s="600"/>
      <c r="G8202" s="81"/>
      <c r="H8202" s="81"/>
      <c r="I8202" s="81"/>
      <c r="J8202" s="81"/>
      <c r="K8202" s="81"/>
      <c r="L8202" s="81"/>
      <c r="M8202" s="81"/>
      <c r="N8202" s="81"/>
    </row>
    <row r="8203" spans="1:14" ht="14.25" customHeight="1" x14ac:dyDescent="0.25">
      <c r="A8203" s="91"/>
      <c r="B8203" s="91"/>
      <c r="C8203" s="91"/>
      <c r="D8203" s="91"/>
      <c r="E8203" s="91"/>
      <c r="F8203" s="91"/>
      <c r="G8203" s="81"/>
      <c r="H8203" s="81"/>
      <c r="I8203" s="81"/>
      <c r="J8203" s="81"/>
      <c r="K8203" s="81"/>
      <c r="L8203" s="81"/>
      <c r="M8203" s="81"/>
      <c r="N8203" s="81"/>
    </row>
    <row r="8204" spans="1:14" ht="14.25" customHeight="1" x14ac:dyDescent="0.25">
      <c r="A8204" s="88" t="s">
        <v>49</v>
      </c>
      <c r="B8204" s="92" t="s">
        <v>56</v>
      </c>
      <c r="C8204" s="89"/>
      <c r="D8204" s="89"/>
      <c r="E8204" s="89"/>
      <c r="F8204" s="93"/>
      <c r="G8204" s="81"/>
      <c r="H8204" s="81"/>
      <c r="I8204" s="81"/>
      <c r="J8204" s="81"/>
      <c r="K8204" s="81"/>
      <c r="L8204" s="81"/>
      <c r="M8204" s="81"/>
      <c r="N8204" s="81"/>
    </row>
    <row r="8205" spans="1:14" ht="14.25" customHeight="1" x14ac:dyDescent="0.25">
      <c r="A8205" s="88"/>
      <c r="B8205" s="94"/>
      <c r="C8205" s="89"/>
      <c r="D8205" s="89"/>
      <c r="E8205" s="89"/>
      <c r="F8205" s="93"/>
      <c r="G8205" s="81"/>
      <c r="H8205" s="81"/>
      <c r="I8205" s="81"/>
      <c r="J8205" s="81"/>
      <c r="K8205" s="81"/>
      <c r="L8205" s="81"/>
      <c r="M8205" s="81"/>
      <c r="N8205" s="81"/>
    </row>
    <row r="8206" spans="1:14" ht="14.25" customHeight="1" x14ac:dyDescent="0.25">
      <c r="A8206" s="95" t="s">
        <v>562</v>
      </c>
      <c r="B8206" s="96"/>
      <c r="C8206" s="92"/>
      <c r="D8206" s="92"/>
      <c r="E8206" s="92"/>
      <c r="F8206" s="92"/>
      <c r="G8206" s="81"/>
      <c r="H8206" s="81"/>
      <c r="I8206" s="81"/>
      <c r="J8206" s="81"/>
      <c r="K8206" s="81"/>
      <c r="L8206" s="81"/>
      <c r="M8206" s="81"/>
      <c r="N8206" s="81"/>
    </row>
    <row r="8207" spans="1:14" ht="14.25" customHeight="1" x14ac:dyDescent="0.25">
      <c r="A8207" s="97" t="s">
        <v>563</v>
      </c>
      <c r="B8207" s="98" t="s">
        <v>564</v>
      </c>
      <c r="C8207" s="98" t="s">
        <v>565</v>
      </c>
      <c r="D8207" s="98" t="s">
        <v>566</v>
      </c>
      <c r="E8207" s="98" t="s">
        <v>567</v>
      </c>
      <c r="F8207" s="98" t="s">
        <v>568</v>
      </c>
      <c r="G8207" s="81"/>
      <c r="H8207" s="81"/>
      <c r="I8207" s="81"/>
      <c r="J8207" s="81"/>
      <c r="K8207" s="81"/>
      <c r="L8207" s="81"/>
      <c r="M8207" s="81"/>
      <c r="N8207" s="81"/>
    </row>
    <row r="8208" spans="1:14" ht="14.25" customHeight="1" x14ac:dyDescent="0.25">
      <c r="A8208" s="99" t="s">
        <v>822</v>
      </c>
      <c r="B8208" s="100" t="s">
        <v>56</v>
      </c>
      <c r="C8208" s="101">
        <v>42320</v>
      </c>
      <c r="D8208" s="104">
        <v>1</v>
      </c>
      <c r="E8208" s="102">
        <v>0.05</v>
      </c>
      <c r="F8208" s="101">
        <f>C8208*(D8208+(D8208*E8208))</f>
        <v>44436</v>
      </c>
      <c r="G8208" s="81"/>
      <c r="H8208" s="81"/>
      <c r="I8208" s="81"/>
      <c r="J8208" s="81"/>
      <c r="K8208" s="81"/>
      <c r="L8208" s="81"/>
      <c r="M8208" s="81"/>
      <c r="N8208" s="81"/>
    </row>
    <row r="8209" spans="1:14" ht="14.25" customHeight="1" x14ac:dyDescent="0.25">
      <c r="A8209" s="99"/>
      <c r="B8209" s="100"/>
      <c r="C8209" s="101"/>
      <c r="D8209" s="104"/>
      <c r="E8209" s="102"/>
      <c r="F8209" s="101"/>
      <c r="G8209" s="81"/>
      <c r="H8209" s="81"/>
      <c r="I8209" s="81"/>
      <c r="J8209" s="81"/>
      <c r="K8209" s="81"/>
      <c r="L8209" s="81"/>
      <c r="M8209" s="81"/>
      <c r="N8209" s="81"/>
    </row>
    <row r="8210" spans="1:14" ht="14.25" customHeight="1" x14ac:dyDescent="0.25">
      <c r="A8210" s="103"/>
      <c r="B8210" s="100"/>
      <c r="C8210" s="101"/>
      <c r="D8210" s="104"/>
      <c r="E8210" s="102"/>
      <c r="F8210" s="101"/>
      <c r="G8210" s="81"/>
      <c r="H8210" s="81"/>
      <c r="I8210" s="81"/>
      <c r="J8210" s="81"/>
      <c r="K8210" s="81"/>
      <c r="L8210" s="81"/>
      <c r="M8210" s="81"/>
      <c r="N8210" s="81"/>
    </row>
    <row r="8211" spans="1:14" ht="14.25" customHeight="1" x14ac:dyDescent="0.25">
      <c r="A8211" s="99"/>
      <c r="B8211" s="100"/>
      <c r="C8211" s="101"/>
      <c r="D8211" s="104"/>
      <c r="E8211" s="102"/>
      <c r="F8211" s="101"/>
      <c r="G8211" s="81"/>
      <c r="H8211" s="81"/>
      <c r="I8211" s="81"/>
      <c r="J8211" s="81"/>
      <c r="K8211" s="81"/>
      <c r="L8211" s="81"/>
      <c r="M8211" s="81"/>
      <c r="N8211" s="81"/>
    </row>
    <row r="8212" spans="1:14" ht="14.25" customHeight="1" x14ac:dyDescent="0.25">
      <c r="A8212" s="99"/>
      <c r="B8212" s="100"/>
      <c r="C8212" s="106"/>
      <c r="D8212" s="104"/>
      <c r="E8212" s="102"/>
      <c r="F8212" s="101"/>
      <c r="G8212" s="81"/>
      <c r="H8212" s="81"/>
      <c r="I8212" s="81"/>
      <c r="J8212" s="81"/>
      <c r="K8212" s="81"/>
      <c r="L8212" s="81"/>
      <c r="M8212" s="81"/>
      <c r="N8212" s="81"/>
    </row>
    <row r="8213" spans="1:14" ht="14.25" customHeight="1" x14ac:dyDescent="0.25">
      <c r="A8213" s="103"/>
      <c r="B8213" s="100"/>
      <c r="C8213" s="101"/>
      <c r="D8213" s="105"/>
      <c r="E8213" s="102"/>
      <c r="F8213" s="101"/>
      <c r="G8213" s="81"/>
      <c r="H8213" s="81"/>
      <c r="I8213" s="81"/>
      <c r="J8213" s="81"/>
      <c r="K8213" s="81"/>
      <c r="L8213" s="81"/>
      <c r="M8213" s="81"/>
      <c r="N8213" s="81"/>
    </row>
    <row r="8214" spans="1:14" ht="14.25" customHeight="1" x14ac:dyDescent="0.25">
      <c r="A8214" s="99"/>
      <c r="B8214" s="100"/>
      <c r="C8214" s="106"/>
      <c r="D8214" s="107"/>
      <c r="E8214" s="108"/>
      <c r="F8214" s="106"/>
      <c r="G8214" s="81"/>
      <c r="H8214" s="81"/>
      <c r="I8214" s="81"/>
      <c r="J8214" s="81"/>
      <c r="K8214" s="81"/>
      <c r="L8214" s="81"/>
      <c r="M8214" s="81"/>
      <c r="N8214" s="81"/>
    </row>
    <row r="8215" spans="1:14" ht="14.25" customHeight="1" x14ac:dyDescent="0.25">
      <c r="A8215" s="97" t="s">
        <v>548</v>
      </c>
      <c r="B8215" s="97"/>
      <c r="C8215" s="109"/>
      <c r="D8215" s="110"/>
      <c r="E8215" s="111"/>
      <c r="F8215" s="112">
        <f>SUM(F8208:F8214)</f>
        <v>44436</v>
      </c>
      <c r="G8215" s="81"/>
      <c r="H8215" s="81"/>
      <c r="I8215" s="81"/>
      <c r="J8215" s="81"/>
      <c r="K8215" s="81"/>
      <c r="L8215" s="81"/>
      <c r="M8215" s="81"/>
      <c r="N8215" s="81"/>
    </row>
    <row r="8216" spans="1:14" ht="14.25" customHeight="1" x14ac:dyDescent="0.25">
      <c r="A8216" s="88"/>
      <c r="B8216" s="88"/>
      <c r="C8216" s="113"/>
      <c r="D8216" s="113"/>
      <c r="E8216" s="114"/>
      <c r="F8216" s="113"/>
      <c r="G8216" s="81"/>
      <c r="H8216" s="81"/>
      <c r="I8216" s="81"/>
      <c r="J8216" s="81"/>
      <c r="K8216" s="81"/>
      <c r="L8216" s="81"/>
      <c r="M8216" s="81"/>
      <c r="N8216" s="81"/>
    </row>
    <row r="8217" spans="1:14" ht="14.25" customHeight="1" x14ac:dyDescent="0.25">
      <c r="A8217" s="96" t="s">
        <v>573</v>
      </c>
      <c r="B8217" s="96"/>
      <c r="C8217" s="92"/>
      <c r="D8217" s="92"/>
      <c r="E8217" s="92"/>
      <c r="F8217" s="92"/>
      <c r="G8217" s="81"/>
      <c r="H8217" s="81"/>
      <c r="I8217" s="81"/>
      <c r="J8217" s="81"/>
      <c r="K8217" s="81"/>
      <c r="L8217" s="81"/>
      <c r="M8217" s="81"/>
      <c r="N8217" s="81"/>
    </row>
    <row r="8218" spans="1:14" ht="14.25" customHeight="1" x14ac:dyDescent="0.25">
      <c r="A8218" s="611" t="s">
        <v>563</v>
      </c>
      <c r="B8218" s="608"/>
      <c r="C8218" s="609"/>
      <c r="D8218" s="98" t="s">
        <v>574</v>
      </c>
      <c r="E8218" s="98" t="s">
        <v>575</v>
      </c>
      <c r="F8218" s="98" t="s">
        <v>568</v>
      </c>
      <c r="G8218" s="81"/>
      <c r="H8218" s="81"/>
      <c r="I8218" s="81"/>
      <c r="J8218" s="81"/>
      <c r="K8218" s="81"/>
      <c r="L8218" s="81"/>
      <c r="M8218" s="81"/>
      <c r="N8218" s="81"/>
    </row>
    <row r="8219" spans="1:14" ht="14.25" customHeight="1" x14ac:dyDescent="0.25">
      <c r="A8219" s="607" t="s">
        <v>577</v>
      </c>
      <c r="B8219" s="608"/>
      <c r="C8219" s="609"/>
      <c r="D8219" s="116"/>
      <c r="E8219" s="107"/>
      <c r="F8219" s="106">
        <v>776</v>
      </c>
      <c r="G8219" s="81"/>
      <c r="H8219" s="81"/>
      <c r="I8219" s="81"/>
      <c r="J8219" s="81"/>
      <c r="K8219" s="81"/>
      <c r="L8219" s="81"/>
      <c r="M8219" s="81"/>
      <c r="N8219" s="81"/>
    </row>
    <row r="8220" spans="1:14" ht="14.25" customHeight="1" x14ac:dyDescent="0.25">
      <c r="A8220" s="607"/>
      <c r="B8220" s="608"/>
      <c r="C8220" s="609"/>
      <c r="D8220" s="142"/>
      <c r="E8220" s="107"/>
      <c r="F8220" s="106"/>
      <c r="G8220" s="81"/>
      <c r="H8220" s="81"/>
      <c r="I8220" s="81"/>
      <c r="J8220" s="81"/>
      <c r="K8220" s="81"/>
      <c r="L8220" s="81"/>
      <c r="M8220" s="81"/>
      <c r="N8220" s="81"/>
    </row>
    <row r="8221" spans="1:14" ht="14.25" customHeight="1" x14ac:dyDescent="0.25">
      <c r="A8221" s="607"/>
      <c r="B8221" s="608"/>
      <c r="C8221" s="609"/>
      <c r="D8221" s="142"/>
      <c r="E8221" s="107"/>
      <c r="F8221" s="106"/>
      <c r="G8221" s="81"/>
      <c r="H8221" s="81"/>
      <c r="I8221" s="81"/>
      <c r="J8221" s="81"/>
      <c r="K8221" s="81"/>
      <c r="L8221" s="81"/>
      <c r="M8221" s="81"/>
      <c r="N8221" s="81"/>
    </row>
    <row r="8222" spans="1:14" ht="14.25" customHeight="1" x14ac:dyDescent="0.25">
      <c r="A8222" s="610"/>
      <c r="B8222" s="608"/>
      <c r="C8222" s="609"/>
      <c r="D8222" s="115"/>
      <c r="E8222" s="107"/>
      <c r="F8222" s="106"/>
      <c r="G8222" s="81"/>
      <c r="H8222" s="117"/>
      <c r="I8222" s="81"/>
      <c r="J8222" s="81"/>
      <c r="K8222" s="81"/>
      <c r="L8222" s="81"/>
      <c r="M8222" s="81"/>
      <c r="N8222" s="81"/>
    </row>
    <row r="8223" spans="1:14" ht="14.25" customHeight="1" x14ac:dyDescent="0.25">
      <c r="A8223" s="611" t="s">
        <v>548</v>
      </c>
      <c r="B8223" s="608"/>
      <c r="C8223" s="609"/>
      <c r="D8223" s="110"/>
      <c r="E8223" s="110"/>
      <c r="F8223" s="112">
        <f>SUM(F8219:F8221)</f>
        <v>776</v>
      </c>
      <c r="G8223" s="81"/>
      <c r="H8223" s="81"/>
      <c r="I8223" s="81"/>
      <c r="J8223" s="81"/>
      <c r="K8223" s="81"/>
      <c r="L8223" s="81"/>
      <c r="M8223" s="81"/>
      <c r="N8223" s="81"/>
    </row>
    <row r="8224" spans="1:14" ht="14.25" customHeight="1" x14ac:dyDescent="0.25">
      <c r="A8224" s="88"/>
      <c r="B8224" s="88"/>
      <c r="C8224" s="89"/>
      <c r="D8224" s="113"/>
      <c r="E8224" s="113"/>
      <c r="F8224" s="113"/>
      <c r="G8224" s="81"/>
      <c r="H8224" s="81"/>
      <c r="I8224" s="81"/>
      <c r="J8224" s="81"/>
      <c r="K8224" s="81"/>
      <c r="L8224" s="81"/>
      <c r="M8224" s="81"/>
      <c r="N8224" s="81"/>
    </row>
    <row r="8225" spans="1:14" ht="14.25" customHeight="1" x14ac:dyDescent="0.25">
      <c r="A8225" s="96" t="s">
        <v>578</v>
      </c>
      <c r="B8225" s="96"/>
      <c r="C8225" s="92"/>
      <c r="D8225" s="118"/>
      <c r="E8225" s="118"/>
      <c r="F8225" s="118"/>
      <c r="G8225" s="81"/>
      <c r="H8225" s="81"/>
      <c r="I8225" s="81"/>
      <c r="J8225" s="81"/>
      <c r="K8225" s="81"/>
      <c r="L8225" s="81"/>
      <c r="M8225" s="81"/>
      <c r="N8225" s="81"/>
    </row>
    <row r="8226" spans="1:14" ht="14.25" customHeight="1" x14ac:dyDescent="0.25">
      <c r="A8226" s="119" t="s">
        <v>563</v>
      </c>
      <c r="B8226" s="120" t="s">
        <v>579</v>
      </c>
      <c r="C8226" s="120" t="s">
        <v>580</v>
      </c>
      <c r="D8226" s="121" t="s">
        <v>581</v>
      </c>
      <c r="E8226" s="121" t="s">
        <v>575</v>
      </c>
      <c r="F8226" s="121" t="s">
        <v>568</v>
      </c>
      <c r="G8226" s="81"/>
      <c r="H8226" s="81"/>
      <c r="I8226" s="81"/>
      <c r="J8226" s="81"/>
      <c r="K8226" s="81"/>
      <c r="L8226" s="81"/>
      <c r="M8226" s="81"/>
      <c r="N8226" s="81"/>
    </row>
    <row r="8227" spans="1:14" ht="14.25" customHeight="1" x14ac:dyDescent="0.25">
      <c r="A8227" s="122" t="s">
        <v>593</v>
      </c>
      <c r="B8227" s="127">
        <v>1</v>
      </c>
      <c r="C8227" s="101">
        <v>32688</v>
      </c>
      <c r="D8227" s="101">
        <f t="shared" ref="D8227:D8228" si="411">+C8227*1.7</f>
        <v>55569.599999999999</v>
      </c>
      <c r="E8227" s="107">
        <v>10</v>
      </c>
      <c r="F8227" s="106">
        <f t="shared" ref="F8227:F8228" si="412">+B8227*(D8227)/E8227</f>
        <v>5556.96</v>
      </c>
      <c r="G8227" s="81"/>
      <c r="H8227" s="81"/>
      <c r="I8227" s="81"/>
      <c r="J8227" s="81"/>
      <c r="K8227" s="81"/>
      <c r="L8227" s="81"/>
      <c r="M8227" s="81"/>
      <c r="N8227" s="81"/>
    </row>
    <row r="8228" spans="1:14" ht="14.25" customHeight="1" x14ac:dyDescent="0.25">
      <c r="A8228" s="122" t="s">
        <v>594</v>
      </c>
      <c r="B8228" s="127">
        <v>1</v>
      </c>
      <c r="C8228" s="101">
        <v>52538</v>
      </c>
      <c r="D8228" s="101">
        <f t="shared" si="411"/>
        <v>89314.599999999991</v>
      </c>
      <c r="E8228" s="107">
        <f>E8227</f>
        <v>10</v>
      </c>
      <c r="F8228" s="106">
        <f t="shared" si="412"/>
        <v>8931.4599999999991</v>
      </c>
      <c r="G8228" s="81"/>
      <c r="H8228" s="81"/>
      <c r="I8228" s="81"/>
      <c r="J8228" s="81"/>
      <c r="K8228" s="81"/>
      <c r="L8228" s="81"/>
      <c r="M8228" s="81"/>
      <c r="N8228" s="81"/>
    </row>
    <row r="8229" spans="1:14" ht="14.25" customHeight="1" x14ac:dyDescent="0.25">
      <c r="A8229" s="122"/>
      <c r="B8229" s="127"/>
      <c r="C8229" s="101"/>
      <c r="D8229" s="101"/>
      <c r="E8229" s="107"/>
      <c r="F8229" s="106"/>
      <c r="G8229" s="81"/>
      <c r="H8229" s="81"/>
      <c r="I8229" s="81"/>
      <c r="J8229" s="81"/>
      <c r="K8229" s="81"/>
      <c r="L8229" s="81"/>
      <c r="M8229" s="81"/>
      <c r="N8229" s="81"/>
    </row>
    <row r="8230" spans="1:14" ht="14.25" customHeight="1" x14ac:dyDescent="0.25">
      <c r="A8230" s="122"/>
      <c r="B8230" s="127"/>
      <c r="C8230" s="101"/>
      <c r="D8230" s="101"/>
      <c r="E8230" s="125"/>
      <c r="F8230" s="106"/>
      <c r="G8230" s="81"/>
      <c r="H8230" s="81"/>
      <c r="I8230" s="81"/>
      <c r="J8230" s="81"/>
      <c r="K8230" s="81"/>
      <c r="L8230" s="81"/>
      <c r="M8230" s="81"/>
      <c r="N8230" s="81"/>
    </row>
    <row r="8231" spans="1:14" ht="14.25" customHeight="1" x14ac:dyDescent="0.25">
      <c r="A8231" s="97" t="s">
        <v>548</v>
      </c>
      <c r="B8231" s="128"/>
      <c r="C8231" s="110"/>
      <c r="D8231" s="110"/>
      <c r="E8231" s="110"/>
      <c r="F8231" s="112">
        <f>SUM(F8227:F8230)</f>
        <v>14488.419999999998</v>
      </c>
      <c r="G8231" s="81"/>
      <c r="H8231" s="81"/>
      <c r="I8231" s="81"/>
      <c r="J8231" s="81"/>
      <c r="K8231" s="81"/>
      <c r="L8231" s="81"/>
      <c r="M8231" s="81"/>
      <c r="N8231" s="81"/>
    </row>
    <row r="8232" spans="1:14" ht="14.25" customHeight="1" x14ac:dyDescent="0.25">
      <c r="A8232" s="96"/>
      <c r="B8232" s="129"/>
      <c r="C8232" s="118"/>
      <c r="D8232" s="118"/>
      <c r="E8232" s="118"/>
      <c r="F8232" s="118"/>
      <c r="G8232" s="81"/>
      <c r="H8232" s="81"/>
      <c r="I8232" s="81"/>
      <c r="J8232" s="81"/>
      <c r="K8232" s="81"/>
      <c r="L8232" s="81"/>
      <c r="M8232" s="81"/>
      <c r="N8232" s="81"/>
    </row>
    <row r="8233" spans="1:14" ht="14.25" customHeight="1" x14ac:dyDescent="0.25">
      <c r="A8233" s="95" t="s">
        <v>583</v>
      </c>
      <c r="B8233" s="96"/>
      <c r="C8233" s="92"/>
      <c r="D8233" s="92"/>
      <c r="E8233" s="92" t="s">
        <v>584</v>
      </c>
      <c r="F8233" s="92"/>
      <c r="G8233" s="81"/>
      <c r="H8233" s="81"/>
      <c r="I8233" s="81"/>
      <c r="J8233" s="81"/>
      <c r="K8233" s="81"/>
      <c r="L8233" s="81"/>
      <c r="M8233" s="81"/>
      <c r="N8233" s="81"/>
    </row>
    <row r="8234" spans="1:14" ht="14.25" customHeight="1" x14ac:dyDescent="0.25">
      <c r="A8234" s="97" t="s">
        <v>563</v>
      </c>
      <c r="B8234" s="98" t="s">
        <v>564</v>
      </c>
      <c r="C8234" s="98" t="s">
        <v>585</v>
      </c>
      <c r="D8234" s="98" t="s">
        <v>586</v>
      </c>
      <c r="E8234" s="120" t="s">
        <v>587</v>
      </c>
      <c r="F8234" s="98" t="s">
        <v>568</v>
      </c>
      <c r="G8234" s="81"/>
      <c r="H8234" s="81"/>
      <c r="I8234" s="81"/>
      <c r="J8234" s="81"/>
      <c r="K8234" s="81"/>
      <c r="L8234" s="81"/>
      <c r="M8234" s="81"/>
      <c r="N8234" s="81"/>
    </row>
    <row r="8235" spans="1:14" ht="14.25" customHeight="1" x14ac:dyDescent="0.25">
      <c r="A8235" s="103"/>
      <c r="B8235" s="100"/>
      <c r="C8235" s="101"/>
      <c r="D8235" s="140"/>
      <c r="E8235" s="107"/>
      <c r="F8235" s="109">
        <f>+C8235*D8235*E8235</f>
        <v>0</v>
      </c>
      <c r="G8235" s="81"/>
      <c r="H8235" s="81"/>
      <c r="I8235" s="81"/>
      <c r="J8235" s="81"/>
      <c r="K8235" s="81"/>
      <c r="L8235" s="81"/>
      <c r="M8235" s="81"/>
      <c r="N8235" s="81"/>
    </row>
    <row r="8236" spans="1:14" ht="14.25" customHeight="1" x14ac:dyDescent="0.25">
      <c r="A8236" s="103"/>
      <c r="B8236" s="100"/>
      <c r="C8236" s="107"/>
      <c r="D8236" s="107"/>
      <c r="E8236" s="108"/>
      <c r="F8236" s="109"/>
      <c r="G8236" s="81"/>
      <c r="H8236" s="81"/>
      <c r="I8236" s="81"/>
      <c r="J8236" s="81"/>
      <c r="K8236" s="81"/>
      <c r="L8236" s="81"/>
      <c r="M8236" s="81"/>
      <c r="N8236" s="81"/>
    </row>
    <row r="8237" spans="1:14" ht="14.25" customHeight="1" x14ac:dyDescent="0.25">
      <c r="A8237" s="97" t="s">
        <v>548</v>
      </c>
      <c r="B8237" s="98"/>
      <c r="C8237" s="110"/>
      <c r="D8237" s="110"/>
      <c r="E8237" s="111"/>
      <c r="F8237" s="112">
        <f>SUM(F8235:F8236)</f>
        <v>0</v>
      </c>
      <c r="G8237" s="81"/>
      <c r="H8237" s="81"/>
      <c r="I8237" s="81"/>
      <c r="J8237" s="81"/>
      <c r="K8237" s="81"/>
      <c r="L8237" s="81"/>
      <c r="M8237" s="81"/>
      <c r="N8237" s="81"/>
    </row>
    <row r="8238" spans="1:14" ht="14.25" customHeight="1" x14ac:dyDescent="0.25">
      <c r="A8238" s="88"/>
      <c r="B8238" s="89"/>
      <c r="C8238" s="113"/>
      <c r="D8238" s="113"/>
      <c r="E8238" s="114"/>
      <c r="F8238" s="113"/>
      <c r="G8238" s="81"/>
      <c r="H8238" s="81"/>
      <c r="I8238" s="81"/>
      <c r="J8238" s="81"/>
      <c r="K8238" s="81"/>
      <c r="L8238" s="81"/>
      <c r="M8238" s="81"/>
      <c r="N8238" s="81"/>
    </row>
    <row r="8239" spans="1:14" ht="27" customHeight="1" x14ac:dyDescent="0.25">
      <c r="A8239" s="88"/>
      <c r="B8239" s="89"/>
      <c r="C8239" s="113"/>
      <c r="D8239" s="113"/>
      <c r="E8239" s="114"/>
      <c r="F8239" s="113"/>
      <c r="G8239" s="81"/>
      <c r="H8239" s="81"/>
      <c r="I8239" s="81"/>
      <c r="J8239" s="81"/>
      <c r="K8239" s="81"/>
      <c r="L8239" s="81"/>
      <c r="M8239" s="81"/>
      <c r="N8239" s="81"/>
    </row>
    <row r="8240" spans="1:14" ht="14.25" customHeight="1" x14ac:dyDescent="0.25">
      <c r="A8240" s="612" t="s">
        <v>588</v>
      </c>
      <c r="B8240" s="608"/>
      <c r="C8240" s="608"/>
      <c r="D8240" s="608"/>
      <c r="E8240" s="609"/>
      <c r="F8240" s="131">
        <f>ROUND(F8215+F8223+F8231+F8237,0)</f>
        <v>59700</v>
      </c>
      <c r="G8240" s="81"/>
      <c r="H8240" s="81"/>
      <c r="I8240" s="81"/>
      <c r="J8240" s="81"/>
      <c r="K8240" s="81"/>
      <c r="L8240" s="81"/>
      <c r="M8240" s="81"/>
      <c r="N8240" s="81"/>
    </row>
    <row r="8241" spans="1:14" ht="14.25" customHeight="1" x14ac:dyDescent="0.25">
      <c r="A8241" s="612" t="s">
        <v>589</v>
      </c>
      <c r="B8241" s="608"/>
      <c r="C8241" s="608"/>
      <c r="D8241" s="608"/>
      <c r="E8241" s="609"/>
      <c r="F8241" s="132"/>
      <c r="G8241" s="81"/>
      <c r="H8241" s="81"/>
      <c r="I8241" s="81"/>
      <c r="J8241" s="81"/>
      <c r="K8241" s="81"/>
      <c r="L8241" s="81"/>
      <c r="M8241" s="81"/>
      <c r="N8241" s="81"/>
    </row>
    <row r="8242" spans="1:14" ht="14.25" customHeight="1" x14ac:dyDescent="0.25">
      <c r="A8242" s="612" t="s">
        <v>556</v>
      </c>
      <c r="B8242" s="608"/>
      <c r="C8242" s="608"/>
      <c r="D8242" s="608"/>
      <c r="E8242" s="609"/>
      <c r="F8242" s="133"/>
      <c r="G8242" s="81"/>
      <c r="H8242" s="81"/>
      <c r="I8242" s="81"/>
      <c r="J8242" s="81"/>
      <c r="K8242" s="81"/>
      <c r="L8242" s="81"/>
      <c r="M8242" s="81"/>
      <c r="N8242" s="81"/>
    </row>
    <row r="8243" spans="1:14" ht="14.25" customHeight="1" x14ac:dyDescent="0.25">
      <c r="A8243" s="134"/>
      <c r="B8243" s="135"/>
      <c r="C8243" s="135"/>
      <c r="D8243" s="135"/>
      <c r="E8243" s="135"/>
      <c r="F8243" s="136"/>
      <c r="G8243" s="81"/>
      <c r="H8243" s="81"/>
      <c r="I8243" s="81"/>
      <c r="J8243" s="81"/>
      <c r="K8243" s="81"/>
      <c r="L8243" s="81"/>
      <c r="M8243" s="81"/>
      <c r="N8243" s="81"/>
    </row>
    <row r="8244" spans="1:14" ht="14.25" customHeight="1" x14ac:dyDescent="0.25">
      <c r="A8244" s="81"/>
      <c r="B8244" s="81"/>
      <c r="C8244" s="137"/>
      <c r="D8244" s="81"/>
      <c r="E8244" s="81"/>
      <c r="F8244" s="81"/>
      <c r="G8244" s="81"/>
      <c r="H8244" s="81"/>
      <c r="I8244" s="81"/>
      <c r="J8244" s="81"/>
      <c r="K8244" s="81"/>
      <c r="L8244" s="81"/>
      <c r="M8244" s="81"/>
      <c r="N8244" s="81"/>
    </row>
    <row r="8245" spans="1:14" ht="14.25" customHeight="1" x14ac:dyDescent="0.25">
      <c r="A8245" s="81"/>
      <c r="B8245" s="81"/>
      <c r="C8245" s="137"/>
      <c r="D8245" s="81"/>
      <c r="E8245" s="81"/>
      <c r="F8245" s="81"/>
      <c r="G8245" s="81"/>
      <c r="H8245" s="81"/>
      <c r="I8245" s="81"/>
      <c r="J8245" s="156"/>
      <c r="K8245" s="81"/>
      <c r="L8245" s="81"/>
      <c r="M8245" s="81"/>
      <c r="N8245" s="81"/>
    </row>
    <row r="8246" spans="1:14" ht="14.25" customHeight="1" x14ac:dyDescent="0.25">
      <c r="A8246" s="81"/>
      <c r="B8246" s="81"/>
      <c r="C8246" s="137"/>
      <c r="D8246" s="81"/>
      <c r="E8246" s="81"/>
      <c r="F8246" s="81"/>
      <c r="G8246" s="81"/>
      <c r="H8246" s="81"/>
      <c r="I8246" s="81"/>
      <c r="J8246" s="156"/>
      <c r="K8246" s="81"/>
      <c r="L8246" s="81"/>
      <c r="M8246" s="81"/>
      <c r="N8246" s="81"/>
    </row>
    <row r="8247" spans="1:14" ht="14.25" customHeight="1" x14ac:dyDescent="0.25">
      <c r="A8247" s="81"/>
      <c r="B8247" s="81"/>
      <c r="C8247" s="137"/>
      <c r="D8247" s="81"/>
      <c r="E8247" s="81"/>
      <c r="F8247" s="81"/>
      <c r="G8247" s="81"/>
      <c r="H8247" s="81"/>
      <c r="I8247" s="81"/>
      <c r="J8247" s="156"/>
      <c r="K8247" s="81"/>
      <c r="L8247" s="81"/>
      <c r="M8247" s="81"/>
      <c r="N8247" s="81"/>
    </row>
    <row r="8248" spans="1:14" ht="14.25" customHeight="1" x14ac:dyDescent="0.25">
      <c r="A8248" s="134"/>
      <c r="B8248" s="135"/>
      <c r="C8248" s="135"/>
      <c r="D8248" s="135"/>
      <c r="E8248" s="135"/>
      <c r="F8248" s="136"/>
      <c r="G8248" s="81"/>
      <c r="H8248" s="81"/>
      <c r="I8248" s="81"/>
      <c r="J8248" s="81"/>
      <c r="K8248" s="81"/>
      <c r="L8248" s="81"/>
      <c r="M8248" s="81"/>
      <c r="N8248" s="81"/>
    </row>
    <row r="8249" spans="1:14" ht="14.25" customHeight="1" x14ac:dyDescent="0.25">
      <c r="A8249" s="134"/>
      <c r="B8249" s="135"/>
      <c r="C8249" s="135"/>
      <c r="D8249" s="135"/>
      <c r="E8249" s="135"/>
      <c r="F8249" s="136"/>
      <c r="G8249" s="81"/>
      <c r="H8249" s="81"/>
      <c r="I8249" s="81"/>
      <c r="J8249" s="81"/>
      <c r="K8249" s="81"/>
      <c r="L8249" s="81"/>
      <c r="M8249" s="81"/>
      <c r="N8249" s="81"/>
    </row>
    <row r="8250" spans="1:14" ht="14.25" customHeight="1" x14ac:dyDescent="0.25">
      <c r="A8250" s="134"/>
      <c r="B8250" s="135"/>
      <c r="C8250" s="135"/>
      <c r="D8250" s="135"/>
      <c r="E8250" s="135"/>
      <c r="F8250" s="136"/>
      <c r="G8250" s="81"/>
      <c r="H8250" s="81"/>
      <c r="I8250" s="81"/>
      <c r="J8250" s="81"/>
      <c r="K8250" s="81"/>
      <c r="L8250" s="81"/>
      <c r="M8250" s="81"/>
      <c r="N8250" s="81"/>
    </row>
    <row r="8251" spans="1:14" ht="14.25" customHeight="1" thickBot="1" x14ac:dyDescent="0.3">
      <c r="A8251" s="81"/>
      <c r="B8251" s="81"/>
      <c r="C8251" s="81"/>
      <c r="D8251" s="81"/>
      <c r="E8251" s="81"/>
      <c r="F8251" s="81"/>
      <c r="G8251" s="81"/>
      <c r="H8251" s="81"/>
      <c r="I8251" s="81"/>
      <c r="J8251" s="81"/>
      <c r="K8251" s="81"/>
      <c r="L8251" s="81"/>
      <c r="M8251" s="81"/>
      <c r="N8251" s="81"/>
    </row>
    <row r="8252" spans="1:14" ht="14.25" customHeight="1" x14ac:dyDescent="0.25">
      <c r="A8252" s="83"/>
      <c r="B8252" s="84"/>
      <c r="C8252" s="85"/>
      <c r="D8252" s="86"/>
      <c r="E8252" s="86"/>
      <c r="F8252" s="87"/>
      <c r="G8252" s="81"/>
      <c r="H8252" s="81"/>
      <c r="I8252" s="81"/>
      <c r="J8252" s="81"/>
      <c r="K8252" s="81"/>
      <c r="L8252" s="81"/>
      <c r="M8252" s="81"/>
      <c r="N8252" s="81"/>
    </row>
    <row r="8253" spans="1:14" ht="14.25" customHeight="1" x14ac:dyDescent="0.25">
      <c r="A8253" s="599"/>
      <c r="B8253" s="600"/>
      <c r="C8253" s="600"/>
      <c r="D8253" s="600"/>
      <c r="E8253" s="600"/>
      <c r="F8253" s="601"/>
      <c r="G8253" s="81"/>
      <c r="H8253" s="81"/>
      <c r="I8253" s="81"/>
      <c r="J8253" s="81"/>
      <c r="K8253" s="81"/>
      <c r="L8253" s="81"/>
      <c r="M8253" s="81"/>
      <c r="N8253" s="81"/>
    </row>
    <row r="8254" spans="1:14" ht="14.25" customHeight="1" x14ac:dyDescent="0.25">
      <c r="A8254" s="602" t="s">
        <v>561</v>
      </c>
      <c r="B8254" s="600"/>
      <c r="C8254" s="600"/>
      <c r="D8254" s="600"/>
      <c r="E8254" s="600"/>
      <c r="F8254" s="601"/>
      <c r="G8254" s="81"/>
      <c r="H8254" s="81"/>
      <c r="I8254" s="81"/>
      <c r="J8254" s="81"/>
      <c r="K8254" s="81"/>
      <c r="L8254" s="81"/>
      <c r="M8254" s="81"/>
      <c r="N8254" s="81"/>
    </row>
    <row r="8255" spans="1:14" ht="14.25" customHeight="1" thickBot="1" x14ac:dyDescent="0.3">
      <c r="A8255" s="603"/>
      <c r="B8255" s="604"/>
      <c r="C8255" s="604"/>
      <c r="D8255" s="604"/>
      <c r="E8255" s="604"/>
      <c r="F8255" s="605"/>
      <c r="G8255" s="81"/>
      <c r="H8255" s="81"/>
      <c r="I8255" s="81"/>
      <c r="J8255" s="81"/>
      <c r="K8255" s="81"/>
      <c r="L8255" s="81"/>
      <c r="M8255" s="81"/>
      <c r="N8255" s="81"/>
    </row>
    <row r="8256" spans="1:14" ht="14.25" customHeight="1" x14ac:dyDescent="0.25">
      <c r="A8256" s="88"/>
      <c r="B8256" s="88"/>
      <c r="C8256" s="89"/>
      <c r="D8256" s="89"/>
      <c r="E8256" s="89"/>
      <c r="F8256" s="89"/>
      <c r="G8256" s="81"/>
      <c r="H8256" s="81"/>
      <c r="I8256" s="81"/>
      <c r="J8256" s="81"/>
      <c r="K8256" s="81"/>
      <c r="L8256" s="81"/>
      <c r="M8256" s="81"/>
      <c r="N8256" s="81"/>
    </row>
    <row r="8257" spans="1:14" ht="14.25" customHeight="1" x14ac:dyDescent="0.25">
      <c r="A8257" s="90" t="s">
        <v>47</v>
      </c>
      <c r="B8257" s="613" t="s">
        <v>387</v>
      </c>
      <c r="C8257" s="600"/>
      <c r="D8257" s="600"/>
      <c r="E8257" s="600"/>
      <c r="F8257" s="600"/>
      <c r="G8257" s="81"/>
      <c r="H8257" s="81"/>
      <c r="I8257" s="81"/>
      <c r="J8257" s="81"/>
      <c r="K8257" s="81"/>
      <c r="L8257" s="81"/>
      <c r="M8257" s="81"/>
      <c r="N8257" s="81"/>
    </row>
    <row r="8258" spans="1:14" ht="14.25" customHeight="1" x14ac:dyDescent="0.25">
      <c r="A8258" s="91"/>
      <c r="B8258" s="91"/>
      <c r="C8258" s="91"/>
      <c r="D8258" s="91"/>
      <c r="E8258" s="91"/>
      <c r="F8258" s="91"/>
      <c r="G8258" s="81"/>
      <c r="H8258" s="81"/>
      <c r="I8258" s="81"/>
      <c r="J8258" s="81"/>
      <c r="K8258" s="81"/>
      <c r="L8258" s="81"/>
      <c r="M8258" s="81"/>
      <c r="N8258" s="81"/>
    </row>
    <row r="8259" spans="1:14" ht="14.25" customHeight="1" x14ac:dyDescent="0.25">
      <c r="A8259" s="88" t="s">
        <v>49</v>
      </c>
      <c r="B8259" s="92" t="s">
        <v>388</v>
      </c>
      <c r="C8259" s="89"/>
      <c r="D8259" s="89"/>
      <c r="E8259" s="89"/>
      <c r="F8259" s="93"/>
      <c r="G8259" s="81"/>
      <c r="H8259" s="81"/>
      <c r="I8259" s="81"/>
      <c r="J8259" s="81"/>
      <c r="K8259" s="81"/>
      <c r="L8259" s="81"/>
      <c r="M8259" s="81"/>
      <c r="N8259" s="81"/>
    </row>
    <row r="8260" spans="1:14" ht="14.25" customHeight="1" x14ac:dyDescent="0.25">
      <c r="A8260" s="88"/>
      <c r="B8260" s="94"/>
      <c r="C8260" s="89"/>
      <c r="D8260" s="89"/>
      <c r="E8260" s="89"/>
      <c r="F8260" s="93"/>
      <c r="G8260" s="81"/>
      <c r="H8260" s="81"/>
      <c r="I8260" s="81"/>
      <c r="J8260" s="81"/>
      <c r="K8260" s="81"/>
      <c r="L8260" s="81"/>
      <c r="M8260" s="81"/>
      <c r="N8260" s="81"/>
    </row>
    <row r="8261" spans="1:14" ht="14.25" customHeight="1" x14ac:dyDescent="0.25">
      <c r="A8261" s="95" t="s">
        <v>562</v>
      </c>
      <c r="B8261" s="96"/>
      <c r="C8261" s="92"/>
      <c r="D8261" s="92"/>
      <c r="E8261" s="92"/>
      <c r="F8261" s="92"/>
      <c r="G8261" s="81"/>
      <c r="H8261" s="81"/>
      <c r="I8261" s="81"/>
      <c r="J8261" s="81"/>
      <c r="K8261" s="81"/>
      <c r="L8261" s="81"/>
      <c r="M8261" s="81"/>
      <c r="N8261" s="81"/>
    </row>
    <row r="8262" spans="1:14" ht="14.25" customHeight="1" x14ac:dyDescent="0.25">
      <c r="A8262" s="97" t="s">
        <v>563</v>
      </c>
      <c r="B8262" s="98" t="s">
        <v>564</v>
      </c>
      <c r="C8262" s="98" t="s">
        <v>565</v>
      </c>
      <c r="D8262" s="98" t="s">
        <v>566</v>
      </c>
      <c r="E8262" s="98" t="s">
        <v>567</v>
      </c>
      <c r="F8262" s="98" t="s">
        <v>568</v>
      </c>
      <c r="G8262" s="81"/>
      <c r="H8262" s="81"/>
      <c r="I8262" s="81"/>
      <c r="J8262" s="81"/>
      <c r="K8262" s="81"/>
      <c r="L8262" s="81"/>
      <c r="M8262" s="81"/>
      <c r="N8262" s="81"/>
    </row>
    <row r="8263" spans="1:14" ht="14.25" customHeight="1" x14ac:dyDescent="0.25">
      <c r="A8263" s="99" t="s">
        <v>823</v>
      </c>
      <c r="B8263" s="100" t="s">
        <v>388</v>
      </c>
      <c r="C8263" s="101">
        <v>9612641</v>
      </c>
      <c r="D8263" s="104">
        <v>1</v>
      </c>
      <c r="E8263" s="102"/>
      <c r="F8263" s="101">
        <f>C8263*(D8263+(D8263*E8263))</f>
        <v>9612641</v>
      </c>
      <c r="G8263" s="81"/>
      <c r="H8263" s="81"/>
      <c r="I8263" s="81"/>
      <c r="J8263" s="81"/>
      <c r="K8263" s="81"/>
      <c r="L8263" s="81"/>
      <c r="M8263" s="81"/>
      <c r="N8263" s="81"/>
    </row>
    <row r="8264" spans="1:14" ht="14.25" customHeight="1" x14ac:dyDescent="0.25">
      <c r="A8264" s="99"/>
      <c r="B8264" s="100"/>
      <c r="C8264" s="101"/>
      <c r="D8264" s="104"/>
      <c r="E8264" s="102"/>
      <c r="F8264" s="101"/>
      <c r="G8264" s="81"/>
      <c r="H8264" s="81"/>
      <c r="I8264" s="81"/>
      <c r="J8264" s="81"/>
      <c r="K8264" s="81"/>
      <c r="L8264" s="81"/>
      <c r="M8264" s="81"/>
      <c r="N8264" s="81"/>
    </row>
    <row r="8265" spans="1:14" ht="14.25" customHeight="1" x14ac:dyDescent="0.25">
      <c r="A8265" s="103"/>
      <c r="B8265" s="100"/>
      <c r="C8265" s="101"/>
      <c r="D8265" s="104"/>
      <c r="E8265" s="102"/>
      <c r="F8265" s="101"/>
      <c r="G8265" s="81"/>
      <c r="H8265" s="81"/>
      <c r="I8265" s="81"/>
      <c r="J8265" s="81"/>
      <c r="K8265" s="81"/>
      <c r="L8265" s="81"/>
      <c r="M8265" s="81"/>
      <c r="N8265" s="81"/>
    </row>
    <row r="8266" spans="1:14" ht="14.25" customHeight="1" x14ac:dyDescent="0.25">
      <c r="A8266" s="99"/>
      <c r="B8266" s="100"/>
      <c r="C8266" s="101"/>
      <c r="D8266" s="104"/>
      <c r="E8266" s="102"/>
      <c r="F8266" s="101"/>
      <c r="G8266" s="81"/>
      <c r="H8266" s="81"/>
      <c r="I8266" s="81"/>
      <c r="J8266" s="81"/>
      <c r="K8266" s="81"/>
      <c r="L8266" s="81"/>
      <c r="M8266" s="81"/>
      <c r="N8266" s="81"/>
    </row>
    <row r="8267" spans="1:14" ht="14.25" customHeight="1" x14ac:dyDescent="0.25">
      <c r="A8267" s="99"/>
      <c r="B8267" s="100"/>
      <c r="C8267" s="106"/>
      <c r="D8267" s="104"/>
      <c r="E8267" s="102"/>
      <c r="F8267" s="101"/>
      <c r="G8267" s="81"/>
      <c r="H8267" s="81"/>
      <c r="I8267" s="81"/>
      <c r="J8267" s="81"/>
      <c r="K8267" s="81"/>
      <c r="L8267" s="81"/>
      <c r="M8267" s="81"/>
      <c r="N8267" s="81"/>
    </row>
    <row r="8268" spans="1:14" ht="14.25" customHeight="1" x14ac:dyDescent="0.25">
      <c r="A8268" s="103"/>
      <c r="B8268" s="100"/>
      <c r="C8268" s="101"/>
      <c r="D8268" s="105"/>
      <c r="E8268" s="102"/>
      <c r="F8268" s="101"/>
      <c r="G8268" s="81"/>
      <c r="H8268" s="81"/>
      <c r="I8268" s="81"/>
      <c r="J8268" s="81"/>
      <c r="K8268" s="81"/>
      <c r="L8268" s="81"/>
      <c r="M8268" s="81"/>
      <c r="N8268" s="81"/>
    </row>
    <row r="8269" spans="1:14" ht="14.25" customHeight="1" x14ac:dyDescent="0.25">
      <c r="A8269" s="99"/>
      <c r="B8269" s="100"/>
      <c r="C8269" s="106"/>
      <c r="D8269" s="107"/>
      <c r="E8269" s="108"/>
      <c r="F8269" s="106"/>
      <c r="G8269" s="81"/>
      <c r="H8269" s="81"/>
      <c r="I8269" s="81"/>
      <c r="J8269" s="81"/>
      <c r="K8269" s="81"/>
      <c r="L8269" s="81"/>
      <c r="M8269" s="81"/>
      <c r="N8269" s="81"/>
    </row>
    <row r="8270" spans="1:14" ht="14.25" customHeight="1" x14ac:dyDescent="0.25">
      <c r="A8270" s="97" t="s">
        <v>548</v>
      </c>
      <c r="B8270" s="97"/>
      <c r="C8270" s="109"/>
      <c r="D8270" s="110"/>
      <c r="E8270" s="111"/>
      <c r="F8270" s="112">
        <f>SUM(F8263:F8269)</f>
        <v>9612641</v>
      </c>
      <c r="G8270" s="81"/>
      <c r="H8270" s="81"/>
      <c r="I8270" s="81"/>
      <c r="J8270" s="81"/>
      <c r="K8270" s="81"/>
      <c r="L8270" s="81"/>
      <c r="M8270" s="81"/>
      <c r="N8270" s="81"/>
    </row>
    <row r="8271" spans="1:14" ht="14.25" customHeight="1" x14ac:dyDescent="0.25">
      <c r="A8271" s="88"/>
      <c r="B8271" s="88"/>
      <c r="C8271" s="113"/>
      <c r="D8271" s="113"/>
      <c r="E8271" s="114"/>
      <c r="F8271" s="113"/>
      <c r="G8271" s="81"/>
      <c r="H8271" s="81"/>
      <c r="I8271" s="81"/>
      <c r="J8271" s="81"/>
      <c r="K8271" s="81"/>
      <c r="L8271" s="81"/>
      <c r="M8271" s="81"/>
      <c r="N8271" s="81"/>
    </row>
    <row r="8272" spans="1:14" ht="14.25" customHeight="1" x14ac:dyDescent="0.25">
      <c r="A8272" s="96" t="s">
        <v>573</v>
      </c>
      <c r="B8272" s="96"/>
      <c r="C8272" s="92"/>
      <c r="D8272" s="92"/>
      <c r="E8272" s="92"/>
      <c r="F8272" s="92"/>
      <c r="G8272" s="81"/>
      <c r="H8272" s="81"/>
      <c r="I8272" s="81"/>
      <c r="J8272" s="81"/>
      <c r="K8272" s="81"/>
      <c r="L8272" s="81"/>
      <c r="M8272" s="81"/>
      <c r="N8272" s="81"/>
    </row>
    <row r="8273" spans="1:14" ht="14.25" customHeight="1" x14ac:dyDescent="0.25">
      <c r="A8273" s="611" t="s">
        <v>563</v>
      </c>
      <c r="B8273" s="608"/>
      <c r="C8273" s="609"/>
      <c r="D8273" s="98" t="s">
        <v>574</v>
      </c>
      <c r="E8273" s="98" t="s">
        <v>575</v>
      </c>
      <c r="F8273" s="98" t="s">
        <v>568</v>
      </c>
      <c r="G8273" s="81"/>
      <c r="H8273" s="81"/>
      <c r="I8273" s="81"/>
      <c r="J8273" s="81"/>
      <c r="K8273" s="81"/>
      <c r="L8273" s="81"/>
      <c r="M8273" s="81"/>
      <c r="N8273" s="81"/>
    </row>
    <row r="8274" spans="1:14" ht="14.25" customHeight="1" x14ac:dyDescent="0.25">
      <c r="A8274" s="607" t="s">
        <v>577</v>
      </c>
      <c r="B8274" s="608"/>
      <c r="C8274" s="609"/>
      <c r="D8274" s="116"/>
      <c r="E8274" s="107"/>
      <c r="F8274" s="106">
        <f>+F8286*5%</f>
        <v>48294.733333333337</v>
      </c>
      <c r="G8274" s="81"/>
      <c r="H8274" s="81"/>
      <c r="I8274" s="81"/>
      <c r="J8274" s="81"/>
      <c r="K8274" s="81"/>
      <c r="L8274" s="81"/>
      <c r="M8274" s="81"/>
      <c r="N8274" s="81"/>
    </row>
    <row r="8275" spans="1:14" ht="14.25" customHeight="1" x14ac:dyDescent="0.25">
      <c r="A8275" s="607"/>
      <c r="B8275" s="608"/>
      <c r="C8275" s="609"/>
      <c r="D8275" s="142"/>
      <c r="E8275" s="107"/>
      <c r="F8275" s="106"/>
      <c r="G8275" s="81"/>
      <c r="H8275" s="81"/>
      <c r="I8275" s="81"/>
      <c r="J8275" s="81"/>
      <c r="K8275" s="81"/>
      <c r="L8275" s="81"/>
      <c r="M8275" s="81"/>
      <c r="N8275" s="81"/>
    </row>
    <row r="8276" spans="1:14" ht="14.25" customHeight="1" x14ac:dyDescent="0.25">
      <c r="A8276" s="607"/>
      <c r="B8276" s="608"/>
      <c r="C8276" s="609"/>
      <c r="D8276" s="142"/>
      <c r="E8276" s="107"/>
      <c r="F8276" s="106"/>
      <c r="G8276" s="81"/>
      <c r="H8276" s="81"/>
      <c r="I8276" s="81"/>
      <c r="J8276" s="81"/>
      <c r="K8276" s="81"/>
      <c r="L8276" s="81"/>
      <c r="M8276" s="81"/>
      <c r="N8276" s="81"/>
    </row>
    <row r="8277" spans="1:14" ht="14.25" customHeight="1" x14ac:dyDescent="0.25">
      <c r="A8277" s="610"/>
      <c r="B8277" s="608"/>
      <c r="C8277" s="609"/>
      <c r="D8277" s="115"/>
      <c r="E8277" s="107"/>
      <c r="F8277" s="106"/>
      <c r="G8277" s="81"/>
      <c r="H8277" s="117"/>
      <c r="I8277" s="81"/>
      <c r="J8277" s="81"/>
      <c r="K8277" s="81"/>
      <c r="L8277" s="81"/>
      <c r="M8277" s="81"/>
      <c r="N8277" s="81"/>
    </row>
    <row r="8278" spans="1:14" ht="14.25" customHeight="1" x14ac:dyDescent="0.25">
      <c r="A8278" s="611" t="s">
        <v>548</v>
      </c>
      <c r="B8278" s="608"/>
      <c r="C8278" s="609"/>
      <c r="D8278" s="110"/>
      <c r="E8278" s="110"/>
      <c r="F8278" s="112">
        <f>SUM(F8274:F8276)</f>
        <v>48294.733333333337</v>
      </c>
      <c r="G8278" s="81"/>
      <c r="H8278" s="81"/>
      <c r="I8278" s="81"/>
      <c r="J8278" s="81"/>
      <c r="K8278" s="81"/>
      <c r="L8278" s="81"/>
      <c r="M8278" s="81"/>
      <c r="N8278" s="81"/>
    </row>
    <row r="8279" spans="1:14" ht="14.25" customHeight="1" x14ac:dyDescent="0.25">
      <c r="A8279" s="88"/>
      <c r="B8279" s="88"/>
      <c r="C8279" s="89"/>
      <c r="D8279" s="113"/>
      <c r="E8279" s="113"/>
      <c r="F8279" s="113"/>
      <c r="G8279" s="81"/>
      <c r="H8279" s="81"/>
      <c r="I8279" s="81"/>
      <c r="J8279" s="81"/>
      <c r="K8279" s="81"/>
      <c r="L8279" s="81"/>
      <c r="M8279" s="81"/>
      <c r="N8279" s="81"/>
    </row>
    <row r="8280" spans="1:14" ht="14.25" customHeight="1" x14ac:dyDescent="0.25">
      <c r="A8280" s="96" t="s">
        <v>578</v>
      </c>
      <c r="B8280" s="96"/>
      <c r="C8280" s="92"/>
      <c r="D8280" s="118"/>
      <c r="E8280" s="118"/>
      <c r="F8280" s="118"/>
      <c r="G8280" s="81"/>
      <c r="H8280" s="81"/>
      <c r="I8280" s="81"/>
      <c r="J8280" s="81"/>
      <c r="K8280" s="81"/>
      <c r="L8280" s="81"/>
      <c r="M8280" s="81"/>
      <c r="N8280" s="81"/>
    </row>
    <row r="8281" spans="1:14" ht="14.25" customHeight="1" x14ac:dyDescent="0.25">
      <c r="A8281" s="119" t="s">
        <v>563</v>
      </c>
      <c r="B8281" s="120" t="s">
        <v>579</v>
      </c>
      <c r="C8281" s="120" t="s">
        <v>580</v>
      </c>
      <c r="D8281" s="121" t="s">
        <v>581</v>
      </c>
      <c r="E8281" s="121" t="s">
        <v>575</v>
      </c>
      <c r="F8281" s="121" t="s">
        <v>568</v>
      </c>
      <c r="G8281" s="81"/>
      <c r="H8281" s="81"/>
      <c r="I8281" s="81"/>
      <c r="J8281" s="81"/>
      <c r="K8281" s="81"/>
      <c r="L8281" s="81"/>
      <c r="M8281" s="81"/>
      <c r="N8281" s="81"/>
    </row>
    <row r="8282" spans="1:14" ht="14.25" customHeight="1" x14ac:dyDescent="0.25">
      <c r="A8282" s="122" t="s">
        <v>593</v>
      </c>
      <c r="B8282" s="127">
        <v>1</v>
      </c>
      <c r="C8282" s="101">
        <v>32688</v>
      </c>
      <c r="D8282" s="101">
        <f t="shared" ref="D8282:D8283" si="413">+C8282*1.7</f>
        <v>55569.599999999999</v>
      </c>
      <c r="E8282" s="107">
        <v>0.15</v>
      </c>
      <c r="F8282" s="106">
        <f t="shared" ref="F8282:F8283" si="414">+B8282*(D8282)/E8282</f>
        <v>370464</v>
      </c>
      <c r="G8282" s="81"/>
      <c r="H8282" s="81"/>
      <c r="I8282" s="81"/>
      <c r="J8282" s="81"/>
      <c r="K8282" s="81"/>
      <c r="L8282" s="81"/>
      <c r="M8282" s="81"/>
      <c r="N8282" s="81"/>
    </row>
    <row r="8283" spans="1:14" ht="14.25" customHeight="1" x14ac:dyDescent="0.25">
      <c r="A8283" s="122" t="s">
        <v>594</v>
      </c>
      <c r="B8283" s="127">
        <v>1</v>
      </c>
      <c r="C8283" s="101">
        <v>52538</v>
      </c>
      <c r="D8283" s="101">
        <f t="shared" si="413"/>
        <v>89314.599999999991</v>
      </c>
      <c r="E8283" s="107">
        <f>E8282</f>
        <v>0.15</v>
      </c>
      <c r="F8283" s="106">
        <f t="shared" si="414"/>
        <v>595430.66666666663</v>
      </c>
      <c r="G8283" s="81"/>
      <c r="H8283" s="81"/>
      <c r="I8283" s="81"/>
      <c r="J8283" s="81"/>
      <c r="K8283" s="81"/>
      <c r="L8283" s="81"/>
      <c r="M8283" s="81"/>
      <c r="N8283" s="81"/>
    </row>
    <row r="8284" spans="1:14" ht="14.25" customHeight="1" x14ac:dyDescent="0.25">
      <c r="A8284" s="122"/>
      <c r="B8284" s="127"/>
      <c r="C8284" s="101"/>
      <c r="D8284" s="101"/>
      <c r="E8284" s="107"/>
      <c r="F8284" s="106"/>
      <c r="G8284" s="81"/>
      <c r="H8284" s="81"/>
      <c r="I8284" s="81"/>
      <c r="J8284" s="81"/>
      <c r="K8284" s="81"/>
      <c r="L8284" s="81"/>
      <c r="M8284" s="81"/>
      <c r="N8284" s="81"/>
    </row>
    <row r="8285" spans="1:14" ht="14.25" customHeight="1" x14ac:dyDescent="0.25">
      <c r="A8285" s="122"/>
      <c r="B8285" s="127"/>
      <c r="C8285" s="101"/>
      <c r="D8285" s="101"/>
      <c r="E8285" s="125"/>
      <c r="F8285" s="106"/>
      <c r="G8285" s="81"/>
      <c r="H8285" s="81"/>
      <c r="I8285" s="81"/>
      <c r="J8285" s="81"/>
      <c r="K8285" s="81"/>
      <c r="L8285" s="81"/>
      <c r="M8285" s="81"/>
      <c r="N8285" s="81"/>
    </row>
    <row r="8286" spans="1:14" ht="14.25" customHeight="1" x14ac:dyDescent="0.25">
      <c r="A8286" s="97" t="s">
        <v>548</v>
      </c>
      <c r="B8286" s="128"/>
      <c r="C8286" s="110"/>
      <c r="D8286" s="110"/>
      <c r="E8286" s="110"/>
      <c r="F8286" s="112">
        <f>SUM(F8282:F8285)</f>
        <v>965894.66666666663</v>
      </c>
      <c r="G8286" s="81"/>
      <c r="H8286" s="81"/>
      <c r="I8286" s="81"/>
      <c r="J8286" s="81"/>
      <c r="K8286" s="81"/>
      <c r="L8286" s="81"/>
      <c r="M8286" s="81"/>
      <c r="N8286" s="81"/>
    </row>
    <row r="8287" spans="1:14" ht="14.25" customHeight="1" x14ac:dyDescent="0.25">
      <c r="A8287" s="96"/>
      <c r="B8287" s="129"/>
      <c r="C8287" s="118"/>
      <c r="D8287" s="118"/>
      <c r="E8287" s="118"/>
      <c r="F8287" s="118"/>
      <c r="G8287" s="81"/>
      <c r="H8287" s="81"/>
      <c r="I8287" s="81"/>
      <c r="J8287" s="81"/>
      <c r="K8287" s="81"/>
      <c r="L8287" s="81"/>
      <c r="M8287" s="81"/>
      <c r="N8287" s="81"/>
    </row>
    <row r="8288" spans="1:14" ht="14.25" customHeight="1" x14ac:dyDescent="0.25">
      <c r="A8288" s="95" t="s">
        <v>583</v>
      </c>
      <c r="B8288" s="96"/>
      <c r="C8288" s="92"/>
      <c r="D8288" s="92"/>
      <c r="E8288" s="92" t="s">
        <v>584</v>
      </c>
      <c r="F8288" s="92"/>
      <c r="G8288" s="81"/>
      <c r="H8288" s="81"/>
      <c r="I8288" s="81"/>
      <c r="J8288" s="81"/>
      <c r="K8288" s="81"/>
      <c r="L8288" s="81"/>
      <c r="M8288" s="81"/>
      <c r="N8288" s="81"/>
    </row>
    <row r="8289" spans="1:14" ht="14.25" customHeight="1" x14ac:dyDescent="0.25">
      <c r="A8289" s="97" t="s">
        <v>563</v>
      </c>
      <c r="B8289" s="98" t="s">
        <v>564</v>
      </c>
      <c r="C8289" s="98" t="s">
        <v>585</v>
      </c>
      <c r="D8289" s="98" t="s">
        <v>586</v>
      </c>
      <c r="E8289" s="120" t="s">
        <v>587</v>
      </c>
      <c r="F8289" s="98" t="s">
        <v>568</v>
      </c>
      <c r="G8289" s="81"/>
      <c r="H8289" s="81"/>
      <c r="I8289" s="81"/>
      <c r="J8289" s="81"/>
      <c r="K8289" s="81"/>
      <c r="L8289" s="81"/>
      <c r="M8289" s="81"/>
      <c r="N8289" s="81"/>
    </row>
    <row r="8290" spans="1:14" ht="14.25" customHeight="1" x14ac:dyDescent="0.25">
      <c r="A8290" s="103"/>
      <c r="B8290" s="100"/>
      <c r="C8290" s="101"/>
      <c r="D8290" s="140"/>
      <c r="E8290" s="107"/>
      <c r="F8290" s="109">
        <f>+C8290*D8290*E8290</f>
        <v>0</v>
      </c>
      <c r="G8290" s="81"/>
      <c r="H8290" s="81"/>
      <c r="I8290" s="81"/>
      <c r="J8290" s="81"/>
      <c r="K8290" s="81"/>
      <c r="L8290" s="81"/>
      <c r="M8290" s="81"/>
      <c r="N8290" s="81"/>
    </row>
    <row r="8291" spans="1:14" ht="14.25" customHeight="1" x14ac:dyDescent="0.25">
      <c r="A8291" s="103"/>
      <c r="B8291" s="100"/>
      <c r="C8291" s="107"/>
      <c r="D8291" s="107"/>
      <c r="E8291" s="108"/>
      <c r="F8291" s="109"/>
      <c r="G8291" s="81"/>
      <c r="H8291" s="81"/>
      <c r="I8291" s="81"/>
      <c r="J8291" s="81"/>
      <c r="K8291" s="81"/>
      <c r="L8291" s="81"/>
      <c r="M8291" s="81"/>
      <c r="N8291" s="81"/>
    </row>
    <row r="8292" spans="1:14" ht="14.25" customHeight="1" x14ac:dyDescent="0.25">
      <c r="A8292" s="97" t="s">
        <v>548</v>
      </c>
      <c r="B8292" s="98"/>
      <c r="C8292" s="110"/>
      <c r="D8292" s="110"/>
      <c r="E8292" s="111"/>
      <c r="F8292" s="112">
        <f>SUM(F8290:F8291)</f>
        <v>0</v>
      </c>
      <c r="G8292" s="81"/>
      <c r="H8292" s="81"/>
      <c r="I8292" s="81"/>
      <c r="J8292" s="81"/>
      <c r="K8292" s="81"/>
      <c r="L8292" s="81"/>
      <c r="M8292" s="81"/>
      <c r="N8292" s="81"/>
    </row>
    <row r="8293" spans="1:14" ht="14.25" customHeight="1" x14ac:dyDescent="0.25">
      <c r="A8293" s="88"/>
      <c r="B8293" s="89"/>
      <c r="C8293" s="113"/>
      <c r="D8293" s="113"/>
      <c r="E8293" s="114"/>
      <c r="F8293" s="113"/>
      <c r="G8293" s="81"/>
      <c r="H8293" s="81"/>
      <c r="I8293" s="81"/>
      <c r="J8293" s="81"/>
      <c r="K8293" s="81"/>
      <c r="L8293" s="81"/>
      <c r="M8293" s="81"/>
      <c r="N8293" s="81"/>
    </row>
    <row r="8294" spans="1:14" ht="14.25" customHeight="1" x14ac:dyDescent="0.25">
      <c r="A8294" s="88"/>
      <c r="B8294" s="89"/>
      <c r="C8294" s="113"/>
      <c r="D8294" s="113"/>
      <c r="E8294" s="114"/>
      <c r="F8294" s="113"/>
      <c r="G8294" s="81"/>
      <c r="H8294" s="81"/>
      <c r="I8294" s="81"/>
      <c r="J8294" s="81"/>
      <c r="K8294" s="81"/>
      <c r="L8294" s="81"/>
      <c r="M8294" s="81"/>
      <c r="N8294" s="81"/>
    </row>
    <row r="8295" spans="1:14" ht="14.25" customHeight="1" x14ac:dyDescent="0.25">
      <c r="A8295" s="612" t="s">
        <v>588</v>
      </c>
      <c r="B8295" s="608"/>
      <c r="C8295" s="608"/>
      <c r="D8295" s="608"/>
      <c r="E8295" s="609"/>
      <c r="F8295" s="131">
        <f>ROUND(F8270+F8278+F8286+F8292,0)</f>
        <v>10626830</v>
      </c>
      <c r="G8295" s="81"/>
      <c r="H8295" s="81"/>
      <c r="I8295" s="81"/>
      <c r="J8295" s="81"/>
      <c r="K8295" s="81"/>
      <c r="L8295" s="81"/>
      <c r="M8295" s="81"/>
      <c r="N8295" s="81"/>
    </row>
    <row r="8296" spans="1:14" ht="14.25" customHeight="1" x14ac:dyDescent="0.25">
      <c r="A8296" s="612" t="s">
        <v>589</v>
      </c>
      <c r="B8296" s="608"/>
      <c r="C8296" s="608"/>
      <c r="D8296" s="608"/>
      <c r="E8296" s="609"/>
      <c r="F8296" s="132"/>
      <c r="G8296" s="81"/>
      <c r="H8296" s="81"/>
      <c r="I8296" s="81"/>
      <c r="J8296" s="81"/>
      <c r="K8296" s="81"/>
      <c r="L8296" s="81"/>
      <c r="M8296" s="81"/>
      <c r="N8296" s="81"/>
    </row>
    <row r="8297" spans="1:14" ht="14.25" customHeight="1" x14ac:dyDescent="0.25">
      <c r="A8297" s="612" t="s">
        <v>556</v>
      </c>
      <c r="B8297" s="608"/>
      <c r="C8297" s="608"/>
      <c r="D8297" s="608"/>
      <c r="E8297" s="609"/>
      <c r="F8297" s="133"/>
      <c r="G8297" s="81"/>
      <c r="H8297" s="81"/>
      <c r="I8297" s="81"/>
      <c r="J8297" s="81"/>
      <c r="K8297" s="81"/>
      <c r="L8297" s="81"/>
      <c r="M8297" s="81"/>
      <c r="N8297" s="81"/>
    </row>
    <row r="8298" spans="1:14" ht="14.25" customHeight="1" x14ac:dyDescent="0.25">
      <c r="A8298" s="134"/>
      <c r="B8298" s="135"/>
      <c r="C8298" s="135"/>
      <c r="D8298" s="135"/>
      <c r="E8298" s="135"/>
      <c r="F8298" s="136"/>
      <c r="G8298" s="81"/>
      <c r="H8298" s="81"/>
      <c r="I8298" s="81"/>
      <c r="J8298" s="81"/>
      <c r="K8298" s="81"/>
      <c r="L8298" s="81"/>
      <c r="M8298" s="81"/>
      <c r="N8298" s="81"/>
    </row>
    <row r="8299" spans="1:14" ht="14.25" customHeight="1" x14ac:dyDescent="0.25">
      <c r="A8299" s="81"/>
      <c r="B8299" s="81"/>
      <c r="C8299" s="137"/>
      <c r="D8299" s="81"/>
      <c r="E8299" s="81"/>
      <c r="F8299" s="81"/>
      <c r="G8299" s="81"/>
      <c r="H8299" s="81"/>
      <c r="I8299" s="81"/>
      <c r="J8299" s="81"/>
      <c r="K8299" s="81"/>
      <c r="L8299" s="81"/>
      <c r="M8299" s="81"/>
      <c r="N8299" s="81"/>
    </row>
    <row r="8300" spans="1:14" ht="14.25" customHeight="1" x14ac:dyDescent="0.25">
      <c r="A8300" s="81"/>
      <c r="B8300" s="81"/>
      <c r="C8300" s="137"/>
      <c r="D8300" s="81"/>
      <c r="E8300" s="81"/>
      <c r="F8300" s="81"/>
      <c r="G8300" s="81"/>
      <c r="H8300" s="81"/>
      <c r="I8300" s="81"/>
      <c r="J8300" s="81"/>
      <c r="K8300" s="81"/>
      <c r="L8300" s="81"/>
      <c r="M8300" s="81"/>
      <c r="N8300" s="81"/>
    </row>
    <row r="8301" spans="1:14" ht="14.25" customHeight="1" x14ac:dyDescent="0.25">
      <c r="A8301" s="81"/>
      <c r="B8301" s="81"/>
      <c r="C8301" s="137"/>
      <c r="D8301" s="81"/>
      <c r="E8301" s="81"/>
      <c r="F8301" s="81"/>
      <c r="G8301" s="81"/>
      <c r="H8301" s="81"/>
      <c r="I8301" s="81"/>
      <c r="J8301" s="81"/>
      <c r="K8301" s="81"/>
      <c r="L8301" s="81"/>
      <c r="M8301" s="81"/>
      <c r="N8301" s="81"/>
    </row>
    <row r="8302" spans="1:14" ht="14.25" customHeight="1" x14ac:dyDescent="0.25">
      <c r="A8302" s="81"/>
      <c r="B8302" s="81"/>
      <c r="C8302" s="137"/>
      <c r="D8302" s="81"/>
      <c r="E8302" s="81"/>
      <c r="F8302" s="81"/>
      <c r="G8302" s="81"/>
      <c r="H8302" s="81"/>
      <c r="I8302" s="81"/>
      <c r="J8302" s="81"/>
      <c r="K8302" s="81"/>
      <c r="L8302" s="81"/>
      <c r="M8302" s="81"/>
      <c r="N8302" s="81"/>
    </row>
    <row r="8303" spans="1:14" ht="14.25" customHeight="1" x14ac:dyDescent="0.25">
      <c r="A8303" s="134"/>
      <c r="B8303" s="135"/>
      <c r="C8303" s="135"/>
      <c r="D8303" s="135"/>
      <c r="E8303" s="135"/>
      <c r="F8303" s="136"/>
      <c r="G8303" s="81"/>
      <c r="H8303" s="81"/>
      <c r="I8303" s="81"/>
      <c r="J8303" s="81"/>
      <c r="K8303" s="81"/>
      <c r="L8303" s="81"/>
      <c r="M8303" s="81"/>
      <c r="N8303" s="81"/>
    </row>
    <row r="8304" spans="1:14" ht="14.25" customHeight="1" x14ac:dyDescent="0.25">
      <c r="A8304" s="134"/>
      <c r="B8304" s="135"/>
      <c r="C8304" s="135"/>
      <c r="D8304" s="135"/>
      <c r="E8304" s="135"/>
      <c r="F8304" s="136"/>
      <c r="G8304" s="81"/>
      <c r="H8304" s="81"/>
      <c r="I8304" s="81"/>
      <c r="J8304" s="81"/>
      <c r="K8304" s="81"/>
      <c r="L8304" s="81"/>
      <c r="M8304" s="81"/>
      <c r="N8304" s="81"/>
    </row>
    <row r="8305" spans="1:14" ht="14.25" customHeight="1" x14ac:dyDescent="0.25">
      <c r="A8305" s="134"/>
      <c r="B8305" s="135"/>
      <c r="C8305" s="135"/>
      <c r="D8305" s="135"/>
      <c r="E8305" s="135"/>
      <c r="F8305" s="136"/>
      <c r="G8305" s="81"/>
      <c r="H8305" s="81"/>
      <c r="I8305" s="81"/>
      <c r="J8305" s="81"/>
      <c r="K8305" s="81"/>
      <c r="L8305" s="81"/>
      <c r="M8305" s="81"/>
      <c r="N8305" s="81"/>
    </row>
    <row r="8306" spans="1:14" ht="14.25" customHeight="1" thickBot="1" x14ac:dyDescent="0.3">
      <c r="A8306" s="81"/>
      <c r="B8306" s="81"/>
      <c r="C8306" s="81"/>
      <c r="D8306" s="81"/>
      <c r="E8306" s="81"/>
      <c r="F8306" s="81"/>
      <c r="G8306" s="81"/>
      <c r="H8306" s="81"/>
      <c r="I8306" s="81"/>
      <c r="J8306" s="81"/>
      <c r="K8306" s="81"/>
      <c r="L8306" s="81"/>
      <c r="M8306" s="81"/>
      <c r="N8306" s="81"/>
    </row>
    <row r="8307" spans="1:14" ht="14.25" customHeight="1" x14ac:dyDescent="0.25">
      <c r="A8307" s="83"/>
      <c r="B8307" s="84"/>
      <c r="C8307" s="85"/>
      <c r="D8307" s="86"/>
      <c r="E8307" s="86"/>
      <c r="F8307" s="87"/>
      <c r="G8307" s="81"/>
      <c r="H8307" s="81"/>
      <c r="I8307" s="81"/>
      <c r="J8307" s="81"/>
      <c r="K8307" s="81"/>
      <c r="L8307" s="81"/>
      <c r="M8307" s="81"/>
      <c r="N8307" s="81"/>
    </row>
    <row r="8308" spans="1:14" ht="14.25" customHeight="1" x14ac:dyDescent="0.25">
      <c r="A8308" s="599"/>
      <c r="B8308" s="600"/>
      <c r="C8308" s="600"/>
      <c r="D8308" s="600"/>
      <c r="E8308" s="600"/>
      <c r="F8308" s="601"/>
      <c r="G8308" s="81"/>
      <c r="H8308" s="81"/>
      <c r="I8308" s="81"/>
      <c r="J8308" s="81"/>
      <c r="K8308" s="81"/>
      <c r="L8308" s="81"/>
      <c r="M8308" s="81"/>
      <c r="N8308" s="81"/>
    </row>
    <row r="8309" spans="1:14" ht="14.25" customHeight="1" x14ac:dyDescent="0.25">
      <c r="A8309" s="602" t="s">
        <v>561</v>
      </c>
      <c r="B8309" s="600"/>
      <c r="C8309" s="600"/>
      <c r="D8309" s="600"/>
      <c r="E8309" s="600"/>
      <c r="F8309" s="601"/>
      <c r="G8309" s="81"/>
      <c r="H8309" s="81"/>
      <c r="I8309" s="81"/>
      <c r="J8309" s="81"/>
      <c r="K8309" s="81"/>
      <c r="L8309" s="81"/>
      <c r="M8309" s="81"/>
      <c r="N8309" s="81"/>
    </row>
    <row r="8310" spans="1:14" ht="14.25" customHeight="1" thickBot="1" x14ac:dyDescent="0.3">
      <c r="A8310" s="603"/>
      <c r="B8310" s="604"/>
      <c r="C8310" s="604"/>
      <c r="D8310" s="604"/>
      <c r="E8310" s="604"/>
      <c r="F8310" s="605"/>
      <c r="G8310" s="81"/>
      <c r="H8310" s="81"/>
      <c r="I8310" s="81"/>
      <c r="J8310" s="81"/>
      <c r="K8310" s="81"/>
      <c r="L8310" s="81"/>
      <c r="M8310" s="81"/>
      <c r="N8310" s="81"/>
    </row>
    <row r="8311" spans="1:14" ht="14.25" customHeight="1" x14ac:dyDescent="0.25">
      <c r="A8311" s="88"/>
      <c r="B8311" s="88"/>
      <c r="C8311" s="89"/>
      <c r="D8311" s="89"/>
      <c r="E8311" s="89"/>
      <c r="F8311" s="89"/>
      <c r="G8311" s="81"/>
      <c r="H8311" s="81"/>
      <c r="I8311" s="81"/>
      <c r="J8311" s="81"/>
      <c r="K8311" s="81"/>
      <c r="L8311" s="81"/>
      <c r="M8311" s="81"/>
      <c r="N8311" s="81"/>
    </row>
    <row r="8312" spans="1:14" ht="14.25" customHeight="1" x14ac:dyDescent="0.25">
      <c r="A8312" s="90" t="s">
        <v>47</v>
      </c>
      <c r="B8312" s="613" t="s">
        <v>1331</v>
      </c>
      <c r="C8312" s="600"/>
      <c r="D8312" s="600"/>
      <c r="E8312" s="600"/>
      <c r="F8312" s="600"/>
      <c r="G8312" s="81"/>
      <c r="H8312" s="81"/>
      <c r="I8312" s="81"/>
      <c r="J8312" s="81"/>
      <c r="K8312" s="81"/>
      <c r="L8312" s="81"/>
      <c r="M8312" s="81"/>
      <c r="N8312" s="81"/>
    </row>
    <row r="8313" spans="1:14" ht="14.25" customHeight="1" x14ac:dyDescent="0.25">
      <c r="A8313" s="91"/>
      <c r="B8313" s="91"/>
      <c r="C8313" s="91"/>
      <c r="D8313" s="91"/>
      <c r="E8313" s="91"/>
      <c r="F8313" s="91"/>
      <c r="G8313" s="81"/>
      <c r="H8313" s="81"/>
      <c r="I8313" s="81"/>
      <c r="J8313" s="81"/>
      <c r="K8313" s="81"/>
      <c r="L8313" s="81"/>
      <c r="M8313" s="81"/>
      <c r="N8313" s="81"/>
    </row>
    <row r="8314" spans="1:14" ht="14.25" customHeight="1" x14ac:dyDescent="0.25">
      <c r="A8314" s="88" t="s">
        <v>49</v>
      </c>
      <c r="B8314" s="92" t="s">
        <v>85</v>
      </c>
      <c r="C8314" s="89"/>
      <c r="D8314" s="89"/>
      <c r="E8314" s="89"/>
      <c r="F8314" s="93"/>
      <c r="G8314" s="81"/>
      <c r="H8314" s="81"/>
      <c r="I8314" s="81"/>
      <c r="J8314" s="81"/>
      <c r="K8314" s="81"/>
      <c r="L8314" s="81"/>
      <c r="M8314" s="81"/>
      <c r="N8314" s="81"/>
    </row>
    <row r="8315" spans="1:14" ht="14.25" customHeight="1" x14ac:dyDescent="0.25">
      <c r="A8315" s="88"/>
      <c r="B8315" s="94"/>
      <c r="C8315" s="89"/>
      <c r="D8315" s="89"/>
      <c r="E8315" s="89"/>
      <c r="F8315" s="93"/>
      <c r="G8315" s="81"/>
      <c r="H8315" s="81"/>
      <c r="I8315" s="81"/>
      <c r="J8315" s="81"/>
      <c r="K8315" s="81"/>
      <c r="L8315" s="81"/>
      <c r="M8315" s="81"/>
      <c r="N8315" s="81"/>
    </row>
    <row r="8316" spans="1:14" ht="14.25" customHeight="1" x14ac:dyDescent="0.25">
      <c r="A8316" s="95" t="s">
        <v>562</v>
      </c>
      <c r="B8316" s="96"/>
      <c r="C8316" s="92"/>
      <c r="D8316" s="92"/>
      <c r="E8316" s="92"/>
      <c r="F8316" s="92"/>
      <c r="G8316" s="81"/>
      <c r="H8316" s="81"/>
      <c r="I8316" s="81"/>
      <c r="J8316" s="81"/>
      <c r="K8316" s="81"/>
      <c r="L8316" s="81"/>
      <c r="M8316" s="81"/>
      <c r="N8316" s="81"/>
    </row>
    <row r="8317" spans="1:14" ht="14.25" customHeight="1" x14ac:dyDescent="0.25">
      <c r="A8317" s="97" t="s">
        <v>563</v>
      </c>
      <c r="B8317" s="98" t="s">
        <v>564</v>
      </c>
      <c r="C8317" s="98" t="s">
        <v>565</v>
      </c>
      <c r="D8317" s="98" t="s">
        <v>566</v>
      </c>
      <c r="E8317" s="98" t="s">
        <v>567</v>
      </c>
      <c r="F8317" s="98" t="s">
        <v>568</v>
      </c>
      <c r="G8317" s="81"/>
      <c r="H8317" s="81"/>
      <c r="I8317" s="81"/>
      <c r="J8317" s="81"/>
      <c r="K8317" s="81"/>
      <c r="L8317" s="81"/>
      <c r="M8317" s="81"/>
      <c r="N8317" s="81"/>
    </row>
    <row r="8318" spans="1:14" ht="15.75" x14ac:dyDescent="0.25">
      <c r="A8318" s="99"/>
      <c r="B8318" s="100"/>
      <c r="C8318" s="101"/>
      <c r="D8318" s="104"/>
      <c r="E8318" s="102"/>
      <c r="F8318" s="101">
        <f>C8318*(D8318+(D8318*E8318))</f>
        <v>0</v>
      </c>
      <c r="G8318" s="81"/>
      <c r="H8318" s="81"/>
      <c r="I8318" s="81"/>
      <c r="J8318" s="81"/>
      <c r="K8318" s="81"/>
      <c r="L8318" s="81"/>
      <c r="M8318" s="81"/>
      <c r="N8318" s="81"/>
    </row>
    <row r="8319" spans="1:14" ht="14.25" customHeight="1" x14ac:dyDescent="0.25">
      <c r="A8319" s="99"/>
      <c r="B8319" s="100"/>
      <c r="C8319" s="101"/>
      <c r="D8319" s="104"/>
      <c r="E8319" s="102"/>
      <c r="F8319" s="101"/>
      <c r="G8319" s="81"/>
      <c r="H8319" s="81"/>
      <c r="I8319" s="81"/>
      <c r="J8319" s="81"/>
      <c r="K8319" s="81"/>
      <c r="L8319" s="81"/>
      <c r="M8319" s="81"/>
      <c r="N8319" s="81"/>
    </row>
    <row r="8320" spans="1:14" ht="14.25" customHeight="1" x14ac:dyDescent="0.25">
      <c r="A8320" s="103"/>
      <c r="B8320" s="100"/>
      <c r="C8320" s="101"/>
      <c r="D8320" s="104"/>
      <c r="E8320" s="102"/>
      <c r="F8320" s="101"/>
      <c r="G8320" s="81"/>
      <c r="H8320" s="81"/>
      <c r="I8320" s="81"/>
      <c r="J8320" s="81"/>
      <c r="K8320" s="81"/>
      <c r="L8320" s="81"/>
      <c r="M8320" s="81"/>
      <c r="N8320" s="81"/>
    </row>
    <row r="8321" spans="1:14" ht="14.25" customHeight="1" x14ac:dyDescent="0.25">
      <c r="A8321" s="99"/>
      <c r="B8321" s="100"/>
      <c r="C8321" s="101"/>
      <c r="D8321" s="104"/>
      <c r="E8321" s="102"/>
      <c r="F8321" s="101"/>
      <c r="G8321" s="81"/>
      <c r="H8321" s="81"/>
      <c r="I8321" s="81"/>
      <c r="J8321" s="81"/>
      <c r="K8321" s="81"/>
      <c r="L8321" s="81"/>
      <c r="M8321" s="81"/>
      <c r="N8321" s="81"/>
    </row>
    <row r="8322" spans="1:14" ht="14.25" customHeight="1" x14ac:dyDescent="0.25">
      <c r="A8322" s="99"/>
      <c r="B8322" s="100"/>
      <c r="C8322" s="106"/>
      <c r="D8322" s="104"/>
      <c r="E8322" s="102"/>
      <c r="F8322" s="101"/>
      <c r="G8322" s="81"/>
      <c r="H8322" s="81"/>
      <c r="I8322" s="81"/>
      <c r="J8322" s="81"/>
      <c r="K8322" s="81"/>
      <c r="L8322" s="81"/>
      <c r="M8322" s="81"/>
      <c r="N8322" s="81"/>
    </row>
    <row r="8323" spans="1:14" ht="14.25" customHeight="1" x14ac:dyDescent="0.25">
      <c r="A8323" s="103"/>
      <c r="B8323" s="100"/>
      <c r="C8323" s="101"/>
      <c r="D8323" s="105"/>
      <c r="E8323" s="102"/>
      <c r="F8323" s="101"/>
      <c r="G8323" s="81"/>
      <c r="H8323" s="81"/>
      <c r="I8323" s="81"/>
      <c r="J8323" s="81"/>
      <c r="K8323" s="81"/>
      <c r="L8323" s="81"/>
      <c r="M8323" s="81"/>
      <c r="N8323" s="81"/>
    </row>
    <row r="8324" spans="1:14" ht="14.25" customHeight="1" x14ac:dyDescent="0.25">
      <c r="A8324" s="99"/>
      <c r="B8324" s="100"/>
      <c r="C8324" s="106"/>
      <c r="D8324" s="107"/>
      <c r="E8324" s="108"/>
      <c r="F8324" s="106"/>
      <c r="G8324" s="81"/>
      <c r="H8324" s="81"/>
      <c r="I8324" s="81"/>
      <c r="J8324" s="81"/>
      <c r="K8324" s="81"/>
      <c r="L8324" s="81"/>
      <c r="M8324" s="81"/>
      <c r="N8324" s="81"/>
    </row>
    <row r="8325" spans="1:14" ht="14.25" customHeight="1" x14ac:dyDescent="0.25">
      <c r="A8325" s="97" t="s">
        <v>548</v>
      </c>
      <c r="B8325" s="97"/>
      <c r="C8325" s="109"/>
      <c r="D8325" s="110"/>
      <c r="E8325" s="111"/>
      <c r="F8325" s="112">
        <f>SUM(F8318:F8324)</f>
        <v>0</v>
      </c>
      <c r="G8325" s="81"/>
      <c r="H8325" s="81"/>
      <c r="I8325" s="81"/>
      <c r="J8325" s="81"/>
      <c r="K8325" s="81"/>
      <c r="L8325" s="81"/>
      <c r="M8325" s="81"/>
      <c r="N8325" s="81"/>
    </row>
    <row r="8326" spans="1:14" ht="15.75" x14ac:dyDescent="0.25">
      <c r="A8326" s="88"/>
      <c r="B8326" s="88"/>
      <c r="C8326" s="113"/>
      <c r="D8326" s="113"/>
      <c r="E8326" s="114"/>
      <c r="F8326" s="113"/>
      <c r="G8326" s="81"/>
      <c r="H8326" s="81"/>
      <c r="I8326" s="81"/>
      <c r="J8326" s="81"/>
      <c r="K8326" s="81"/>
      <c r="L8326" s="81"/>
      <c r="M8326" s="81"/>
      <c r="N8326" s="81"/>
    </row>
    <row r="8327" spans="1:14" ht="14.25" customHeight="1" x14ac:dyDescent="0.25">
      <c r="A8327" s="96" t="s">
        <v>573</v>
      </c>
      <c r="B8327" s="96"/>
      <c r="C8327" s="92"/>
      <c r="D8327" s="92"/>
      <c r="E8327" s="92"/>
      <c r="F8327" s="92"/>
      <c r="G8327" s="81"/>
      <c r="H8327" s="81"/>
      <c r="I8327" s="81"/>
      <c r="J8327" s="81"/>
      <c r="K8327" s="81"/>
      <c r="L8327" s="81"/>
      <c r="M8327" s="81"/>
      <c r="N8327" s="81"/>
    </row>
    <row r="8328" spans="1:14" ht="14.25" customHeight="1" x14ac:dyDescent="0.25">
      <c r="A8328" s="611" t="s">
        <v>563</v>
      </c>
      <c r="B8328" s="608"/>
      <c r="C8328" s="609"/>
      <c r="D8328" s="98" t="s">
        <v>574</v>
      </c>
      <c r="E8328" s="98" t="s">
        <v>575</v>
      </c>
      <c r="F8328" s="98" t="s">
        <v>568</v>
      </c>
      <c r="G8328" s="81"/>
      <c r="H8328" s="81"/>
      <c r="I8328" s="81"/>
      <c r="J8328" s="81"/>
      <c r="K8328" s="81"/>
      <c r="L8328" s="81"/>
      <c r="M8328" s="81"/>
      <c r="N8328" s="81"/>
    </row>
    <row r="8329" spans="1:14" ht="14.25" customHeight="1" x14ac:dyDescent="0.25">
      <c r="A8329" s="607" t="s">
        <v>577</v>
      </c>
      <c r="B8329" s="608"/>
      <c r="C8329" s="609"/>
      <c r="D8329" s="116"/>
      <c r="E8329" s="107"/>
      <c r="F8329" s="106">
        <f>+F8341*5%</f>
        <v>97523.822909195078</v>
      </c>
      <c r="G8329" s="81"/>
      <c r="H8329" s="81"/>
      <c r="I8329" s="81"/>
      <c r="J8329" s="81"/>
      <c r="K8329" s="81"/>
      <c r="L8329" s="81"/>
      <c r="M8329" s="81"/>
      <c r="N8329" s="81"/>
    </row>
    <row r="8330" spans="1:14" ht="14.25" customHeight="1" x14ac:dyDescent="0.25">
      <c r="A8330" s="607"/>
      <c r="B8330" s="608"/>
      <c r="C8330" s="609"/>
      <c r="D8330" s="142"/>
      <c r="E8330" s="107"/>
      <c r="F8330" s="106"/>
      <c r="G8330" s="81"/>
      <c r="H8330" s="81"/>
      <c r="I8330" s="81"/>
      <c r="J8330" s="81"/>
      <c r="K8330" s="81"/>
      <c r="L8330" s="81"/>
      <c r="M8330" s="81"/>
      <c r="N8330" s="81"/>
    </row>
    <row r="8331" spans="1:14" ht="14.25" customHeight="1" x14ac:dyDescent="0.25">
      <c r="A8331" s="607"/>
      <c r="B8331" s="608"/>
      <c r="C8331" s="609"/>
      <c r="D8331" s="142"/>
      <c r="E8331" s="107"/>
      <c r="F8331" s="106"/>
      <c r="G8331" s="81"/>
      <c r="H8331" s="81"/>
      <c r="I8331" s="81"/>
      <c r="J8331" s="81"/>
      <c r="K8331" s="81"/>
      <c r="L8331" s="81"/>
      <c r="M8331" s="81"/>
      <c r="N8331" s="81"/>
    </row>
    <row r="8332" spans="1:14" ht="14.25" customHeight="1" x14ac:dyDescent="0.25">
      <c r="A8332" s="610"/>
      <c r="B8332" s="608"/>
      <c r="C8332" s="609"/>
      <c r="D8332" s="115"/>
      <c r="E8332" s="107"/>
      <c r="F8332" s="106"/>
      <c r="G8332" s="81"/>
      <c r="H8332" s="117"/>
      <c r="I8332" s="81"/>
      <c r="J8332" s="81"/>
      <c r="K8332" s="81"/>
      <c r="L8332" s="81"/>
      <c r="M8332" s="81"/>
      <c r="N8332" s="81"/>
    </row>
    <row r="8333" spans="1:14" ht="14.25" customHeight="1" x14ac:dyDescent="0.25">
      <c r="A8333" s="611" t="s">
        <v>548</v>
      </c>
      <c r="B8333" s="608"/>
      <c r="C8333" s="609"/>
      <c r="D8333" s="110"/>
      <c r="E8333" s="110"/>
      <c r="F8333" s="112">
        <f>SUM(F8329:F8331)</f>
        <v>97523.822909195078</v>
      </c>
      <c r="G8333" s="81"/>
      <c r="H8333" s="81"/>
      <c r="I8333" s="81"/>
      <c r="J8333" s="81"/>
      <c r="K8333" s="81"/>
      <c r="L8333" s="81"/>
      <c r="M8333" s="81"/>
      <c r="N8333" s="81"/>
    </row>
    <row r="8334" spans="1:14" ht="14.25" customHeight="1" x14ac:dyDescent="0.25">
      <c r="A8334" s="88"/>
      <c r="B8334" s="88"/>
      <c r="C8334" s="89"/>
      <c r="D8334" s="113"/>
      <c r="E8334" s="113"/>
      <c r="F8334" s="113"/>
      <c r="G8334" s="81"/>
      <c r="H8334" s="81"/>
      <c r="I8334" s="81"/>
      <c r="J8334" s="81"/>
      <c r="K8334" s="81"/>
      <c r="L8334" s="81"/>
      <c r="M8334" s="81"/>
      <c r="N8334" s="81"/>
    </row>
    <row r="8335" spans="1:14" ht="14.25" customHeight="1" x14ac:dyDescent="0.25">
      <c r="A8335" s="96" t="s">
        <v>578</v>
      </c>
      <c r="B8335" s="96"/>
      <c r="C8335" s="92"/>
      <c r="D8335" s="118"/>
      <c r="E8335" s="118"/>
      <c r="F8335" s="118"/>
      <c r="G8335" s="81"/>
      <c r="H8335" s="81"/>
      <c r="I8335" s="81"/>
      <c r="J8335" s="81"/>
      <c r="K8335" s="81"/>
      <c r="L8335" s="81"/>
      <c r="M8335" s="81"/>
      <c r="N8335" s="81"/>
    </row>
    <row r="8336" spans="1:14" ht="14.25" customHeight="1" x14ac:dyDescent="0.25">
      <c r="A8336" s="119" t="s">
        <v>563</v>
      </c>
      <c r="B8336" s="120" t="s">
        <v>579</v>
      </c>
      <c r="C8336" s="120" t="s">
        <v>580</v>
      </c>
      <c r="D8336" s="121" t="s">
        <v>581</v>
      </c>
      <c r="E8336" s="121" t="s">
        <v>575</v>
      </c>
      <c r="F8336" s="121" t="s">
        <v>568</v>
      </c>
      <c r="G8336" s="81"/>
      <c r="H8336" s="81"/>
      <c r="I8336" s="81"/>
      <c r="J8336" s="81"/>
      <c r="K8336" s="81"/>
      <c r="L8336" s="81"/>
      <c r="M8336" s="81"/>
      <c r="N8336" s="81"/>
    </row>
    <row r="8337" spans="1:14" ht="14.25" customHeight="1" x14ac:dyDescent="0.25">
      <c r="A8337" s="122" t="s">
        <v>593</v>
      </c>
      <c r="B8337" s="127">
        <v>1</v>
      </c>
      <c r="C8337" s="101">
        <v>32688</v>
      </c>
      <c r="D8337" s="101">
        <f t="shared" ref="D8337:D8338" si="415">+C8337*1.7</f>
        <v>55569.599999999999</v>
      </c>
      <c r="E8337" s="105">
        <v>7.4281440000000004E-2</v>
      </c>
      <c r="F8337" s="106">
        <f t="shared" ref="F8337:F8338" si="416">+B8337*(D8337)/E8337</f>
        <v>748095.35194794275</v>
      </c>
      <c r="G8337" s="81"/>
      <c r="H8337" s="81"/>
      <c r="I8337" s="81"/>
      <c r="J8337" s="81"/>
      <c r="K8337" s="81"/>
      <c r="L8337" s="81"/>
      <c r="M8337" s="81"/>
      <c r="N8337" s="81"/>
    </row>
    <row r="8338" spans="1:14" ht="14.25" customHeight="1" x14ac:dyDescent="0.25">
      <c r="A8338" s="122" t="s">
        <v>594</v>
      </c>
      <c r="B8338" s="127">
        <v>1</v>
      </c>
      <c r="C8338" s="101">
        <v>52538</v>
      </c>
      <c r="D8338" s="101">
        <f t="shared" si="415"/>
        <v>89314.599999999991</v>
      </c>
      <c r="E8338" s="105">
        <f>E8337</f>
        <v>7.4281440000000004E-2</v>
      </c>
      <c r="F8338" s="106">
        <f t="shared" si="416"/>
        <v>1202381.1062359586</v>
      </c>
      <c r="G8338" s="81"/>
      <c r="H8338" s="81"/>
      <c r="I8338" s="81"/>
      <c r="J8338" s="81"/>
      <c r="K8338" s="81"/>
      <c r="L8338" s="81"/>
      <c r="M8338" s="81"/>
      <c r="N8338" s="81"/>
    </row>
    <row r="8339" spans="1:14" ht="14.25" customHeight="1" x14ac:dyDescent="0.25">
      <c r="A8339" s="122"/>
      <c r="B8339" s="127"/>
      <c r="C8339" s="101"/>
      <c r="D8339" s="101"/>
      <c r="E8339" s="107"/>
      <c r="F8339" s="106"/>
      <c r="G8339" s="81"/>
      <c r="H8339" s="81"/>
      <c r="I8339" s="81"/>
      <c r="J8339" s="81"/>
      <c r="K8339" s="81"/>
      <c r="L8339" s="81"/>
      <c r="M8339" s="81"/>
      <c r="N8339" s="81"/>
    </row>
    <row r="8340" spans="1:14" ht="14.25" customHeight="1" x14ac:dyDescent="0.25">
      <c r="A8340" s="122"/>
      <c r="B8340" s="127"/>
      <c r="C8340" s="101"/>
      <c r="D8340" s="101"/>
      <c r="E8340" s="125"/>
      <c r="F8340" s="106"/>
      <c r="G8340" s="81"/>
      <c r="H8340" s="81"/>
      <c r="I8340" s="81"/>
      <c r="J8340" s="81"/>
      <c r="K8340" s="81"/>
      <c r="L8340" s="81"/>
      <c r="M8340" s="81"/>
      <c r="N8340" s="81"/>
    </row>
    <row r="8341" spans="1:14" ht="14.25" customHeight="1" x14ac:dyDescent="0.25">
      <c r="A8341" s="97" t="s">
        <v>548</v>
      </c>
      <c r="B8341" s="128"/>
      <c r="C8341" s="110"/>
      <c r="D8341" s="110"/>
      <c r="E8341" s="110"/>
      <c r="F8341" s="112">
        <f>SUM(F8337:F8340)</f>
        <v>1950476.4581839014</v>
      </c>
      <c r="G8341" s="81"/>
      <c r="H8341" s="81"/>
      <c r="I8341" s="81"/>
      <c r="J8341" s="81"/>
      <c r="K8341" s="81"/>
      <c r="L8341" s="81"/>
      <c r="M8341" s="81"/>
      <c r="N8341" s="81"/>
    </row>
    <row r="8342" spans="1:14" ht="14.25" customHeight="1" x14ac:dyDescent="0.25">
      <c r="A8342" s="96"/>
      <c r="B8342" s="129"/>
      <c r="C8342" s="118"/>
      <c r="D8342" s="118"/>
      <c r="E8342" s="118"/>
      <c r="F8342" s="118"/>
      <c r="G8342" s="81"/>
      <c r="H8342" s="81"/>
      <c r="I8342" s="81"/>
      <c r="J8342" s="81"/>
      <c r="K8342" s="81"/>
      <c r="L8342" s="81"/>
      <c r="M8342" s="81"/>
      <c r="N8342" s="81"/>
    </row>
    <row r="8343" spans="1:14" ht="14.25" customHeight="1" x14ac:dyDescent="0.25">
      <c r="A8343" s="95" t="s">
        <v>583</v>
      </c>
      <c r="B8343" s="96"/>
      <c r="C8343" s="92"/>
      <c r="D8343" s="92"/>
      <c r="E8343" s="92" t="s">
        <v>584</v>
      </c>
      <c r="F8343" s="92"/>
      <c r="G8343" s="81"/>
      <c r="H8343" s="81"/>
      <c r="I8343" s="81"/>
      <c r="J8343" s="81"/>
      <c r="K8343" s="81"/>
      <c r="L8343" s="81"/>
      <c r="M8343" s="81"/>
      <c r="N8343" s="81"/>
    </row>
    <row r="8344" spans="1:14" ht="14.25" customHeight="1" x14ac:dyDescent="0.25">
      <c r="A8344" s="97" t="s">
        <v>563</v>
      </c>
      <c r="B8344" s="98" t="s">
        <v>564</v>
      </c>
      <c r="C8344" s="98" t="s">
        <v>585</v>
      </c>
      <c r="D8344" s="98" t="s">
        <v>586</v>
      </c>
      <c r="E8344" s="120" t="s">
        <v>587</v>
      </c>
      <c r="F8344" s="98" t="s">
        <v>568</v>
      </c>
      <c r="G8344" s="81"/>
      <c r="H8344" s="81"/>
      <c r="I8344" s="81"/>
      <c r="J8344" s="81"/>
      <c r="K8344" s="81"/>
      <c r="L8344" s="81"/>
      <c r="M8344" s="81"/>
      <c r="N8344" s="81"/>
    </row>
    <row r="8345" spans="1:14" ht="14.25" customHeight="1" x14ac:dyDescent="0.25">
      <c r="A8345" s="103"/>
      <c r="B8345" s="100"/>
      <c r="C8345" s="101"/>
      <c r="D8345" s="140"/>
      <c r="E8345" s="107"/>
      <c r="F8345" s="109">
        <f>+C8345*D8345*E8345</f>
        <v>0</v>
      </c>
      <c r="G8345" s="81"/>
      <c r="H8345" s="81"/>
      <c r="I8345" s="81"/>
      <c r="J8345" s="81"/>
      <c r="K8345" s="81"/>
      <c r="L8345" s="81"/>
      <c r="M8345" s="81"/>
      <c r="N8345" s="81"/>
    </row>
    <row r="8346" spans="1:14" ht="14.25" customHeight="1" x14ac:dyDescent="0.25">
      <c r="A8346" s="103"/>
      <c r="B8346" s="100"/>
      <c r="C8346" s="107"/>
      <c r="D8346" s="107"/>
      <c r="E8346" s="108"/>
      <c r="F8346" s="109"/>
      <c r="G8346" s="81"/>
      <c r="H8346" s="81"/>
      <c r="I8346" s="81"/>
      <c r="J8346" s="81"/>
      <c r="K8346" s="81"/>
      <c r="L8346" s="81"/>
      <c r="M8346" s="81"/>
      <c r="N8346" s="81"/>
    </row>
    <row r="8347" spans="1:14" ht="25.5" customHeight="1" x14ac:dyDescent="0.25">
      <c r="A8347" s="97" t="s">
        <v>548</v>
      </c>
      <c r="B8347" s="98"/>
      <c r="C8347" s="110"/>
      <c r="D8347" s="110"/>
      <c r="E8347" s="111"/>
      <c r="F8347" s="112">
        <f>SUM(F8345:F8346)</f>
        <v>0</v>
      </c>
      <c r="G8347" s="81"/>
      <c r="H8347" s="81"/>
      <c r="I8347" s="81"/>
      <c r="J8347" s="81"/>
      <c r="K8347" s="81"/>
      <c r="L8347" s="81"/>
      <c r="M8347" s="81"/>
      <c r="N8347" s="81"/>
    </row>
    <row r="8348" spans="1:14" ht="14.25" customHeight="1" x14ac:dyDescent="0.25">
      <c r="A8348" s="88"/>
      <c r="B8348" s="89"/>
      <c r="C8348" s="113"/>
      <c r="D8348" s="113"/>
      <c r="E8348" s="114"/>
      <c r="F8348" s="113"/>
      <c r="G8348" s="81"/>
      <c r="H8348" s="81"/>
      <c r="I8348" s="81"/>
      <c r="J8348" s="81"/>
      <c r="K8348" s="81"/>
      <c r="L8348" s="81"/>
      <c r="M8348" s="81"/>
      <c r="N8348" s="81"/>
    </row>
    <row r="8349" spans="1:14" ht="14.25" customHeight="1" x14ac:dyDescent="0.25">
      <c r="A8349" s="88"/>
      <c r="B8349" s="89"/>
      <c r="C8349" s="113"/>
      <c r="D8349" s="113"/>
      <c r="E8349" s="114"/>
      <c r="F8349" s="113"/>
      <c r="G8349" s="81"/>
      <c r="H8349" s="81"/>
      <c r="I8349" s="81"/>
      <c r="J8349" s="81"/>
      <c r="K8349" s="81"/>
      <c r="L8349" s="81"/>
      <c r="M8349" s="81"/>
      <c r="N8349" s="81"/>
    </row>
    <row r="8350" spans="1:14" ht="14.25" customHeight="1" x14ac:dyDescent="0.25">
      <c r="A8350" s="612" t="s">
        <v>588</v>
      </c>
      <c r="B8350" s="608"/>
      <c r="C8350" s="608"/>
      <c r="D8350" s="608"/>
      <c r="E8350" s="609"/>
      <c r="F8350" s="131">
        <f>ROUND(F8325+F8333+F8341+F8347,0)</f>
        <v>2048000</v>
      </c>
      <c r="G8350" s="81"/>
      <c r="H8350" s="81"/>
      <c r="I8350" s="81"/>
      <c r="J8350" s="81"/>
      <c r="K8350" s="81"/>
      <c r="L8350" s="81"/>
      <c r="M8350" s="81"/>
      <c r="N8350" s="81"/>
    </row>
    <row r="8351" spans="1:14" ht="14.25" customHeight="1" x14ac:dyDescent="0.25">
      <c r="A8351" s="612" t="s">
        <v>589</v>
      </c>
      <c r="B8351" s="608"/>
      <c r="C8351" s="608"/>
      <c r="D8351" s="608"/>
      <c r="E8351" s="609"/>
      <c r="F8351" s="132"/>
      <c r="G8351" s="81"/>
      <c r="H8351" s="81"/>
      <c r="I8351" s="81"/>
      <c r="J8351" s="81"/>
      <c r="K8351" s="81"/>
      <c r="L8351" s="81"/>
      <c r="M8351" s="81"/>
      <c r="N8351" s="81"/>
    </row>
    <row r="8352" spans="1:14" ht="14.25" customHeight="1" x14ac:dyDescent="0.25">
      <c r="A8352" s="612" t="s">
        <v>556</v>
      </c>
      <c r="B8352" s="608"/>
      <c r="C8352" s="608"/>
      <c r="D8352" s="608"/>
      <c r="E8352" s="609"/>
      <c r="F8352" s="133"/>
      <c r="G8352" s="81"/>
      <c r="H8352" s="81"/>
      <c r="I8352" s="81"/>
      <c r="J8352" s="81"/>
      <c r="K8352" s="81"/>
      <c r="L8352" s="81"/>
      <c r="M8352" s="81"/>
      <c r="N8352" s="81"/>
    </row>
    <row r="8353" spans="1:14" ht="14.25" customHeight="1" x14ac:dyDescent="0.25">
      <c r="A8353" s="134"/>
      <c r="B8353" s="135"/>
      <c r="C8353" s="135"/>
      <c r="D8353" s="135"/>
      <c r="E8353" s="135"/>
      <c r="F8353" s="136"/>
      <c r="G8353" s="81"/>
      <c r="H8353" s="81"/>
      <c r="I8353" s="81"/>
      <c r="J8353" s="81"/>
      <c r="K8353" s="81"/>
      <c r="L8353" s="81"/>
      <c r="M8353" s="81"/>
      <c r="N8353" s="81"/>
    </row>
    <row r="8354" spans="1:14" ht="14.25" customHeight="1" x14ac:dyDescent="0.25">
      <c r="A8354" s="81"/>
      <c r="B8354" s="81"/>
      <c r="C8354" s="137"/>
      <c r="D8354" s="81"/>
      <c r="E8354" s="81"/>
      <c r="F8354" s="81"/>
      <c r="G8354" s="81"/>
      <c r="H8354" s="81"/>
      <c r="I8354" s="81"/>
      <c r="J8354" s="81"/>
      <c r="K8354" s="81"/>
      <c r="L8354" s="81"/>
      <c r="M8354" s="81"/>
      <c r="N8354" s="81"/>
    </row>
    <row r="8355" spans="1:14" ht="14.25" customHeight="1" x14ac:dyDescent="0.25">
      <c r="A8355" s="81"/>
      <c r="B8355" s="81"/>
      <c r="C8355" s="137"/>
      <c r="D8355" s="81"/>
      <c r="E8355" s="81"/>
      <c r="F8355" s="81"/>
      <c r="G8355" s="81"/>
      <c r="H8355" s="81"/>
      <c r="I8355" s="81"/>
      <c r="J8355" s="81"/>
      <c r="K8355" s="81"/>
      <c r="L8355" s="81"/>
      <c r="M8355" s="81"/>
      <c r="N8355" s="81"/>
    </row>
    <row r="8356" spans="1:14" ht="14.25" customHeight="1" x14ac:dyDescent="0.25">
      <c r="A8356" s="81"/>
      <c r="B8356" s="81"/>
      <c r="C8356" s="137"/>
      <c r="D8356" s="81"/>
      <c r="E8356" s="81"/>
      <c r="F8356" s="81"/>
      <c r="G8356" s="81"/>
      <c r="H8356" s="81"/>
      <c r="I8356" s="81"/>
      <c r="J8356" s="81"/>
      <c r="K8356" s="81"/>
      <c r="L8356" s="81"/>
      <c r="M8356" s="81"/>
      <c r="N8356" s="81"/>
    </row>
    <row r="8357" spans="1:14" ht="14.25" customHeight="1" x14ac:dyDescent="0.25">
      <c r="A8357" s="81"/>
      <c r="B8357" s="81"/>
      <c r="C8357" s="137"/>
      <c r="D8357" s="81"/>
      <c r="E8357" s="81"/>
      <c r="F8357" s="81"/>
      <c r="G8357" s="81"/>
      <c r="H8357" s="81"/>
      <c r="I8357" s="81"/>
      <c r="J8357" s="81"/>
      <c r="K8357" s="81"/>
      <c r="L8357" s="81"/>
      <c r="M8357" s="81"/>
      <c r="N8357" s="81"/>
    </row>
    <row r="8358" spans="1:14" ht="14.25" customHeight="1" x14ac:dyDescent="0.25">
      <c r="A8358" s="134"/>
      <c r="B8358" s="135"/>
      <c r="C8358" s="135"/>
      <c r="D8358" s="135"/>
      <c r="E8358" s="135"/>
      <c r="F8358" s="136"/>
      <c r="G8358" s="81"/>
      <c r="H8358" s="81"/>
      <c r="I8358" s="81"/>
      <c r="J8358" s="81"/>
      <c r="K8358" s="81"/>
      <c r="L8358" s="81"/>
      <c r="M8358" s="81"/>
      <c r="N8358" s="81"/>
    </row>
    <row r="8359" spans="1:14" ht="14.25" customHeight="1" x14ac:dyDescent="0.25">
      <c r="A8359" s="134"/>
      <c r="B8359" s="135"/>
      <c r="C8359" s="135"/>
      <c r="D8359" s="135"/>
      <c r="E8359" s="135"/>
      <c r="F8359" s="136"/>
      <c r="G8359" s="81"/>
      <c r="H8359" s="81"/>
      <c r="I8359" s="81"/>
      <c r="J8359" s="81"/>
      <c r="K8359" s="81"/>
      <c r="L8359" s="81"/>
      <c r="M8359" s="81"/>
      <c r="N8359" s="81"/>
    </row>
    <row r="8360" spans="1:14" ht="14.25" customHeight="1" x14ac:dyDescent="0.25">
      <c r="A8360" s="134"/>
      <c r="B8360" s="135"/>
      <c r="C8360" s="135"/>
      <c r="D8360" s="135"/>
      <c r="E8360" s="135"/>
      <c r="F8360" s="136"/>
      <c r="G8360" s="81"/>
      <c r="H8360" s="81"/>
      <c r="I8360" s="81"/>
      <c r="J8360" s="81"/>
      <c r="K8360" s="81"/>
      <c r="L8360" s="81"/>
      <c r="M8360" s="81"/>
      <c r="N8360" s="81"/>
    </row>
    <row r="8361" spans="1:14" ht="14.25" customHeight="1" thickBot="1" x14ac:dyDescent="0.3">
      <c r="A8361" s="81"/>
      <c r="B8361" s="81"/>
      <c r="C8361" s="81"/>
      <c r="D8361" s="81"/>
      <c r="E8361" s="81"/>
      <c r="F8361" s="81"/>
      <c r="G8361" s="81"/>
      <c r="H8361" s="81"/>
      <c r="I8361" s="81"/>
      <c r="J8361" s="81"/>
      <c r="K8361" s="81"/>
      <c r="L8361" s="81"/>
      <c r="M8361" s="81"/>
      <c r="N8361" s="81"/>
    </row>
    <row r="8362" spans="1:14" ht="14.25" customHeight="1" x14ac:dyDescent="0.25">
      <c r="A8362" s="83"/>
      <c r="B8362" s="84"/>
      <c r="C8362" s="85"/>
      <c r="D8362" s="86"/>
      <c r="E8362" s="86"/>
      <c r="F8362" s="87"/>
      <c r="G8362" s="81"/>
      <c r="H8362" s="81"/>
      <c r="I8362" s="81"/>
      <c r="J8362" s="81"/>
      <c r="K8362" s="81"/>
      <c r="L8362" s="81"/>
      <c r="M8362" s="81"/>
      <c r="N8362" s="81"/>
    </row>
    <row r="8363" spans="1:14" ht="14.25" customHeight="1" x14ac:dyDescent="0.25">
      <c r="A8363" s="599"/>
      <c r="B8363" s="600"/>
      <c r="C8363" s="600"/>
      <c r="D8363" s="600"/>
      <c r="E8363" s="600"/>
      <c r="F8363" s="601"/>
      <c r="G8363" s="81"/>
      <c r="H8363" s="81"/>
      <c r="I8363" s="81"/>
      <c r="J8363" s="81"/>
      <c r="K8363" s="81"/>
      <c r="L8363" s="81"/>
      <c r="M8363" s="81"/>
      <c r="N8363" s="81"/>
    </row>
    <row r="8364" spans="1:14" ht="14.25" customHeight="1" x14ac:dyDescent="0.25">
      <c r="A8364" s="602" t="s">
        <v>561</v>
      </c>
      <c r="B8364" s="600"/>
      <c r="C8364" s="600"/>
      <c r="D8364" s="600"/>
      <c r="E8364" s="600"/>
      <c r="F8364" s="601"/>
      <c r="G8364" s="81"/>
      <c r="H8364" s="81"/>
      <c r="I8364" s="81"/>
      <c r="J8364" s="81"/>
      <c r="K8364" s="81"/>
      <c r="L8364" s="81"/>
      <c r="M8364" s="81"/>
      <c r="N8364" s="81"/>
    </row>
    <row r="8365" spans="1:14" ht="14.25" customHeight="1" thickBot="1" x14ac:dyDescent="0.3">
      <c r="A8365" s="603"/>
      <c r="B8365" s="604"/>
      <c r="C8365" s="604"/>
      <c r="D8365" s="604"/>
      <c r="E8365" s="604"/>
      <c r="F8365" s="605"/>
      <c r="G8365" s="81"/>
      <c r="H8365" s="117"/>
      <c r="I8365" s="81"/>
      <c r="J8365" s="81"/>
      <c r="K8365" s="81"/>
      <c r="L8365" s="81"/>
      <c r="M8365" s="81"/>
      <c r="N8365" s="81"/>
    </row>
    <row r="8366" spans="1:14" ht="14.25" customHeight="1" x14ac:dyDescent="0.25">
      <c r="A8366" s="88"/>
      <c r="B8366" s="88"/>
      <c r="C8366" s="89"/>
      <c r="D8366" s="89"/>
      <c r="E8366" s="89"/>
      <c r="F8366" s="89"/>
      <c r="G8366" s="81"/>
      <c r="H8366" s="81"/>
      <c r="I8366" s="81"/>
      <c r="J8366" s="81"/>
      <c r="K8366" s="81"/>
      <c r="L8366" s="81"/>
      <c r="M8366" s="81"/>
      <c r="N8366" s="81"/>
    </row>
    <row r="8367" spans="1:14" ht="14.25" customHeight="1" x14ac:dyDescent="0.25">
      <c r="A8367" s="90" t="s">
        <v>47</v>
      </c>
      <c r="B8367" s="613" t="s">
        <v>393</v>
      </c>
      <c r="C8367" s="600"/>
      <c r="D8367" s="600"/>
      <c r="E8367" s="600"/>
      <c r="F8367" s="600"/>
      <c r="G8367" s="81"/>
      <c r="H8367" s="81"/>
      <c r="I8367" s="81"/>
      <c r="J8367" s="81"/>
      <c r="K8367" s="81"/>
      <c r="L8367" s="81"/>
      <c r="M8367" s="81"/>
      <c r="N8367" s="81"/>
    </row>
    <row r="8368" spans="1:14" ht="14.25" customHeight="1" x14ac:dyDescent="0.25">
      <c r="A8368" s="91"/>
      <c r="B8368" s="91"/>
      <c r="C8368" s="91"/>
      <c r="D8368" s="91"/>
      <c r="E8368" s="91"/>
      <c r="F8368" s="91"/>
      <c r="G8368" s="81"/>
      <c r="H8368" s="81"/>
      <c r="I8368" s="81"/>
      <c r="J8368" s="81"/>
      <c r="K8368" s="81"/>
      <c r="L8368" s="81"/>
      <c r="M8368" s="81"/>
      <c r="N8368" s="81"/>
    </row>
    <row r="8369" spans="1:14" ht="14.25" customHeight="1" x14ac:dyDescent="0.25">
      <c r="A8369" s="88" t="s">
        <v>49</v>
      </c>
      <c r="B8369" s="92" t="s">
        <v>56</v>
      </c>
      <c r="C8369" s="89"/>
      <c r="D8369" s="89"/>
      <c r="E8369" s="89"/>
      <c r="F8369" s="93"/>
      <c r="G8369" s="81"/>
      <c r="H8369" s="81"/>
      <c r="I8369" s="81"/>
      <c r="J8369" s="81"/>
      <c r="K8369" s="81"/>
      <c r="L8369" s="81"/>
      <c r="M8369" s="81"/>
      <c r="N8369" s="81"/>
    </row>
    <row r="8370" spans="1:14" ht="14.25" customHeight="1" x14ac:dyDescent="0.25">
      <c r="A8370" s="88"/>
      <c r="B8370" s="94"/>
      <c r="C8370" s="89"/>
      <c r="D8370" s="89"/>
      <c r="E8370" s="89"/>
      <c r="F8370" s="93"/>
      <c r="G8370" s="81"/>
      <c r="H8370" s="81"/>
      <c r="I8370" s="81"/>
      <c r="J8370" s="81"/>
      <c r="K8370" s="81"/>
      <c r="L8370" s="81"/>
      <c r="M8370" s="81"/>
      <c r="N8370" s="81"/>
    </row>
    <row r="8371" spans="1:14" ht="14.25" customHeight="1" x14ac:dyDescent="0.25">
      <c r="A8371" s="95" t="s">
        <v>562</v>
      </c>
      <c r="B8371" s="96"/>
      <c r="C8371" s="92"/>
      <c r="D8371" s="92"/>
      <c r="E8371" s="92"/>
      <c r="F8371" s="92"/>
      <c r="G8371" s="81"/>
      <c r="H8371" s="81"/>
      <c r="I8371" s="81"/>
      <c r="J8371" s="81"/>
      <c r="K8371" s="81"/>
      <c r="L8371" s="81"/>
      <c r="M8371" s="81"/>
      <c r="N8371" s="81"/>
    </row>
    <row r="8372" spans="1:14" ht="14.25" customHeight="1" x14ac:dyDescent="0.25">
      <c r="A8372" s="97" t="s">
        <v>563</v>
      </c>
      <c r="B8372" s="98" t="s">
        <v>564</v>
      </c>
      <c r="C8372" s="98" t="s">
        <v>565</v>
      </c>
      <c r="D8372" s="98" t="s">
        <v>566</v>
      </c>
      <c r="E8372" s="98" t="s">
        <v>567</v>
      </c>
      <c r="F8372" s="98" t="s">
        <v>568</v>
      </c>
      <c r="G8372" s="81"/>
      <c r="H8372" s="81"/>
      <c r="I8372" s="81"/>
      <c r="J8372" s="81"/>
      <c r="K8372" s="81"/>
      <c r="L8372" s="81"/>
      <c r="M8372" s="81"/>
      <c r="N8372" s="81"/>
    </row>
    <row r="8373" spans="1:14" ht="14.25" customHeight="1" x14ac:dyDescent="0.25">
      <c r="A8373" s="99" t="s">
        <v>710</v>
      </c>
      <c r="B8373" s="100" t="s">
        <v>117</v>
      </c>
      <c r="C8373" s="101">
        <v>5980</v>
      </c>
      <c r="D8373" s="104">
        <v>7</v>
      </c>
      <c r="E8373" s="102">
        <v>0.05</v>
      </c>
      <c r="F8373" s="101">
        <f>C8373*(D8373+(D8373*E8373))</f>
        <v>43953</v>
      </c>
      <c r="G8373" s="81"/>
      <c r="H8373" s="81"/>
      <c r="I8373" s="81"/>
      <c r="J8373" s="81"/>
      <c r="K8373" s="81"/>
      <c r="L8373" s="81"/>
      <c r="M8373" s="81"/>
      <c r="N8373" s="81"/>
    </row>
    <row r="8374" spans="1:14" ht="14.25" customHeight="1" x14ac:dyDescent="0.25">
      <c r="A8374" s="99"/>
      <c r="B8374" s="100"/>
      <c r="C8374" s="101"/>
      <c r="D8374" s="104"/>
      <c r="E8374" s="102"/>
      <c r="F8374" s="101"/>
      <c r="G8374" s="81"/>
      <c r="H8374" s="81"/>
      <c r="I8374" s="81"/>
      <c r="J8374" s="81"/>
      <c r="K8374" s="81"/>
      <c r="L8374" s="81"/>
      <c r="M8374" s="81"/>
      <c r="N8374" s="81"/>
    </row>
    <row r="8375" spans="1:14" ht="15.75" x14ac:dyDescent="0.25">
      <c r="A8375" s="103"/>
      <c r="B8375" s="100"/>
      <c r="C8375" s="101"/>
      <c r="D8375" s="104"/>
      <c r="E8375" s="102"/>
      <c r="F8375" s="101"/>
      <c r="G8375" s="81"/>
      <c r="H8375" s="81"/>
      <c r="I8375" s="81"/>
      <c r="J8375" s="81"/>
      <c r="K8375" s="81"/>
      <c r="L8375" s="81"/>
      <c r="M8375" s="81"/>
      <c r="N8375" s="81"/>
    </row>
    <row r="8376" spans="1:14" ht="14.25" customHeight="1" x14ac:dyDescent="0.25">
      <c r="A8376" s="99"/>
      <c r="B8376" s="100"/>
      <c r="C8376" s="101"/>
      <c r="D8376" s="104"/>
      <c r="E8376" s="102"/>
      <c r="F8376" s="101"/>
      <c r="G8376" s="81"/>
      <c r="H8376" s="81"/>
      <c r="I8376" s="81"/>
      <c r="J8376" s="81"/>
      <c r="K8376" s="81"/>
      <c r="L8376" s="81"/>
      <c r="M8376" s="81"/>
      <c r="N8376" s="81"/>
    </row>
    <row r="8377" spans="1:14" ht="14.25" customHeight="1" x14ac:dyDescent="0.25">
      <c r="A8377" s="99"/>
      <c r="B8377" s="100"/>
      <c r="C8377" s="106"/>
      <c r="D8377" s="104"/>
      <c r="E8377" s="102"/>
      <c r="F8377" s="101"/>
      <c r="G8377" s="81"/>
      <c r="H8377" s="81"/>
      <c r="I8377" s="81"/>
      <c r="J8377" s="81"/>
      <c r="K8377" s="81"/>
      <c r="L8377" s="81"/>
      <c r="M8377" s="81"/>
      <c r="N8377" s="81"/>
    </row>
    <row r="8378" spans="1:14" ht="14.25" customHeight="1" x14ac:dyDescent="0.25">
      <c r="A8378" s="103"/>
      <c r="B8378" s="100"/>
      <c r="C8378" s="101"/>
      <c r="D8378" s="105"/>
      <c r="E8378" s="102"/>
      <c r="F8378" s="101"/>
      <c r="G8378" s="81"/>
      <c r="H8378" s="81"/>
      <c r="I8378" s="81"/>
      <c r="J8378" s="81"/>
      <c r="K8378" s="81"/>
      <c r="L8378" s="81"/>
      <c r="M8378" s="81"/>
      <c r="N8378" s="81"/>
    </row>
    <row r="8379" spans="1:14" ht="14.25" customHeight="1" x14ac:dyDescent="0.25">
      <c r="A8379" s="99"/>
      <c r="B8379" s="100"/>
      <c r="C8379" s="106"/>
      <c r="D8379" s="107"/>
      <c r="E8379" s="108"/>
      <c r="F8379" s="106"/>
      <c r="G8379" s="81"/>
      <c r="H8379" s="81"/>
      <c r="I8379" s="81"/>
      <c r="J8379" s="81"/>
      <c r="K8379" s="81"/>
      <c r="L8379" s="81"/>
      <c r="M8379" s="81"/>
      <c r="N8379" s="81"/>
    </row>
    <row r="8380" spans="1:14" ht="14.25" customHeight="1" x14ac:dyDescent="0.25">
      <c r="A8380" s="97" t="s">
        <v>548</v>
      </c>
      <c r="B8380" s="97"/>
      <c r="C8380" s="109"/>
      <c r="D8380" s="110"/>
      <c r="E8380" s="111"/>
      <c r="F8380" s="112">
        <f>SUM(F8373:F8379)</f>
        <v>43953</v>
      </c>
      <c r="G8380" s="81"/>
      <c r="H8380" s="81"/>
      <c r="I8380" s="81"/>
      <c r="J8380" s="81"/>
      <c r="K8380" s="81"/>
      <c r="L8380" s="81"/>
      <c r="M8380" s="81"/>
      <c r="N8380" s="81"/>
    </row>
    <row r="8381" spans="1:14" ht="14.25" customHeight="1" x14ac:dyDescent="0.25">
      <c r="A8381" s="88"/>
      <c r="B8381" s="88"/>
      <c r="C8381" s="113"/>
      <c r="D8381" s="113"/>
      <c r="E8381" s="114"/>
      <c r="F8381" s="113"/>
      <c r="G8381" s="81"/>
      <c r="H8381" s="81"/>
      <c r="I8381" s="81"/>
      <c r="J8381" s="81"/>
      <c r="K8381" s="81"/>
      <c r="L8381" s="81"/>
      <c r="M8381" s="81"/>
      <c r="N8381" s="81"/>
    </row>
    <row r="8382" spans="1:14" ht="14.25" customHeight="1" x14ac:dyDescent="0.25">
      <c r="A8382" s="96" t="s">
        <v>573</v>
      </c>
      <c r="B8382" s="96"/>
      <c r="C8382" s="92"/>
      <c r="D8382" s="92"/>
      <c r="E8382" s="92"/>
      <c r="F8382" s="92"/>
      <c r="G8382" s="81"/>
      <c r="H8382" s="81"/>
      <c r="I8382" s="81"/>
      <c r="J8382" s="81"/>
      <c r="K8382" s="81"/>
      <c r="L8382" s="81"/>
      <c r="M8382" s="81"/>
      <c r="N8382" s="81"/>
    </row>
    <row r="8383" spans="1:14" ht="14.25" customHeight="1" x14ac:dyDescent="0.25">
      <c r="A8383" s="611" t="s">
        <v>563</v>
      </c>
      <c r="B8383" s="608"/>
      <c r="C8383" s="609"/>
      <c r="D8383" s="98" t="s">
        <v>574</v>
      </c>
      <c r="E8383" s="98" t="s">
        <v>575</v>
      </c>
      <c r="F8383" s="98" t="s">
        <v>568</v>
      </c>
      <c r="G8383" s="81"/>
      <c r="H8383" s="81"/>
      <c r="I8383" s="81"/>
      <c r="J8383" s="81"/>
      <c r="K8383" s="81"/>
      <c r="L8383" s="81"/>
      <c r="M8383" s="81"/>
      <c r="N8383" s="81"/>
    </row>
    <row r="8384" spans="1:14" ht="14.25" customHeight="1" x14ac:dyDescent="0.25">
      <c r="A8384" s="607" t="s">
        <v>577</v>
      </c>
      <c r="B8384" s="608"/>
      <c r="C8384" s="609"/>
      <c r="D8384" s="116"/>
      <c r="E8384" s="107"/>
      <c r="F8384" s="106">
        <f>+F8396*5%</f>
        <v>746.90277348180223</v>
      </c>
      <c r="G8384" s="81"/>
      <c r="H8384" s="81"/>
      <c r="I8384" s="81"/>
      <c r="J8384" s="81"/>
      <c r="K8384" s="81"/>
      <c r="L8384" s="81"/>
      <c r="M8384" s="81"/>
      <c r="N8384" s="81"/>
    </row>
    <row r="8385" spans="1:14" ht="14.25" customHeight="1" x14ac:dyDescent="0.25">
      <c r="A8385" s="607" t="s">
        <v>824</v>
      </c>
      <c r="B8385" s="608"/>
      <c r="C8385" s="609"/>
      <c r="D8385" s="142">
        <v>9750</v>
      </c>
      <c r="E8385" s="107">
        <v>0.48</v>
      </c>
      <c r="F8385" s="106">
        <f>D8385/E8385</f>
        <v>20312.5</v>
      </c>
      <c r="G8385" s="81"/>
      <c r="H8385" s="81"/>
      <c r="I8385" s="81"/>
      <c r="J8385" s="81"/>
      <c r="K8385" s="81"/>
      <c r="L8385" s="81"/>
      <c r="M8385" s="81"/>
      <c r="N8385" s="81"/>
    </row>
    <row r="8386" spans="1:14" ht="14.25" customHeight="1" x14ac:dyDescent="0.25">
      <c r="A8386" s="607"/>
      <c r="B8386" s="608"/>
      <c r="C8386" s="609"/>
      <c r="D8386" s="142"/>
      <c r="E8386" s="107"/>
      <c r="F8386" s="106"/>
      <c r="G8386" s="81"/>
      <c r="H8386" s="81"/>
      <c r="I8386" s="81"/>
      <c r="J8386" s="81"/>
      <c r="K8386" s="81"/>
      <c r="L8386" s="81"/>
      <c r="M8386" s="81"/>
      <c r="N8386" s="81"/>
    </row>
    <row r="8387" spans="1:14" ht="14.25" customHeight="1" x14ac:dyDescent="0.25">
      <c r="A8387" s="610"/>
      <c r="B8387" s="608"/>
      <c r="C8387" s="609"/>
      <c r="D8387" s="115"/>
      <c r="E8387" s="107"/>
      <c r="F8387" s="106"/>
      <c r="G8387" s="81"/>
      <c r="H8387" s="81"/>
      <c r="I8387" s="81"/>
      <c r="J8387" s="81"/>
      <c r="K8387" s="81"/>
      <c r="L8387" s="81"/>
      <c r="M8387" s="81"/>
      <c r="N8387" s="81"/>
    </row>
    <row r="8388" spans="1:14" ht="14.25" customHeight="1" x14ac:dyDescent="0.25">
      <c r="A8388" s="611" t="s">
        <v>548</v>
      </c>
      <c r="B8388" s="608"/>
      <c r="C8388" s="609"/>
      <c r="D8388" s="110"/>
      <c r="E8388" s="110"/>
      <c r="F8388" s="112">
        <f>SUM(F8384:F8386)</f>
        <v>21059.402773481801</v>
      </c>
      <c r="G8388" s="81"/>
      <c r="H8388" s="81"/>
      <c r="I8388" s="81"/>
      <c r="J8388" s="81"/>
      <c r="K8388" s="81"/>
      <c r="L8388" s="81"/>
      <c r="M8388" s="81"/>
      <c r="N8388" s="81"/>
    </row>
    <row r="8389" spans="1:14" ht="14.25" customHeight="1" x14ac:dyDescent="0.25">
      <c r="A8389" s="88"/>
      <c r="B8389" s="88"/>
      <c r="C8389" s="89"/>
      <c r="D8389" s="113"/>
      <c r="E8389" s="113"/>
      <c r="F8389" s="113"/>
      <c r="G8389" s="81"/>
      <c r="H8389" s="117">
        <f>57364-F10302</f>
        <v>0</v>
      </c>
      <c r="I8389" s="81"/>
      <c r="J8389" s="81"/>
      <c r="K8389" s="81"/>
      <c r="L8389" s="81"/>
      <c r="M8389" s="81"/>
      <c r="N8389" s="81"/>
    </row>
    <row r="8390" spans="1:14" ht="14.25" customHeight="1" x14ac:dyDescent="0.25">
      <c r="A8390" s="96" t="s">
        <v>578</v>
      </c>
      <c r="B8390" s="96"/>
      <c r="C8390" s="92"/>
      <c r="D8390" s="118"/>
      <c r="E8390" s="118"/>
      <c r="F8390" s="118"/>
      <c r="G8390" s="81"/>
      <c r="H8390" s="81"/>
      <c r="I8390" s="81"/>
      <c r="J8390" s="81"/>
      <c r="K8390" s="81"/>
      <c r="L8390" s="81"/>
      <c r="M8390" s="81"/>
      <c r="N8390" s="81"/>
    </row>
    <row r="8391" spans="1:14" ht="14.25" customHeight="1" x14ac:dyDescent="0.25">
      <c r="A8391" s="119" t="s">
        <v>563</v>
      </c>
      <c r="B8391" s="120" t="s">
        <v>579</v>
      </c>
      <c r="C8391" s="120" t="s">
        <v>580</v>
      </c>
      <c r="D8391" s="121" t="s">
        <v>581</v>
      </c>
      <c r="E8391" s="121" t="s">
        <v>575</v>
      </c>
      <c r="F8391" s="121" t="s">
        <v>568</v>
      </c>
      <c r="G8391" s="81"/>
      <c r="H8391" s="81"/>
      <c r="I8391" s="81"/>
      <c r="J8391" s="81"/>
      <c r="K8391" s="81"/>
      <c r="L8391" s="81"/>
      <c r="M8391" s="81"/>
      <c r="N8391" s="81"/>
    </row>
    <row r="8392" spans="1:14" ht="14.25" customHeight="1" x14ac:dyDescent="0.25">
      <c r="A8392" s="122" t="s">
        <v>593</v>
      </c>
      <c r="B8392" s="127">
        <v>1</v>
      </c>
      <c r="C8392" s="101">
        <v>32688</v>
      </c>
      <c r="D8392" s="101">
        <f t="shared" ref="D8392:D8393" si="417">+C8392*1.7</f>
        <v>55569.599999999999</v>
      </c>
      <c r="E8392" s="107">
        <v>9.6989999999999998</v>
      </c>
      <c r="F8392" s="106">
        <f t="shared" ref="F8392:F8393" si="418">+B8392*(D8392)/E8392</f>
        <v>5729.4154036498603</v>
      </c>
      <c r="G8392" s="81"/>
      <c r="H8392" s="81"/>
      <c r="I8392" s="81"/>
      <c r="J8392" s="81"/>
      <c r="K8392" s="81"/>
      <c r="L8392" s="81"/>
      <c r="M8392" s="81"/>
      <c r="N8392" s="81"/>
    </row>
    <row r="8393" spans="1:14" ht="14.25" customHeight="1" x14ac:dyDescent="0.25">
      <c r="A8393" s="122" t="s">
        <v>594</v>
      </c>
      <c r="B8393" s="127">
        <v>1</v>
      </c>
      <c r="C8393" s="101">
        <v>52538</v>
      </c>
      <c r="D8393" s="101">
        <f t="shared" si="417"/>
        <v>89314.599999999991</v>
      </c>
      <c r="E8393" s="107">
        <f>E8392</f>
        <v>9.6989999999999998</v>
      </c>
      <c r="F8393" s="106">
        <f t="shared" si="418"/>
        <v>9208.6400659861829</v>
      </c>
      <c r="G8393" s="81"/>
      <c r="H8393" s="81"/>
      <c r="I8393" s="81"/>
      <c r="J8393" s="81"/>
      <c r="K8393" s="81"/>
      <c r="L8393" s="81"/>
      <c r="M8393" s="81"/>
      <c r="N8393" s="81"/>
    </row>
    <row r="8394" spans="1:14" ht="14.25" customHeight="1" x14ac:dyDescent="0.25">
      <c r="A8394" s="122"/>
      <c r="B8394" s="127"/>
      <c r="C8394" s="101"/>
      <c r="D8394" s="101"/>
      <c r="E8394" s="107"/>
      <c r="F8394" s="106"/>
      <c r="G8394" s="81"/>
      <c r="H8394" s="81"/>
      <c r="I8394" s="81"/>
      <c r="J8394" s="81"/>
      <c r="K8394" s="81"/>
      <c r="L8394" s="81"/>
      <c r="M8394" s="81"/>
      <c r="N8394" s="81"/>
    </row>
    <row r="8395" spans="1:14" ht="14.25" customHeight="1" x14ac:dyDescent="0.25">
      <c r="A8395" s="122"/>
      <c r="B8395" s="127"/>
      <c r="C8395" s="101"/>
      <c r="D8395" s="101"/>
      <c r="E8395" s="125"/>
      <c r="F8395" s="106"/>
      <c r="G8395" s="81"/>
      <c r="H8395" s="81"/>
      <c r="I8395" s="81"/>
      <c r="J8395" s="81"/>
      <c r="K8395" s="81"/>
      <c r="L8395" s="81"/>
      <c r="M8395" s="81"/>
      <c r="N8395" s="81"/>
    </row>
    <row r="8396" spans="1:14" ht="14.25" customHeight="1" x14ac:dyDescent="0.25">
      <c r="A8396" s="97" t="s">
        <v>548</v>
      </c>
      <c r="B8396" s="128"/>
      <c r="C8396" s="110"/>
      <c r="D8396" s="110"/>
      <c r="E8396" s="110"/>
      <c r="F8396" s="112">
        <f>SUM(F8392:F8395)</f>
        <v>14938.055469636043</v>
      </c>
      <c r="G8396" s="81"/>
      <c r="H8396" s="81"/>
      <c r="I8396" s="81"/>
      <c r="J8396" s="81"/>
      <c r="K8396" s="81"/>
      <c r="L8396" s="81"/>
      <c r="M8396" s="81"/>
      <c r="N8396" s="81"/>
    </row>
    <row r="8397" spans="1:14" ht="14.25" customHeight="1" x14ac:dyDescent="0.25">
      <c r="A8397" s="96"/>
      <c r="B8397" s="129"/>
      <c r="C8397" s="118"/>
      <c r="D8397" s="118"/>
      <c r="E8397" s="118"/>
      <c r="F8397" s="118"/>
      <c r="G8397" s="81"/>
      <c r="H8397" s="81"/>
      <c r="I8397" s="81"/>
      <c r="J8397" s="81"/>
      <c r="K8397" s="81"/>
      <c r="L8397" s="81"/>
      <c r="M8397" s="81"/>
      <c r="N8397" s="81"/>
    </row>
    <row r="8398" spans="1:14" ht="14.25" customHeight="1" x14ac:dyDescent="0.25">
      <c r="A8398" s="95" t="s">
        <v>583</v>
      </c>
      <c r="B8398" s="96"/>
      <c r="C8398" s="92"/>
      <c r="D8398" s="92"/>
      <c r="E8398" s="92" t="s">
        <v>584</v>
      </c>
      <c r="F8398" s="92"/>
      <c r="G8398" s="81"/>
      <c r="H8398" s="81"/>
      <c r="I8398" s="81"/>
      <c r="J8398" s="81"/>
      <c r="K8398" s="81"/>
      <c r="L8398" s="81"/>
      <c r="M8398" s="81"/>
      <c r="N8398" s="81"/>
    </row>
    <row r="8399" spans="1:14" ht="14.25" customHeight="1" x14ac:dyDescent="0.25">
      <c r="A8399" s="97" t="s">
        <v>563</v>
      </c>
      <c r="B8399" s="98" t="s">
        <v>564</v>
      </c>
      <c r="C8399" s="98" t="s">
        <v>585</v>
      </c>
      <c r="D8399" s="98" t="s">
        <v>586</v>
      </c>
      <c r="E8399" s="120" t="s">
        <v>587</v>
      </c>
      <c r="F8399" s="98" t="s">
        <v>568</v>
      </c>
      <c r="G8399" s="81"/>
      <c r="H8399" s="81"/>
      <c r="I8399" s="81"/>
      <c r="J8399" s="81"/>
      <c r="K8399" s="81"/>
      <c r="L8399" s="81"/>
      <c r="M8399" s="81"/>
      <c r="N8399" s="81"/>
    </row>
    <row r="8400" spans="1:14" ht="14.25" customHeight="1" x14ac:dyDescent="0.25">
      <c r="A8400" s="103"/>
      <c r="B8400" s="100"/>
      <c r="C8400" s="101"/>
      <c r="D8400" s="140"/>
      <c r="E8400" s="107"/>
      <c r="F8400" s="109">
        <f>+C8400*D8400*E8400</f>
        <v>0</v>
      </c>
      <c r="G8400" s="81"/>
      <c r="H8400" s="81"/>
      <c r="I8400" s="81"/>
      <c r="J8400" s="81"/>
      <c r="K8400" s="81"/>
      <c r="L8400" s="81"/>
      <c r="M8400" s="81"/>
      <c r="N8400" s="81"/>
    </row>
    <row r="8401" spans="1:14" ht="14.25" customHeight="1" x14ac:dyDescent="0.25">
      <c r="A8401" s="103"/>
      <c r="B8401" s="100"/>
      <c r="C8401" s="107"/>
      <c r="D8401" s="107"/>
      <c r="E8401" s="108"/>
      <c r="F8401" s="109"/>
      <c r="G8401" s="81"/>
      <c r="H8401" s="81"/>
      <c r="I8401" s="81"/>
      <c r="J8401" s="81"/>
      <c r="K8401" s="81"/>
      <c r="L8401" s="81"/>
      <c r="M8401" s="81"/>
      <c r="N8401" s="81"/>
    </row>
    <row r="8402" spans="1:14" ht="14.25" customHeight="1" x14ac:dyDescent="0.25">
      <c r="A8402" s="97" t="s">
        <v>548</v>
      </c>
      <c r="B8402" s="98"/>
      <c r="C8402" s="110"/>
      <c r="D8402" s="110"/>
      <c r="E8402" s="111"/>
      <c r="F8402" s="112">
        <f>SUM(F8400:F8401)</f>
        <v>0</v>
      </c>
      <c r="G8402" s="81"/>
      <c r="H8402" s="81"/>
      <c r="I8402" s="81"/>
      <c r="J8402" s="81"/>
      <c r="K8402" s="81"/>
      <c r="L8402" s="81"/>
      <c r="M8402" s="81"/>
      <c r="N8402" s="81"/>
    </row>
    <row r="8403" spans="1:14" ht="14.25" customHeight="1" x14ac:dyDescent="0.25">
      <c r="A8403" s="88"/>
      <c r="B8403" s="89"/>
      <c r="C8403" s="113"/>
      <c r="D8403" s="113"/>
      <c r="E8403" s="114"/>
      <c r="F8403" s="113"/>
      <c r="G8403" s="81"/>
      <c r="H8403" s="81"/>
      <c r="I8403" s="81"/>
      <c r="J8403" s="81"/>
      <c r="K8403" s="81"/>
      <c r="L8403" s="81"/>
      <c r="M8403" s="81"/>
      <c r="N8403" s="81"/>
    </row>
    <row r="8404" spans="1:14" ht="14.25" customHeight="1" x14ac:dyDescent="0.25">
      <c r="A8404" s="88"/>
      <c r="B8404" s="89"/>
      <c r="C8404" s="113"/>
      <c r="D8404" s="113"/>
      <c r="E8404" s="114"/>
      <c r="F8404" s="113"/>
      <c r="G8404" s="81"/>
      <c r="H8404" s="81"/>
      <c r="I8404" s="81"/>
      <c r="J8404" s="81"/>
      <c r="K8404" s="81"/>
      <c r="L8404" s="81"/>
      <c r="M8404" s="81"/>
      <c r="N8404" s="81"/>
    </row>
    <row r="8405" spans="1:14" ht="14.25" customHeight="1" x14ac:dyDescent="0.25">
      <c r="A8405" s="612" t="s">
        <v>588</v>
      </c>
      <c r="B8405" s="608"/>
      <c r="C8405" s="608"/>
      <c r="D8405" s="608"/>
      <c r="E8405" s="609"/>
      <c r="F8405" s="131">
        <f>ROUND(F8380+F8388+F8396+F8402,0)</f>
        <v>79950</v>
      </c>
      <c r="G8405" s="81"/>
      <c r="H8405" s="81"/>
      <c r="I8405" s="81"/>
      <c r="J8405" s="81"/>
      <c r="K8405" s="81"/>
      <c r="L8405" s="81"/>
      <c r="M8405" s="81"/>
      <c r="N8405" s="81"/>
    </row>
    <row r="8406" spans="1:14" ht="14.25" customHeight="1" x14ac:dyDescent="0.25">
      <c r="A8406" s="612" t="s">
        <v>589</v>
      </c>
      <c r="B8406" s="608"/>
      <c r="C8406" s="608"/>
      <c r="D8406" s="608"/>
      <c r="E8406" s="609"/>
      <c r="F8406" s="132"/>
      <c r="G8406" s="81"/>
      <c r="H8406" s="81"/>
      <c r="I8406" s="81"/>
      <c r="J8406" s="81"/>
      <c r="K8406" s="81"/>
      <c r="L8406" s="81"/>
      <c r="M8406" s="81"/>
      <c r="N8406" s="81"/>
    </row>
    <row r="8407" spans="1:14" ht="14.25" customHeight="1" x14ac:dyDescent="0.25">
      <c r="A8407" s="612" t="s">
        <v>556</v>
      </c>
      <c r="B8407" s="608"/>
      <c r="C8407" s="608"/>
      <c r="D8407" s="608"/>
      <c r="E8407" s="609"/>
      <c r="F8407" s="133"/>
      <c r="G8407" s="81"/>
      <c r="H8407" s="81"/>
      <c r="I8407" s="81"/>
      <c r="J8407" s="81"/>
      <c r="K8407" s="81"/>
      <c r="L8407" s="81"/>
      <c r="M8407" s="81"/>
      <c r="N8407" s="81"/>
    </row>
    <row r="8408" spans="1:14" ht="14.25" customHeight="1" x14ac:dyDescent="0.25">
      <c r="A8408" s="134"/>
      <c r="B8408" s="135"/>
      <c r="C8408" s="135"/>
      <c r="D8408" s="135"/>
      <c r="E8408" s="135"/>
      <c r="F8408" s="136"/>
      <c r="G8408" s="81"/>
      <c r="H8408" s="81"/>
      <c r="I8408" s="81"/>
      <c r="J8408" s="81"/>
      <c r="K8408" s="81"/>
      <c r="L8408" s="81"/>
      <c r="M8408" s="81"/>
      <c r="N8408" s="81"/>
    </row>
    <row r="8409" spans="1:14" ht="14.25" customHeight="1" x14ac:dyDescent="0.25">
      <c r="A8409" s="81"/>
      <c r="B8409" s="81"/>
      <c r="C8409" s="137"/>
      <c r="D8409" s="81"/>
      <c r="E8409" s="81"/>
      <c r="F8409" s="81"/>
      <c r="G8409" s="81"/>
      <c r="H8409" s="81"/>
      <c r="I8409" s="81"/>
      <c r="J8409" s="81"/>
      <c r="K8409" s="81"/>
      <c r="L8409" s="81"/>
      <c r="M8409" s="81"/>
      <c r="N8409" s="81"/>
    </row>
    <row r="8410" spans="1:14" ht="14.25" customHeight="1" x14ac:dyDescent="0.25">
      <c r="A8410" s="81"/>
      <c r="B8410" s="81"/>
      <c r="C8410" s="137"/>
      <c r="D8410" s="81"/>
      <c r="E8410" s="81"/>
      <c r="F8410" s="81"/>
      <c r="G8410" s="81"/>
      <c r="H8410" s="81"/>
      <c r="I8410" s="81"/>
      <c r="J8410" s="81"/>
      <c r="K8410" s="81"/>
      <c r="L8410" s="81"/>
      <c r="M8410" s="81"/>
      <c r="N8410" s="81"/>
    </row>
    <row r="8411" spans="1:14" ht="14.25" customHeight="1" x14ac:dyDescent="0.25">
      <c r="A8411" s="81"/>
      <c r="B8411" s="81"/>
      <c r="C8411" s="137"/>
      <c r="D8411" s="81"/>
      <c r="E8411" s="81"/>
      <c r="F8411" s="81"/>
      <c r="G8411" s="81"/>
      <c r="H8411" s="81"/>
      <c r="I8411" s="81"/>
      <c r="J8411" s="81"/>
      <c r="K8411" s="81"/>
      <c r="L8411" s="81"/>
      <c r="M8411" s="81"/>
      <c r="N8411" s="81"/>
    </row>
    <row r="8412" spans="1:14" ht="15.75" x14ac:dyDescent="0.25">
      <c r="A8412" s="81"/>
      <c r="B8412" s="81"/>
      <c r="C8412" s="137"/>
      <c r="D8412" s="81"/>
      <c r="E8412" s="81"/>
      <c r="F8412" s="81"/>
      <c r="G8412" s="81"/>
      <c r="H8412" s="81"/>
      <c r="I8412" s="81"/>
      <c r="J8412" s="81"/>
      <c r="K8412" s="81"/>
      <c r="L8412" s="81"/>
      <c r="M8412" s="81"/>
      <c r="N8412" s="81"/>
    </row>
    <row r="8413" spans="1:14" ht="14.25" customHeight="1" x14ac:dyDescent="0.25">
      <c r="A8413" s="81"/>
      <c r="B8413" s="81"/>
      <c r="C8413" s="137"/>
      <c r="D8413" s="81"/>
      <c r="E8413" s="81"/>
      <c r="F8413" s="81"/>
      <c r="G8413" s="81"/>
      <c r="H8413" s="81"/>
      <c r="I8413" s="81"/>
      <c r="J8413" s="81"/>
      <c r="K8413" s="81"/>
      <c r="L8413" s="81"/>
      <c r="M8413" s="81"/>
      <c r="N8413" s="81"/>
    </row>
    <row r="8414" spans="1:14" ht="14.25" customHeight="1" x14ac:dyDescent="0.25">
      <c r="A8414" s="134"/>
      <c r="B8414" s="135"/>
      <c r="C8414" s="135"/>
      <c r="D8414" s="135"/>
      <c r="E8414" s="135"/>
      <c r="F8414" s="136"/>
      <c r="G8414" s="81"/>
      <c r="H8414" s="81"/>
      <c r="I8414" s="81"/>
      <c r="J8414" s="81"/>
      <c r="K8414" s="81"/>
      <c r="L8414" s="81"/>
      <c r="M8414" s="81"/>
      <c r="N8414" s="81"/>
    </row>
    <row r="8415" spans="1:14" ht="14.25" customHeight="1" x14ac:dyDescent="0.25">
      <c r="A8415" s="134"/>
      <c r="B8415" s="135"/>
      <c r="C8415" s="135"/>
      <c r="D8415" s="135"/>
      <c r="E8415" s="135"/>
      <c r="F8415" s="136"/>
      <c r="G8415" s="81"/>
      <c r="H8415" s="81"/>
      <c r="I8415" s="81"/>
      <c r="J8415" s="81"/>
      <c r="K8415" s="81"/>
      <c r="L8415" s="81"/>
      <c r="M8415" s="81"/>
      <c r="N8415" s="81"/>
    </row>
    <row r="8416" spans="1:14" ht="14.25" customHeight="1" x14ac:dyDescent="0.25">
      <c r="A8416" s="134"/>
      <c r="B8416" s="135"/>
      <c r="C8416" s="135"/>
      <c r="D8416" s="135"/>
      <c r="E8416" s="135"/>
      <c r="F8416" s="136"/>
      <c r="G8416" s="81"/>
      <c r="H8416" s="81"/>
      <c r="I8416" s="81"/>
      <c r="J8416" s="81"/>
      <c r="K8416" s="81"/>
      <c r="L8416" s="81"/>
      <c r="M8416" s="81"/>
      <c r="N8416" s="81"/>
    </row>
    <row r="8417" spans="1:14" ht="14.25" customHeight="1" thickBot="1" x14ac:dyDescent="0.3">
      <c r="A8417" s="81"/>
      <c r="B8417" s="81"/>
      <c r="C8417" s="81"/>
      <c r="D8417" s="81"/>
      <c r="E8417" s="81"/>
      <c r="F8417" s="81"/>
      <c r="G8417" s="81"/>
      <c r="H8417" s="81"/>
      <c r="I8417" s="81"/>
      <c r="J8417" s="81"/>
      <c r="K8417" s="81"/>
      <c r="L8417" s="81"/>
      <c r="M8417" s="81"/>
      <c r="N8417" s="81"/>
    </row>
    <row r="8418" spans="1:14" ht="14.25" customHeight="1" x14ac:dyDescent="0.25">
      <c r="A8418" s="83"/>
      <c r="B8418" s="84"/>
      <c r="C8418" s="85"/>
      <c r="D8418" s="86"/>
      <c r="E8418" s="86"/>
      <c r="F8418" s="87"/>
      <c r="G8418" s="81"/>
      <c r="H8418" s="81"/>
      <c r="I8418" s="81"/>
      <c r="J8418" s="81"/>
      <c r="K8418" s="81"/>
      <c r="L8418" s="81"/>
      <c r="M8418" s="81"/>
      <c r="N8418" s="81"/>
    </row>
    <row r="8419" spans="1:14" ht="14.25" customHeight="1" x14ac:dyDescent="0.25">
      <c r="A8419" s="599"/>
      <c r="B8419" s="600"/>
      <c r="C8419" s="600"/>
      <c r="D8419" s="600"/>
      <c r="E8419" s="600"/>
      <c r="F8419" s="601"/>
      <c r="G8419" s="81"/>
      <c r="H8419" s="81"/>
      <c r="I8419" s="81"/>
      <c r="J8419" s="81"/>
      <c r="K8419" s="81"/>
      <c r="L8419" s="81"/>
      <c r="M8419" s="81"/>
      <c r="N8419" s="81"/>
    </row>
    <row r="8420" spans="1:14" ht="14.25" customHeight="1" x14ac:dyDescent="0.25">
      <c r="A8420" s="602" t="s">
        <v>561</v>
      </c>
      <c r="B8420" s="600"/>
      <c r="C8420" s="600"/>
      <c r="D8420" s="600"/>
      <c r="E8420" s="600"/>
      <c r="F8420" s="601"/>
      <c r="G8420" s="81"/>
      <c r="H8420" s="81"/>
      <c r="I8420" s="81"/>
      <c r="J8420" s="81"/>
      <c r="K8420" s="81"/>
      <c r="L8420" s="81"/>
      <c r="M8420" s="81"/>
      <c r="N8420" s="81"/>
    </row>
    <row r="8421" spans="1:14" ht="14.25" customHeight="1" thickBot="1" x14ac:dyDescent="0.3">
      <c r="A8421" s="603"/>
      <c r="B8421" s="604"/>
      <c r="C8421" s="604"/>
      <c r="D8421" s="604"/>
      <c r="E8421" s="604"/>
      <c r="F8421" s="605"/>
      <c r="G8421" s="81"/>
      <c r="H8421" s="81"/>
      <c r="I8421" s="81"/>
      <c r="J8421" s="81"/>
      <c r="K8421" s="81"/>
      <c r="L8421" s="81"/>
      <c r="M8421" s="81"/>
      <c r="N8421" s="81"/>
    </row>
    <row r="8422" spans="1:14" ht="14.25" customHeight="1" x14ac:dyDescent="0.25">
      <c r="A8422" s="88"/>
      <c r="B8422" s="88"/>
      <c r="C8422" s="89"/>
      <c r="D8422" s="89"/>
      <c r="E8422" s="89"/>
      <c r="F8422" s="89"/>
      <c r="G8422" s="81"/>
      <c r="H8422" s="81"/>
      <c r="I8422" s="81"/>
      <c r="J8422" s="81"/>
      <c r="K8422" s="81"/>
      <c r="L8422" s="81"/>
      <c r="M8422" s="81"/>
      <c r="N8422" s="81"/>
    </row>
    <row r="8423" spans="1:14" ht="14.25" customHeight="1" x14ac:dyDescent="0.25">
      <c r="A8423" s="90" t="s">
        <v>47</v>
      </c>
      <c r="B8423" s="613" t="s">
        <v>395</v>
      </c>
      <c r="C8423" s="600"/>
      <c r="D8423" s="600"/>
      <c r="E8423" s="600"/>
      <c r="F8423" s="600"/>
      <c r="G8423" s="81"/>
      <c r="H8423" s="81"/>
      <c r="I8423" s="81"/>
      <c r="J8423" s="81"/>
      <c r="K8423" s="81"/>
      <c r="L8423" s="81"/>
      <c r="M8423" s="81"/>
      <c r="N8423" s="81"/>
    </row>
    <row r="8424" spans="1:14" ht="14.25" customHeight="1" x14ac:dyDescent="0.25">
      <c r="A8424" s="91"/>
      <c r="B8424" s="91"/>
      <c r="C8424" s="91"/>
      <c r="D8424" s="91"/>
      <c r="E8424" s="91"/>
      <c r="F8424" s="91"/>
      <c r="G8424" s="81"/>
      <c r="H8424" s="81"/>
      <c r="I8424" s="81"/>
      <c r="J8424" s="81"/>
      <c r="K8424" s="81"/>
      <c r="L8424" s="81"/>
      <c r="M8424" s="81"/>
      <c r="N8424" s="81"/>
    </row>
    <row r="8425" spans="1:14" ht="14.25" customHeight="1" x14ac:dyDescent="0.25">
      <c r="A8425" s="88" t="s">
        <v>49</v>
      </c>
      <c r="B8425" s="92" t="s">
        <v>56</v>
      </c>
      <c r="C8425" s="89"/>
      <c r="D8425" s="89"/>
      <c r="E8425" s="89"/>
      <c r="F8425" s="93"/>
      <c r="G8425" s="81"/>
      <c r="H8425" s="81"/>
      <c r="I8425" s="81"/>
      <c r="J8425" s="81"/>
      <c r="K8425" s="81"/>
      <c r="L8425" s="81"/>
      <c r="M8425" s="81"/>
      <c r="N8425" s="81"/>
    </row>
    <row r="8426" spans="1:14" ht="14.25" customHeight="1" x14ac:dyDescent="0.25">
      <c r="A8426" s="88"/>
      <c r="B8426" s="94"/>
      <c r="C8426" s="89"/>
      <c r="D8426" s="89"/>
      <c r="E8426" s="89"/>
      <c r="F8426" s="93"/>
      <c r="G8426" s="81"/>
      <c r="H8426" s="81"/>
      <c r="I8426" s="81"/>
      <c r="J8426" s="81"/>
      <c r="K8426" s="81"/>
      <c r="L8426" s="81"/>
      <c r="M8426" s="81"/>
      <c r="N8426" s="81"/>
    </row>
    <row r="8427" spans="1:14" ht="14.25" customHeight="1" x14ac:dyDescent="0.25">
      <c r="A8427" s="95" t="s">
        <v>562</v>
      </c>
      <c r="B8427" s="96"/>
      <c r="C8427" s="92"/>
      <c r="D8427" s="92"/>
      <c r="E8427" s="92"/>
      <c r="F8427" s="92"/>
      <c r="G8427" s="81"/>
      <c r="H8427" s="81"/>
      <c r="I8427" s="81"/>
      <c r="J8427" s="81"/>
      <c r="K8427" s="81"/>
      <c r="L8427" s="81"/>
      <c r="M8427" s="81"/>
      <c r="N8427" s="81"/>
    </row>
    <row r="8428" spans="1:14" ht="14.25" customHeight="1" x14ac:dyDescent="0.25">
      <c r="A8428" s="97" t="s">
        <v>563</v>
      </c>
      <c r="B8428" s="98" t="s">
        <v>564</v>
      </c>
      <c r="C8428" s="98" t="s">
        <v>565</v>
      </c>
      <c r="D8428" s="98" t="s">
        <v>566</v>
      </c>
      <c r="E8428" s="98" t="s">
        <v>567</v>
      </c>
      <c r="F8428" s="98" t="s">
        <v>568</v>
      </c>
      <c r="G8428" s="81"/>
      <c r="H8428" s="81"/>
      <c r="I8428" s="81"/>
      <c r="J8428" s="81"/>
      <c r="K8428" s="81"/>
      <c r="L8428" s="81"/>
      <c r="M8428" s="81"/>
      <c r="N8428" s="81"/>
    </row>
    <row r="8429" spans="1:14" ht="14.25" customHeight="1" x14ac:dyDescent="0.25">
      <c r="A8429" s="99" t="s">
        <v>825</v>
      </c>
      <c r="B8429" s="100" t="s">
        <v>651</v>
      </c>
      <c r="C8429" s="101">
        <v>155000</v>
      </c>
      <c r="D8429" s="149">
        <v>0.17</v>
      </c>
      <c r="E8429" s="102">
        <v>0.05</v>
      </c>
      <c r="F8429" s="101">
        <f>C8429*(D8429+(D8429*E8429))</f>
        <v>27667.500000000004</v>
      </c>
      <c r="G8429" s="81"/>
      <c r="H8429" s="81"/>
      <c r="I8429" s="81"/>
      <c r="J8429" s="81"/>
      <c r="K8429" s="81"/>
      <c r="L8429" s="81"/>
      <c r="M8429" s="81"/>
      <c r="N8429" s="81"/>
    </row>
    <row r="8430" spans="1:14" ht="14.25" customHeight="1" x14ac:dyDescent="0.25">
      <c r="A8430" s="99"/>
      <c r="B8430" s="100"/>
      <c r="C8430" s="101"/>
      <c r="D8430" s="149"/>
      <c r="E8430" s="102"/>
      <c r="F8430" s="101"/>
      <c r="G8430" s="81"/>
      <c r="H8430" s="81"/>
      <c r="I8430" s="81"/>
      <c r="J8430" s="81"/>
      <c r="K8430" s="81"/>
      <c r="L8430" s="81"/>
      <c r="M8430" s="81"/>
      <c r="N8430" s="81"/>
    </row>
    <row r="8431" spans="1:14" ht="14.25" customHeight="1" x14ac:dyDescent="0.25">
      <c r="A8431" s="99"/>
      <c r="B8431" s="100"/>
      <c r="C8431" s="101"/>
      <c r="D8431" s="149"/>
      <c r="E8431" s="102"/>
      <c r="F8431" s="101"/>
      <c r="G8431" s="81"/>
      <c r="H8431" s="81"/>
      <c r="I8431" s="81"/>
      <c r="J8431" s="81"/>
      <c r="K8431" s="81"/>
      <c r="L8431" s="81"/>
      <c r="M8431" s="81"/>
      <c r="N8431" s="81"/>
    </row>
    <row r="8432" spans="1:14" ht="14.25" customHeight="1" x14ac:dyDescent="0.25">
      <c r="A8432" s="99"/>
      <c r="B8432" s="100"/>
      <c r="C8432" s="101"/>
      <c r="D8432" s="104"/>
      <c r="E8432" s="102"/>
      <c r="F8432" s="101"/>
      <c r="G8432" s="81"/>
      <c r="H8432" s="81"/>
      <c r="I8432" s="81"/>
      <c r="J8432" s="81"/>
      <c r="K8432" s="81"/>
      <c r="L8432" s="81"/>
      <c r="M8432" s="81"/>
      <c r="N8432" s="81"/>
    </row>
    <row r="8433" spans="1:14" ht="14.25" customHeight="1" x14ac:dyDescent="0.25">
      <c r="A8433" s="99"/>
      <c r="B8433" s="100"/>
      <c r="C8433" s="101"/>
      <c r="D8433" s="104"/>
      <c r="E8433" s="102"/>
      <c r="F8433" s="101"/>
      <c r="G8433" s="81"/>
      <c r="H8433" s="81"/>
      <c r="I8433" s="81"/>
      <c r="J8433" s="81"/>
      <c r="K8433" s="81"/>
      <c r="L8433" s="81"/>
      <c r="M8433" s="81"/>
      <c r="N8433" s="81"/>
    </row>
    <row r="8434" spans="1:14" ht="15.75" x14ac:dyDescent="0.25">
      <c r="A8434" s="99"/>
      <c r="B8434" s="100"/>
      <c r="C8434" s="106"/>
      <c r="D8434" s="107"/>
      <c r="E8434" s="108"/>
      <c r="F8434" s="106"/>
      <c r="G8434" s="81"/>
      <c r="H8434" s="81"/>
      <c r="I8434" s="81"/>
      <c r="J8434" s="81"/>
      <c r="K8434" s="81"/>
      <c r="L8434" s="81"/>
      <c r="M8434" s="81"/>
      <c r="N8434" s="81"/>
    </row>
    <row r="8435" spans="1:14" ht="14.25" customHeight="1" x14ac:dyDescent="0.25">
      <c r="A8435" s="97" t="s">
        <v>548</v>
      </c>
      <c r="B8435" s="97"/>
      <c r="C8435" s="109"/>
      <c r="D8435" s="110"/>
      <c r="E8435" s="111"/>
      <c r="F8435" s="112">
        <f>SUM(F8429:F8434)</f>
        <v>27667.500000000004</v>
      </c>
      <c r="G8435" s="81"/>
      <c r="H8435" s="81"/>
      <c r="I8435" s="81"/>
      <c r="J8435" s="81"/>
      <c r="K8435" s="81"/>
      <c r="L8435" s="81"/>
      <c r="M8435" s="81"/>
      <c r="N8435" s="81"/>
    </row>
    <row r="8436" spans="1:14" ht="14.25" customHeight="1" x14ac:dyDescent="0.25">
      <c r="A8436" s="88"/>
      <c r="B8436" s="88"/>
      <c r="C8436" s="113"/>
      <c r="D8436" s="113"/>
      <c r="E8436" s="114"/>
      <c r="F8436" s="113"/>
      <c r="G8436" s="81"/>
      <c r="H8436" s="81"/>
      <c r="I8436" s="81"/>
      <c r="J8436" s="81"/>
      <c r="K8436" s="81"/>
      <c r="L8436" s="81"/>
      <c r="M8436" s="81"/>
      <c r="N8436" s="81"/>
    </row>
    <row r="8437" spans="1:14" ht="14.25" customHeight="1" x14ac:dyDescent="0.25">
      <c r="A8437" s="96" t="s">
        <v>573</v>
      </c>
      <c r="B8437" s="96"/>
      <c r="C8437" s="92"/>
      <c r="D8437" s="92"/>
      <c r="E8437" s="92"/>
      <c r="F8437" s="92"/>
      <c r="G8437" s="81"/>
      <c r="H8437" s="81"/>
      <c r="I8437" s="81"/>
      <c r="J8437" s="81"/>
      <c r="K8437" s="81"/>
      <c r="L8437" s="81"/>
      <c r="M8437" s="81"/>
      <c r="N8437" s="81"/>
    </row>
    <row r="8438" spans="1:14" ht="14.25" customHeight="1" x14ac:dyDescent="0.25">
      <c r="A8438" s="611" t="s">
        <v>563</v>
      </c>
      <c r="B8438" s="608"/>
      <c r="C8438" s="609"/>
      <c r="D8438" s="98" t="s">
        <v>574</v>
      </c>
      <c r="E8438" s="98" t="s">
        <v>575</v>
      </c>
      <c r="F8438" s="98" t="s">
        <v>568</v>
      </c>
      <c r="G8438" s="81"/>
      <c r="H8438" s="81"/>
      <c r="I8438" s="81"/>
      <c r="J8438" s="81"/>
      <c r="K8438" s="81"/>
      <c r="L8438" s="81"/>
      <c r="M8438" s="81"/>
      <c r="N8438" s="81"/>
    </row>
    <row r="8439" spans="1:14" ht="14.25" customHeight="1" x14ac:dyDescent="0.25">
      <c r="A8439" s="607" t="s">
        <v>577</v>
      </c>
      <c r="B8439" s="608"/>
      <c r="C8439" s="609"/>
      <c r="D8439" s="116"/>
      <c r="E8439" s="107"/>
      <c r="F8439" s="106">
        <f>+F8452*5%</f>
        <v>313.94192849404118</v>
      </c>
      <c r="G8439" s="81"/>
      <c r="H8439" s="81"/>
      <c r="I8439" s="81"/>
      <c r="J8439" s="81"/>
      <c r="K8439" s="81"/>
      <c r="L8439" s="81"/>
      <c r="M8439" s="81"/>
      <c r="N8439" s="81"/>
    </row>
    <row r="8440" spans="1:14" ht="14.25" customHeight="1" x14ac:dyDescent="0.25">
      <c r="A8440" s="607"/>
      <c r="B8440" s="608"/>
      <c r="C8440" s="609"/>
      <c r="D8440" s="142"/>
      <c r="E8440" s="107"/>
      <c r="F8440" s="106"/>
      <c r="G8440" s="81"/>
      <c r="H8440" s="81"/>
      <c r="I8440" s="81"/>
      <c r="J8440" s="81"/>
      <c r="K8440" s="81"/>
      <c r="L8440" s="81"/>
      <c r="M8440" s="81"/>
      <c r="N8440" s="81"/>
    </row>
    <row r="8441" spans="1:14" ht="14.25" customHeight="1" x14ac:dyDescent="0.25">
      <c r="A8441" s="607"/>
      <c r="B8441" s="608"/>
      <c r="C8441" s="609"/>
      <c r="D8441" s="142"/>
      <c r="E8441" s="105"/>
      <c r="F8441" s="106"/>
      <c r="G8441" s="81"/>
      <c r="H8441" s="81"/>
      <c r="I8441" s="81"/>
      <c r="J8441" s="81"/>
      <c r="K8441" s="81"/>
      <c r="L8441" s="81"/>
      <c r="M8441" s="81"/>
      <c r="N8441" s="81"/>
    </row>
    <row r="8442" spans="1:14" ht="15.75" x14ac:dyDescent="0.25">
      <c r="A8442" s="607"/>
      <c r="B8442" s="608"/>
      <c r="C8442" s="609"/>
      <c r="D8442" s="142"/>
      <c r="E8442" s="107"/>
      <c r="F8442" s="106"/>
      <c r="G8442" s="81"/>
      <c r="H8442" s="81"/>
      <c r="I8442" s="81"/>
      <c r="J8442" s="81"/>
      <c r="K8442" s="81"/>
      <c r="L8442" s="81"/>
      <c r="M8442" s="81"/>
      <c r="N8442" s="81"/>
    </row>
    <row r="8443" spans="1:14" ht="14.25" customHeight="1" x14ac:dyDescent="0.25">
      <c r="A8443" s="610"/>
      <c r="B8443" s="608"/>
      <c r="C8443" s="609"/>
      <c r="D8443" s="115"/>
      <c r="E8443" s="107"/>
      <c r="F8443" s="106"/>
      <c r="G8443" s="81"/>
      <c r="H8443" s="81"/>
      <c r="I8443" s="81"/>
      <c r="J8443" s="81"/>
      <c r="K8443" s="81"/>
      <c r="L8443" s="81"/>
      <c r="M8443" s="81"/>
      <c r="N8443" s="81"/>
    </row>
    <row r="8444" spans="1:14" ht="14.25" customHeight="1" x14ac:dyDescent="0.25">
      <c r="A8444" s="611" t="s">
        <v>548</v>
      </c>
      <c r="B8444" s="608"/>
      <c r="C8444" s="609"/>
      <c r="D8444" s="110"/>
      <c r="E8444" s="110"/>
      <c r="F8444" s="112">
        <f>SUM(F8439:F8442)</f>
        <v>313.94192849404118</v>
      </c>
      <c r="G8444" s="81"/>
      <c r="H8444" s="81"/>
      <c r="I8444" s="81"/>
      <c r="J8444" s="81"/>
      <c r="K8444" s="81"/>
      <c r="L8444" s="81"/>
      <c r="M8444" s="81"/>
      <c r="N8444" s="81"/>
    </row>
    <row r="8445" spans="1:14" ht="14.25" customHeight="1" x14ac:dyDescent="0.25">
      <c r="A8445" s="88"/>
      <c r="B8445" s="88"/>
      <c r="C8445" s="89"/>
      <c r="D8445" s="113"/>
      <c r="E8445" s="113"/>
      <c r="F8445" s="113"/>
      <c r="G8445" s="81"/>
      <c r="H8445" s="81"/>
      <c r="I8445" s="81"/>
      <c r="J8445" s="81"/>
      <c r="K8445" s="81"/>
      <c r="L8445" s="81"/>
      <c r="M8445" s="81"/>
      <c r="N8445" s="81"/>
    </row>
    <row r="8446" spans="1:14" ht="14.25" customHeight="1" x14ac:dyDescent="0.25">
      <c r="A8446" s="96" t="s">
        <v>578</v>
      </c>
      <c r="B8446" s="96"/>
      <c r="C8446" s="92"/>
      <c r="D8446" s="118"/>
      <c r="E8446" s="118"/>
      <c r="F8446" s="118"/>
      <c r="G8446" s="81"/>
      <c r="H8446" s="81"/>
      <c r="I8446" s="81"/>
      <c r="J8446" s="81"/>
      <c r="K8446" s="81"/>
      <c r="L8446" s="81"/>
      <c r="M8446" s="81"/>
      <c r="N8446" s="81"/>
    </row>
    <row r="8447" spans="1:14" ht="14.25" customHeight="1" x14ac:dyDescent="0.25">
      <c r="A8447" s="119" t="s">
        <v>563</v>
      </c>
      <c r="B8447" s="120" t="s">
        <v>579</v>
      </c>
      <c r="C8447" s="120" t="s">
        <v>580</v>
      </c>
      <c r="D8447" s="121" t="s">
        <v>581</v>
      </c>
      <c r="E8447" s="121" t="s">
        <v>575</v>
      </c>
      <c r="F8447" s="121" t="s">
        <v>568</v>
      </c>
      <c r="G8447" s="81"/>
      <c r="H8447" s="81"/>
      <c r="I8447" s="81"/>
      <c r="J8447" s="81"/>
      <c r="K8447" s="81"/>
      <c r="L8447" s="81"/>
      <c r="M8447" s="81"/>
      <c r="N8447" s="81"/>
    </row>
    <row r="8448" spans="1:14" ht="14.25" customHeight="1" x14ac:dyDescent="0.25">
      <c r="A8448" s="122" t="s">
        <v>593</v>
      </c>
      <c r="B8448" s="127">
        <v>1</v>
      </c>
      <c r="C8448" s="101">
        <v>32688</v>
      </c>
      <c r="D8448" s="101">
        <f t="shared" ref="D8448:D8449" si="419">+C8448*1.7</f>
        <v>55569.599999999999</v>
      </c>
      <c r="E8448" s="107">
        <v>23.074999999999999</v>
      </c>
      <c r="F8448" s="106">
        <f t="shared" ref="F8448:F8449" si="420">+B8448*(D8448)/E8448</f>
        <v>2408.2166847237272</v>
      </c>
      <c r="G8448" s="81"/>
      <c r="H8448" s="117">
        <f>291915-F10361</f>
        <v>0</v>
      </c>
      <c r="I8448" s="81"/>
      <c r="J8448" s="81"/>
      <c r="K8448" s="81"/>
      <c r="L8448" s="81"/>
      <c r="M8448" s="81"/>
      <c r="N8448" s="81"/>
    </row>
    <row r="8449" spans="1:14" ht="14.25" customHeight="1" x14ac:dyDescent="0.25">
      <c r="A8449" s="122" t="s">
        <v>594</v>
      </c>
      <c r="B8449" s="127">
        <v>1</v>
      </c>
      <c r="C8449" s="101">
        <v>52538</v>
      </c>
      <c r="D8449" s="101">
        <f t="shared" si="419"/>
        <v>89314.599999999991</v>
      </c>
      <c r="E8449" s="107">
        <f>E8448</f>
        <v>23.074999999999999</v>
      </c>
      <c r="F8449" s="106">
        <f t="shared" si="420"/>
        <v>3870.6218851570961</v>
      </c>
      <c r="G8449" s="81"/>
      <c r="H8449" s="81"/>
      <c r="I8449" s="81"/>
      <c r="J8449" s="81"/>
      <c r="K8449" s="81"/>
      <c r="L8449" s="81"/>
      <c r="M8449" s="81"/>
      <c r="N8449" s="81"/>
    </row>
    <row r="8450" spans="1:14" ht="14.25" customHeight="1" x14ac:dyDescent="0.25">
      <c r="A8450" s="122"/>
      <c r="B8450" s="127"/>
      <c r="C8450" s="101"/>
      <c r="D8450" s="101"/>
      <c r="E8450" s="105"/>
      <c r="F8450" s="106"/>
      <c r="G8450" s="81"/>
      <c r="H8450" s="81"/>
      <c r="I8450" s="81"/>
      <c r="J8450" s="81"/>
      <c r="K8450" s="81"/>
      <c r="L8450" s="81"/>
      <c r="M8450" s="81"/>
      <c r="N8450" s="81"/>
    </row>
    <row r="8451" spans="1:14" ht="14.25" customHeight="1" x14ac:dyDescent="0.25">
      <c r="A8451" s="122"/>
      <c r="B8451" s="127"/>
      <c r="C8451" s="101"/>
      <c r="D8451" s="101"/>
      <c r="E8451" s="125"/>
      <c r="F8451" s="106"/>
      <c r="G8451" s="81"/>
      <c r="H8451" s="81"/>
      <c r="I8451" s="81"/>
      <c r="J8451" s="81"/>
      <c r="K8451" s="81"/>
      <c r="L8451" s="81"/>
      <c r="M8451" s="81"/>
      <c r="N8451" s="81"/>
    </row>
    <row r="8452" spans="1:14" ht="14.25" customHeight="1" x14ac:dyDescent="0.25">
      <c r="A8452" s="97" t="s">
        <v>548</v>
      </c>
      <c r="B8452" s="128"/>
      <c r="C8452" s="110"/>
      <c r="D8452" s="110"/>
      <c r="E8452" s="110"/>
      <c r="F8452" s="112">
        <f>SUM(F8448:F8451)</f>
        <v>6278.8385698808233</v>
      </c>
      <c r="G8452" s="81"/>
      <c r="H8452" s="81"/>
      <c r="I8452" s="81"/>
      <c r="J8452" s="81"/>
      <c r="K8452" s="81"/>
      <c r="L8452" s="81"/>
      <c r="M8452" s="81"/>
      <c r="N8452" s="81"/>
    </row>
    <row r="8453" spans="1:14" ht="14.25" customHeight="1" x14ac:dyDescent="0.25">
      <c r="A8453" s="96"/>
      <c r="B8453" s="129"/>
      <c r="C8453" s="118"/>
      <c r="D8453" s="118"/>
      <c r="E8453" s="118"/>
      <c r="F8453" s="118"/>
      <c r="G8453" s="81"/>
      <c r="H8453" s="81"/>
      <c r="I8453" s="81"/>
      <c r="J8453" s="81"/>
      <c r="K8453" s="81"/>
      <c r="L8453" s="81"/>
      <c r="M8453" s="81"/>
      <c r="N8453" s="81"/>
    </row>
    <row r="8454" spans="1:14" ht="14.25" customHeight="1" x14ac:dyDescent="0.25">
      <c r="A8454" s="95" t="s">
        <v>583</v>
      </c>
      <c r="B8454" s="96"/>
      <c r="C8454" s="92"/>
      <c r="D8454" s="92"/>
      <c r="E8454" s="92" t="s">
        <v>584</v>
      </c>
      <c r="F8454" s="92"/>
      <c r="G8454" s="81"/>
      <c r="H8454" s="81"/>
      <c r="I8454" s="81"/>
      <c r="J8454" s="81"/>
      <c r="K8454" s="81"/>
      <c r="L8454" s="81"/>
      <c r="M8454" s="81"/>
      <c r="N8454" s="81"/>
    </row>
    <row r="8455" spans="1:14" ht="14.25" customHeight="1" x14ac:dyDescent="0.25">
      <c r="A8455" s="97" t="s">
        <v>563</v>
      </c>
      <c r="B8455" s="98" t="s">
        <v>564</v>
      </c>
      <c r="C8455" s="98" t="s">
        <v>585</v>
      </c>
      <c r="D8455" s="98" t="s">
        <v>586</v>
      </c>
      <c r="E8455" s="120" t="s">
        <v>587</v>
      </c>
      <c r="F8455" s="98" t="s">
        <v>568</v>
      </c>
      <c r="G8455" s="81"/>
      <c r="H8455" s="81"/>
      <c r="I8455" s="81"/>
      <c r="J8455" s="81"/>
      <c r="K8455" s="81"/>
      <c r="L8455" s="81"/>
      <c r="M8455" s="81"/>
      <c r="N8455" s="81"/>
    </row>
    <row r="8456" spans="1:14" ht="14.25" customHeight="1" x14ac:dyDescent="0.25">
      <c r="A8456" s="103"/>
      <c r="B8456" s="100"/>
      <c r="C8456" s="101"/>
      <c r="D8456" s="140"/>
      <c r="E8456" s="107"/>
      <c r="F8456" s="109"/>
      <c r="G8456" s="81"/>
      <c r="H8456" s="81"/>
      <c r="I8456" s="81"/>
      <c r="J8456" s="81"/>
      <c r="K8456" s="81"/>
      <c r="L8456" s="81"/>
      <c r="M8456" s="81"/>
      <c r="N8456" s="81"/>
    </row>
    <row r="8457" spans="1:14" ht="14.25" customHeight="1" x14ac:dyDescent="0.25">
      <c r="A8457" s="103"/>
      <c r="B8457" s="100"/>
      <c r="C8457" s="107"/>
      <c r="D8457" s="107"/>
      <c r="E8457" s="108"/>
      <c r="F8457" s="109"/>
      <c r="G8457" s="81"/>
      <c r="H8457" s="81"/>
      <c r="I8457" s="81"/>
      <c r="J8457" s="81"/>
      <c r="K8457" s="81"/>
      <c r="L8457" s="81"/>
      <c r="M8457" s="81"/>
      <c r="N8457" s="81"/>
    </row>
    <row r="8458" spans="1:14" ht="14.25" customHeight="1" x14ac:dyDescent="0.25">
      <c r="A8458" s="97" t="s">
        <v>548</v>
      </c>
      <c r="B8458" s="98"/>
      <c r="C8458" s="110"/>
      <c r="D8458" s="110"/>
      <c r="E8458" s="111"/>
      <c r="F8458" s="112">
        <f>SUM(F8456:F8457)</f>
        <v>0</v>
      </c>
      <c r="G8458" s="81"/>
      <c r="H8458" s="81"/>
      <c r="I8458" s="81"/>
      <c r="J8458" s="81"/>
      <c r="K8458" s="81"/>
      <c r="L8458" s="81"/>
      <c r="M8458" s="81"/>
      <c r="N8458" s="81"/>
    </row>
    <row r="8459" spans="1:14" ht="14.25" customHeight="1" x14ac:dyDescent="0.25">
      <c r="A8459" s="88"/>
      <c r="B8459" s="89"/>
      <c r="C8459" s="113"/>
      <c r="D8459" s="113"/>
      <c r="E8459" s="114"/>
      <c r="F8459" s="113"/>
      <c r="G8459" s="81"/>
      <c r="H8459" s="81"/>
      <c r="I8459" s="81"/>
      <c r="J8459" s="81"/>
      <c r="K8459" s="81"/>
      <c r="L8459" s="81"/>
      <c r="M8459" s="81"/>
      <c r="N8459" s="81"/>
    </row>
    <row r="8460" spans="1:14" ht="14.25" customHeight="1" x14ac:dyDescent="0.25">
      <c r="A8460" s="88"/>
      <c r="B8460" s="89"/>
      <c r="C8460" s="113"/>
      <c r="D8460" s="113"/>
      <c r="E8460" s="114"/>
      <c r="F8460" s="113"/>
      <c r="G8460" s="81"/>
      <c r="H8460" s="81"/>
      <c r="I8460" s="81"/>
      <c r="J8460" s="81"/>
      <c r="K8460" s="81"/>
      <c r="L8460" s="81"/>
      <c r="M8460" s="81"/>
      <c r="N8460" s="81"/>
    </row>
    <row r="8461" spans="1:14" ht="14.25" customHeight="1" x14ac:dyDescent="0.25">
      <c r="A8461" s="612" t="s">
        <v>588</v>
      </c>
      <c r="B8461" s="608"/>
      <c r="C8461" s="608"/>
      <c r="D8461" s="608"/>
      <c r="E8461" s="609"/>
      <c r="F8461" s="131">
        <f>ROUND(F8435+F8444+F8452+F8458,0)</f>
        <v>34260</v>
      </c>
      <c r="G8461" s="81"/>
      <c r="H8461" s="81"/>
      <c r="I8461" s="81"/>
      <c r="J8461" s="81"/>
      <c r="K8461" s="81"/>
      <c r="L8461" s="81"/>
      <c r="M8461" s="81"/>
      <c r="N8461" s="81"/>
    </row>
    <row r="8462" spans="1:14" ht="14.25" customHeight="1" x14ac:dyDescent="0.25">
      <c r="A8462" s="612" t="s">
        <v>589</v>
      </c>
      <c r="B8462" s="608"/>
      <c r="C8462" s="608"/>
      <c r="D8462" s="608"/>
      <c r="E8462" s="609"/>
      <c r="F8462" s="132"/>
      <c r="G8462" s="81"/>
      <c r="H8462" s="81"/>
      <c r="I8462" s="81"/>
      <c r="J8462" s="81"/>
      <c r="K8462" s="81"/>
      <c r="L8462" s="81"/>
      <c r="M8462" s="81"/>
      <c r="N8462" s="81"/>
    </row>
    <row r="8463" spans="1:14" ht="14.25" customHeight="1" x14ac:dyDescent="0.25">
      <c r="A8463" s="146" t="s">
        <v>556</v>
      </c>
      <c r="B8463" s="147"/>
      <c r="C8463" s="147"/>
      <c r="D8463" s="147"/>
      <c r="E8463" s="148"/>
      <c r="F8463" s="133"/>
      <c r="G8463" s="81"/>
      <c r="H8463" s="81"/>
      <c r="I8463" s="81"/>
      <c r="J8463" s="81"/>
      <c r="K8463" s="81"/>
      <c r="L8463" s="81"/>
      <c r="M8463" s="81"/>
      <c r="N8463" s="81"/>
    </row>
    <row r="8464" spans="1:14" ht="14.25" customHeight="1" x14ac:dyDescent="0.25">
      <c r="A8464" s="134"/>
      <c r="B8464" s="135"/>
      <c r="C8464" s="135"/>
      <c r="D8464" s="135"/>
      <c r="E8464" s="135"/>
      <c r="F8464" s="136"/>
      <c r="G8464" s="81"/>
      <c r="H8464" s="81"/>
      <c r="I8464" s="81"/>
      <c r="J8464" s="81"/>
      <c r="K8464" s="81"/>
      <c r="L8464" s="81"/>
      <c r="M8464" s="81"/>
      <c r="N8464" s="81"/>
    </row>
    <row r="8465" spans="1:14" ht="14.25" customHeight="1" x14ac:dyDescent="0.25">
      <c r="A8465" s="81"/>
      <c r="B8465" s="81"/>
      <c r="C8465" s="137"/>
      <c r="D8465" s="81"/>
      <c r="E8465" s="81"/>
      <c r="F8465" s="81"/>
      <c r="G8465" s="81"/>
      <c r="H8465" s="81"/>
      <c r="I8465" s="81"/>
      <c r="J8465" s="81"/>
      <c r="K8465" s="81"/>
      <c r="L8465" s="81"/>
      <c r="M8465" s="81"/>
      <c r="N8465" s="81"/>
    </row>
    <row r="8466" spans="1:14" ht="14.25" customHeight="1" x14ac:dyDescent="0.25">
      <c r="A8466" s="81"/>
      <c r="B8466" s="81"/>
      <c r="C8466" s="137"/>
      <c r="D8466" s="81"/>
      <c r="E8466" s="81"/>
      <c r="F8466" s="81"/>
      <c r="G8466" s="81"/>
      <c r="H8466" s="81"/>
      <c r="I8466" s="81"/>
      <c r="J8466" s="81"/>
      <c r="K8466" s="81"/>
      <c r="L8466" s="81"/>
      <c r="M8466" s="81"/>
      <c r="N8466" s="81"/>
    </row>
    <row r="8467" spans="1:14" ht="14.25" customHeight="1" x14ac:dyDescent="0.25">
      <c r="A8467" s="81"/>
      <c r="B8467" s="81"/>
      <c r="C8467" s="137"/>
      <c r="D8467" s="81"/>
      <c r="E8467" s="81"/>
      <c r="F8467" s="81"/>
      <c r="G8467" s="81"/>
      <c r="H8467" s="81"/>
      <c r="I8467" s="81"/>
      <c r="J8467" s="81"/>
      <c r="K8467" s="81"/>
      <c r="L8467" s="81"/>
      <c r="M8467" s="81"/>
      <c r="N8467" s="81"/>
    </row>
    <row r="8468" spans="1:14" ht="14.25" customHeight="1" x14ac:dyDescent="0.25">
      <c r="A8468" s="81"/>
      <c r="B8468" s="81"/>
      <c r="C8468" s="137"/>
      <c r="D8468" s="81"/>
      <c r="E8468" s="81"/>
      <c r="F8468" s="81"/>
      <c r="G8468" s="81"/>
      <c r="H8468" s="81"/>
      <c r="I8468" s="81"/>
      <c r="J8468" s="81"/>
      <c r="K8468" s="81"/>
      <c r="L8468" s="81"/>
      <c r="M8468" s="81"/>
      <c r="N8468" s="81"/>
    </row>
    <row r="8469" spans="1:14" ht="14.25" customHeight="1" x14ac:dyDescent="0.25">
      <c r="A8469" s="81"/>
      <c r="B8469" s="81"/>
      <c r="C8469" s="137"/>
      <c r="D8469" s="81"/>
      <c r="E8469" s="81"/>
      <c r="F8469" s="81"/>
      <c r="G8469" s="81"/>
      <c r="H8469" s="81"/>
      <c r="I8469" s="81"/>
      <c r="J8469" s="81"/>
      <c r="K8469" s="81"/>
      <c r="L8469" s="81"/>
      <c r="M8469" s="81"/>
      <c r="N8469" s="81"/>
    </row>
    <row r="8470" spans="1:14" ht="14.25" customHeight="1" x14ac:dyDescent="0.25">
      <c r="A8470" s="134"/>
      <c r="B8470" s="135"/>
      <c r="C8470" s="135"/>
      <c r="D8470" s="135"/>
      <c r="E8470" s="135"/>
      <c r="F8470" s="136"/>
      <c r="G8470" s="81"/>
      <c r="H8470" s="81"/>
      <c r="I8470" s="81"/>
      <c r="J8470" s="81"/>
      <c r="K8470" s="81"/>
      <c r="L8470" s="81"/>
      <c r="M8470" s="81"/>
      <c r="N8470" s="81"/>
    </row>
    <row r="8471" spans="1:14" ht="14.25" customHeight="1" x14ac:dyDescent="0.25">
      <c r="A8471" s="134"/>
      <c r="B8471" s="135"/>
      <c r="C8471" s="135"/>
      <c r="D8471" s="135"/>
      <c r="E8471" s="135"/>
      <c r="F8471" s="136"/>
      <c r="G8471" s="81"/>
      <c r="H8471" s="81"/>
      <c r="I8471" s="81"/>
      <c r="J8471" s="81"/>
      <c r="K8471" s="81"/>
      <c r="L8471" s="81"/>
      <c r="M8471" s="81"/>
      <c r="N8471" s="81"/>
    </row>
    <row r="8472" spans="1:14" ht="14.25" customHeight="1" x14ac:dyDescent="0.25">
      <c r="A8472" s="134"/>
      <c r="B8472" s="135"/>
      <c r="C8472" s="135"/>
      <c r="D8472" s="135"/>
      <c r="E8472" s="135"/>
      <c r="F8472" s="136"/>
      <c r="G8472" s="81"/>
      <c r="H8472" s="81"/>
      <c r="I8472" s="81"/>
      <c r="J8472" s="81"/>
      <c r="K8472" s="81"/>
      <c r="L8472" s="81"/>
      <c r="M8472" s="81"/>
      <c r="N8472" s="81"/>
    </row>
    <row r="8473" spans="1:14" ht="14.25" customHeight="1" thickBot="1" x14ac:dyDescent="0.3">
      <c r="A8473" s="81"/>
      <c r="B8473" s="81"/>
      <c r="C8473" s="81"/>
      <c r="D8473" s="81"/>
      <c r="E8473" s="81"/>
      <c r="F8473" s="81"/>
      <c r="G8473" s="81"/>
      <c r="H8473" s="81"/>
      <c r="I8473" s="81"/>
      <c r="J8473" s="81"/>
      <c r="K8473" s="81"/>
      <c r="L8473" s="81"/>
      <c r="M8473" s="81"/>
      <c r="N8473" s="81"/>
    </row>
    <row r="8474" spans="1:14" ht="14.25" customHeight="1" x14ac:dyDescent="0.25">
      <c r="A8474" s="83"/>
      <c r="B8474" s="84"/>
      <c r="C8474" s="85"/>
      <c r="D8474" s="86"/>
      <c r="E8474" s="86"/>
      <c r="F8474" s="87"/>
      <c r="G8474" s="81"/>
      <c r="H8474" s="81"/>
      <c r="I8474" s="81"/>
      <c r="J8474" s="81"/>
      <c r="K8474" s="81"/>
      <c r="L8474" s="81"/>
      <c r="M8474" s="81"/>
      <c r="N8474" s="81"/>
    </row>
    <row r="8475" spans="1:14" ht="14.25" customHeight="1" x14ac:dyDescent="0.25">
      <c r="A8475" s="599"/>
      <c r="B8475" s="600"/>
      <c r="C8475" s="600"/>
      <c r="D8475" s="600"/>
      <c r="E8475" s="600"/>
      <c r="F8475" s="601"/>
      <c r="G8475" s="81"/>
      <c r="H8475" s="81"/>
      <c r="I8475" s="81"/>
      <c r="J8475" s="81"/>
      <c r="K8475" s="81"/>
      <c r="L8475" s="81"/>
      <c r="M8475" s="81"/>
      <c r="N8475" s="81"/>
    </row>
    <row r="8476" spans="1:14" ht="14.25" customHeight="1" x14ac:dyDescent="0.25">
      <c r="A8476" s="602" t="s">
        <v>561</v>
      </c>
      <c r="B8476" s="600"/>
      <c r="C8476" s="600"/>
      <c r="D8476" s="600"/>
      <c r="E8476" s="600"/>
      <c r="F8476" s="601"/>
      <c r="G8476" s="81"/>
      <c r="H8476" s="81"/>
      <c r="I8476" s="81"/>
      <c r="J8476" s="81"/>
      <c r="K8476" s="81"/>
      <c r="L8476" s="81"/>
      <c r="M8476" s="81"/>
      <c r="N8476" s="81"/>
    </row>
    <row r="8477" spans="1:14" ht="14.25" customHeight="1" thickBot="1" x14ac:dyDescent="0.3">
      <c r="A8477" s="603"/>
      <c r="B8477" s="604"/>
      <c r="C8477" s="604"/>
      <c r="D8477" s="604"/>
      <c r="E8477" s="604"/>
      <c r="F8477" s="605"/>
      <c r="G8477" s="81"/>
      <c r="H8477" s="81"/>
      <c r="I8477" s="81"/>
      <c r="J8477" s="81"/>
      <c r="K8477" s="81"/>
      <c r="L8477" s="81"/>
      <c r="M8477" s="81"/>
      <c r="N8477" s="81"/>
    </row>
    <row r="8478" spans="1:14" ht="14.25" customHeight="1" x14ac:dyDescent="0.25">
      <c r="A8478" s="88"/>
      <c r="B8478" s="88"/>
      <c r="C8478" s="89"/>
      <c r="D8478" s="89"/>
      <c r="E8478" s="89"/>
      <c r="F8478" s="89"/>
      <c r="G8478" s="81"/>
      <c r="H8478" s="81"/>
      <c r="I8478" s="81"/>
      <c r="J8478" s="81"/>
      <c r="K8478" s="81"/>
      <c r="L8478" s="81"/>
      <c r="M8478" s="81"/>
      <c r="N8478" s="81"/>
    </row>
    <row r="8479" spans="1:14" ht="14.25" customHeight="1" x14ac:dyDescent="0.25">
      <c r="A8479" s="90" t="s">
        <v>47</v>
      </c>
      <c r="B8479" s="613" t="s">
        <v>397</v>
      </c>
      <c r="C8479" s="600"/>
      <c r="D8479" s="600"/>
      <c r="E8479" s="600"/>
      <c r="F8479" s="600"/>
      <c r="G8479" s="81"/>
      <c r="H8479" s="81"/>
      <c r="I8479" s="81"/>
      <c r="J8479" s="81"/>
      <c r="K8479" s="81"/>
      <c r="L8479" s="81"/>
      <c r="M8479" s="81"/>
      <c r="N8479" s="81"/>
    </row>
    <row r="8480" spans="1:14" ht="14.25" customHeight="1" x14ac:dyDescent="0.25">
      <c r="A8480" s="91"/>
      <c r="B8480" s="91"/>
      <c r="C8480" s="91"/>
      <c r="D8480" s="91"/>
      <c r="E8480" s="91"/>
      <c r="F8480" s="91"/>
      <c r="G8480" s="81"/>
      <c r="H8480" s="81"/>
      <c r="I8480" s="81"/>
      <c r="J8480" s="81"/>
      <c r="K8480" s="81"/>
      <c r="L8480" s="81"/>
      <c r="M8480" s="81"/>
      <c r="N8480" s="81"/>
    </row>
    <row r="8481" spans="1:14" ht="14.25" customHeight="1" x14ac:dyDescent="0.25">
      <c r="A8481" s="88" t="s">
        <v>49</v>
      </c>
      <c r="B8481" s="92" t="s">
        <v>56</v>
      </c>
      <c r="C8481" s="89"/>
      <c r="D8481" s="89"/>
      <c r="E8481" s="89"/>
      <c r="F8481" s="93"/>
      <c r="G8481" s="81"/>
      <c r="H8481" s="81"/>
      <c r="I8481" s="81"/>
      <c r="J8481" s="81"/>
      <c r="K8481" s="81"/>
      <c r="L8481" s="81"/>
      <c r="M8481" s="81"/>
      <c r="N8481" s="81"/>
    </row>
    <row r="8482" spans="1:14" ht="14.25" customHeight="1" x14ac:dyDescent="0.25">
      <c r="A8482" s="88"/>
      <c r="B8482" s="94"/>
      <c r="C8482" s="89"/>
      <c r="D8482" s="89"/>
      <c r="E8482" s="89"/>
      <c r="F8482" s="93"/>
      <c r="G8482" s="81"/>
      <c r="H8482" s="81"/>
      <c r="I8482" s="81"/>
      <c r="J8482" s="81"/>
      <c r="K8482" s="81"/>
      <c r="L8482" s="81"/>
      <c r="M8482" s="81"/>
      <c r="N8482" s="81"/>
    </row>
    <row r="8483" spans="1:14" ht="14.25" customHeight="1" x14ac:dyDescent="0.25">
      <c r="A8483" s="95" t="s">
        <v>562</v>
      </c>
      <c r="B8483" s="96"/>
      <c r="C8483" s="92"/>
      <c r="D8483" s="92"/>
      <c r="E8483" s="92"/>
      <c r="F8483" s="92"/>
      <c r="G8483" s="81"/>
      <c r="H8483" s="81"/>
      <c r="I8483" s="81"/>
      <c r="J8483" s="81"/>
      <c r="K8483" s="81"/>
      <c r="L8483" s="81"/>
      <c r="M8483" s="81"/>
      <c r="N8483" s="81"/>
    </row>
    <row r="8484" spans="1:14" ht="14.25" customHeight="1" x14ac:dyDescent="0.25">
      <c r="A8484" s="97" t="s">
        <v>563</v>
      </c>
      <c r="B8484" s="98" t="s">
        <v>564</v>
      </c>
      <c r="C8484" s="98" t="s">
        <v>565</v>
      </c>
      <c r="D8484" s="98" t="s">
        <v>566</v>
      </c>
      <c r="E8484" s="98" t="s">
        <v>567</v>
      </c>
      <c r="F8484" s="98" t="s">
        <v>568</v>
      </c>
      <c r="G8484" s="81"/>
      <c r="H8484" s="81"/>
      <c r="I8484" s="81"/>
      <c r="J8484" s="81"/>
      <c r="K8484" s="81"/>
      <c r="L8484" s="81"/>
      <c r="M8484" s="81"/>
      <c r="N8484" s="81"/>
    </row>
    <row r="8485" spans="1:14" ht="14.25" customHeight="1" x14ac:dyDescent="0.25">
      <c r="A8485" s="99" t="s">
        <v>826</v>
      </c>
      <c r="B8485" s="100" t="s">
        <v>651</v>
      </c>
      <c r="C8485" s="101">
        <v>242620</v>
      </c>
      <c r="D8485" s="149">
        <v>0.13500000000000001</v>
      </c>
      <c r="E8485" s="102">
        <v>0.05</v>
      </c>
      <c r="F8485" s="101">
        <f>C8485*(D8485+(D8485*E8485))</f>
        <v>34391.385000000002</v>
      </c>
      <c r="G8485" s="81"/>
      <c r="H8485" s="81"/>
      <c r="I8485" s="81"/>
      <c r="J8485" s="81"/>
      <c r="K8485" s="81"/>
      <c r="L8485" s="81"/>
      <c r="M8485" s="81"/>
      <c r="N8485" s="81"/>
    </row>
    <row r="8486" spans="1:14" ht="14.25" customHeight="1" x14ac:dyDescent="0.25">
      <c r="A8486" s="99"/>
      <c r="B8486" s="100"/>
      <c r="C8486" s="101"/>
      <c r="D8486" s="149"/>
      <c r="E8486" s="102"/>
      <c r="F8486" s="101"/>
      <c r="G8486" s="81"/>
      <c r="H8486" s="81"/>
      <c r="I8486" s="81"/>
      <c r="J8486" s="81"/>
      <c r="K8486" s="81"/>
      <c r="L8486" s="81"/>
      <c r="M8486" s="81"/>
      <c r="N8486" s="81"/>
    </row>
    <row r="8487" spans="1:14" ht="14.25" customHeight="1" x14ac:dyDescent="0.25">
      <c r="A8487" s="99"/>
      <c r="B8487" s="100"/>
      <c r="C8487" s="101"/>
      <c r="D8487" s="149"/>
      <c r="E8487" s="102"/>
      <c r="F8487" s="101"/>
      <c r="G8487" s="81"/>
      <c r="H8487" s="81"/>
      <c r="I8487" s="81"/>
      <c r="J8487" s="81"/>
      <c r="K8487" s="81"/>
      <c r="L8487" s="81"/>
      <c r="M8487" s="81"/>
      <c r="N8487" s="81"/>
    </row>
    <row r="8488" spans="1:14" ht="14.25" customHeight="1" x14ac:dyDescent="0.25">
      <c r="A8488" s="99"/>
      <c r="B8488" s="100"/>
      <c r="C8488" s="101"/>
      <c r="D8488" s="104"/>
      <c r="E8488" s="102"/>
      <c r="F8488" s="101"/>
      <c r="G8488" s="81"/>
      <c r="H8488" s="81"/>
      <c r="I8488" s="81"/>
      <c r="J8488" s="81"/>
      <c r="K8488" s="81"/>
      <c r="L8488" s="81"/>
      <c r="M8488" s="81"/>
      <c r="N8488" s="81"/>
    </row>
    <row r="8489" spans="1:14" ht="14.25" customHeight="1" x14ac:dyDescent="0.25">
      <c r="A8489" s="99"/>
      <c r="B8489" s="100"/>
      <c r="C8489" s="101"/>
      <c r="D8489" s="104"/>
      <c r="E8489" s="102"/>
      <c r="F8489" s="101"/>
      <c r="G8489" s="81"/>
      <c r="H8489" s="81"/>
      <c r="I8489" s="81"/>
      <c r="J8489" s="81"/>
      <c r="K8489" s="81"/>
      <c r="L8489" s="81"/>
      <c r="M8489" s="81"/>
      <c r="N8489" s="81"/>
    </row>
    <row r="8490" spans="1:14" ht="14.25" customHeight="1" x14ac:dyDescent="0.25">
      <c r="A8490" s="99"/>
      <c r="B8490" s="100"/>
      <c r="C8490" s="106"/>
      <c r="D8490" s="107"/>
      <c r="E8490" s="108"/>
      <c r="F8490" s="106"/>
      <c r="G8490" s="81"/>
      <c r="H8490" s="81"/>
      <c r="I8490" s="81"/>
      <c r="J8490" s="81"/>
      <c r="K8490" s="81"/>
      <c r="L8490" s="81"/>
      <c r="M8490" s="81"/>
      <c r="N8490" s="81"/>
    </row>
    <row r="8491" spans="1:14" ht="14.25" customHeight="1" x14ac:dyDescent="0.25">
      <c r="A8491" s="97" t="s">
        <v>548</v>
      </c>
      <c r="B8491" s="97"/>
      <c r="C8491" s="109"/>
      <c r="D8491" s="110"/>
      <c r="E8491" s="111"/>
      <c r="F8491" s="112">
        <f>SUM(F8485:F8490)</f>
        <v>34391.385000000002</v>
      </c>
      <c r="G8491" s="81"/>
      <c r="H8491" s="81"/>
      <c r="I8491" s="81"/>
      <c r="J8491" s="81"/>
      <c r="K8491" s="81"/>
      <c r="L8491" s="81"/>
      <c r="M8491" s="81"/>
      <c r="N8491" s="81"/>
    </row>
    <row r="8492" spans="1:14" ht="14.25" customHeight="1" x14ac:dyDescent="0.25">
      <c r="A8492" s="88"/>
      <c r="B8492" s="88"/>
      <c r="C8492" s="113"/>
      <c r="D8492" s="113"/>
      <c r="E8492" s="114"/>
      <c r="F8492" s="113"/>
      <c r="G8492" s="81"/>
      <c r="H8492" s="81"/>
      <c r="I8492" s="81"/>
      <c r="J8492" s="81"/>
      <c r="K8492" s="81"/>
      <c r="L8492" s="81"/>
      <c r="M8492" s="81"/>
      <c r="N8492" s="81"/>
    </row>
    <row r="8493" spans="1:14" ht="14.25" customHeight="1" x14ac:dyDescent="0.25">
      <c r="A8493" s="96" t="s">
        <v>573</v>
      </c>
      <c r="B8493" s="96"/>
      <c r="C8493" s="92"/>
      <c r="D8493" s="92"/>
      <c r="E8493" s="92"/>
      <c r="F8493" s="92"/>
      <c r="G8493" s="81"/>
      <c r="H8493" s="81"/>
      <c r="I8493" s="81"/>
      <c r="J8493" s="81"/>
      <c r="K8493" s="81"/>
      <c r="L8493" s="81"/>
      <c r="M8493" s="81"/>
      <c r="N8493" s="81"/>
    </row>
    <row r="8494" spans="1:14" ht="14.25" customHeight="1" x14ac:dyDescent="0.25">
      <c r="A8494" s="611" t="s">
        <v>563</v>
      </c>
      <c r="B8494" s="608"/>
      <c r="C8494" s="609"/>
      <c r="D8494" s="98" t="s">
        <v>574</v>
      </c>
      <c r="E8494" s="98" t="s">
        <v>575</v>
      </c>
      <c r="F8494" s="98" t="s">
        <v>568</v>
      </c>
      <c r="G8494" s="81"/>
      <c r="H8494" s="81"/>
      <c r="I8494" s="81"/>
      <c r="J8494" s="81"/>
      <c r="K8494" s="81"/>
      <c r="L8494" s="81"/>
      <c r="M8494" s="81"/>
      <c r="N8494" s="81"/>
    </row>
    <row r="8495" spans="1:14" ht="14.25" customHeight="1" x14ac:dyDescent="0.25">
      <c r="A8495" s="607" t="s">
        <v>577</v>
      </c>
      <c r="B8495" s="608"/>
      <c r="C8495" s="609"/>
      <c r="D8495" s="116"/>
      <c r="E8495" s="107"/>
      <c r="F8495" s="106">
        <f>+F8508*5%</f>
        <v>370.28266203230419</v>
      </c>
      <c r="G8495" s="81"/>
      <c r="H8495" s="81"/>
      <c r="I8495" s="81"/>
      <c r="J8495" s="81"/>
      <c r="K8495" s="81"/>
      <c r="L8495" s="81"/>
      <c r="M8495" s="81"/>
      <c r="N8495" s="81"/>
    </row>
    <row r="8496" spans="1:14" ht="14.25" customHeight="1" x14ac:dyDescent="0.25">
      <c r="A8496" s="607" t="s">
        <v>654</v>
      </c>
      <c r="B8496" s="608"/>
      <c r="C8496" s="609"/>
      <c r="D8496" s="142">
        <v>4200</v>
      </c>
      <c r="E8496" s="105">
        <v>2</v>
      </c>
      <c r="F8496" s="106">
        <f t="shared" ref="F8496:F8497" si="421">D8496/E8496</f>
        <v>2100</v>
      </c>
      <c r="G8496" s="81"/>
      <c r="H8496" s="81"/>
      <c r="I8496" s="81"/>
      <c r="J8496" s="81"/>
      <c r="K8496" s="81"/>
      <c r="L8496" s="81"/>
      <c r="M8496" s="81"/>
      <c r="N8496" s="81"/>
    </row>
    <row r="8497" spans="1:14" ht="14.25" customHeight="1" x14ac:dyDescent="0.25">
      <c r="A8497" s="607" t="s">
        <v>655</v>
      </c>
      <c r="B8497" s="608"/>
      <c r="C8497" s="609"/>
      <c r="D8497" s="142">
        <v>625</v>
      </c>
      <c r="E8497" s="105">
        <v>2</v>
      </c>
      <c r="F8497" s="106">
        <f t="shared" si="421"/>
        <v>312.5</v>
      </c>
      <c r="G8497" s="81"/>
      <c r="H8497" s="81"/>
      <c r="I8497" s="81"/>
      <c r="J8497" s="81"/>
      <c r="K8497" s="81"/>
      <c r="L8497" s="81"/>
      <c r="M8497" s="81"/>
      <c r="N8497" s="81"/>
    </row>
    <row r="8498" spans="1:14" ht="14.25" customHeight="1" x14ac:dyDescent="0.25">
      <c r="A8498" s="607"/>
      <c r="B8498" s="608"/>
      <c r="C8498" s="609"/>
      <c r="D8498" s="142"/>
      <c r="E8498" s="107"/>
      <c r="F8498" s="106"/>
      <c r="G8498" s="81"/>
      <c r="H8498" s="81"/>
      <c r="I8498" s="81"/>
      <c r="J8498" s="81"/>
      <c r="K8498" s="81"/>
      <c r="L8498" s="81"/>
      <c r="M8498" s="81"/>
      <c r="N8498" s="81"/>
    </row>
    <row r="8499" spans="1:14" ht="14.25" customHeight="1" x14ac:dyDescent="0.25">
      <c r="A8499" s="610"/>
      <c r="B8499" s="608"/>
      <c r="C8499" s="609"/>
      <c r="D8499" s="115"/>
      <c r="E8499" s="107"/>
      <c r="F8499" s="106"/>
      <c r="G8499" s="81"/>
      <c r="H8499" s="81"/>
      <c r="I8499" s="81"/>
      <c r="J8499" s="81"/>
      <c r="K8499" s="81"/>
      <c r="L8499" s="81"/>
      <c r="M8499" s="81"/>
      <c r="N8499" s="81"/>
    </row>
    <row r="8500" spans="1:14" ht="14.25" customHeight="1" x14ac:dyDescent="0.25">
      <c r="A8500" s="611" t="s">
        <v>548</v>
      </c>
      <c r="B8500" s="608"/>
      <c r="C8500" s="609"/>
      <c r="D8500" s="110"/>
      <c r="E8500" s="110"/>
      <c r="F8500" s="112">
        <f>SUM(F8495:F8498)</f>
        <v>2782.782662032304</v>
      </c>
      <c r="G8500" s="81"/>
      <c r="H8500" s="81"/>
      <c r="I8500" s="81"/>
      <c r="J8500" s="81"/>
      <c r="K8500" s="81"/>
      <c r="L8500" s="81"/>
      <c r="M8500" s="81"/>
      <c r="N8500" s="81"/>
    </row>
    <row r="8501" spans="1:14" ht="14.25" customHeight="1" x14ac:dyDescent="0.25">
      <c r="A8501" s="88"/>
      <c r="B8501" s="88"/>
      <c r="C8501" s="89"/>
      <c r="D8501" s="113"/>
      <c r="E8501" s="113"/>
      <c r="F8501" s="113"/>
      <c r="G8501" s="81"/>
      <c r="H8501" s="81"/>
      <c r="I8501" s="81"/>
      <c r="J8501" s="81"/>
      <c r="K8501" s="81"/>
      <c r="L8501" s="81"/>
      <c r="M8501" s="81"/>
      <c r="N8501" s="81"/>
    </row>
    <row r="8502" spans="1:14" ht="14.25" customHeight="1" x14ac:dyDescent="0.25">
      <c r="A8502" s="96" t="s">
        <v>578</v>
      </c>
      <c r="B8502" s="96"/>
      <c r="C8502" s="92"/>
      <c r="D8502" s="118"/>
      <c r="E8502" s="118"/>
      <c r="F8502" s="118"/>
      <c r="G8502" s="81"/>
      <c r="H8502" s="81"/>
      <c r="I8502" s="81"/>
      <c r="J8502" s="81"/>
      <c r="K8502" s="81"/>
      <c r="L8502" s="81"/>
      <c r="M8502" s="81"/>
      <c r="N8502" s="81"/>
    </row>
    <row r="8503" spans="1:14" ht="14.25" customHeight="1" x14ac:dyDescent="0.25">
      <c r="A8503" s="119" t="s">
        <v>563</v>
      </c>
      <c r="B8503" s="120" t="s">
        <v>579</v>
      </c>
      <c r="C8503" s="120" t="s">
        <v>580</v>
      </c>
      <c r="D8503" s="121" t="s">
        <v>581</v>
      </c>
      <c r="E8503" s="121" t="s">
        <v>575</v>
      </c>
      <c r="F8503" s="121" t="s">
        <v>568</v>
      </c>
      <c r="G8503" s="81"/>
      <c r="H8503" s="81"/>
      <c r="I8503" s="81"/>
      <c r="J8503" s="81"/>
      <c r="K8503" s="81"/>
      <c r="L8503" s="81"/>
      <c r="M8503" s="81"/>
      <c r="N8503" s="81"/>
    </row>
    <row r="8504" spans="1:14" ht="14.25" customHeight="1" x14ac:dyDescent="0.25">
      <c r="A8504" s="122" t="s">
        <v>593</v>
      </c>
      <c r="B8504" s="127">
        <v>1</v>
      </c>
      <c r="C8504" s="101">
        <v>32688</v>
      </c>
      <c r="D8504" s="101">
        <f t="shared" ref="D8504:D8505" si="422">+C8504*1.7</f>
        <v>55569.599999999999</v>
      </c>
      <c r="E8504" s="107">
        <v>19.564</v>
      </c>
      <c r="F8504" s="106">
        <f t="shared" ref="F8504:F8505" si="423">+B8504*(D8504)/E8504</f>
        <v>2840.4007360457981</v>
      </c>
      <c r="G8504" s="81"/>
      <c r="H8504" s="81"/>
      <c r="I8504" s="81"/>
      <c r="J8504" s="81"/>
      <c r="K8504" s="81"/>
      <c r="L8504" s="81"/>
      <c r="M8504" s="81"/>
      <c r="N8504" s="81"/>
    </row>
    <row r="8505" spans="1:14" ht="14.25" customHeight="1" x14ac:dyDescent="0.25">
      <c r="A8505" s="122" t="s">
        <v>594</v>
      </c>
      <c r="B8505" s="127">
        <v>1</v>
      </c>
      <c r="C8505" s="101">
        <v>52538</v>
      </c>
      <c r="D8505" s="101">
        <f t="shared" si="422"/>
        <v>89314.599999999991</v>
      </c>
      <c r="E8505" s="107">
        <f>E8504</f>
        <v>19.564</v>
      </c>
      <c r="F8505" s="106">
        <f t="shared" si="423"/>
        <v>4565.2525046002856</v>
      </c>
      <c r="G8505" s="81"/>
      <c r="H8505" s="81"/>
      <c r="I8505" s="81"/>
      <c r="J8505" s="81"/>
      <c r="K8505" s="81"/>
      <c r="L8505" s="81"/>
      <c r="M8505" s="81"/>
      <c r="N8505" s="81"/>
    </row>
    <row r="8506" spans="1:14" ht="14.25" customHeight="1" x14ac:dyDescent="0.25">
      <c r="A8506" s="122"/>
      <c r="B8506" s="127"/>
      <c r="C8506" s="101"/>
      <c r="D8506" s="101"/>
      <c r="E8506" s="105"/>
      <c r="F8506" s="106"/>
      <c r="G8506" s="81"/>
      <c r="H8506" s="81"/>
      <c r="I8506" s="81"/>
      <c r="J8506" s="81"/>
      <c r="K8506" s="81"/>
      <c r="L8506" s="81"/>
      <c r="M8506" s="81"/>
      <c r="N8506" s="81"/>
    </row>
    <row r="8507" spans="1:14" ht="14.25" customHeight="1" x14ac:dyDescent="0.25">
      <c r="A8507" s="122"/>
      <c r="B8507" s="127"/>
      <c r="C8507" s="101"/>
      <c r="D8507" s="101"/>
      <c r="E8507" s="125"/>
      <c r="F8507" s="106"/>
      <c r="G8507" s="81"/>
      <c r="H8507" s="117"/>
      <c r="I8507" s="81"/>
      <c r="J8507" s="81"/>
      <c r="K8507" s="81"/>
      <c r="L8507" s="81"/>
      <c r="M8507" s="81"/>
      <c r="N8507" s="81"/>
    </row>
    <row r="8508" spans="1:14" ht="14.25" customHeight="1" x14ac:dyDescent="0.25">
      <c r="A8508" s="97" t="s">
        <v>548</v>
      </c>
      <c r="B8508" s="128"/>
      <c r="C8508" s="110"/>
      <c r="D8508" s="110"/>
      <c r="E8508" s="110"/>
      <c r="F8508" s="112">
        <f>SUM(F8504:F8507)</f>
        <v>7405.6532406460838</v>
      </c>
      <c r="G8508" s="81"/>
      <c r="H8508" s="81"/>
      <c r="I8508" s="81"/>
      <c r="J8508" s="81"/>
      <c r="K8508" s="81"/>
      <c r="L8508" s="81"/>
      <c r="M8508" s="81"/>
      <c r="N8508" s="81"/>
    </row>
    <row r="8509" spans="1:14" ht="14.25" customHeight="1" x14ac:dyDescent="0.25">
      <c r="A8509" s="96"/>
      <c r="B8509" s="129"/>
      <c r="C8509" s="118"/>
      <c r="D8509" s="118"/>
      <c r="E8509" s="118"/>
      <c r="F8509" s="118"/>
      <c r="G8509" s="81"/>
      <c r="H8509" s="81"/>
      <c r="I8509" s="81"/>
      <c r="J8509" s="81"/>
      <c r="K8509" s="81"/>
      <c r="L8509" s="81"/>
      <c r="M8509" s="81"/>
      <c r="N8509" s="81"/>
    </row>
    <row r="8510" spans="1:14" ht="14.25" customHeight="1" x14ac:dyDescent="0.25">
      <c r="A8510" s="95" t="s">
        <v>583</v>
      </c>
      <c r="B8510" s="96"/>
      <c r="C8510" s="92"/>
      <c r="D8510" s="92"/>
      <c r="E8510" s="92" t="s">
        <v>584</v>
      </c>
      <c r="F8510" s="92"/>
      <c r="G8510" s="81"/>
      <c r="H8510" s="81"/>
      <c r="I8510" s="81"/>
      <c r="J8510" s="81"/>
      <c r="K8510" s="81"/>
      <c r="L8510" s="81"/>
      <c r="M8510" s="81"/>
      <c r="N8510" s="81"/>
    </row>
    <row r="8511" spans="1:14" ht="14.25" customHeight="1" x14ac:dyDescent="0.25">
      <c r="A8511" s="97" t="s">
        <v>563</v>
      </c>
      <c r="B8511" s="98" t="s">
        <v>564</v>
      </c>
      <c r="C8511" s="98" t="s">
        <v>585</v>
      </c>
      <c r="D8511" s="98" t="s">
        <v>586</v>
      </c>
      <c r="E8511" s="120" t="s">
        <v>587</v>
      </c>
      <c r="F8511" s="98" t="s">
        <v>568</v>
      </c>
      <c r="G8511" s="81"/>
      <c r="H8511" s="81"/>
      <c r="I8511" s="81"/>
      <c r="J8511" s="81"/>
      <c r="K8511" s="81"/>
      <c r="L8511" s="81"/>
      <c r="M8511" s="81"/>
      <c r="N8511" s="81"/>
    </row>
    <row r="8512" spans="1:14" ht="14.25" customHeight="1" x14ac:dyDescent="0.25">
      <c r="A8512" s="103"/>
      <c r="B8512" s="100"/>
      <c r="C8512" s="101"/>
      <c r="D8512" s="140"/>
      <c r="E8512" s="107"/>
      <c r="F8512" s="109"/>
      <c r="G8512" s="81"/>
      <c r="H8512" s="81"/>
      <c r="I8512" s="81"/>
      <c r="J8512" s="81"/>
      <c r="K8512" s="81"/>
      <c r="L8512" s="81"/>
      <c r="M8512" s="81"/>
      <c r="N8512" s="81"/>
    </row>
    <row r="8513" spans="1:14" ht="14.25" customHeight="1" x14ac:dyDescent="0.25">
      <c r="A8513" s="103"/>
      <c r="B8513" s="100"/>
      <c r="C8513" s="107"/>
      <c r="D8513" s="107"/>
      <c r="E8513" s="108"/>
      <c r="F8513" s="109"/>
      <c r="G8513" s="81"/>
      <c r="H8513" s="81"/>
      <c r="I8513" s="81"/>
      <c r="J8513" s="81"/>
      <c r="K8513" s="81"/>
      <c r="L8513" s="81"/>
      <c r="M8513" s="81"/>
      <c r="N8513" s="81"/>
    </row>
    <row r="8514" spans="1:14" ht="14.25" customHeight="1" x14ac:dyDescent="0.25">
      <c r="A8514" s="97" t="s">
        <v>548</v>
      </c>
      <c r="B8514" s="98"/>
      <c r="C8514" s="110"/>
      <c r="D8514" s="110"/>
      <c r="E8514" s="111"/>
      <c r="F8514" s="112">
        <f>SUM(F8512:F8513)</f>
        <v>0</v>
      </c>
      <c r="G8514" s="81"/>
      <c r="H8514" s="81"/>
      <c r="I8514" s="81"/>
      <c r="J8514" s="81"/>
      <c r="K8514" s="81"/>
      <c r="L8514" s="81"/>
      <c r="M8514" s="81"/>
      <c r="N8514" s="81"/>
    </row>
    <row r="8515" spans="1:14" ht="14.25" customHeight="1" x14ac:dyDescent="0.25">
      <c r="A8515" s="88"/>
      <c r="B8515" s="89"/>
      <c r="C8515" s="113"/>
      <c r="D8515" s="113"/>
      <c r="E8515" s="114"/>
      <c r="F8515" s="113"/>
      <c r="G8515" s="81"/>
      <c r="H8515" s="81"/>
      <c r="I8515" s="81"/>
      <c r="J8515" s="81"/>
      <c r="K8515" s="81"/>
      <c r="L8515" s="81"/>
      <c r="M8515" s="81"/>
      <c r="N8515" s="81"/>
    </row>
    <row r="8516" spans="1:14" ht="14.25" customHeight="1" x14ac:dyDescent="0.25">
      <c r="A8516" s="88"/>
      <c r="B8516" s="89"/>
      <c r="C8516" s="113"/>
      <c r="D8516" s="113"/>
      <c r="E8516" s="114"/>
      <c r="F8516" s="113"/>
      <c r="G8516" s="81"/>
      <c r="H8516" s="81"/>
      <c r="I8516" s="81"/>
      <c r="J8516" s="81"/>
      <c r="K8516" s="81"/>
      <c r="L8516" s="81"/>
      <c r="M8516" s="81"/>
      <c r="N8516" s="81"/>
    </row>
    <row r="8517" spans="1:14" ht="14.25" customHeight="1" x14ac:dyDescent="0.25">
      <c r="A8517" s="612" t="s">
        <v>588</v>
      </c>
      <c r="B8517" s="608"/>
      <c r="C8517" s="608"/>
      <c r="D8517" s="608"/>
      <c r="E8517" s="609"/>
      <c r="F8517" s="131">
        <f>ROUND(F8491+F8500+F8508+F8514,0)</f>
        <v>44580</v>
      </c>
      <c r="G8517" s="81"/>
      <c r="H8517" s="81"/>
      <c r="I8517" s="81"/>
      <c r="J8517" s="81"/>
      <c r="K8517" s="81"/>
      <c r="L8517" s="81"/>
      <c r="M8517" s="81"/>
      <c r="N8517" s="81"/>
    </row>
    <row r="8518" spans="1:14" ht="14.25" customHeight="1" x14ac:dyDescent="0.25">
      <c r="A8518" s="612" t="s">
        <v>589</v>
      </c>
      <c r="B8518" s="608"/>
      <c r="C8518" s="608"/>
      <c r="D8518" s="608"/>
      <c r="E8518" s="609"/>
      <c r="F8518" s="132"/>
      <c r="G8518" s="81"/>
      <c r="H8518" s="81"/>
      <c r="I8518" s="81"/>
      <c r="J8518" s="81"/>
      <c r="K8518" s="81"/>
      <c r="L8518" s="81"/>
      <c r="M8518" s="81"/>
      <c r="N8518" s="81"/>
    </row>
    <row r="8519" spans="1:14" ht="14.25" customHeight="1" x14ac:dyDescent="0.25">
      <c r="A8519" s="146" t="s">
        <v>556</v>
      </c>
      <c r="B8519" s="147"/>
      <c r="C8519" s="147"/>
      <c r="D8519" s="147"/>
      <c r="E8519" s="148"/>
      <c r="F8519" s="133"/>
      <c r="G8519" s="81"/>
      <c r="H8519" s="81"/>
      <c r="I8519" s="81"/>
      <c r="J8519" s="81"/>
      <c r="K8519" s="81"/>
      <c r="L8519" s="81"/>
      <c r="M8519" s="81"/>
      <c r="N8519" s="81"/>
    </row>
    <row r="8520" spans="1:14" ht="14.25" customHeight="1" x14ac:dyDescent="0.25">
      <c r="A8520" s="134"/>
      <c r="B8520" s="135"/>
      <c r="C8520" s="135"/>
      <c r="D8520" s="135"/>
      <c r="E8520" s="135"/>
      <c r="F8520" s="136"/>
      <c r="G8520" s="81"/>
      <c r="H8520" s="81"/>
      <c r="I8520" s="81"/>
      <c r="J8520" s="81"/>
      <c r="K8520" s="81"/>
      <c r="L8520" s="81"/>
      <c r="M8520" s="81"/>
      <c r="N8520" s="81"/>
    </row>
    <row r="8521" spans="1:14" ht="14.25" customHeight="1" x14ac:dyDescent="0.25">
      <c r="A8521" s="81"/>
      <c r="B8521" s="81"/>
      <c r="C8521" s="137"/>
      <c r="D8521" s="81"/>
      <c r="E8521" s="81"/>
      <c r="F8521" s="81"/>
      <c r="G8521" s="81"/>
      <c r="H8521" s="81"/>
      <c r="I8521" s="81"/>
      <c r="J8521" s="81"/>
      <c r="K8521" s="81"/>
      <c r="L8521" s="81"/>
      <c r="M8521" s="81"/>
      <c r="N8521" s="81"/>
    </row>
    <row r="8522" spans="1:14" ht="14.25" customHeight="1" x14ac:dyDescent="0.25">
      <c r="A8522" s="81"/>
      <c r="B8522" s="81"/>
      <c r="C8522" s="137"/>
      <c r="D8522" s="81"/>
      <c r="E8522" s="81"/>
      <c r="F8522" s="81"/>
      <c r="G8522" s="81"/>
      <c r="H8522" s="81"/>
      <c r="I8522" s="81"/>
      <c r="J8522" s="81"/>
      <c r="K8522" s="81"/>
      <c r="L8522" s="81"/>
      <c r="M8522" s="81"/>
      <c r="N8522" s="81"/>
    </row>
    <row r="8523" spans="1:14" ht="14.25" customHeight="1" x14ac:dyDescent="0.25">
      <c r="A8523" s="81"/>
      <c r="B8523" s="81"/>
      <c r="C8523" s="137"/>
      <c r="D8523" s="81"/>
      <c r="E8523" s="81"/>
      <c r="F8523" s="81"/>
      <c r="G8523" s="81"/>
      <c r="H8523" s="81"/>
      <c r="I8523" s="81"/>
      <c r="J8523" s="81"/>
      <c r="K8523" s="81"/>
      <c r="L8523" s="81"/>
      <c r="M8523" s="81"/>
      <c r="N8523" s="81"/>
    </row>
    <row r="8524" spans="1:14" ht="32.25" customHeight="1" x14ac:dyDescent="0.25">
      <c r="A8524" s="81"/>
      <c r="B8524" s="81"/>
      <c r="C8524" s="137"/>
      <c r="D8524" s="81"/>
      <c r="E8524" s="81"/>
      <c r="F8524" s="81"/>
      <c r="G8524" s="81"/>
      <c r="H8524" s="81"/>
      <c r="I8524" s="81"/>
      <c r="J8524" s="81"/>
      <c r="K8524" s="81"/>
      <c r="L8524" s="81"/>
      <c r="M8524" s="81"/>
      <c r="N8524" s="81"/>
    </row>
    <row r="8525" spans="1:14" ht="14.25" customHeight="1" x14ac:dyDescent="0.25">
      <c r="A8525" s="81"/>
      <c r="B8525" s="81"/>
      <c r="C8525" s="137"/>
      <c r="D8525" s="81"/>
      <c r="E8525" s="81"/>
      <c r="F8525" s="81"/>
      <c r="G8525" s="81"/>
      <c r="H8525" s="81"/>
      <c r="I8525" s="81"/>
      <c r="J8525" s="81"/>
      <c r="K8525" s="81"/>
      <c r="L8525" s="81"/>
      <c r="M8525" s="81"/>
      <c r="N8525" s="81"/>
    </row>
    <row r="8526" spans="1:14" ht="14.25" customHeight="1" x14ac:dyDescent="0.25">
      <c r="A8526" s="134"/>
      <c r="B8526" s="135"/>
      <c r="C8526" s="135"/>
      <c r="D8526" s="135"/>
      <c r="E8526" s="135"/>
      <c r="F8526" s="136"/>
      <c r="G8526" s="81"/>
      <c r="H8526" s="81"/>
      <c r="I8526" s="81"/>
      <c r="J8526" s="81"/>
      <c r="K8526" s="81"/>
      <c r="L8526" s="81"/>
      <c r="M8526" s="81"/>
      <c r="N8526" s="81"/>
    </row>
    <row r="8527" spans="1:14" ht="14.25" customHeight="1" x14ac:dyDescent="0.25">
      <c r="A8527" s="134"/>
      <c r="B8527" s="135"/>
      <c r="C8527" s="135"/>
      <c r="D8527" s="135"/>
      <c r="E8527" s="135"/>
      <c r="F8527" s="136"/>
      <c r="G8527" s="81"/>
      <c r="H8527" s="81"/>
      <c r="I8527" s="81"/>
      <c r="J8527" s="81"/>
      <c r="K8527" s="81"/>
      <c r="L8527" s="81"/>
      <c r="M8527" s="81"/>
      <c r="N8527" s="81"/>
    </row>
    <row r="8528" spans="1:14" ht="14.25" customHeight="1" x14ac:dyDescent="0.25">
      <c r="A8528" s="134"/>
      <c r="B8528" s="135"/>
      <c r="C8528" s="135"/>
      <c r="D8528" s="135"/>
      <c r="E8528" s="135"/>
      <c r="F8528" s="136"/>
      <c r="G8528" s="81"/>
      <c r="H8528" s="81"/>
      <c r="I8528" s="81"/>
      <c r="J8528" s="81"/>
      <c r="K8528" s="81"/>
      <c r="L8528" s="81"/>
      <c r="M8528" s="81"/>
      <c r="N8528" s="81"/>
    </row>
    <row r="8529" spans="1:14" ht="14.25" customHeight="1" thickBot="1" x14ac:dyDescent="0.3">
      <c r="A8529" s="81"/>
      <c r="B8529" s="81"/>
      <c r="C8529" s="81"/>
      <c r="D8529" s="81"/>
      <c r="E8529" s="81"/>
      <c r="F8529" s="81"/>
      <c r="G8529" s="81"/>
      <c r="H8529" s="81"/>
      <c r="I8529" s="81"/>
      <c r="J8529" s="81"/>
      <c r="K8529" s="81"/>
      <c r="L8529" s="81"/>
      <c r="M8529" s="81"/>
      <c r="N8529" s="81"/>
    </row>
    <row r="8530" spans="1:14" ht="14.25" customHeight="1" x14ac:dyDescent="0.25">
      <c r="A8530" s="83"/>
      <c r="B8530" s="84"/>
      <c r="C8530" s="85"/>
      <c r="D8530" s="86"/>
      <c r="E8530" s="86"/>
      <c r="F8530" s="87"/>
      <c r="G8530" s="81"/>
      <c r="H8530" s="81"/>
      <c r="I8530" s="81"/>
      <c r="J8530" s="81"/>
      <c r="K8530" s="81"/>
      <c r="L8530" s="81"/>
      <c r="M8530" s="81"/>
      <c r="N8530" s="81"/>
    </row>
    <row r="8531" spans="1:14" ht="14.25" customHeight="1" x14ac:dyDescent="0.25">
      <c r="A8531" s="599"/>
      <c r="B8531" s="600"/>
      <c r="C8531" s="600"/>
      <c r="D8531" s="600"/>
      <c r="E8531" s="600"/>
      <c r="F8531" s="601"/>
      <c r="G8531" s="81"/>
      <c r="H8531" s="81"/>
      <c r="I8531" s="81"/>
      <c r="J8531" s="81"/>
      <c r="K8531" s="81"/>
      <c r="L8531" s="81"/>
      <c r="M8531" s="81"/>
      <c r="N8531" s="81"/>
    </row>
    <row r="8532" spans="1:14" ht="14.25" customHeight="1" x14ac:dyDescent="0.25">
      <c r="A8532" s="602" t="s">
        <v>561</v>
      </c>
      <c r="B8532" s="600"/>
      <c r="C8532" s="600"/>
      <c r="D8532" s="600"/>
      <c r="E8532" s="600"/>
      <c r="F8532" s="601"/>
      <c r="G8532" s="81"/>
      <c r="H8532" s="81"/>
      <c r="I8532" s="81"/>
      <c r="J8532" s="81"/>
      <c r="K8532" s="81"/>
      <c r="L8532" s="81"/>
      <c r="M8532" s="81"/>
      <c r="N8532" s="81"/>
    </row>
    <row r="8533" spans="1:14" ht="14.25" customHeight="1" thickBot="1" x14ac:dyDescent="0.3">
      <c r="A8533" s="603"/>
      <c r="B8533" s="604"/>
      <c r="C8533" s="604"/>
      <c r="D8533" s="604"/>
      <c r="E8533" s="604"/>
      <c r="F8533" s="605"/>
      <c r="G8533" s="81"/>
      <c r="H8533" s="81"/>
      <c r="I8533" s="81"/>
      <c r="J8533" s="81"/>
      <c r="K8533" s="81"/>
      <c r="L8533" s="81"/>
      <c r="M8533" s="81"/>
      <c r="N8533" s="81"/>
    </row>
    <row r="8534" spans="1:14" ht="14.25" customHeight="1" x14ac:dyDescent="0.25">
      <c r="A8534" s="88"/>
      <c r="B8534" s="88"/>
      <c r="C8534" s="89"/>
      <c r="D8534" s="89"/>
      <c r="E8534" s="89"/>
      <c r="F8534" s="89"/>
      <c r="G8534" s="81"/>
      <c r="H8534" s="81"/>
      <c r="I8534" s="81"/>
      <c r="J8534" s="81"/>
      <c r="K8534" s="81"/>
      <c r="L8534" s="81"/>
      <c r="M8534" s="81"/>
      <c r="N8534" s="81"/>
    </row>
    <row r="8535" spans="1:14" ht="28.5" customHeight="1" x14ac:dyDescent="0.25">
      <c r="A8535" s="90" t="s">
        <v>47</v>
      </c>
      <c r="B8535" s="613" t="s">
        <v>399</v>
      </c>
      <c r="C8535" s="600"/>
      <c r="D8535" s="600"/>
      <c r="E8535" s="600"/>
      <c r="F8535" s="600"/>
      <c r="G8535" s="81"/>
      <c r="H8535" s="81"/>
      <c r="I8535" s="81"/>
      <c r="J8535" s="81"/>
      <c r="K8535" s="81"/>
      <c r="L8535" s="81"/>
      <c r="M8535" s="81"/>
      <c r="N8535" s="81"/>
    </row>
    <row r="8536" spans="1:14" ht="25.5" customHeight="1" x14ac:dyDescent="0.25">
      <c r="A8536" s="91"/>
      <c r="B8536" s="91"/>
      <c r="C8536" s="91"/>
      <c r="D8536" s="91"/>
      <c r="E8536" s="91"/>
      <c r="F8536" s="91"/>
      <c r="G8536" s="81"/>
      <c r="H8536" s="81"/>
      <c r="I8536" s="81"/>
      <c r="J8536" s="81"/>
      <c r="K8536" s="81"/>
      <c r="L8536" s="81"/>
      <c r="M8536" s="81"/>
      <c r="N8536" s="81"/>
    </row>
    <row r="8537" spans="1:14" ht="14.25" customHeight="1" x14ac:dyDescent="0.25">
      <c r="A8537" s="88" t="s">
        <v>49</v>
      </c>
      <c r="B8537" s="92" t="s">
        <v>56</v>
      </c>
      <c r="C8537" s="89"/>
      <c r="D8537" s="89"/>
      <c r="E8537" s="89"/>
      <c r="F8537" s="93"/>
      <c r="G8537" s="81"/>
      <c r="H8537" s="81"/>
      <c r="I8537" s="81"/>
      <c r="J8537" s="81"/>
      <c r="K8537" s="81"/>
      <c r="L8537" s="81"/>
      <c r="M8537" s="81"/>
      <c r="N8537" s="81"/>
    </row>
    <row r="8538" spans="1:14" ht="14.25" customHeight="1" x14ac:dyDescent="0.25">
      <c r="A8538" s="88"/>
      <c r="B8538" s="94"/>
      <c r="C8538" s="89"/>
      <c r="D8538" s="89"/>
      <c r="E8538" s="89"/>
      <c r="F8538" s="93"/>
      <c r="G8538" s="81"/>
      <c r="H8538" s="81"/>
      <c r="I8538" s="81"/>
      <c r="J8538" s="81"/>
      <c r="K8538" s="81"/>
      <c r="L8538" s="81"/>
      <c r="M8538" s="81"/>
      <c r="N8538" s="81"/>
    </row>
    <row r="8539" spans="1:14" ht="14.25" customHeight="1" x14ac:dyDescent="0.25">
      <c r="A8539" s="95" t="s">
        <v>562</v>
      </c>
      <c r="B8539" s="96"/>
      <c r="C8539" s="92"/>
      <c r="D8539" s="92"/>
      <c r="E8539" s="92"/>
      <c r="F8539" s="92"/>
      <c r="G8539" s="81"/>
      <c r="H8539" s="81"/>
      <c r="I8539" s="81"/>
      <c r="J8539" s="81"/>
      <c r="K8539" s="81"/>
      <c r="L8539" s="81"/>
      <c r="M8539" s="81"/>
      <c r="N8539" s="81"/>
    </row>
    <row r="8540" spans="1:14" ht="14.25" customHeight="1" x14ac:dyDescent="0.25">
      <c r="A8540" s="97" t="s">
        <v>563</v>
      </c>
      <c r="B8540" s="98" t="s">
        <v>564</v>
      </c>
      <c r="C8540" s="98" t="s">
        <v>565</v>
      </c>
      <c r="D8540" s="98" t="s">
        <v>566</v>
      </c>
      <c r="E8540" s="98" t="s">
        <v>567</v>
      </c>
      <c r="F8540" s="98" t="s">
        <v>568</v>
      </c>
      <c r="G8540" s="81"/>
      <c r="H8540" s="81"/>
      <c r="I8540" s="81"/>
      <c r="J8540" s="81"/>
      <c r="K8540" s="81"/>
      <c r="L8540" s="81"/>
      <c r="M8540" s="81"/>
      <c r="N8540" s="81"/>
    </row>
    <row r="8541" spans="1:14" ht="14.25" customHeight="1" x14ac:dyDescent="0.25">
      <c r="A8541" s="99" t="s">
        <v>827</v>
      </c>
      <c r="B8541" s="100" t="s">
        <v>651</v>
      </c>
      <c r="C8541" s="101">
        <v>242870</v>
      </c>
      <c r="D8541" s="149">
        <v>0.14000000000000001</v>
      </c>
      <c r="E8541" s="102">
        <v>0.05</v>
      </c>
      <c r="F8541" s="101">
        <f t="shared" ref="F8541:F8542" si="424">C8541*(D8541+(D8541*E8541))</f>
        <v>35701.890000000007</v>
      </c>
      <c r="G8541" s="81"/>
      <c r="H8541" s="81"/>
      <c r="I8541" s="81"/>
      <c r="J8541" s="81"/>
      <c r="K8541" s="81"/>
      <c r="L8541" s="81"/>
      <c r="M8541" s="81"/>
      <c r="N8541" s="81"/>
    </row>
    <row r="8542" spans="1:14" ht="14.25" customHeight="1" x14ac:dyDescent="0.25">
      <c r="A8542" s="99" t="s">
        <v>828</v>
      </c>
      <c r="B8542" s="100" t="s">
        <v>651</v>
      </c>
      <c r="C8542" s="101">
        <v>32850</v>
      </c>
      <c r="D8542" s="149">
        <v>0.14000000000000001</v>
      </c>
      <c r="E8542" s="102">
        <v>0.05</v>
      </c>
      <c r="F8542" s="101">
        <f t="shared" si="424"/>
        <v>4828.9500000000007</v>
      </c>
      <c r="G8542" s="81"/>
      <c r="H8542" s="81"/>
      <c r="I8542" s="81"/>
      <c r="J8542" s="81"/>
      <c r="K8542" s="81"/>
      <c r="L8542" s="81"/>
      <c r="M8542" s="81"/>
      <c r="N8542" s="81"/>
    </row>
    <row r="8543" spans="1:14" ht="14.25" customHeight="1" x14ac:dyDescent="0.25">
      <c r="A8543" s="99"/>
      <c r="B8543" s="100"/>
      <c r="C8543" s="101"/>
      <c r="D8543" s="149"/>
      <c r="E8543" s="102"/>
      <c r="F8543" s="101"/>
      <c r="G8543" s="81"/>
      <c r="H8543" s="81"/>
      <c r="I8543" s="81"/>
      <c r="J8543" s="81"/>
      <c r="K8543" s="81"/>
      <c r="L8543" s="81"/>
      <c r="M8543" s="81"/>
      <c r="N8543" s="81"/>
    </row>
    <row r="8544" spans="1:14" ht="14.25" customHeight="1" x14ac:dyDescent="0.25">
      <c r="A8544" s="99"/>
      <c r="B8544" s="100"/>
      <c r="C8544" s="101"/>
      <c r="D8544" s="104"/>
      <c r="E8544" s="102"/>
      <c r="F8544" s="101"/>
      <c r="G8544" s="81"/>
      <c r="H8544" s="81"/>
      <c r="I8544" s="81"/>
      <c r="J8544" s="81"/>
      <c r="K8544" s="81"/>
      <c r="L8544" s="81"/>
      <c r="M8544" s="81"/>
      <c r="N8544" s="81"/>
    </row>
    <row r="8545" spans="1:14" ht="14.25" customHeight="1" x14ac:dyDescent="0.25">
      <c r="A8545" s="99"/>
      <c r="B8545" s="100"/>
      <c r="C8545" s="101"/>
      <c r="D8545" s="104"/>
      <c r="E8545" s="102"/>
      <c r="F8545" s="101"/>
      <c r="G8545" s="81"/>
      <c r="H8545" s="81"/>
      <c r="I8545" s="81"/>
      <c r="J8545" s="81"/>
      <c r="K8545" s="81"/>
      <c r="L8545" s="81"/>
      <c r="M8545" s="81"/>
      <c r="N8545" s="81"/>
    </row>
    <row r="8546" spans="1:14" ht="14.25" customHeight="1" x14ac:dyDescent="0.25">
      <c r="A8546" s="99"/>
      <c r="B8546" s="100"/>
      <c r="C8546" s="106"/>
      <c r="D8546" s="107"/>
      <c r="E8546" s="108"/>
      <c r="F8546" s="106"/>
      <c r="G8546" s="81"/>
      <c r="H8546" s="81"/>
      <c r="I8546" s="81"/>
      <c r="J8546" s="81"/>
      <c r="K8546" s="81"/>
      <c r="L8546" s="81"/>
      <c r="M8546" s="81"/>
      <c r="N8546" s="81"/>
    </row>
    <row r="8547" spans="1:14" ht="14.25" customHeight="1" x14ac:dyDescent="0.25">
      <c r="A8547" s="97" t="s">
        <v>548</v>
      </c>
      <c r="B8547" s="97"/>
      <c r="C8547" s="109"/>
      <c r="D8547" s="110"/>
      <c r="E8547" s="111"/>
      <c r="F8547" s="112">
        <f>SUM(F8541:F8546)</f>
        <v>40530.840000000011</v>
      </c>
      <c r="G8547" s="81"/>
      <c r="H8547" s="81"/>
      <c r="I8547" s="81"/>
      <c r="J8547" s="81"/>
      <c r="K8547" s="81"/>
      <c r="L8547" s="81"/>
      <c r="M8547" s="81"/>
      <c r="N8547" s="81"/>
    </row>
    <row r="8548" spans="1:14" ht="14.25" customHeight="1" x14ac:dyDescent="0.25">
      <c r="A8548" s="88"/>
      <c r="B8548" s="88"/>
      <c r="C8548" s="113"/>
      <c r="D8548" s="113"/>
      <c r="E8548" s="114"/>
      <c r="F8548" s="113"/>
      <c r="G8548" s="81"/>
      <c r="H8548" s="81"/>
      <c r="I8548" s="81"/>
      <c r="J8548" s="81"/>
      <c r="K8548" s="81"/>
      <c r="L8548" s="81"/>
      <c r="M8548" s="81"/>
      <c r="N8548" s="81"/>
    </row>
    <row r="8549" spans="1:14" ht="14.25" customHeight="1" x14ac:dyDescent="0.25">
      <c r="A8549" s="96" t="s">
        <v>573</v>
      </c>
      <c r="B8549" s="96"/>
      <c r="C8549" s="92"/>
      <c r="D8549" s="92"/>
      <c r="E8549" s="92"/>
      <c r="F8549" s="92"/>
      <c r="G8549" s="81"/>
      <c r="H8549" s="81"/>
      <c r="I8549" s="81"/>
      <c r="J8549" s="81"/>
      <c r="K8549" s="81"/>
      <c r="L8549" s="81"/>
      <c r="M8549" s="81"/>
      <c r="N8549" s="81"/>
    </row>
    <row r="8550" spans="1:14" ht="14.25" customHeight="1" x14ac:dyDescent="0.25">
      <c r="A8550" s="611" t="s">
        <v>563</v>
      </c>
      <c r="B8550" s="608"/>
      <c r="C8550" s="609"/>
      <c r="D8550" s="98" t="s">
        <v>574</v>
      </c>
      <c r="E8550" s="98" t="s">
        <v>575</v>
      </c>
      <c r="F8550" s="98" t="s">
        <v>568</v>
      </c>
      <c r="G8550" s="81"/>
      <c r="H8550" s="81"/>
      <c r="I8550" s="81"/>
      <c r="J8550" s="81"/>
      <c r="K8550" s="81"/>
      <c r="L8550" s="81"/>
      <c r="M8550" s="81"/>
      <c r="N8550" s="81"/>
    </row>
    <row r="8551" spans="1:14" ht="14.25" customHeight="1" x14ac:dyDescent="0.25">
      <c r="A8551" s="607" t="s">
        <v>577</v>
      </c>
      <c r="B8551" s="608"/>
      <c r="C8551" s="609"/>
      <c r="D8551" s="116"/>
      <c r="E8551" s="107"/>
      <c r="F8551" s="106">
        <f>+F8564*5%</f>
        <v>372.22330695714726</v>
      </c>
      <c r="G8551" s="81"/>
      <c r="H8551" s="81"/>
      <c r="I8551" s="81"/>
      <c r="J8551" s="81"/>
      <c r="K8551" s="81"/>
      <c r="L8551" s="81"/>
      <c r="M8551" s="81"/>
      <c r="N8551" s="81"/>
    </row>
    <row r="8552" spans="1:14" ht="14.25" customHeight="1" x14ac:dyDescent="0.25">
      <c r="A8552" s="607" t="s">
        <v>654</v>
      </c>
      <c r="B8552" s="608"/>
      <c r="C8552" s="609"/>
      <c r="D8552" s="142">
        <v>4200</v>
      </c>
      <c r="E8552" s="105">
        <v>2</v>
      </c>
      <c r="F8552" s="106">
        <f t="shared" ref="F8552:F8553" si="425">D8552/E8552</f>
        <v>2100</v>
      </c>
      <c r="G8552" s="81"/>
      <c r="H8552" s="81"/>
      <c r="I8552" s="81"/>
      <c r="J8552" s="81"/>
      <c r="K8552" s="81"/>
      <c r="L8552" s="81"/>
      <c r="M8552" s="81"/>
      <c r="N8552" s="81"/>
    </row>
    <row r="8553" spans="1:14" ht="14.25" customHeight="1" x14ac:dyDescent="0.25">
      <c r="A8553" s="607" t="s">
        <v>655</v>
      </c>
      <c r="B8553" s="608"/>
      <c r="C8553" s="609"/>
      <c r="D8553" s="142">
        <v>625</v>
      </c>
      <c r="E8553" s="105">
        <v>2</v>
      </c>
      <c r="F8553" s="106">
        <f t="shared" si="425"/>
        <v>312.5</v>
      </c>
      <c r="G8553" s="81"/>
      <c r="H8553" s="81"/>
      <c r="I8553" s="81"/>
      <c r="J8553" s="81"/>
      <c r="K8553" s="81"/>
      <c r="L8553" s="81"/>
      <c r="M8553" s="81"/>
      <c r="N8553" s="81"/>
    </row>
    <row r="8554" spans="1:14" ht="14.25" customHeight="1" x14ac:dyDescent="0.25">
      <c r="A8554" s="607"/>
      <c r="B8554" s="608"/>
      <c r="C8554" s="609"/>
      <c r="D8554" s="142"/>
      <c r="E8554" s="107"/>
      <c r="F8554" s="106"/>
      <c r="G8554" s="81"/>
      <c r="H8554" s="81"/>
      <c r="I8554" s="81"/>
      <c r="J8554" s="81"/>
      <c r="K8554" s="81"/>
      <c r="L8554" s="81"/>
      <c r="M8554" s="81"/>
      <c r="N8554" s="81"/>
    </row>
    <row r="8555" spans="1:14" ht="14.25" customHeight="1" x14ac:dyDescent="0.25">
      <c r="A8555" s="610"/>
      <c r="B8555" s="608"/>
      <c r="C8555" s="609"/>
      <c r="D8555" s="115"/>
      <c r="E8555" s="107"/>
      <c r="F8555" s="106"/>
      <c r="G8555" s="81"/>
      <c r="H8555" s="81"/>
      <c r="I8555" s="81"/>
      <c r="J8555" s="81"/>
      <c r="K8555" s="81"/>
      <c r="L8555" s="81"/>
      <c r="M8555" s="81"/>
      <c r="N8555" s="81"/>
    </row>
    <row r="8556" spans="1:14" ht="14.25" customHeight="1" x14ac:dyDescent="0.25">
      <c r="A8556" s="611" t="s">
        <v>548</v>
      </c>
      <c r="B8556" s="608"/>
      <c r="C8556" s="609"/>
      <c r="D8556" s="110"/>
      <c r="E8556" s="110"/>
      <c r="F8556" s="112">
        <f>SUM(F8551:F8554)</f>
        <v>2784.7233069571471</v>
      </c>
      <c r="G8556" s="81"/>
      <c r="H8556" s="81"/>
      <c r="I8556" s="81"/>
      <c r="J8556" s="81"/>
      <c r="K8556" s="81"/>
      <c r="L8556" s="81"/>
      <c r="M8556" s="81"/>
      <c r="N8556" s="81"/>
    </row>
    <row r="8557" spans="1:14" ht="14.25" customHeight="1" x14ac:dyDescent="0.25">
      <c r="A8557" s="88"/>
      <c r="B8557" s="88"/>
      <c r="C8557" s="89"/>
      <c r="D8557" s="113"/>
      <c r="E8557" s="113"/>
      <c r="F8557" s="113"/>
      <c r="G8557" s="81"/>
      <c r="H8557" s="81"/>
      <c r="I8557" s="81"/>
      <c r="J8557" s="81"/>
      <c r="K8557" s="81"/>
      <c r="L8557" s="81"/>
      <c r="M8557" s="81"/>
      <c r="N8557" s="81"/>
    </row>
    <row r="8558" spans="1:14" ht="14.25" customHeight="1" x14ac:dyDescent="0.25">
      <c r="A8558" s="96" t="s">
        <v>578</v>
      </c>
      <c r="B8558" s="96"/>
      <c r="C8558" s="92"/>
      <c r="D8558" s="118"/>
      <c r="E8558" s="118"/>
      <c r="F8558" s="118"/>
      <c r="G8558" s="81"/>
      <c r="H8558" s="81"/>
      <c r="I8558" s="81"/>
      <c r="J8558" s="81"/>
      <c r="K8558" s="81"/>
      <c r="L8558" s="81"/>
      <c r="M8558" s="81"/>
      <c r="N8558" s="81"/>
    </row>
    <row r="8559" spans="1:14" ht="14.25" customHeight="1" x14ac:dyDescent="0.25">
      <c r="A8559" s="119" t="s">
        <v>563</v>
      </c>
      <c r="B8559" s="120" t="s">
        <v>579</v>
      </c>
      <c r="C8559" s="120" t="s">
        <v>580</v>
      </c>
      <c r="D8559" s="121" t="s">
        <v>581</v>
      </c>
      <c r="E8559" s="121" t="s">
        <v>575</v>
      </c>
      <c r="F8559" s="121" t="s">
        <v>568</v>
      </c>
      <c r="G8559" s="81"/>
      <c r="H8559" s="81"/>
      <c r="I8559" s="81"/>
      <c r="J8559" s="81"/>
      <c r="K8559" s="81"/>
      <c r="L8559" s="81"/>
      <c r="M8559" s="81"/>
      <c r="N8559" s="81"/>
    </row>
    <row r="8560" spans="1:14" ht="14.25" customHeight="1" x14ac:dyDescent="0.25">
      <c r="A8560" s="122" t="s">
        <v>593</v>
      </c>
      <c r="B8560" s="127">
        <v>1</v>
      </c>
      <c r="C8560" s="101">
        <v>32688</v>
      </c>
      <c r="D8560" s="101">
        <f t="shared" ref="D8560:D8561" si="426">+C8560*1.7</f>
        <v>55569.599999999999</v>
      </c>
      <c r="E8560" s="107">
        <v>19.462</v>
      </c>
      <c r="F8560" s="106">
        <f t="shared" ref="F8560:F8561" si="427">+B8560*(D8560)/E8560</f>
        <v>2855.287226389888</v>
      </c>
      <c r="G8560" s="81"/>
      <c r="H8560" s="81"/>
      <c r="I8560" s="81"/>
      <c r="J8560" s="81"/>
      <c r="K8560" s="81"/>
      <c r="L8560" s="81"/>
      <c r="M8560" s="81"/>
      <c r="N8560" s="81"/>
    </row>
    <row r="8561" spans="1:14" ht="14.25" customHeight="1" x14ac:dyDescent="0.25">
      <c r="A8561" s="122" t="s">
        <v>594</v>
      </c>
      <c r="B8561" s="127">
        <v>1</v>
      </c>
      <c r="C8561" s="101">
        <v>52538</v>
      </c>
      <c r="D8561" s="101">
        <f t="shared" si="426"/>
        <v>89314.599999999991</v>
      </c>
      <c r="E8561" s="107">
        <f>E8560</f>
        <v>19.462</v>
      </c>
      <c r="F8561" s="106">
        <f t="shared" si="427"/>
        <v>4589.1789127530565</v>
      </c>
      <c r="G8561" s="81"/>
      <c r="H8561" s="81"/>
      <c r="I8561" s="81"/>
      <c r="J8561" s="81"/>
      <c r="K8561" s="81"/>
      <c r="L8561" s="81"/>
      <c r="M8561" s="81"/>
      <c r="N8561" s="81"/>
    </row>
    <row r="8562" spans="1:14" ht="14.25" customHeight="1" x14ac:dyDescent="0.25">
      <c r="A8562" s="122"/>
      <c r="B8562" s="127"/>
      <c r="C8562" s="101"/>
      <c r="D8562" s="101"/>
      <c r="E8562" s="105"/>
      <c r="F8562" s="106"/>
      <c r="G8562" s="81"/>
      <c r="H8562" s="81"/>
      <c r="I8562" s="81"/>
      <c r="J8562" s="81"/>
      <c r="K8562" s="81"/>
      <c r="L8562" s="81"/>
      <c r="M8562" s="81"/>
      <c r="N8562" s="81"/>
    </row>
    <row r="8563" spans="1:14" ht="14.25" customHeight="1" x14ac:dyDescent="0.25">
      <c r="A8563" s="122"/>
      <c r="B8563" s="127"/>
      <c r="C8563" s="101"/>
      <c r="D8563" s="101"/>
      <c r="E8563" s="125"/>
      <c r="F8563" s="106"/>
      <c r="G8563" s="81"/>
      <c r="H8563" s="81"/>
      <c r="I8563" s="81"/>
      <c r="J8563" s="81"/>
      <c r="K8563" s="81"/>
      <c r="L8563" s="81"/>
      <c r="M8563" s="81"/>
      <c r="N8563" s="81"/>
    </row>
    <row r="8564" spans="1:14" ht="14.25" customHeight="1" x14ac:dyDescent="0.25">
      <c r="A8564" s="97" t="s">
        <v>548</v>
      </c>
      <c r="B8564" s="128"/>
      <c r="C8564" s="110"/>
      <c r="D8564" s="110"/>
      <c r="E8564" s="110"/>
      <c r="F8564" s="112">
        <f>SUM(F8560:F8563)</f>
        <v>7444.4661391429445</v>
      </c>
      <c r="G8564" s="81"/>
      <c r="H8564" s="81"/>
      <c r="I8564" s="81"/>
      <c r="J8564" s="81"/>
      <c r="K8564" s="81"/>
      <c r="L8564" s="81"/>
      <c r="M8564" s="81"/>
      <c r="N8564" s="81"/>
    </row>
    <row r="8565" spans="1:14" ht="14.25" customHeight="1" x14ac:dyDescent="0.25">
      <c r="A8565" s="96"/>
      <c r="B8565" s="129"/>
      <c r="C8565" s="118"/>
      <c r="D8565" s="118"/>
      <c r="E8565" s="118"/>
      <c r="F8565" s="118"/>
      <c r="G8565" s="81"/>
      <c r="H8565" s="81"/>
      <c r="I8565" s="81"/>
      <c r="J8565" s="81"/>
      <c r="K8565" s="81"/>
      <c r="L8565" s="81"/>
      <c r="M8565" s="81"/>
      <c r="N8565" s="81"/>
    </row>
    <row r="8566" spans="1:14" ht="14.25" customHeight="1" x14ac:dyDescent="0.25">
      <c r="A8566" s="95" t="s">
        <v>583</v>
      </c>
      <c r="B8566" s="96"/>
      <c r="C8566" s="92"/>
      <c r="D8566" s="92"/>
      <c r="E8566" s="92" t="s">
        <v>584</v>
      </c>
      <c r="F8566" s="92"/>
      <c r="G8566" s="81"/>
      <c r="H8566" s="81"/>
      <c r="I8566" s="81"/>
      <c r="J8566" s="81"/>
      <c r="K8566" s="81"/>
      <c r="L8566" s="81"/>
      <c r="M8566" s="81"/>
      <c r="N8566" s="81"/>
    </row>
    <row r="8567" spans="1:14" ht="14.25" customHeight="1" x14ac:dyDescent="0.25">
      <c r="A8567" s="97" t="s">
        <v>563</v>
      </c>
      <c r="B8567" s="98" t="s">
        <v>564</v>
      </c>
      <c r="C8567" s="98" t="s">
        <v>585</v>
      </c>
      <c r="D8567" s="98" t="s">
        <v>586</v>
      </c>
      <c r="E8567" s="120" t="s">
        <v>587</v>
      </c>
      <c r="F8567" s="98" t="s">
        <v>568</v>
      </c>
      <c r="G8567" s="81"/>
      <c r="H8567" s="81"/>
      <c r="I8567" s="81"/>
      <c r="J8567" s="81"/>
      <c r="K8567" s="81"/>
      <c r="L8567" s="81"/>
      <c r="M8567" s="81"/>
      <c r="N8567" s="81"/>
    </row>
    <row r="8568" spans="1:14" ht="14.25" customHeight="1" x14ac:dyDescent="0.25">
      <c r="A8568" s="103"/>
      <c r="B8568" s="100"/>
      <c r="C8568" s="101"/>
      <c r="D8568" s="140"/>
      <c r="E8568" s="107"/>
      <c r="F8568" s="109"/>
      <c r="G8568" s="81"/>
      <c r="H8568" s="117"/>
      <c r="I8568" s="81"/>
      <c r="J8568" s="81"/>
      <c r="K8568" s="81"/>
      <c r="L8568" s="81"/>
      <c r="M8568" s="81"/>
      <c r="N8568" s="81"/>
    </row>
    <row r="8569" spans="1:14" ht="14.25" customHeight="1" x14ac:dyDescent="0.25">
      <c r="A8569" s="103"/>
      <c r="B8569" s="100"/>
      <c r="C8569" s="107"/>
      <c r="D8569" s="107"/>
      <c r="E8569" s="108"/>
      <c r="F8569" s="109"/>
      <c r="G8569" s="81"/>
      <c r="H8569" s="81"/>
      <c r="I8569" s="81"/>
      <c r="J8569" s="81"/>
      <c r="K8569" s="81"/>
      <c r="L8569" s="81"/>
      <c r="M8569" s="81"/>
      <c r="N8569" s="81"/>
    </row>
    <row r="8570" spans="1:14" ht="14.25" customHeight="1" x14ac:dyDescent="0.25">
      <c r="A8570" s="97" t="s">
        <v>548</v>
      </c>
      <c r="B8570" s="98"/>
      <c r="C8570" s="110"/>
      <c r="D8570" s="110"/>
      <c r="E8570" s="111"/>
      <c r="F8570" s="112">
        <f>SUM(F8568:F8569)</f>
        <v>0</v>
      </c>
      <c r="G8570" s="81"/>
      <c r="H8570" s="81"/>
      <c r="I8570" s="81"/>
      <c r="J8570" s="81"/>
      <c r="K8570" s="81"/>
      <c r="L8570" s="81"/>
      <c r="M8570" s="81"/>
      <c r="N8570" s="81"/>
    </row>
    <row r="8571" spans="1:14" ht="14.25" customHeight="1" x14ac:dyDescent="0.25">
      <c r="A8571" s="88"/>
      <c r="B8571" s="89"/>
      <c r="C8571" s="113"/>
      <c r="D8571" s="113"/>
      <c r="E8571" s="114"/>
      <c r="F8571" s="113"/>
      <c r="G8571" s="81"/>
      <c r="H8571" s="81"/>
      <c r="I8571" s="81"/>
      <c r="J8571" s="81"/>
      <c r="K8571" s="81"/>
      <c r="L8571" s="81"/>
      <c r="M8571" s="81"/>
      <c r="N8571" s="81"/>
    </row>
    <row r="8572" spans="1:14" ht="14.25" customHeight="1" x14ac:dyDescent="0.25">
      <c r="A8572" s="88"/>
      <c r="B8572" s="89"/>
      <c r="C8572" s="113"/>
      <c r="D8572" s="113"/>
      <c r="E8572" s="114"/>
      <c r="F8572" s="113"/>
      <c r="G8572" s="81"/>
      <c r="H8572" s="81"/>
      <c r="I8572" s="81"/>
      <c r="J8572" s="81"/>
      <c r="K8572" s="81"/>
      <c r="L8572" s="81"/>
      <c r="M8572" s="81"/>
      <c r="N8572" s="81"/>
    </row>
    <row r="8573" spans="1:14" ht="14.25" customHeight="1" x14ac:dyDescent="0.25">
      <c r="A8573" s="612" t="s">
        <v>588</v>
      </c>
      <c r="B8573" s="608"/>
      <c r="C8573" s="608"/>
      <c r="D8573" s="608"/>
      <c r="E8573" s="609"/>
      <c r="F8573" s="131">
        <f>ROUND(F8547+F8556+F8564+F8570,0)</f>
        <v>50760</v>
      </c>
      <c r="G8573" s="81"/>
      <c r="H8573" s="81"/>
      <c r="I8573" s="81"/>
      <c r="J8573" s="81"/>
      <c r="K8573" s="81"/>
      <c r="L8573" s="81"/>
      <c r="M8573" s="81"/>
      <c r="N8573" s="81"/>
    </row>
    <row r="8574" spans="1:14" ht="14.25" customHeight="1" x14ac:dyDescent="0.25">
      <c r="A8574" s="612" t="s">
        <v>589</v>
      </c>
      <c r="B8574" s="608"/>
      <c r="C8574" s="608"/>
      <c r="D8574" s="608"/>
      <c r="E8574" s="609"/>
      <c r="F8574" s="132"/>
      <c r="G8574" s="81"/>
      <c r="H8574" s="81"/>
      <c r="I8574" s="81"/>
      <c r="J8574" s="81"/>
      <c r="K8574" s="81"/>
      <c r="L8574" s="81"/>
      <c r="M8574" s="81"/>
      <c r="N8574" s="81"/>
    </row>
    <row r="8575" spans="1:14" ht="14.25" customHeight="1" x14ac:dyDescent="0.25">
      <c r="A8575" s="146" t="s">
        <v>556</v>
      </c>
      <c r="B8575" s="147"/>
      <c r="C8575" s="147"/>
      <c r="D8575" s="147"/>
      <c r="E8575" s="148"/>
      <c r="F8575" s="133"/>
      <c r="G8575" s="81"/>
      <c r="H8575" s="81"/>
      <c r="I8575" s="81"/>
      <c r="J8575" s="81"/>
      <c r="K8575" s="81"/>
      <c r="L8575" s="81"/>
      <c r="M8575" s="81"/>
      <c r="N8575" s="81"/>
    </row>
    <row r="8576" spans="1:14" ht="14.25" customHeight="1" x14ac:dyDescent="0.25">
      <c r="A8576" s="134"/>
      <c r="B8576" s="135"/>
      <c r="C8576" s="135"/>
      <c r="D8576" s="135"/>
      <c r="E8576" s="135"/>
      <c r="F8576" s="136"/>
      <c r="G8576" s="81"/>
      <c r="H8576" s="81"/>
      <c r="I8576" s="81"/>
      <c r="J8576" s="81"/>
      <c r="K8576" s="81"/>
      <c r="L8576" s="81"/>
      <c r="M8576" s="81"/>
      <c r="N8576" s="81"/>
    </row>
    <row r="8577" spans="1:14" ht="14.25" customHeight="1" x14ac:dyDescent="0.25">
      <c r="A8577" s="81"/>
      <c r="B8577" s="81"/>
      <c r="C8577" s="137"/>
      <c r="D8577" s="81"/>
      <c r="E8577" s="81"/>
      <c r="F8577" s="81"/>
      <c r="G8577" s="81"/>
      <c r="H8577" s="81"/>
      <c r="I8577" s="81"/>
      <c r="J8577" s="81"/>
      <c r="K8577" s="81"/>
      <c r="L8577" s="81"/>
      <c r="M8577" s="81"/>
      <c r="N8577" s="81"/>
    </row>
    <row r="8578" spans="1:14" ht="14.25" customHeight="1" x14ac:dyDescent="0.25">
      <c r="A8578" s="81"/>
      <c r="B8578" s="81"/>
      <c r="C8578" s="137"/>
      <c r="D8578" s="81"/>
      <c r="E8578" s="81"/>
      <c r="F8578" s="81"/>
      <c r="G8578" s="81"/>
      <c r="H8578" s="81"/>
      <c r="I8578" s="81"/>
      <c r="J8578" s="81"/>
      <c r="K8578" s="81"/>
      <c r="L8578" s="81"/>
      <c r="M8578" s="81"/>
      <c r="N8578" s="81"/>
    </row>
    <row r="8579" spans="1:14" ht="14.25" customHeight="1" x14ac:dyDescent="0.25">
      <c r="A8579" s="81"/>
      <c r="B8579" s="81"/>
      <c r="C8579" s="137"/>
      <c r="D8579" s="81"/>
      <c r="E8579" s="81"/>
      <c r="F8579" s="81"/>
      <c r="G8579" s="81"/>
      <c r="H8579" s="81"/>
      <c r="I8579" s="81"/>
      <c r="J8579" s="81"/>
      <c r="K8579" s="81"/>
      <c r="L8579" s="81"/>
      <c r="M8579" s="81"/>
      <c r="N8579" s="81"/>
    </row>
    <row r="8580" spans="1:14" ht="14.25" customHeight="1" x14ac:dyDescent="0.25">
      <c r="A8580" s="81"/>
      <c r="B8580" s="81"/>
      <c r="C8580" s="137"/>
      <c r="D8580" s="81"/>
      <c r="E8580" s="81"/>
      <c r="F8580" s="81"/>
      <c r="G8580" s="81"/>
      <c r="H8580" s="81"/>
      <c r="I8580" s="81"/>
      <c r="J8580" s="81"/>
      <c r="K8580" s="81"/>
      <c r="L8580" s="81"/>
      <c r="M8580" s="81"/>
      <c r="N8580" s="81"/>
    </row>
    <row r="8581" spans="1:14" ht="14.25" customHeight="1" x14ac:dyDescent="0.25">
      <c r="A8581" s="81"/>
      <c r="B8581" s="81"/>
      <c r="C8581" s="137"/>
      <c r="D8581" s="81"/>
      <c r="E8581" s="81"/>
      <c r="F8581" s="81"/>
      <c r="G8581" s="81"/>
      <c r="H8581" s="81"/>
      <c r="I8581" s="81"/>
      <c r="J8581" s="81"/>
      <c r="K8581" s="81"/>
      <c r="L8581" s="81"/>
      <c r="M8581" s="81"/>
      <c r="N8581" s="81"/>
    </row>
    <row r="8582" spans="1:14" ht="14.25" customHeight="1" x14ac:dyDescent="0.25">
      <c r="A8582" s="134"/>
      <c r="B8582" s="135"/>
      <c r="C8582" s="135"/>
      <c r="D8582" s="135"/>
      <c r="E8582" s="135"/>
      <c r="F8582" s="136"/>
      <c r="G8582" s="81"/>
      <c r="H8582" s="81"/>
      <c r="I8582" s="81"/>
      <c r="J8582" s="81"/>
      <c r="K8582" s="81"/>
      <c r="L8582" s="81"/>
      <c r="M8582" s="81"/>
      <c r="N8582" s="81"/>
    </row>
    <row r="8583" spans="1:14" ht="14.25" customHeight="1" x14ac:dyDescent="0.25">
      <c r="A8583" s="134"/>
      <c r="B8583" s="135"/>
      <c r="C8583" s="135"/>
      <c r="D8583" s="135"/>
      <c r="E8583" s="135"/>
      <c r="F8583" s="136"/>
      <c r="G8583" s="81"/>
      <c r="H8583" s="81"/>
      <c r="I8583" s="81"/>
      <c r="J8583" s="81"/>
      <c r="K8583" s="81"/>
      <c r="L8583" s="81"/>
      <c r="M8583" s="81"/>
      <c r="N8583" s="81"/>
    </row>
    <row r="8584" spans="1:14" ht="14.25" customHeight="1" x14ac:dyDescent="0.25">
      <c r="A8584" s="134"/>
      <c r="B8584" s="135"/>
      <c r="C8584" s="135"/>
      <c r="D8584" s="135"/>
      <c r="E8584" s="135"/>
      <c r="F8584" s="136"/>
      <c r="G8584" s="81"/>
      <c r="H8584" s="81"/>
      <c r="I8584" s="81"/>
      <c r="J8584" s="81"/>
      <c r="K8584" s="81"/>
      <c r="L8584" s="81"/>
      <c r="M8584" s="81"/>
      <c r="N8584" s="81"/>
    </row>
    <row r="8585" spans="1:14" ht="30.75" customHeight="1" thickBot="1" x14ac:dyDescent="0.3">
      <c r="A8585" s="81"/>
      <c r="B8585" s="81"/>
      <c r="C8585" s="81"/>
      <c r="D8585" s="81"/>
      <c r="E8585" s="81"/>
      <c r="F8585" s="81"/>
      <c r="G8585" s="81"/>
      <c r="H8585" s="81"/>
      <c r="I8585" s="81"/>
      <c r="J8585" s="81"/>
      <c r="K8585" s="81"/>
      <c r="L8585" s="81"/>
      <c r="M8585" s="81"/>
      <c r="N8585" s="81"/>
    </row>
    <row r="8586" spans="1:14" ht="14.25" customHeight="1" x14ac:dyDescent="0.25">
      <c r="A8586" s="83"/>
      <c r="B8586" s="84"/>
      <c r="C8586" s="85"/>
      <c r="D8586" s="86"/>
      <c r="E8586" s="86"/>
      <c r="F8586" s="87"/>
      <c r="G8586" s="81"/>
      <c r="H8586" s="81"/>
      <c r="I8586" s="81"/>
      <c r="J8586" s="81"/>
      <c r="K8586" s="81"/>
      <c r="L8586" s="81"/>
      <c r="M8586" s="81"/>
      <c r="N8586" s="81"/>
    </row>
    <row r="8587" spans="1:14" ht="14.25" customHeight="1" x14ac:dyDescent="0.25">
      <c r="A8587" s="599"/>
      <c r="B8587" s="600"/>
      <c r="C8587" s="600"/>
      <c r="D8587" s="600"/>
      <c r="E8587" s="600"/>
      <c r="F8587" s="601"/>
      <c r="G8587" s="81"/>
      <c r="H8587" s="81"/>
      <c r="I8587" s="81"/>
      <c r="J8587" s="81"/>
      <c r="K8587" s="81"/>
      <c r="L8587" s="81"/>
      <c r="M8587" s="81"/>
      <c r="N8587" s="81"/>
    </row>
    <row r="8588" spans="1:14" ht="14.25" customHeight="1" x14ac:dyDescent="0.25">
      <c r="A8588" s="602" t="s">
        <v>561</v>
      </c>
      <c r="B8588" s="600"/>
      <c r="C8588" s="600"/>
      <c r="D8588" s="600"/>
      <c r="E8588" s="600"/>
      <c r="F8588" s="601"/>
      <c r="G8588" s="81"/>
      <c r="H8588" s="81"/>
      <c r="I8588" s="81"/>
      <c r="J8588" s="81"/>
      <c r="K8588" s="81"/>
      <c r="L8588" s="81"/>
      <c r="M8588" s="81"/>
      <c r="N8588" s="81"/>
    </row>
    <row r="8589" spans="1:14" ht="14.25" customHeight="1" thickBot="1" x14ac:dyDescent="0.3">
      <c r="A8589" s="603"/>
      <c r="B8589" s="604"/>
      <c r="C8589" s="604"/>
      <c r="D8589" s="604"/>
      <c r="E8589" s="604"/>
      <c r="F8589" s="605"/>
      <c r="G8589" s="81"/>
      <c r="H8589" s="81"/>
      <c r="I8589" s="81"/>
      <c r="J8589" s="81"/>
      <c r="K8589" s="81"/>
      <c r="L8589" s="81"/>
      <c r="M8589" s="81"/>
      <c r="N8589" s="81"/>
    </row>
    <row r="8590" spans="1:14" ht="14.25" customHeight="1" x14ac:dyDescent="0.25">
      <c r="A8590" s="88"/>
      <c r="B8590" s="88"/>
      <c r="C8590" s="89"/>
      <c r="D8590" s="89"/>
      <c r="E8590" s="89"/>
      <c r="F8590" s="89"/>
      <c r="G8590" s="81"/>
      <c r="H8590" s="81"/>
      <c r="I8590" s="81"/>
      <c r="J8590" s="81"/>
      <c r="K8590" s="81"/>
      <c r="L8590" s="81"/>
      <c r="M8590" s="81"/>
      <c r="N8590" s="81"/>
    </row>
    <row r="8591" spans="1:14" ht="14.25" customHeight="1" x14ac:dyDescent="0.25">
      <c r="A8591" s="90" t="s">
        <v>47</v>
      </c>
      <c r="B8591" s="613" t="s">
        <v>401</v>
      </c>
      <c r="C8591" s="600"/>
      <c r="D8591" s="600"/>
      <c r="E8591" s="600"/>
      <c r="F8591" s="600"/>
      <c r="G8591" s="81"/>
      <c r="H8591" s="81"/>
      <c r="I8591" s="81"/>
      <c r="J8591" s="81"/>
      <c r="K8591" s="81"/>
      <c r="L8591" s="81"/>
      <c r="M8591" s="81"/>
      <c r="N8591" s="81"/>
    </row>
    <row r="8592" spans="1:14" ht="14.25" customHeight="1" x14ac:dyDescent="0.25">
      <c r="A8592" s="91"/>
      <c r="B8592" s="91"/>
      <c r="C8592" s="91"/>
      <c r="D8592" s="91"/>
      <c r="E8592" s="91"/>
      <c r="F8592" s="91"/>
      <c r="G8592" s="81"/>
      <c r="H8592" s="81"/>
      <c r="I8592" s="81"/>
      <c r="J8592" s="81"/>
      <c r="K8592" s="81"/>
      <c r="L8592" s="81"/>
      <c r="M8592" s="81"/>
      <c r="N8592" s="81"/>
    </row>
    <row r="8593" spans="1:14" ht="14.25" customHeight="1" x14ac:dyDescent="0.25">
      <c r="A8593" s="88" t="s">
        <v>49</v>
      </c>
      <c r="B8593" s="92" t="s">
        <v>59</v>
      </c>
      <c r="C8593" s="89"/>
      <c r="D8593" s="89"/>
      <c r="E8593" s="89"/>
      <c r="F8593" s="93"/>
      <c r="G8593" s="81"/>
      <c r="H8593" s="81"/>
      <c r="I8593" s="81"/>
      <c r="J8593" s="81"/>
      <c r="K8593" s="81"/>
      <c r="L8593" s="81"/>
      <c r="M8593" s="81"/>
      <c r="N8593" s="81"/>
    </row>
    <row r="8594" spans="1:14" ht="14.25" customHeight="1" x14ac:dyDescent="0.25">
      <c r="A8594" s="88"/>
      <c r="B8594" s="94"/>
      <c r="C8594" s="89"/>
      <c r="D8594" s="89"/>
      <c r="E8594" s="89"/>
      <c r="F8594" s="93"/>
      <c r="G8594" s="81"/>
      <c r="H8594" s="81"/>
      <c r="I8594" s="81"/>
      <c r="J8594" s="81"/>
      <c r="K8594" s="81"/>
      <c r="L8594" s="81"/>
      <c r="M8594" s="81"/>
      <c r="N8594" s="81"/>
    </row>
    <row r="8595" spans="1:14" ht="14.25" customHeight="1" x14ac:dyDescent="0.25">
      <c r="A8595" s="95" t="s">
        <v>562</v>
      </c>
      <c r="B8595" s="96"/>
      <c r="C8595" s="92"/>
      <c r="D8595" s="92"/>
      <c r="E8595" s="92"/>
      <c r="F8595" s="92"/>
      <c r="G8595" s="81"/>
      <c r="H8595" s="81"/>
      <c r="I8595" s="81"/>
      <c r="J8595" s="81"/>
      <c r="K8595" s="81"/>
      <c r="L8595" s="81"/>
      <c r="M8595" s="81"/>
      <c r="N8595" s="81"/>
    </row>
    <row r="8596" spans="1:14" ht="30.75" customHeight="1" x14ac:dyDescent="0.25">
      <c r="A8596" s="97" t="s">
        <v>563</v>
      </c>
      <c r="B8596" s="98" t="s">
        <v>564</v>
      </c>
      <c r="C8596" s="98" t="s">
        <v>565</v>
      </c>
      <c r="D8596" s="98" t="s">
        <v>566</v>
      </c>
      <c r="E8596" s="98" t="s">
        <v>567</v>
      </c>
      <c r="F8596" s="98" t="s">
        <v>568</v>
      </c>
      <c r="G8596" s="81"/>
      <c r="H8596" s="81"/>
      <c r="I8596" s="81"/>
      <c r="J8596" s="81"/>
      <c r="K8596" s="81"/>
      <c r="L8596" s="81"/>
      <c r="M8596" s="81"/>
      <c r="N8596" s="81"/>
    </row>
    <row r="8597" spans="1:14" ht="30.75" customHeight="1" x14ac:dyDescent="0.25">
      <c r="A8597" s="99" t="s">
        <v>829</v>
      </c>
      <c r="B8597" s="100" t="s">
        <v>59</v>
      </c>
      <c r="C8597" s="101">
        <v>773580</v>
      </c>
      <c r="D8597" s="149">
        <v>1</v>
      </c>
      <c r="E8597" s="102">
        <v>0.05</v>
      </c>
      <c r="F8597" s="101">
        <f>C8597*(D8597+(D8597*E8597))</f>
        <v>812259</v>
      </c>
      <c r="G8597" s="81"/>
      <c r="H8597" s="81"/>
      <c r="I8597" s="81"/>
      <c r="J8597" s="81"/>
      <c r="K8597" s="81"/>
      <c r="L8597" s="81"/>
      <c r="M8597" s="81"/>
      <c r="N8597" s="81"/>
    </row>
    <row r="8598" spans="1:14" ht="14.25" customHeight="1" x14ac:dyDescent="0.25">
      <c r="A8598" s="99"/>
      <c r="B8598" s="100"/>
      <c r="C8598" s="101"/>
      <c r="D8598" s="149"/>
      <c r="E8598" s="102"/>
      <c r="F8598" s="101"/>
      <c r="G8598" s="81"/>
      <c r="H8598" s="81"/>
      <c r="I8598" s="81"/>
      <c r="J8598" s="81"/>
      <c r="K8598" s="81"/>
      <c r="L8598" s="81"/>
      <c r="M8598" s="81"/>
      <c r="N8598" s="81"/>
    </row>
    <row r="8599" spans="1:14" ht="14.25" customHeight="1" x14ac:dyDescent="0.25">
      <c r="A8599" s="99"/>
      <c r="B8599" s="100"/>
      <c r="C8599" s="101"/>
      <c r="D8599" s="149"/>
      <c r="E8599" s="102"/>
      <c r="F8599" s="101"/>
      <c r="G8599" s="81"/>
      <c r="H8599" s="81"/>
      <c r="I8599" s="81"/>
      <c r="J8599" s="81"/>
      <c r="K8599" s="81"/>
      <c r="L8599" s="81"/>
      <c r="M8599" s="81"/>
      <c r="N8599" s="81"/>
    </row>
    <row r="8600" spans="1:14" ht="14.25" customHeight="1" x14ac:dyDescent="0.25">
      <c r="A8600" s="99"/>
      <c r="B8600" s="100"/>
      <c r="C8600" s="101"/>
      <c r="D8600" s="104"/>
      <c r="E8600" s="102"/>
      <c r="F8600" s="101"/>
      <c r="G8600" s="81"/>
      <c r="H8600" s="81"/>
      <c r="I8600" s="81"/>
      <c r="J8600" s="81"/>
      <c r="K8600" s="81"/>
      <c r="L8600" s="81"/>
      <c r="M8600" s="81"/>
      <c r="N8600" s="81"/>
    </row>
    <row r="8601" spans="1:14" ht="14.25" customHeight="1" x14ac:dyDescent="0.25">
      <c r="A8601" s="99"/>
      <c r="B8601" s="100"/>
      <c r="C8601" s="101"/>
      <c r="D8601" s="104"/>
      <c r="E8601" s="102"/>
      <c r="F8601" s="101"/>
      <c r="G8601" s="81"/>
      <c r="H8601" s="81"/>
      <c r="I8601" s="81"/>
      <c r="J8601" s="81"/>
      <c r="K8601" s="81"/>
      <c r="L8601" s="81"/>
      <c r="M8601" s="81"/>
      <c r="N8601" s="81"/>
    </row>
    <row r="8602" spans="1:14" ht="14.25" customHeight="1" x14ac:dyDescent="0.25">
      <c r="A8602" s="99"/>
      <c r="B8602" s="100"/>
      <c r="C8602" s="106"/>
      <c r="D8602" s="107"/>
      <c r="E8602" s="108"/>
      <c r="F8602" s="106"/>
      <c r="G8602" s="81"/>
      <c r="H8602" s="81"/>
      <c r="I8602" s="81"/>
      <c r="J8602" s="81"/>
      <c r="K8602" s="81"/>
      <c r="L8602" s="81"/>
      <c r="M8602" s="81"/>
      <c r="N8602" s="81"/>
    </row>
    <row r="8603" spans="1:14" ht="14.25" customHeight="1" x14ac:dyDescent="0.25">
      <c r="A8603" s="97" t="s">
        <v>548</v>
      </c>
      <c r="B8603" s="97"/>
      <c r="C8603" s="109"/>
      <c r="D8603" s="110"/>
      <c r="E8603" s="111"/>
      <c r="F8603" s="112">
        <f>SUM(F8597:F8602)</f>
        <v>812259</v>
      </c>
      <c r="G8603" s="81"/>
      <c r="H8603" s="81"/>
      <c r="I8603" s="81"/>
      <c r="J8603" s="81"/>
      <c r="K8603" s="81"/>
      <c r="L8603" s="81"/>
      <c r="M8603" s="81"/>
      <c r="N8603" s="81"/>
    </row>
    <row r="8604" spans="1:14" ht="14.25" customHeight="1" x14ac:dyDescent="0.25">
      <c r="A8604" s="88"/>
      <c r="B8604" s="88"/>
      <c r="C8604" s="113"/>
      <c r="D8604" s="113"/>
      <c r="E8604" s="114"/>
      <c r="F8604" s="113"/>
      <c r="G8604" s="81"/>
      <c r="H8604" s="81"/>
      <c r="I8604" s="81"/>
      <c r="J8604" s="81"/>
      <c r="K8604" s="81"/>
      <c r="L8604" s="81"/>
      <c r="M8604" s="81"/>
      <c r="N8604" s="81"/>
    </row>
    <row r="8605" spans="1:14" ht="14.25" customHeight="1" x14ac:dyDescent="0.25">
      <c r="A8605" s="96" t="s">
        <v>573</v>
      </c>
      <c r="B8605" s="96"/>
      <c r="C8605" s="92"/>
      <c r="D8605" s="92"/>
      <c r="E8605" s="92"/>
      <c r="F8605" s="92"/>
      <c r="G8605" s="81"/>
      <c r="H8605" s="81"/>
      <c r="I8605" s="81"/>
      <c r="J8605" s="81"/>
      <c r="K8605" s="81"/>
      <c r="L8605" s="81"/>
      <c r="M8605" s="81"/>
      <c r="N8605" s="81"/>
    </row>
    <row r="8606" spans="1:14" ht="14.25" customHeight="1" x14ac:dyDescent="0.25">
      <c r="A8606" s="611" t="s">
        <v>563</v>
      </c>
      <c r="B8606" s="608"/>
      <c r="C8606" s="609"/>
      <c r="D8606" s="98" t="s">
        <v>574</v>
      </c>
      <c r="E8606" s="98" t="s">
        <v>575</v>
      </c>
      <c r="F8606" s="98" t="s">
        <v>568</v>
      </c>
      <c r="G8606" s="81"/>
      <c r="H8606" s="81"/>
      <c r="I8606" s="81"/>
      <c r="J8606" s="81"/>
      <c r="K8606" s="81"/>
      <c r="L8606" s="81"/>
      <c r="M8606" s="81"/>
      <c r="N8606" s="81"/>
    </row>
    <row r="8607" spans="1:14" ht="14.25" customHeight="1" x14ac:dyDescent="0.25">
      <c r="A8607" s="607" t="s">
        <v>577</v>
      </c>
      <c r="B8607" s="608"/>
      <c r="C8607" s="609"/>
      <c r="D8607" s="116"/>
      <c r="E8607" s="107"/>
      <c r="F8607" s="106">
        <f>+F8620*5%</f>
        <v>7593.8378903076555</v>
      </c>
      <c r="G8607" s="81"/>
      <c r="H8607" s="81"/>
      <c r="I8607" s="81"/>
      <c r="J8607" s="81"/>
      <c r="K8607" s="81"/>
      <c r="L8607" s="81"/>
      <c r="M8607" s="81"/>
      <c r="N8607" s="81"/>
    </row>
    <row r="8608" spans="1:14" ht="14.25" customHeight="1" x14ac:dyDescent="0.25">
      <c r="A8608" s="607"/>
      <c r="B8608" s="608"/>
      <c r="C8608" s="609"/>
      <c r="D8608" s="142"/>
      <c r="E8608" s="105"/>
      <c r="F8608" s="106"/>
      <c r="G8608" s="81"/>
      <c r="H8608" s="81"/>
      <c r="I8608" s="81"/>
      <c r="J8608" s="81"/>
      <c r="K8608" s="81"/>
      <c r="L8608" s="81"/>
      <c r="M8608" s="81"/>
      <c r="N8608" s="81"/>
    </row>
    <row r="8609" spans="1:14" ht="14.25" customHeight="1" x14ac:dyDescent="0.25">
      <c r="A8609" s="607"/>
      <c r="B8609" s="608"/>
      <c r="C8609" s="609"/>
      <c r="D8609" s="142"/>
      <c r="E8609" s="105"/>
      <c r="F8609" s="106"/>
      <c r="G8609" s="81"/>
      <c r="H8609" s="81"/>
      <c r="I8609" s="81"/>
      <c r="J8609" s="81"/>
      <c r="K8609" s="81"/>
      <c r="L8609" s="81"/>
      <c r="M8609" s="81"/>
      <c r="N8609" s="81"/>
    </row>
    <row r="8610" spans="1:14" ht="14.25" customHeight="1" x14ac:dyDescent="0.25">
      <c r="A8610" s="607"/>
      <c r="B8610" s="608"/>
      <c r="C8610" s="609"/>
      <c r="D8610" s="142"/>
      <c r="E8610" s="107"/>
      <c r="F8610" s="106"/>
      <c r="G8610" s="81"/>
      <c r="H8610" s="81"/>
      <c r="I8610" s="81"/>
      <c r="J8610" s="81"/>
      <c r="K8610" s="81"/>
      <c r="L8610" s="81"/>
      <c r="M8610" s="81"/>
      <c r="N8610" s="81"/>
    </row>
    <row r="8611" spans="1:14" ht="14.25" customHeight="1" x14ac:dyDescent="0.25">
      <c r="A8611" s="610"/>
      <c r="B8611" s="608"/>
      <c r="C8611" s="609"/>
      <c r="D8611" s="115"/>
      <c r="E8611" s="107"/>
      <c r="F8611" s="106"/>
      <c r="G8611" s="81"/>
      <c r="H8611" s="81"/>
      <c r="I8611" s="81"/>
      <c r="J8611" s="81"/>
      <c r="K8611" s="81"/>
      <c r="L8611" s="81"/>
      <c r="M8611" s="81"/>
      <c r="N8611" s="81"/>
    </row>
    <row r="8612" spans="1:14" ht="14.25" customHeight="1" x14ac:dyDescent="0.25">
      <c r="A8612" s="611" t="s">
        <v>548</v>
      </c>
      <c r="B8612" s="608"/>
      <c r="C8612" s="609"/>
      <c r="D8612" s="110"/>
      <c r="E8612" s="110"/>
      <c r="F8612" s="112">
        <f>SUM(F8607:F8610)</f>
        <v>7593.8378903076555</v>
      </c>
      <c r="G8612" s="81"/>
      <c r="H8612" s="81"/>
      <c r="I8612" s="81"/>
      <c r="J8612" s="81"/>
      <c r="K8612" s="81"/>
      <c r="L8612" s="81"/>
      <c r="M8612" s="81"/>
      <c r="N8612" s="81"/>
    </row>
    <row r="8613" spans="1:14" ht="14.25" customHeight="1" x14ac:dyDescent="0.25">
      <c r="A8613" s="88"/>
      <c r="B8613" s="88"/>
      <c r="C8613" s="89"/>
      <c r="D8613" s="113"/>
      <c r="E8613" s="113"/>
      <c r="F8613" s="113"/>
      <c r="G8613" s="81"/>
      <c r="H8613" s="81"/>
      <c r="I8613" s="81"/>
      <c r="J8613" s="81"/>
      <c r="K8613" s="81"/>
      <c r="L8613" s="81"/>
      <c r="M8613" s="81"/>
      <c r="N8613" s="81"/>
    </row>
    <row r="8614" spans="1:14" ht="14.25" customHeight="1" x14ac:dyDescent="0.25">
      <c r="A8614" s="96" t="s">
        <v>578</v>
      </c>
      <c r="B8614" s="96"/>
      <c r="C8614" s="92"/>
      <c r="D8614" s="118"/>
      <c r="E8614" s="118"/>
      <c r="F8614" s="118"/>
      <c r="G8614" s="81"/>
      <c r="H8614" s="81"/>
      <c r="I8614" s="81"/>
      <c r="J8614" s="81"/>
      <c r="K8614" s="81"/>
      <c r="L8614" s="81"/>
      <c r="M8614" s="81"/>
      <c r="N8614" s="81"/>
    </row>
    <row r="8615" spans="1:14" ht="14.25" customHeight="1" x14ac:dyDescent="0.25">
      <c r="A8615" s="119" t="s">
        <v>563</v>
      </c>
      <c r="B8615" s="120" t="s">
        <v>579</v>
      </c>
      <c r="C8615" s="120" t="s">
        <v>580</v>
      </c>
      <c r="D8615" s="121" t="s">
        <v>581</v>
      </c>
      <c r="E8615" s="121" t="s">
        <v>575</v>
      </c>
      <c r="F8615" s="121" t="s">
        <v>568</v>
      </c>
      <c r="G8615" s="81"/>
      <c r="H8615" s="81"/>
      <c r="I8615" s="81"/>
      <c r="J8615" s="81"/>
      <c r="K8615" s="81"/>
      <c r="L8615" s="81"/>
      <c r="M8615" s="81"/>
      <c r="N8615" s="81"/>
    </row>
    <row r="8616" spans="1:14" ht="14.25" customHeight="1" x14ac:dyDescent="0.25">
      <c r="A8616" s="122" t="s">
        <v>593</v>
      </c>
      <c r="B8616" s="127">
        <v>1</v>
      </c>
      <c r="C8616" s="101">
        <v>32688</v>
      </c>
      <c r="D8616" s="101">
        <f t="shared" ref="D8616:D8617" si="428">+C8616*1.7</f>
        <v>55569.599999999999</v>
      </c>
      <c r="E8616" s="107">
        <v>0.953959</v>
      </c>
      <c r="F8616" s="106">
        <f t="shared" ref="F8616:F8617" si="429">+B8616*(D8616)/E8616</f>
        <v>58251.560077529539</v>
      </c>
      <c r="G8616" s="81"/>
      <c r="H8616" s="81"/>
      <c r="I8616" s="81"/>
      <c r="J8616" s="81"/>
      <c r="K8616" s="81"/>
      <c r="L8616" s="81"/>
      <c r="M8616" s="81"/>
      <c r="N8616" s="81"/>
    </row>
    <row r="8617" spans="1:14" ht="14.25" customHeight="1" x14ac:dyDescent="0.25">
      <c r="A8617" s="122" t="s">
        <v>594</v>
      </c>
      <c r="B8617" s="127">
        <v>1</v>
      </c>
      <c r="C8617" s="101">
        <v>52538</v>
      </c>
      <c r="D8617" s="101">
        <f t="shared" si="428"/>
        <v>89314.599999999991</v>
      </c>
      <c r="E8617" s="107">
        <f>E8616</f>
        <v>0.953959</v>
      </c>
      <c r="F8617" s="106">
        <f t="shared" si="429"/>
        <v>93625.197728623549</v>
      </c>
      <c r="G8617" s="81"/>
      <c r="H8617" s="81"/>
      <c r="I8617" s="81"/>
      <c r="J8617" s="81"/>
      <c r="K8617" s="81"/>
      <c r="L8617" s="81"/>
      <c r="M8617" s="81"/>
      <c r="N8617" s="81"/>
    </row>
    <row r="8618" spans="1:14" ht="14.25" customHeight="1" x14ac:dyDescent="0.25">
      <c r="A8618" s="122"/>
      <c r="B8618" s="127"/>
      <c r="C8618" s="101"/>
      <c r="D8618" s="101"/>
      <c r="E8618" s="105"/>
      <c r="F8618" s="106"/>
      <c r="G8618" s="81"/>
      <c r="H8618" s="81"/>
      <c r="I8618" s="81"/>
      <c r="J8618" s="81"/>
      <c r="K8618" s="81"/>
      <c r="L8618" s="81"/>
      <c r="M8618" s="81"/>
      <c r="N8618" s="81"/>
    </row>
    <row r="8619" spans="1:14" ht="14.25" customHeight="1" x14ac:dyDescent="0.25">
      <c r="A8619" s="122"/>
      <c r="B8619" s="127"/>
      <c r="C8619" s="101"/>
      <c r="D8619" s="101"/>
      <c r="E8619" s="125"/>
      <c r="F8619" s="106"/>
      <c r="G8619" s="81"/>
      <c r="H8619" s="81"/>
      <c r="I8619" s="81"/>
      <c r="J8619" s="81"/>
      <c r="K8619" s="81"/>
      <c r="L8619" s="81"/>
      <c r="M8619" s="81"/>
      <c r="N8619" s="81"/>
    </row>
    <row r="8620" spans="1:14" ht="14.25" customHeight="1" x14ac:dyDescent="0.25">
      <c r="A8620" s="97" t="s">
        <v>548</v>
      </c>
      <c r="B8620" s="128"/>
      <c r="C8620" s="110"/>
      <c r="D8620" s="110"/>
      <c r="E8620" s="110"/>
      <c r="F8620" s="112">
        <f>SUM(F8616:F8619)</f>
        <v>151876.75780615309</v>
      </c>
      <c r="G8620" s="81"/>
      <c r="H8620" s="81"/>
      <c r="I8620" s="81"/>
      <c r="J8620" s="81"/>
      <c r="K8620" s="81"/>
      <c r="L8620" s="81"/>
      <c r="M8620" s="81"/>
      <c r="N8620" s="81"/>
    </row>
    <row r="8621" spans="1:14" ht="14.25" customHeight="1" x14ac:dyDescent="0.25">
      <c r="A8621" s="96"/>
      <c r="B8621" s="129"/>
      <c r="C8621" s="118"/>
      <c r="D8621" s="118"/>
      <c r="E8621" s="118"/>
      <c r="F8621" s="118"/>
      <c r="G8621" s="81"/>
      <c r="H8621" s="81"/>
      <c r="I8621" s="81"/>
      <c r="J8621" s="81"/>
      <c r="K8621" s="81"/>
      <c r="L8621" s="81"/>
      <c r="M8621" s="81"/>
      <c r="N8621" s="81"/>
    </row>
    <row r="8622" spans="1:14" ht="14.25" customHeight="1" x14ac:dyDescent="0.25">
      <c r="A8622" s="95" t="s">
        <v>583</v>
      </c>
      <c r="B8622" s="96"/>
      <c r="C8622" s="92"/>
      <c r="D8622" s="92"/>
      <c r="E8622" s="92" t="s">
        <v>584</v>
      </c>
      <c r="F8622" s="92"/>
      <c r="G8622" s="81"/>
      <c r="H8622" s="81"/>
      <c r="I8622" s="81"/>
      <c r="J8622" s="81"/>
      <c r="K8622" s="81"/>
      <c r="L8622" s="81"/>
      <c r="M8622" s="81"/>
      <c r="N8622" s="81"/>
    </row>
    <row r="8623" spans="1:14" ht="14.25" customHeight="1" x14ac:dyDescent="0.25">
      <c r="A8623" s="97" t="s">
        <v>563</v>
      </c>
      <c r="B8623" s="98" t="s">
        <v>564</v>
      </c>
      <c r="C8623" s="98" t="s">
        <v>585</v>
      </c>
      <c r="D8623" s="98" t="s">
        <v>586</v>
      </c>
      <c r="E8623" s="120" t="s">
        <v>587</v>
      </c>
      <c r="F8623" s="98" t="s">
        <v>568</v>
      </c>
      <c r="G8623" s="81"/>
      <c r="H8623" s="81"/>
      <c r="I8623" s="81"/>
      <c r="J8623" s="81"/>
      <c r="K8623" s="81"/>
      <c r="L8623" s="81"/>
      <c r="M8623" s="81"/>
      <c r="N8623" s="81"/>
    </row>
    <row r="8624" spans="1:14" ht="14.25" customHeight="1" x14ac:dyDescent="0.25">
      <c r="A8624" s="103"/>
      <c r="B8624" s="100"/>
      <c r="C8624" s="101"/>
      <c r="D8624" s="140"/>
      <c r="E8624" s="107"/>
      <c r="F8624" s="109"/>
      <c r="G8624" s="81"/>
      <c r="H8624" s="81"/>
      <c r="I8624" s="81"/>
      <c r="J8624" s="81"/>
      <c r="K8624" s="81"/>
      <c r="L8624" s="81"/>
      <c r="M8624" s="81"/>
      <c r="N8624" s="81"/>
    </row>
    <row r="8625" spans="1:14" ht="14.25" customHeight="1" x14ac:dyDescent="0.25">
      <c r="A8625" s="103"/>
      <c r="B8625" s="100"/>
      <c r="C8625" s="107"/>
      <c r="D8625" s="107"/>
      <c r="E8625" s="108"/>
      <c r="F8625" s="109"/>
      <c r="G8625" s="81"/>
      <c r="H8625" s="81"/>
      <c r="I8625" s="81"/>
      <c r="J8625" s="81"/>
      <c r="K8625" s="81"/>
      <c r="L8625" s="81"/>
      <c r="M8625" s="81"/>
      <c r="N8625" s="81"/>
    </row>
    <row r="8626" spans="1:14" ht="14.25" customHeight="1" x14ac:dyDescent="0.25">
      <c r="A8626" s="97" t="s">
        <v>548</v>
      </c>
      <c r="B8626" s="98"/>
      <c r="C8626" s="110"/>
      <c r="D8626" s="110"/>
      <c r="E8626" s="111"/>
      <c r="F8626" s="112">
        <f>SUM(F8624:F8625)</f>
        <v>0</v>
      </c>
      <c r="G8626" s="81"/>
      <c r="H8626" s="81"/>
      <c r="I8626" s="81"/>
      <c r="J8626" s="81"/>
      <c r="K8626" s="81"/>
      <c r="L8626" s="81"/>
      <c r="M8626" s="81"/>
      <c r="N8626" s="81"/>
    </row>
    <row r="8627" spans="1:14" ht="14.25" customHeight="1" x14ac:dyDescent="0.25">
      <c r="A8627" s="88"/>
      <c r="B8627" s="89"/>
      <c r="C8627" s="113"/>
      <c r="D8627" s="113"/>
      <c r="E8627" s="114"/>
      <c r="F8627" s="113"/>
      <c r="G8627" s="81"/>
      <c r="H8627" s="81"/>
      <c r="I8627" s="81"/>
      <c r="J8627" s="81"/>
      <c r="K8627" s="81"/>
      <c r="L8627" s="81"/>
      <c r="M8627" s="81"/>
      <c r="N8627" s="81"/>
    </row>
    <row r="8628" spans="1:14" ht="14.25" customHeight="1" x14ac:dyDescent="0.25">
      <c r="A8628" s="88"/>
      <c r="B8628" s="89"/>
      <c r="C8628" s="113"/>
      <c r="D8628" s="113"/>
      <c r="E8628" s="114"/>
      <c r="F8628" s="113"/>
      <c r="G8628" s="81"/>
      <c r="H8628" s="81"/>
      <c r="I8628" s="81"/>
      <c r="J8628" s="81"/>
      <c r="K8628" s="81"/>
      <c r="L8628" s="81"/>
      <c r="M8628" s="81"/>
      <c r="N8628" s="81"/>
    </row>
    <row r="8629" spans="1:14" ht="14.25" customHeight="1" x14ac:dyDescent="0.25">
      <c r="A8629" s="612" t="s">
        <v>588</v>
      </c>
      <c r="B8629" s="608"/>
      <c r="C8629" s="608"/>
      <c r="D8629" s="608"/>
      <c r="E8629" s="609"/>
      <c r="F8629" s="131">
        <f>ROUND(F8603+F8612+F8620+F8626,0)</f>
        <v>971730</v>
      </c>
      <c r="G8629" s="81"/>
      <c r="H8629" s="81"/>
      <c r="I8629" s="81"/>
      <c r="J8629" s="81"/>
      <c r="K8629" s="81"/>
      <c r="L8629" s="81"/>
      <c r="M8629" s="81"/>
      <c r="N8629" s="81"/>
    </row>
    <row r="8630" spans="1:14" ht="14.25" customHeight="1" x14ac:dyDescent="0.25">
      <c r="A8630" s="612" t="s">
        <v>589</v>
      </c>
      <c r="B8630" s="608"/>
      <c r="C8630" s="608"/>
      <c r="D8630" s="608"/>
      <c r="E8630" s="609"/>
      <c r="F8630" s="132"/>
      <c r="G8630" s="81"/>
      <c r="H8630" s="81"/>
      <c r="I8630" s="81"/>
      <c r="J8630" s="81"/>
      <c r="K8630" s="81"/>
      <c r="L8630" s="81"/>
      <c r="M8630" s="81"/>
      <c r="N8630" s="81"/>
    </row>
    <row r="8631" spans="1:14" ht="14.25" customHeight="1" x14ac:dyDescent="0.25">
      <c r="A8631" s="146" t="s">
        <v>556</v>
      </c>
      <c r="B8631" s="147"/>
      <c r="C8631" s="147"/>
      <c r="D8631" s="147"/>
      <c r="E8631" s="148"/>
      <c r="F8631" s="133"/>
      <c r="G8631" s="81"/>
      <c r="H8631" s="81"/>
      <c r="I8631" s="81"/>
      <c r="J8631" s="81"/>
      <c r="K8631" s="81"/>
      <c r="L8631" s="81"/>
      <c r="M8631" s="81"/>
      <c r="N8631" s="81"/>
    </row>
    <row r="8632" spans="1:14" ht="14.25" customHeight="1" x14ac:dyDescent="0.25">
      <c r="A8632" s="134"/>
      <c r="B8632" s="135"/>
      <c r="C8632" s="135"/>
      <c r="D8632" s="135"/>
      <c r="E8632" s="135"/>
      <c r="F8632" s="136"/>
      <c r="G8632" s="81"/>
      <c r="H8632" s="81"/>
      <c r="I8632" s="81"/>
      <c r="J8632" s="81"/>
      <c r="K8632" s="81"/>
      <c r="L8632" s="81"/>
      <c r="M8632" s="81"/>
      <c r="N8632" s="81"/>
    </row>
    <row r="8633" spans="1:14" ht="14.25" customHeight="1" x14ac:dyDescent="0.25">
      <c r="A8633" s="81"/>
      <c r="B8633" s="81"/>
      <c r="C8633" s="137"/>
      <c r="D8633" s="81"/>
      <c r="E8633" s="81"/>
      <c r="F8633" s="81"/>
      <c r="G8633" s="81"/>
      <c r="H8633" s="81"/>
      <c r="I8633" s="81"/>
      <c r="J8633" s="81"/>
      <c r="K8633" s="81"/>
      <c r="L8633" s="81"/>
      <c r="M8633" s="81"/>
      <c r="N8633" s="81"/>
    </row>
    <row r="8634" spans="1:14" ht="14.25" customHeight="1" x14ac:dyDescent="0.25">
      <c r="A8634" s="81"/>
      <c r="B8634" s="81"/>
      <c r="C8634" s="137"/>
      <c r="D8634" s="81"/>
      <c r="E8634" s="81"/>
      <c r="F8634" s="81"/>
      <c r="G8634" s="81"/>
      <c r="H8634" s="117"/>
      <c r="I8634" s="81"/>
      <c r="J8634" s="81"/>
      <c r="K8634" s="81"/>
      <c r="L8634" s="81"/>
      <c r="M8634" s="81"/>
      <c r="N8634" s="81"/>
    </row>
    <row r="8635" spans="1:14" ht="14.25" customHeight="1" x14ac:dyDescent="0.25">
      <c r="A8635" s="81"/>
      <c r="B8635" s="81"/>
      <c r="C8635" s="137"/>
      <c r="D8635" s="81"/>
      <c r="E8635" s="81"/>
      <c r="F8635" s="81"/>
      <c r="G8635" s="81"/>
      <c r="H8635" s="81"/>
      <c r="I8635" s="81"/>
      <c r="J8635" s="81"/>
      <c r="K8635" s="81"/>
      <c r="L8635" s="81"/>
      <c r="M8635" s="81"/>
      <c r="N8635" s="81"/>
    </row>
    <row r="8636" spans="1:14" ht="14.25" customHeight="1" x14ac:dyDescent="0.25">
      <c r="A8636" s="81"/>
      <c r="B8636" s="81"/>
      <c r="C8636" s="137"/>
      <c r="D8636" s="81"/>
      <c r="E8636" s="81"/>
      <c r="F8636" s="81"/>
      <c r="G8636" s="81"/>
      <c r="H8636" s="81"/>
      <c r="I8636" s="81"/>
      <c r="J8636" s="81"/>
      <c r="K8636" s="81"/>
      <c r="L8636" s="81"/>
      <c r="M8636" s="81"/>
      <c r="N8636" s="81"/>
    </row>
    <row r="8637" spans="1:14" ht="14.25" customHeight="1" x14ac:dyDescent="0.25">
      <c r="A8637" s="81"/>
      <c r="B8637" s="81"/>
      <c r="C8637" s="137"/>
      <c r="D8637" s="81"/>
      <c r="E8637" s="81"/>
      <c r="F8637" s="81"/>
      <c r="G8637" s="81"/>
      <c r="H8637" s="81"/>
      <c r="I8637" s="81"/>
      <c r="J8637" s="81"/>
      <c r="K8637" s="81"/>
      <c r="L8637" s="81"/>
      <c r="M8637" s="81"/>
      <c r="N8637" s="81"/>
    </row>
    <row r="8638" spans="1:14" ht="14.25" customHeight="1" x14ac:dyDescent="0.25">
      <c r="A8638" s="134"/>
      <c r="B8638" s="135"/>
      <c r="C8638" s="135"/>
      <c r="D8638" s="135"/>
      <c r="E8638" s="135"/>
      <c r="F8638" s="136"/>
      <c r="G8638" s="81"/>
      <c r="H8638" s="81"/>
      <c r="I8638" s="81"/>
      <c r="J8638" s="81"/>
      <c r="K8638" s="81"/>
      <c r="L8638" s="81"/>
      <c r="M8638" s="81"/>
      <c r="N8638" s="81"/>
    </row>
    <row r="8639" spans="1:14" ht="14.25" customHeight="1" x14ac:dyDescent="0.25">
      <c r="A8639" s="134"/>
      <c r="B8639" s="135"/>
      <c r="C8639" s="135"/>
      <c r="D8639" s="135"/>
      <c r="E8639" s="135"/>
      <c r="F8639" s="136"/>
      <c r="G8639" s="81"/>
      <c r="H8639" s="81"/>
      <c r="I8639" s="81"/>
      <c r="J8639" s="81"/>
      <c r="K8639" s="81"/>
      <c r="L8639" s="81"/>
      <c r="M8639" s="81"/>
      <c r="N8639" s="81"/>
    </row>
    <row r="8640" spans="1:14" ht="14.25" customHeight="1" x14ac:dyDescent="0.25">
      <c r="A8640" s="134"/>
      <c r="B8640" s="135"/>
      <c r="C8640" s="135"/>
      <c r="D8640" s="135"/>
      <c r="E8640" s="135"/>
      <c r="F8640" s="136"/>
      <c r="G8640" s="81"/>
      <c r="H8640" s="81"/>
      <c r="I8640" s="81"/>
      <c r="J8640" s="81"/>
      <c r="K8640" s="81"/>
      <c r="L8640" s="81"/>
      <c r="M8640" s="81"/>
      <c r="N8640" s="81"/>
    </row>
    <row r="8641" spans="1:14" ht="14.25" customHeight="1" thickBot="1" x14ac:dyDescent="0.3">
      <c r="A8641" s="81"/>
      <c r="B8641" s="81"/>
      <c r="C8641" s="81"/>
      <c r="D8641" s="81"/>
      <c r="E8641" s="81"/>
      <c r="F8641" s="81"/>
      <c r="G8641" s="81"/>
      <c r="H8641" s="81"/>
      <c r="I8641" s="81"/>
      <c r="J8641" s="81"/>
      <c r="K8641" s="81"/>
      <c r="L8641" s="81"/>
      <c r="M8641" s="81"/>
      <c r="N8641" s="81"/>
    </row>
    <row r="8642" spans="1:14" ht="14.25" customHeight="1" x14ac:dyDescent="0.25">
      <c r="A8642" s="83"/>
      <c r="B8642" s="84"/>
      <c r="C8642" s="85"/>
      <c r="D8642" s="86"/>
      <c r="E8642" s="86"/>
      <c r="F8642" s="87"/>
      <c r="G8642" s="81"/>
      <c r="H8642" s="81"/>
      <c r="I8642" s="81"/>
      <c r="J8642" s="81"/>
      <c r="K8642" s="81"/>
      <c r="L8642" s="81"/>
      <c r="M8642" s="81"/>
      <c r="N8642" s="81"/>
    </row>
    <row r="8643" spans="1:14" ht="14.25" customHeight="1" x14ac:dyDescent="0.25">
      <c r="A8643" s="599"/>
      <c r="B8643" s="600"/>
      <c r="C8643" s="600"/>
      <c r="D8643" s="600"/>
      <c r="E8643" s="600"/>
      <c r="F8643" s="601"/>
      <c r="G8643" s="81"/>
      <c r="H8643" s="81"/>
      <c r="I8643" s="81"/>
      <c r="J8643" s="81"/>
      <c r="K8643" s="81"/>
      <c r="L8643" s="81"/>
      <c r="M8643" s="81"/>
      <c r="N8643" s="81"/>
    </row>
    <row r="8644" spans="1:14" ht="14.25" customHeight="1" x14ac:dyDescent="0.25">
      <c r="A8644" s="602" t="s">
        <v>561</v>
      </c>
      <c r="B8644" s="600"/>
      <c r="C8644" s="600"/>
      <c r="D8644" s="600"/>
      <c r="E8644" s="600"/>
      <c r="F8644" s="601"/>
      <c r="G8644" s="81"/>
      <c r="H8644" s="81"/>
      <c r="I8644" s="81"/>
      <c r="J8644" s="81"/>
      <c r="K8644" s="81"/>
      <c r="L8644" s="81"/>
      <c r="M8644" s="81"/>
      <c r="N8644" s="81"/>
    </row>
    <row r="8645" spans="1:14" ht="14.25" customHeight="1" thickBot="1" x14ac:dyDescent="0.3">
      <c r="A8645" s="603"/>
      <c r="B8645" s="604"/>
      <c r="C8645" s="604"/>
      <c r="D8645" s="604"/>
      <c r="E8645" s="604"/>
      <c r="F8645" s="605"/>
      <c r="G8645" s="81"/>
      <c r="H8645" s="81"/>
      <c r="I8645" s="81"/>
      <c r="J8645" s="81"/>
      <c r="K8645" s="81"/>
      <c r="L8645" s="81"/>
      <c r="M8645" s="81"/>
      <c r="N8645" s="81"/>
    </row>
    <row r="8646" spans="1:14" ht="14.25" customHeight="1" x14ac:dyDescent="0.25">
      <c r="A8646" s="88"/>
      <c r="B8646" s="88"/>
      <c r="C8646" s="89"/>
      <c r="D8646" s="89"/>
      <c r="E8646" s="89"/>
      <c r="F8646" s="89"/>
      <c r="G8646" s="81"/>
      <c r="H8646" s="81"/>
      <c r="I8646" s="81"/>
      <c r="J8646" s="81"/>
      <c r="K8646" s="81"/>
      <c r="L8646" s="81"/>
      <c r="M8646" s="81"/>
      <c r="N8646" s="81"/>
    </row>
    <row r="8647" spans="1:14" ht="14.25" customHeight="1" x14ac:dyDescent="0.25">
      <c r="A8647" s="90" t="s">
        <v>47</v>
      </c>
      <c r="B8647" s="613" t="s">
        <v>403</v>
      </c>
      <c r="C8647" s="600"/>
      <c r="D8647" s="600"/>
      <c r="E8647" s="600"/>
      <c r="F8647" s="600"/>
      <c r="G8647" s="81"/>
      <c r="H8647" s="81"/>
      <c r="I8647" s="81"/>
      <c r="J8647" s="81"/>
      <c r="K8647" s="81"/>
      <c r="L8647" s="81"/>
      <c r="M8647" s="81"/>
      <c r="N8647" s="81"/>
    </row>
    <row r="8648" spans="1:14" ht="14.25" customHeight="1" x14ac:dyDescent="0.25">
      <c r="A8648" s="91"/>
      <c r="B8648" s="91"/>
      <c r="C8648" s="91"/>
      <c r="D8648" s="91"/>
      <c r="E8648" s="91"/>
      <c r="F8648" s="91"/>
      <c r="G8648" s="81"/>
      <c r="H8648" s="81"/>
      <c r="I8648" s="81"/>
      <c r="J8648" s="81"/>
      <c r="K8648" s="81"/>
      <c r="L8648" s="81"/>
      <c r="M8648" s="81"/>
      <c r="N8648" s="81"/>
    </row>
    <row r="8649" spans="1:14" ht="14.25" customHeight="1" x14ac:dyDescent="0.25">
      <c r="A8649" s="88" t="s">
        <v>49</v>
      </c>
      <c r="B8649" s="92" t="s">
        <v>59</v>
      </c>
      <c r="C8649" s="89"/>
      <c r="D8649" s="89"/>
      <c r="E8649" s="89"/>
      <c r="F8649" s="93"/>
      <c r="G8649" s="81"/>
      <c r="H8649" s="81"/>
      <c r="I8649" s="81"/>
      <c r="J8649" s="81"/>
      <c r="K8649" s="81"/>
      <c r="L8649" s="81"/>
      <c r="M8649" s="81"/>
      <c r="N8649" s="81"/>
    </row>
    <row r="8650" spans="1:14" ht="14.25" customHeight="1" x14ac:dyDescent="0.25">
      <c r="A8650" s="88"/>
      <c r="B8650" s="94"/>
      <c r="C8650" s="89"/>
      <c r="D8650" s="89"/>
      <c r="E8650" s="89"/>
      <c r="F8650" s="93"/>
      <c r="G8650" s="81"/>
      <c r="H8650" s="81"/>
      <c r="I8650" s="81"/>
      <c r="J8650" s="81"/>
      <c r="K8650" s="81"/>
      <c r="L8650" s="81"/>
      <c r="M8650" s="81"/>
      <c r="N8650" s="81"/>
    </row>
    <row r="8651" spans="1:14" ht="14.25" customHeight="1" x14ac:dyDescent="0.25">
      <c r="A8651" s="95" t="s">
        <v>562</v>
      </c>
      <c r="B8651" s="96"/>
      <c r="C8651" s="92"/>
      <c r="D8651" s="92"/>
      <c r="E8651" s="92"/>
      <c r="F8651" s="92"/>
      <c r="G8651" s="81"/>
      <c r="H8651" s="81"/>
      <c r="I8651" s="81"/>
      <c r="J8651" s="81"/>
      <c r="K8651" s="81"/>
      <c r="L8651" s="81"/>
      <c r="M8651" s="81"/>
      <c r="N8651" s="81"/>
    </row>
    <row r="8652" spans="1:14" ht="14.25" customHeight="1" x14ac:dyDescent="0.25">
      <c r="A8652" s="97" t="s">
        <v>563</v>
      </c>
      <c r="B8652" s="98" t="s">
        <v>564</v>
      </c>
      <c r="C8652" s="98" t="s">
        <v>565</v>
      </c>
      <c r="D8652" s="98" t="s">
        <v>566</v>
      </c>
      <c r="E8652" s="98" t="s">
        <v>567</v>
      </c>
      <c r="F8652" s="98" t="s">
        <v>568</v>
      </c>
      <c r="G8652" s="81"/>
      <c r="H8652" s="81"/>
      <c r="I8652" s="81"/>
      <c r="J8652" s="81"/>
      <c r="K8652" s="81"/>
      <c r="L8652" s="81"/>
      <c r="M8652" s="81"/>
      <c r="N8652" s="81"/>
    </row>
    <row r="8653" spans="1:14" ht="14.25" customHeight="1" x14ac:dyDescent="0.25">
      <c r="A8653" s="99" t="s">
        <v>830</v>
      </c>
      <c r="B8653" s="100" t="s">
        <v>59</v>
      </c>
      <c r="C8653" s="101">
        <v>925780</v>
      </c>
      <c r="D8653" s="149">
        <v>1</v>
      </c>
      <c r="E8653" s="102">
        <v>0.05</v>
      </c>
      <c r="F8653" s="101">
        <f>C8653*(D8653+(D8653*E8653))</f>
        <v>972069</v>
      </c>
      <c r="G8653" s="81"/>
      <c r="H8653" s="81"/>
      <c r="I8653" s="81"/>
      <c r="J8653" s="81"/>
      <c r="K8653" s="81"/>
      <c r="L8653" s="81"/>
      <c r="M8653" s="81"/>
      <c r="N8653" s="81"/>
    </row>
    <row r="8654" spans="1:14" ht="14.25" customHeight="1" x14ac:dyDescent="0.25">
      <c r="A8654" s="99"/>
      <c r="B8654" s="100"/>
      <c r="C8654" s="101"/>
      <c r="D8654" s="149"/>
      <c r="E8654" s="102"/>
      <c r="F8654" s="101"/>
      <c r="G8654" s="81"/>
      <c r="H8654" s="81"/>
      <c r="I8654" s="81"/>
      <c r="J8654" s="81"/>
      <c r="K8654" s="81"/>
      <c r="L8654" s="81"/>
      <c r="M8654" s="81"/>
      <c r="N8654" s="81"/>
    </row>
    <row r="8655" spans="1:14" ht="14.25" customHeight="1" x14ac:dyDescent="0.25">
      <c r="A8655" s="99"/>
      <c r="B8655" s="100"/>
      <c r="C8655" s="101"/>
      <c r="D8655" s="149"/>
      <c r="E8655" s="102"/>
      <c r="F8655" s="101"/>
      <c r="G8655" s="81"/>
      <c r="H8655" s="81"/>
      <c r="I8655" s="81"/>
      <c r="J8655" s="81"/>
      <c r="K8655" s="81"/>
      <c r="L8655" s="81"/>
      <c r="M8655" s="81"/>
      <c r="N8655" s="81"/>
    </row>
    <row r="8656" spans="1:14" ht="14.25" customHeight="1" x14ac:dyDescent="0.25">
      <c r="A8656" s="99"/>
      <c r="B8656" s="100"/>
      <c r="C8656" s="101"/>
      <c r="D8656" s="104"/>
      <c r="E8656" s="102"/>
      <c r="F8656" s="101"/>
      <c r="G8656" s="81"/>
      <c r="H8656" s="81"/>
      <c r="I8656" s="81"/>
      <c r="J8656" s="81"/>
      <c r="K8656" s="81"/>
      <c r="L8656" s="81"/>
      <c r="M8656" s="81"/>
      <c r="N8656" s="81"/>
    </row>
    <row r="8657" spans="1:14" ht="14.25" customHeight="1" x14ac:dyDescent="0.25">
      <c r="A8657" s="99"/>
      <c r="B8657" s="100"/>
      <c r="C8657" s="101"/>
      <c r="D8657" s="104"/>
      <c r="E8657" s="102"/>
      <c r="F8657" s="101"/>
      <c r="G8657" s="81"/>
      <c r="H8657" s="81"/>
      <c r="I8657" s="81"/>
      <c r="J8657" s="81"/>
      <c r="K8657" s="81"/>
      <c r="L8657" s="81"/>
      <c r="M8657" s="81"/>
      <c r="N8657" s="81"/>
    </row>
    <row r="8658" spans="1:14" ht="14.25" customHeight="1" x14ac:dyDescent="0.25">
      <c r="A8658" s="99"/>
      <c r="B8658" s="100"/>
      <c r="C8658" s="106"/>
      <c r="D8658" s="107"/>
      <c r="E8658" s="108"/>
      <c r="F8658" s="106"/>
      <c r="G8658" s="81"/>
      <c r="H8658" s="81"/>
      <c r="I8658" s="81"/>
      <c r="J8658" s="81"/>
      <c r="K8658" s="81"/>
      <c r="L8658" s="81"/>
      <c r="M8658" s="81"/>
      <c r="N8658" s="81"/>
    </row>
    <row r="8659" spans="1:14" ht="14.25" customHeight="1" x14ac:dyDescent="0.25">
      <c r="A8659" s="97" t="s">
        <v>548</v>
      </c>
      <c r="B8659" s="97"/>
      <c r="C8659" s="109"/>
      <c r="D8659" s="110"/>
      <c r="E8659" s="111"/>
      <c r="F8659" s="112">
        <f>SUM(F8653:F8658)</f>
        <v>972069</v>
      </c>
      <c r="G8659" s="81"/>
      <c r="H8659" s="81"/>
      <c r="I8659" s="81"/>
      <c r="J8659" s="81"/>
      <c r="K8659" s="81"/>
      <c r="L8659" s="81"/>
      <c r="M8659" s="81"/>
      <c r="N8659" s="81"/>
    </row>
    <row r="8660" spans="1:14" ht="14.25" customHeight="1" x14ac:dyDescent="0.25">
      <c r="A8660" s="88"/>
      <c r="B8660" s="88"/>
      <c r="C8660" s="113"/>
      <c r="D8660" s="113"/>
      <c r="E8660" s="114"/>
      <c r="F8660" s="113"/>
      <c r="G8660" s="81"/>
      <c r="H8660" s="81"/>
      <c r="I8660" s="81"/>
      <c r="J8660" s="81"/>
      <c r="K8660" s="81"/>
      <c r="L8660" s="81"/>
      <c r="M8660" s="81"/>
      <c r="N8660" s="81"/>
    </row>
    <row r="8661" spans="1:14" ht="18" customHeight="1" x14ac:dyDescent="0.25">
      <c r="A8661" s="96" t="s">
        <v>573</v>
      </c>
      <c r="B8661" s="96"/>
      <c r="C8661" s="92"/>
      <c r="D8661" s="92"/>
      <c r="E8661" s="92"/>
      <c r="F8661" s="92"/>
      <c r="G8661" s="81"/>
      <c r="H8661" s="81"/>
      <c r="I8661" s="81"/>
      <c r="J8661" s="81"/>
      <c r="K8661" s="81"/>
      <c r="L8661" s="81"/>
      <c r="M8661" s="81"/>
      <c r="N8661" s="81"/>
    </row>
    <row r="8662" spans="1:14" ht="14.25" customHeight="1" x14ac:dyDescent="0.25">
      <c r="A8662" s="611" t="s">
        <v>563</v>
      </c>
      <c r="B8662" s="608"/>
      <c r="C8662" s="609"/>
      <c r="D8662" s="98" t="s">
        <v>574</v>
      </c>
      <c r="E8662" s="98" t="s">
        <v>575</v>
      </c>
      <c r="F8662" s="98" t="s">
        <v>568</v>
      </c>
      <c r="G8662" s="81"/>
      <c r="H8662" s="81"/>
      <c r="I8662" s="81"/>
      <c r="J8662" s="81"/>
      <c r="K8662" s="81"/>
      <c r="L8662" s="81"/>
      <c r="M8662" s="81"/>
      <c r="N8662" s="81"/>
    </row>
    <row r="8663" spans="1:14" ht="14.25" customHeight="1" x14ac:dyDescent="0.25">
      <c r="A8663" s="607" t="s">
        <v>577</v>
      </c>
      <c r="B8663" s="608"/>
      <c r="C8663" s="609"/>
      <c r="D8663" s="116"/>
      <c r="E8663" s="107"/>
      <c r="F8663" s="106">
        <f>+F8676*5%</f>
        <v>10054.811290376309</v>
      </c>
      <c r="G8663" s="81"/>
      <c r="H8663" s="81"/>
      <c r="I8663" s="81"/>
      <c r="J8663" s="81"/>
      <c r="K8663" s="81"/>
      <c r="L8663" s="81"/>
      <c r="M8663" s="81"/>
      <c r="N8663" s="81"/>
    </row>
    <row r="8664" spans="1:14" ht="14.25" customHeight="1" x14ac:dyDescent="0.25">
      <c r="A8664" s="607"/>
      <c r="B8664" s="608"/>
      <c r="C8664" s="609"/>
      <c r="D8664" s="142"/>
      <c r="E8664" s="105"/>
      <c r="F8664" s="106"/>
      <c r="G8664" s="81"/>
      <c r="H8664" s="81"/>
      <c r="I8664" s="81"/>
      <c r="J8664" s="81"/>
      <c r="K8664" s="81"/>
      <c r="L8664" s="81"/>
      <c r="M8664" s="81"/>
      <c r="N8664" s="81"/>
    </row>
    <row r="8665" spans="1:14" ht="14.25" customHeight="1" x14ac:dyDescent="0.25">
      <c r="A8665" s="607"/>
      <c r="B8665" s="608"/>
      <c r="C8665" s="609"/>
      <c r="D8665" s="142"/>
      <c r="E8665" s="105"/>
      <c r="F8665" s="106"/>
      <c r="G8665" s="81"/>
      <c r="H8665" s="81"/>
      <c r="I8665" s="81"/>
      <c r="J8665" s="81"/>
      <c r="K8665" s="81"/>
      <c r="L8665" s="81"/>
      <c r="M8665" s="81"/>
      <c r="N8665" s="81"/>
    </row>
    <row r="8666" spans="1:14" ht="14.25" customHeight="1" x14ac:dyDescent="0.25">
      <c r="A8666" s="607"/>
      <c r="B8666" s="608"/>
      <c r="C8666" s="609"/>
      <c r="D8666" s="142"/>
      <c r="E8666" s="107"/>
      <c r="F8666" s="106"/>
      <c r="G8666" s="81"/>
      <c r="H8666" s="81"/>
      <c r="I8666" s="81"/>
      <c r="J8666" s="81"/>
      <c r="K8666" s="81"/>
      <c r="L8666" s="81"/>
      <c r="M8666" s="81"/>
      <c r="N8666" s="81"/>
    </row>
    <row r="8667" spans="1:14" ht="14.25" customHeight="1" x14ac:dyDescent="0.25">
      <c r="A8667" s="610"/>
      <c r="B8667" s="608"/>
      <c r="C8667" s="609"/>
      <c r="D8667" s="115"/>
      <c r="E8667" s="107"/>
      <c r="F8667" s="106"/>
      <c r="G8667" s="81"/>
      <c r="H8667" s="81"/>
      <c r="I8667" s="81"/>
      <c r="J8667" s="81"/>
      <c r="K8667" s="81"/>
      <c r="L8667" s="81"/>
      <c r="M8667" s="81"/>
      <c r="N8667" s="81"/>
    </row>
    <row r="8668" spans="1:14" ht="14.25" customHeight="1" x14ac:dyDescent="0.25">
      <c r="A8668" s="611" t="s">
        <v>548</v>
      </c>
      <c r="B8668" s="608"/>
      <c r="C8668" s="609"/>
      <c r="D8668" s="110"/>
      <c r="E8668" s="110"/>
      <c r="F8668" s="112">
        <f>SUM(F8663:F8666)</f>
        <v>10054.811290376309</v>
      </c>
      <c r="G8668" s="81"/>
      <c r="H8668" s="81"/>
      <c r="I8668" s="81"/>
      <c r="J8668" s="81"/>
      <c r="K8668" s="81"/>
      <c r="L8668" s="81"/>
      <c r="M8668" s="81"/>
      <c r="N8668" s="81"/>
    </row>
    <row r="8669" spans="1:14" ht="14.25" customHeight="1" x14ac:dyDescent="0.25">
      <c r="A8669" s="88"/>
      <c r="B8669" s="88"/>
      <c r="C8669" s="89"/>
      <c r="D8669" s="113"/>
      <c r="E8669" s="113"/>
      <c r="F8669" s="113"/>
      <c r="G8669" s="81"/>
      <c r="H8669" s="81"/>
      <c r="I8669" s="81"/>
      <c r="J8669" s="81"/>
      <c r="K8669" s="81"/>
      <c r="L8669" s="81"/>
      <c r="M8669" s="81"/>
      <c r="N8669" s="81"/>
    </row>
    <row r="8670" spans="1:14" ht="14.25" customHeight="1" x14ac:dyDescent="0.25">
      <c r="A8670" s="96" t="s">
        <v>578</v>
      </c>
      <c r="B8670" s="96"/>
      <c r="C8670" s="92"/>
      <c r="D8670" s="118"/>
      <c r="E8670" s="118"/>
      <c r="F8670" s="118"/>
      <c r="G8670" s="81"/>
      <c r="H8670" s="81"/>
      <c r="I8670" s="81"/>
      <c r="J8670" s="81"/>
      <c r="K8670" s="81"/>
      <c r="L8670" s="81"/>
      <c r="M8670" s="81"/>
      <c r="N8670" s="81"/>
    </row>
    <row r="8671" spans="1:14" ht="14.25" customHeight="1" x14ac:dyDescent="0.25">
      <c r="A8671" s="119" t="s">
        <v>563</v>
      </c>
      <c r="B8671" s="120" t="s">
        <v>579</v>
      </c>
      <c r="C8671" s="120" t="s">
        <v>580</v>
      </c>
      <c r="D8671" s="121" t="s">
        <v>581</v>
      </c>
      <c r="E8671" s="121" t="s">
        <v>575</v>
      </c>
      <c r="F8671" s="121" t="s">
        <v>568</v>
      </c>
      <c r="G8671" s="81"/>
      <c r="H8671" s="81"/>
      <c r="I8671" s="81"/>
      <c r="J8671" s="81"/>
      <c r="K8671" s="81"/>
      <c r="L8671" s="81"/>
      <c r="M8671" s="81"/>
      <c r="N8671" s="81"/>
    </row>
    <row r="8672" spans="1:14" ht="14.25" customHeight="1" x14ac:dyDescent="0.25">
      <c r="A8672" s="122" t="s">
        <v>593</v>
      </c>
      <c r="B8672" s="127">
        <v>1</v>
      </c>
      <c r="C8672" s="101">
        <v>32688</v>
      </c>
      <c r="D8672" s="101">
        <f t="shared" ref="D8672:D8673" si="430">+C8672*1.7</f>
        <v>55569.599999999999</v>
      </c>
      <c r="E8672" s="107">
        <v>0.720472</v>
      </c>
      <c r="F8672" s="106">
        <f t="shared" ref="F8672:F8673" si="431">+B8672*(D8672)/E8672</f>
        <v>77129.437368835977</v>
      </c>
      <c r="G8672" s="81"/>
      <c r="H8672" s="81"/>
      <c r="I8672" s="81"/>
      <c r="J8672" s="81"/>
      <c r="K8672" s="81"/>
      <c r="L8672" s="81"/>
      <c r="M8672" s="81"/>
      <c r="N8672" s="81"/>
    </row>
    <row r="8673" spans="1:14" ht="14.25" customHeight="1" x14ac:dyDescent="0.25">
      <c r="A8673" s="122" t="s">
        <v>594</v>
      </c>
      <c r="B8673" s="127">
        <v>1</v>
      </c>
      <c r="C8673" s="101">
        <v>52538</v>
      </c>
      <c r="D8673" s="101">
        <f t="shared" si="430"/>
        <v>89314.599999999991</v>
      </c>
      <c r="E8673" s="107">
        <f>E8672</f>
        <v>0.720472</v>
      </c>
      <c r="F8673" s="106">
        <f t="shared" si="431"/>
        <v>123966.78843869019</v>
      </c>
      <c r="G8673" s="81"/>
      <c r="H8673" s="81"/>
      <c r="I8673" s="81"/>
      <c r="J8673" s="81"/>
      <c r="K8673" s="81"/>
      <c r="L8673" s="81"/>
      <c r="M8673" s="81"/>
      <c r="N8673" s="81"/>
    </row>
    <row r="8674" spans="1:14" ht="14.25" customHeight="1" x14ac:dyDescent="0.25">
      <c r="A8674" s="122"/>
      <c r="B8674" s="127"/>
      <c r="C8674" s="101"/>
      <c r="D8674" s="101"/>
      <c r="E8674" s="105"/>
      <c r="F8674" s="106"/>
      <c r="G8674" s="81"/>
      <c r="H8674" s="81"/>
      <c r="I8674" s="81"/>
      <c r="J8674" s="81"/>
      <c r="K8674" s="81"/>
      <c r="L8674" s="81"/>
      <c r="M8674" s="81"/>
      <c r="N8674" s="81"/>
    </row>
    <row r="8675" spans="1:14" ht="14.25" customHeight="1" x14ac:dyDescent="0.25">
      <c r="A8675" s="122"/>
      <c r="B8675" s="127"/>
      <c r="C8675" s="101"/>
      <c r="D8675" s="101"/>
      <c r="E8675" s="125"/>
      <c r="F8675" s="106"/>
      <c r="G8675" s="81"/>
      <c r="H8675" s="81"/>
      <c r="I8675" s="81"/>
      <c r="J8675" s="81"/>
      <c r="K8675" s="81"/>
      <c r="L8675" s="81"/>
      <c r="M8675" s="81"/>
      <c r="N8675" s="81"/>
    </row>
    <row r="8676" spans="1:14" ht="14.25" customHeight="1" x14ac:dyDescent="0.25">
      <c r="A8676" s="97" t="s">
        <v>548</v>
      </c>
      <c r="B8676" s="128"/>
      <c r="C8676" s="110"/>
      <c r="D8676" s="110"/>
      <c r="E8676" s="110"/>
      <c r="F8676" s="112">
        <f>SUM(F8672:F8675)</f>
        <v>201096.22580752615</v>
      </c>
      <c r="G8676" s="81"/>
      <c r="H8676" s="81"/>
      <c r="I8676" s="81"/>
      <c r="J8676" s="81"/>
      <c r="K8676" s="81"/>
      <c r="L8676" s="81"/>
      <c r="M8676" s="81"/>
      <c r="N8676" s="81"/>
    </row>
    <row r="8677" spans="1:14" ht="14.25" customHeight="1" x14ac:dyDescent="0.25">
      <c r="A8677" s="96"/>
      <c r="B8677" s="129"/>
      <c r="C8677" s="118"/>
      <c r="D8677" s="118"/>
      <c r="E8677" s="118"/>
      <c r="F8677" s="118"/>
      <c r="G8677" s="81"/>
      <c r="H8677" s="81"/>
      <c r="I8677" s="81"/>
      <c r="J8677" s="81"/>
      <c r="K8677" s="81"/>
      <c r="L8677" s="81"/>
      <c r="M8677" s="81"/>
      <c r="N8677" s="81"/>
    </row>
    <row r="8678" spans="1:14" ht="14.25" customHeight="1" x14ac:dyDescent="0.25">
      <c r="A8678" s="95" t="s">
        <v>583</v>
      </c>
      <c r="B8678" s="96"/>
      <c r="C8678" s="92"/>
      <c r="D8678" s="92"/>
      <c r="E8678" s="92" t="s">
        <v>584</v>
      </c>
      <c r="F8678" s="92"/>
      <c r="G8678" s="81"/>
      <c r="H8678" s="81"/>
      <c r="I8678" s="81"/>
      <c r="J8678" s="81"/>
      <c r="K8678" s="81"/>
      <c r="L8678" s="81"/>
      <c r="M8678" s="81"/>
      <c r="N8678" s="81"/>
    </row>
    <row r="8679" spans="1:14" ht="14.25" customHeight="1" x14ac:dyDescent="0.25">
      <c r="A8679" s="97" t="s">
        <v>563</v>
      </c>
      <c r="B8679" s="98" t="s">
        <v>564</v>
      </c>
      <c r="C8679" s="98" t="s">
        <v>585</v>
      </c>
      <c r="D8679" s="98" t="s">
        <v>586</v>
      </c>
      <c r="E8679" s="120" t="s">
        <v>587</v>
      </c>
      <c r="F8679" s="98" t="s">
        <v>568</v>
      </c>
      <c r="G8679" s="81"/>
      <c r="H8679" s="81"/>
      <c r="I8679" s="81"/>
      <c r="J8679" s="81"/>
      <c r="K8679" s="81"/>
      <c r="L8679" s="81"/>
      <c r="M8679" s="81"/>
      <c r="N8679" s="81"/>
    </row>
    <row r="8680" spans="1:14" ht="14.25" customHeight="1" x14ac:dyDescent="0.25">
      <c r="A8680" s="103"/>
      <c r="B8680" s="100"/>
      <c r="C8680" s="101"/>
      <c r="D8680" s="140"/>
      <c r="E8680" s="107"/>
      <c r="F8680" s="109"/>
      <c r="G8680" s="81"/>
      <c r="H8680" s="81"/>
      <c r="I8680" s="81"/>
      <c r="J8680" s="81"/>
      <c r="K8680" s="81"/>
      <c r="L8680" s="81"/>
      <c r="M8680" s="81"/>
      <c r="N8680" s="81"/>
    </row>
    <row r="8681" spans="1:14" ht="14.25" customHeight="1" x14ac:dyDescent="0.25">
      <c r="A8681" s="103"/>
      <c r="B8681" s="100"/>
      <c r="C8681" s="107"/>
      <c r="D8681" s="107"/>
      <c r="E8681" s="108"/>
      <c r="F8681" s="109"/>
      <c r="G8681" s="81"/>
      <c r="H8681" s="81"/>
      <c r="I8681" s="81"/>
      <c r="J8681" s="81"/>
      <c r="K8681" s="81"/>
      <c r="L8681" s="81"/>
      <c r="M8681" s="81"/>
      <c r="N8681" s="81"/>
    </row>
    <row r="8682" spans="1:14" ht="14.25" customHeight="1" x14ac:dyDescent="0.25">
      <c r="A8682" s="97" t="s">
        <v>548</v>
      </c>
      <c r="B8682" s="98"/>
      <c r="C8682" s="110"/>
      <c r="D8682" s="110"/>
      <c r="E8682" s="111"/>
      <c r="F8682" s="112">
        <f>SUM(F8680:F8681)</f>
        <v>0</v>
      </c>
      <c r="G8682" s="81"/>
      <c r="H8682" s="81"/>
      <c r="I8682" s="81"/>
      <c r="J8682" s="81"/>
      <c r="K8682" s="81"/>
      <c r="L8682" s="81"/>
      <c r="M8682" s="81"/>
      <c r="N8682" s="81"/>
    </row>
    <row r="8683" spans="1:14" ht="14.25" customHeight="1" x14ac:dyDescent="0.25">
      <c r="A8683" s="88"/>
      <c r="B8683" s="89"/>
      <c r="C8683" s="113"/>
      <c r="D8683" s="113"/>
      <c r="E8683" s="114"/>
      <c r="F8683" s="113"/>
      <c r="G8683" s="81"/>
      <c r="H8683" s="81"/>
      <c r="I8683" s="81"/>
      <c r="J8683" s="81"/>
      <c r="K8683" s="81"/>
      <c r="L8683" s="81"/>
      <c r="M8683" s="81"/>
      <c r="N8683" s="81"/>
    </row>
    <row r="8684" spans="1:14" ht="14.25" customHeight="1" x14ac:dyDescent="0.25">
      <c r="A8684" s="88"/>
      <c r="B8684" s="89"/>
      <c r="C8684" s="113"/>
      <c r="D8684" s="113"/>
      <c r="E8684" s="114"/>
      <c r="F8684" s="113"/>
      <c r="G8684" s="81"/>
      <c r="H8684" s="81"/>
      <c r="I8684" s="81"/>
      <c r="J8684" s="81"/>
      <c r="K8684" s="81"/>
      <c r="L8684" s="81"/>
      <c r="M8684" s="81"/>
      <c r="N8684" s="81"/>
    </row>
    <row r="8685" spans="1:14" ht="14.25" customHeight="1" x14ac:dyDescent="0.25">
      <c r="A8685" s="612" t="s">
        <v>588</v>
      </c>
      <c r="B8685" s="608"/>
      <c r="C8685" s="608"/>
      <c r="D8685" s="608"/>
      <c r="E8685" s="609"/>
      <c r="F8685" s="131">
        <f>ROUND(F8659+F8668+F8676+F8682,0)</f>
        <v>1183220</v>
      </c>
      <c r="G8685" s="81"/>
      <c r="H8685" s="81"/>
      <c r="I8685" s="81"/>
      <c r="J8685" s="81"/>
      <c r="K8685" s="81"/>
      <c r="L8685" s="81"/>
      <c r="M8685" s="81"/>
      <c r="N8685" s="81"/>
    </row>
    <row r="8686" spans="1:14" ht="14.25" customHeight="1" x14ac:dyDescent="0.25">
      <c r="A8686" s="612" t="s">
        <v>589</v>
      </c>
      <c r="B8686" s="608"/>
      <c r="C8686" s="608"/>
      <c r="D8686" s="608"/>
      <c r="E8686" s="609"/>
      <c r="F8686" s="132"/>
      <c r="G8686" s="81"/>
      <c r="H8686" s="81"/>
      <c r="I8686" s="81"/>
      <c r="J8686" s="81"/>
      <c r="K8686" s="81"/>
      <c r="L8686" s="81"/>
      <c r="M8686" s="81"/>
      <c r="N8686" s="81"/>
    </row>
    <row r="8687" spans="1:14" ht="14.25" customHeight="1" x14ac:dyDescent="0.25">
      <c r="A8687" s="146" t="s">
        <v>556</v>
      </c>
      <c r="B8687" s="147"/>
      <c r="C8687" s="147"/>
      <c r="D8687" s="147"/>
      <c r="E8687" s="148"/>
      <c r="F8687" s="133"/>
      <c r="G8687" s="81"/>
      <c r="H8687" s="81"/>
      <c r="I8687" s="81"/>
      <c r="J8687" s="81"/>
      <c r="K8687" s="81"/>
      <c r="L8687" s="81"/>
      <c r="M8687" s="81"/>
      <c r="N8687" s="81"/>
    </row>
    <row r="8688" spans="1:14" ht="14.25" customHeight="1" x14ac:dyDescent="0.25">
      <c r="A8688" s="134"/>
      <c r="B8688" s="135"/>
      <c r="C8688" s="135"/>
      <c r="D8688" s="135"/>
      <c r="E8688" s="135"/>
      <c r="F8688" s="136"/>
      <c r="G8688" s="81"/>
      <c r="H8688" s="81"/>
      <c r="I8688" s="81"/>
      <c r="J8688" s="81"/>
      <c r="K8688" s="81"/>
      <c r="L8688" s="81"/>
      <c r="M8688" s="81"/>
      <c r="N8688" s="81"/>
    </row>
    <row r="8689" spans="1:14" ht="14.25" customHeight="1" x14ac:dyDescent="0.25">
      <c r="A8689" s="81"/>
      <c r="B8689" s="81"/>
      <c r="C8689" s="137"/>
      <c r="D8689" s="81"/>
      <c r="E8689" s="81"/>
      <c r="F8689" s="81"/>
      <c r="G8689" s="81"/>
      <c r="H8689" s="81"/>
      <c r="I8689" s="81"/>
      <c r="J8689" s="81"/>
      <c r="K8689" s="81"/>
      <c r="L8689" s="81"/>
      <c r="M8689" s="81"/>
      <c r="N8689" s="81"/>
    </row>
    <row r="8690" spans="1:14" ht="14.25" customHeight="1" x14ac:dyDescent="0.25">
      <c r="A8690" s="81"/>
      <c r="B8690" s="81"/>
      <c r="C8690" s="137"/>
      <c r="D8690" s="81"/>
      <c r="E8690" s="81"/>
      <c r="F8690" s="81"/>
      <c r="G8690" s="81"/>
      <c r="H8690" s="81"/>
      <c r="I8690" s="81"/>
      <c r="J8690" s="81"/>
      <c r="K8690" s="81"/>
      <c r="L8690" s="81"/>
      <c r="M8690" s="81"/>
      <c r="N8690" s="81"/>
    </row>
    <row r="8691" spans="1:14" ht="14.25" customHeight="1" x14ac:dyDescent="0.25">
      <c r="A8691" s="81"/>
      <c r="B8691" s="81"/>
      <c r="C8691" s="137"/>
      <c r="D8691" s="81"/>
      <c r="E8691" s="81"/>
      <c r="F8691" s="81"/>
      <c r="G8691" s="81"/>
      <c r="H8691" s="81"/>
      <c r="I8691" s="81"/>
      <c r="J8691" s="81"/>
      <c r="K8691" s="81"/>
      <c r="L8691" s="81"/>
      <c r="M8691" s="81"/>
      <c r="N8691" s="81"/>
    </row>
    <row r="8692" spans="1:14" ht="14.25" customHeight="1" x14ac:dyDescent="0.25">
      <c r="A8692" s="81"/>
      <c r="B8692" s="81"/>
      <c r="C8692" s="137"/>
      <c r="D8692" s="81"/>
      <c r="E8692" s="81"/>
      <c r="F8692" s="81"/>
      <c r="G8692" s="81"/>
      <c r="H8692" s="81"/>
      <c r="I8692" s="81"/>
      <c r="J8692" s="81"/>
      <c r="K8692" s="81"/>
      <c r="L8692" s="81"/>
      <c r="M8692" s="81"/>
      <c r="N8692" s="81"/>
    </row>
    <row r="8693" spans="1:14" ht="14.25" customHeight="1" x14ac:dyDescent="0.25">
      <c r="A8693" s="81"/>
      <c r="B8693" s="81"/>
      <c r="C8693" s="137"/>
      <c r="D8693" s="81"/>
      <c r="E8693" s="81"/>
      <c r="F8693" s="81"/>
      <c r="G8693" s="81"/>
      <c r="H8693" s="81"/>
      <c r="I8693" s="81"/>
      <c r="J8693" s="81"/>
      <c r="K8693" s="81"/>
      <c r="L8693" s="81"/>
      <c r="M8693" s="81"/>
      <c r="N8693" s="81"/>
    </row>
    <row r="8694" spans="1:14" ht="14.25" customHeight="1" x14ac:dyDescent="0.25">
      <c r="A8694" s="134"/>
      <c r="B8694" s="135"/>
      <c r="C8694" s="135"/>
      <c r="D8694" s="135"/>
      <c r="E8694" s="135"/>
      <c r="F8694" s="136"/>
      <c r="G8694" s="81"/>
      <c r="H8694" s="81"/>
      <c r="I8694" s="81"/>
      <c r="J8694" s="81"/>
      <c r="K8694" s="81"/>
      <c r="L8694" s="81"/>
      <c r="M8694" s="81"/>
      <c r="N8694" s="81"/>
    </row>
    <row r="8695" spans="1:14" ht="14.25" customHeight="1" x14ac:dyDescent="0.25">
      <c r="A8695" s="134"/>
      <c r="B8695" s="135"/>
      <c r="C8695" s="135"/>
      <c r="D8695" s="135"/>
      <c r="E8695" s="135"/>
      <c r="F8695" s="136"/>
      <c r="G8695" s="81"/>
      <c r="H8695" s="117"/>
      <c r="I8695" s="81"/>
      <c r="J8695" s="81"/>
      <c r="K8695" s="81"/>
      <c r="L8695" s="81"/>
      <c r="M8695" s="81"/>
      <c r="N8695" s="81"/>
    </row>
    <row r="8696" spans="1:14" ht="14.25" customHeight="1" x14ac:dyDescent="0.25">
      <c r="A8696" s="134"/>
      <c r="B8696" s="135"/>
      <c r="C8696" s="135"/>
      <c r="D8696" s="135"/>
      <c r="E8696" s="135"/>
      <c r="F8696" s="136"/>
      <c r="G8696" s="81"/>
      <c r="H8696" s="81"/>
      <c r="I8696" s="81"/>
      <c r="J8696" s="81"/>
      <c r="K8696" s="81"/>
      <c r="L8696" s="81"/>
      <c r="M8696" s="81"/>
      <c r="N8696" s="81"/>
    </row>
    <row r="8697" spans="1:14" ht="14.25" customHeight="1" thickBot="1" x14ac:dyDescent="0.3">
      <c r="A8697" s="81"/>
      <c r="B8697" s="81"/>
      <c r="C8697" s="81"/>
      <c r="D8697" s="81"/>
      <c r="E8697" s="81"/>
      <c r="F8697" s="81"/>
      <c r="G8697" s="81"/>
      <c r="H8697" s="81"/>
      <c r="I8697" s="81"/>
      <c r="J8697" s="81"/>
      <c r="K8697" s="81"/>
      <c r="L8697" s="81"/>
      <c r="M8697" s="81"/>
      <c r="N8697" s="81"/>
    </row>
    <row r="8698" spans="1:14" ht="14.25" customHeight="1" x14ac:dyDescent="0.25">
      <c r="A8698" s="83"/>
      <c r="B8698" s="84"/>
      <c r="C8698" s="85"/>
      <c r="D8698" s="86"/>
      <c r="E8698" s="86"/>
      <c r="F8698" s="87"/>
      <c r="G8698" s="81"/>
      <c r="H8698" s="81"/>
      <c r="I8698" s="81"/>
      <c r="J8698" s="81"/>
      <c r="K8698" s="81"/>
      <c r="L8698" s="81"/>
      <c r="M8698" s="81"/>
      <c r="N8698" s="81"/>
    </row>
    <row r="8699" spans="1:14" ht="14.25" customHeight="1" x14ac:dyDescent="0.25">
      <c r="A8699" s="599"/>
      <c r="B8699" s="600"/>
      <c r="C8699" s="600"/>
      <c r="D8699" s="600"/>
      <c r="E8699" s="600"/>
      <c r="F8699" s="601"/>
      <c r="G8699" s="81"/>
      <c r="H8699" s="81"/>
      <c r="I8699" s="81"/>
      <c r="J8699" s="81"/>
      <c r="K8699" s="81"/>
      <c r="L8699" s="81"/>
      <c r="M8699" s="81"/>
      <c r="N8699" s="81"/>
    </row>
    <row r="8700" spans="1:14" ht="14.25" customHeight="1" x14ac:dyDescent="0.25">
      <c r="A8700" s="602" t="s">
        <v>561</v>
      </c>
      <c r="B8700" s="600"/>
      <c r="C8700" s="600"/>
      <c r="D8700" s="600"/>
      <c r="E8700" s="600"/>
      <c r="F8700" s="601"/>
      <c r="G8700" s="81"/>
      <c r="H8700" s="81"/>
      <c r="I8700" s="81"/>
      <c r="J8700" s="81"/>
      <c r="K8700" s="81"/>
      <c r="L8700" s="81"/>
      <c r="M8700" s="81"/>
      <c r="N8700" s="81"/>
    </row>
    <row r="8701" spans="1:14" ht="14.25" customHeight="1" thickBot="1" x14ac:dyDescent="0.3">
      <c r="A8701" s="603"/>
      <c r="B8701" s="604"/>
      <c r="C8701" s="604"/>
      <c r="D8701" s="604"/>
      <c r="E8701" s="604"/>
      <c r="F8701" s="605"/>
      <c r="G8701" s="81"/>
      <c r="H8701" s="81"/>
      <c r="I8701" s="81"/>
      <c r="J8701" s="81"/>
      <c r="K8701" s="81"/>
      <c r="L8701" s="81"/>
      <c r="M8701" s="81"/>
      <c r="N8701" s="81"/>
    </row>
    <row r="8702" spans="1:14" ht="14.25" customHeight="1" x14ac:dyDescent="0.25">
      <c r="A8702" s="88"/>
      <c r="B8702" s="88"/>
      <c r="C8702" s="89"/>
      <c r="D8702" s="89"/>
      <c r="E8702" s="89"/>
      <c r="F8702" s="89"/>
      <c r="G8702" s="81"/>
      <c r="H8702" s="81"/>
      <c r="I8702" s="81"/>
      <c r="J8702" s="81"/>
      <c r="K8702" s="81"/>
      <c r="L8702" s="81"/>
      <c r="M8702" s="81"/>
      <c r="N8702" s="81"/>
    </row>
    <row r="8703" spans="1:14" ht="14.25" customHeight="1" x14ac:dyDescent="0.25">
      <c r="A8703" s="90" t="s">
        <v>47</v>
      </c>
      <c r="B8703" s="613" t="s">
        <v>405</v>
      </c>
      <c r="C8703" s="600"/>
      <c r="D8703" s="600"/>
      <c r="E8703" s="600"/>
      <c r="F8703" s="600"/>
      <c r="G8703" s="81"/>
      <c r="H8703" s="81"/>
      <c r="I8703" s="81"/>
      <c r="J8703" s="81"/>
      <c r="K8703" s="81"/>
      <c r="L8703" s="81"/>
      <c r="M8703" s="81"/>
      <c r="N8703" s="81"/>
    </row>
    <row r="8704" spans="1:14" ht="14.25" customHeight="1" x14ac:dyDescent="0.25">
      <c r="A8704" s="91"/>
      <c r="B8704" s="91"/>
      <c r="C8704" s="91"/>
      <c r="D8704" s="91"/>
      <c r="E8704" s="91"/>
      <c r="F8704" s="91"/>
      <c r="G8704" s="81"/>
      <c r="H8704" s="81"/>
      <c r="I8704" s="81"/>
      <c r="J8704" s="81"/>
      <c r="K8704" s="81"/>
      <c r="L8704" s="81"/>
      <c r="M8704" s="81"/>
      <c r="N8704" s="81"/>
    </row>
    <row r="8705" spans="1:14" ht="14.25" customHeight="1" x14ac:dyDescent="0.25">
      <c r="A8705" s="88" t="s">
        <v>49</v>
      </c>
      <c r="B8705" s="92" t="s">
        <v>99</v>
      </c>
      <c r="C8705" s="89"/>
      <c r="D8705" s="89"/>
      <c r="E8705" s="89"/>
      <c r="F8705" s="93"/>
      <c r="G8705" s="81"/>
      <c r="H8705" s="81"/>
      <c r="I8705" s="81"/>
      <c r="J8705" s="81"/>
      <c r="K8705" s="81"/>
      <c r="L8705" s="81"/>
      <c r="M8705" s="81"/>
      <c r="N8705" s="81"/>
    </row>
    <row r="8706" spans="1:14" ht="14.25" customHeight="1" x14ac:dyDescent="0.25">
      <c r="A8706" s="88"/>
      <c r="B8706" s="94"/>
      <c r="C8706" s="89"/>
      <c r="D8706" s="89"/>
      <c r="E8706" s="89"/>
      <c r="F8706" s="93"/>
      <c r="G8706" s="81"/>
      <c r="H8706" s="81"/>
      <c r="I8706" s="81"/>
      <c r="J8706" s="81"/>
      <c r="K8706" s="81"/>
      <c r="L8706" s="81"/>
      <c r="M8706" s="81"/>
      <c r="N8706" s="81"/>
    </row>
    <row r="8707" spans="1:14" ht="14.25" customHeight="1" x14ac:dyDescent="0.25">
      <c r="A8707" s="95" t="s">
        <v>562</v>
      </c>
      <c r="B8707" s="96"/>
      <c r="C8707" s="92"/>
      <c r="D8707" s="92"/>
      <c r="E8707" s="92"/>
      <c r="F8707" s="92"/>
      <c r="G8707" s="81"/>
      <c r="H8707" s="81"/>
      <c r="I8707" s="81"/>
      <c r="J8707" s="81"/>
      <c r="K8707" s="81"/>
      <c r="L8707" s="81"/>
      <c r="M8707" s="81"/>
      <c r="N8707" s="81"/>
    </row>
    <row r="8708" spans="1:14" ht="14.25" customHeight="1" x14ac:dyDescent="0.25">
      <c r="A8708" s="97" t="s">
        <v>563</v>
      </c>
      <c r="B8708" s="98" t="s">
        <v>564</v>
      </c>
      <c r="C8708" s="98" t="s">
        <v>565</v>
      </c>
      <c r="D8708" s="98" t="s">
        <v>566</v>
      </c>
      <c r="E8708" s="98" t="s">
        <v>567</v>
      </c>
      <c r="F8708" s="98" t="s">
        <v>568</v>
      </c>
      <c r="G8708" s="81"/>
      <c r="H8708" s="81"/>
      <c r="I8708" s="81"/>
      <c r="J8708" s="81"/>
      <c r="K8708" s="81"/>
      <c r="L8708" s="81"/>
      <c r="M8708" s="81"/>
      <c r="N8708" s="81"/>
    </row>
    <row r="8709" spans="1:14" ht="14.25" customHeight="1" x14ac:dyDescent="0.25">
      <c r="A8709" s="99" t="s">
        <v>831</v>
      </c>
      <c r="B8709" s="100" t="s">
        <v>99</v>
      </c>
      <c r="C8709" s="101">
        <v>795600</v>
      </c>
      <c r="D8709" s="149">
        <v>1</v>
      </c>
      <c r="E8709" s="102"/>
      <c r="F8709" s="101">
        <f>C8709*(D8709+(D8709*E8709))</f>
        <v>795600</v>
      </c>
      <c r="G8709" s="81"/>
      <c r="H8709" s="81"/>
      <c r="I8709" s="81"/>
      <c r="J8709" s="81"/>
      <c r="K8709" s="81"/>
      <c r="L8709" s="81"/>
      <c r="M8709" s="81"/>
      <c r="N8709" s="81"/>
    </row>
    <row r="8710" spans="1:14" ht="14.25" customHeight="1" x14ac:dyDescent="0.25">
      <c r="A8710" s="99"/>
      <c r="B8710" s="100"/>
      <c r="C8710" s="101"/>
      <c r="D8710" s="149"/>
      <c r="E8710" s="102"/>
      <c r="F8710" s="101"/>
      <c r="G8710" s="81"/>
      <c r="H8710" s="81"/>
      <c r="I8710" s="81"/>
      <c r="J8710" s="81"/>
      <c r="K8710" s="81"/>
      <c r="L8710" s="81"/>
      <c r="M8710" s="81"/>
      <c r="N8710" s="81"/>
    </row>
    <row r="8711" spans="1:14" ht="14.25" customHeight="1" x14ac:dyDescent="0.25">
      <c r="A8711" s="99"/>
      <c r="B8711" s="100"/>
      <c r="C8711" s="101"/>
      <c r="D8711" s="149"/>
      <c r="E8711" s="102"/>
      <c r="F8711" s="101"/>
      <c r="G8711" s="81"/>
      <c r="H8711" s="81"/>
      <c r="I8711" s="81"/>
      <c r="J8711" s="81"/>
      <c r="K8711" s="81"/>
      <c r="L8711" s="81"/>
      <c r="M8711" s="81"/>
      <c r="N8711" s="81"/>
    </row>
    <row r="8712" spans="1:14" ht="14.25" customHeight="1" x14ac:dyDescent="0.25">
      <c r="A8712" s="99"/>
      <c r="B8712" s="100"/>
      <c r="C8712" s="101"/>
      <c r="D8712" s="104"/>
      <c r="E8712" s="102"/>
      <c r="F8712" s="101"/>
      <c r="G8712" s="81"/>
      <c r="H8712" s="81"/>
      <c r="I8712" s="81"/>
      <c r="J8712" s="81"/>
      <c r="K8712" s="81"/>
      <c r="L8712" s="81"/>
      <c r="M8712" s="81"/>
      <c r="N8712" s="81"/>
    </row>
    <row r="8713" spans="1:14" ht="14.25" customHeight="1" x14ac:dyDescent="0.25">
      <c r="A8713" s="99"/>
      <c r="B8713" s="100"/>
      <c r="C8713" s="101"/>
      <c r="D8713" s="104"/>
      <c r="E8713" s="102"/>
      <c r="F8713" s="101"/>
      <c r="G8713" s="81"/>
      <c r="H8713" s="81"/>
      <c r="I8713" s="81"/>
      <c r="J8713" s="81"/>
      <c r="K8713" s="81"/>
      <c r="L8713" s="81"/>
      <c r="M8713" s="81"/>
      <c r="N8713" s="81"/>
    </row>
    <row r="8714" spans="1:14" ht="14.25" customHeight="1" x14ac:dyDescent="0.25">
      <c r="A8714" s="99"/>
      <c r="B8714" s="100"/>
      <c r="C8714" s="106"/>
      <c r="D8714" s="107"/>
      <c r="E8714" s="108"/>
      <c r="F8714" s="106"/>
      <c r="G8714" s="81"/>
      <c r="H8714" s="81"/>
      <c r="I8714" s="81"/>
      <c r="J8714" s="81"/>
      <c r="K8714" s="81"/>
      <c r="L8714" s="81"/>
      <c r="M8714" s="81"/>
      <c r="N8714" s="81"/>
    </row>
    <row r="8715" spans="1:14" ht="14.25" customHeight="1" x14ac:dyDescent="0.25">
      <c r="A8715" s="97" t="s">
        <v>548</v>
      </c>
      <c r="B8715" s="97"/>
      <c r="C8715" s="109"/>
      <c r="D8715" s="110"/>
      <c r="E8715" s="111"/>
      <c r="F8715" s="112">
        <f>SUM(F8709:F8714)</f>
        <v>795600</v>
      </c>
      <c r="G8715" s="81"/>
      <c r="H8715" s="81"/>
      <c r="I8715" s="81"/>
      <c r="J8715" s="81"/>
      <c r="K8715" s="81"/>
      <c r="L8715" s="81"/>
      <c r="M8715" s="81"/>
      <c r="N8715" s="81"/>
    </row>
    <row r="8716" spans="1:14" ht="14.25" customHeight="1" x14ac:dyDescent="0.25">
      <c r="A8716" s="88"/>
      <c r="B8716" s="88"/>
      <c r="C8716" s="113"/>
      <c r="D8716" s="113"/>
      <c r="E8716" s="114"/>
      <c r="F8716" s="113"/>
      <c r="G8716" s="81"/>
      <c r="H8716" s="81"/>
      <c r="I8716" s="81"/>
      <c r="J8716" s="81"/>
      <c r="K8716" s="81"/>
      <c r="L8716" s="81"/>
      <c r="M8716" s="81"/>
      <c r="N8716" s="81"/>
    </row>
    <row r="8717" spans="1:14" ht="14.25" customHeight="1" x14ac:dyDescent="0.25">
      <c r="A8717" s="96" t="s">
        <v>573</v>
      </c>
      <c r="B8717" s="96"/>
      <c r="C8717" s="92"/>
      <c r="D8717" s="92"/>
      <c r="E8717" s="92"/>
      <c r="F8717" s="92"/>
      <c r="G8717" s="81"/>
      <c r="H8717" s="81"/>
      <c r="I8717" s="81"/>
      <c r="J8717" s="81"/>
      <c r="K8717" s="81"/>
      <c r="L8717" s="81"/>
      <c r="M8717" s="81"/>
      <c r="N8717" s="81"/>
    </row>
    <row r="8718" spans="1:14" ht="14.25" customHeight="1" x14ac:dyDescent="0.25">
      <c r="A8718" s="611" t="s">
        <v>563</v>
      </c>
      <c r="B8718" s="608"/>
      <c r="C8718" s="609"/>
      <c r="D8718" s="98" t="s">
        <v>574</v>
      </c>
      <c r="E8718" s="98" t="s">
        <v>575</v>
      </c>
      <c r="F8718" s="98" t="s">
        <v>568</v>
      </c>
      <c r="G8718" s="81"/>
      <c r="H8718" s="81"/>
      <c r="I8718" s="81"/>
      <c r="J8718" s="81"/>
      <c r="K8718" s="81"/>
      <c r="L8718" s="81"/>
      <c r="M8718" s="81"/>
      <c r="N8718" s="81"/>
    </row>
    <row r="8719" spans="1:14" ht="14.25" customHeight="1" x14ac:dyDescent="0.25">
      <c r="A8719" s="607" t="s">
        <v>577</v>
      </c>
      <c r="B8719" s="608"/>
      <c r="C8719" s="609"/>
      <c r="D8719" s="116"/>
      <c r="E8719" s="107"/>
      <c r="F8719" s="106">
        <f>+F8732*5%</f>
        <v>3771.4349675397361</v>
      </c>
      <c r="G8719" s="81"/>
      <c r="H8719" s="81"/>
      <c r="I8719" s="81"/>
      <c r="J8719" s="81"/>
      <c r="K8719" s="81"/>
      <c r="L8719" s="81"/>
      <c r="M8719" s="81"/>
      <c r="N8719" s="81"/>
    </row>
    <row r="8720" spans="1:14" ht="14.25" customHeight="1" x14ac:dyDescent="0.25">
      <c r="A8720" s="607"/>
      <c r="B8720" s="608"/>
      <c r="C8720" s="609"/>
      <c r="D8720" s="142"/>
      <c r="E8720" s="105"/>
      <c r="F8720" s="106"/>
      <c r="G8720" s="81"/>
      <c r="H8720" s="81"/>
      <c r="I8720" s="81"/>
      <c r="J8720" s="81"/>
      <c r="K8720" s="81"/>
      <c r="L8720" s="81"/>
      <c r="M8720" s="81"/>
      <c r="N8720" s="81"/>
    </row>
    <row r="8721" spans="1:14" ht="14.25" customHeight="1" x14ac:dyDescent="0.25">
      <c r="A8721" s="607"/>
      <c r="B8721" s="608"/>
      <c r="C8721" s="609"/>
      <c r="D8721" s="142"/>
      <c r="E8721" s="105"/>
      <c r="F8721" s="106"/>
      <c r="G8721" s="81"/>
      <c r="H8721" s="81"/>
      <c r="I8721" s="81"/>
      <c r="J8721" s="81"/>
      <c r="K8721" s="81"/>
      <c r="L8721" s="81"/>
      <c r="M8721" s="81"/>
      <c r="N8721" s="81"/>
    </row>
    <row r="8722" spans="1:14" ht="14.25" customHeight="1" x14ac:dyDescent="0.25">
      <c r="A8722" s="607"/>
      <c r="B8722" s="608"/>
      <c r="C8722" s="609"/>
      <c r="D8722" s="142"/>
      <c r="E8722" s="107"/>
      <c r="F8722" s="106"/>
      <c r="G8722" s="81"/>
      <c r="H8722" s="81"/>
      <c r="I8722" s="81"/>
      <c r="J8722" s="81"/>
      <c r="K8722" s="81"/>
      <c r="L8722" s="81"/>
      <c r="M8722" s="81"/>
      <c r="N8722" s="81"/>
    </row>
    <row r="8723" spans="1:14" ht="14.25" customHeight="1" x14ac:dyDescent="0.25">
      <c r="A8723" s="610"/>
      <c r="B8723" s="608"/>
      <c r="C8723" s="609"/>
      <c r="D8723" s="115"/>
      <c r="E8723" s="107"/>
      <c r="F8723" s="106"/>
      <c r="G8723" s="81"/>
      <c r="H8723" s="81"/>
      <c r="I8723" s="81"/>
      <c r="J8723" s="81"/>
      <c r="K8723" s="81"/>
      <c r="L8723" s="81"/>
      <c r="M8723" s="81"/>
      <c r="N8723" s="81"/>
    </row>
    <row r="8724" spans="1:14" ht="14.25" customHeight="1" x14ac:dyDescent="0.25">
      <c r="A8724" s="611" t="s">
        <v>548</v>
      </c>
      <c r="B8724" s="608"/>
      <c r="C8724" s="609"/>
      <c r="D8724" s="110"/>
      <c r="E8724" s="110"/>
      <c r="F8724" s="112">
        <f>SUM(F8719:F8722)</f>
        <v>3771.4349675397361</v>
      </c>
      <c r="G8724" s="81"/>
      <c r="H8724" s="81"/>
      <c r="I8724" s="81"/>
      <c r="J8724" s="81"/>
      <c r="K8724" s="81"/>
      <c r="L8724" s="81"/>
      <c r="M8724" s="81"/>
      <c r="N8724" s="81"/>
    </row>
    <row r="8725" spans="1:14" ht="14.25" customHeight="1" x14ac:dyDescent="0.25">
      <c r="A8725" s="88"/>
      <c r="B8725" s="88"/>
      <c r="C8725" s="89"/>
      <c r="D8725" s="113"/>
      <c r="E8725" s="113"/>
      <c r="F8725" s="113"/>
      <c r="G8725" s="81"/>
      <c r="H8725" s="81"/>
      <c r="I8725" s="81"/>
      <c r="J8725" s="81"/>
      <c r="K8725" s="81"/>
      <c r="L8725" s="81"/>
      <c r="M8725" s="81"/>
      <c r="N8725" s="81"/>
    </row>
    <row r="8726" spans="1:14" ht="14.25" customHeight="1" x14ac:dyDescent="0.25">
      <c r="A8726" s="96" t="s">
        <v>578</v>
      </c>
      <c r="B8726" s="96"/>
      <c r="C8726" s="92"/>
      <c r="D8726" s="118"/>
      <c r="E8726" s="118"/>
      <c r="F8726" s="118"/>
      <c r="G8726" s="81"/>
      <c r="H8726" s="81"/>
      <c r="I8726" s="81"/>
      <c r="J8726" s="81"/>
      <c r="K8726" s="81"/>
      <c r="L8726" s="81"/>
      <c r="M8726" s="81"/>
      <c r="N8726" s="81"/>
    </row>
    <row r="8727" spans="1:14" ht="14.25" customHeight="1" x14ac:dyDescent="0.25">
      <c r="A8727" s="119" t="s">
        <v>563</v>
      </c>
      <c r="B8727" s="120" t="s">
        <v>579</v>
      </c>
      <c r="C8727" s="120" t="s">
        <v>580</v>
      </c>
      <c r="D8727" s="121" t="s">
        <v>581</v>
      </c>
      <c r="E8727" s="121" t="s">
        <v>575</v>
      </c>
      <c r="F8727" s="121" t="s">
        <v>568</v>
      </c>
      <c r="G8727" s="81"/>
      <c r="H8727" s="81"/>
      <c r="I8727" s="81"/>
      <c r="J8727" s="81"/>
      <c r="K8727" s="81"/>
      <c r="L8727" s="81"/>
      <c r="M8727" s="81"/>
      <c r="N8727" s="81"/>
    </row>
    <row r="8728" spans="1:14" ht="14.25" customHeight="1" x14ac:dyDescent="0.25">
      <c r="A8728" s="122" t="s">
        <v>593</v>
      </c>
      <c r="B8728" s="127">
        <v>1</v>
      </c>
      <c r="C8728" s="101">
        <v>32688</v>
      </c>
      <c r="D8728" s="101">
        <f t="shared" ref="D8728:D8729" si="432">+C8728*1.7</f>
        <v>55569.599999999999</v>
      </c>
      <c r="E8728" s="107">
        <v>1.9208099999999999</v>
      </c>
      <c r="F8728" s="106">
        <f t="shared" ref="F8728:F8729" si="433">+B8728*(D8728)/E8728</f>
        <v>28930.295031783466</v>
      </c>
      <c r="G8728" s="81"/>
      <c r="H8728" s="81"/>
      <c r="I8728" s="81"/>
      <c r="J8728" s="81"/>
      <c r="K8728" s="81"/>
      <c r="L8728" s="81"/>
      <c r="M8728" s="81"/>
      <c r="N8728" s="81"/>
    </row>
    <row r="8729" spans="1:14" ht="14.25" customHeight="1" x14ac:dyDescent="0.25">
      <c r="A8729" s="122" t="s">
        <v>594</v>
      </c>
      <c r="B8729" s="127">
        <v>1</v>
      </c>
      <c r="C8729" s="101">
        <v>52538</v>
      </c>
      <c r="D8729" s="101">
        <f t="shared" si="432"/>
        <v>89314.599999999991</v>
      </c>
      <c r="E8729" s="107">
        <f>E8728</f>
        <v>1.9208099999999999</v>
      </c>
      <c r="F8729" s="106">
        <f t="shared" si="433"/>
        <v>46498.40431901125</v>
      </c>
      <c r="G8729" s="81"/>
      <c r="H8729" s="81"/>
      <c r="I8729" s="81"/>
      <c r="J8729" s="81"/>
      <c r="K8729" s="81"/>
      <c r="L8729" s="81"/>
      <c r="M8729" s="81"/>
      <c r="N8729" s="81"/>
    </row>
    <row r="8730" spans="1:14" ht="14.25" customHeight="1" x14ac:dyDescent="0.25">
      <c r="A8730" s="122"/>
      <c r="B8730" s="127"/>
      <c r="C8730" s="101"/>
      <c r="D8730" s="101"/>
      <c r="E8730" s="105"/>
      <c r="F8730" s="106"/>
      <c r="G8730" s="81"/>
      <c r="H8730" s="81"/>
      <c r="I8730" s="81"/>
      <c r="J8730" s="81"/>
      <c r="K8730" s="81"/>
      <c r="L8730" s="81"/>
      <c r="M8730" s="81"/>
      <c r="N8730" s="81"/>
    </row>
    <row r="8731" spans="1:14" ht="14.25" customHeight="1" x14ac:dyDescent="0.25">
      <c r="A8731" s="122"/>
      <c r="B8731" s="127"/>
      <c r="C8731" s="101"/>
      <c r="D8731" s="101"/>
      <c r="E8731" s="125"/>
      <c r="F8731" s="106"/>
      <c r="G8731" s="81"/>
      <c r="H8731" s="81"/>
      <c r="I8731" s="81"/>
      <c r="J8731" s="81"/>
      <c r="K8731" s="81"/>
      <c r="L8731" s="81"/>
      <c r="M8731" s="81"/>
      <c r="N8731" s="81"/>
    </row>
    <row r="8732" spans="1:14" ht="14.25" customHeight="1" x14ac:dyDescent="0.25">
      <c r="A8732" s="97" t="s">
        <v>548</v>
      </c>
      <c r="B8732" s="128"/>
      <c r="C8732" s="110"/>
      <c r="D8732" s="110"/>
      <c r="E8732" s="110"/>
      <c r="F8732" s="112">
        <f>SUM(F8728:F8731)</f>
        <v>75428.699350794719</v>
      </c>
      <c r="G8732" s="81"/>
      <c r="H8732" s="81"/>
      <c r="I8732" s="81"/>
      <c r="J8732" s="81"/>
      <c r="K8732" s="81"/>
      <c r="L8732" s="81"/>
      <c r="M8732" s="81"/>
      <c r="N8732" s="81"/>
    </row>
    <row r="8733" spans="1:14" ht="14.25" customHeight="1" x14ac:dyDescent="0.25">
      <c r="A8733" s="96"/>
      <c r="B8733" s="129"/>
      <c r="C8733" s="118"/>
      <c r="D8733" s="118"/>
      <c r="E8733" s="118"/>
      <c r="F8733" s="118"/>
      <c r="G8733" s="81"/>
      <c r="H8733" s="81"/>
      <c r="I8733" s="81"/>
      <c r="J8733" s="81"/>
      <c r="K8733" s="81"/>
      <c r="L8733" s="81"/>
      <c r="M8733" s="81"/>
      <c r="N8733" s="81"/>
    </row>
    <row r="8734" spans="1:14" ht="14.25" customHeight="1" x14ac:dyDescent="0.25">
      <c r="A8734" s="95" t="s">
        <v>583</v>
      </c>
      <c r="B8734" s="96"/>
      <c r="C8734" s="92"/>
      <c r="D8734" s="92"/>
      <c r="E8734" s="92" t="s">
        <v>584</v>
      </c>
      <c r="F8734" s="92"/>
      <c r="G8734" s="81"/>
      <c r="H8734" s="81"/>
      <c r="I8734" s="81"/>
      <c r="J8734" s="81"/>
      <c r="K8734" s="81"/>
      <c r="L8734" s="81"/>
      <c r="M8734" s="81"/>
      <c r="N8734" s="81"/>
    </row>
    <row r="8735" spans="1:14" ht="14.25" customHeight="1" x14ac:dyDescent="0.25">
      <c r="A8735" s="97" t="s">
        <v>563</v>
      </c>
      <c r="B8735" s="98" t="s">
        <v>564</v>
      </c>
      <c r="C8735" s="98" t="s">
        <v>585</v>
      </c>
      <c r="D8735" s="98" t="s">
        <v>586</v>
      </c>
      <c r="E8735" s="120" t="s">
        <v>587</v>
      </c>
      <c r="F8735" s="98" t="s">
        <v>568</v>
      </c>
      <c r="G8735" s="81"/>
      <c r="H8735" s="81"/>
      <c r="I8735" s="81"/>
      <c r="J8735" s="81"/>
      <c r="K8735" s="81"/>
      <c r="L8735" s="81"/>
      <c r="M8735" s="81"/>
      <c r="N8735" s="81"/>
    </row>
    <row r="8736" spans="1:14" ht="14.25" customHeight="1" x14ac:dyDescent="0.25">
      <c r="A8736" s="103"/>
      <c r="B8736" s="100"/>
      <c r="C8736" s="101"/>
      <c r="D8736" s="140"/>
      <c r="E8736" s="107"/>
      <c r="F8736" s="109"/>
      <c r="G8736" s="81"/>
      <c r="H8736" s="81"/>
      <c r="I8736" s="81"/>
      <c r="J8736" s="81"/>
      <c r="K8736" s="81"/>
      <c r="L8736" s="81"/>
      <c r="M8736" s="81"/>
      <c r="N8736" s="81"/>
    </row>
    <row r="8737" spans="1:14" ht="14.25" customHeight="1" x14ac:dyDescent="0.25">
      <c r="A8737" s="103"/>
      <c r="B8737" s="100"/>
      <c r="C8737" s="107"/>
      <c r="D8737" s="107"/>
      <c r="E8737" s="108"/>
      <c r="F8737" s="109"/>
      <c r="G8737" s="81"/>
      <c r="H8737" s="81"/>
      <c r="I8737" s="81"/>
      <c r="J8737" s="81"/>
      <c r="K8737" s="81"/>
      <c r="L8737" s="81"/>
      <c r="M8737" s="81"/>
      <c r="N8737" s="81"/>
    </row>
    <row r="8738" spans="1:14" ht="14.25" customHeight="1" x14ac:dyDescent="0.25">
      <c r="A8738" s="97" t="s">
        <v>548</v>
      </c>
      <c r="B8738" s="98"/>
      <c r="C8738" s="110"/>
      <c r="D8738" s="110"/>
      <c r="E8738" s="111"/>
      <c r="F8738" s="112">
        <f>SUM(F8736:F8737)</f>
        <v>0</v>
      </c>
      <c r="G8738" s="81"/>
      <c r="H8738" s="81"/>
      <c r="I8738" s="81"/>
      <c r="J8738" s="81"/>
      <c r="K8738" s="81"/>
      <c r="L8738" s="81"/>
      <c r="M8738" s="81"/>
      <c r="N8738" s="81"/>
    </row>
    <row r="8739" spans="1:14" ht="14.25" customHeight="1" x14ac:dyDescent="0.25">
      <c r="A8739" s="88"/>
      <c r="B8739" s="89"/>
      <c r="C8739" s="113"/>
      <c r="D8739" s="113"/>
      <c r="E8739" s="114"/>
      <c r="F8739" s="113"/>
      <c r="G8739" s="81"/>
      <c r="H8739" s="81"/>
      <c r="I8739" s="81"/>
      <c r="J8739" s="81"/>
      <c r="K8739" s="81"/>
      <c r="L8739" s="81"/>
      <c r="M8739" s="81"/>
      <c r="N8739" s="81"/>
    </row>
    <row r="8740" spans="1:14" ht="14.25" customHeight="1" x14ac:dyDescent="0.25">
      <c r="A8740" s="88"/>
      <c r="B8740" s="89"/>
      <c r="C8740" s="113"/>
      <c r="D8740" s="113"/>
      <c r="E8740" s="114"/>
      <c r="F8740" s="113"/>
      <c r="G8740" s="81"/>
      <c r="H8740" s="81"/>
      <c r="I8740" s="81"/>
      <c r="J8740" s="81"/>
      <c r="K8740" s="81"/>
      <c r="L8740" s="81"/>
      <c r="M8740" s="81"/>
      <c r="N8740" s="81"/>
    </row>
    <row r="8741" spans="1:14" ht="14.25" customHeight="1" x14ac:dyDescent="0.25">
      <c r="A8741" s="612" t="s">
        <v>588</v>
      </c>
      <c r="B8741" s="608"/>
      <c r="C8741" s="608"/>
      <c r="D8741" s="608"/>
      <c r="E8741" s="609"/>
      <c r="F8741" s="131">
        <f>ROUND(F8715+F8724+F8732+F8738,0)</f>
        <v>874800</v>
      </c>
      <c r="G8741" s="81"/>
      <c r="H8741" s="81"/>
      <c r="I8741" s="81"/>
      <c r="J8741" s="81"/>
      <c r="K8741" s="81"/>
      <c r="L8741" s="81"/>
      <c r="M8741" s="81"/>
      <c r="N8741" s="81"/>
    </row>
    <row r="8742" spans="1:14" ht="14.25" customHeight="1" x14ac:dyDescent="0.25">
      <c r="A8742" s="612" t="s">
        <v>589</v>
      </c>
      <c r="B8742" s="608"/>
      <c r="C8742" s="608"/>
      <c r="D8742" s="608"/>
      <c r="E8742" s="609"/>
      <c r="F8742" s="132"/>
      <c r="G8742" s="81"/>
      <c r="H8742" s="81"/>
      <c r="I8742" s="81"/>
      <c r="J8742" s="81"/>
      <c r="K8742" s="81"/>
      <c r="L8742" s="81"/>
      <c r="M8742" s="81"/>
      <c r="N8742" s="81"/>
    </row>
    <row r="8743" spans="1:14" ht="14.25" customHeight="1" x14ac:dyDescent="0.25">
      <c r="A8743" s="146" t="s">
        <v>556</v>
      </c>
      <c r="B8743" s="147"/>
      <c r="C8743" s="147"/>
      <c r="D8743" s="147"/>
      <c r="E8743" s="148"/>
      <c r="F8743" s="133"/>
      <c r="G8743" s="81"/>
      <c r="H8743" s="81"/>
      <c r="I8743" s="81"/>
      <c r="J8743" s="81"/>
      <c r="K8743" s="81"/>
      <c r="L8743" s="81"/>
      <c r="M8743" s="81"/>
      <c r="N8743" s="81"/>
    </row>
    <row r="8744" spans="1:14" ht="14.25" customHeight="1" x14ac:dyDescent="0.25">
      <c r="A8744" s="134"/>
      <c r="B8744" s="135"/>
      <c r="C8744" s="135"/>
      <c r="D8744" s="135"/>
      <c r="E8744" s="135"/>
      <c r="F8744" s="136"/>
      <c r="G8744" s="81"/>
      <c r="H8744" s="81"/>
      <c r="I8744" s="81"/>
      <c r="J8744" s="81"/>
      <c r="K8744" s="81"/>
      <c r="L8744" s="81"/>
      <c r="M8744" s="81"/>
      <c r="N8744" s="81"/>
    </row>
    <row r="8745" spans="1:14" ht="14.25" customHeight="1" x14ac:dyDescent="0.25">
      <c r="A8745" s="81"/>
      <c r="B8745" s="81"/>
      <c r="C8745" s="137"/>
      <c r="D8745" s="81"/>
      <c r="E8745" s="81"/>
      <c r="F8745" s="81"/>
      <c r="G8745" s="81"/>
      <c r="H8745" s="81"/>
      <c r="I8745" s="81"/>
      <c r="J8745" s="81"/>
      <c r="K8745" s="81"/>
      <c r="L8745" s="81"/>
      <c r="M8745" s="81"/>
      <c r="N8745" s="81"/>
    </row>
    <row r="8746" spans="1:14" ht="14.25" customHeight="1" x14ac:dyDescent="0.25">
      <c r="A8746" s="81"/>
      <c r="B8746" s="81"/>
      <c r="C8746" s="137"/>
      <c r="D8746" s="81"/>
      <c r="E8746" s="81"/>
      <c r="F8746" s="81"/>
      <c r="G8746" s="81"/>
      <c r="H8746" s="81"/>
      <c r="I8746" s="81"/>
      <c r="J8746" s="81"/>
      <c r="K8746" s="81"/>
      <c r="L8746" s="81"/>
      <c r="M8746" s="81"/>
      <c r="N8746" s="81"/>
    </row>
    <row r="8747" spans="1:14" ht="14.25" customHeight="1" x14ac:dyDescent="0.25">
      <c r="A8747" s="81"/>
      <c r="B8747" s="81"/>
      <c r="C8747" s="137"/>
      <c r="D8747" s="81"/>
      <c r="E8747" s="81"/>
      <c r="F8747" s="81"/>
      <c r="G8747" s="81"/>
      <c r="H8747" s="81"/>
      <c r="I8747" s="81"/>
      <c r="J8747" s="81"/>
      <c r="K8747" s="81"/>
      <c r="L8747" s="81"/>
      <c r="M8747" s="81"/>
      <c r="N8747" s="81"/>
    </row>
    <row r="8748" spans="1:14" ht="14.25" customHeight="1" x14ac:dyDescent="0.25">
      <c r="A8748" s="81"/>
      <c r="B8748" s="81"/>
      <c r="C8748" s="137"/>
      <c r="D8748" s="81"/>
      <c r="E8748" s="81"/>
      <c r="F8748" s="81"/>
      <c r="G8748" s="81"/>
      <c r="H8748" s="81"/>
      <c r="I8748" s="81"/>
      <c r="J8748" s="81"/>
      <c r="K8748" s="81"/>
      <c r="L8748" s="81"/>
      <c r="M8748" s="81"/>
      <c r="N8748" s="81"/>
    </row>
    <row r="8749" spans="1:14" ht="14.25" customHeight="1" x14ac:dyDescent="0.25">
      <c r="A8749" s="81"/>
      <c r="B8749" s="81"/>
      <c r="C8749" s="137"/>
      <c r="D8749" s="81"/>
      <c r="E8749" s="81"/>
      <c r="F8749" s="81"/>
      <c r="G8749" s="81"/>
      <c r="H8749" s="81"/>
      <c r="I8749" s="81"/>
      <c r="J8749" s="81"/>
      <c r="K8749" s="81"/>
      <c r="L8749" s="81"/>
      <c r="M8749" s="81"/>
      <c r="N8749" s="81"/>
    </row>
    <row r="8750" spans="1:14" ht="14.25" customHeight="1" x14ac:dyDescent="0.25">
      <c r="A8750" s="81"/>
      <c r="B8750" s="81"/>
      <c r="C8750" s="137"/>
      <c r="D8750" s="81"/>
      <c r="E8750" s="81"/>
      <c r="F8750" s="81"/>
      <c r="G8750" s="81"/>
      <c r="H8750" s="81"/>
      <c r="I8750" s="81"/>
      <c r="J8750" s="81"/>
      <c r="K8750" s="81"/>
      <c r="L8750" s="81"/>
      <c r="M8750" s="81"/>
      <c r="N8750" s="81"/>
    </row>
    <row r="8751" spans="1:14" ht="14.25" customHeight="1" x14ac:dyDescent="0.25">
      <c r="A8751" s="134"/>
      <c r="B8751" s="135"/>
      <c r="C8751" s="135"/>
      <c r="D8751" s="135"/>
      <c r="E8751" s="135"/>
      <c r="F8751" s="136"/>
      <c r="G8751" s="81"/>
      <c r="H8751" s="81"/>
      <c r="I8751" s="81"/>
      <c r="J8751" s="81"/>
      <c r="K8751" s="81"/>
      <c r="L8751" s="81"/>
      <c r="M8751" s="81"/>
      <c r="N8751" s="81"/>
    </row>
    <row r="8752" spans="1:14" ht="14.25" customHeight="1" x14ac:dyDescent="0.25">
      <c r="A8752" s="134"/>
      <c r="B8752" s="135"/>
      <c r="C8752" s="135"/>
      <c r="D8752" s="135"/>
      <c r="E8752" s="135"/>
      <c r="F8752" s="136"/>
      <c r="G8752" s="81"/>
      <c r="H8752" s="81"/>
      <c r="I8752" s="81"/>
      <c r="J8752" s="81"/>
      <c r="K8752" s="81"/>
      <c r="L8752" s="81"/>
      <c r="M8752" s="81"/>
      <c r="N8752" s="81"/>
    </row>
    <row r="8753" spans="1:14" ht="14.25" customHeight="1" x14ac:dyDescent="0.25">
      <c r="A8753" s="134"/>
      <c r="B8753" s="135"/>
      <c r="C8753" s="135"/>
      <c r="D8753" s="135"/>
      <c r="E8753" s="135"/>
      <c r="F8753" s="136"/>
      <c r="G8753" s="81"/>
      <c r="H8753" s="81"/>
      <c r="I8753" s="81"/>
      <c r="J8753" s="81"/>
      <c r="K8753" s="81"/>
      <c r="L8753" s="81"/>
      <c r="M8753" s="81"/>
      <c r="N8753" s="81"/>
    </row>
    <row r="8754" spans="1:14" ht="14.25" customHeight="1" thickBot="1" x14ac:dyDescent="0.3">
      <c r="A8754" s="81"/>
      <c r="B8754" s="81"/>
      <c r="C8754" s="81"/>
      <c r="D8754" s="81"/>
      <c r="E8754" s="81"/>
      <c r="F8754" s="81"/>
      <c r="G8754" s="81"/>
      <c r="H8754" s="81"/>
      <c r="I8754" s="81"/>
      <c r="J8754" s="81"/>
      <c r="K8754" s="81"/>
      <c r="L8754" s="81"/>
      <c r="M8754" s="81"/>
      <c r="N8754" s="81"/>
    </row>
    <row r="8755" spans="1:14" ht="14.25" customHeight="1" x14ac:dyDescent="0.25">
      <c r="A8755" s="83"/>
      <c r="B8755" s="84"/>
      <c r="C8755" s="85"/>
      <c r="D8755" s="86"/>
      <c r="E8755" s="86"/>
      <c r="F8755" s="87"/>
      <c r="G8755" s="81"/>
      <c r="H8755" s="81"/>
      <c r="I8755" s="81"/>
      <c r="J8755" s="81"/>
      <c r="K8755" s="81"/>
      <c r="L8755" s="81"/>
      <c r="M8755" s="81"/>
      <c r="N8755" s="81"/>
    </row>
    <row r="8756" spans="1:14" ht="14.25" customHeight="1" x14ac:dyDescent="0.25">
      <c r="A8756" s="599"/>
      <c r="B8756" s="600"/>
      <c r="C8756" s="600"/>
      <c r="D8756" s="600"/>
      <c r="E8756" s="600"/>
      <c r="F8756" s="601"/>
      <c r="G8756" s="81"/>
      <c r="H8756" s="117"/>
      <c r="I8756" s="81"/>
      <c r="J8756" s="81"/>
      <c r="K8756" s="81"/>
      <c r="L8756" s="81"/>
      <c r="M8756" s="81"/>
      <c r="N8756" s="81"/>
    </row>
    <row r="8757" spans="1:14" ht="14.25" customHeight="1" x14ac:dyDescent="0.25">
      <c r="A8757" s="602" t="s">
        <v>561</v>
      </c>
      <c r="B8757" s="600"/>
      <c r="C8757" s="600"/>
      <c r="D8757" s="600"/>
      <c r="E8757" s="600"/>
      <c r="F8757" s="601"/>
      <c r="G8757" s="81"/>
      <c r="H8757" s="81"/>
      <c r="I8757" s="81"/>
      <c r="J8757" s="81"/>
      <c r="K8757" s="81"/>
      <c r="L8757" s="81"/>
      <c r="M8757" s="81"/>
      <c r="N8757" s="81"/>
    </row>
    <row r="8758" spans="1:14" ht="14.25" customHeight="1" thickBot="1" x14ac:dyDescent="0.3">
      <c r="A8758" s="603"/>
      <c r="B8758" s="604"/>
      <c r="C8758" s="604"/>
      <c r="D8758" s="604"/>
      <c r="E8758" s="604"/>
      <c r="F8758" s="605"/>
      <c r="G8758" s="81"/>
      <c r="H8758" s="81"/>
      <c r="I8758" s="81"/>
      <c r="J8758" s="81"/>
      <c r="K8758" s="81"/>
      <c r="L8758" s="81"/>
      <c r="M8758" s="81"/>
      <c r="N8758" s="81"/>
    </row>
    <row r="8759" spans="1:14" ht="14.25" customHeight="1" x14ac:dyDescent="0.25">
      <c r="A8759" s="88"/>
      <c r="B8759" s="88"/>
      <c r="C8759" s="89"/>
      <c r="D8759" s="89"/>
      <c r="E8759" s="89"/>
      <c r="F8759" s="89"/>
      <c r="G8759" s="81"/>
      <c r="H8759" s="81"/>
      <c r="I8759" s="81"/>
      <c r="J8759" s="81"/>
      <c r="K8759" s="81"/>
      <c r="L8759" s="81"/>
      <c r="M8759" s="81"/>
      <c r="N8759" s="81"/>
    </row>
    <row r="8760" spans="1:14" ht="14.25" customHeight="1" x14ac:dyDescent="0.25">
      <c r="A8760" s="90" t="s">
        <v>47</v>
      </c>
      <c r="B8760" s="613" t="s">
        <v>832</v>
      </c>
      <c r="C8760" s="600"/>
      <c r="D8760" s="600"/>
      <c r="E8760" s="600"/>
      <c r="F8760" s="600"/>
      <c r="G8760" s="81"/>
      <c r="H8760" s="81"/>
      <c r="I8760" s="81"/>
      <c r="J8760" s="81"/>
      <c r="K8760" s="81"/>
      <c r="L8760" s="81"/>
      <c r="M8760" s="81"/>
      <c r="N8760" s="81"/>
    </row>
    <row r="8761" spans="1:14" ht="14.25" customHeight="1" x14ac:dyDescent="0.25">
      <c r="A8761" s="91"/>
      <c r="B8761" s="91"/>
      <c r="C8761" s="91"/>
      <c r="D8761" s="91"/>
      <c r="E8761" s="91"/>
      <c r="F8761" s="91"/>
      <c r="G8761" s="81"/>
      <c r="H8761" s="81"/>
      <c r="I8761" s="81"/>
      <c r="J8761" s="81"/>
      <c r="K8761" s="81"/>
      <c r="L8761" s="81"/>
      <c r="M8761" s="81"/>
      <c r="N8761" s="81"/>
    </row>
    <row r="8762" spans="1:14" ht="14.25" customHeight="1" x14ac:dyDescent="0.25">
      <c r="A8762" s="88" t="s">
        <v>49</v>
      </c>
      <c r="B8762" s="92" t="s">
        <v>99</v>
      </c>
      <c r="C8762" s="89"/>
      <c r="D8762" s="89"/>
      <c r="E8762" s="89"/>
      <c r="F8762" s="93"/>
      <c r="G8762" s="81"/>
      <c r="H8762" s="81"/>
      <c r="I8762" s="81"/>
      <c r="J8762" s="81"/>
      <c r="K8762" s="81"/>
      <c r="L8762" s="81"/>
      <c r="M8762" s="81"/>
      <c r="N8762" s="81"/>
    </row>
    <row r="8763" spans="1:14" ht="14.25" customHeight="1" x14ac:dyDescent="0.25">
      <c r="A8763" s="88"/>
      <c r="B8763" s="94"/>
      <c r="C8763" s="89"/>
      <c r="D8763" s="89"/>
      <c r="E8763" s="89"/>
      <c r="F8763" s="93"/>
      <c r="G8763" s="81"/>
      <c r="H8763" s="81"/>
      <c r="I8763" s="81"/>
      <c r="J8763" s="81"/>
      <c r="K8763" s="81"/>
      <c r="L8763" s="81"/>
      <c r="M8763" s="81"/>
      <c r="N8763" s="81"/>
    </row>
    <row r="8764" spans="1:14" ht="14.25" customHeight="1" x14ac:dyDescent="0.25">
      <c r="A8764" s="95" t="s">
        <v>562</v>
      </c>
      <c r="B8764" s="96"/>
      <c r="C8764" s="92"/>
      <c r="D8764" s="92"/>
      <c r="E8764" s="92"/>
      <c r="F8764" s="92"/>
      <c r="G8764" s="81"/>
      <c r="H8764" s="81"/>
      <c r="I8764" s="81"/>
      <c r="J8764" s="81"/>
      <c r="K8764" s="81"/>
      <c r="L8764" s="81"/>
      <c r="M8764" s="81"/>
      <c r="N8764" s="81"/>
    </row>
    <row r="8765" spans="1:14" ht="14.25" customHeight="1" x14ac:dyDescent="0.25">
      <c r="A8765" s="97" t="s">
        <v>563</v>
      </c>
      <c r="B8765" s="98" t="s">
        <v>564</v>
      </c>
      <c r="C8765" s="98" t="s">
        <v>565</v>
      </c>
      <c r="D8765" s="98" t="s">
        <v>566</v>
      </c>
      <c r="E8765" s="98" t="s">
        <v>567</v>
      </c>
      <c r="F8765" s="98" t="s">
        <v>568</v>
      </c>
      <c r="G8765" s="81"/>
      <c r="H8765" s="81"/>
      <c r="I8765" s="81"/>
      <c r="J8765" s="81"/>
      <c r="K8765" s="81"/>
      <c r="L8765" s="81"/>
      <c r="M8765" s="81"/>
      <c r="N8765" s="81"/>
    </row>
    <row r="8766" spans="1:14" ht="14.25" customHeight="1" x14ac:dyDescent="0.25">
      <c r="A8766" s="99" t="s">
        <v>833</v>
      </c>
      <c r="B8766" s="100" t="s">
        <v>99</v>
      </c>
      <c r="C8766" s="101">
        <v>925100</v>
      </c>
      <c r="D8766" s="149">
        <v>1</v>
      </c>
      <c r="E8766" s="102"/>
      <c r="F8766" s="101">
        <f>C8766*(D8766+(D8766*E8766))</f>
        <v>925100</v>
      </c>
      <c r="G8766" s="81"/>
      <c r="H8766" s="81"/>
      <c r="I8766" s="81"/>
      <c r="J8766" s="81"/>
      <c r="K8766" s="81"/>
      <c r="L8766" s="81"/>
      <c r="M8766" s="81"/>
      <c r="N8766" s="81"/>
    </row>
    <row r="8767" spans="1:14" ht="14.25" customHeight="1" x14ac:dyDescent="0.25">
      <c r="A8767" s="99"/>
      <c r="B8767" s="100"/>
      <c r="C8767" s="101"/>
      <c r="D8767" s="149"/>
      <c r="E8767" s="102"/>
      <c r="F8767" s="101"/>
      <c r="G8767" s="81"/>
      <c r="H8767" s="81"/>
      <c r="I8767" s="81"/>
      <c r="J8767" s="81"/>
      <c r="K8767" s="81"/>
      <c r="L8767" s="81"/>
      <c r="M8767" s="81"/>
      <c r="N8767" s="81"/>
    </row>
    <row r="8768" spans="1:14" ht="14.25" customHeight="1" x14ac:dyDescent="0.25">
      <c r="A8768" s="99"/>
      <c r="B8768" s="100"/>
      <c r="C8768" s="101"/>
      <c r="D8768" s="149"/>
      <c r="E8768" s="102"/>
      <c r="F8768" s="101"/>
      <c r="G8768" s="81"/>
      <c r="H8768" s="81"/>
      <c r="I8768" s="81"/>
      <c r="J8768" s="81"/>
      <c r="K8768" s="81"/>
      <c r="L8768" s="81"/>
      <c r="M8768" s="81"/>
      <c r="N8768" s="81"/>
    </row>
    <row r="8769" spans="1:14" ht="14.25" customHeight="1" x14ac:dyDescent="0.25">
      <c r="A8769" s="99"/>
      <c r="B8769" s="100"/>
      <c r="C8769" s="101"/>
      <c r="D8769" s="104"/>
      <c r="E8769" s="102"/>
      <c r="F8769" s="101"/>
      <c r="G8769" s="81"/>
      <c r="H8769" s="81"/>
      <c r="I8769" s="81"/>
      <c r="J8769" s="81"/>
      <c r="K8769" s="81"/>
      <c r="L8769" s="81"/>
      <c r="M8769" s="81"/>
      <c r="N8769" s="81"/>
    </row>
    <row r="8770" spans="1:14" ht="14.25" customHeight="1" x14ac:dyDescent="0.25">
      <c r="A8770" s="99"/>
      <c r="B8770" s="100"/>
      <c r="C8770" s="101"/>
      <c r="D8770" s="104"/>
      <c r="E8770" s="102"/>
      <c r="F8770" s="101"/>
      <c r="G8770" s="81"/>
      <c r="H8770" s="81"/>
      <c r="I8770" s="81"/>
      <c r="J8770" s="81"/>
      <c r="K8770" s="81"/>
      <c r="L8770" s="81"/>
      <c r="M8770" s="81"/>
      <c r="N8770" s="81"/>
    </row>
    <row r="8771" spans="1:14" ht="14.25" customHeight="1" x14ac:dyDescent="0.25">
      <c r="A8771" s="99"/>
      <c r="B8771" s="100"/>
      <c r="C8771" s="106"/>
      <c r="D8771" s="107"/>
      <c r="E8771" s="108"/>
      <c r="F8771" s="106"/>
      <c r="G8771" s="81"/>
      <c r="H8771" s="81"/>
      <c r="I8771" s="81"/>
      <c r="J8771" s="81"/>
      <c r="K8771" s="81"/>
      <c r="L8771" s="81"/>
      <c r="M8771" s="81"/>
      <c r="N8771" s="81"/>
    </row>
    <row r="8772" spans="1:14" ht="14.25" customHeight="1" x14ac:dyDescent="0.25">
      <c r="A8772" s="97" t="s">
        <v>548</v>
      </c>
      <c r="B8772" s="97"/>
      <c r="C8772" s="109"/>
      <c r="D8772" s="110"/>
      <c r="E8772" s="111"/>
      <c r="F8772" s="112">
        <f>SUM(F8766:F8771)</f>
        <v>925100</v>
      </c>
      <c r="G8772" s="81"/>
      <c r="H8772" s="81"/>
      <c r="I8772" s="81"/>
      <c r="J8772" s="81"/>
      <c r="K8772" s="81"/>
      <c r="L8772" s="81"/>
      <c r="M8772" s="81"/>
      <c r="N8772" s="81"/>
    </row>
    <row r="8773" spans="1:14" ht="14.25" customHeight="1" x14ac:dyDescent="0.25">
      <c r="A8773" s="88"/>
      <c r="B8773" s="88"/>
      <c r="C8773" s="113"/>
      <c r="D8773" s="113"/>
      <c r="E8773" s="114"/>
      <c r="F8773" s="113"/>
      <c r="G8773" s="81"/>
      <c r="H8773" s="81"/>
      <c r="I8773" s="81"/>
      <c r="J8773" s="81"/>
      <c r="K8773" s="81"/>
      <c r="L8773" s="81"/>
      <c r="M8773" s="81"/>
      <c r="N8773" s="81"/>
    </row>
    <row r="8774" spans="1:14" ht="14.25" customHeight="1" x14ac:dyDescent="0.25">
      <c r="A8774" s="96" t="s">
        <v>573</v>
      </c>
      <c r="B8774" s="96"/>
      <c r="C8774" s="92"/>
      <c r="D8774" s="92"/>
      <c r="E8774" s="92"/>
      <c r="F8774" s="92"/>
      <c r="G8774" s="81"/>
      <c r="H8774" s="81"/>
      <c r="I8774" s="81"/>
      <c r="J8774" s="81"/>
      <c r="K8774" s="81"/>
      <c r="L8774" s="81"/>
      <c r="M8774" s="81"/>
      <c r="N8774" s="81"/>
    </row>
    <row r="8775" spans="1:14" ht="14.25" customHeight="1" x14ac:dyDescent="0.25">
      <c r="A8775" s="611" t="s">
        <v>563</v>
      </c>
      <c r="B8775" s="608"/>
      <c r="C8775" s="609"/>
      <c r="D8775" s="98" t="s">
        <v>574</v>
      </c>
      <c r="E8775" s="98" t="s">
        <v>575</v>
      </c>
      <c r="F8775" s="98" t="s">
        <v>568</v>
      </c>
      <c r="G8775" s="81"/>
      <c r="H8775" s="81"/>
      <c r="I8775" s="81"/>
      <c r="J8775" s="81"/>
      <c r="K8775" s="81"/>
      <c r="L8775" s="81"/>
      <c r="M8775" s="81"/>
      <c r="N8775" s="81"/>
    </row>
    <row r="8776" spans="1:14" ht="14.25" customHeight="1" x14ac:dyDescent="0.25">
      <c r="A8776" s="607" t="s">
        <v>577</v>
      </c>
      <c r="B8776" s="608"/>
      <c r="C8776" s="609"/>
      <c r="D8776" s="116"/>
      <c r="E8776" s="107"/>
      <c r="F8776" s="106">
        <f>+F8789*5%</f>
        <v>4270.494122640509</v>
      </c>
      <c r="G8776" s="81"/>
      <c r="H8776" s="81"/>
      <c r="I8776" s="81"/>
      <c r="J8776" s="81"/>
      <c r="K8776" s="81"/>
      <c r="L8776" s="81"/>
      <c r="M8776" s="81"/>
      <c r="N8776" s="81"/>
    </row>
    <row r="8777" spans="1:14" ht="14.25" customHeight="1" x14ac:dyDescent="0.25">
      <c r="A8777" s="607"/>
      <c r="B8777" s="608"/>
      <c r="C8777" s="609"/>
      <c r="D8777" s="142"/>
      <c r="E8777" s="105"/>
      <c r="F8777" s="106"/>
      <c r="G8777" s="81"/>
      <c r="H8777" s="81"/>
      <c r="I8777" s="81"/>
      <c r="J8777" s="81"/>
      <c r="K8777" s="81"/>
      <c r="L8777" s="81"/>
      <c r="M8777" s="81"/>
      <c r="N8777" s="81"/>
    </row>
    <row r="8778" spans="1:14" ht="14.25" customHeight="1" x14ac:dyDescent="0.25">
      <c r="A8778" s="607"/>
      <c r="B8778" s="608"/>
      <c r="C8778" s="609"/>
      <c r="D8778" s="142"/>
      <c r="E8778" s="105"/>
      <c r="F8778" s="106"/>
      <c r="G8778" s="81"/>
      <c r="H8778" s="81"/>
      <c r="I8778" s="81"/>
      <c r="J8778" s="81"/>
      <c r="K8778" s="81"/>
      <c r="L8778" s="81"/>
      <c r="M8778" s="81"/>
      <c r="N8778" s="81"/>
    </row>
    <row r="8779" spans="1:14" ht="14.25" customHeight="1" x14ac:dyDescent="0.25">
      <c r="A8779" s="607"/>
      <c r="B8779" s="608"/>
      <c r="C8779" s="609"/>
      <c r="D8779" s="142"/>
      <c r="E8779" s="107"/>
      <c r="F8779" s="106"/>
      <c r="G8779" s="81"/>
      <c r="H8779" s="81"/>
      <c r="I8779" s="81"/>
      <c r="J8779" s="81"/>
      <c r="K8779" s="81"/>
      <c r="L8779" s="81"/>
      <c r="M8779" s="81"/>
      <c r="N8779" s="81"/>
    </row>
    <row r="8780" spans="1:14" ht="14.25" customHeight="1" x14ac:dyDescent="0.25">
      <c r="A8780" s="610"/>
      <c r="B8780" s="608"/>
      <c r="C8780" s="609"/>
      <c r="D8780" s="115"/>
      <c r="E8780" s="107"/>
      <c r="F8780" s="106"/>
      <c r="G8780" s="81"/>
      <c r="H8780" s="81"/>
      <c r="I8780" s="81"/>
      <c r="J8780" s="81"/>
      <c r="K8780" s="81"/>
      <c r="L8780" s="81"/>
      <c r="M8780" s="81"/>
      <c r="N8780" s="81"/>
    </row>
    <row r="8781" spans="1:14" ht="14.25" customHeight="1" x14ac:dyDescent="0.25">
      <c r="A8781" s="611" t="s">
        <v>548</v>
      </c>
      <c r="B8781" s="608"/>
      <c r="C8781" s="609"/>
      <c r="D8781" s="110"/>
      <c r="E8781" s="110"/>
      <c r="F8781" s="112">
        <f>SUM(F8776:F8779)</f>
        <v>4270.494122640509</v>
      </c>
      <c r="G8781" s="81"/>
      <c r="H8781" s="81"/>
      <c r="I8781" s="81"/>
      <c r="J8781" s="81"/>
      <c r="K8781" s="81"/>
      <c r="L8781" s="81"/>
      <c r="M8781" s="81"/>
      <c r="N8781" s="81"/>
    </row>
    <row r="8782" spans="1:14" ht="14.25" customHeight="1" x14ac:dyDescent="0.25">
      <c r="A8782" s="88"/>
      <c r="B8782" s="88"/>
      <c r="C8782" s="89"/>
      <c r="D8782" s="113"/>
      <c r="E8782" s="113"/>
      <c r="F8782" s="113"/>
      <c r="G8782" s="81"/>
      <c r="H8782" s="81"/>
      <c r="I8782" s="81"/>
      <c r="J8782" s="81"/>
      <c r="K8782" s="81"/>
      <c r="L8782" s="81"/>
      <c r="M8782" s="81"/>
      <c r="N8782" s="81"/>
    </row>
    <row r="8783" spans="1:14" ht="14.25" customHeight="1" x14ac:dyDescent="0.25">
      <c r="A8783" s="96" t="s">
        <v>578</v>
      </c>
      <c r="B8783" s="96"/>
      <c r="C8783" s="92"/>
      <c r="D8783" s="118"/>
      <c r="E8783" s="118"/>
      <c r="F8783" s="118"/>
      <c r="G8783" s="81"/>
      <c r="H8783" s="81"/>
      <c r="I8783" s="81"/>
      <c r="J8783" s="81"/>
      <c r="K8783" s="81"/>
      <c r="L8783" s="81"/>
      <c r="M8783" s="81"/>
      <c r="N8783" s="81"/>
    </row>
    <row r="8784" spans="1:14" ht="14.25" customHeight="1" x14ac:dyDescent="0.25">
      <c r="A8784" s="119" t="s">
        <v>563</v>
      </c>
      <c r="B8784" s="120" t="s">
        <v>579</v>
      </c>
      <c r="C8784" s="120" t="s">
        <v>580</v>
      </c>
      <c r="D8784" s="121" t="s">
        <v>581</v>
      </c>
      <c r="E8784" s="121" t="s">
        <v>575</v>
      </c>
      <c r="F8784" s="121" t="s">
        <v>568</v>
      </c>
      <c r="G8784" s="81"/>
      <c r="H8784" s="81"/>
      <c r="I8784" s="81"/>
      <c r="J8784" s="81"/>
      <c r="K8784" s="81"/>
      <c r="L8784" s="81"/>
      <c r="M8784" s="81"/>
      <c r="N8784" s="81"/>
    </row>
    <row r="8785" spans="1:14" ht="14.25" customHeight="1" x14ac:dyDescent="0.25">
      <c r="A8785" s="122" t="s">
        <v>593</v>
      </c>
      <c r="B8785" s="127">
        <v>1</v>
      </c>
      <c r="C8785" s="101">
        <v>32688</v>
      </c>
      <c r="D8785" s="101">
        <f t="shared" ref="D8785:D8786" si="434">+C8785*1.7</f>
        <v>55569.599999999999</v>
      </c>
      <c r="E8785" s="107">
        <v>1.69634</v>
      </c>
      <c r="F8785" s="106">
        <f t="shared" ref="F8785:F8786" si="435">+B8785*(D8785)/E8785</f>
        <v>32758.52718205077</v>
      </c>
      <c r="G8785" s="81"/>
      <c r="H8785" s="81"/>
      <c r="I8785" s="81"/>
      <c r="J8785" s="81"/>
      <c r="K8785" s="81"/>
      <c r="L8785" s="81"/>
      <c r="M8785" s="81"/>
      <c r="N8785" s="81"/>
    </row>
    <row r="8786" spans="1:14" ht="14.25" customHeight="1" x14ac:dyDescent="0.25">
      <c r="A8786" s="122" t="s">
        <v>594</v>
      </c>
      <c r="B8786" s="127">
        <v>1</v>
      </c>
      <c r="C8786" s="101">
        <v>52538</v>
      </c>
      <c r="D8786" s="101">
        <f t="shared" si="434"/>
        <v>89314.599999999991</v>
      </c>
      <c r="E8786" s="107">
        <f>E8785</f>
        <v>1.69634</v>
      </c>
      <c r="F8786" s="106">
        <f t="shared" si="435"/>
        <v>52651.355270759399</v>
      </c>
      <c r="G8786" s="81"/>
      <c r="H8786" s="81"/>
      <c r="I8786" s="81"/>
      <c r="J8786" s="81"/>
      <c r="K8786" s="81"/>
      <c r="L8786" s="81"/>
      <c r="M8786" s="81"/>
      <c r="N8786" s="81"/>
    </row>
    <row r="8787" spans="1:14" ht="14.25" customHeight="1" x14ac:dyDescent="0.25">
      <c r="A8787" s="122"/>
      <c r="B8787" s="127"/>
      <c r="C8787" s="101"/>
      <c r="D8787" s="101"/>
      <c r="E8787" s="105"/>
      <c r="F8787" s="106"/>
      <c r="G8787" s="81"/>
      <c r="H8787" s="81"/>
      <c r="I8787" s="81"/>
      <c r="J8787" s="81"/>
      <c r="K8787" s="81"/>
      <c r="L8787" s="81"/>
      <c r="M8787" s="81"/>
      <c r="N8787" s="81"/>
    </row>
    <row r="8788" spans="1:14" ht="14.25" customHeight="1" x14ac:dyDescent="0.25">
      <c r="A8788" s="122"/>
      <c r="B8788" s="127"/>
      <c r="C8788" s="101"/>
      <c r="D8788" s="101"/>
      <c r="E8788" s="125"/>
      <c r="F8788" s="106"/>
      <c r="G8788" s="81"/>
      <c r="H8788" s="81"/>
      <c r="I8788" s="81"/>
      <c r="J8788" s="81"/>
      <c r="K8788" s="81"/>
      <c r="L8788" s="81"/>
      <c r="M8788" s="81"/>
      <c r="N8788" s="81"/>
    </row>
    <row r="8789" spans="1:14" ht="14.25" customHeight="1" x14ac:dyDescent="0.25">
      <c r="A8789" s="97" t="s">
        <v>548</v>
      </c>
      <c r="B8789" s="128"/>
      <c r="C8789" s="110"/>
      <c r="D8789" s="110"/>
      <c r="E8789" s="110"/>
      <c r="F8789" s="112">
        <f>SUM(F8785:F8788)</f>
        <v>85409.882452810169</v>
      </c>
      <c r="G8789" s="81"/>
      <c r="H8789" s="81"/>
      <c r="I8789" s="81"/>
      <c r="J8789" s="81"/>
      <c r="K8789" s="81"/>
      <c r="L8789" s="81"/>
      <c r="M8789" s="81"/>
      <c r="N8789" s="81"/>
    </row>
    <row r="8790" spans="1:14" ht="14.25" customHeight="1" x14ac:dyDescent="0.25">
      <c r="A8790" s="96"/>
      <c r="B8790" s="129"/>
      <c r="C8790" s="118"/>
      <c r="D8790" s="118"/>
      <c r="E8790" s="118"/>
      <c r="F8790" s="118"/>
      <c r="G8790" s="81"/>
      <c r="H8790" s="81"/>
      <c r="I8790" s="81"/>
      <c r="J8790" s="81"/>
      <c r="K8790" s="81"/>
      <c r="L8790" s="81"/>
      <c r="M8790" s="81"/>
      <c r="N8790" s="81"/>
    </row>
    <row r="8791" spans="1:14" ht="14.25" customHeight="1" x14ac:dyDescent="0.25">
      <c r="A8791" s="95" t="s">
        <v>583</v>
      </c>
      <c r="B8791" s="96"/>
      <c r="C8791" s="92"/>
      <c r="D8791" s="92"/>
      <c r="E8791" s="92" t="s">
        <v>584</v>
      </c>
      <c r="F8791" s="92"/>
      <c r="G8791" s="81"/>
      <c r="H8791" s="81"/>
      <c r="I8791" s="81"/>
      <c r="J8791" s="81"/>
      <c r="K8791" s="81"/>
      <c r="L8791" s="81"/>
      <c r="M8791" s="81"/>
      <c r="N8791" s="81"/>
    </row>
    <row r="8792" spans="1:14" ht="14.25" customHeight="1" x14ac:dyDescent="0.25">
      <c r="A8792" s="97" t="s">
        <v>563</v>
      </c>
      <c r="B8792" s="98" t="s">
        <v>564</v>
      </c>
      <c r="C8792" s="98" t="s">
        <v>585</v>
      </c>
      <c r="D8792" s="98" t="s">
        <v>586</v>
      </c>
      <c r="E8792" s="120" t="s">
        <v>587</v>
      </c>
      <c r="F8792" s="98" t="s">
        <v>568</v>
      </c>
      <c r="G8792" s="81"/>
      <c r="H8792" s="81"/>
      <c r="I8792" s="81"/>
      <c r="J8792" s="81"/>
      <c r="K8792" s="81"/>
      <c r="L8792" s="81"/>
      <c r="M8792" s="81"/>
      <c r="N8792" s="81"/>
    </row>
    <row r="8793" spans="1:14" ht="14.25" customHeight="1" x14ac:dyDescent="0.25">
      <c r="A8793" s="103"/>
      <c r="B8793" s="100"/>
      <c r="C8793" s="101"/>
      <c r="D8793" s="140"/>
      <c r="E8793" s="107"/>
      <c r="F8793" s="109"/>
      <c r="G8793" s="81"/>
      <c r="H8793" s="81"/>
      <c r="I8793" s="81"/>
      <c r="J8793" s="81"/>
      <c r="K8793" s="81"/>
      <c r="L8793" s="81"/>
      <c r="M8793" s="81"/>
      <c r="N8793" s="81"/>
    </row>
    <row r="8794" spans="1:14" ht="14.25" customHeight="1" x14ac:dyDescent="0.25">
      <c r="A8794" s="103"/>
      <c r="B8794" s="100"/>
      <c r="C8794" s="107"/>
      <c r="D8794" s="107"/>
      <c r="E8794" s="108"/>
      <c r="F8794" s="109"/>
      <c r="G8794" s="81"/>
      <c r="H8794" s="81"/>
      <c r="I8794" s="81"/>
      <c r="J8794" s="81"/>
      <c r="K8794" s="81"/>
      <c r="L8794" s="81"/>
      <c r="M8794" s="81"/>
      <c r="N8794" s="81"/>
    </row>
    <row r="8795" spans="1:14" ht="14.25" customHeight="1" x14ac:dyDescent="0.25">
      <c r="A8795" s="97" t="s">
        <v>548</v>
      </c>
      <c r="B8795" s="98"/>
      <c r="C8795" s="110"/>
      <c r="D8795" s="110"/>
      <c r="E8795" s="111"/>
      <c r="F8795" s="112">
        <f>SUM(F8793:F8794)</f>
        <v>0</v>
      </c>
      <c r="G8795" s="81"/>
      <c r="H8795" s="81"/>
      <c r="I8795" s="81"/>
      <c r="J8795" s="81"/>
      <c r="K8795" s="81"/>
      <c r="L8795" s="81"/>
      <c r="M8795" s="81"/>
      <c r="N8795" s="81"/>
    </row>
    <row r="8796" spans="1:14" ht="14.25" customHeight="1" x14ac:dyDescent="0.25">
      <c r="A8796" s="88"/>
      <c r="B8796" s="89"/>
      <c r="C8796" s="113"/>
      <c r="D8796" s="113"/>
      <c r="E8796" s="114"/>
      <c r="F8796" s="113"/>
      <c r="G8796" s="81"/>
      <c r="H8796" s="81"/>
      <c r="I8796" s="81"/>
      <c r="J8796" s="81"/>
      <c r="K8796" s="81"/>
      <c r="L8796" s="81"/>
      <c r="M8796" s="81"/>
      <c r="N8796" s="81"/>
    </row>
    <row r="8797" spans="1:14" ht="14.25" customHeight="1" x14ac:dyDescent="0.25">
      <c r="A8797" s="88"/>
      <c r="B8797" s="89"/>
      <c r="C8797" s="113"/>
      <c r="D8797" s="113"/>
      <c r="E8797" s="114"/>
      <c r="F8797" s="113"/>
      <c r="G8797" s="81"/>
      <c r="H8797" s="81"/>
      <c r="I8797" s="81"/>
      <c r="J8797" s="81"/>
      <c r="K8797" s="81"/>
      <c r="L8797" s="81"/>
      <c r="M8797" s="81"/>
      <c r="N8797" s="81"/>
    </row>
    <row r="8798" spans="1:14" ht="14.25" customHeight="1" x14ac:dyDescent="0.25">
      <c r="A8798" s="612" t="s">
        <v>588</v>
      </c>
      <c r="B8798" s="608"/>
      <c r="C8798" s="608"/>
      <c r="D8798" s="608"/>
      <c r="E8798" s="609"/>
      <c r="F8798" s="131">
        <f>ROUND(F8772+F8781+F8789+F8795,0)</f>
        <v>1014780</v>
      </c>
      <c r="G8798" s="81"/>
      <c r="H8798" s="81"/>
      <c r="I8798" s="81"/>
      <c r="J8798" s="81"/>
      <c r="K8798" s="81"/>
      <c r="L8798" s="81"/>
      <c r="M8798" s="81"/>
      <c r="N8798" s="81"/>
    </row>
    <row r="8799" spans="1:14" ht="14.25" customHeight="1" x14ac:dyDescent="0.25">
      <c r="A8799" s="612" t="s">
        <v>589</v>
      </c>
      <c r="B8799" s="608"/>
      <c r="C8799" s="608"/>
      <c r="D8799" s="608"/>
      <c r="E8799" s="609"/>
      <c r="F8799" s="132"/>
      <c r="G8799" s="81"/>
      <c r="H8799" s="81"/>
      <c r="I8799" s="81"/>
      <c r="J8799" s="81"/>
      <c r="K8799" s="81"/>
      <c r="L8799" s="81"/>
      <c r="M8799" s="81"/>
      <c r="N8799" s="81"/>
    </row>
    <row r="8800" spans="1:14" ht="14.25" customHeight="1" x14ac:dyDescent="0.25">
      <c r="A8800" s="146" t="s">
        <v>556</v>
      </c>
      <c r="B8800" s="147"/>
      <c r="C8800" s="147"/>
      <c r="D8800" s="147"/>
      <c r="E8800" s="148"/>
      <c r="F8800" s="133"/>
      <c r="G8800" s="81"/>
      <c r="H8800" s="81"/>
      <c r="I8800" s="81"/>
      <c r="J8800" s="81"/>
      <c r="K8800" s="81"/>
      <c r="L8800" s="81"/>
      <c r="M8800" s="81"/>
      <c r="N8800" s="81"/>
    </row>
    <row r="8801" spans="1:14" ht="14.25" customHeight="1" x14ac:dyDescent="0.25">
      <c r="A8801" s="134"/>
      <c r="B8801" s="135"/>
      <c r="C8801" s="135"/>
      <c r="D8801" s="135"/>
      <c r="E8801" s="135"/>
      <c r="F8801" s="136"/>
      <c r="G8801" s="81"/>
      <c r="H8801" s="81"/>
      <c r="I8801" s="81"/>
      <c r="J8801" s="81"/>
      <c r="K8801" s="81"/>
      <c r="L8801" s="81"/>
      <c r="M8801" s="81"/>
      <c r="N8801" s="81"/>
    </row>
    <row r="8802" spans="1:14" ht="14.25" customHeight="1" x14ac:dyDescent="0.25">
      <c r="A8802" s="81"/>
      <c r="B8802" s="81"/>
      <c r="C8802" s="137"/>
      <c r="D8802" s="81"/>
      <c r="E8802" s="81"/>
      <c r="F8802" s="81"/>
      <c r="G8802" s="81"/>
      <c r="H8802" s="81"/>
      <c r="I8802" s="81"/>
      <c r="J8802" s="81"/>
      <c r="K8802" s="81"/>
      <c r="L8802" s="81"/>
      <c r="M8802" s="81"/>
      <c r="N8802" s="81"/>
    </row>
    <row r="8803" spans="1:14" ht="14.25" customHeight="1" x14ac:dyDescent="0.25">
      <c r="A8803" s="81"/>
      <c r="B8803" s="81"/>
      <c r="C8803" s="137"/>
      <c r="D8803" s="81"/>
      <c r="E8803" s="81"/>
      <c r="F8803" s="81"/>
      <c r="G8803" s="81"/>
      <c r="H8803" s="81"/>
      <c r="I8803" s="81"/>
      <c r="J8803" s="81"/>
      <c r="K8803" s="81"/>
      <c r="L8803" s="81"/>
      <c r="M8803" s="81"/>
      <c r="N8803" s="81"/>
    </row>
    <row r="8804" spans="1:14" ht="14.25" customHeight="1" x14ac:dyDescent="0.25">
      <c r="A8804" s="81"/>
      <c r="B8804" s="81"/>
      <c r="C8804" s="137"/>
      <c r="D8804" s="81"/>
      <c r="E8804" s="81"/>
      <c r="F8804" s="81"/>
      <c r="G8804" s="81"/>
      <c r="H8804" s="81"/>
      <c r="I8804" s="81"/>
      <c r="J8804" s="81"/>
      <c r="K8804" s="81"/>
      <c r="L8804" s="81"/>
      <c r="M8804" s="81"/>
      <c r="N8804" s="81"/>
    </row>
    <row r="8805" spans="1:14" ht="14.25" customHeight="1" x14ac:dyDescent="0.25">
      <c r="A8805" s="81"/>
      <c r="B8805" s="81"/>
      <c r="C8805" s="137"/>
      <c r="D8805" s="81"/>
      <c r="E8805" s="81"/>
      <c r="F8805" s="81"/>
      <c r="G8805" s="81"/>
      <c r="H8805" s="81"/>
      <c r="I8805" s="81"/>
      <c r="J8805" s="81"/>
      <c r="K8805" s="81"/>
      <c r="L8805" s="81"/>
      <c r="M8805" s="81"/>
      <c r="N8805" s="81"/>
    </row>
    <row r="8806" spans="1:14" ht="14.25" customHeight="1" x14ac:dyDescent="0.25">
      <c r="A8806" s="81"/>
      <c r="B8806" s="81"/>
      <c r="C8806" s="137"/>
      <c r="D8806" s="81"/>
      <c r="E8806" s="81"/>
      <c r="F8806" s="81"/>
      <c r="G8806" s="81"/>
      <c r="H8806" s="81"/>
      <c r="I8806" s="81"/>
      <c r="J8806" s="81"/>
      <c r="K8806" s="81"/>
      <c r="L8806" s="81"/>
      <c r="M8806" s="81"/>
      <c r="N8806" s="81"/>
    </row>
    <row r="8807" spans="1:14" ht="14.25" customHeight="1" x14ac:dyDescent="0.25">
      <c r="A8807" s="81"/>
      <c r="B8807" s="81"/>
      <c r="C8807" s="137"/>
      <c r="D8807" s="81"/>
      <c r="E8807" s="81"/>
      <c r="F8807" s="81"/>
      <c r="G8807" s="81"/>
      <c r="H8807" s="81"/>
      <c r="I8807" s="81"/>
      <c r="J8807" s="81"/>
      <c r="K8807" s="81"/>
      <c r="L8807" s="81"/>
      <c r="M8807" s="81"/>
      <c r="N8807" s="81"/>
    </row>
    <row r="8808" spans="1:14" ht="14.25" customHeight="1" x14ac:dyDescent="0.25">
      <c r="A8808" s="134"/>
      <c r="B8808" s="135"/>
      <c r="C8808" s="135"/>
      <c r="D8808" s="135"/>
      <c r="E8808" s="135"/>
      <c r="F8808" s="136"/>
      <c r="G8808" s="81"/>
      <c r="H8808" s="81"/>
      <c r="I8808" s="81"/>
      <c r="J8808" s="81"/>
      <c r="K8808" s="81"/>
      <c r="L8808" s="81"/>
      <c r="M8808" s="81"/>
      <c r="N8808" s="81"/>
    </row>
    <row r="8809" spans="1:14" ht="14.25" customHeight="1" x14ac:dyDescent="0.25">
      <c r="A8809" s="134"/>
      <c r="B8809" s="135"/>
      <c r="C8809" s="135"/>
      <c r="D8809" s="135"/>
      <c r="E8809" s="135"/>
      <c r="F8809" s="136"/>
      <c r="G8809" s="81"/>
      <c r="H8809" s="81"/>
      <c r="I8809" s="81"/>
      <c r="J8809" s="81"/>
      <c r="K8809" s="81"/>
      <c r="L8809" s="81"/>
      <c r="M8809" s="81"/>
      <c r="N8809" s="81"/>
    </row>
    <row r="8810" spans="1:14" ht="14.25" customHeight="1" x14ac:dyDescent="0.25">
      <c r="A8810" s="134"/>
      <c r="B8810" s="135"/>
      <c r="C8810" s="135"/>
      <c r="D8810" s="135"/>
      <c r="E8810" s="135"/>
      <c r="F8810" s="136"/>
      <c r="G8810" s="81"/>
      <c r="H8810" s="81"/>
      <c r="I8810" s="81"/>
      <c r="J8810" s="81"/>
      <c r="K8810" s="81"/>
      <c r="L8810" s="81"/>
      <c r="M8810" s="81"/>
      <c r="N8810" s="81"/>
    </row>
    <row r="8811" spans="1:14" ht="14.25" customHeight="1" thickBot="1" x14ac:dyDescent="0.3">
      <c r="A8811" s="81"/>
      <c r="B8811" s="81"/>
      <c r="C8811" s="81"/>
      <c r="D8811" s="81"/>
      <c r="E8811" s="81"/>
      <c r="F8811" s="81"/>
      <c r="G8811" s="81"/>
      <c r="H8811" s="81"/>
      <c r="I8811" s="81"/>
      <c r="J8811" s="81"/>
      <c r="K8811" s="81"/>
      <c r="L8811" s="81"/>
      <c r="M8811" s="81"/>
      <c r="N8811" s="81"/>
    </row>
    <row r="8812" spans="1:14" ht="14.25" customHeight="1" x14ac:dyDescent="0.25">
      <c r="A8812" s="83"/>
      <c r="B8812" s="84"/>
      <c r="C8812" s="85"/>
      <c r="D8812" s="86"/>
      <c r="E8812" s="86"/>
      <c r="F8812" s="87"/>
      <c r="G8812" s="81"/>
      <c r="H8812" s="81"/>
      <c r="I8812" s="81"/>
      <c r="J8812" s="81"/>
      <c r="K8812" s="81"/>
      <c r="L8812" s="81"/>
      <c r="M8812" s="81"/>
      <c r="N8812" s="81"/>
    </row>
    <row r="8813" spans="1:14" ht="14.25" customHeight="1" x14ac:dyDescent="0.25">
      <c r="A8813" s="599"/>
      <c r="B8813" s="600"/>
      <c r="C8813" s="600"/>
      <c r="D8813" s="600"/>
      <c r="E8813" s="600"/>
      <c r="F8813" s="601"/>
      <c r="G8813" s="81"/>
      <c r="H8813" s="81"/>
      <c r="I8813" s="81"/>
      <c r="J8813" s="81"/>
      <c r="K8813" s="81"/>
      <c r="L8813" s="81"/>
      <c r="M8813" s="81"/>
      <c r="N8813" s="81"/>
    </row>
    <row r="8814" spans="1:14" ht="14.25" customHeight="1" x14ac:dyDescent="0.25">
      <c r="A8814" s="602" t="s">
        <v>561</v>
      </c>
      <c r="B8814" s="600"/>
      <c r="C8814" s="600"/>
      <c r="D8814" s="600"/>
      <c r="E8814" s="600"/>
      <c r="F8814" s="601"/>
      <c r="G8814" s="81"/>
      <c r="H8814" s="81"/>
      <c r="I8814" s="81"/>
      <c r="J8814" s="81"/>
      <c r="K8814" s="81"/>
      <c r="L8814" s="81"/>
      <c r="M8814" s="81"/>
      <c r="N8814" s="81"/>
    </row>
    <row r="8815" spans="1:14" ht="14.25" customHeight="1" thickBot="1" x14ac:dyDescent="0.3">
      <c r="A8815" s="603"/>
      <c r="B8815" s="604"/>
      <c r="C8815" s="604"/>
      <c r="D8815" s="604"/>
      <c r="E8815" s="604"/>
      <c r="F8815" s="605"/>
      <c r="G8815" s="81"/>
      <c r="H8815" s="81"/>
      <c r="I8815" s="81"/>
      <c r="J8815" s="81"/>
      <c r="K8815" s="81"/>
      <c r="L8815" s="81"/>
      <c r="M8815" s="81"/>
      <c r="N8815" s="81"/>
    </row>
    <row r="8816" spans="1:14" ht="14.25" customHeight="1" x14ac:dyDescent="0.25">
      <c r="A8816" s="88"/>
      <c r="B8816" s="88"/>
      <c r="C8816" s="89"/>
      <c r="D8816" s="89"/>
      <c r="E8816" s="89"/>
      <c r="F8816" s="89"/>
      <c r="G8816" s="81"/>
      <c r="H8816" s="81"/>
      <c r="I8816" s="81"/>
      <c r="J8816" s="81"/>
      <c r="K8816" s="81"/>
      <c r="L8816" s="81"/>
      <c r="M8816" s="81"/>
      <c r="N8816" s="81"/>
    </row>
    <row r="8817" spans="1:14" ht="14.25" customHeight="1" x14ac:dyDescent="0.25">
      <c r="A8817" s="90" t="s">
        <v>47</v>
      </c>
      <c r="B8817" s="613" t="s">
        <v>834</v>
      </c>
      <c r="C8817" s="600"/>
      <c r="D8817" s="600"/>
      <c r="E8817" s="600"/>
      <c r="F8817" s="600"/>
      <c r="G8817" s="81"/>
      <c r="H8817" s="117"/>
      <c r="I8817" s="81"/>
      <c r="J8817" s="81"/>
      <c r="K8817" s="81"/>
      <c r="L8817" s="81"/>
      <c r="M8817" s="81"/>
      <c r="N8817" s="81"/>
    </row>
    <row r="8818" spans="1:14" ht="14.25" customHeight="1" x14ac:dyDescent="0.25">
      <c r="A8818" s="91"/>
      <c r="B8818" s="91"/>
      <c r="C8818" s="91"/>
      <c r="D8818" s="91"/>
      <c r="E8818" s="91"/>
      <c r="F8818" s="91"/>
      <c r="G8818" s="81"/>
      <c r="H8818" s="81"/>
      <c r="I8818" s="81"/>
      <c r="J8818" s="81"/>
      <c r="K8818" s="81"/>
      <c r="L8818" s="81"/>
      <c r="M8818" s="81"/>
      <c r="N8818" s="81"/>
    </row>
    <row r="8819" spans="1:14" ht="14.25" customHeight="1" x14ac:dyDescent="0.25">
      <c r="A8819" s="88" t="s">
        <v>49</v>
      </c>
      <c r="B8819" s="92" t="s">
        <v>99</v>
      </c>
      <c r="C8819" s="89"/>
      <c r="D8819" s="89"/>
      <c r="E8819" s="89"/>
      <c r="F8819" s="93"/>
      <c r="G8819" s="81"/>
      <c r="H8819" s="81"/>
      <c r="I8819" s="81"/>
      <c r="J8819" s="81"/>
      <c r="K8819" s="81"/>
      <c r="L8819" s="81"/>
      <c r="M8819" s="81"/>
      <c r="N8819" s="81"/>
    </row>
    <row r="8820" spans="1:14" ht="14.25" customHeight="1" x14ac:dyDescent="0.25">
      <c r="A8820" s="88"/>
      <c r="B8820" s="94"/>
      <c r="C8820" s="89"/>
      <c r="D8820" s="89"/>
      <c r="E8820" s="89"/>
      <c r="F8820" s="93"/>
      <c r="G8820" s="81"/>
      <c r="H8820" s="81"/>
      <c r="I8820" s="81"/>
      <c r="J8820" s="81"/>
      <c r="K8820" s="81"/>
      <c r="L8820" s="81"/>
      <c r="M8820" s="81"/>
      <c r="N8820" s="81"/>
    </row>
    <row r="8821" spans="1:14" ht="14.25" customHeight="1" x14ac:dyDescent="0.25">
      <c r="A8821" s="95" t="s">
        <v>562</v>
      </c>
      <c r="B8821" s="96"/>
      <c r="C8821" s="92"/>
      <c r="D8821" s="92"/>
      <c r="E8821" s="92"/>
      <c r="F8821" s="92"/>
      <c r="G8821" s="81"/>
      <c r="H8821" s="143"/>
      <c r="I8821" s="81"/>
      <c r="J8821" s="81"/>
      <c r="K8821" s="81"/>
      <c r="L8821" s="81"/>
      <c r="M8821" s="81"/>
      <c r="N8821" s="81"/>
    </row>
    <row r="8822" spans="1:14" ht="14.25" customHeight="1" x14ac:dyDescent="0.25">
      <c r="A8822" s="97" t="s">
        <v>563</v>
      </c>
      <c r="B8822" s="98" t="s">
        <v>564</v>
      </c>
      <c r="C8822" s="98" t="s">
        <v>565</v>
      </c>
      <c r="D8822" s="98" t="s">
        <v>566</v>
      </c>
      <c r="E8822" s="98" t="s">
        <v>567</v>
      </c>
      <c r="F8822" s="98" t="s">
        <v>568</v>
      </c>
      <c r="G8822" s="81"/>
      <c r="H8822" s="81"/>
      <c r="I8822" s="81"/>
      <c r="J8822" s="81"/>
      <c r="K8822" s="81"/>
      <c r="L8822" s="81"/>
      <c r="M8822" s="81"/>
      <c r="N8822" s="81"/>
    </row>
    <row r="8823" spans="1:14" ht="14.25" customHeight="1" x14ac:dyDescent="0.25">
      <c r="A8823" s="99" t="s">
        <v>835</v>
      </c>
      <c r="B8823" s="100" t="s">
        <v>99</v>
      </c>
      <c r="C8823" s="101">
        <v>914720</v>
      </c>
      <c r="D8823" s="149">
        <v>1</v>
      </c>
      <c r="E8823" s="102"/>
      <c r="F8823" s="101">
        <f>C8823*(D8823+(D8823*E8823))</f>
        <v>914720</v>
      </c>
      <c r="G8823" s="81"/>
      <c r="H8823" s="81"/>
      <c r="I8823" s="81"/>
      <c r="J8823" s="81"/>
      <c r="K8823" s="81"/>
      <c r="L8823" s="81"/>
      <c r="M8823" s="81"/>
      <c r="N8823" s="81"/>
    </row>
    <row r="8824" spans="1:14" ht="14.25" customHeight="1" x14ac:dyDescent="0.25">
      <c r="A8824" s="99"/>
      <c r="B8824" s="100"/>
      <c r="C8824" s="101"/>
      <c r="D8824" s="149"/>
      <c r="E8824" s="102"/>
      <c r="F8824" s="101"/>
      <c r="G8824" s="81"/>
      <c r="H8824" s="81"/>
      <c r="I8824" s="81"/>
      <c r="J8824" s="81"/>
      <c r="K8824" s="81"/>
      <c r="L8824" s="81"/>
      <c r="M8824" s="81"/>
      <c r="N8824" s="81"/>
    </row>
    <row r="8825" spans="1:14" ht="14.25" customHeight="1" x14ac:dyDescent="0.25">
      <c r="A8825" s="99"/>
      <c r="B8825" s="100"/>
      <c r="C8825" s="101"/>
      <c r="D8825" s="149"/>
      <c r="E8825" s="102"/>
      <c r="F8825" s="101"/>
      <c r="G8825" s="81"/>
      <c r="H8825" s="81"/>
      <c r="I8825" s="81"/>
      <c r="J8825" s="81"/>
      <c r="K8825" s="81"/>
      <c r="L8825" s="81"/>
      <c r="M8825" s="81"/>
      <c r="N8825" s="81"/>
    </row>
    <row r="8826" spans="1:14" ht="14.25" customHeight="1" x14ac:dyDescent="0.25">
      <c r="A8826" s="99"/>
      <c r="B8826" s="100"/>
      <c r="C8826" s="101"/>
      <c r="D8826" s="104"/>
      <c r="E8826" s="102"/>
      <c r="F8826" s="101"/>
      <c r="G8826" s="81"/>
      <c r="H8826" s="81"/>
      <c r="I8826" s="81"/>
      <c r="J8826" s="81"/>
      <c r="K8826" s="81"/>
      <c r="L8826" s="81"/>
      <c r="M8826" s="81"/>
      <c r="N8826" s="81"/>
    </row>
    <row r="8827" spans="1:14" ht="14.25" customHeight="1" x14ac:dyDescent="0.25">
      <c r="A8827" s="99"/>
      <c r="B8827" s="100"/>
      <c r="C8827" s="101"/>
      <c r="D8827" s="104"/>
      <c r="E8827" s="102"/>
      <c r="F8827" s="101"/>
      <c r="G8827" s="81"/>
      <c r="H8827" s="81"/>
      <c r="I8827" s="81"/>
      <c r="J8827" s="81"/>
      <c r="K8827" s="81"/>
      <c r="L8827" s="81"/>
      <c r="M8827" s="81"/>
      <c r="N8827" s="81"/>
    </row>
    <row r="8828" spans="1:14" ht="14.25" customHeight="1" x14ac:dyDescent="0.25">
      <c r="A8828" s="99"/>
      <c r="B8828" s="100"/>
      <c r="C8828" s="106"/>
      <c r="D8828" s="107"/>
      <c r="E8828" s="108"/>
      <c r="F8828" s="106"/>
      <c r="G8828" s="81"/>
      <c r="H8828" s="81"/>
      <c r="I8828" s="81"/>
      <c r="J8828" s="81"/>
      <c r="K8828" s="81"/>
      <c r="L8828" s="81"/>
      <c r="M8828" s="81"/>
      <c r="N8828" s="81"/>
    </row>
    <row r="8829" spans="1:14" ht="14.25" customHeight="1" x14ac:dyDescent="0.25">
      <c r="A8829" s="97" t="s">
        <v>548</v>
      </c>
      <c r="B8829" s="97"/>
      <c r="C8829" s="109"/>
      <c r="D8829" s="110"/>
      <c r="E8829" s="111"/>
      <c r="F8829" s="112">
        <f>SUM(F8823:F8828)</f>
        <v>914720</v>
      </c>
      <c r="G8829" s="81"/>
      <c r="H8829" s="81"/>
      <c r="I8829" s="81"/>
      <c r="J8829" s="81"/>
      <c r="K8829" s="81"/>
      <c r="L8829" s="81"/>
      <c r="M8829" s="81"/>
      <c r="N8829" s="81"/>
    </row>
    <row r="8830" spans="1:14" ht="14.25" customHeight="1" x14ac:dyDescent="0.25">
      <c r="A8830" s="88"/>
      <c r="B8830" s="88"/>
      <c r="C8830" s="113"/>
      <c r="D8830" s="113"/>
      <c r="E8830" s="114"/>
      <c r="F8830" s="113"/>
      <c r="G8830" s="81"/>
      <c r="H8830" s="81"/>
      <c r="I8830" s="81"/>
      <c r="J8830" s="81"/>
      <c r="K8830" s="81"/>
      <c r="L8830" s="81"/>
      <c r="M8830" s="81"/>
      <c r="N8830" s="81"/>
    </row>
    <row r="8831" spans="1:14" ht="14.25" customHeight="1" x14ac:dyDescent="0.25">
      <c r="A8831" s="96" t="s">
        <v>573</v>
      </c>
      <c r="B8831" s="96"/>
      <c r="C8831" s="92"/>
      <c r="D8831" s="92"/>
      <c r="E8831" s="92"/>
      <c r="F8831" s="92"/>
      <c r="G8831" s="81"/>
      <c r="H8831" s="81"/>
      <c r="I8831" s="81"/>
      <c r="J8831" s="81"/>
      <c r="K8831" s="81"/>
      <c r="L8831" s="81"/>
      <c r="M8831" s="81"/>
      <c r="N8831" s="81"/>
    </row>
    <row r="8832" spans="1:14" ht="14.25" customHeight="1" x14ac:dyDescent="0.25">
      <c r="A8832" s="611" t="s">
        <v>563</v>
      </c>
      <c r="B8832" s="608"/>
      <c r="C8832" s="609"/>
      <c r="D8832" s="98" t="s">
        <v>574</v>
      </c>
      <c r="E8832" s="98" t="s">
        <v>575</v>
      </c>
      <c r="F8832" s="98" t="s">
        <v>568</v>
      </c>
      <c r="G8832" s="81"/>
      <c r="H8832" s="81"/>
      <c r="I8832" s="81"/>
      <c r="J8832" s="81"/>
      <c r="K8832" s="81"/>
      <c r="L8832" s="81"/>
      <c r="M8832" s="81"/>
      <c r="N8832" s="81"/>
    </row>
    <row r="8833" spans="1:14" ht="14.25" customHeight="1" x14ac:dyDescent="0.25">
      <c r="A8833" s="607" t="s">
        <v>577</v>
      </c>
      <c r="B8833" s="608"/>
      <c r="C8833" s="609"/>
      <c r="D8833" s="116"/>
      <c r="E8833" s="107"/>
      <c r="F8833" s="106">
        <f>+F8846*5%</f>
        <v>5290.0227105103659</v>
      </c>
      <c r="G8833" s="81"/>
      <c r="H8833" s="81"/>
      <c r="I8833" s="81"/>
      <c r="J8833" s="81"/>
      <c r="K8833" s="81"/>
      <c r="L8833" s="81"/>
      <c r="M8833" s="81"/>
      <c r="N8833" s="81"/>
    </row>
    <row r="8834" spans="1:14" ht="14.25" customHeight="1" x14ac:dyDescent="0.25">
      <c r="A8834" s="607"/>
      <c r="B8834" s="608"/>
      <c r="C8834" s="609"/>
      <c r="D8834" s="142"/>
      <c r="E8834" s="105"/>
      <c r="F8834" s="106"/>
      <c r="G8834" s="81"/>
      <c r="H8834" s="81"/>
      <c r="I8834" s="81"/>
      <c r="J8834" s="81"/>
      <c r="K8834" s="81"/>
      <c r="L8834" s="81"/>
      <c r="M8834" s="81"/>
      <c r="N8834" s="81"/>
    </row>
    <row r="8835" spans="1:14" ht="14.25" customHeight="1" x14ac:dyDescent="0.25">
      <c r="A8835" s="607"/>
      <c r="B8835" s="608"/>
      <c r="C8835" s="609"/>
      <c r="D8835" s="142"/>
      <c r="E8835" s="105"/>
      <c r="F8835" s="106"/>
      <c r="G8835" s="81"/>
      <c r="H8835" s="81"/>
      <c r="I8835" s="81"/>
      <c r="J8835" s="81"/>
      <c r="K8835" s="81"/>
      <c r="L8835" s="81"/>
      <c r="M8835" s="81"/>
      <c r="N8835" s="81"/>
    </row>
    <row r="8836" spans="1:14" ht="14.25" customHeight="1" x14ac:dyDescent="0.25">
      <c r="A8836" s="607"/>
      <c r="B8836" s="608"/>
      <c r="C8836" s="609"/>
      <c r="D8836" s="142"/>
      <c r="E8836" s="107"/>
      <c r="F8836" s="106"/>
      <c r="G8836" s="81"/>
      <c r="H8836" s="81"/>
      <c r="I8836" s="81"/>
      <c r="J8836" s="81"/>
      <c r="K8836" s="81"/>
      <c r="L8836" s="81"/>
      <c r="M8836" s="81"/>
      <c r="N8836" s="81"/>
    </row>
    <row r="8837" spans="1:14" ht="14.25" customHeight="1" x14ac:dyDescent="0.25">
      <c r="A8837" s="610"/>
      <c r="B8837" s="608"/>
      <c r="C8837" s="609"/>
      <c r="D8837" s="115"/>
      <c r="E8837" s="107"/>
      <c r="F8837" s="106"/>
      <c r="G8837" s="81"/>
      <c r="H8837" s="81"/>
      <c r="I8837" s="81"/>
      <c r="J8837" s="81"/>
      <c r="K8837" s="81"/>
      <c r="L8837" s="81"/>
      <c r="M8837" s="81"/>
      <c r="N8837" s="81"/>
    </row>
    <row r="8838" spans="1:14" ht="14.25" customHeight="1" x14ac:dyDescent="0.25">
      <c r="A8838" s="611" t="s">
        <v>548</v>
      </c>
      <c r="B8838" s="608"/>
      <c r="C8838" s="609"/>
      <c r="D8838" s="110"/>
      <c r="E8838" s="110"/>
      <c r="F8838" s="112">
        <f>SUM(F8833:F8836)</f>
        <v>5290.0227105103659</v>
      </c>
      <c r="G8838" s="81"/>
      <c r="H8838" s="81"/>
      <c r="I8838" s="81"/>
      <c r="J8838" s="81"/>
      <c r="K8838" s="81"/>
      <c r="L8838" s="81"/>
      <c r="M8838" s="81"/>
      <c r="N8838" s="81"/>
    </row>
    <row r="8839" spans="1:14" ht="14.25" customHeight="1" x14ac:dyDescent="0.25">
      <c r="A8839" s="88"/>
      <c r="B8839" s="88"/>
      <c r="C8839" s="89"/>
      <c r="D8839" s="113"/>
      <c r="E8839" s="113"/>
      <c r="F8839" s="113"/>
      <c r="G8839" s="81"/>
      <c r="H8839" s="81"/>
      <c r="I8839" s="81"/>
      <c r="J8839" s="81"/>
      <c r="K8839" s="81"/>
      <c r="L8839" s="81"/>
      <c r="M8839" s="81"/>
      <c r="N8839" s="81"/>
    </row>
    <row r="8840" spans="1:14" ht="14.25" customHeight="1" x14ac:dyDescent="0.25">
      <c r="A8840" s="96" t="s">
        <v>578</v>
      </c>
      <c r="B8840" s="96"/>
      <c r="C8840" s="92"/>
      <c r="D8840" s="118"/>
      <c r="E8840" s="118"/>
      <c r="F8840" s="118"/>
      <c r="G8840" s="81"/>
      <c r="H8840" s="81"/>
      <c r="I8840" s="81"/>
      <c r="J8840" s="81"/>
      <c r="K8840" s="81"/>
      <c r="L8840" s="81"/>
      <c r="M8840" s="81"/>
      <c r="N8840" s="81"/>
    </row>
    <row r="8841" spans="1:14" ht="14.25" customHeight="1" x14ac:dyDescent="0.25">
      <c r="A8841" s="119" t="s">
        <v>563</v>
      </c>
      <c r="B8841" s="120" t="s">
        <v>579</v>
      </c>
      <c r="C8841" s="120" t="s">
        <v>580</v>
      </c>
      <c r="D8841" s="121" t="s">
        <v>581</v>
      </c>
      <c r="E8841" s="121" t="s">
        <v>575</v>
      </c>
      <c r="F8841" s="121" t="s">
        <v>568</v>
      </c>
      <c r="G8841" s="81"/>
      <c r="H8841" s="81"/>
      <c r="I8841" s="81"/>
      <c r="J8841" s="81"/>
      <c r="K8841" s="81"/>
      <c r="L8841" s="81"/>
      <c r="M8841" s="81"/>
      <c r="N8841" s="81"/>
    </row>
    <row r="8842" spans="1:14" ht="14.25" customHeight="1" x14ac:dyDescent="0.25">
      <c r="A8842" s="122" t="s">
        <v>593</v>
      </c>
      <c r="B8842" s="127">
        <v>1</v>
      </c>
      <c r="C8842" s="101">
        <v>32688</v>
      </c>
      <c r="D8842" s="101">
        <f t="shared" ref="D8842:D8843" si="436">+C8842*1.7</f>
        <v>55569.599999999999</v>
      </c>
      <c r="E8842" s="107">
        <v>1.36941</v>
      </c>
      <c r="F8842" s="106">
        <f t="shared" ref="F8842:F8843" si="437">+B8842*(D8842)/E8842</f>
        <v>40579.227550550968</v>
      </c>
      <c r="G8842" s="81"/>
      <c r="H8842" s="81"/>
      <c r="I8842" s="81"/>
      <c r="J8842" s="81"/>
      <c r="K8842" s="81"/>
      <c r="L8842" s="81"/>
      <c r="M8842" s="81"/>
      <c r="N8842" s="81"/>
    </row>
    <row r="8843" spans="1:14" ht="14.25" customHeight="1" x14ac:dyDescent="0.25">
      <c r="A8843" s="122" t="s">
        <v>594</v>
      </c>
      <c r="B8843" s="127">
        <v>1</v>
      </c>
      <c r="C8843" s="101">
        <v>52538</v>
      </c>
      <c r="D8843" s="101">
        <f t="shared" si="436"/>
        <v>89314.599999999991</v>
      </c>
      <c r="E8843" s="107">
        <f>E8842</f>
        <v>1.36941</v>
      </c>
      <c r="F8843" s="106">
        <f t="shared" si="437"/>
        <v>65221.226659656342</v>
      </c>
      <c r="G8843" s="81"/>
      <c r="H8843" s="81"/>
      <c r="I8843" s="81"/>
      <c r="J8843" s="81"/>
      <c r="K8843" s="81"/>
      <c r="L8843" s="81"/>
      <c r="M8843" s="81"/>
      <c r="N8843" s="81"/>
    </row>
    <row r="8844" spans="1:14" ht="14.25" customHeight="1" x14ac:dyDescent="0.25">
      <c r="A8844" s="122"/>
      <c r="B8844" s="127"/>
      <c r="C8844" s="101"/>
      <c r="D8844" s="101"/>
      <c r="E8844" s="105"/>
      <c r="F8844" s="106"/>
      <c r="G8844" s="81"/>
      <c r="H8844" s="81"/>
      <c r="I8844" s="81"/>
      <c r="J8844" s="81"/>
      <c r="K8844" s="81"/>
      <c r="L8844" s="81"/>
      <c r="M8844" s="81"/>
      <c r="N8844" s="81"/>
    </row>
    <row r="8845" spans="1:14" ht="14.25" customHeight="1" x14ac:dyDescent="0.25">
      <c r="A8845" s="122"/>
      <c r="B8845" s="127"/>
      <c r="C8845" s="101"/>
      <c r="D8845" s="101"/>
      <c r="E8845" s="125"/>
      <c r="F8845" s="106"/>
      <c r="G8845" s="81"/>
      <c r="H8845" s="81"/>
      <c r="I8845" s="81"/>
      <c r="J8845" s="81"/>
      <c r="K8845" s="81"/>
      <c r="L8845" s="81"/>
      <c r="M8845" s="81"/>
      <c r="N8845" s="81"/>
    </row>
    <row r="8846" spans="1:14" ht="14.25" customHeight="1" x14ac:dyDescent="0.25">
      <c r="A8846" s="97" t="s">
        <v>548</v>
      </c>
      <c r="B8846" s="128"/>
      <c r="C8846" s="110"/>
      <c r="D8846" s="110"/>
      <c r="E8846" s="110"/>
      <c r="F8846" s="112">
        <f>SUM(F8842:F8845)</f>
        <v>105800.4542102073</v>
      </c>
      <c r="G8846" s="81"/>
      <c r="H8846" s="81"/>
      <c r="I8846" s="81"/>
      <c r="J8846" s="81"/>
      <c r="K8846" s="81"/>
      <c r="L8846" s="81"/>
      <c r="M8846" s="81"/>
      <c r="N8846" s="81"/>
    </row>
    <row r="8847" spans="1:14" ht="14.25" customHeight="1" x14ac:dyDescent="0.25">
      <c r="A8847" s="96"/>
      <c r="B8847" s="129"/>
      <c r="C8847" s="118"/>
      <c r="D8847" s="118"/>
      <c r="E8847" s="118"/>
      <c r="F8847" s="118"/>
      <c r="G8847" s="81"/>
      <c r="H8847" s="81"/>
      <c r="I8847" s="81"/>
      <c r="J8847" s="81"/>
      <c r="K8847" s="81"/>
      <c r="L8847" s="81"/>
      <c r="M8847" s="81"/>
      <c r="N8847" s="81"/>
    </row>
    <row r="8848" spans="1:14" ht="14.25" customHeight="1" x14ac:dyDescent="0.25">
      <c r="A8848" s="95" t="s">
        <v>583</v>
      </c>
      <c r="B8848" s="96"/>
      <c r="C8848" s="92"/>
      <c r="D8848" s="92"/>
      <c r="E8848" s="92" t="s">
        <v>584</v>
      </c>
      <c r="F8848" s="92"/>
      <c r="G8848" s="81"/>
      <c r="H8848" s="81"/>
      <c r="I8848" s="81"/>
      <c r="J8848" s="81"/>
      <c r="K8848" s="81"/>
      <c r="L8848" s="81"/>
      <c r="M8848" s="81"/>
      <c r="N8848" s="81"/>
    </row>
    <row r="8849" spans="1:14" ht="14.25" customHeight="1" x14ac:dyDescent="0.25">
      <c r="A8849" s="97" t="s">
        <v>563</v>
      </c>
      <c r="B8849" s="98" t="s">
        <v>564</v>
      </c>
      <c r="C8849" s="98" t="s">
        <v>585</v>
      </c>
      <c r="D8849" s="98" t="s">
        <v>586</v>
      </c>
      <c r="E8849" s="120" t="s">
        <v>587</v>
      </c>
      <c r="F8849" s="98" t="s">
        <v>568</v>
      </c>
      <c r="G8849" s="81"/>
      <c r="H8849" s="81"/>
      <c r="I8849" s="81"/>
      <c r="J8849" s="81"/>
      <c r="K8849" s="81"/>
      <c r="L8849" s="81"/>
      <c r="M8849" s="81"/>
      <c r="N8849" s="81"/>
    </row>
    <row r="8850" spans="1:14" ht="14.25" customHeight="1" x14ac:dyDescent="0.25">
      <c r="A8850" s="103"/>
      <c r="B8850" s="100"/>
      <c r="C8850" s="101"/>
      <c r="D8850" s="140"/>
      <c r="E8850" s="107"/>
      <c r="F8850" s="109"/>
      <c r="G8850" s="81"/>
      <c r="H8850" s="81"/>
      <c r="I8850" s="81"/>
      <c r="J8850" s="81"/>
      <c r="K8850" s="81"/>
      <c r="L8850" s="81"/>
      <c r="M8850" s="81"/>
      <c r="N8850" s="81"/>
    </row>
    <row r="8851" spans="1:14" ht="14.25" customHeight="1" x14ac:dyDescent="0.25">
      <c r="A8851" s="103"/>
      <c r="B8851" s="100"/>
      <c r="C8851" s="107"/>
      <c r="D8851" s="107"/>
      <c r="E8851" s="108"/>
      <c r="F8851" s="109"/>
      <c r="G8851" s="81"/>
      <c r="H8851" s="81"/>
      <c r="I8851" s="81"/>
      <c r="J8851" s="81"/>
      <c r="K8851" s="81"/>
      <c r="L8851" s="81"/>
      <c r="M8851" s="81"/>
      <c r="N8851" s="81"/>
    </row>
    <row r="8852" spans="1:14" ht="14.25" customHeight="1" x14ac:dyDescent="0.25">
      <c r="A8852" s="97" t="s">
        <v>548</v>
      </c>
      <c r="B8852" s="98"/>
      <c r="C8852" s="110"/>
      <c r="D8852" s="110"/>
      <c r="E8852" s="111"/>
      <c r="F8852" s="112">
        <f>SUM(F8850:F8851)</f>
        <v>0</v>
      </c>
      <c r="G8852" s="81"/>
      <c r="H8852" s="81"/>
      <c r="I8852" s="81"/>
      <c r="J8852" s="81"/>
      <c r="K8852" s="81"/>
      <c r="L8852" s="81"/>
      <c r="M8852" s="81"/>
      <c r="N8852" s="81"/>
    </row>
    <row r="8853" spans="1:14" ht="14.25" customHeight="1" x14ac:dyDescent="0.25">
      <c r="A8853" s="88"/>
      <c r="B8853" s="89"/>
      <c r="C8853" s="113"/>
      <c r="D8853" s="113"/>
      <c r="E8853" s="114"/>
      <c r="F8853" s="113"/>
      <c r="G8853" s="81"/>
      <c r="H8853" s="81"/>
      <c r="I8853" s="81"/>
      <c r="J8853" s="81"/>
      <c r="K8853" s="81"/>
      <c r="L8853" s="81"/>
      <c r="M8853" s="81"/>
      <c r="N8853" s="81"/>
    </row>
    <row r="8854" spans="1:14" ht="14.25" customHeight="1" x14ac:dyDescent="0.25">
      <c r="A8854" s="88"/>
      <c r="B8854" s="89"/>
      <c r="C8854" s="113"/>
      <c r="D8854" s="113"/>
      <c r="E8854" s="114"/>
      <c r="F8854" s="113"/>
      <c r="G8854" s="81"/>
      <c r="H8854" s="81"/>
      <c r="I8854" s="81"/>
      <c r="J8854" s="81"/>
      <c r="K8854" s="81"/>
      <c r="L8854" s="81"/>
      <c r="M8854" s="81"/>
      <c r="N8854" s="81"/>
    </row>
    <row r="8855" spans="1:14" ht="14.25" customHeight="1" x14ac:dyDescent="0.25">
      <c r="A8855" s="612" t="s">
        <v>588</v>
      </c>
      <c r="B8855" s="608"/>
      <c r="C8855" s="608"/>
      <c r="D8855" s="608"/>
      <c r="E8855" s="609"/>
      <c r="F8855" s="131">
        <f>ROUND(F8829+F8838+F8846+F8852,0)</f>
        <v>1025810</v>
      </c>
      <c r="G8855" s="81"/>
      <c r="H8855" s="81"/>
      <c r="I8855" s="81"/>
      <c r="J8855" s="81"/>
      <c r="K8855" s="81"/>
      <c r="L8855" s="81"/>
      <c r="M8855" s="81"/>
      <c r="N8855" s="81"/>
    </row>
    <row r="8856" spans="1:14" ht="14.25" customHeight="1" x14ac:dyDescent="0.25">
      <c r="A8856" s="612" t="s">
        <v>589</v>
      </c>
      <c r="B8856" s="608"/>
      <c r="C8856" s="608"/>
      <c r="D8856" s="608"/>
      <c r="E8856" s="609"/>
      <c r="F8856" s="132"/>
      <c r="G8856" s="81"/>
      <c r="H8856" s="81"/>
      <c r="I8856" s="81"/>
      <c r="J8856" s="81"/>
      <c r="K8856" s="81"/>
      <c r="L8856" s="81"/>
      <c r="M8856" s="81"/>
      <c r="N8856" s="81"/>
    </row>
    <row r="8857" spans="1:14" ht="14.25" customHeight="1" x14ac:dyDescent="0.25">
      <c r="A8857" s="146" t="s">
        <v>556</v>
      </c>
      <c r="B8857" s="147"/>
      <c r="C8857" s="147"/>
      <c r="D8857" s="147"/>
      <c r="E8857" s="148"/>
      <c r="F8857" s="133"/>
      <c r="G8857" s="81"/>
      <c r="H8857" s="81"/>
      <c r="I8857" s="81"/>
      <c r="J8857" s="81"/>
      <c r="K8857" s="81"/>
      <c r="L8857" s="81"/>
      <c r="M8857" s="81"/>
      <c r="N8857" s="81"/>
    </row>
    <row r="8858" spans="1:14" ht="14.25" customHeight="1" x14ac:dyDescent="0.25">
      <c r="A8858" s="134"/>
      <c r="B8858" s="135"/>
      <c r="C8858" s="135"/>
      <c r="D8858" s="135"/>
      <c r="E8858" s="135"/>
      <c r="F8858" s="136"/>
      <c r="G8858" s="81"/>
      <c r="H8858" s="81"/>
      <c r="I8858" s="81"/>
      <c r="J8858" s="81"/>
      <c r="K8858" s="81"/>
      <c r="L8858" s="81"/>
      <c r="M8858" s="81"/>
      <c r="N8858" s="81"/>
    </row>
    <row r="8859" spans="1:14" ht="14.25" customHeight="1" x14ac:dyDescent="0.25">
      <c r="A8859" s="81"/>
      <c r="B8859" s="81"/>
      <c r="C8859" s="137"/>
      <c r="D8859" s="81"/>
      <c r="E8859" s="81"/>
      <c r="F8859" s="81"/>
      <c r="G8859" s="81"/>
      <c r="H8859" s="81"/>
      <c r="I8859" s="81"/>
      <c r="J8859" s="81"/>
      <c r="K8859" s="81"/>
      <c r="L8859" s="81"/>
      <c r="M8859" s="81"/>
      <c r="N8859" s="81"/>
    </row>
    <row r="8860" spans="1:14" ht="14.25" customHeight="1" x14ac:dyDescent="0.25">
      <c r="A8860" s="81"/>
      <c r="B8860" s="81"/>
      <c r="C8860" s="137"/>
      <c r="D8860" s="81"/>
      <c r="E8860" s="81"/>
      <c r="F8860" s="81"/>
      <c r="G8860" s="81"/>
      <c r="H8860" s="81"/>
      <c r="I8860" s="81"/>
      <c r="J8860" s="81"/>
      <c r="K8860" s="81"/>
      <c r="L8860" s="81"/>
      <c r="M8860" s="81"/>
      <c r="N8860" s="81"/>
    </row>
    <row r="8861" spans="1:14" ht="14.25" customHeight="1" x14ac:dyDescent="0.25">
      <c r="A8861" s="81"/>
      <c r="B8861" s="81"/>
      <c r="C8861" s="137"/>
      <c r="D8861" s="81"/>
      <c r="E8861" s="81"/>
      <c r="F8861" s="81"/>
      <c r="G8861" s="81"/>
      <c r="H8861" s="81"/>
      <c r="I8861" s="81"/>
      <c r="J8861" s="81"/>
      <c r="K8861" s="81"/>
      <c r="L8861" s="81"/>
      <c r="M8861" s="81"/>
      <c r="N8861" s="81"/>
    </row>
    <row r="8862" spans="1:14" ht="14.25" customHeight="1" x14ac:dyDescent="0.25">
      <c r="A8862" s="81"/>
      <c r="B8862" s="81"/>
      <c r="C8862" s="137"/>
      <c r="D8862" s="81"/>
      <c r="E8862" s="81"/>
      <c r="F8862" s="81"/>
      <c r="G8862" s="81"/>
      <c r="H8862" s="81"/>
      <c r="I8862" s="81"/>
      <c r="J8862" s="81"/>
      <c r="K8862" s="81"/>
      <c r="L8862" s="81"/>
      <c r="M8862" s="81"/>
      <c r="N8862" s="81"/>
    </row>
    <row r="8863" spans="1:14" ht="14.25" customHeight="1" x14ac:dyDescent="0.25">
      <c r="A8863" s="81"/>
      <c r="B8863" s="81"/>
      <c r="C8863" s="137"/>
      <c r="D8863" s="81"/>
      <c r="E8863" s="81"/>
      <c r="F8863" s="81"/>
      <c r="G8863" s="81"/>
      <c r="H8863" s="81"/>
      <c r="I8863" s="81"/>
      <c r="J8863" s="81"/>
      <c r="K8863" s="81"/>
      <c r="L8863" s="81"/>
      <c r="M8863" s="81"/>
      <c r="N8863" s="81"/>
    </row>
    <row r="8864" spans="1:14" ht="14.25" customHeight="1" x14ac:dyDescent="0.25">
      <c r="A8864" s="81"/>
      <c r="B8864" s="81"/>
      <c r="C8864" s="137"/>
      <c r="D8864" s="81"/>
      <c r="E8864" s="81"/>
      <c r="F8864" s="81"/>
      <c r="G8864" s="81"/>
      <c r="H8864" s="81"/>
      <c r="I8864" s="81"/>
      <c r="J8864" s="81"/>
      <c r="K8864" s="81"/>
      <c r="L8864" s="81"/>
      <c r="M8864" s="81"/>
      <c r="N8864" s="81"/>
    </row>
    <row r="8865" spans="1:14" ht="14.25" customHeight="1" x14ac:dyDescent="0.25">
      <c r="A8865" s="134"/>
      <c r="B8865" s="135"/>
      <c r="C8865" s="135"/>
      <c r="D8865" s="135"/>
      <c r="E8865" s="135"/>
      <c r="F8865" s="136"/>
      <c r="G8865" s="81"/>
      <c r="H8865" s="81"/>
      <c r="I8865" s="81"/>
      <c r="J8865" s="81"/>
      <c r="K8865" s="81"/>
      <c r="L8865" s="81"/>
      <c r="M8865" s="81"/>
      <c r="N8865" s="81"/>
    </row>
    <row r="8866" spans="1:14" ht="14.25" customHeight="1" x14ac:dyDescent="0.25">
      <c r="A8866" s="134"/>
      <c r="B8866" s="135"/>
      <c r="C8866" s="135"/>
      <c r="D8866" s="135"/>
      <c r="E8866" s="135"/>
      <c r="F8866" s="136"/>
      <c r="G8866" s="81"/>
      <c r="H8866" s="81"/>
      <c r="I8866" s="81"/>
      <c r="J8866" s="81"/>
      <c r="K8866" s="81"/>
      <c r="L8866" s="81"/>
      <c r="M8866" s="81"/>
      <c r="N8866" s="81"/>
    </row>
    <row r="8867" spans="1:14" ht="14.25" customHeight="1" x14ac:dyDescent="0.25">
      <c r="A8867" s="134"/>
      <c r="B8867" s="135"/>
      <c r="C8867" s="135"/>
      <c r="D8867" s="135"/>
      <c r="E8867" s="135"/>
      <c r="F8867" s="136"/>
      <c r="G8867" s="81"/>
      <c r="H8867" s="81"/>
      <c r="I8867" s="81"/>
      <c r="J8867" s="81"/>
      <c r="K8867" s="81"/>
      <c r="L8867" s="81"/>
      <c r="M8867" s="81"/>
      <c r="N8867" s="81"/>
    </row>
    <row r="8868" spans="1:14" ht="14.25" customHeight="1" thickBot="1" x14ac:dyDescent="0.3">
      <c r="A8868" s="81"/>
      <c r="B8868" s="81"/>
      <c r="C8868" s="81"/>
      <c r="D8868" s="81"/>
      <c r="E8868" s="81"/>
      <c r="F8868" s="81"/>
      <c r="G8868" s="81"/>
      <c r="H8868" s="81"/>
      <c r="I8868" s="81"/>
      <c r="J8868" s="81"/>
      <c r="K8868" s="81"/>
      <c r="L8868" s="81"/>
      <c r="M8868" s="81"/>
      <c r="N8868" s="81"/>
    </row>
    <row r="8869" spans="1:14" ht="14.25" customHeight="1" x14ac:dyDescent="0.25">
      <c r="A8869" s="83"/>
      <c r="B8869" s="84"/>
      <c r="C8869" s="85"/>
      <c r="D8869" s="86"/>
      <c r="E8869" s="86"/>
      <c r="F8869" s="87"/>
      <c r="G8869" s="81"/>
      <c r="H8869" s="81"/>
      <c r="I8869" s="81"/>
      <c r="J8869" s="81"/>
      <c r="K8869" s="81"/>
      <c r="L8869" s="81"/>
      <c r="M8869" s="81"/>
      <c r="N8869" s="81"/>
    </row>
    <row r="8870" spans="1:14" ht="14.25" customHeight="1" x14ac:dyDescent="0.25">
      <c r="A8870" s="599"/>
      <c r="B8870" s="600"/>
      <c r="C8870" s="600"/>
      <c r="D8870" s="600"/>
      <c r="E8870" s="600"/>
      <c r="F8870" s="601"/>
      <c r="G8870" s="81"/>
      <c r="H8870" s="81"/>
      <c r="I8870" s="81"/>
      <c r="J8870" s="81"/>
      <c r="K8870" s="81"/>
      <c r="L8870" s="81"/>
      <c r="M8870" s="81"/>
      <c r="N8870" s="81"/>
    </row>
    <row r="8871" spans="1:14" ht="14.25" customHeight="1" x14ac:dyDescent="0.25">
      <c r="A8871" s="602" t="s">
        <v>561</v>
      </c>
      <c r="B8871" s="600"/>
      <c r="C8871" s="600"/>
      <c r="D8871" s="600"/>
      <c r="E8871" s="600"/>
      <c r="F8871" s="601"/>
      <c r="G8871" s="81"/>
      <c r="H8871" s="81"/>
      <c r="I8871" s="81"/>
      <c r="J8871" s="81"/>
      <c r="K8871" s="81"/>
      <c r="L8871" s="81"/>
      <c r="M8871" s="81"/>
      <c r="N8871" s="81"/>
    </row>
    <row r="8872" spans="1:14" ht="14.25" customHeight="1" thickBot="1" x14ac:dyDescent="0.3">
      <c r="A8872" s="603"/>
      <c r="B8872" s="604"/>
      <c r="C8872" s="604"/>
      <c r="D8872" s="604"/>
      <c r="E8872" s="604"/>
      <c r="F8872" s="605"/>
      <c r="G8872" s="81"/>
      <c r="H8872" s="81"/>
      <c r="I8872" s="81"/>
      <c r="J8872" s="81"/>
      <c r="K8872" s="81"/>
      <c r="L8872" s="81"/>
      <c r="M8872" s="81"/>
      <c r="N8872" s="81"/>
    </row>
    <row r="8873" spans="1:14" ht="14.25" customHeight="1" x14ac:dyDescent="0.25">
      <c r="A8873" s="88"/>
      <c r="B8873" s="88"/>
      <c r="C8873" s="89"/>
      <c r="D8873" s="89"/>
      <c r="E8873" s="89"/>
      <c r="F8873" s="89"/>
      <c r="G8873" s="81"/>
      <c r="H8873" s="81"/>
      <c r="I8873" s="81"/>
      <c r="J8873" s="81"/>
      <c r="K8873" s="81"/>
      <c r="L8873" s="81"/>
      <c r="M8873" s="81"/>
      <c r="N8873" s="81"/>
    </row>
    <row r="8874" spans="1:14" ht="14.25" customHeight="1" x14ac:dyDescent="0.25">
      <c r="A8874" s="90" t="s">
        <v>47</v>
      </c>
      <c r="B8874" s="613" t="s">
        <v>836</v>
      </c>
      <c r="C8874" s="600"/>
      <c r="D8874" s="600"/>
      <c r="E8874" s="600"/>
      <c r="F8874" s="600"/>
      <c r="G8874" s="81"/>
      <c r="H8874" s="81"/>
      <c r="I8874" s="81"/>
      <c r="J8874" s="81"/>
      <c r="K8874" s="81"/>
      <c r="L8874" s="81"/>
      <c r="M8874" s="81"/>
      <c r="N8874" s="81"/>
    </row>
    <row r="8875" spans="1:14" ht="14.25" customHeight="1" x14ac:dyDescent="0.25">
      <c r="A8875" s="91"/>
      <c r="B8875" s="91"/>
      <c r="C8875" s="91"/>
      <c r="D8875" s="91"/>
      <c r="E8875" s="91"/>
      <c r="F8875" s="91"/>
      <c r="G8875" s="81"/>
      <c r="H8875" s="81"/>
      <c r="I8875" s="81"/>
      <c r="J8875" s="81"/>
      <c r="K8875" s="81"/>
      <c r="L8875" s="81"/>
      <c r="M8875" s="81"/>
      <c r="N8875" s="81"/>
    </row>
    <row r="8876" spans="1:14" ht="14.25" customHeight="1" x14ac:dyDescent="0.25">
      <c r="A8876" s="88" t="s">
        <v>49</v>
      </c>
      <c r="B8876" s="92" t="s">
        <v>99</v>
      </c>
      <c r="C8876" s="89"/>
      <c r="D8876" s="89"/>
      <c r="E8876" s="89"/>
      <c r="F8876" s="93"/>
      <c r="G8876" s="81"/>
      <c r="H8876" s="81"/>
      <c r="I8876" s="81"/>
      <c r="J8876" s="81"/>
      <c r="K8876" s="81"/>
      <c r="L8876" s="81"/>
      <c r="M8876" s="81"/>
      <c r="N8876" s="81"/>
    </row>
    <row r="8877" spans="1:14" ht="14.25" customHeight="1" x14ac:dyDescent="0.25">
      <c r="A8877" s="88"/>
      <c r="B8877" s="94"/>
      <c r="C8877" s="89"/>
      <c r="D8877" s="89"/>
      <c r="E8877" s="89"/>
      <c r="F8877" s="93"/>
      <c r="G8877" s="81"/>
      <c r="H8877" s="81"/>
      <c r="I8877" s="81"/>
      <c r="J8877" s="81"/>
      <c r="K8877" s="81"/>
      <c r="L8877" s="81"/>
      <c r="M8877" s="81"/>
      <c r="N8877" s="81"/>
    </row>
    <row r="8878" spans="1:14" ht="14.25" customHeight="1" x14ac:dyDescent="0.25">
      <c r="A8878" s="95" t="s">
        <v>562</v>
      </c>
      <c r="B8878" s="96"/>
      <c r="C8878" s="92"/>
      <c r="D8878" s="92"/>
      <c r="E8878" s="92"/>
      <c r="F8878" s="92"/>
      <c r="G8878" s="81"/>
      <c r="H8878" s="117"/>
      <c r="I8878" s="81"/>
      <c r="J8878" s="81"/>
      <c r="K8878" s="81"/>
      <c r="L8878" s="81"/>
      <c r="M8878" s="81"/>
      <c r="N8878" s="81"/>
    </row>
    <row r="8879" spans="1:14" ht="14.25" customHeight="1" x14ac:dyDescent="0.25">
      <c r="A8879" s="97" t="s">
        <v>563</v>
      </c>
      <c r="B8879" s="98" t="s">
        <v>564</v>
      </c>
      <c r="C8879" s="98" t="s">
        <v>565</v>
      </c>
      <c r="D8879" s="98" t="s">
        <v>566</v>
      </c>
      <c r="E8879" s="98" t="s">
        <v>567</v>
      </c>
      <c r="F8879" s="98" t="s">
        <v>568</v>
      </c>
      <c r="G8879" s="81"/>
      <c r="H8879" s="81"/>
      <c r="I8879" s="81"/>
      <c r="J8879" s="81"/>
      <c r="K8879" s="81"/>
      <c r="L8879" s="81"/>
      <c r="M8879" s="81"/>
      <c r="N8879" s="81"/>
    </row>
    <row r="8880" spans="1:14" ht="14.25" customHeight="1" x14ac:dyDescent="0.25">
      <c r="A8880" s="99" t="s">
        <v>837</v>
      </c>
      <c r="B8880" s="100" t="s">
        <v>99</v>
      </c>
      <c r="C8880" s="101">
        <v>897220</v>
      </c>
      <c r="D8880" s="149">
        <v>1</v>
      </c>
      <c r="E8880" s="102"/>
      <c r="F8880" s="101">
        <f>C8880*(D8880+(D8880*E8880))</f>
        <v>897220</v>
      </c>
      <c r="G8880" s="81"/>
      <c r="H8880" s="81"/>
      <c r="I8880" s="81"/>
      <c r="J8880" s="81"/>
      <c r="K8880" s="81"/>
      <c r="L8880" s="81"/>
      <c r="M8880" s="81"/>
      <c r="N8880" s="81"/>
    </row>
    <row r="8881" spans="1:14" ht="14.25" customHeight="1" x14ac:dyDescent="0.25">
      <c r="A8881" s="99"/>
      <c r="B8881" s="100"/>
      <c r="C8881" s="101"/>
      <c r="D8881" s="149"/>
      <c r="E8881" s="102"/>
      <c r="F8881" s="101"/>
      <c r="G8881" s="81"/>
      <c r="H8881" s="81"/>
      <c r="I8881" s="81"/>
      <c r="J8881" s="81"/>
      <c r="K8881" s="81"/>
      <c r="L8881" s="81"/>
      <c r="M8881" s="81"/>
      <c r="N8881" s="81"/>
    </row>
    <row r="8882" spans="1:14" ht="14.25" customHeight="1" x14ac:dyDescent="0.25">
      <c r="A8882" s="99"/>
      <c r="B8882" s="100"/>
      <c r="C8882" s="101"/>
      <c r="D8882" s="149"/>
      <c r="E8882" s="102"/>
      <c r="F8882" s="101"/>
      <c r="G8882" s="81"/>
      <c r="H8882" s="81"/>
      <c r="I8882" s="81"/>
      <c r="J8882" s="81"/>
      <c r="K8882" s="81"/>
      <c r="L8882" s="81"/>
      <c r="M8882" s="81"/>
      <c r="N8882" s="81"/>
    </row>
    <row r="8883" spans="1:14" ht="14.25" customHeight="1" x14ac:dyDescent="0.25">
      <c r="A8883" s="99"/>
      <c r="B8883" s="100"/>
      <c r="C8883" s="101"/>
      <c r="D8883" s="104"/>
      <c r="E8883" s="102"/>
      <c r="F8883" s="101"/>
      <c r="G8883" s="81"/>
      <c r="H8883" s="81"/>
      <c r="I8883" s="81"/>
      <c r="J8883" s="81"/>
      <c r="K8883" s="81"/>
      <c r="L8883" s="81"/>
      <c r="M8883" s="81"/>
      <c r="N8883" s="81"/>
    </row>
    <row r="8884" spans="1:14" ht="14.25" customHeight="1" x14ac:dyDescent="0.25">
      <c r="A8884" s="99"/>
      <c r="B8884" s="100"/>
      <c r="C8884" s="101"/>
      <c r="D8884" s="104"/>
      <c r="E8884" s="102"/>
      <c r="F8884" s="101"/>
      <c r="G8884" s="81"/>
      <c r="H8884" s="81"/>
      <c r="I8884" s="81"/>
      <c r="J8884" s="81"/>
      <c r="K8884" s="81"/>
      <c r="L8884" s="81"/>
      <c r="M8884" s="81"/>
      <c r="N8884" s="81"/>
    </row>
    <row r="8885" spans="1:14" ht="14.25" customHeight="1" x14ac:dyDescent="0.25">
      <c r="A8885" s="99"/>
      <c r="B8885" s="100"/>
      <c r="C8885" s="106"/>
      <c r="D8885" s="107"/>
      <c r="E8885" s="108"/>
      <c r="F8885" s="106"/>
      <c r="G8885" s="81"/>
      <c r="H8885" s="81"/>
      <c r="I8885" s="81"/>
      <c r="J8885" s="81"/>
      <c r="K8885" s="81"/>
      <c r="L8885" s="81"/>
      <c r="M8885" s="81"/>
      <c r="N8885" s="81"/>
    </row>
    <row r="8886" spans="1:14" ht="14.25" customHeight="1" x14ac:dyDescent="0.25">
      <c r="A8886" s="97" t="s">
        <v>548</v>
      </c>
      <c r="B8886" s="97"/>
      <c r="C8886" s="109"/>
      <c r="D8886" s="110"/>
      <c r="E8886" s="111"/>
      <c r="F8886" s="112">
        <f>SUM(F8880:F8885)</f>
        <v>897220</v>
      </c>
      <c r="G8886" s="81"/>
      <c r="H8886" s="81"/>
      <c r="I8886" s="81"/>
      <c r="J8886" s="81"/>
      <c r="K8886" s="81"/>
      <c r="L8886" s="81"/>
      <c r="M8886" s="81"/>
      <c r="N8886" s="81"/>
    </row>
    <row r="8887" spans="1:14" ht="14.25" customHeight="1" x14ac:dyDescent="0.25">
      <c r="A8887" s="88"/>
      <c r="B8887" s="88"/>
      <c r="C8887" s="113"/>
      <c r="D8887" s="113"/>
      <c r="E8887" s="114"/>
      <c r="F8887" s="113"/>
      <c r="G8887" s="81"/>
      <c r="H8887" s="81"/>
      <c r="I8887" s="81"/>
      <c r="J8887" s="81"/>
      <c r="K8887" s="81"/>
      <c r="L8887" s="81"/>
      <c r="M8887" s="81"/>
      <c r="N8887" s="81"/>
    </row>
    <row r="8888" spans="1:14" ht="14.25" customHeight="1" x14ac:dyDescent="0.25">
      <c r="A8888" s="96" t="s">
        <v>573</v>
      </c>
      <c r="B8888" s="96"/>
      <c r="C8888" s="92"/>
      <c r="D8888" s="92"/>
      <c r="E8888" s="92"/>
      <c r="F8888" s="92"/>
      <c r="G8888" s="81"/>
      <c r="H8888" s="81"/>
      <c r="I8888" s="81"/>
      <c r="J8888" s="81"/>
      <c r="K8888" s="81"/>
      <c r="L8888" s="81"/>
      <c r="M8888" s="81"/>
      <c r="N8888" s="81"/>
    </row>
    <row r="8889" spans="1:14" ht="14.25" customHeight="1" x14ac:dyDescent="0.25">
      <c r="A8889" s="611" t="s">
        <v>563</v>
      </c>
      <c r="B8889" s="608"/>
      <c r="C8889" s="609"/>
      <c r="D8889" s="98" t="s">
        <v>574</v>
      </c>
      <c r="E8889" s="98" t="s">
        <v>575</v>
      </c>
      <c r="F8889" s="98" t="s">
        <v>568</v>
      </c>
      <c r="G8889" s="81"/>
      <c r="H8889" s="81"/>
      <c r="I8889" s="81"/>
      <c r="J8889" s="81"/>
      <c r="K8889" s="81"/>
      <c r="L8889" s="81"/>
      <c r="M8889" s="81"/>
      <c r="N8889" s="81"/>
    </row>
    <row r="8890" spans="1:14" ht="14.25" customHeight="1" x14ac:dyDescent="0.25">
      <c r="A8890" s="607" t="s">
        <v>577</v>
      </c>
      <c r="B8890" s="608"/>
      <c r="C8890" s="609"/>
      <c r="D8890" s="116"/>
      <c r="E8890" s="107"/>
      <c r="F8890" s="106">
        <f>+F8903*5%</f>
        <v>4673.804485277039</v>
      </c>
      <c r="G8890" s="81"/>
      <c r="H8890" s="81"/>
      <c r="I8890" s="81"/>
      <c r="J8890" s="81"/>
      <c r="K8890" s="81"/>
      <c r="L8890" s="81"/>
      <c r="M8890" s="81"/>
      <c r="N8890" s="81"/>
    </row>
    <row r="8891" spans="1:14" ht="14.25" customHeight="1" x14ac:dyDescent="0.25">
      <c r="A8891" s="607"/>
      <c r="B8891" s="608"/>
      <c r="C8891" s="609"/>
      <c r="D8891" s="142"/>
      <c r="E8891" s="105"/>
      <c r="F8891" s="106"/>
      <c r="G8891" s="81"/>
      <c r="H8891" s="81"/>
      <c r="I8891" s="81"/>
      <c r="J8891" s="81"/>
      <c r="K8891" s="81"/>
      <c r="L8891" s="81"/>
      <c r="M8891" s="81"/>
      <c r="N8891" s="81"/>
    </row>
    <row r="8892" spans="1:14" ht="14.25" customHeight="1" x14ac:dyDescent="0.25">
      <c r="A8892" s="607"/>
      <c r="B8892" s="608"/>
      <c r="C8892" s="609"/>
      <c r="D8892" s="142"/>
      <c r="E8892" s="105"/>
      <c r="F8892" s="106"/>
      <c r="G8892" s="81"/>
      <c r="H8892" s="81"/>
      <c r="I8892" s="81"/>
      <c r="J8892" s="81"/>
      <c r="K8892" s="81"/>
      <c r="L8892" s="81"/>
      <c r="M8892" s="81"/>
      <c r="N8892" s="81"/>
    </row>
    <row r="8893" spans="1:14" ht="14.25" customHeight="1" x14ac:dyDescent="0.25">
      <c r="A8893" s="607"/>
      <c r="B8893" s="608"/>
      <c r="C8893" s="609"/>
      <c r="D8893" s="142"/>
      <c r="E8893" s="107"/>
      <c r="F8893" s="106"/>
      <c r="G8893" s="81"/>
      <c r="H8893" s="81"/>
      <c r="I8893" s="81"/>
      <c r="J8893" s="81"/>
      <c r="K8893" s="81"/>
      <c r="L8893" s="81"/>
      <c r="M8893" s="81"/>
      <c r="N8893" s="81"/>
    </row>
    <row r="8894" spans="1:14" ht="14.25" customHeight="1" x14ac:dyDescent="0.25">
      <c r="A8894" s="610"/>
      <c r="B8894" s="608"/>
      <c r="C8894" s="609"/>
      <c r="D8894" s="115"/>
      <c r="E8894" s="107"/>
      <c r="F8894" s="106"/>
      <c r="G8894" s="81"/>
      <c r="H8894" s="81"/>
      <c r="I8894" s="81"/>
      <c r="J8894" s="81"/>
      <c r="K8894" s="81"/>
      <c r="L8894" s="81"/>
      <c r="M8894" s="81"/>
      <c r="N8894" s="81"/>
    </row>
    <row r="8895" spans="1:14" ht="14.25" customHeight="1" x14ac:dyDescent="0.25">
      <c r="A8895" s="611" t="s">
        <v>548</v>
      </c>
      <c r="B8895" s="608"/>
      <c r="C8895" s="609"/>
      <c r="D8895" s="110"/>
      <c r="E8895" s="110"/>
      <c r="F8895" s="112">
        <f>SUM(F8890:F8893)</f>
        <v>4673.804485277039</v>
      </c>
      <c r="G8895" s="81"/>
      <c r="H8895" s="81"/>
      <c r="I8895" s="81"/>
      <c r="J8895" s="81"/>
      <c r="K8895" s="81"/>
      <c r="L8895" s="81"/>
      <c r="M8895" s="81"/>
      <c r="N8895" s="81"/>
    </row>
    <row r="8896" spans="1:14" ht="14.25" customHeight="1" x14ac:dyDescent="0.25">
      <c r="A8896" s="88"/>
      <c r="B8896" s="88"/>
      <c r="C8896" s="89"/>
      <c r="D8896" s="113"/>
      <c r="E8896" s="113"/>
      <c r="F8896" s="113"/>
      <c r="G8896" s="81"/>
      <c r="H8896" s="81"/>
      <c r="I8896" s="81"/>
      <c r="J8896" s="81"/>
      <c r="K8896" s="81"/>
      <c r="L8896" s="81"/>
      <c r="M8896" s="81"/>
      <c r="N8896" s="81"/>
    </row>
    <row r="8897" spans="1:14" ht="14.25" customHeight="1" x14ac:dyDescent="0.25">
      <c r="A8897" s="96" t="s">
        <v>578</v>
      </c>
      <c r="B8897" s="96"/>
      <c r="C8897" s="92"/>
      <c r="D8897" s="118"/>
      <c r="E8897" s="118"/>
      <c r="F8897" s="118"/>
      <c r="G8897" s="81"/>
      <c r="H8897" s="81"/>
      <c r="I8897" s="81"/>
      <c r="J8897" s="81"/>
      <c r="K8897" s="81"/>
      <c r="L8897" s="81"/>
      <c r="M8897" s="81"/>
      <c r="N8897" s="81"/>
    </row>
    <row r="8898" spans="1:14" ht="38.25" x14ac:dyDescent="0.25">
      <c r="A8898" s="119" t="s">
        <v>563</v>
      </c>
      <c r="B8898" s="120" t="s">
        <v>579</v>
      </c>
      <c r="C8898" s="120" t="s">
        <v>580</v>
      </c>
      <c r="D8898" s="121" t="s">
        <v>581</v>
      </c>
      <c r="E8898" s="121" t="s">
        <v>575</v>
      </c>
      <c r="F8898" s="121" t="s">
        <v>568</v>
      </c>
      <c r="G8898" s="81"/>
      <c r="H8898" s="81"/>
      <c r="I8898" s="81"/>
      <c r="J8898" s="81"/>
      <c r="K8898" s="81"/>
      <c r="L8898" s="81"/>
      <c r="M8898" s="81"/>
      <c r="N8898" s="81"/>
    </row>
    <row r="8899" spans="1:14" ht="14.25" customHeight="1" x14ac:dyDescent="0.25">
      <c r="A8899" s="122" t="s">
        <v>593</v>
      </c>
      <c r="B8899" s="127">
        <v>1</v>
      </c>
      <c r="C8899" s="101">
        <v>32688</v>
      </c>
      <c r="D8899" s="101">
        <f t="shared" ref="D8899:D8900" si="438">+C8899*1.7</f>
        <v>55569.599999999999</v>
      </c>
      <c r="E8899" s="107">
        <v>1.54996</v>
      </c>
      <c r="F8899" s="106">
        <f t="shared" ref="F8899:F8900" si="439">+B8899*(D8899)/E8899</f>
        <v>35852.280058840224</v>
      </c>
      <c r="G8899" s="81"/>
      <c r="H8899" s="81"/>
      <c r="I8899" s="81"/>
      <c r="J8899" s="81"/>
      <c r="K8899" s="81"/>
      <c r="L8899" s="81"/>
      <c r="M8899" s="81"/>
      <c r="N8899" s="81"/>
    </row>
    <row r="8900" spans="1:14" ht="14.25" customHeight="1" x14ac:dyDescent="0.25">
      <c r="A8900" s="122" t="s">
        <v>594</v>
      </c>
      <c r="B8900" s="127">
        <v>1</v>
      </c>
      <c r="C8900" s="101">
        <v>52538</v>
      </c>
      <c r="D8900" s="101">
        <f t="shared" si="438"/>
        <v>89314.599999999991</v>
      </c>
      <c r="E8900" s="107">
        <f>E8899</f>
        <v>1.54996</v>
      </c>
      <c r="F8900" s="106">
        <f t="shared" si="439"/>
        <v>57623.809646700553</v>
      </c>
      <c r="G8900" s="81"/>
      <c r="H8900" s="81"/>
      <c r="I8900" s="81"/>
      <c r="J8900" s="81"/>
      <c r="K8900" s="81"/>
      <c r="L8900" s="81"/>
      <c r="M8900" s="81"/>
      <c r="N8900" s="81"/>
    </row>
    <row r="8901" spans="1:14" ht="14.25" customHeight="1" x14ac:dyDescent="0.25">
      <c r="A8901" s="122"/>
      <c r="B8901" s="127"/>
      <c r="C8901" s="101"/>
      <c r="D8901" s="101"/>
      <c r="E8901" s="105"/>
      <c r="F8901" s="106"/>
      <c r="G8901" s="81"/>
      <c r="H8901" s="81"/>
      <c r="I8901" s="81"/>
      <c r="J8901" s="81"/>
      <c r="K8901" s="81"/>
      <c r="L8901" s="81"/>
      <c r="M8901" s="81"/>
      <c r="N8901" s="81"/>
    </row>
    <row r="8902" spans="1:14" ht="14.25" customHeight="1" x14ac:dyDescent="0.25">
      <c r="A8902" s="122"/>
      <c r="B8902" s="127"/>
      <c r="C8902" s="101"/>
      <c r="D8902" s="101"/>
      <c r="E8902" s="125"/>
      <c r="F8902" s="106"/>
      <c r="G8902" s="81"/>
      <c r="H8902" s="81"/>
      <c r="I8902" s="81"/>
      <c r="J8902" s="81"/>
      <c r="K8902" s="81"/>
      <c r="L8902" s="81"/>
      <c r="M8902" s="81"/>
      <c r="N8902" s="81"/>
    </row>
    <row r="8903" spans="1:14" ht="14.25" customHeight="1" x14ac:dyDescent="0.25">
      <c r="A8903" s="97" t="s">
        <v>548</v>
      </c>
      <c r="B8903" s="128"/>
      <c r="C8903" s="110"/>
      <c r="D8903" s="110"/>
      <c r="E8903" s="110"/>
      <c r="F8903" s="112">
        <f>SUM(F8899:F8902)</f>
        <v>93476.08970554077</v>
      </c>
      <c r="G8903" s="81"/>
      <c r="H8903" s="81"/>
      <c r="I8903" s="81"/>
      <c r="J8903" s="81"/>
      <c r="K8903" s="81"/>
      <c r="L8903" s="81"/>
      <c r="M8903" s="81"/>
      <c r="N8903" s="81"/>
    </row>
    <row r="8904" spans="1:14" ht="14.25" customHeight="1" x14ac:dyDescent="0.25">
      <c r="A8904" s="96"/>
      <c r="B8904" s="129"/>
      <c r="C8904" s="118"/>
      <c r="D8904" s="118"/>
      <c r="E8904" s="118"/>
      <c r="F8904" s="118"/>
      <c r="G8904" s="81"/>
      <c r="H8904" s="81"/>
      <c r="I8904" s="81"/>
      <c r="J8904" s="81"/>
      <c r="K8904" s="81"/>
      <c r="L8904" s="81"/>
      <c r="M8904" s="81"/>
      <c r="N8904" s="81"/>
    </row>
    <row r="8905" spans="1:14" ht="14.25" customHeight="1" x14ac:dyDescent="0.25">
      <c r="A8905" s="95" t="s">
        <v>583</v>
      </c>
      <c r="B8905" s="96"/>
      <c r="C8905" s="92"/>
      <c r="D8905" s="92"/>
      <c r="E8905" s="92" t="s">
        <v>584</v>
      </c>
      <c r="F8905" s="92"/>
      <c r="G8905" s="81"/>
      <c r="H8905" s="81"/>
      <c r="I8905" s="81"/>
      <c r="J8905" s="81"/>
      <c r="K8905" s="81"/>
      <c r="L8905" s="81"/>
      <c r="M8905" s="81"/>
      <c r="N8905" s="81"/>
    </row>
    <row r="8906" spans="1:14" ht="14.25" customHeight="1" x14ac:dyDescent="0.25">
      <c r="A8906" s="97" t="s">
        <v>563</v>
      </c>
      <c r="B8906" s="98" t="s">
        <v>564</v>
      </c>
      <c r="C8906" s="98" t="s">
        <v>585</v>
      </c>
      <c r="D8906" s="98" t="s">
        <v>586</v>
      </c>
      <c r="E8906" s="120" t="s">
        <v>587</v>
      </c>
      <c r="F8906" s="98" t="s">
        <v>568</v>
      </c>
      <c r="G8906" s="81"/>
      <c r="H8906" s="81"/>
      <c r="I8906" s="81"/>
      <c r="J8906" s="81"/>
      <c r="K8906" s="81"/>
      <c r="L8906" s="81"/>
      <c r="M8906" s="81"/>
      <c r="N8906" s="81"/>
    </row>
    <row r="8907" spans="1:14" ht="14.25" customHeight="1" x14ac:dyDescent="0.25">
      <c r="A8907" s="103"/>
      <c r="B8907" s="100"/>
      <c r="C8907" s="101"/>
      <c r="D8907" s="140"/>
      <c r="E8907" s="107"/>
      <c r="F8907" s="109"/>
      <c r="G8907" s="81"/>
      <c r="H8907" s="81"/>
      <c r="I8907" s="81"/>
      <c r="J8907" s="81"/>
      <c r="K8907" s="81"/>
      <c r="L8907" s="81"/>
      <c r="M8907" s="81"/>
      <c r="N8907" s="81"/>
    </row>
    <row r="8908" spans="1:14" ht="14.25" customHeight="1" x14ac:dyDescent="0.25">
      <c r="A8908" s="103"/>
      <c r="B8908" s="100"/>
      <c r="C8908" s="107"/>
      <c r="D8908" s="107"/>
      <c r="E8908" s="108"/>
      <c r="F8908" s="109"/>
      <c r="G8908" s="81"/>
      <c r="H8908" s="81"/>
      <c r="I8908" s="81"/>
      <c r="J8908" s="81"/>
      <c r="K8908" s="81"/>
      <c r="L8908" s="81"/>
      <c r="M8908" s="81"/>
      <c r="N8908" s="81"/>
    </row>
    <row r="8909" spans="1:14" ht="14.25" customHeight="1" x14ac:dyDescent="0.25">
      <c r="A8909" s="97" t="s">
        <v>548</v>
      </c>
      <c r="B8909" s="98"/>
      <c r="C8909" s="110"/>
      <c r="D8909" s="110"/>
      <c r="E8909" s="111"/>
      <c r="F8909" s="112">
        <f>SUM(F8907:F8908)</f>
        <v>0</v>
      </c>
      <c r="G8909" s="81"/>
      <c r="H8909" s="81"/>
      <c r="I8909" s="81"/>
      <c r="J8909" s="81"/>
      <c r="K8909" s="81"/>
      <c r="L8909" s="81"/>
      <c r="M8909" s="81"/>
      <c r="N8909" s="81"/>
    </row>
    <row r="8910" spans="1:14" ht="14.25" customHeight="1" x14ac:dyDescent="0.25">
      <c r="A8910" s="88"/>
      <c r="B8910" s="89"/>
      <c r="C8910" s="113"/>
      <c r="D8910" s="113"/>
      <c r="E8910" s="114"/>
      <c r="F8910" s="113"/>
      <c r="G8910" s="81"/>
      <c r="H8910" s="81"/>
      <c r="I8910" s="81"/>
      <c r="J8910" s="81"/>
      <c r="K8910" s="81"/>
      <c r="L8910" s="81"/>
      <c r="M8910" s="81"/>
      <c r="N8910" s="81"/>
    </row>
    <row r="8911" spans="1:14" ht="14.25" customHeight="1" x14ac:dyDescent="0.25">
      <c r="A8911" s="88"/>
      <c r="B8911" s="89"/>
      <c r="C8911" s="113"/>
      <c r="D8911" s="113"/>
      <c r="E8911" s="114"/>
      <c r="F8911" s="113"/>
      <c r="G8911" s="81"/>
      <c r="H8911" s="81"/>
      <c r="I8911" s="81"/>
      <c r="J8911" s="81"/>
      <c r="K8911" s="81"/>
      <c r="L8911" s="81"/>
      <c r="M8911" s="81"/>
      <c r="N8911" s="81"/>
    </row>
    <row r="8912" spans="1:14" ht="14.25" customHeight="1" x14ac:dyDescent="0.25">
      <c r="A8912" s="612" t="s">
        <v>588</v>
      </c>
      <c r="B8912" s="608"/>
      <c r="C8912" s="608"/>
      <c r="D8912" s="608"/>
      <c r="E8912" s="609"/>
      <c r="F8912" s="131">
        <f>ROUND(F8886+F8895+F8903+F8909,0)</f>
        <v>995370</v>
      </c>
      <c r="G8912" s="81"/>
      <c r="H8912" s="81"/>
      <c r="I8912" s="81"/>
      <c r="J8912" s="81"/>
      <c r="K8912" s="81"/>
      <c r="L8912" s="81"/>
      <c r="M8912" s="81"/>
      <c r="N8912" s="81"/>
    </row>
    <row r="8913" spans="1:14" ht="14.25" customHeight="1" x14ac:dyDescent="0.25">
      <c r="A8913" s="612" t="s">
        <v>589</v>
      </c>
      <c r="B8913" s="608"/>
      <c r="C8913" s="608"/>
      <c r="D8913" s="608"/>
      <c r="E8913" s="609"/>
      <c r="F8913" s="132"/>
      <c r="G8913" s="81"/>
      <c r="H8913" s="81"/>
      <c r="I8913" s="81"/>
      <c r="J8913" s="81"/>
      <c r="K8913" s="81"/>
      <c r="L8913" s="81"/>
      <c r="M8913" s="81"/>
      <c r="N8913" s="81"/>
    </row>
    <row r="8914" spans="1:14" ht="14.25" customHeight="1" x14ac:dyDescent="0.25">
      <c r="A8914" s="146" t="s">
        <v>556</v>
      </c>
      <c r="B8914" s="147"/>
      <c r="C8914" s="147"/>
      <c r="D8914" s="147"/>
      <c r="E8914" s="148"/>
      <c r="F8914" s="133"/>
      <c r="G8914" s="81"/>
      <c r="H8914" s="81"/>
      <c r="I8914" s="81"/>
      <c r="J8914" s="81"/>
      <c r="K8914" s="81"/>
      <c r="L8914" s="81"/>
      <c r="M8914" s="81"/>
      <c r="N8914" s="81"/>
    </row>
    <row r="8915" spans="1:14" ht="14.25" customHeight="1" x14ac:dyDescent="0.25">
      <c r="A8915" s="134"/>
      <c r="B8915" s="135"/>
      <c r="C8915" s="135"/>
      <c r="D8915" s="135"/>
      <c r="E8915" s="135"/>
      <c r="F8915" s="136"/>
      <c r="G8915" s="81"/>
      <c r="H8915" s="81"/>
      <c r="I8915" s="81"/>
      <c r="J8915" s="81"/>
      <c r="K8915" s="81"/>
      <c r="L8915" s="81"/>
      <c r="M8915" s="81"/>
      <c r="N8915" s="81"/>
    </row>
    <row r="8916" spans="1:14" ht="14.25" customHeight="1" x14ac:dyDescent="0.25">
      <c r="A8916" s="81"/>
      <c r="B8916" s="81"/>
      <c r="C8916" s="137"/>
      <c r="D8916" s="81"/>
      <c r="E8916" s="81"/>
      <c r="F8916" s="81"/>
      <c r="G8916" s="81"/>
      <c r="H8916" s="81"/>
      <c r="I8916" s="81"/>
      <c r="J8916" s="81"/>
      <c r="K8916" s="81"/>
      <c r="L8916" s="81"/>
      <c r="M8916" s="81"/>
      <c r="N8916" s="81"/>
    </row>
    <row r="8917" spans="1:14" ht="14.25" customHeight="1" x14ac:dyDescent="0.25">
      <c r="A8917" s="81"/>
      <c r="B8917" s="81"/>
      <c r="C8917" s="137"/>
      <c r="D8917" s="81"/>
      <c r="E8917" s="81"/>
      <c r="F8917" s="81"/>
      <c r="G8917" s="81"/>
      <c r="H8917" s="81"/>
      <c r="I8917" s="81"/>
      <c r="J8917" s="81"/>
      <c r="K8917" s="81"/>
      <c r="L8917" s="81"/>
      <c r="M8917" s="81"/>
      <c r="N8917" s="81"/>
    </row>
    <row r="8918" spans="1:14" ht="14.25" customHeight="1" x14ac:dyDescent="0.25">
      <c r="A8918" s="81"/>
      <c r="B8918" s="81"/>
      <c r="C8918" s="137"/>
      <c r="D8918" s="81"/>
      <c r="E8918" s="81"/>
      <c r="F8918" s="81"/>
      <c r="G8918" s="81"/>
      <c r="H8918" s="81"/>
      <c r="I8918" s="81"/>
      <c r="J8918" s="81"/>
      <c r="K8918" s="81"/>
      <c r="L8918" s="81"/>
      <c r="M8918" s="81"/>
      <c r="N8918" s="81"/>
    </row>
    <row r="8919" spans="1:14" ht="14.25" customHeight="1" x14ac:dyDescent="0.25">
      <c r="A8919" s="81"/>
      <c r="B8919" s="81"/>
      <c r="C8919" s="137"/>
      <c r="D8919" s="81"/>
      <c r="E8919" s="81"/>
      <c r="F8919" s="81"/>
      <c r="G8919" s="81"/>
      <c r="H8919" s="81"/>
      <c r="I8919" s="81"/>
      <c r="J8919" s="81"/>
      <c r="K8919" s="81"/>
      <c r="L8919" s="81"/>
      <c r="M8919" s="81"/>
      <c r="N8919" s="81"/>
    </row>
    <row r="8920" spans="1:14" ht="14.25" customHeight="1" x14ac:dyDescent="0.25">
      <c r="A8920" s="81"/>
      <c r="B8920" s="81"/>
      <c r="C8920" s="137"/>
      <c r="D8920" s="81"/>
      <c r="E8920" s="81"/>
      <c r="F8920" s="81"/>
      <c r="G8920" s="81"/>
      <c r="H8920" s="81"/>
      <c r="I8920" s="81"/>
      <c r="J8920" s="81"/>
      <c r="K8920" s="81"/>
      <c r="L8920" s="81"/>
      <c r="M8920" s="81"/>
      <c r="N8920" s="81"/>
    </row>
    <row r="8921" spans="1:14" ht="14.25" customHeight="1" x14ac:dyDescent="0.25">
      <c r="A8921" s="81"/>
      <c r="B8921" s="81"/>
      <c r="C8921" s="137"/>
      <c r="D8921" s="81"/>
      <c r="E8921" s="81"/>
      <c r="F8921" s="81"/>
      <c r="G8921" s="81"/>
      <c r="H8921" s="81"/>
      <c r="I8921" s="81"/>
      <c r="J8921" s="81"/>
      <c r="K8921" s="81"/>
      <c r="L8921" s="81"/>
      <c r="M8921" s="81"/>
      <c r="N8921" s="81"/>
    </row>
    <row r="8922" spans="1:14" ht="14.25" customHeight="1" x14ac:dyDescent="0.25">
      <c r="A8922" s="134"/>
      <c r="B8922" s="135"/>
      <c r="C8922" s="135"/>
      <c r="D8922" s="135"/>
      <c r="E8922" s="135"/>
      <c r="F8922" s="136"/>
      <c r="G8922" s="81"/>
      <c r="H8922" s="81"/>
      <c r="I8922" s="81"/>
      <c r="J8922" s="81"/>
      <c r="K8922" s="81"/>
      <c r="L8922" s="81"/>
      <c r="M8922" s="81"/>
      <c r="N8922" s="81"/>
    </row>
    <row r="8923" spans="1:14" ht="14.25" customHeight="1" x14ac:dyDescent="0.25">
      <c r="A8923" s="134"/>
      <c r="B8923" s="135"/>
      <c r="C8923" s="135"/>
      <c r="D8923" s="135"/>
      <c r="E8923" s="135"/>
      <c r="F8923" s="136"/>
      <c r="G8923" s="81"/>
      <c r="H8923" s="81"/>
      <c r="I8923" s="81"/>
      <c r="J8923" s="81"/>
      <c r="K8923" s="81"/>
      <c r="L8923" s="81"/>
      <c r="M8923" s="81"/>
      <c r="N8923" s="81"/>
    </row>
    <row r="8924" spans="1:14" ht="14.25" customHeight="1" x14ac:dyDescent="0.25">
      <c r="A8924" s="134"/>
      <c r="B8924" s="135"/>
      <c r="C8924" s="135"/>
      <c r="D8924" s="135"/>
      <c r="E8924" s="135"/>
      <c r="F8924" s="136"/>
      <c r="G8924" s="81"/>
      <c r="H8924" s="81"/>
      <c r="I8924" s="81"/>
      <c r="J8924" s="81"/>
      <c r="K8924" s="81"/>
      <c r="L8924" s="81"/>
      <c r="M8924" s="81"/>
      <c r="N8924" s="81"/>
    </row>
    <row r="8925" spans="1:14" ht="14.25" customHeight="1" thickBot="1" x14ac:dyDescent="0.3">
      <c r="A8925" s="81"/>
      <c r="B8925" s="81"/>
      <c r="C8925" s="81"/>
      <c r="D8925" s="81"/>
      <c r="E8925" s="81"/>
      <c r="F8925" s="81"/>
      <c r="G8925" s="81"/>
      <c r="H8925" s="81"/>
      <c r="I8925" s="81"/>
      <c r="J8925" s="81"/>
      <c r="K8925" s="81"/>
      <c r="L8925" s="81"/>
      <c r="M8925" s="81"/>
      <c r="N8925" s="81"/>
    </row>
    <row r="8926" spans="1:14" ht="14.25" customHeight="1" x14ac:dyDescent="0.25">
      <c r="A8926" s="83"/>
      <c r="B8926" s="84"/>
      <c r="C8926" s="85"/>
      <c r="D8926" s="86"/>
      <c r="E8926" s="86"/>
      <c r="F8926" s="87"/>
      <c r="G8926" s="81"/>
      <c r="H8926" s="81"/>
      <c r="I8926" s="81"/>
      <c r="J8926" s="81"/>
      <c r="K8926" s="81"/>
      <c r="L8926" s="81"/>
      <c r="M8926" s="81"/>
      <c r="N8926" s="81"/>
    </row>
    <row r="8927" spans="1:14" ht="14.25" customHeight="1" x14ac:dyDescent="0.25">
      <c r="A8927" s="599"/>
      <c r="B8927" s="600"/>
      <c r="C8927" s="600"/>
      <c r="D8927" s="600"/>
      <c r="E8927" s="600"/>
      <c r="F8927" s="601"/>
      <c r="G8927" s="81"/>
      <c r="H8927" s="81"/>
      <c r="I8927" s="81"/>
      <c r="J8927" s="81"/>
      <c r="K8927" s="81"/>
      <c r="L8927" s="81"/>
      <c r="M8927" s="81"/>
      <c r="N8927" s="81"/>
    </row>
    <row r="8928" spans="1:14" ht="14.25" customHeight="1" x14ac:dyDescent="0.25">
      <c r="A8928" s="602" t="s">
        <v>561</v>
      </c>
      <c r="B8928" s="600"/>
      <c r="C8928" s="600"/>
      <c r="D8928" s="600"/>
      <c r="E8928" s="600"/>
      <c r="F8928" s="601"/>
      <c r="G8928" s="81"/>
      <c r="H8928" s="81"/>
      <c r="I8928" s="81"/>
      <c r="J8928" s="81"/>
      <c r="K8928" s="81"/>
      <c r="L8928" s="81"/>
      <c r="M8928" s="81"/>
      <c r="N8928" s="81"/>
    </row>
    <row r="8929" spans="1:14" ht="14.25" customHeight="1" thickBot="1" x14ac:dyDescent="0.3">
      <c r="A8929" s="603"/>
      <c r="B8929" s="604"/>
      <c r="C8929" s="604"/>
      <c r="D8929" s="604"/>
      <c r="E8929" s="604"/>
      <c r="F8929" s="605"/>
      <c r="G8929" s="81"/>
      <c r="H8929" s="81"/>
      <c r="I8929" s="81"/>
      <c r="J8929" s="81"/>
      <c r="K8929" s="81"/>
      <c r="L8929" s="81"/>
      <c r="M8929" s="81"/>
      <c r="N8929" s="81"/>
    </row>
    <row r="8930" spans="1:14" ht="14.25" customHeight="1" x14ac:dyDescent="0.25">
      <c r="A8930" s="88"/>
      <c r="B8930" s="88"/>
      <c r="C8930" s="89"/>
      <c r="D8930" s="89"/>
      <c r="E8930" s="89"/>
      <c r="F8930" s="89"/>
      <c r="G8930" s="81"/>
      <c r="H8930" s="81"/>
      <c r="I8930" s="81"/>
      <c r="J8930" s="81"/>
      <c r="K8930" s="81"/>
      <c r="L8930" s="81"/>
      <c r="M8930" s="81"/>
      <c r="N8930" s="81"/>
    </row>
    <row r="8931" spans="1:14" ht="14.25" customHeight="1" x14ac:dyDescent="0.25">
      <c r="A8931" s="90" t="s">
        <v>47</v>
      </c>
      <c r="B8931" s="613" t="s">
        <v>838</v>
      </c>
      <c r="C8931" s="600"/>
      <c r="D8931" s="600"/>
      <c r="E8931" s="600"/>
      <c r="F8931" s="600"/>
      <c r="G8931" s="81"/>
      <c r="H8931" s="81"/>
      <c r="I8931" s="81"/>
      <c r="J8931" s="81"/>
      <c r="K8931" s="81"/>
      <c r="L8931" s="81"/>
      <c r="M8931" s="81"/>
      <c r="N8931" s="81"/>
    </row>
    <row r="8932" spans="1:14" ht="14.25" customHeight="1" x14ac:dyDescent="0.25">
      <c r="A8932" s="91"/>
      <c r="B8932" s="91"/>
      <c r="C8932" s="91"/>
      <c r="D8932" s="91"/>
      <c r="E8932" s="91"/>
      <c r="F8932" s="91"/>
      <c r="G8932" s="81"/>
      <c r="H8932" s="81"/>
      <c r="I8932" s="81"/>
      <c r="J8932" s="81"/>
      <c r="K8932" s="81"/>
      <c r="L8932" s="81"/>
      <c r="M8932" s="81"/>
      <c r="N8932" s="81"/>
    </row>
    <row r="8933" spans="1:14" ht="14.25" customHeight="1" x14ac:dyDescent="0.25">
      <c r="A8933" s="88" t="s">
        <v>49</v>
      </c>
      <c r="B8933" s="92" t="s">
        <v>99</v>
      </c>
      <c r="C8933" s="89"/>
      <c r="D8933" s="89"/>
      <c r="E8933" s="89"/>
      <c r="F8933" s="93"/>
      <c r="G8933" s="81"/>
      <c r="H8933" s="81"/>
      <c r="I8933" s="81"/>
      <c r="J8933" s="81"/>
      <c r="K8933" s="81"/>
      <c r="L8933" s="81"/>
      <c r="M8933" s="81"/>
      <c r="N8933" s="81"/>
    </row>
    <row r="8934" spans="1:14" ht="14.25" customHeight="1" x14ac:dyDescent="0.25">
      <c r="A8934" s="88"/>
      <c r="B8934" s="94"/>
      <c r="C8934" s="89"/>
      <c r="D8934" s="89"/>
      <c r="E8934" s="89"/>
      <c r="F8934" s="93"/>
      <c r="G8934" s="81"/>
      <c r="H8934" s="81"/>
      <c r="I8934" s="81"/>
      <c r="J8934" s="81"/>
      <c r="K8934" s="81"/>
      <c r="L8934" s="81"/>
      <c r="M8934" s="81"/>
      <c r="N8934" s="81"/>
    </row>
    <row r="8935" spans="1:14" ht="14.25" customHeight="1" x14ac:dyDescent="0.25">
      <c r="A8935" s="95" t="s">
        <v>562</v>
      </c>
      <c r="B8935" s="96"/>
      <c r="C8935" s="92"/>
      <c r="D8935" s="92"/>
      <c r="E8935" s="92"/>
      <c r="F8935" s="92"/>
      <c r="G8935" s="81"/>
      <c r="H8935" s="81"/>
      <c r="I8935" s="81"/>
      <c r="J8935" s="81"/>
      <c r="K8935" s="81"/>
      <c r="L8935" s="81"/>
      <c r="M8935" s="81"/>
      <c r="N8935" s="81"/>
    </row>
    <row r="8936" spans="1:14" ht="14.25" customHeight="1" x14ac:dyDescent="0.25">
      <c r="A8936" s="97" t="s">
        <v>563</v>
      </c>
      <c r="B8936" s="98" t="s">
        <v>564</v>
      </c>
      <c r="C8936" s="98" t="s">
        <v>565</v>
      </c>
      <c r="D8936" s="98" t="s">
        <v>566</v>
      </c>
      <c r="E8936" s="98" t="s">
        <v>567</v>
      </c>
      <c r="F8936" s="98" t="s">
        <v>568</v>
      </c>
      <c r="G8936" s="81"/>
      <c r="H8936" s="81"/>
      <c r="I8936" s="81"/>
      <c r="J8936" s="81"/>
      <c r="K8936" s="81"/>
      <c r="L8936" s="81"/>
      <c r="M8936" s="81"/>
      <c r="N8936" s="81"/>
    </row>
    <row r="8937" spans="1:14" ht="14.25" customHeight="1" x14ac:dyDescent="0.25">
      <c r="A8937" s="99" t="s">
        <v>839</v>
      </c>
      <c r="B8937" s="100" t="s">
        <v>99</v>
      </c>
      <c r="C8937" s="101">
        <v>987430</v>
      </c>
      <c r="D8937" s="149">
        <v>1</v>
      </c>
      <c r="E8937" s="102"/>
      <c r="F8937" s="101">
        <f>C8937*(D8937+(D8937*E8937))</f>
        <v>987430</v>
      </c>
      <c r="G8937" s="81"/>
      <c r="H8937" s="81"/>
      <c r="I8937" s="81"/>
      <c r="J8937" s="81"/>
      <c r="K8937" s="81"/>
      <c r="L8937" s="81"/>
      <c r="M8937" s="81"/>
      <c r="N8937" s="81"/>
    </row>
    <row r="8938" spans="1:14" ht="14.25" customHeight="1" x14ac:dyDescent="0.25">
      <c r="A8938" s="99"/>
      <c r="B8938" s="100"/>
      <c r="C8938" s="101"/>
      <c r="D8938" s="149"/>
      <c r="E8938" s="102"/>
      <c r="F8938" s="101"/>
      <c r="G8938" s="81"/>
      <c r="H8938" s="81"/>
      <c r="I8938" s="81"/>
      <c r="J8938" s="81"/>
      <c r="K8938" s="81"/>
      <c r="L8938" s="81"/>
      <c r="M8938" s="81"/>
      <c r="N8938" s="81"/>
    </row>
    <row r="8939" spans="1:14" ht="14.25" customHeight="1" x14ac:dyDescent="0.25">
      <c r="A8939" s="99"/>
      <c r="B8939" s="100"/>
      <c r="C8939" s="101"/>
      <c r="D8939" s="149"/>
      <c r="E8939" s="102"/>
      <c r="F8939" s="101"/>
      <c r="G8939" s="81"/>
      <c r="H8939" s="81"/>
      <c r="I8939" s="81"/>
      <c r="J8939" s="81"/>
      <c r="K8939" s="81"/>
      <c r="L8939" s="81"/>
      <c r="M8939" s="81"/>
      <c r="N8939" s="81"/>
    </row>
    <row r="8940" spans="1:14" ht="14.25" customHeight="1" x14ac:dyDescent="0.25">
      <c r="A8940" s="99"/>
      <c r="B8940" s="100"/>
      <c r="C8940" s="101"/>
      <c r="D8940" s="104"/>
      <c r="E8940" s="102"/>
      <c r="F8940" s="101"/>
      <c r="G8940" s="81"/>
      <c r="H8940" s="117"/>
      <c r="I8940" s="81"/>
      <c r="J8940" s="81"/>
      <c r="K8940" s="81"/>
      <c r="L8940" s="81"/>
      <c r="M8940" s="81"/>
      <c r="N8940" s="81"/>
    </row>
    <row r="8941" spans="1:14" ht="14.25" customHeight="1" x14ac:dyDescent="0.25">
      <c r="A8941" s="99"/>
      <c r="B8941" s="100"/>
      <c r="C8941" s="101"/>
      <c r="D8941" s="104"/>
      <c r="E8941" s="102"/>
      <c r="F8941" s="101"/>
      <c r="G8941" s="81"/>
      <c r="H8941" s="81"/>
      <c r="I8941" s="81"/>
      <c r="J8941" s="81"/>
      <c r="K8941" s="81"/>
      <c r="L8941" s="81"/>
      <c r="M8941" s="81"/>
      <c r="N8941" s="81"/>
    </row>
    <row r="8942" spans="1:14" ht="14.25" customHeight="1" x14ac:dyDescent="0.25">
      <c r="A8942" s="99"/>
      <c r="B8942" s="100"/>
      <c r="C8942" s="106"/>
      <c r="D8942" s="107"/>
      <c r="E8942" s="108"/>
      <c r="F8942" s="106"/>
      <c r="G8942" s="81"/>
      <c r="H8942" s="81"/>
      <c r="I8942" s="81"/>
      <c r="J8942" s="81"/>
      <c r="K8942" s="81"/>
      <c r="L8942" s="81"/>
      <c r="M8942" s="81"/>
      <c r="N8942" s="81"/>
    </row>
    <row r="8943" spans="1:14" ht="14.25" customHeight="1" x14ac:dyDescent="0.25">
      <c r="A8943" s="97" t="s">
        <v>548</v>
      </c>
      <c r="B8943" s="97"/>
      <c r="C8943" s="109"/>
      <c r="D8943" s="110"/>
      <c r="E8943" s="111"/>
      <c r="F8943" s="112">
        <f>SUM(F8937:F8942)</f>
        <v>987430</v>
      </c>
      <c r="G8943" s="81"/>
      <c r="H8943" s="81"/>
      <c r="I8943" s="81"/>
      <c r="J8943" s="81"/>
      <c r="K8943" s="81"/>
      <c r="L8943" s="81"/>
      <c r="M8943" s="81"/>
      <c r="N8943" s="81"/>
    </row>
    <row r="8944" spans="1:14" ht="14.25" customHeight="1" x14ac:dyDescent="0.25">
      <c r="A8944" s="88"/>
      <c r="B8944" s="88"/>
      <c r="C8944" s="113"/>
      <c r="D8944" s="113"/>
      <c r="E8944" s="114"/>
      <c r="F8944" s="113"/>
      <c r="G8944" s="81"/>
      <c r="H8944" s="81"/>
      <c r="I8944" s="81"/>
      <c r="J8944" s="81"/>
      <c r="K8944" s="81"/>
      <c r="L8944" s="81"/>
      <c r="M8944" s="81"/>
      <c r="N8944" s="81"/>
    </row>
    <row r="8945" spans="1:14" ht="14.25" customHeight="1" x14ac:dyDescent="0.25">
      <c r="A8945" s="96" t="s">
        <v>573</v>
      </c>
      <c r="B8945" s="96"/>
      <c r="C8945" s="92"/>
      <c r="D8945" s="92"/>
      <c r="E8945" s="92"/>
      <c r="F8945" s="92"/>
      <c r="G8945" s="81"/>
      <c r="H8945" s="81"/>
      <c r="I8945" s="81"/>
      <c r="J8945" s="81"/>
      <c r="K8945" s="81"/>
      <c r="L8945" s="81"/>
      <c r="M8945" s="81"/>
      <c r="N8945" s="81"/>
    </row>
    <row r="8946" spans="1:14" ht="14.25" customHeight="1" x14ac:dyDescent="0.25">
      <c r="A8946" s="611" t="s">
        <v>563</v>
      </c>
      <c r="B8946" s="608"/>
      <c r="C8946" s="609"/>
      <c r="D8946" s="98" t="s">
        <v>574</v>
      </c>
      <c r="E8946" s="98" t="s">
        <v>575</v>
      </c>
      <c r="F8946" s="98" t="s">
        <v>568</v>
      </c>
      <c r="G8946" s="81"/>
      <c r="H8946" s="81"/>
      <c r="I8946" s="81"/>
      <c r="J8946" s="81"/>
      <c r="K8946" s="81"/>
      <c r="L8946" s="81"/>
      <c r="M8946" s="81"/>
      <c r="N8946" s="81"/>
    </row>
    <row r="8947" spans="1:14" ht="14.25" customHeight="1" x14ac:dyDescent="0.25">
      <c r="A8947" s="607" t="s">
        <v>577</v>
      </c>
      <c r="B8947" s="608"/>
      <c r="C8947" s="609"/>
      <c r="D8947" s="116"/>
      <c r="E8947" s="107"/>
      <c r="F8947" s="106">
        <f>+F8960*5%</f>
        <v>6540.4568436258578</v>
      </c>
      <c r="G8947" s="81"/>
      <c r="H8947" s="81"/>
      <c r="I8947" s="81"/>
      <c r="J8947" s="81"/>
      <c r="K8947" s="81"/>
      <c r="L8947" s="81"/>
      <c r="M8947" s="81"/>
      <c r="N8947" s="81"/>
    </row>
    <row r="8948" spans="1:14" ht="14.25" customHeight="1" x14ac:dyDescent="0.25">
      <c r="A8948" s="607"/>
      <c r="B8948" s="608"/>
      <c r="C8948" s="609"/>
      <c r="D8948" s="142"/>
      <c r="E8948" s="105"/>
      <c r="F8948" s="106"/>
      <c r="G8948" s="81"/>
      <c r="H8948" s="81"/>
      <c r="I8948" s="81"/>
      <c r="J8948" s="81"/>
      <c r="K8948" s="81"/>
      <c r="L8948" s="81"/>
      <c r="M8948" s="81"/>
      <c r="N8948" s="81"/>
    </row>
    <row r="8949" spans="1:14" ht="14.25" customHeight="1" x14ac:dyDescent="0.25">
      <c r="A8949" s="607"/>
      <c r="B8949" s="608"/>
      <c r="C8949" s="609"/>
      <c r="D8949" s="142"/>
      <c r="E8949" s="105"/>
      <c r="F8949" s="106"/>
      <c r="G8949" s="81"/>
      <c r="H8949" s="81"/>
      <c r="I8949" s="81"/>
      <c r="J8949" s="81"/>
      <c r="K8949" s="81"/>
      <c r="L8949" s="81"/>
      <c r="M8949" s="81"/>
      <c r="N8949" s="81"/>
    </row>
    <row r="8950" spans="1:14" ht="14.25" customHeight="1" x14ac:dyDescent="0.25">
      <c r="A8950" s="607"/>
      <c r="B8950" s="608"/>
      <c r="C8950" s="609"/>
      <c r="D8950" s="142"/>
      <c r="E8950" s="107"/>
      <c r="F8950" s="106"/>
      <c r="G8950" s="81"/>
      <c r="H8950" s="81"/>
      <c r="I8950" s="81"/>
      <c r="J8950" s="81"/>
      <c r="K8950" s="81"/>
      <c r="L8950" s="81"/>
      <c r="M8950" s="81"/>
      <c r="N8950" s="81"/>
    </row>
    <row r="8951" spans="1:14" ht="14.25" customHeight="1" x14ac:dyDescent="0.25">
      <c r="A8951" s="610"/>
      <c r="B8951" s="608"/>
      <c r="C8951" s="609"/>
      <c r="D8951" s="115"/>
      <c r="E8951" s="107"/>
      <c r="F8951" s="106"/>
      <c r="G8951" s="81"/>
      <c r="H8951" s="81"/>
      <c r="I8951" s="81"/>
      <c r="J8951" s="81"/>
      <c r="K8951" s="81"/>
      <c r="L8951" s="81"/>
      <c r="M8951" s="81"/>
      <c r="N8951" s="81"/>
    </row>
    <row r="8952" spans="1:14" ht="14.25" customHeight="1" x14ac:dyDescent="0.25">
      <c r="A8952" s="611" t="s">
        <v>548</v>
      </c>
      <c r="B8952" s="608"/>
      <c r="C8952" s="609"/>
      <c r="D8952" s="110"/>
      <c r="E8952" s="110"/>
      <c r="F8952" s="112">
        <f>SUM(F8947:F8950)</f>
        <v>6540.4568436258578</v>
      </c>
      <c r="G8952" s="81"/>
      <c r="H8952" s="81"/>
      <c r="I8952" s="81"/>
      <c r="J8952" s="81"/>
      <c r="K8952" s="81"/>
      <c r="L8952" s="81"/>
      <c r="M8952" s="81"/>
      <c r="N8952" s="81"/>
    </row>
    <row r="8953" spans="1:14" ht="14.25" customHeight="1" x14ac:dyDescent="0.25">
      <c r="A8953" s="88"/>
      <c r="B8953" s="88"/>
      <c r="C8953" s="89"/>
      <c r="D8953" s="113"/>
      <c r="E8953" s="113"/>
      <c r="F8953" s="113"/>
      <c r="G8953" s="81"/>
      <c r="H8953" s="81"/>
      <c r="I8953" s="81"/>
      <c r="J8953" s="81"/>
      <c r="K8953" s="81"/>
      <c r="L8953" s="81"/>
      <c r="M8953" s="81"/>
      <c r="N8953" s="81"/>
    </row>
    <row r="8954" spans="1:14" ht="14.25" customHeight="1" x14ac:dyDescent="0.25">
      <c r="A8954" s="96" t="s">
        <v>578</v>
      </c>
      <c r="B8954" s="96"/>
      <c r="C8954" s="92"/>
      <c r="D8954" s="118"/>
      <c r="E8954" s="118"/>
      <c r="F8954" s="118"/>
      <c r="G8954" s="81"/>
      <c r="H8954" s="81"/>
      <c r="I8954" s="81"/>
      <c r="J8954" s="81"/>
      <c r="K8954" s="81"/>
      <c r="L8954" s="81"/>
      <c r="M8954" s="81"/>
      <c r="N8954" s="81"/>
    </row>
    <row r="8955" spans="1:14" ht="38.25" x14ac:dyDescent="0.25">
      <c r="A8955" s="119" t="s">
        <v>563</v>
      </c>
      <c r="B8955" s="120" t="s">
        <v>579</v>
      </c>
      <c r="C8955" s="120" t="s">
        <v>580</v>
      </c>
      <c r="D8955" s="121" t="s">
        <v>581</v>
      </c>
      <c r="E8955" s="121" t="s">
        <v>575</v>
      </c>
      <c r="F8955" s="121" t="s">
        <v>568</v>
      </c>
      <c r="G8955" s="81"/>
      <c r="H8955" s="81"/>
      <c r="I8955" s="81"/>
      <c r="J8955" s="81"/>
      <c r="K8955" s="81"/>
      <c r="L8955" s="81"/>
      <c r="M8955" s="81"/>
      <c r="N8955" s="81"/>
    </row>
    <row r="8956" spans="1:14" ht="14.25" customHeight="1" x14ac:dyDescent="0.25">
      <c r="A8956" s="122" t="s">
        <v>593</v>
      </c>
      <c r="B8956" s="127">
        <v>1</v>
      </c>
      <c r="C8956" s="101">
        <v>32688</v>
      </c>
      <c r="D8956" s="101">
        <f t="shared" ref="D8956:D8957" si="440">+C8956*1.7</f>
        <v>55569.599999999999</v>
      </c>
      <c r="E8956" s="107">
        <v>1.1075999999999999</v>
      </c>
      <c r="F8956" s="106">
        <f t="shared" ref="F8956:F8957" si="441">+B8956*(D8956)/E8956</f>
        <v>50171.180931744311</v>
      </c>
      <c r="G8956" s="81"/>
      <c r="H8956" s="81"/>
      <c r="I8956" s="81"/>
      <c r="J8956" s="81"/>
      <c r="K8956" s="81"/>
      <c r="L8956" s="81"/>
      <c r="M8956" s="81"/>
      <c r="N8956" s="81"/>
    </row>
    <row r="8957" spans="1:14" ht="14.25" customHeight="1" x14ac:dyDescent="0.25">
      <c r="A8957" s="122" t="s">
        <v>594</v>
      </c>
      <c r="B8957" s="127">
        <v>1</v>
      </c>
      <c r="C8957" s="101">
        <v>52538</v>
      </c>
      <c r="D8957" s="101">
        <f t="shared" si="440"/>
        <v>89314.599999999991</v>
      </c>
      <c r="E8957" s="107">
        <f>E8956</f>
        <v>1.1075999999999999</v>
      </c>
      <c r="F8957" s="106">
        <f t="shared" si="441"/>
        <v>80637.955940772837</v>
      </c>
      <c r="G8957" s="81"/>
      <c r="H8957" s="81"/>
      <c r="I8957" s="81"/>
      <c r="J8957" s="81"/>
      <c r="K8957" s="81"/>
      <c r="L8957" s="81"/>
      <c r="M8957" s="81"/>
      <c r="N8957" s="81"/>
    </row>
    <row r="8958" spans="1:14" ht="14.25" customHeight="1" x14ac:dyDescent="0.25">
      <c r="A8958" s="122"/>
      <c r="B8958" s="127"/>
      <c r="C8958" s="101"/>
      <c r="D8958" s="101"/>
      <c r="E8958" s="105"/>
      <c r="F8958" s="106"/>
      <c r="G8958" s="81"/>
      <c r="H8958" s="81"/>
      <c r="I8958" s="81"/>
      <c r="J8958" s="81"/>
      <c r="K8958" s="81"/>
      <c r="L8958" s="81"/>
      <c r="M8958" s="81"/>
      <c r="N8958" s="81"/>
    </row>
    <row r="8959" spans="1:14" ht="14.25" customHeight="1" x14ac:dyDescent="0.25">
      <c r="A8959" s="122"/>
      <c r="B8959" s="127"/>
      <c r="C8959" s="101"/>
      <c r="D8959" s="101"/>
      <c r="E8959" s="125"/>
      <c r="F8959" s="106"/>
      <c r="G8959" s="81"/>
      <c r="H8959" s="81"/>
      <c r="I8959" s="81"/>
      <c r="J8959" s="81"/>
      <c r="K8959" s="81"/>
      <c r="L8959" s="81"/>
      <c r="M8959" s="81"/>
      <c r="N8959" s="81"/>
    </row>
    <row r="8960" spans="1:14" ht="14.25" customHeight="1" x14ac:dyDescent="0.25">
      <c r="A8960" s="97" t="s">
        <v>548</v>
      </c>
      <c r="B8960" s="128"/>
      <c r="C8960" s="110"/>
      <c r="D8960" s="110"/>
      <c r="E8960" s="110"/>
      <c r="F8960" s="112">
        <f>SUM(F8956:F8959)</f>
        <v>130809.13687251715</v>
      </c>
      <c r="G8960" s="81"/>
      <c r="H8960" s="81"/>
      <c r="I8960" s="81"/>
      <c r="J8960" s="81"/>
      <c r="K8960" s="81"/>
      <c r="L8960" s="81"/>
      <c r="M8960" s="81"/>
      <c r="N8960" s="81"/>
    </row>
    <row r="8961" spans="1:14" ht="14.25" customHeight="1" x14ac:dyDescent="0.25">
      <c r="A8961" s="96"/>
      <c r="B8961" s="129"/>
      <c r="C8961" s="118"/>
      <c r="D8961" s="118"/>
      <c r="E8961" s="118"/>
      <c r="F8961" s="118"/>
      <c r="G8961" s="81"/>
      <c r="H8961" s="81"/>
      <c r="I8961" s="81"/>
      <c r="J8961" s="81"/>
      <c r="K8961" s="81"/>
      <c r="L8961" s="81"/>
      <c r="M8961" s="81"/>
      <c r="N8961" s="81"/>
    </row>
    <row r="8962" spans="1:14" ht="14.25" customHeight="1" x14ac:dyDescent="0.25">
      <c r="A8962" s="95" t="s">
        <v>583</v>
      </c>
      <c r="B8962" s="96"/>
      <c r="C8962" s="92"/>
      <c r="D8962" s="92"/>
      <c r="E8962" s="92" t="s">
        <v>584</v>
      </c>
      <c r="F8962" s="92"/>
      <c r="G8962" s="81"/>
      <c r="H8962" s="81"/>
      <c r="I8962" s="81"/>
      <c r="J8962" s="81"/>
      <c r="K8962" s="81"/>
      <c r="L8962" s="81"/>
      <c r="M8962" s="81"/>
      <c r="N8962" s="81"/>
    </row>
    <row r="8963" spans="1:14" ht="25.5" x14ac:dyDescent="0.25">
      <c r="A8963" s="97" t="s">
        <v>563</v>
      </c>
      <c r="B8963" s="98" t="s">
        <v>564</v>
      </c>
      <c r="C8963" s="98" t="s">
        <v>585</v>
      </c>
      <c r="D8963" s="98" t="s">
        <v>586</v>
      </c>
      <c r="E8963" s="120" t="s">
        <v>587</v>
      </c>
      <c r="F8963" s="98" t="s">
        <v>568</v>
      </c>
      <c r="G8963" s="81"/>
      <c r="H8963" s="81"/>
      <c r="I8963" s="81"/>
      <c r="J8963" s="81"/>
      <c r="K8963" s="81"/>
      <c r="L8963" s="81"/>
      <c r="M8963" s="81"/>
      <c r="N8963" s="81"/>
    </row>
    <row r="8964" spans="1:14" ht="14.25" customHeight="1" x14ac:dyDescent="0.25">
      <c r="A8964" s="103"/>
      <c r="B8964" s="100"/>
      <c r="C8964" s="101"/>
      <c r="D8964" s="140"/>
      <c r="E8964" s="107"/>
      <c r="F8964" s="109"/>
      <c r="G8964" s="81"/>
      <c r="H8964" s="81"/>
      <c r="I8964" s="81"/>
      <c r="J8964" s="81"/>
      <c r="K8964" s="81"/>
      <c r="L8964" s="81"/>
      <c r="M8964" s="81"/>
      <c r="N8964" s="81"/>
    </row>
    <row r="8965" spans="1:14" ht="14.25" customHeight="1" x14ac:dyDescent="0.25">
      <c r="A8965" s="103"/>
      <c r="B8965" s="100"/>
      <c r="C8965" s="107"/>
      <c r="D8965" s="107"/>
      <c r="E8965" s="108"/>
      <c r="F8965" s="109"/>
      <c r="G8965" s="81"/>
      <c r="H8965" s="81"/>
      <c r="I8965" s="81"/>
      <c r="J8965" s="81"/>
      <c r="K8965" s="81"/>
      <c r="L8965" s="81"/>
      <c r="M8965" s="81"/>
      <c r="N8965" s="81"/>
    </row>
    <row r="8966" spans="1:14" ht="14.25" customHeight="1" x14ac:dyDescent="0.25">
      <c r="A8966" s="97" t="s">
        <v>548</v>
      </c>
      <c r="B8966" s="98"/>
      <c r="C8966" s="110"/>
      <c r="D8966" s="110"/>
      <c r="E8966" s="111"/>
      <c r="F8966" s="112">
        <f>SUM(F8964:F8965)</f>
        <v>0</v>
      </c>
      <c r="G8966" s="81"/>
      <c r="H8966" s="81"/>
      <c r="I8966" s="81"/>
      <c r="J8966" s="81"/>
      <c r="K8966" s="81"/>
      <c r="L8966" s="81"/>
      <c r="M8966" s="81"/>
      <c r="N8966" s="81"/>
    </row>
    <row r="8967" spans="1:14" ht="14.25" customHeight="1" x14ac:dyDescent="0.25">
      <c r="A8967" s="88"/>
      <c r="B8967" s="89"/>
      <c r="C8967" s="113"/>
      <c r="D8967" s="113"/>
      <c r="E8967" s="114"/>
      <c r="F8967" s="113"/>
      <c r="G8967" s="81"/>
      <c r="H8967" s="81"/>
      <c r="I8967" s="81"/>
      <c r="J8967" s="81"/>
      <c r="K8967" s="81"/>
      <c r="L8967" s="81"/>
      <c r="M8967" s="81"/>
      <c r="N8967" s="81"/>
    </row>
    <row r="8968" spans="1:14" ht="14.25" customHeight="1" x14ac:dyDescent="0.25">
      <c r="A8968" s="88"/>
      <c r="B8968" s="89"/>
      <c r="C8968" s="113"/>
      <c r="D8968" s="113"/>
      <c r="E8968" s="114"/>
      <c r="F8968" s="113"/>
      <c r="G8968" s="81"/>
      <c r="H8968" s="81"/>
      <c r="I8968" s="81"/>
      <c r="J8968" s="81"/>
      <c r="K8968" s="81"/>
      <c r="L8968" s="81"/>
      <c r="M8968" s="81"/>
      <c r="N8968" s="81"/>
    </row>
    <row r="8969" spans="1:14" ht="14.25" customHeight="1" x14ac:dyDescent="0.25">
      <c r="A8969" s="612" t="s">
        <v>588</v>
      </c>
      <c r="B8969" s="608"/>
      <c r="C8969" s="608"/>
      <c r="D8969" s="608"/>
      <c r="E8969" s="609"/>
      <c r="F8969" s="131">
        <f>ROUND(F8943+F8952+F8960+F8966,0)</f>
        <v>1124780</v>
      </c>
      <c r="G8969" s="81"/>
      <c r="H8969" s="81"/>
      <c r="I8969" s="81"/>
      <c r="J8969" s="81"/>
      <c r="K8969" s="81"/>
      <c r="L8969" s="81"/>
      <c r="M8969" s="81"/>
      <c r="N8969" s="81"/>
    </row>
    <row r="8970" spans="1:14" ht="14.25" customHeight="1" x14ac:dyDescent="0.25">
      <c r="A8970" s="612" t="s">
        <v>589</v>
      </c>
      <c r="B8970" s="608"/>
      <c r="C8970" s="608"/>
      <c r="D8970" s="608"/>
      <c r="E8970" s="609"/>
      <c r="F8970" s="132"/>
      <c r="G8970" s="81"/>
      <c r="H8970" s="81"/>
      <c r="I8970" s="81"/>
      <c r="J8970" s="81"/>
      <c r="K8970" s="81"/>
      <c r="L8970" s="81"/>
      <c r="M8970" s="81"/>
      <c r="N8970" s="81"/>
    </row>
    <row r="8971" spans="1:14" ht="14.25" customHeight="1" x14ac:dyDescent="0.25">
      <c r="A8971" s="146" t="s">
        <v>556</v>
      </c>
      <c r="B8971" s="147"/>
      <c r="C8971" s="147"/>
      <c r="D8971" s="147"/>
      <c r="E8971" s="148"/>
      <c r="F8971" s="133"/>
      <c r="G8971" s="81"/>
      <c r="H8971" s="81"/>
      <c r="I8971" s="81"/>
      <c r="J8971" s="81"/>
      <c r="K8971" s="81"/>
      <c r="L8971" s="81"/>
      <c r="M8971" s="81"/>
      <c r="N8971" s="81"/>
    </row>
    <row r="8972" spans="1:14" ht="14.25" customHeight="1" x14ac:dyDescent="0.25">
      <c r="A8972" s="134"/>
      <c r="B8972" s="135"/>
      <c r="C8972" s="135"/>
      <c r="D8972" s="135"/>
      <c r="E8972" s="135"/>
      <c r="F8972" s="136"/>
      <c r="G8972" s="81"/>
      <c r="H8972" s="81"/>
      <c r="I8972" s="81"/>
      <c r="J8972" s="81"/>
      <c r="K8972" s="81"/>
      <c r="L8972" s="81"/>
      <c r="M8972" s="81"/>
      <c r="N8972" s="81"/>
    </row>
    <row r="8973" spans="1:14" s="306" customFormat="1" ht="14.25" customHeight="1" x14ac:dyDescent="0.25">
      <c r="A8973" s="307"/>
      <c r="B8973" s="135"/>
      <c r="C8973" s="135"/>
      <c r="D8973" s="135"/>
      <c r="E8973" s="135"/>
      <c r="F8973" s="136"/>
      <c r="G8973" s="81"/>
      <c r="H8973" s="81"/>
      <c r="I8973" s="81"/>
      <c r="J8973" s="81"/>
      <c r="K8973" s="81"/>
      <c r="L8973" s="81"/>
      <c r="M8973" s="81"/>
      <c r="N8973" s="81"/>
    </row>
    <row r="8974" spans="1:14" s="306" customFormat="1" ht="14.25" customHeight="1" x14ac:dyDescent="0.25">
      <c r="A8974" s="307"/>
      <c r="B8974" s="135"/>
      <c r="C8974" s="135"/>
      <c r="D8974" s="135"/>
      <c r="E8974" s="135"/>
      <c r="F8974" s="136"/>
      <c r="G8974" s="81"/>
      <c r="H8974" s="81"/>
      <c r="I8974" s="81"/>
      <c r="J8974" s="81"/>
      <c r="K8974" s="81"/>
      <c r="L8974" s="81"/>
      <c r="M8974" s="81"/>
      <c r="N8974" s="81"/>
    </row>
    <row r="8975" spans="1:14" s="306" customFormat="1" ht="14.25" customHeight="1" x14ac:dyDescent="0.25">
      <c r="A8975" s="307"/>
      <c r="B8975" s="135"/>
      <c r="C8975" s="135"/>
      <c r="D8975" s="135"/>
      <c r="E8975" s="135"/>
      <c r="F8975" s="136"/>
      <c r="G8975" s="81"/>
      <c r="H8975" s="81"/>
      <c r="I8975" s="81"/>
      <c r="J8975" s="81"/>
      <c r="K8975" s="81"/>
      <c r="L8975" s="81"/>
      <c r="M8975" s="81"/>
      <c r="N8975" s="81"/>
    </row>
    <row r="8976" spans="1:14" s="306" customFormat="1" ht="14.25" customHeight="1" x14ac:dyDescent="0.25">
      <c r="A8976" s="307"/>
      <c r="B8976" s="135"/>
      <c r="C8976" s="135"/>
      <c r="D8976" s="135"/>
      <c r="E8976" s="135"/>
      <c r="F8976" s="136"/>
      <c r="G8976" s="81"/>
      <c r="H8976" s="81"/>
      <c r="I8976" s="81"/>
      <c r="J8976" s="81"/>
      <c r="K8976" s="81"/>
      <c r="L8976" s="81"/>
      <c r="M8976" s="81"/>
      <c r="N8976" s="81"/>
    </row>
    <row r="8977" spans="1:14" s="306" customFormat="1" ht="14.25" customHeight="1" x14ac:dyDescent="0.25">
      <c r="A8977" s="307"/>
      <c r="B8977" s="135"/>
      <c r="C8977" s="135"/>
      <c r="D8977" s="135"/>
      <c r="E8977" s="135"/>
      <c r="F8977" s="136"/>
      <c r="G8977" s="81"/>
      <c r="H8977" s="81"/>
      <c r="I8977" s="81"/>
      <c r="J8977" s="81"/>
      <c r="K8977" s="81"/>
      <c r="L8977" s="81"/>
      <c r="M8977" s="81"/>
      <c r="N8977" s="81"/>
    </row>
    <row r="8978" spans="1:14" s="306" customFormat="1" ht="14.25" customHeight="1" thickBot="1" x14ac:dyDescent="0.3">
      <c r="A8978" s="81"/>
      <c r="B8978" s="81"/>
      <c r="C8978" s="137"/>
      <c r="D8978" s="81"/>
      <c r="E8978" s="81"/>
      <c r="F8978" s="81"/>
      <c r="G8978" s="81"/>
      <c r="H8978" s="81"/>
      <c r="I8978" s="81"/>
      <c r="J8978" s="81"/>
      <c r="K8978" s="81"/>
      <c r="L8978" s="81"/>
      <c r="M8978" s="81"/>
      <c r="N8978" s="81"/>
    </row>
    <row r="8979" spans="1:14" s="306" customFormat="1" ht="14.25" customHeight="1" x14ac:dyDescent="0.25">
      <c r="A8979" s="258"/>
      <c r="B8979" s="259"/>
      <c r="C8979" s="260"/>
      <c r="D8979" s="261"/>
      <c r="E8979" s="261"/>
      <c r="F8979" s="262"/>
      <c r="G8979" s="81"/>
      <c r="H8979" s="81"/>
      <c r="I8979" s="81"/>
      <c r="J8979" s="81"/>
      <c r="K8979" s="81"/>
      <c r="L8979" s="81"/>
      <c r="M8979" s="81"/>
      <c r="N8979" s="81"/>
    </row>
    <row r="8980" spans="1:14" s="306" customFormat="1" ht="14.25" customHeight="1" x14ac:dyDescent="0.25">
      <c r="A8980" s="621"/>
      <c r="B8980" s="629"/>
      <c r="C8980" s="629"/>
      <c r="D8980" s="629"/>
      <c r="E8980" s="629"/>
      <c r="F8980" s="630"/>
      <c r="G8980" s="81"/>
      <c r="H8980" s="81"/>
      <c r="I8980" s="81"/>
      <c r="J8980" s="81"/>
      <c r="K8980" s="81"/>
      <c r="L8980" s="81"/>
      <c r="M8980" s="81"/>
      <c r="N8980" s="81"/>
    </row>
    <row r="8981" spans="1:14" s="306" customFormat="1" ht="14.25" customHeight="1" x14ac:dyDescent="0.25">
      <c r="A8981" s="614" t="s">
        <v>561</v>
      </c>
      <c r="B8981" s="629"/>
      <c r="C8981" s="629"/>
      <c r="D8981" s="629"/>
      <c r="E8981" s="629"/>
      <c r="F8981" s="630"/>
      <c r="G8981" s="81"/>
      <c r="H8981" s="81"/>
      <c r="I8981" s="81"/>
      <c r="J8981" s="81"/>
      <c r="K8981" s="81"/>
      <c r="L8981" s="81"/>
      <c r="M8981" s="81"/>
      <c r="N8981" s="81"/>
    </row>
    <row r="8982" spans="1:14" s="306" customFormat="1" ht="14.25" customHeight="1" thickBot="1" x14ac:dyDescent="0.3">
      <c r="A8982" s="617"/>
      <c r="B8982" s="631"/>
      <c r="C8982" s="631"/>
      <c r="D8982" s="631"/>
      <c r="E8982" s="631"/>
      <c r="F8982" s="632"/>
      <c r="G8982" s="81"/>
      <c r="H8982" s="81"/>
      <c r="I8982" s="81"/>
      <c r="J8982" s="81"/>
      <c r="K8982" s="81"/>
      <c r="L8982" s="81"/>
      <c r="M8982" s="81"/>
      <c r="N8982" s="81"/>
    </row>
    <row r="8983" spans="1:14" s="306" customFormat="1" ht="14.25" customHeight="1" x14ac:dyDescent="0.25">
      <c r="A8983" s="192"/>
      <c r="B8983" s="192"/>
      <c r="C8983" s="194"/>
      <c r="D8983" s="194"/>
      <c r="E8983" s="194"/>
      <c r="F8983" s="194"/>
      <c r="G8983" s="81"/>
      <c r="H8983" s="81"/>
      <c r="I8983" s="81"/>
      <c r="J8983" s="81"/>
      <c r="K8983" s="81"/>
      <c r="L8983" s="81"/>
      <c r="M8983" s="81"/>
      <c r="N8983" s="81"/>
    </row>
    <row r="8984" spans="1:14" s="306" customFormat="1" ht="14.25" customHeight="1" x14ac:dyDescent="0.25">
      <c r="A8984" s="473" t="s">
        <v>47</v>
      </c>
      <c r="B8984" s="620" t="s">
        <v>1030</v>
      </c>
      <c r="C8984" s="629"/>
      <c r="D8984" s="629"/>
      <c r="E8984" s="629"/>
      <c r="F8984" s="629"/>
      <c r="G8984" s="81"/>
      <c r="H8984" s="81"/>
      <c r="I8984" s="81"/>
      <c r="J8984" s="81"/>
      <c r="K8984" s="81"/>
      <c r="L8984" s="81"/>
      <c r="M8984" s="81"/>
      <c r="N8984" s="81"/>
    </row>
    <row r="8985" spans="1:14" s="306" customFormat="1" ht="14.25" customHeight="1" x14ac:dyDescent="0.25">
      <c r="A8985" s="191"/>
      <c r="B8985" s="191"/>
      <c r="C8985" s="191"/>
      <c r="D8985" s="191"/>
      <c r="E8985" s="191"/>
      <c r="F8985" s="191"/>
      <c r="G8985" s="81"/>
      <c r="H8985" s="81"/>
      <c r="I8985" s="81"/>
      <c r="J8985" s="81"/>
      <c r="K8985" s="81"/>
      <c r="L8985" s="81"/>
      <c r="M8985" s="81"/>
      <c r="N8985" s="81"/>
    </row>
    <row r="8986" spans="1:14" s="306" customFormat="1" ht="14.25" customHeight="1" x14ac:dyDescent="0.25">
      <c r="A8986" s="192" t="s">
        <v>49</v>
      </c>
      <c r="B8986" s="193" t="s">
        <v>99</v>
      </c>
      <c r="C8986" s="194"/>
      <c r="D8986" s="194"/>
      <c r="E8986" s="194"/>
      <c r="F8986" s="195"/>
      <c r="G8986" s="81"/>
      <c r="H8986" s="81"/>
      <c r="I8986" s="81"/>
      <c r="J8986" s="81"/>
      <c r="K8986" s="81"/>
      <c r="L8986" s="81"/>
      <c r="M8986" s="81"/>
      <c r="N8986" s="81"/>
    </row>
    <row r="8987" spans="1:14" s="306" customFormat="1" ht="14.25" customHeight="1" x14ac:dyDescent="0.25">
      <c r="A8987" s="192"/>
      <c r="B8987" s="196"/>
      <c r="C8987" s="194"/>
      <c r="D8987" s="194"/>
      <c r="E8987" s="194"/>
      <c r="F8987" s="195"/>
      <c r="G8987" s="81"/>
      <c r="H8987" s="81"/>
      <c r="I8987" s="81"/>
      <c r="J8987" s="81"/>
      <c r="K8987" s="81"/>
      <c r="L8987" s="81"/>
      <c r="M8987" s="81"/>
      <c r="N8987" s="81"/>
    </row>
    <row r="8988" spans="1:14" s="306" customFormat="1" ht="14.25" customHeight="1" x14ac:dyDescent="0.25">
      <c r="A8988" s="197" t="s">
        <v>562</v>
      </c>
      <c r="B8988" s="198"/>
      <c r="C8988" s="193"/>
      <c r="D8988" s="193"/>
      <c r="E8988" s="193"/>
      <c r="F8988" s="193"/>
      <c r="G8988" s="81"/>
      <c r="H8988" s="81"/>
      <c r="I8988" s="81"/>
      <c r="J8988" s="81"/>
      <c r="K8988" s="81"/>
      <c r="L8988" s="81"/>
      <c r="M8988" s="81"/>
      <c r="N8988" s="81"/>
    </row>
    <row r="8989" spans="1:14" s="306" customFormat="1" ht="14.25" customHeight="1" x14ac:dyDescent="0.25">
      <c r="A8989" s="199" t="s">
        <v>563</v>
      </c>
      <c r="B8989" s="474" t="s">
        <v>564</v>
      </c>
      <c r="C8989" s="474" t="s">
        <v>565</v>
      </c>
      <c r="D8989" s="474" t="s">
        <v>566</v>
      </c>
      <c r="E8989" s="474" t="s">
        <v>567</v>
      </c>
      <c r="F8989" s="474" t="s">
        <v>568</v>
      </c>
      <c r="G8989" s="81"/>
      <c r="H8989" s="81"/>
      <c r="I8989" s="81"/>
      <c r="J8989" s="81"/>
      <c r="K8989" s="81"/>
      <c r="L8989" s="81"/>
      <c r="M8989" s="81"/>
      <c r="N8989" s="81"/>
    </row>
    <row r="8990" spans="1:14" s="306" customFormat="1" ht="14.25" customHeight="1" x14ac:dyDescent="0.25">
      <c r="A8990" s="475" t="s">
        <v>1437</v>
      </c>
      <c r="B8990" s="476" t="s">
        <v>1330</v>
      </c>
      <c r="C8990" s="477"/>
      <c r="D8990" s="478"/>
      <c r="E8990" s="479"/>
      <c r="F8990" s="477">
        <v>15360</v>
      </c>
      <c r="G8990" s="81"/>
      <c r="H8990" s="81"/>
      <c r="I8990" s="81"/>
      <c r="J8990" s="81"/>
      <c r="K8990" s="81"/>
      <c r="L8990" s="81"/>
      <c r="M8990" s="81"/>
      <c r="N8990" s="81"/>
    </row>
    <row r="8991" spans="1:14" s="306" customFormat="1" ht="14.25" customHeight="1" x14ac:dyDescent="0.25">
      <c r="A8991" s="475"/>
      <c r="B8991" s="476"/>
      <c r="C8991" s="477"/>
      <c r="D8991" s="478"/>
      <c r="E8991" s="479"/>
      <c r="F8991" s="477"/>
      <c r="G8991" s="81"/>
      <c r="H8991" s="81"/>
      <c r="I8991" s="81"/>
      <c r="J8991" s="81"/>
      <c r="K8991" s="81"/>
      <c r="L8991" s="81"/>
      <c r="M8991" s="81"/>
      <c r="N8991" s="81"/>
    </row>
    <row r="8992" spans="1:14" s="306" customFormat="1" ht="14.25" customHeight="1" x14ac:dyDescent="0.25">
      <c r="A8992" s="475"/>
      <c r="B8992" s="476"/>
      <c r="C8992" s="477"/>
      <c r="D8992" s="478"/>
      <c r="E8992" s="479"/>
      <c r="F8992" s="477"/>
      <c r="G8992" s="81"/>
      <c r="H8992" s="81"/>
      <c r="I8992" s="81"/>
      <c r="J8992" s="81"/>
      <c r="K8992" s="81"/>
      <c r="L8992" s="81"/>
      <c r="M8992" s="81"/>
      <c r="N8992" s="81"/>
    </row>
    <row r="8993" spans="1:14" s="306" customFormat="1" ht="14.25" customHeight="1" x14ac:dyDescent="0.25">
      <c r="A8993" s="480"/>
      <c r="B8993" s="476"/>
      <c r="C8993" s="477"/>
      <c r="D8993" s="481"/>
      <c r="E8993" s="479"/>
      <c r="F8993" s="477"/>
      <c r="G8993" s="81"/>
      <c r="H8993" s="81"/>
      <c r="I8993" s="81"/>
      <c r="J8993" s="81"/>
      <c r="K8993" s="81"/>
      <c r="L8993" s="81"/>
      <c r="M8993" s="81"/>
      <c r="N8993" s="81"/>
    </row>
    <row r="8994" spans="1:14" s="306" customFormat="1" ht="14.25" customHeight="1" x14ac:dyDescent="0.25">
      <c r="A8994" s="480"/>
      <c r="B8994" s="476"/>
      <c r="C8994" s="477"/>
      <c r="D8994" s="482"/>
      <c r="E8994" s="479"/>
      <c r="F8994" s="477"/>
      <c r="G8994" s="81"/>
      <c r="H8994" s="81"/>
      <c r="I8994" s="81"/>
      <c r="J8994" s="81"/>
      <c r="K8994" s="81"/>
      <c r="L8994" s="81"/>
      <c r="M8994" s="81"/>
      <c r="N8994" s="81"/>
    </row>
    <row r="8995" spans="1:14" s="306" customFormat="1" ht="14.25" customHeight="1" x14ac:dyDescent="0.25">
      <c r="A8995" s="475"/>
      <c r="B8995" s="476"/>
      <c r="C8995" s="483"/>
      <c r="D8995" s="484"/>
      <c r="E8995" s="485"/>
      <c r="F8995" s="483"/>
      <c r="G8995" s="81"/>
      <c r="H8995" s="81"/>
      <c r="I8995" s="81"/>
      <c r="J8995" s="81"/>
      <c r="K8995" s="81"/>
      <c r="L8995" s="81"/>
      <c r="M8995" s="81"/>
      <c r="N8995" s="81"/>
    </row>
    <row r="8996" spans="1:14" s="306" customFormat="1" ht="14.25" customHeight="1" x14ac:dyDescent="0.25">
      <c r="A8996" s="199" t="s">
        <v>548</v>
      </c>
      <c r="B8996" s="199"/>
      <c r="C8996" s="486"/>
      <c r="D8996" s="487"/>
      <c r="E8996" s="488"/>
      <c r="F8996" s="489">
        <f>SUM(F8990:F8995)</f>
        <v>15360</v>
      </c>
      <c r="G8996" s="81"/>
      <c r="H8996" s="81"/>
      <c r="I8996" s="81"/>
      <c r="J8996" s="81"/>
      <c r="K8996" s="81"/>
      <c r="L8996" s="81"/>
      <c r="M8996" s="81"/>
      <c r="N8996" s="81"/>
    </row>
    <row r="8997" spans="1:14" s="306" customFormat="1" ht="14.25" customHeight="1" x14ac:dyDescent="0.25">
      <c r="A8997" s="192"/>
      <c r="B8997" s="192"/>
      <c r="C8997" s="215"/>
      <c r="D8997" s="215"/>
      <c r="E8997" s="216"/>
      <c r="F8997" s="215"/>
      <c r="G8997" s="81"/>
      <c r="H8997" s="81"/>
      <c r="I8997" s="81"/>
      <c r="J8997" s="81"/>
      <c r="K8997" s="81"/>
      <c r="L8997" s="81"/>
      <c r="M8997" s="81"/>
      <c r="N8997" s="81"/>
    </row>
    <row r="8998" spans="1:14" s="306" customFormat="1" ht="14.25" customHeight="1" x14ac:dyDescent="0.25">
      <c r="A8998" s="198" t="s">
        <v>573</v>
      </c>
      <c r="B8998" s="198"/>
      <c r="C8998" s="193"/>
      <c r="D8998" s="193"/>
      <c r="E8998" s="193"/>
      <c r="F8998" s="193"/>
      <c r="G8998" s="81"/>
      <c r="H8998" s="81"/>
      <c r="I8998" s="81"/>
      <c r="J8998" s="81"/>
      <c r="K8998" s="81"/>
      <c r="L8998" s="81"/>
      <c r="M8998" s="81"/>
      <c r="N8998" s="81"/>
    </row>
    <row r="8999" spans="1:14" s="306" customFormat="1" ht="14.25" customHeight="1" x14ac:dyDescent="0.25">
      <c r="A8999" s="539" t="s">
        <v>563</v>
      </c>
      <c r="B8999" s="537"/>
      <c r="C8999" s="474" t="s">
        <v>564</v>
      </c>
      <c r="D8999" s="474" t="s">
        <v>574</v>
      </c>
      <c r="E8999" s="474" t="s">
        <v>575</v>
      </c>
      <c r="F8999" s="474" t="s">
        <v>568</v>
      </c>
      <c r="G8999" s="81"/>
      <c r="H8999" s="81"/>
      <c r="I8999" s="81"/>
      <c r="J8999" s="81"/>
      <c r="K8999" s="81"/>
      <c r="L8999" s="81"/>
      <c r="M8999" s="81"/>
      <c r="N8999" s="81"/>
    </row>
    <row r="9000" spans="1:14" s="306" customFormat="1" ht="14.25" customHeight="1" x14ac:dyDescent="0.25">
      <c r="A9000" s="536" t="s">
        <v>577</v>
      </c>
      <c r="B9000" s="537"/>
      <c r="C9000" s="476" t="s">
        <v>1330</v>
      </c>
      <c r="D9000" s="490"/>
      <c r="E9000" s="484"/>
      <c r="F9000" s="483">
        <v>402</v>
      </c>
      <c r="G9000" s="81"/>
      <c r="H9000" s="81"/>
      <c r="I9000" s="81"/>
      <c r="J9000" s="81"/>
      <c r="K9000" s="81"/>
      <c r="L9000" s="81"/>
      <c r="M9000" s="81"/>
      <c r="N9000" s="81"/>
    </row>
    <row r="9001" spans="1:14" s="306" customFormat="1" ht="14.25" customHeight="1" x14ac:dyDescent="0.25">
      <c r="A9001" s="536" t="s">
        <v>1438</v>
      </c>
      <c r="B9001" s="537"/>
      <c r="C9001" s="476" t="s">
        <v>1439</v>
      </c>
      <c r="D9001" s="491">
        <v>7328</v>
      </c>
      <c r="E9001" s="484">
        <v>1</v>
      </c>
      <c r="F9001" s="483">
        <f>+D9001/E9001</f>
        <v>7328</v>
      </c>
      <c r="G9001" s="81"/>
      <c r="H9001" s="81"/>
      <c r="I9001" s="81"/>
      <c r="J9001" s="81"/>
      <c r="K9001" s="81"/>
      <c r="L9001" s="81"/>
      <c r="M9001" s="81"/>
      <c r="N9001" s="81"/>
    </row>
    <row r="9002" spans="1:14" s="306" customFormat="1" ht="14.25" customHeight="1" x14ac:dyDescent="0.25">
      <c r="A9002" s="539" t="s">
        <v>548</v>
      </c>
      <c r="B9002" s="537"/>
      <c r="C9002" s="538"/>
      <c r="D9002" s="487"/>
      <c r="E9002" s="487"/>
      <c r="F9002" s="489">
        <f>SUM(F9000:F9001)</f>
        <v>7730</v>
      </c>
      <c r="G9002" s="81"/>
      <c r="H9002" s="81"/>
      <c r="I9002" s="81"/>
      <c r="J9002" s="81"/>
      <c r="K9002" s="81"/>
      <c r="L9002" s="81"/>
      <c r="M9002" s="81"/>
      <c r="N9002" s="81"/>
    </row>
    <row r="9003" spans="1:14" s="306" customFormat="1" ht="14.25" customHeight="1" x14ac:dyDescent="0.25">
      <c r="A9003" s="192"/>
      <c r="B9003" s="192"/>
      <c r="C9003" s="194"/>
      <c r="D9003" s="215"/>
      <c r="E9003" s="215"/>
      <c r="F9003" s="215"/>
      <c r="G9003" s="81"/>
      <c r="H9003" s="81"/>
      <c r="I9003" s="81"/>
      <c r="J9003" s="81"/>
      <c r="K9003" s="81"/>
      <c r="L9003" s="81"/>
      <c r="M9003" s="81"/>
      <c r="N9003" s="81"/>
    </row>
    <row r="9004" spans="1:14" s="306" customFormat="1" ht="14.25" customHeight="1" x14ac:dyDescent="0.25">
      <c r="A9004" s="198" t="s">
        <v>578</v>
      </c>
      <c r="B9004" s="198"/>
      <c r="C9004" s="193"/>
      <c r="D9004" s="223"/>
      <c r="E9004" s="223"/>
      <c r="F9004" s="223"/>
      <c r="G9004" s="81"/>
      <c r="H9004" s="81"/>
      <c r="I9004" s="81"/>
      <c r="J9004" s="81"/>
      <c r="K9004" s="81"/>
      <c r="L9004" s="81"/>
      <c r="M9004" s="81"/>
      <c r="N9004" s="81"/>
    </row>
    <row r="9005" spans="1:14" s="306" customFormat="1" ht="38.25" x14ac:dyDescent="0.25">
      <c r="A9005" s="224" t="s">
        <v>563</v>
      </c>
      <c r="B9005" s="492" t="s">
        <v>579</v>
      </c>
      <c r="C9005" s="492" t="s">
        <v>580</v>
      </c>
      <c r="D9005" s="493" t="s">
        <v>581</v>
      </c>
      <c r="E9005" s="493" t="s">
        <v>575</v>
      </c>
      <c r="F9005" s="493" t="s">
        <v>568</v>
      </c>
      <c r="G9005" s="81"/>
      <c r="H9005" s="81"/>
      <c r="I9005" s="81"/>
      <c r="J9005" s="81"/>
      <c r="K9005" s="81"/>
      <c r="L9005" s="81"/>
      <c r="M9005" s="81"/>
      <c r="N9005" s="81"/>
    </row>
    <row r="9006" spans="1:14" s="306" customFormat="1" ht="14.25" customHeight="1" x14ac:dyDescent="0.25">
      <c r="A9006" s="494" t="s">
        <v>593</v>
      </c>
      <c r="B9006" s="495">
        <v>1</v>
      </c>
      <c r="C9006" s="477">
        <v>32688</v>
      </c>
      <c r="D9006" s="477">
        <f t="shared" ref="D9006:D9007" si="442">+C9006*1.7</f>
        <v>55569.599999999999</v>
      </c>
      <c r="E9006" s="484">
        <v>9</v>
      </c>
      <c r="F9006" s="483">
        <f t="shared" ref="F9006:F9007" si="443">+D9006/E9006</f>
        <v>6174.4</v>
      </c>
      <c r="G9006" s="81"/>
      <c r="H9006" s="81"/>
      <c r="I9006" s="81"/>
      <c r="J9006" s="81"/>
      <c r="K9006" s="81"/>
      <c r="L9006" s="81"/>
      <c r="M9006" s="81"/>
      <c r="N9006" s="81"/>
    </row>
    <row r="9007" spans="1:14" s="306" customFormat="1" ht="14.25" customHeight="1" x14ac:dyDescent="0.25">
      <c r="A9007" s="494" t="s">
        <v>594</v>
      </c>
      <c r="B9007" s="495">
        <v>1</v>
      </c>
      <c r="C9007" s="477">
        <v>52538</v>
      </c>
      <c r="D9007" s="477">
        <f t="shared" si="442"/>
        <v>89314.599999999991</v>
      </c>
      <c r="E9007" s="484">
        <f>E9006</f>
        <v>9</v>
      </c>
      <c r="F9007" s="483">
        <f t="shared" si="443"/>
        <v>9923.8444444444431</v>
      </c>
      <c r="G9007" s="81"/>
      <c r="H9007" s="117"/>
      <c r="I9007" s="81"/>
      <c r="J9007" s="81"/>
      <c r="K9007" s="81"/>
      <c r="L9007" s="81"/>
      <c r="M9007" s="81"/>
      <c r="N9007" s="81"/>
    </row>
    <row r="9008" spans="1:14" s="306" customFormat="1" ht="14.25" customHeight="1" x14ac:dyDescent="0.25">
      <c r="A9008" s="494"/>
      <c r="B9008" s="495"/>
      <c r="C9008" s="477"/>
      <c r="D9008" s="477"/>
      <c r="E9008" s="484"/>
      <c r="F9008" s="483"/>
      <c r="G9008" s="81"/>
      <c r="H9008" s="81"/>
      <c r="I9008" s="81"/>
      <c r="J9008" s="81"/>
      <c r="K9008" s="81"/>
      <c r="L9008" s="81"/>
      <c r="M9008" s="81"/>
      <c r="N9008" s="81"/>
    </row>
    <row r="9009" spans="1:14" s="306" customFormat="1" ht="14.25" customHeight="1" x14ac:dyDescent="0.25">
      <c r="A9009" s="494"/>
      <c r="B9009" s="495"/>
      <c r="C9009" s="477"/>
      <c r="D9009" s="477"/>
      <c r="E9009" s="496"/>
      <c r="F9009" s="483"/>
      <c r="G9009" s="81"/>
      <c r="H9009" s="81"/>
      <c r="I9009" s="81"/>
      <c r="J9009" s="81"/>
      <c r="K9009" s="81"/>
      <c r="L9009" s="81"/>
      <c r="M9009" s="81"/>
      <c r="N9009" s="81"/>
    </row>
    <row r="9010" spans="1:14" s="306" customFormat="1" ht="14.25" customHeight="1" x14ac:dyDescent="0.25">
      <c r="A9010" s="199" t="s">
        <v>548</v>
      </c>
      <c r="B9010" s="497"/>
      <c r="C9010" s="487"/>
      <c r="D9010" s="487"/>
      <c r="E9010" s="487"/>
      <c r="F9010" s="489">
        <f>SUM(F9006:F9009)</f>
        <v>16098.244444444443</v>
      </c>
      <c r="G9010" s="81"/>
      <c r="H9010" s="81"/>
      <c r="I9010" s="81"/>
      <c r="J9010" s="81"/>
      <c r="K9010" s="81"/>
      <c r="L9010" s="81"/>
      <c r="M9010" s="81"/>
      <c r="N9010" s="81"/>
    </row>
    <row r="9011" spans="1:14" s="306" customFormat="1" ht="14.25" customHeight="1" x14ac:dyDescent="0.25">
      <c r="A9011" s="198"/>
      <c r="B9011" s="231"/>
      <c r="C9011" s="223"/>
      <c r="D9011" s="223"/>
      <c r="E9011" s="223"/>
      <c r="F9011" s="223"/>
      <c r="G9011" s="81"/>
      <c r="H9011" s="81"/>
      <c r="I9011" s="81"/>
      <c r="J9011" s="81"/>
      <c r="K9011" s="81"/>
      <c r="L9011" s="81"/>
      <c r="M9011" s="81"/>
      <c r="N9011" s="81"/>
    </row>
    <row r="9012" spans="1:14" s="306" customFormat="1" ht="14.25" customHeight="1" x14ac:dyDescent="0.25">
      <c r="A9012" s="197" t="s">
        <v>583</v>
      </c>
      <c r="B9012" s="198"/>
      <c r="C9012" s="193"/>
      <c r="D9012" s="193"/>
      <c r="E9012" s="193" t="s">
        <v>584</v>
      </c>
      <c r="F9012" s="193"/>
      <c r="G9012" s="81"/>
      <c r="H9012" s="81"/>
      <c r="I9012" s="81"/>
      <c r="J9012" s="81"/>
      <c r="K9012" s="81"/>
      <c r="L9012" s="81"/>
      <c r="M9012" s="81"/>
      <c r="N9012" s="81"/>
    </row>
    <row r="9013" spans="1:14" s="306" customFormat="1" ht="25.5" x14ac:dyDescent="0.25">
      <c r="A9013" s="199" t="s">
        <v>563</v>
      </c>
      <c r="B9013" s="474" t="s">
        <v>564</v>
      </c>
      <c r="C9013" s="474" t="s">
        <v>585</v>
      </c>
      <c r="D9013" s="474" t="s">
        <v>586</v>
      </c>
      <c r="E9013" s="492" t="s">
        <v>587</v>
      </c>
      <c r="F9013" s="474" t="s">
        <v>568</v>
      </c>
      <c r="G9013" s="81"/>
      <c r="H9013" s="81"/>
      <c r="I9013" s="81"/>
      <c r="J9013" s="81"/>
      <c r="K9013" s="81"/>
      <c r="L9013" s="81"/>
      <c r="M9013" s="81"/>
      <c r="N9013" s="81"/>
    </row>
    <row r="9014" spans="1:14" s="306" customFormat="1" ht="14.25" customHeight="1" x14ac:dyDescent="0.25">
      <c r="A9014" s="480"/>
      <c r="B9014" s="476"/>
      <c r="C9014" s="477"/>
      <c r="D9014" s="498"/>
      <c r="E9014" s="484"/>
      <c r="F9014" s="486">
        <f>+C9014*D9014*E9014</f>
        <v>0</v>
      </c>
      <c r="G9014" s="81"/>
      <c r="H9014" s="81"/>
      <c r="I9014" s="81"/>
      <c r="J9014" s="81"/>
      <c r="K9014" s="81"/>
      <c r="L9014" s="81"/>
      <c r="M9014" s="81"/>
      <c r="N9014" s="81"/>
    </row>
    <row r="9015" spans="1:14" s="306" customFormat="1" ht="14.25" customHeight="1" x14ac:dyDescent="0.25">
      <c r="A9015" s="480"/>
      <c r="B9015" s="476"/>
      <c r="C9015" s="484"/>
      <c r="D9015" s="484"/>
      <c r="E9015" s="485"/>
      <c r="F9015" s="486"/>
      <c r="G9015" s="81"/>
      <c r="H9015" s="81"/>
      <c r="I9015" s="81"/>
      <c r="J9015" s="81"/>
      <c r="K9015" s="81"/>
      <c r="L9015" s="81"/>
      <c r="M9015" s="81"/>
      <c r="N9015" s="81"/>
    </row>
    <row r="9016" spans="1:14" s="306" customFormat="1" ht="14.25" customHeight="1" x14ac:dyDescent="0.25">
      <c r="A9016" s="199" t="s">
        <v>548</v>
      </c>
      <c r="B9016" s="474"/>
      <c r="C9016" s="487"/>
      <c r="D9016" s="487"/>
      <c r="E9016" s="488"/>
      <c r="F9016" s="489">
        <f>SUM(F9014:F9015)</f>
        <v>0</v>
      </c>
      <c r="G9016" s="81"/>
      <c r="H9016" s="81"/>
      <c r="I9016" s="81"/>
      <c r="J9016" s="81"/>
      <c r="K9016" s="81"/>
      <c r="L9016" s="81"/>
      <c r="M9016" s="81"/>
      <c r="N9016" s="81"/>
    </row>
    <row r="9017" spans="1:14" s="306" customFormat="1" ht="14.25" customHeight="1" x14ac:dyDescent="0.25">
      <c r="A9017" s="192"/>
      <c r="B9017" s="194"/>
      <c r="C9017" s="215"/>
      <c r="D9017" s="215"/>
      <c r="E9017" s="216"/>
      <c r="F9017" s="215"/>
      <c r="G9017" s="81"/>
      <c r="H9017" s="81"/>
      <c r="I9017" s="81"/>
      <c r="J9017" s="81"/>
      <c r="K9017" s="81"/>
      <c r="L9017" s="81"/>
      <c r="M9017" s="81"/>
      <c r="N9017" s="81"/>
    </row>
    <row r="9018" spans="1:14" s="306" customFormat="1" ht="14.25" customHeight="1" x14ac:dyDescent="0.25">
      <c r="A9018" s="192"/>
      <c r="B9018" s="194"/>
      <c r="C9018" s="215"/>
      <c r="D9018" s="215"/>
      <c r="E9018" s="216"/>
      <c r="F9018" s="215"/>
      <c r="G9018" s="81"/>
      <c r="H9018" s="81"/>
      <c r="I9018" s="81"/>
      <c r="J9018" s="81"/>
      <c r="K9018" s="81"/>
      <c r="L9018" s="81"/>
      <c r="M9018" s="81"/>
      <c r="N9018" s="81"/>
    </row>
    <row r="9019" spans="1:14" s="306" customFormat="1" ht="14.25" customHeight="1" x14ac:dyDescent="0.25">
      <c r="A9019" s="590" t="s">
        <v>588</v>
      </c>
      <c r="B9019" s="586"/>
      <c r="C9019" s="586"/>
      <c r="D9019" s="586"/>
      <c r="E9019" s="587"/>
      <c r="F9019" s="499">
        <f>ROUND(F8996+F9002+F9010+F9016,0)</f>
        <v>39188</v>
      </c>
      <c r="G9019" s="81"/>
      <c r="H9019" s="281">
        <f>39188-F9019</f>
        <v>0</v>
      </c>
      <c r="I9019" s="81"/>
      <c r="J9019" s="81"/>
      <c r="K9019" s="81"/>
      <c r="L9019" s="81"/>
      <c r="M9019" s="81"/>
      <c r="N9019" s="81"/>
    </row>
    <row r="9020" spans="1:14" s="306" customFormat="1" ht="14.25" customHeight="1" x14ac:dyDescent="0.25">
      <c r="A9020" s="590" t="s">
        <v>589</v>
      </c>
      <c r="B9020" s="586"/>
      <c r="C9020" s="586"/>
      <c r="D9020" s="586"/>
      <c r="E9020" s="587"/>
      <c r="F9020" s="500"/>
      <c r="G9020" s="81"/>
      <c r="H9020" s="81"/>
      <c r="I9020" s="81"/>
      <c r="J9020" s="81"/>
      <c r="K9020" s="81"/>
      <c r="L9020" s="81"/>
      <c r="M9020" s="81"/>
      <c r="N9020" s="81"/>
    </row>
    <row r="9021" spans="1:14" s="306" customFormat="1" ht="14.25" customHeight="1" x14ac:dyDescent="0.25">
      <c r="A9021" s="590" t="s">
        <v>556</v>
      </c>
      <c r="B9021" s="586"/>
      <c r="C9021" s="586"/>
      <c r="D9021" s="586"/>
      <c r="E9021" s="587"/>
      <c r="F9021" s="501"/>
      <c r="G9021" s="81"/>
      <c r="H9021" s="81"/>
      <c r="I9021" s="81"/>
      <c r="J9021" s="81"/>
      <c r="K9021" s="81"/>
      <c r="L9021" s="81"/>
      <c r="M9021" s="81"/>
      <c r="N9021" s="81"/>
    </row>
    <row r="9022" spans="1:14" s="306" customFormat="1" ht="14.25" customHeight="1" x14ac:dyDescent="0.25">
      <c r="A9022" s="308"/>
      <c r="B9022" s="502"/>
      <c r="C9022" s="502"/>
      <c r="D9022" s="502"/>
      <c r="E9022" s="502"/>
      <c r="F9022" s="503"/>
      <c r="G9022" s="81"/>
      <c r="H9022" s="81"/>
      <c r="I9022" s="81"/>
      <c r="J9022" s="81"/>
      <c r="K9022" s="81"/>
      <c r="L9022" s="81"/>
      <c r="M9022" s="81"/>
      <c r="N9022" s="81"/>
    </row>
    <row r="9023" spans="1:14" s="306" customFormat="1" ht="14.25" customHeight="1" x14ac:dyDescent="0.25">
      <c r="A9023" s="308"/>
      <c r="B9023" s="502"/>
      <c r="C9023" s="502"/>
      <c r="D9023" s="502"/>
      <c r="E9023" s="502"/>
      <c r="F9023" s="503"/>
      <c r="G9023" s="81"/>
      <c r="H9023" s="81"/>
      <c r="I9023" s="81"/>
      <c r="J9023" s="81"/>
      <c r="K9023" s="81"/>
      <c r="L9023" s="81"/>
      <c r="M9023" s="81"/>
      <c r="N9023" s="81"/>
    </row>
    <row r="9024" spans="1:14" s="306" customFormat="1" ht="14.25" customHeight="1" x14ac:dyDescent="0.25">
      <c r="A9024" s="308"/>
      <c r="B9024" s="502"/>
      <c r="C9024" s="502"/>
      <c r="D9024" s="502"/>
      <c r="E9024" s="502"/>
      <c r="F9024" s="503"/>
      <c r="G9024" s="81"/>
      <c r="H9024" s="81"/>
      <c r="I9024" s="81"/>
      <c r="J9024" s="81"/>
      <c r="K9024" s="81"/>
      <c r="L9024" s="81"/>
      <c r="M9024" s="81"/>
      <c r="N9024" s="81"/>
    </row>
    <row r="9025" spans="1:14" s="306" customFormat="1" ht="14.25" customHeight="1" x14ac:dyDescent="0.25">
      <c r="A9025" s="308"/>
      <c r="B9025" s="502"/>
      <c r="C9025" s="502"/>
      <c r="D9025" s="502"/>
      <c r="E9025" s="502"/>
      <c r="F9025" s="503"/>
      <c r="G9025" s="81"/>
      <c r="H9025" s="81"/>
      <c r="I9025" s="81"/>
      <c r="J9025" s="81"/>
      <c r="K9025" s="81"/>
      <c r="L9025" s="81"/>
      <c r="M9025" s="81"/>
      <c r="N9025" s="81"/>
    </row>
    <row r="9026" spans="1:14" s="306" customFormat="1" ht="14.25" customHeight="1" x14ac:dyDescent="0.25">
      <c r="A9026" s="308"/>
      <c r="B9026" s="502"/>
      <c r="C9026" s="502"/>
      <c r="D9026" s="502"/>
      <c r="E9026" s="502"/>
      <c r="F9026" s="503"/>
      <c r="G9026" s="81"/>
      <c r="H9026" s="81"/>
      <c r="I9026" s="81"/>
      <c r="J9026" s="81"/>
      <c r="K9026" s="81"/>
      <c r="L9026" s="81"/>
      <c r="M9026" s="81"/>
      <c r="N9026" s="81"/>
    </row>
    <row r="9027" spans="1:14" s="306" customFormat="1" ht="14.25" customHeight="1" x14ac:dyDescent="0.25">
      <c r="A9027" s="308"/>
      <c r="B9027" s="502"/>
      <c r="C9027" s="502"/>
      <c r="D9027" s="502"/>
      <c r="E9027" s="502"/>
      <c r="F9027" s="503"/>
      <c r="G9027" s="81"/>
      <c r="H9027" s="81"/>
      <c r="I9027" s="81"/>
      <c r="J9027" s="81"/>
      <c r="K9027" s="81"/>
      <c r="L9027" s="81"/>
      <c r="M9027" s="81"/>
      <c r="N9027" s="81"/>
    </row>
    <row r="9028" spans="1:14" s="306" customFormat="1" ht="14.25" customHeight="1" x14ac:dyDescent="0.25">
      <c r="A9028" s="308"/>
      <c r="B9028" s="502"/>
      <c r="C9028" s="502"/>
      <c r="D9028" s="502"/>
      <c r="E9028" s="502"/>
      <c r="F9028" s="503"/>
      <c r="G9028" s="81"/>
      <c r="H9028" s="81"/>
      <c r="I9028" s="81"/>
      <c r="J9028" s="81"/>
      <c r="K9028" s="81"/>
      <c r="L9028" s="81"/>
      <c r="M9028" s="81"/>
      <c r="N9028" s="81"/>
    </row>
    <row r="9029" spans="1:14" s="306" customFormat="1" ht="14.25" customHeight="1" thickBot="1" x14ac:dyDescent="0.3">
      <c r="A9029" s="243"/>
      <c r="B9029" s="243"/>
      <c r="C9029" s="243"/>
      <c r="D9029" s="243"/>
      <c r="E9029" s="243"/>
      <c r="F9029" s="243"/>
      <c r="G9029" s="81"/>
      <c r="H9029" s="81"/>
      <c r="I9029" s="81"/>
      <c r="J9029" s="81"/>
      <c r="K9029" s="81"/>
      <c r="L9029" s="81"/>
      <c r="M9029" s="81"/>
      <c r="N9029" s="81"/>
    </row>
    <row r="9030" spans="1:14" s="306" customFormat="1" ht="14.25" customHeight="1" x14ac:dyDescent="0.25">
      <c r="A9030" s="258"/>
      <c r="B9030" s="259"/>
      <c r="C9030" s="260"/>
      <c r="D9030" s="261"/>
      <c r="E9030" s="261"/>
      <c r="F9030" s="262"/>
      <c r="G9030" s="81"/>
      <c r="H9030" s="81"/>
      <c r="I9030" s="81"/>
      <c r="J9030" s="81"/>
      <c r="K9030" s="81"/>
      <c r="L9030" s="81"/>
      <c r="M9030" s="81"/>
      <c r="N9030" s="81"/>
    </row>
    <row r="9031" spans="1:14" s="306" customFormat="1" ht="14.25" customHeight="1" x14ac:dyDescent="0.25">
      <c r="A9031" s="621"/>
      <c r="B9031" s="629"/>
      <c r="C9031" s="629"/>
      <c r="D9031" s="629"/>
      <c r="E9031" s="629"/>
      <c r="F9031" s="630"/>
      <c r="G9031" s="81"/>
      <c r="H9031" s="81"/>
      <c r="I9031" s="81"/>
      <c r="J9031" s="81"/>
      <c r="K9031" s="81"/>
      <c r="L9031" s="81"/>
      <c r="M9031" s="81"/>
      <c r="N9031" s="81"/>
    </row>
    <row r="9032" spans="1:14" s="306" customFormat="1" ht="14.25" customHeight="1" x14ac:dyDescent="0.25">
      <c r="A9032" s="614" t="s">
        <v>561</v>
      </c>
      <c r="B9032" s="629"/>
      <c r="C9032" s="629"/>
      <c r="D9032" s="629"/>
      <c r="E9032" s="629"/>
      <c r="F9032" s="630"/>
      <c r="G9032" s="81"/>
      <c r="H9032" s="81"/>
      <c r="I9032" s="81"/>
      <c r="J9032" s="81"/>
      <c r="K9032" s="81"/>
      <c r="L9032" s="81"/>
      <c r="M9032" s="81"/>
      <c r="N9032" s="81"/>
    </row>
    <row r="9033" spans="1:14" s="306" customFormat="1" ht="14.25" customHeight="1" thickBot="1" x14ac:dyDescent="0.3">
      <c r="A9033" s="617"/>
      <c r="B9033" s="631"/>
      <c r="C9033" s="631"/>
      <c r="D9033" s="631"/>
      <c r="E9033" s="631"/>
      <c r="F9033" s="632"/>
      <c r="G9033" s="81"/>
      <c r="H9033" s="81"/>
      <c r="I9033" s="81"/>
      <c r="J9033" s="81"/>
      <c r="K9033" s="81"/>
      <c r="L9033" s="81"/>
      <c r="M9033" s="81"/>
      <c r="N9033" s="81"/>
    </row>
    <row r="9034" spans="1:14" s="306" customFormat="1" ht="14.25" customHeight="1" x14ac:dyDescent="0.25">
      <c r="A9034" s="192"/>
      <c r="B9034" s="192"/>
      <c r="C9034" s="194"/>
      <c r="D9034" s="194"/>
      <c r="E9034" s="194"/>
      <c r="F9034" s="194"/>
      <c r="G9034" s="81"/>
      <c r="H9034" s="81"/>
      <c r="I9034" s="81"/>
      <c r="J9034" s="81"/>
      <c r="K9034" s="81"/>
      <c r="L9034" s="81"/>
      <c r="M9034" s="81"/>
      <c r="N9034" s="81"/>
    </row>
    <row r="9035" spans="1:14" s="306" customFormat="1" ht="30" customHeight="1" x14ac:dyDescent="0.25">
      <c r="A9035" s="473" t="s">
        <v>47</v>
      </c>
      <c r="B9035" s="620" t="s">
        <v>1031</v>
      </c>
      <c r="C9035" s="629"/>
      <c r="D9035" s="629"/>
      <c r="E9035" s="629"/>
      <c r="F9035" s="629"/>
      <c r="G9035" s="81"/>
      <c r="H9035" s="81"/>
      <c r="I9035" s="81"/>
      <c r="J9035" s="81"/>
      <c r="K9035" s="81"/>
      <c r="L9035" s="81"/>
      <c r="M9035" s="81"/>
      <c r="N9035" s="81"/>
    </row>
    <row r="9036" spans="1:14" s="306" customFormat="1" ht="14.25" customHeight="1" x14ac:dyDescent="0.25">
      <c r="A9036" s="191"/>
      <c r="B9036" s="191"/>
      <c r="C9036" s="191"/>
      <c r="D9036" s="191"/>
      <c r="E9036" s="191"/>
      <c r="F9036" s="191"/>
      <c r="G9036" s="81"/>
      <c r="H9036" s="81"/>
      <c r="I9036" s="81"/>
      <c r="J9036" s="81"/>
      <c r="K9036" s="81"/>
      <c r="L9036" s="81"/>
      <c r="M9036" s="81"/>
      <c r="N9036" s="81"/>
    </row>
    <row r="9037" spans="1:14" s="306" customFormat="1" ht="14.25" customHeight="1" x14ac:dyDescent="0.25">
      <c r="A9037" s="192" t="s">
        <v>49</v>
      </c>
      <c r="B9037" s="193" t="s">
        <v>99</v>
      </c>
      <c r="C9037" s="194"/>
      <c r="D9037" s="194"/>
      <c r="E9037" s="194"/>
      <c r="F9037" s="195"/>
      <c r="G9037" s="81"/>
      <c r="H9037" s="81"/>
      <c r="I9037" s="81"/>
      <c r="J9037" s="81"/>
      <c r="K9037" s="81"/>
      <c r="L9037" s="81"/>
      <c r="M9037" s="81"/>
      <c r="N9037" s="81"/>
    </row>
    <row r="9038" spans="1:14" s="306" customFormat="1" ht="14.25" customHeight="1" x14ac:dyDescent="0.25">
      <c r="A9038" s="192"/>
      <c r="B9038" s="196"/>
      <c r="C9038" s="194"/>
      <c r="D9038" s="194"/>
      <c r="E9038" s="194"/>
      <c r="F9038" s="195"/>
      <c r="G9038" s="81"/>
      <c r="H9038" s="81"/>
      <c r="I9038" s="81"/>
      <c r="J9038" s="81"/>
      <c r="K9038" s="81"/>
      <c r="L9038" s="81"/>
      <c r="M9038" s="81"/>
      <c r="N9038" s="81"/>
    </row>
    <row r="9039" spans="1:14" s="306" customFormat="1" ht="14.25" customHeight="1" x14ac:dyDescent="0.25">
      <c r="A9039" s="197" t="s">
        <v>562</v>
      </c>
      <c r="B9039" s="198"/>
      <c r="C9039" s="193"/>
      <c r="D9039" s="193"/>
      <c r="E9039" s="193"/>
      <c r="F9039" s="193"/>
      <c r="G9039" s="81"/>
      <c r="H9039" s="81"/>
      <c r="I9039" s="81"/>
      <c r="J9039" s="81"/>
      <c r="K9039" s="81"/>
      <c r="L9039" s="81"/>
      <c r="M9039" s="81"/>
      <c r="N9039" s="81"/>
    </row>
    <row r="9040" spans="1:14" s="306" customFormat="1" ht="14.25" customHeight="1" x14ac:dyDescent="0.25">
      <c r="A9040" s="199" t="s">
        <v>563</v>
      </c>
      <c r="B9040" s="474" t="s">
        <v>564</v>
      </c>
      <c r="C9040" s="474" t="s">
        <v>565</v>
      </c>
      <c r="D9040" s="474" t="s">
        <v>566</v>
      </c>
      <c r="E9040" s="474" t="s">
        <v>567</v>
      </c>
      <c r="F9040" s="474" t="s">
        <v>568</v>
      </c>
      <c r="G9040" s="81"/>
      <c r="H9040" s="81"/>
      <c r="I9040" s="81"/>
      <c r="J9040" s="81"/>
      <c r="K9040" s="81"/>
      <c r="L9040" s="81"/>
      <c r="M9040" s="81"/>
      <c r="N9040" s="81"/>
    </row>
    <row r="9041" spans="1:14" s="306" customFormat="1" ht="25.5" x14ac:dyDescent="0.25">
      <c r="A9041" s="475" t="s">
        <v>644</v>
      </c>
      <c r="B9041" s="476" t="s">
        <v>64</v>
      </c>
      <c r="C9041" s="477">
        <v>408050</v>
      </c>
      <c r="D9041" s="478">
        <v>0.03</v>
      </c>
      <c r="E9041" s="479">
        <v>0.05</v>
      </c>
      <c r="F9041" s="477">
        <f t="shared" ref="F9041:F9043" si="444">C9041*(D9041+(D9041*E9041))</f>
        <v>12853.575000000001</v>
      </c>
      <c r="G9041" s="81"/>
      <c r="H9041" s="81"/>
      <c r="I9041" s="81"/>
      <c r="J9041" s="81"/>
      <c r="K9041" s="81"/>
      <c r="L9041" s="81"/>
      <c r="M9041" s="81"/>
      <c r="N9041" s="81"/>
    </row>
    <row r="9042" spans="1:14" s="306" customFormat="1" ht="14.25" customHeight="1" x14ac:dyDescent="0.25">
      <c r="A9042" s="475" t="s">
        <v>119</v>
      </c>
      <c r="B9042" s="476" t="s">
        <v>117</v>
      </c>
      <c r="C9042" s="477">
        <v>4300</v>
      </c>
      <c r="D9042" s="481">
        <v>1.4</v>
      </c>
      <c r="E9042" s="479">
        <v>0.05</v>
      </c>
      <c r="F9042" s="477">
        <f t="shared" si="444"/>
        <v>6321</v>
      </c>
      <c r="G9042" s="81"/>
      <c r="H9042" s="81"/>
      <c r="I9042" s="81"/>
      <c r="J9042" s="81"/>
      <c r="K9042" s="81"/>
      <c r="L9042" s="81"/>
      <c r="M9042" s="81"/>
      <c r="N9042" s="81"/>
    </row>
    <row r="9043" spans="1:14" s="306" customFormat="1" ht="14.25" customHeight="1" x14ac:dyDescent="0.25">
      <c r="A9043" s="475" t="s">
        <v>645</v>
      </c>
      <c r="B9043" s="476" t="s">
        <v>117</v>
      </c>
      <c r="C9043" s="477">
        <v>4700</v>
      </c>
      <c r="D9043" s="481">
        <f>+D9042*0.1</f>
        <v>0.13999999999999999</v>
      </c>
      <c r="E9043" s="479">
        <v>0.05</v>
      </c>
      <c r="F9043" s="477">
        <f t="shared" si="444"/>
        <v>690.9</v>
      </c>
      <c r="G9043" s="81"/>
      <c r="H9043" s="81"/>
      <c r="I9043" s="81"/>
      <c r="J9043" s="81"/>
      <c r="K9043" s="81"/>
      <c r="L9043" s="81"/>
      <c r="M9043" s="81"/>
      <c r="N9043" s="81"/>
    </row>
    <row r="9044" spans="1:14" s="306" customFormat="1" ht="14.25" customHeight="1" x14ac:dyDescent="0.25">
      <c r="A9044" s="480" t="s">
        <v>1440</v>
      </c>
      <c r="B9044" s="476" t="s">
        <v>1330</v>
      </c>
      <c r="C9044" s="477"/>
      <c r="D9044" s="482"/>
      <c r="E9044" s="479"/>
      <c r="F9044" s="477">
        <v>1800</v>
      </c>
      <c r="G9044" s="81"/>
      <c r="H9044" s="81"/>
      <c r="I9044" s="81"/>
      <c r="J9044" s="81"/>
      <c r="K9044" s="81"/>
      <c r="L9044" s="81"/>
      <c r="M9044" s="81"/>
      <c r="N9044" s="81"/>
    </row>
    <row r="9045" spans="1:14" s="306" customFormat="1" ht="14.25" customHeight="1" x14ac:dyDescent="0.25">
      <c r="A9045" s="475"/>
      <c r="B9045" s="476"/>
      <c r="C9045" s="483"/>
      <c r="D9045" s="484"/>
      <c r="E9045" s="485"/>
      <c r="F9045" s="483"/>
      <c r="G9045" s="81"/>
      <c r="H9045" s="81"/>
      <c r="I9045" s="81"/>
      <c r="J9045" s="81"/>
      <c r="K9045" s="81"/>
      <c r="L9045" s="81"/>
      <c r="M9045" s="81"/>
      <c r="N9045" s="81"/>
    </row>
    <row r="9046" spans="1:14" s="306" customFormat="1" ht="14.25" customHeight="1" x14ac:dyDescent="0.25">
      <c r="A9046" s="199" t="s">
        <v>548</v>
      </c>
      <c r="B9046" s="199"/>
      <c r="C9046" s="486"/>
      <c r="D9046" s="487"/>
      <c r="E9046" s="488"/>
      <c r="F9046" s="489">
        <f>SUM(F9041:F9045)</f>
        <v>21665.475000000002</v>
      </c>
      <c r="G9046" s="81"/>
      <c r="H9046" s="81"/>
      <c r="I9046" s="81"/>
      <c r="J9046" s="81"/>
      <c r="K9046" s="81"/>
      <c r="L9046" s="81"/>
      <c r="M9046" s="81"/>
      <c r="N9046" s="81"/>
    </row>
    <row r="9047" spans="1:14" s="306" customFormat="1" ht="14.25" customHeight="1" x14ac:dyDescent="0.25">
      <c r="A9047" s="192"/>
      <c r="B9047" s="192"/>
      <c r="C9047" s="215"/>
      <c r="D9047" s="215"/>
      <c r="E9047" s="216"/>
      <c r="F9047" s="215"/>
      <c r="G9047" s="81"/>
      <c r="H9047" s="81"/>
      <c r="I9047" s="81"/>
      <c r="J9047" s="81"/>
      <c r="K9047" s="81"/>
      <c r="L9047" s="81"/>
      <c r="M9047" s="81"/>
      <c r="N9047" s="81"/>
    </row>
    <row r="9048" spans="1:14" s="306" customFormat="1" ht="14.25" customHeight="1" x14ac:dyDescent="0.25">
      <c r="A9048" s="198" t="s">
        <v>573</v>
      </c>
      <c r="B9048" s="198"/>
      <c r="C9048" s="193"/>
      <c r="D9048" s="193"/>
      <c r="E9048" s="193"/>
      <c r="F9048" s="193"/>
      <c r="G9048" s="81"/>
      <c r="H9048" s="81"/>
      <c r="I9048" s="81"/>
      <c r="J9048" s="81"/>
      <c r="K9048" s="81"/>
      <c r="L9048" s="81"/>
      <c r="M9048" s="81"/>
      <c r="N9048" s="81"/>
    </row>
    <row r="9049" spans="1:14" s="306" customFormat="1" ht="14.25" customHeight="1" x14ac:dyDescent="0.25">
      <c r="A9049" s="585" t="s">
        <v>563</v>
      </c>
      <c r="B9049" s="586"/>
      <c r="C9049" s="587"/>
      <c r="D9049" s="474" t="s">
        <v>574</v>
      </c>
      <c r="E9049" s="474" t="s">
        <v>575</v>
      </c>
      <c r="F9049" s="474" t="s">
        <v>568</v>
      </c>
      <c r="G9049" s="81"/>
      <c r="H9049" s="81"/>
      <c r="I9049" s="81"/>
      <c r="J9049" s="81"/>
      <c r="K9049" s="81"/>
      <c r="L9049" s="81"/>
      <c r="M9049" s="81"/>
      <c r="N9049" s="81"/>
    </row>
    <row r="9050" spans="1:14" s="306" customFormat="1" ht="14.25" customHeight="1" x14ac:dyDescent="0.25">
      <c r="A9050" s="588" t="s">
        <v>577</v>
      </c>
      <c r="B9050" s="586"/>
      <c r="C9050" s="587"/>
      <c r="D9050" s="490"/>
      <c r="E9050" s="484"/>
      <c r="F9050" s="483">
        <v>924</v>
      </c>
      <c r="G9050" s="81"/>
      <c r="H9050" s="81"/>
      <c r="I9050" s="81"/>
      <c r="J9050" s="81"/>
      <c r="K9050" s="81"/>
      <c r="L9050" s="81"/>
      <c r="M9050" s="81"/>
      <c r="N9050" s="81"/>
    </row>
    <row r="9051" spans="1:14" s="306" customFormat="1" ht="14.25" customHeight="1" x14ac:dyDescent="0.25">
      <c r="A9051" s="589"/>
      <c r="B9051" s="586"/>
      <c r="C9051" s="587"/>
      <c r="D9051" s="491"/>
      <c r="E9051" s="484"/>
      <c r="F9051" s="483"/>
      <c r="G9051" s="81"/>
      <c r="H9051" s="81"/>
      <c r="I9051" s="81"/>
      <c r="J9051" s="81"/>
      <c r="K9051" s="81"/>
      <c r="L9051" s="81"/>
      <c r="M9051" s="81"/>
      <c r="N9051" s="81"/>
    </row>
    <row r="9052" spans="1:14" s="306" customFormat="1" ht="14.25" customHeight="1" x14ac:dyDescent="0.25">
      <c r="A9052" s="585" t="s">
        <v>548</v>
      </c>
      <c r="B9052" s="586"/>
      <c r="C9052" s="587"/>
      <c r="D9052" s="487"/>
      <c r="E9052" s="487"/>
      <c r="F9052" s="489">
        <f>SUM(F9050:F9051)</f>
        <v>924</v>
      </c>
      <c r="G9052" s="81"/>
      <c r="H9052" s="81"/>
      <c r="I9052" s="81"/>
      <c r="J9052" s="81"/>
      <c r="K9052" s="81"/>
      <c r="L9052" s="81"/>
      <c r="M9052" s="81"/>
      <c r="N9052" s="81"/>
    </row>
    <row r="9053" spans="1:14" s="306" customFormat="1" ht="14.25" customHeight="1" x14ac:dyDescent="0.25">
      <c r="A9053" s="192"/>
      <c r="B9053" s="192"/>
      <c r="C9053" s="194"/>
      <c r="D9053" s="215"/>
      <c r="E9053" s="215"/>
      <c r="F9053" s="215"/>
      <c r="G9053" s="81"/>
      <c r="H9053" s="81"/>
      <c r="I9053" s="81"/>
      <c r="J9053" s="81"/>
      <c r="K9053" s="81"/>
      <c r="L9053" s="81"/>
      <c r="M9053" s="81"/>
      <c r="N9053" s="81"/>
    </row>
    <row r="9054" spans="1:14" s="306" customFormat="1" ht="14.25" customHeight="1" x14ac:dyDescent="0.25">
      <c r="A9054" s="198" t="s">
        <v>578</v>
      </c>
      <c r="B9054" s="198"/>
      <c r="C9054" s="193"/>
      <c r="D9054" s="223"/>
      <c r="E9054" s="223"/>
      <c r="F9054" s="223"/>
      <c r="G9054" s="81"/>
      <c r="H9054" s="81"/>
      <c r="I9054" s="81"/>
      <c r="J9054" s="81"/>
      <c r="K9054" s="81"/>
      <c r="L9054" s="81"/>
      <c r="M9054" s="81"/>
      <c r="N9054" s="81"/>
    </row>
    <row r="9055" spans="1:14" s="306" customFormat="1" ht="38.25" x14ac:dyDescent="0.25">
      <c r="A9055" s="224" t="s">
        <v>563</v>
      </c>
      <c r="B9055" s="492" t="s">
        <v>579</v>
      </c>
      <c r="C9055" s="492" t="s">
        <v>580</v>
      </c>
      <c r="D9055" s="493" t="s">
        <v>581</v>
      </c>
      <c r="E9055" s="493" t="s">
        <v>575</v>
      </c>
      <c r="F9055" s="493" t="s">
        <v>568</v>
      </c>
      <c r="G9055" s="81"/>
      <c r="H9055" s="81"/>
      <c r="I9055" s="81"/>
      <c r="J9055" s="81"/>
      <c r="K9055" s="81"/>
      <c r="L9055" s="81"/>
      <c r="M9055" s="81"/>
      <c r="N9055" s="81"/>
    </row>
    <row r="9056" spans="1:14" s="306" customFormat="1" ht="14.25" customHeight="1" x14ac:dyDescent="0.25">
      <c r="A9056" s="494" t="s">
        <v>593</v>
      </c>
      <c r="B9056" s="495">
        <v>1</v>
      </c>
      <c r="C9056" s="477">
        <v>32688</v>
      </c>
      <c r="D9056" s="477">
        <f t="shared" ref="D9056:D9057" si="445">+C9056*1.7</f>
        <v>55569.599999999999</v>
      </c>
      <c r="E9056" s="484">
        <v>14</v>
      </c>
      <c r="F9056" s="483">
        <f t="shared" ref="F9056:F9057" si="446">+D9056/E9056</f>
        <v>3969.2571428571428</v>
      </c>
      <c r="G9056" s="81"/>
      <c r="H9056" s="81"/>
      <c r="I9056" s="81"/>
      <c r="J9056" s="81"/>
      <c r="K9056" s="81"/>
      <c r="L9056" s="81"/>
      <c r="M9056" s="81"/>
      <c r="N9056" s="81"/>
    </row>
    <row r="9057" spans="1:14" s="306" customFormat="1" ht="14.25" customHeight="1" x14ac:dyDescent="0.25">
      <c r="A9057" s="494" t="s">
        <v>594</v>
      </c>
      <c r="B9057" s="495">
        <v>1</v>
      </c>
      <c r="C9057" s="477">
        <v>52538</v>
      </c>
      <c r="D9057" s="477">
        <f t="shared" si="445"/>
        <v>89314.599999999991</v>
      </c>
      <c r="E9057" s="484">
        <f>E9056</f>
        <v>14</v>
      </c>
      <c r="F9057" s="483">
        <f t="shared" si="446"/>
        <v>6379.614285714285</v>
      </c>
      <c r="G9057" s="81"/>
      <c r="H9057" s="81"/>
      <c r="I9057" s="81"/>
      <c r="J9057" s="81"/>
      <c r="K9057" s="81"/>
      <c r="L9057" s="81"/>
      <c r="M9057" s="81"/>
      <c r="N9057" s="81"/>
    </row>
    <row r="9058" spans="1:14" s="306" customFormat="1" ht="14.25" customHeight="1" x14ac:dyDescent="0.25">
      <c r="A9058" s="494"/>
      <c r="B9058" s="495"/>
      <c r="C9058" s="477"/>
      <c r="D9058" s="477"/>
      <c r="E9058" s="484"/>
      <c r="F9058" s="483"/>
      <c r="G9058" s="81"/>
      <c r="H9058" s="81"/>
      <c r="I9058" s="81"/>
      <c r="J9058" s="81"/>
      <c r="K9058" s="81"/>
      <c r="L9058" s="81"/>
      <c r="M9058" s="81"/>
      <c r="N9058" s="81"/>
    </row>
    <row r="9059" spans="1:14" s="306" customFormat="1" ht="14.25" customHeight="1" x14ac:dyDescent="0.25">
      <c r="A9059" s="494"/>
      <c r="B9059" s="495"/>
      <c r="C9059" s="477"/>
      <c r="D9059" s="477"/>
      <c r="E9059" s="496"/>
      <c r="F9059" s="483"/>
      <c r="G9059" s="81"/>
      <c r="H9059" s="81"/>
      <c r="I9059" s="81"/>
      <c r="J9059" s="81"/>
      <c r="K9059" s="81"/>
      <c r="L9059" s="81"/>
      <c r="M9059" s="81"/>
      <c r="N9059" s="81"/>
    </row>
    <row r="9060" spans="1:14" s="306" customFormat="1" ht="14.25" customHeight="1" x14ac:dyDescent="0.25">
      <c r="A9060" s="199" t="s">
        <v>548</v>
      </c>
      <c r="B9060" s="497"/>
      <c r="C9060" s="487"/>
      <c r="D9060" s="487"/>
      <c r="E9060" s="487"/>
      <c r="F9060" s="489">
        <f>SUM(F9056:F9059)</f>
        <v>10348.871428571427</v>
      </c>
      <c r="G9060" s="81"/>
      <c r="H9060" s="81"/>
      <c r="I9060" s="81"/>
      <c r="J9060" s="81"/>
      <c r="K9060" s="81"/>
      <c r="L9060" s="81"/>
      <c r="M9060" s="81"/>
      <c r="N9060" s="81"/>
    </row>
    <row r="9061" spans="1:14" s="306" customFormat="1" ht="14.25" customHeight="1" x14ac:dyDescent="0.25">
      <c r="A9061" s="198"/>
      <c r="B9061" s="231"/>
      <c r="C9061" s="223"/>
      <c r="D9061" s="223"/>
      <c r="E9061" s="223"/>
      <c r="F9061" s="223"/>
      <c r="G9061" s="81"/>
      <c r="H9061" s="81"/>
      <c r="I9061" s="81"/>
      <c r="J9061" s="81"/>
      <c r="K9061" s="81"/>
      <c r="L9061" s="81"/>
      <c r="M9061" s="81"/>
      <c r="N9061" s="81"/>
    </row>
    <row r="9062" spans="1:14" s="306" customFormat="1" ht="14.25" customHeight="1" x14ac:dyDescent="0.25">
      <c r="A9062" s="197" t="s">
        <v>583</v>
      </c>
      <c r="B9062" s="198"/>
      <c r="C9062" s="193"/>
      <c r="D9062" s="193"/>
      <c r="E9062" s="193" t="s">
        <v>584</v>
      </c>
      <c r="F9062" s="193"/>
      <c r="G9062" s="81"/>
      <c r="H9062" s="81"/>
      <c r="I9062" s="81"/>
      <c r="J9062" s="81"/>
      <c r="K9062" s="81"/>
      <c r="L9062" s="81"/>
      <c r="M9062" s="81"/>
      <c r="N9062" s="81"/>
    </row>
    <row r="9063" spans="1:14" s="306" customFormat="1" ht="25.5" x14ac:dyDescent="0.25">
      <c r="A9063" s="199" t="s">
        <v>563</v>
      </c>
      <c r="B9063" s="474" t="s">
        <v>564</v>
      </c>
      <c r="C9063" s="474" t="s">
        <v>585</v>
      </c>
      <c r="D9063" s="474" t="s">
        <v>586</v>
      </c>
      <c r="E9063" s="492" t="s">
        <v>587</v>
      </c>
      <c r="F9063" s="474" t="s">
        <v>568</v>
      </c>
      <c r="G9063" s="81"/>
      <c r="H9063" s="81"/>
      <c r="I9063" s="81"/>
      <c r="J9063" s="81"/>
      <c r="K9063" s="81"/>
      <c r="L9063" s="81"/>
      <c r="M9063" s="81"/>
      <c r="N9063" s="81"/>
    </row>
    <row r="9064" spans="1:14" s="306" customFormat="1" ht="14.25" customHeight="1" x14ac:dyDescent="0.25">
      <c r="A9064" s="480"/>
      <c r="B9064" s="476"/>
      <c r="C9064" s="477"/>
      <c r="D9064" s="498"/>
      <c r="E9064" s="484"/>
      <c r="F9064" s="486">
        <f>+C9064*D9064*E9064</f>
        <v>0</v>
      </c>
      <c r="G9064" s="81"/>
      <c r="H9064" s="81"/>
      <c r="I9064" s="81"/>
      <c r="J9064" s="81"/>
      <c r="K9064" s="81"/>
      <c r="L9064" s="81"/>
      <c r="M9064" s="81"/>
      <c r="N9064" s="81"/>
    </row>
    <row r="9065" spans="1:14" s="306" customFormat="1" ht="14.25" customHeight="1" x14ac:dyDescent="0.25">
      <c r="A9065" s="480"/>
      <c r="B9065" s="476"/>
      <c r="C9065" s="484"/>
      <c r="D9065" s="484"/>
      <c r="E9065" s="485"/>
      <c r="F9065" s="486"/>
      <c r="G9065" s="81"/>
      <c r="H9065" s="81"/>
      <c r="I9065" s="81"/>
      <c r="J9065" s="81"/>
      <c r="K9065" s="81"/>
      <c r="L9065" s="81"/>
      <c r="M9065" s="81"/>
      <c r="N9065" s="81"/>
    </row>
    <row r="9066" spans="1:14" s="306" customFormat="1" ht="14.25" customHeight="1" x14ac:dyDescent="0.25">
      <c r="A9066" s="199" t="s">
        <v>548</v>
      </c>
      <c r="B9066" s="474"/>
      <c r="C9066" s="487"/>
      <c r="D9066" s="487"/>
      <c r="E9066" s="488"/>
      <c r="F9066" s="489">
        <f>SUM(F9064:F9065)</f>
        <v>0</v>
      </c>
      <c r="G9066" s="81"/>
      <c r="H9066" s="81"/>
      <c r="I9066" s="81"/>
      <c r="J9066" s="81"/>
      <c r="K9066" s="81"/>
      <c r="L9066" s="81"/>
      <c r="M9066" s="81"/>
      <c r="N9066" s="81"/>
    </row>
    <row r="9067" spans="1:14" s="306" customFormat="1" ht="14.25" customHeight="1" x14ac:dyDescent="0.25">
      <c r="A9067" s="192"/>
      <c r="B9067" s="194"/>
      <c r="C9067" s="215"/>
      <c r="D9067" s="215"/>
      <c r="E9067" s="216"/>
      <c r="F9067" s="215"/>
      <c r="G9067" s="81"/>
      <c r="H9067" s="81"/>
      <c r="I9067" s="81"/>
      <c r="J9067" s="81"/>
      <c r="K9067" s="81"/>
      <c r="L9067" s="81"/>
      <c r="M9067" s="81"/>
      <c r="N9067" s="81"/>
    </row>
    <row r="9068" spans="1:14" s="306" customFormat="1" ht="14.25" customHeight="1" x14ac:dyDescent="0.25">
      <c r="A9068" s="192"/>
      <c r="B9068" s="194"/>
      <c r="C9068" s="215"/>
      <c r="D9068" s="215"/>
      <c r="E9068" s="216"/>
      <c r="F9068" s="215"/>
      <c r="G9068" s="81"/>
      <c r="H9068" s="81"/>
      <c r="I9068" s="81"/>
      <c r="J9068" s="81"/>
      <c r="K9068" s="81"/>
      <c r="L9068" s="81"/>
      <c r="M9068" s="81"/>
      <c r="N9068" s="81"/>
    </row>
    <row r="9069" spans="1:14" s="306" customFormat="1" ht="14.25" customHeight="1" x14ac:dyDescent="0.25">
      <c r="A9069" s="590" t="s">
        <v>588</v>
      </c>
      <c r="B9069" s="586"/>
      <c r="C9069" s="586"/>
      <c r="D9069" s="586"/>
      <c r="E9069" s="587"/>
      <c r="F9069" s="499">
        <f>ROUND(F9046+F9052+F9060+F9066,0)</f>
        <v>32938</v>
      </c>
      <c r="G9069" s="81"/>
      <c r="H9069" s="117">
        <f>32938-F9069</f>
        <v>0</v>
      </c>
      <c r="I9069" s="81"/>
      <c r="J9069" s="81"/>
      <c r="K9069" s="81"/>
      <c r="L9069" s="81"/>
      <c r="M9069" s="81"/>
      <c r="N9069" s="81"/>
    </row>
    <row r="9070" spans="1:14" s="306" customFormat="1" ht="14.25" customHeight="1" x14ac:dyDescent="0.25">
      <c r="A9070" s="590" t="s">
        <v>589</v>
      </c>
      <c r="B9070" s="586"/>
      <c r="C9070" s="586"/>
      <c r="D9070" s="586"/>
      <c r="E9070" s="587"/>
      <c r="F9070" s="500"/>
      <c r="G9070" s="81"/>
      <c r="H9070" s="81"/>
      <c r="I9070" s="81"/>
      <c r="J9070" s="81"/>
      <c r="K9070" s="81"/>
      <c r="L9070" s="81"/>
      <c r="M9070" s="81"/>
      <c r="N9070" s="81"/>
    </row>
    <row r="9071" spans="1:14" s="306" customFormat="1" ht="14.25" customHeight="1" x14ac:dyDescent="0.25">
      <c r="A9071" s="590" t="s">
        <v>556</v>
      </c>
      <c r="B9071" s="586"/>
      <c r="C9071" s="586"/>
      <c r="D9071" s="586"/>
      <c r="E9071" s="587"/>
      <c r="F9071" s="501"/>
      <c r="G9071" s="81"/>
      <c r="H9071" s="81"/>
      <c r="I9071" s="81"/>
      <c r="J9071" s="81"/>
      <c r="K9071" s="81"/>
      <c r="L9071" s="81"/>
      <c r="M9071" s="81"/>
      <c r="N9071" s="81"/>
    </row>
    <row r="9072" spans="1:14" s="306" customFormat="1" ht="14.25" customHeight="1" x14ac:dyDescent="0.25">
      <c r="A9072" s="308"/>
      <c r="B9072" s="502"/>
      <c r="C9072" s="502"/>
      <c r="D9072" s="502"/>
      <c r="E9072" s="502"/>
      <c r="F9072" s="503"/>
      <c r="G9072" s="81"/>
      <c r="H9072" s="81"/>
      <c r="I9072" s="81"/>
      <c r="J9072" s="81"/>
      <c r="K9072" s="81"/>
      <c r="L9072" s="81"/>
      <c r="M9072" s="81"/>
      <c r="N9072" s="81"/>
    </row>
    <row r="9073" spans="1:14" s="306" customFormat="1" ht="14.25" customHeight="1" x14ac:dyDescent="0.25">
      <c r="A9073" s="308"/>
      <c r="B9073" s="502"/>
      <c r="C9073" s="502"/>
      <c r="D9073" s="502"/>
      <c r="E9073" s="502"/>
      <c r="F9073" s="503"/>
      <c r="G9073" s="81"/>
      <c r="H9073" s="81"/>
      <c r="I9073" s="81"/>
      <c r="J9073" s="81"/>
      <c r="K9073" s="81"/>
      <c r="L9073" s="81"/>
      <c r="M9073" s="81"/>
      <c r="N9073" s="81"/>
    </row>
    <row r="9074" spans="1:14" s="306" customFormat="1" ht="14.25" customHeight="1" x14ac:dyDescent="0.25">
      <c r="A9074" s="308"/>
      <c r="B9074" s="502"/>
      <c r="C9074" s="502"/>
      <c r="D9074" s="502"/>
      <c r="E9074" s="502"/>
      <c r="F9074" s="503"/>
      <c r="G9074" s="81"/>
      <c r="H9074" s="143"/>
      <c r="I9074" s="81"/>
      <c r="J9074" s="81"/>
      <c r="K9074" s="81"/>
      <c r="L9074" s="81"/>
      <c r="M9074" s="81"/>
      <c r="N9074" s="81"/>
    </row>
    <row r="9075" spans="1:14" s="306" customFormat="1" ht="14.25" customHeight="1" x14ac:dyDescent="0.25">
      <c r="A9075" s="243"/>
      <c r="B9075" s="243"/>
      <c r="C9075" s="504"/>
      <c r="D9075" s="243"/>
      <c r="E9075" s="243"/>
      <c r="F9075" s="243"/>
      <c r="G9075" s="81"/>
      <c r="H9075" s="81"/>
      <c r="I9075" s="81"/>
      <c r="J9075" s="81"/>
      <c r="K9075" s="81"/>
      <c r="L9075" s="81"/>
      <c r="M9075" s="81"/>
      <c r="N9075" s="81"/>
    </row>
    <row r="9076" spans="1:14" s="306" customFormat="1" ht="14.25" customHeight="1" x14ac:dyDescent="0.25">
      <c r="A9076" s="243"/>
      <c r="B9076" s="243"/>
      <c r="C9076" s="504"/>
      <c r="D9076" s="243"/>
      <c r="E9076" s="243"/>
      <c r="F9076" s="243"/>
      <c r="G9076" s="81"/>
      <c r="H9076" s="81"/>
      <c r="I9076" s="81"/>
      <c r="J9076" s="81"/>
      <c r="K9076" s="81"/>
      <c r="L9076" s="81"/>
      <c r="M9076" s="81"/>
      <c r="N9076" s="81"/>
    </row>
    <row r="9077" spans="1:14" ht="14.25" customHeight="1" thickBot="1" x14ac:dyDescent="0.3">
      <c r="A9077" s="81"/>
      <c r="B9077" s="81"/>
      <c r="C9077" s="137"/>
      <c r="D9077" s="81"/>
      <c r="E9077" s="81"/>
      <c r="F9077" s="81"/>
      <c r="G9077" s="81"/>
      <c r="H9077" s="81"/>
      <c r="I9077" s="81"/>
      <c r="J9077" s="81"/>
      <c r="K9077" s="81"/>
      <c r="L9077" s="81"/>
      <c r="M9077" s="81"/>
      <c r="N9077" s="81"/>
    </row>
    <row r="9078" spans="1:14" ht="14.25" customHeight="1" x14ac:dyDescent="0.25">
      <c r="A9078" s="258"/>
      <c r="B9078" s="259"/>
      <c r="C9078" s="260"/>
      <c r="D9078" s="261"/>
      <c r="E9078" s="261"/>
      <c r="F9078" s="262"/>
      <c r="G9078" s="81"/>
      <c r="H9078" s="81"/>
      <c r="I9078" s="81"/>
      <c r="J9078" s="81"/>
      <c r="K9078" s="81"/>
      <c r="L9078" s="81"/>
      <c r="M9078" s="81"/>
      <c r="N9078" s="81"/>
    </row>
    <row r="9079" spans="1:14" ht="14.25" customHeight="1" x14ac:dyDescent="0.25">
      <c r="A9079" s="621"/>
      <c r="B9079" s="629"/>
      <c r="C9079" s="629"/>
      <c r="D9079" s="629"/>
      <c r="E9079" s="629"/>
      <c r="F9079" s="630"/>
      <c r="G9079" s="81"/>
      <c r="H9079" s="81"/>
      <c r="I9079" s="81"/>
      <c r="J9079" s="81"/>
      <c r="K9079" s="81"/>
      <c r="L9079" s="81"/>
      <c r="M9079" s="81"/>
      <c r="N9079" s="81"/>
    </row>
    <row r="9080" spans="1:14" ht="14.25" customHeight="1" x14ac:dyDescent="0.25">
      <c r="A9080" s="614" t="s">
        <v>561</v>
      </c>
      <c r="B9080" s="629"/>
      <c r="C9080" s="629"/>
      <c r="D9080" s="629"/>
      <c r="E9080" s="629"/>
      <c r="F9080" s="630"/>
      <c r="G9080" s="81"/>
      <c r="H9080" s="81"/>
      <c r="I9080" s="81"/>
      <c r="J9080" s="81"/>
      <c r="K9080" s="81"/>
      <c r="L9080" s="81"/>
      <c r="M9080" s="81"/>
      <c r="N9080" s="81"/>
    </row>
    <row r="9081" spans="1:14" ht="14.25" customHeight="1" thickBot="1" x14ac:dyDescent="0.3">
      <c r="A9081" s="617"/>
      <c r="B9081" s="631"/>
      <c r="C9081" s="631"/>
      <c r="D9081" s="631"/>
      <c r="E9081" s="631"/>
      <c r="F9081" s="632"/>
      <c r="G9081" s="81"/>
      <c r="H9081" s="81"/>
      <c r="I9081" s="81"/>
      <c r="J9081" s="81"/>
      <c r="K9081" s="81"/>
      <c r="L9081" s="81"/>
      <c r="M9081" s="81"/>
      <c r="N9081" s="81"/>
    </row>
    <row r="9082" spans="1:14" ht="14.25" customHeight="1" x14ac:dyDescent="0.25">
      <c r="A9082" s="192"/>
      <c r="B9082" s="192"/>
      <c r="C9082" s="194"/>
      <c r="D9082" s="194"/>
      <c r="E9082" s="194"/>
      <c r="F9082" s="194"/>
      <c r="G9082" s="81"/>
      <c r="H9082" s="81"/>
      <c r="I9082" s="81"/>
      <c r="J9082" s="81"/>
      <c r="K9082" s="81"/>
      <c r="L9082" s="81"/>
      <c r="M9082" s="81"/>
      <c r="N9082" s="81"/>
    </row>
    <row r="9083" spans="1:14" ht="14.25" customHeight="1" x14ac:dyDescent="0.25">
      <c r="A9083" s="473" t="s">
        <v>47</v>
      </c>
      <c r="B9083" s="620" t="s">
        <v>1018</v>
      </c>
      <c r="C9083" s="629"/>
      <c r="D9083" s="629"/>
      <c r="E9083" s="629"/>
      <c r="F9083" s="629"/>
      <c r="G9083" s="81"/>
      <c r="H9083" s="81"/>
      <c r="I9083" s="81"/>
      <c r="J9083" s="81"/>
      <c r="K9083" s="81"/>
      <c r="L9083" s="81"/>
      <c r="M9083" s="81"/>
      <c r="N9083" s="81"/>
    </row>
    <row r="9084" spans="1:14" ht="14.25" customHeight="1" x14ac:dyDescent="0.25">
      <c r="A9084" s="191"/>
      <c r="B9084" s="191"/>
      <c r="C9084" s="191"/>
      <c r="D9084" s="191"/>
      <c r="E9084" s="191"/>
      <c r="F9084" s="191"/>
      <c r="G9084" s="81"/>
      <c r="H9084" s="81"/>
      <c r="I9084" s="81"/>
      <c r="J9084" s="81"/>
      <c r="K9084" s="81"/>
      <c r="L9084" s="81"/>
      <c r="M9084" s="81"/>
      <c r="N9084" s="81"/>
    </row>
    <row r="9085" spans="1:14" ht="14.25" customHeight="1" x14ac:dyDescent="0.25">
      <c r="A9085" s="192" t="s">
        <v>49</v>
      </c>
      <c r="B9085" s="193" t="s">
        <v>56</v>
      </c>
      <c r="C9085" s="194"/>
      <c r="D9085" s="194"/>
      <c r="E9085" s="194"/>
      <c r="F9085" s="195"/>
      <c r="G9085" s="81"/>
      <c r="H9085" s="81"/>
      <c r="I9085" s="81"/>
      <c r="J9085" s="81"/>
      <c r="K9085" s="81"/>
      <c r="L9085" s="81"/>
      <c r="M9085" s="81"/>
      <c r="N9085" s="81"/>
    </row>
    <row r="9086" spans="1:14" ht="14.25" customHeight="1" x14ac:dyDescent="0.25">
      <c r="A9086" s="192"/>
      <c r="B9086" s="196"/>
      <c r="C9086" s="194"/>
      <c r="D9086" s="194"/>
      <c r="E9086" s="194"/>
      <c r="F9086" s="195"/>
      <c r="G9086" s="81"/>
      <c r="H9086" s="81"/>
      <c r="I9086" s="81"/>
      <c r="J9086" s="81"/>
      <c r="K9086" s="81"/>
      <c r="L9086" s="81"/>
      <c r="M9086" s="81"/>
      <c r="N9086" s="81"/>
    </row>
    <row r="9087" spans="1:14" ht="14.25" customHeight="1" x14ac:dyDescent="0.25">
      <c r="A9087" s="197" t="s">
        <v>562</v>
      </c>
      <c r="B9087" s="198"/>
      <c r="C9087" s="193"/>
      <c r="D9087" s="193"/>
      <c r="E9087" s="193"/>
      <c r="F9087" s="193"/>
      <c r="G9087" s="81"/>
      <c r="H9087" s="81"/>
      <c r="I9087" s="81"/>
      <c r="J9087" s="81"/>
      <c r="K9087" s="81"/>
      <c r="L9087" s="81"/>
      <c r="M9087" s="81"/>
      <c r="N9087" s="81"/>
    </row>
    <row r="9088" spans="1:14" ht="14.25" customHeight="1" x14ac:dyDescent="0.25">
      <c r="A9088" s="199" t="s">
        <v>563</v>
      </c>
      <c r="B9088" s="474" t="s">
        <v>564</v>
      </c>
      <c r="C9088" s="474" t="s">
        <v>565</v>
      </c>
      <c r="D9088" s="474" t="s">
        <v>566</v>
      </c>
      <c r="E9088" s="474" t="s">
        <v>567</v>
      </c>
      <c r="F9088" s="474" t="s">
        <v>568</v>
      </c>
      <c r="G9088" s="81"/>
      <c r="H9088" s="81"/>
      <c r="I9088" s="81"/>
      <c r="J9088" s="81"/>
      <c r="K9088" s="81"/>
      <c r="L9088" s="81"/>
      <c r="M9088" s="81"/>
      <c r="N9088" s="81"/>
    </row>
    <row r="9089" spans="1:14" ht="14.25" customHeight="1" x14ac:dyDescent="0.25">
      <c r="A9089" s="475" t="s">
        <v>662</v>
      </c>
      <c r="B9089" s="476" t="s">
        <v>64</v>
      </c>
      <c r="C9089" s="477">
        <v>373380</v>
      </c>
      <c r="D9089" s="478">
        <v>0.02</v>
      </c>
      <c r="E9089" s="479">
        <v>0.05</v>
      </c>
      <c r="F9089" s="477">
        <f t="shared" ref="F9089:F9091" si="447">C9089*(D9089+(D9089*E9089))</f>
        <v>7840.9800000000005</v>
      </c>
      <c r="G9089" s="81"/>
      <c r="H9089" s="81"/>
      <c r="I9089" s="81"/>
      <c r="J9089" s="81"/>
      <c r="K9089" s="81"/>
      <c r="L9089" s="81"/>
      <c r="M9089" s="81"/>
      <c r="N9089" s="81"/>
    </row>
    <row r="9090" spans="1:14" ht="14.25" customHeight="1" x14ac:dyDescent="0.25">
      <c r="A9090" s="475" t="s">
        <v>668</v>
      </c>
      <c r="B9090" s="476" t="s">
        <v>651</v>
      </c>
      <c r="C9090" s="477">
        <v>32000</v>
      </c>
      <c r="D9090" s="478">
        <v>0.11</v>
      </c>
      <c r="E9090" s="479">
        <v>0.05</v>
      </c>
      <c r="F9090" s="477">
        <f t="shared" si="447"/>
        <v>3696</v>
      </c>
      <c r="G9090" s="81"/>
      <c r="H9090" s="81"/>
      <c r="I9090" s="81"/>
      <c r="J9090" s="81"/>
      <c r="K9090" s="81"/>
      <c r="L9090" s="81"/>
      <c r="M9090" s="81"/>
      <c r="N9090" s="81"/>
    </row>
    <row r="9091" spans="1:14" ht="14.25" customHeight="1" x14ac:dyDescent="0.25">
      <c r="A9091" s="475" t="s">
        <v>669</v>
      </c>
      <c r="B9091" s="476" t="s">
        <v>651</v>
      </c>
      <c r="C9091" s="477">
        <v>115000</v>
      </c>
      <c r="D9091" s="478">
        <v>0.14000000000000001</v>
      </c>
      <c r="E9091" s="479">
        <v>0.05</v>
      </c>
      <c r="F9091" s="477">
        <f t="shared" si="447"/>
        <v>16905.000000000004</v>
      </c>
      <c r="G9091" s="81"/>
      <c r="H9091" s="81"/>
      <c r="I9091" s="81"/>
      <c r="J9091" s="81"/>
      <c r="K9091" s="81"/>
      <c r="L9091" s="81"/>
      <c r="M9091" s="81"/>
      <c r="N9091" s="81"/>
    </row>
    <row r="9092" spans="1:14" ht="14.25" customHeight="1" x14ac:dyDescent="0.25">
      <c r="A9092" s="480"/>
      <c r="B9092" s="476"/>
      <c r="C9092" s="477"/>
      <c r="D9092" s="481"/>
      <c r="E9092" s="479"/>
      <c r="F9092" s="477"/>
      <c r="G9092" s="81"/>
      <c r="H9092" s="81"/>
      <c r="I9092" s="81"/>
      <c r="J9092" s="81"/>
      <c r="K9092" s="81"/>
      <c r="L9092" s="81"/>
      <c r="M9092" s="81"/>
      <c r="N9092" s="81"/>
    </row>
    <row r="9093" spans="1:14" ht="14.25" customHeight="1" x14ac:dyDescent="0.25">
      <c r="A9093" s="480"/>
      <c r="B9093" s="476"/>
      <c r="C9093" s="477"/>
      <c r="D9093" s="482"/>
      <c r="E9093" s="479"/>
      <c r="F9093" s="477"/>
      <c r="G9093" s="81"/>
      <c r="H9093" s="81"/>
      <c r="I9093" s="81"/>
      <c r="J9093" s="81"/>
      <c r="K9093" s="81"/>
      <c r="L9093" s="81"/>
      <c r="M9093" s="81"/>
      <c r="N9093" s="81"/>
    </row>
    <row r="9094" spans="1:14" ht="14.25" customHeight="1" x14ac:dyDescent="0.25">
      <c r="A9094" s="475"/>
      <c r="B9094" s="476"/>
      <c r="C9094" s="483"/>
      <c r="D9094" s="484"/>
      <c r="E9094" s="485"/>
      <c r="F9094" s="483"/>
      <c r="G9094" s="81"/>
      <c r="H9094" s="81"/>
      <c r="I9094" s="81"/>
      <c r="J9094" s="81"/>
      <c r="K9094" s="81"/>
      <c r="L9094" s="81"/>
      <c r="M9094" s="81"/>
      <c r="N9094" s="81"/>
    </row>
    <row r="9095" spans="1:14" ht="14.25" customHeight="1" x14ac:dyDescent="0.25">
      <c r="A9095" s="199" t="s">
        <v>548</v>
      </c>
      <c r="B9095" s="199"/>
      <c r="C9095" s="486"/>
      <c r="D9095" s="487"/>
      <c r="E9095" s="488"/>
      <c r="F9095" s="489">
        <f>SUM(F9089:F9094)</f>
        <v>28441.980000000003</v>
      </c>
      <c r="G9095" s="81"/>
      <c r="H9095" s="81"/>
      <c r="I9095" s="81"/>
      <c r="J9095" s="81"/>
      <c r="K9095" s="81"/>
      <c r="L9095" s="81"/>
      <c r="M9095" s="81"/>
      <c r="N9095" s="81"/>
    </row>
    <row r="9096" spans="1:14" ht="14.25" customHeight="1" x14ac:dyDescent="0.25">
      <c r="A9096" s="192"/>
      <c r="B9096" s="192"/>
      <c r="C9096" s="215"/>
      <c r="D9096" s="215"/>
      <c r="E9096" s="216"/>
      <c r="F9096" s="215"/>
      <c r="G9096" s="81"/>
      <c r="H9096" s="81"/>
      <c r="I9096" s="81"/>
      <c r="J9096" s="81"/>
      <c r="K9096" s="81"/>
      <c r="L9096" s="81"/>
      <c r="M9096" s="81"/>
      <c r="N9096" s="81"/>
    </row>
    <row r="9097" spans="1:14" ht="14.25" customHeight="1" x14ac:dyDescent="0.25">
      <c r="A9097" s="198" t="s">
        <v>573</v>
      </c>
      <c r="B9097" s="198"/>
      <c r="C9097" s="193"/>
      <c r="D9097" s="193"/>
      <c r="E9097" s="193"/>
      <c r="F9097" s="193"/>
      <c r="G9097" s="81"/>
      <c r="H9097" s="81"/>
      <c r="I9097" s="81"/>
      <c r="J9097" s="81"/>
      <c r="K9097" s="81"/>
      <c r="L9097" s="81"/>
      <c r="M9097" s="81"/>
      <c r="N9097" s="81"/>
    </row>
    <row r="9098" spans="1:14" ht="14.25" customHeight="1" x14ac:dyDescent="0.25">
      <c r="A9098" s="585" t="s">
        <v>563</v>
      </c>
      <c r="B9098" s="586"/>
      <c r="C9098" s="587"/>
      <c r="D9098" s="474" t="s">
        <v>574</v>
      </c>
      <c r="E9098" s="474" t="s">
        <v>575</v>
      </c>
      <c r="F9098" s="474" t="s">
        <v>568</v>
      </c>
      <c r="G9098" s="81"/>
      <c r="H9098" s="81"/>
      <c r="I9098" s="81"/>
      <c r="J9098" s="81"/>
      <c r="K9098" s="81"/>
      <c r="L9098" s="81"/>
      <c r="M9098" s="81"/>
      <c r="N9098" s="81"/>
    </row>
    <row r="9099" spans="1:14" ht="14.25" customHeight="1" x14ac:dyDescent="0.25">
      <c r="A9099" s="588" t="s">
        <v>577</v>
      </c>
      <c r="B9099" s="586"/>
      <c r="C9099" s="587"/>
      <c r="D9099" s="490"/>
      <c r="E9099" s="484"/>
      <c r="F9099" s="483">
        <f>+F9109*5%</f>
        <v>630.75402699172832</v>
      </c>
      <c r="G9099" s="81"/>
      <c r="H9099" s="81"/>
      <c r="I9099" s="81"/>
      <c r="J9099" s="81"/>
      <c r="K9099" s="81"/>
      <c r="L9099" s="81"/>
      <c r="M9099" s="81"/>
      <c r="N9099" s="81"/>
    </row>
    <row r="9100" spans="1:14" ht="14.25" customHeight="1" x14ac:dyDescent="0.25">
      <c r="A9100" s="589"/>
      <c r="B9100" s="586"/>
      <c r="C9100" s="587"/>
      <c r="D9100" s="491"/>
      <c r="E9100" s="484"/>
      <c r="F9100" s="483"/>
      <c r="G9100" s="81"/>
      <c r="H9100" s="81"/>
      <c r="I9100" s="81"/>
      <c r="J9100" s="81"/>
      <c r="K9100" s="81"/>
      <c r="L9100" s="81"/>
      <c r="M9100" s="81"/>
      <c r="N9100" s="81"/>
    </row>
    <row r="9101" spans="1:14" ht="14.25" customHeight="1" x14ac:dyDescent="0.25">
      <c r="A9101" s="585" t="s">
        <v>548</v>
      </c>
      <c r="B9101" s="586"/>
      <c r="C9101" s="587"/>
      <c r="D9101" s="487"/>
      <c r="E9101" s="487"/>
      <c r="F9101" s="489">
        <f>SUM(F9099:F9100)</f>
        <v>630.75402699172832</v>
      </c>
      <c r="G9101" s="81"/>
      <c r="H9101" s="81"/>
      <c r="I9101" s="81"/>
      <c r="J9101" s="81"/>
      <c r="K9101" s="81"/>
      <c r="L9101" s="81"/>
      <c r="M9101" s="81"/>
      <c r="N9101" s="81"/>
    </row>
    <row r="9102" spans="1:14" ht="14.25" customHeight="1" x14ac:dyDescent="0.25">
      <c r="A9102" s="192"/>
      <c r="B9102" s="192"/>
      <c r="C9102" s="194"/>
      <c r="D9102" s="215"/>
      <c r="E9102" s="215"/>
      <c r="F9102" s="215"/>
      <c r="G9102" s="81"/>
      <c r="H9102" s="81"/>
      <c r="I9102" s="81"/>
      <c r="J9102" s="81"/>
      <c r="K9102" s="81"/>
      <c r="L9102" s="81"/>
      <c r="M9102" s="81"/>
      <c r="N9102" s="81"/>
    </row>
    <row r="9103" spans="1:14" ht="14.25" customHeight="1" x14ac:dyDescent="0.25">
      <c r="A9103" s="198" t="s">
        <v>578</v>
      </c>
      <c r="B9103" s="198"/>
      <c r="C9103" s="193"/>
      <c r="D9103" s="223"/>
      <c r="E9103" s="223"/>
      <c r="F9103" s="223"/>
      <c r="G9103" s="81"/>
      <c r="H9103" s="81"/>
      <c r="I9103" s="81"/>
      <c r="J9103" s="81"/>
      <c r="K9103" s="81"/>
      <c r="L9103" s="81"/>
      <c r="M9103" s="81"/>
      <c r="N9103" s="81"/>
    </row>
    <row r="9104" spans="1:14" ht="38.25" x14ac:dyDescent="0.25">
      <c r="A9104" s="224" t="s">
        <v>563</v>
      </c>
      <c r="B9104" s="492" t="s">
        <v>579</v>
      </c>
      <c r="C9104" s="492" t="s">
        <v>580</v>
      </c>
      <c r="D9104" s="493" t="s">
        <v>581</v>
      </c>
      <c r="E9104" s="493" t="s">
        <v>575</v>
      </c>
      <c r="F9104" s="493" t="s">
        <v>568</v>
      </c>
      <c r="G9104" s="81"/>
      <c r="H9104" s="81"/>
      <c r="I9104" s="81"/>
      <c r="J9104" s="81"/>
      <c r="K9104" s="81"/>
      <c r="L9104" s="81"/>
      <c r="M9104" s="81"/>
      <c r="N9104" s="81"/>
    </row>
    <row r="9105" spans="1:14" ht="14.25" customHeight="1" x14ac:dyDescent="0.25">
      <c r="A9105" s="494" t="s">
        <v>593</v>
      </c>
      <c r="B9105" s="495">
        <v>1</v>
      </c>
      <c r="C9105" s="477">
        <v>32688</v>
      </c>
      <c r="D9105" s="477">
        <f t="shared" ref="D9105:D9106" si="448">+C9105*1.7</f>
        <v>55569.599999999999</v>
      </c>
      <c r="E9105" s="484">
        <v>11.484999999999999</v>
      </c>
      <c r="F9105" s="483">
        <f t="shared" ref="F9105:F9106" si="449">+D9105/E9105</f>
        <v>4838.4501523726603</v>
      </c>
      <c r="G9105" s="81"/>
      <c r="H9105" s="81"/>
      <c r="I9105" s="81"/>
      <c r="J9105" s="81"/>
      <c r="K9105" s="81"/>
      <c r="L9105" s="81"/>
      <c r="M9105" s="81"/>
      <c r="N9105" s="81"/>
    </row>
    <row r="9106" spans="1:14" ht="14.25" customHeight="1" x14ac:dyDescent="0.25">
      <c r="A9106" s="494" t="s">
        <v>594</v>
      </c>
      <c r="B9106" s="495">
        <v>1</v>
      </c>
      <c r="C9106" s="477">
        <v>52538</v>
      </c>
      <c r="D9106" s="477">
        <f t="shared" si="448"/>
        <v>89314.599999999991</v>
      </c>
      <c r="E9106" s="484">
        <f>E9105</f>
        <v>11.484999999999999</v>
      </c>
      <c r="F9106" s="483">
        <f t="shared" si="449"/>
        <v>7776.6303874619061</v>
      </c>
      <c r="G9106" s="81"/>
      <c r="H9106" s="117"/>
      <c r="I9106" s="81"/>
      <c r="J9106" s="81"/>
      <c r="K9106" s="81"/>
      <c r="L9106" s="81"/>
      <c r="M9106" s="81"/>
      <c r="N9106" s="81"/>
    </row>
    <row r="9107" spans="1:14" ht="14.25" customHeight="1" x14ac:dyDescent="0.25">
      <c r="A9107" s="494"/>
      <c r="B9107" s="495"/>
      <c r="C9107" s="477"/>
      <c r="D9107" s="477"/>
      <c r="E9107" s="484"/>
      <c r="F9107" s="483"/>
      <c r="G9107" s="81"/>
      <c r="H9107" s="81"/>
      <c r="I9107" s="81"/>
      <c r="J9107" s="81"/>
      <c r="K9107" s="81"/>
      <c r="L9107" s="81"/>
      <c r="M9107" s="81"/>
      <c r="N9107" s="81"/>
    </row>
    <row r="9108" spans="1:14" ht="14.25" customHeight="1" x14ac:dyDescent="0.25">
      <c r="A9108" s="494"/>
      <c r="B9108" s="495"/>
      <c r="C9108" s="477"/>
      <c r="D9108" s="477"/>
      <c r="E9108" s="496"/>
      <c r="F9108" s="483"/>
      <c r="G9108" s="81"/>
      <c r="H9108" s="81"/>
      <c r="I9108" s="81"/>
      <c r="J9108" s="81"/>
      <c r="K9108" s="81"/>
      <c r="L9108" s="81"/>
      <c r="M9108" s="81"/>
      <c r="N9108" s="81"/>
    </row>
    <row r="9109" spans="1:14" ht="14.25" customHeight="1" x14ac:dyDescent="0.25">
      <c r="A9109" s="199" t="s">
        <v>548</v>
      </c>
      <c r="B9109" s="497"/>
      <c r="C9109" s="487"/>
      <c r="D9109" s="487"/>
      <c r="E9109" s="487"/>
      <c r="F9109" s="489">
        <f>SUM(F9105:F9108)</f>
        <v>12615.080539834566</v>
      </c>
      <c r="G9109" s="81"/>
      <c r="H9109" s="81"/>
      <c r="I9109" s="81"/>
      <c r="J9109" s="81"/>
      <c r="K9109" s="81"/>
      <c r="L9109" s="81"/>
      <c r="M9109" s="81"/>
      <c r="N9109" s="81"/>
    </row>
    <row r="9110" spans="1:14" ht="14.25" customHeight="1" x14ac:dyDescent="0.25">
      <c r="A9110" s="198"/>
      <c r="B9110" s="231"/>
      <c r="C9110" s="223"/>
      <c r="D9110" s="223"/>
      <c r="E9110" s="223"/>
      <c r="F9110" s="223"/>
      <c r="G9110" s="81"/>
      <c r="H9110" s="81"/>
      <c r="I9110" s="81"/>
      <c r="J9110" s="81"/>
      <c r="K9110" s="81"/>
      <c r="L9110" s="81"/>
      <c r="M9110" s="81"/>
      <c r="N9110" s="81"/>
    </row>
    <row r="9111" spans="1:14" ht="14.25" customHeight="1" x14ac:dyDescent="0.25">
      <c r="A9111" s="197" t="s">
        <v>583</v>
      </c>
      <c r="B9111" s="198"/>
      <c r="C9111" s="193"/>
      <c r="D9111" s="193"/>
      <c r="E9111" s="193" t="s">
        <v>584</v>
      </c>
      <c r="F9111" s="193"/>
      <c r="G9111" s="81"/>
      <c r="H9111" s="81"/>
      <c r="I9111" s="81"/>
      <c r="J9111" s="81"/>
      <c r="K9111" s="81"/>
      <c r="L9111" s="81"/>
      <c r="M9111" s="81"/>
      <c r="N9111" s="81"/>
    </row>
    <row r="9112" spans="1:14" ht="14.25" customHeight="1" x14ac:dyDescent="0.25">
      <c r="A9112" s="199" t="s">
        <v>563</v>
      </c>
      <c r="B9112" s="474" t="s">
        <v>564</v>
      </c>
      <c r="C9112" s="474" t="s">
        <v>585</v>
      </c>
      <c r="D9112" s="474" t="s">
        <v>586</v>
      </c>
      <c r="E9112" s="492" t="s">
        <v>587</v>
      </c>
      <c r="F9112" s="474" t="s">
        <v>568</v>
      </c>
      <c r="G9112" s="81"/>
      <c r="H9112" s="81"/>
      <c r="I9112" s="81"/>
      <c r="J9112" s="81"/>
      <c r="K9112" s="81"/>
      <c r="L9112" s="81"/>
      <c r="M9112" s="81"/>
      <c r="N9112" s="81"/>
    </row>
    <row r="9113" spans="1:14" ht="14.25" customHeight="1" x14ac:dyDescent="0.25">
      <c r="A9113" s="480"/>
      <c r="B9113" s="476"/>
      <c r="C9113" s="477"/>
      <c r="D9113" s="498"/>
      <c r="E9113" s="484"/>
      <c r="F9113" s="486">
        <f>+C9113*D9113*E9113</f>
        <v>0</v>
      </c>
      <c r="G9113" s="81"/>
      <c r="H9113" s="81"/>
      <c r="I9113" s="81"/>
      <c r="J9113" s="81"/>
      <c r="K9113" s="81"/>
      <c r="L9113" s="81"/>
      <c r="M9113" s="81"/>
      <c r="N9113" s="81"/>
    </row>
    <row r="9114" spans="1:14" ht="14.25" customHeight="1" x14ac:dyDescent="0.25">
      <c r="A9114" s="480"/>
      <c r="B9114" s="476"/>
      <c r="C9114" s="484"/>
      <c r="D9114" s="484"/>
      <c r="E9114" s="485"/>
      <c r="F9114" s="486"/>
      <c r="G9114" s="81"/>
      <c r="H9114" s="81"/>
      <c r="I9114" s="81"/>
      <c r="J9114" s="81"/>
      <c r="K9114" s="81"/>
      <c r="L9114" s="81"/>
      <c r="M9114" s="81"/>
      <c r="N9114" s="81"/>
    </row>
    <row r="9115" spans="1:14" ht="14.25" customHeight="1" x14ac:dyDescent="0.25">
      <c r="A9115" s="199" t="s">
        <v>548</v>
      </c>
      <c r="B9115" s="474"/>
      <c r="C9115" s="487"/>
      <c r="D9115" s="487"/>
      <c r="E9115" s="488"/>
      <c r="F9115" s="489">
        <f>SUM(F9113:F9114)</f>
        <v>0</v>
      </c>
      <c r="G9115" s="81"/>
      <c r="H9115" s="81"/>
      <c r="I9115" s="81"/>
      <c r="J9115" s="81"/>
      <c r="K9115" s="81"/>
      <c r="L9115" s="81"/>
      <c r="M9115" s="81"/>
      <c r="N9115" s="81"/>
    </row>
    <row r="9116" spans="1:14" ht="14.25" customHeight="1" x14ac:dyDescent="0.25">
      <c r="A9116" s="192"/>
      <c r="B9116" s="194"/>
      <c r="C9116" s="215"/>
      <c r="D9116" s="215"/>
      <c r="E9116" s="216"/>
      <c r="F9116" s="215"/>
      <c r="G9116" s="81"/>
      <c r="H9116" s="81"/>
      <c r="I9116" s="81"/>
      <c r="J9116" s="81"/>
      <c r="K9116" s="81"/>
      <c r="L9116" s="81"/>
      <c r="M9116" s="81"/>
      <c r="N9116" s="81"/>
    </row>
    <row r="9117" spans="1:14" ht="14.25" customHeight="1" x14ac:dyDescent="0.25">
      <c r="A9117" s="192"/>
      <c r="B9117" s="194"/>
      <c r="C9117" s="215"/>
      <c r="D9117" s="215"/>
      <c r="E9117" s="216"/>
      <c r="F9117" s="215"/>
      <c r="G9117" s="81"/>
      <c r="H9117" s="81"/>
      <c r="I9117" s="81"/>
      <c r="J9117" s="81"/>
      <c r="K9117" s="81"/>
      <c r="L9117" s="81"/>
      <c r="M9117" s="81"/>
      <c r="N9117" s="81"/>
    </row>
    <row r="9118" spans="1:14" ht="14.25" customHeight="1" x14ac:dyDescent="0.25">
      <c r="A9118" s="590" t="s">
        <v>588</v>
      </c>
      <c r="B9118" s="586"/>
      <c r="C9118" s="586"/>
      <c r="D9118" s="586"/>
      <c r="E9118" s="587"/>
      <c r="F9118" s="499">
        <f>ROUND(F9095+F9101+F9109+F9115,0)</f>
        <v>41688</v>
      </c>
      <c r="G9118" s="81"/>
      <c r="H9118" s="81"/>
      <c r="I9118" s="81"/>
      <c r="J9118" s="81"/>
      <c r="K9118" s="81"/>
      <c r="L9118" s="81"/>
      <c r="M9118" s="81"/>
      <c r="N9118" s="81"/>
    </row>
    <row r="9119" spans="1:14" ht="14.25" customHeight="1" x14ac:dyDescent="0.25">
      <c r="A9119" s="590" t="s">
        <v>589</v>
      </c>
      <c r="B9119" s="586"/>
      <c r="C9119" s="586"/>
      <c r="D9119" s="586"/>
      <c r="E9119" s="587"/>
      <c r="F9119" s="500"/>
      <c r="G9119" s="81"/>
      <c r="H9119" s="81"/>
      <c r="I9119" s="81"/>
      <c r="J9119" s="81"/>
      <c r="K9119" s="81"/>
      <c r="L9119" s="81"/>
      <c r="M9119" s="81"/>
      <c r="N9119" s="81"/>
    </row>
    <row r="9120" spans="1:14" ht="14.25" customHeight="1" x14ac:dyDescent="0.25">
      <c r="A9120" s="590" t="s">
        <v>556</v>
      </c>
      <c r="B9120" s="586"/>
      <c r="C9120" s="586"/>
      <c r="D9120" s="586"/>
      <c r="E9120" s="587"/>
      <c r="F9120" s="501"/>
      <c r="G9120" s="81"/>
      <c r="H9120" s="81"/>
      <c r="I9120" s="81"/>
      <c r="J9120" s="81"/>
      <c r="K9120" s="81"/>
      <c r="L9120" s="81"/>
      <c r="M9120" s="81"/>
      <c r="N9120" s="81"/>
    </row>
    <row r="9121" spans="1:14" ht="14.25" customHeight="1" x14ac:dyDescent="0.25">
      <c r="A9121" s="301"/>
      <c r="B9121" s="502"/>
      <c r="C9121" s="502"/>
      <c r="D9121" s="502"/>
      <c r="E9121" s="502"/>
      <c r="F9121" s="503"/>
      <c r="G9121" s="81"/>
      <c r="H9121" s="81"/>
      <c r="I9121" s="81"/>
      <c r="J9121" s="81"/>
      <c r="K9121" s="81"/>
      <c r="L9121" s="81"/>
      <c r="M9121" s="81"/>
      <c r="N9121" s="81"/>
    </row>
    <row r="9122" spans="1:14" ht="14.25" customHeight="1" x14ac:dyDescent="0.25">
      <c r="A9122" s="301"/>
      <c r="B9122" s="502"/>
      <c r="C9122" s="502"/>
      <c r="D9122" s="502"/>
      <c r="E9122" s="502"/>
      <c r="F9122" s="503"/>
      <c r="G9122" s="81"/>
      <c r="H9122" s="81"/>
      <c r="I9122" s="81"/>
      <c r="J9122" s="81"/>
      <c r="K9122" s="81"/>
      <c r="L9122" s="81"/>
      <c r="M9122" s="81"/>
      <c r="N9122" s="81"/>
    </row>
    <row r="9123" spans="1:14" ht="14.25" customHeight="1" x14ac:dyDescent="0.25">
      <c r="A9123" s="301"/>
      <c r="B9123" s="502"/>
      <c r="C9123" s="502"/>
      <c r="D9123" s="502"/>
      <c r="E9123" s="502"/>
      <c r="F9123" s="503"/>
      <c r="G9123" s="81"/>
      <c r="H9123" s="81"/>
      <c r="I9123" s="81"/>
      <c r="J9123" s="81"/>
      <c r="K9123" s="81"/>
      <c r="L9123" s="81"/>
      <c r="M9123" s="81"/>
      <c r="N9123" s="81"/>
    </row>
    <row r="9124" spans="1:14" ht="14.25" customHeight="1" x14ac:dyDescent="0.25">
      <c r="A9124" s="301"/>
      <c r="B9124" s="502"/>
      <c r="C9124" s="502"/>
      <c r="D9124" s="502"/>
      <c r="E9124" s="502"/>
      <c r="F9124" s="503"/>
      <c r="G9124" s="81"/>
      <c r="H9124" s="81"/>
      <c r="I9124" s="81"/>
      <c r="J9124" s="81"/>
      <c r="K9124" s="81"/>
      <c r="L9124" s="81"/>
      <c r="M9124" s="81"/>
      <c r="N9124" s="81"/>
    </row>
    <row r="9125" spans="1:14" ht="14.25" customHeight="1" x14ac:dyDescent="0.25">
      <c r="A9125" s="301"/>
      <c r="B9125" s="502"/>
      <c r="C9125" s="502"/>
      <c r="D9125" s="502"/>
      <c r="E9125" s="502"/>
      <c r="F9125" s="503"/>
      <c r="G9125" s="81"/>
      <c r="H9125" s="81"/>
      <c r="I9125" s="81"/>
      <c r="J9125" s="81"/>
      <c r="K9125" s="81"/>
      <c r="L9125" s="81"/>
      <c r="M9125" s="81"/>
      <c r="N9125" s="81"/>
    </row>
    <row r="9126" spans="1:14" ht="14.25" customHeight="1" x14ac:dyDescent="0.25">
      <c r="A9126" s="301"/>
      <c r="B9126" s="502"/>
      <c r="C9126" s="502"/>
      <c r="D9126" s="502"/>
      <c r="E9126" s="502"/>
      <c r="F9126" s="503"/>
      <c r="G9126" s="81"/>
      <c r="H9126" s="81"/>
      <c r="I9126" s="81"/>
      <c r="J9126" s="81"/>
      <c r="K9126" s="81"/>
      <c r="L9126" s="81"/>
      <c r="M9126" s="81"/>
      <c r="N9126" s="81"/>
    </row>
    <row r="9127" spans="1:14" ht="14.25" customHeight="1" x14ac:dyDescent="0.25">
      <c r="A9127" s="301"/>
      <c r="B9127" s="502"/>
      <c r="C9127" s="502"/>
      <c r="D9127" s="502"/>
      <c r="E9127" s="502"/>
      <c r="F9127" s="503"/>
      <c r="G9127" s="81"/>
      <c r="H9127" s="81"/>
      <c r="I9127" s="81"/>
      <c r="J9127" s="81"/>
      <c r="K9127" s="81"/>
      <c r="L9127" s="81"/>
      <c r="M9127" s="81"/>
      <c r="N9127" s="81"/>
    </row>
    <row r="9128" spans="1:14" ht="14.25" customHeight="1" thickBot="1" x14ac:dyDescent="0.3">
      <c r="A9128" s="243"/>
      <c r="B9128" s="243"/>
      <c r="C9128" s="243"/>
      <c r="D9128" s="243"/>
      <c r="E9128" s="243"/>
      <c r="F9128" s="243"/>
      <c r="G9128" s="81"/>
      <c r="H9128" s="81"/>
      <c r="I9128" s="81"/>
      <c r="J9128" s="81"/>
      <c r="K9128" s="81"/>
      <c r="L9128" s="81"/>
      <c r="M9128" s="81"/>
      <c r="N9128" s="81"/>
    </row>
    <row r="9129" spans="1:14" ht="14.25" customHeight="1" x14ac:dyDescent="0.25">
      <c r="A9129" s="258"/>
      <c r="B9129" s="259"/>
      <c r="C9129" s="260"/>
      <c r="D9129" s="261"/>
      <c r="E9129" s="261"/>
      <c r="F9129" s="262"/>
      <c r="G9129" s="81"/>
      <c r="H9129" s="81"/>
      <c r="I9129" s="81"/>
      <c r="J9129" s="81"/>
      <c r="K9129" s="81"/>
      <c r="L9129" s="81"/>
      <c r="M9129" s="81"/>
      <c r="N9129" s="81"/>
    </row>
    <row r="9130" spans="1:14" ht="14.25" customHeight="1" x14ac:dyDescent="0.25">
      <c r="A9130" s="621"/>
      <c r="B9130" s="629"/>
      <c r="C9130" s="629"/>
      <c r="D9130" s="629"/>
      <c r="E9130" s="629"/>
      <c r="F9130" s="630"/>
      <c r="G9130" s="81"/>
      <c r="H9130" s="81"/>
      <c r="I9130" s="81"/>
      <c r="J9130" s="81"/>
      <c r="K9130" s="81"/>
      <c r="L9130" s="81"/>
      <c r="M9130" s="81"/>
      <c r="N9130" s="81"/>
    </row>
    <row r="9131" spans="1:14" ht="14.25" customHeight="1" x14ac:dyDescent="0.25">
      <c r="A9131" s="614" t="s">
        <v>561</v>
      </c>
      <c r="B9131" s="629"/>
      <c r="C9131" s="629"/>
      <c r="D9131" s="629"/>
      <c r="E9131" s="629"/>
      <c r="F9131" s="630"/>
      <c r="G9131" s="81"/>
      <c r="H9131" s="81"/>
      <c r="I9131" s="81"/>
      <c r="J9131" s="81"/>
      <c r="K9131" s="81"/>
      <c r="L9131" s="81"/>
      <c r="M9131" s="81"/>
      <c r="N9131" s="81"/>
    </row>
    <row r="9132" spans="1:14" ht="14.25" customHeight="1" thickBot="1" x14ac:dyDescent="0.3">
      <c r="A9132" s="617"/>
      <c r="B9132" s="631"/>
      <c r="C9132" s="631"/>
      <c r="D9132" s="631"/>
      <c r="E9132" s="631"/>
      <c r="F9132" s="632"/>
      <c r="G9132" s="81"/>
      <c r="H9132" s="81"/>
      <c r="I9132" s="81"/>
      <c r="J9132" s="81"/>
      <c r="K9132" s="81"/>
      <c r="L9132" s="81"/>
      <c r="M9132" s="81"/>
      <c r="N9132" s="81"/>
    </row>
    <row r="9133" spans="1:14" ht="14.25" customHeight="1" x14ac:dyDescent="0.25">
      <c r="A9133" s="192"/>
      <c r="B9133" s="192"/>
      <c r="C9133" s="194"/>
      <c r="D9133" s="194"/>
      <c r="E9133" s="194"/>
      <c r="F9133" s="194"/>
      <c r="G9133" s="81"/>
      <c r="H9133" s="81"/>
      <c r="I9133" s="81"/>
      <c r="J9133" s="81"/>
      <c r="K9133" s="81"/>
      <c r="L9133" s="81"/>
      <c r="M9133" s="81"/>
      <c r="N9133" s="81"/>
    </row>
    <row r="9134" spans="1:14" ht="30" customHeight="1" x14ac:dyDescent="0.25">
      <c r="A9134" s="473" t="s">
        <v>47</v>
      </c>
      <c r="B9134" s="620" t="s">
        <v>1019</v>
      </c>
      <c r="C9134" s="629"/>
      <c r="D9134" s="629"/>
      <c r="E9134" s="629"/>
      <c r="F9134" s="629"/>
      <c r="G9134" s="81"/>
      <c r="H9134" s="81"/>
      <c r="I9134" s="81"/>
      <c r="J9134" s="81"/>
      <c r="K9134" s="81"/>
      <c r="L9134" s="81"/>
      <c r="M9134" s="81"/>
      <c r="N9134" s="81"/>
    </row>
    <row r="9135" spans="1:14" ht="14.25" customHeight="1" x14ac:dyDescent="0.25">
      <c r="A9135" s="191"/>
      <c r="B9135" s="191"/>
      <c r="C9135" s="191"/>
      <c r="D9135" s="191"/>
      <c r="E9135" s="191"/>
      <c r="F9135" s="191"/>
      <c r="G9135" s="81"/>
      <c r="H9135" s="81"/>
      <c r="I9135" s="81"/>
      <c r="J9135" s="81"/>
      <c r="K9135" s="81"/>
      <c r="L9135" s="81"/>
      <c r="M9135" s="81"/>
      <c r="N9135" s="81"/>
    </row>
    <row r="9136" spans="1:14" ht="14.25" customHeight="1" x14ac:dyDescent="0.25">
      <c r="A9136" s="192" t="s">
        <v>49</v>
      </c>
      <c r="B9136" s="193" t="s">
        <v>99</v>
      </c>
      <c r="C9136" s="194"/>
      <c r="D9136" s="194"/>
      <c r="E9136" s="194"/>
      <c r="F9136" s="195"/>
      <c r="G9136" s="81"/>
      <c r="H9136" s="81"/>
      <c r="I9136" s="81"/>
      <c r="J9136" s="81"/>
      <c r="K9136" s="81"/>
      <c r="L9136" s="81"/>
      <c r="M9136" s="81"/>
      <c r="N9136" s="81"/>
    </row>
    <row r="9137" spans="1:14" ht="14.25" customHeight="1" x14ac:dyDescent="0.25">
      <c r="A9137" s="192"/>
      <c r="B9137" s="196"/>
      <c r="C9137" s="194"/>
      <c r="D9137" s="194"/>
      <c r="E9137" s="194"/>
      <c r="F9137" s="195"/>
      <c r="G9137" s="81"/>
      <c r="H9137" s="81"/>
      <c r="I9137" s="81"/>
      <c r="J9137" s="81"/>
      <c r="K9137" s="81"/>
      <c r="L9137" s="81"/>
      <c r="M9137" s="81"/>
      <c r="N9137" s="81"/>
    </row>
    <row r="9138" spans="1:14" ht="14.25" customHeight="1" x14ac:dyDescent="0.25">
      <c r="A9138" s="197" t="s">
        <v>562</v>
      </c>
      <c r="B9138" s="198"/>
      <c r="C9138" s="193"/>
      <c r="D9138" s="193"/>
      <c r="E9138" s="193"/>
      <c r="F9138" s="193"/>
      <c r="G9138" s="81"/>
      <c r="H9138" s="81"/>
      <c r="I9138" s="81"/>
      <c r="J9138" s="81"/>
      <c r="K9138" s="81"/>
      <c r="L9138" s="81"/>
      <c r="M9138" s="81"/>
      <c r="N9138" s="81"/>
    </row>
    <row r="9139" spans="1:14" ht="14.25" customHeight="1" x14ac:dyDescent="0.25">
      <c r="A9139" s="199" t="s">
        <v>563</v>
      </c>
      <c r="B9139" s="474" t="s">
        <v>564</v>
      </c>
      <c r="C9139" s="474" t="s">
        <v>565</v>
      </c>
      <c r="D9139" s="474" t="s">
        <v>566</v>
      </c>
      <c r="E9139" s="474" t="s">
        <v>567</v>
      </c>
      <c r="F9139" s="474" t="s">
        <v>568</v>
      </c>
      <c r="G9139" s="81"/>
      <c r="H9139" s="81"/>
      <c r="I9139" s="81"/>
      <c r="J9139" s="81"/>
      <c r="K9139" s="81"/>
      <c r="L9139" s="81"/>
      <c r="M9139" s="81"/>
      <c r="N9139" s="81"/>
    </row>
    <row r="9140" spans="1:14" ht="14.25" customHeight="1" x14ac:dyDescent="0.25">
      <c r="A9140" s="475" t="s">
        <v>662</v>
      </c>
      <c r="B9140" s="476" t="s">
        <v>64</v>
      </c>
      <c r="C9140" s="477">
        <v>373380</v>
      </c>
      <c r="D9140" s="478">
        <v>3.2000000000000001E-2</v>
      </c>
      <c r="E9140" s="479">
        <v>0.05</v>
      </c>
      <c r="F9140" s="477">
        <f t="shared" ref="F9140:F9141" si="450">C9140*(D9140+(D9140*E9140))</f>
        <v>12545.567999999999</v>
      </c>
      <c r="G9140" s="81"/>
      <c r="H9140" s="81"/>
      <c r="I9140" s="81"/>
      <c r="J9140" s="81"/>
      <c r="K9140" s="81"/>
      <c r="L9140" s="81"/>
      <c r="M9140" s="81"/>
      <c r="N9140" s="81"/>
    </row>
    <row r="9141" spans="1:14" ht="14.25" customHeight="1" x14ac:dyDescent="0.25">
      <c r="A9141" s="475" t="s">
        <v>669</v>
      </c>
      <c r="B9141" s="476" t="s">
        <v>651</v>
      </c>
      <c r="C9141" s="477">
        <v>115000</v>
      </c>
      <c r="D9141" s="478">
        <v>0.13</v>
      </c>
      <c r="E9141" s="479">
        <v>0.05</v>
      </c>
      <c r="F9141" s="477">
        <f t="shared" si="450"/>
        <v>15697.500000000002</v>
      </c>
      <c r="G9141" s="81"/>
      <c r="H9141" s="81"/>
      <c r="I9141" s="81"/>
      <c r="J9141" s="81"/>
      <c r="K9141" s="81"/>
      <c r="L9141" s="81"/>
      <c r="M9141" s="81"/>
      <c r="N9141" s="81"/>
    </row>
    <row r="9142" spans="1:14" ht="14.25" customHeight="1" x14ac:dyDescent="0.25">
      <c r="A9142" s="480"/>
      <c r="B9142" s="476"/>
      <c r="C9142" s="477"/>
      <c r="D9142" s="481"/>
      <c r="E9142" s="479"/>
      <c r="F9142" s="477"/>
      <c r="G9142" s="81"/>
      <c r="H9142" s="81"/>
      <c r="I9142" s="81"/>
      <c r="J9142" s="81"/>
      <c r="K9142" s="81"/>
      <c r="L9142" s="81"/>
      <c r="M9142" s="81"/>
      <c r="N9142" s="81"/>
    </row>
    <row r="9143" spans="1:14" ht="14.25" customHeight="1" x14ac:dyDescent="0.25">
      <c r="A9143" s="480"/>
      <c r="B9143" s="476"/>
      <c r="C9143" s="477"/>
      <c r="D9143" s="482"/>
      <c r="E9143" s="479"/>
      <c r="F9143" s="477"/>
      <c r="G9143" s="81"/>
      <c r="H9143" s="81"/>
      <c r="I9143" s="81"/>
      <c r="J9143" s="81"/>
      <c r="K9143" s="81"/>
      <c r="L9143" s="81"/>
      <c r="M9143" s="81"/>
      <c r="N9143" s="81"/>
    </row>
    <row r="9144" spans="1:14" ht="14.25" customHeight="1" x14ac:dyDescent="0.25">
      <c r="A9144" s="475"/>
      <c r="B9144" s="476"/>
      <c r="C9144" s="483"/>
      <c r="D9144" s="484"/>
      <c r="E9144" s="485"/>
      <c r="F9144" s="483"/>
      <c r="G9144" s="81"/>
      <c r="H9144" s="81"/>
      <c r="I9144" s="81"/>
      <c r="J9144" s="81"/>
      <c r="K9144" s="81"/>
      <c r="L9144" s="81"/>
      <c r="M9144" s="81"/>
      <c r="N9144" s="81"/>
    </row>
    <row r="9145" spans="1:14" ht="14.25" customHeight="1" x14ac:dyDescent="0.25">
      <c r="A9145" s="199" t="s">
        <v>548</v>
      </c>
      <c r="B9145" s="199"/>
      <c r="C9145" s="486"/>
      <c r="D9145" s="487"/>
      <c r="E9145" s="488"/>
      <c r="F9145" s="489">
        <f>SUM(F9140:F9144)</f>
        <v>28243.067999999999</v>
      </c>
      <c r="G9145" s="81"/>
      <c r="H9145" s="81"/>
      <c r="I9145" s="81"/>
      <c r="J9145" s="81"/>
      <c r="K9145" s="81"/>
      <c r="L9145" s="81"/>
      <c r="M9145" s="81"/>
      <c r="N9145" s="81"/>
    </row>
    <row r="9146" spans="1:14" ht="14.25" customHeight="1" x14ac:dyDescent="0.25">
      <c r="A9146" s="192"/>
      <c r="B9146" s="192"/>
      <c r="C9146" s="215"/>
      <c r="D9146" s="215"/>
      <c r="E9146" s="216"/>
      <c r="F9146" s="215"/>
      <c r="G9146" s="81"/>
      <c r="H9146" s="81"/>
      <c r="I9146" s="81"/>
      <c r="J9146" s="81"/>
      <c r="K9146" s="81"/>
      <c r="L9146" s="81"/>
      <c r="M9146" s="81"/>
      <c r="N9146" s="81"/>
    </row>
    <row r="9147" spans="1:14" ht="14.25" customHeight="1" x14ac:dyDescent="0.25">
      <c r="A9147" s="198" t="s">
        <v>573</v>
      </c>
      <c r="B9147" s="198"/>
      <c r="C9147" s="193"/>
      <c r="D9147" s="193"/>
      <c r="E9147" s="193"/>
      <c r="F9147" s="193"/>
      <c r="G9147" s="81"/>
      <c r="H9147" s="81"/>
      <c r="I9147" s="81"/>
      <c r="J9147" s="81"/>
      <c r="K9147" s="81"/>
      <c r="L9147" s="81"/>
      <c r="M9147" s="81"/>
      <c r="N9147" s="81"/>
    </row>
    <row r="9148" spans="1:14" ht="14.25" customHeight="1" x14ac:dyDescent="0.25">
      <c r="A9148" s="585" t="s">
        <v>563</v>
      </c>
      <c r="B9148" s="586"/>
      <c r="C9148" s="587"/>
      <c r="D9148" s="474" t="s">
        <v>574</v>
      </c>
      <c r="E9148" s="474" t="s">
        <v>575</v>
      </c>
      <c r="F9148" s="474" t="s">
        <v>568</v>
      </c>
      <c r="G9148" s="81"/>
      <c r="H9148" s="81"/>
      <c r="I9148" s="81"/>
      <c r="J9148" s="81"/>
      <c r="K9148" s="81"/>
      <c r="L9148" s="81"/>
      <c r="M9148" s="81"/>
      <c r="N9148" s="81"/>
    </row>
    <row r="9149" spans="1:14" ht="14.25" customHeight="1" x14ac:dyDescent="0.25">
      <c r="A9149" s="588" t="s">
        <v>577</v>
      </c>
      <c r="B9149" s="586"/>
      <c r="C9149" s="587"/>
      <c r="D9149" s="490"/>
      <c r="E9149" s="484"/>
      <c r="F9149" s="483">
        <f>+F9159*5%</f>
        <v>878.30963033014473</v>
      </c>
      <c r="G9149" s="81"/>
      <c r="H9149" s="81"/>
      <c r="I9149" s="81"/>
      <c r="J9149" s="81"/>
      <c r="K9149" s="81"/>
      <c r="L9149" s="81"/>
      <c r="M9149" s="81"/>
      <c r="N9149" s="81"/>
    </row>
    <row r="9150" spans="1:14" ht="14.25" customHeight="1" x14ac:dyDescent="0.25">
      <c r="A9150" s="589"/>
      <c r="B9150" s="586"/>
      <c r="C9150" s="587"/>
      <c r="D9150" s="491"/>
      <c r="E9150" s="484"/>
      <c r="F9150" s="483"/>
      <c r="G9150" s="81"/>
      <c r="H9150" s="81"/>
      <c r="I9150" s="81"/>
      <c r="J9150" s="81"/>
      <c r="K9150" s="81"/>
      <c r="L9150" s="81"/>
      <c r="M9150" s="81"/>
      <c r="N9150" s="81"/>
    </row>
    <row r="9151" spans="1:14" ht="14.25" customHeight="1" x14ac:dyDescent="0.25">
      <c r="A9151" s="585" t="s">
        <v>548</v>
      </c>
      <c r="B9151" s="586"/>
      <c r="C9151" s="587"/>
      <c r="D9151" s="487"/>
      <c r="E9151" s="487"/>
      <c r="F9151" s="489">
        <f>SUM(F9149:F9150)</f>
        <v>878.30963033014473</v>
      </c>
      <c r="G9151" s="81"/>
      <c r="H9151" s="81"/>
      <c r="I9151" s="81"/>
      <c r="J9151" s="81"/>
      <c r="K9151" s="81"/>
      <c r="L9151" s="81"/>
      <c r="M9151" s="81"/>
      <c r="N9151" s="81"/>
    </row>
    <row r="9152" spans="1:14" ht="14.25" customHeight="1" x14ac:dyDescent="0.25">
      <c r="A9152" s="192"/>
      <c r="B9152" s="192"/>
      <c r="C9152" s="194"/>
      <c r="D9152" s="215"/>
      <c r="E9152" s="215"/>
      <c r="F9152" s="215"/>
      <c r="G9152" s="81"/>
      <c r="H9152" s="81"/>
      <c r="I9152" s="81"/>
      <c r="J9152" s="81"/>
      <c r="K9152" s="81"/>
      <c r="L9152" s="81"/>
      <c r="M9152" s="81"/>
      <c r="N9152" s="81"/>
    </row>
    <row r="9153" spans="1:14" ht="14.25" customHeight="1" x14ac:dyDescent="0.25">
      <c r="A9153" s="198" t="s">
        <v>578</v>
      </c>
      <c r="B9153" s="198"/>
      <c r="C9153" s="193"/>
      <c r="D9153" s="223"/>
      <c r="E9153" s="223"/>
      <c r="F9153" s="223"/>
      <c r="G9153" s="81"/>
      <c r="H9153" s="81"/>
      <c r="I9153" s="81"/>
      <c r="J9153" s="81"/>
      <c r="K9153" s="81"/>
      <c r="L9153" s="81"/>
      <c r="M9153" s="81"/>
      <c r="N9153" s="81"/>
    </row>
    <row r="9154" spans="1:14" ht="38.25" x14ac:dyDescent="0.25">
      <c r="A9154" s="224" t="s">
        <v>563</v>
      </c>
      <c r="B9154" s="492" t="s">
        <v>579</v>
      </c>
      <c r="C9154" s="492" t="s">
        <v>580</v>
      </c>
      <c r="D9154" s="493" t="s">
        <v>581</v>
      </c>
      <c r="E9154" s="493" t="s">
        <v>575</v>
      </c>
      <c r="F9154" s="493" t="s">
        <v>568</v>
      </c>
      <c r="G9154" s="81"/>
      <c r="H9154" s="81"/>
      <c r="I9154" s="81"/>
      <c r="J9154" s="81"/>
      <c r="K9154" s="81"/>
      <c r="L9154" s="81"/>
      <c r="M9154" s="81"/>
      <c r="N9154" s="81"/>
    </row>
    <row r="9155" spans="1:14" ht="14.25" customHeight="1" x14ac:dyDescent="0.25">
      <c r="A9155" s="494" t="s">
        <v>593</v>
      </c>
      <c r="B9155" s="495">
        <v>1</v>
      </c>
      <c r="C9155" s="477">
        <v>32688</v>
      </c>
      <c r="D9155" s="477">
        <f t="shared" ref="D9155:D9156" si="451">+C9155*1.7</f>
        <v>55569.599999999999</v>
      </c>
      <c r="E9155" s="484">
        <v>8.2478999999999996</v>
      </c>
      <c r="F9155" s="483">
        <f t="shared" ref="F9155:F9156" si="452">+D9155/E9155</f>
        <v>6737.4240715818578</v>
      </c>
      <c r="G9155" s="81"/>
      <c r="H9155" s="81"/>
      <c r="I9155" s="81"/>
      <c r="J9155" s="81"/>
      <c r="K9155" s="81"/>
      <c r="L9155" s="81"/>
      <c r="M9155" s="81"/>
      <c r="N9155" s="81"/>
    </row>
    <row r="9156" spans="1:14" ht="14.25" customHeight="1" x14ac:dyDescent="0.25">
      <c r="A9156" s="494" t="s">
        <v>594</v>
      </c>
      <c r="B9156" s="495">
        <v>1</v>
      </c>
      <c r="C9156" s="477">
        <v>52538</v>
      </c>
      <c r="D9156" s="477">
        <f t="shared" si="451"/>
        <v>89314.599999999991</v>
      </c>
      <c r="E9156" s="484">
        <f>E9155</f>
        <v>8.2478999999999996</v>
      </c>
      <c r="F9156" s="483">
        <f t="shared" si="452"/>
        <v>10828.768535021036</v>
      </c>
      <c r="G9156" s="81"/>
      <c r="H9156" s="81"/>
      <c r="I9156" s="81"/>
      <c r="J9156" s="81"/>
      <c r="K9156" s="81"/>
      <c r="L9156" s="81"/>
      <c r="M9156" s="81"/>
      <c r="N9156" s="81"/>
    </row>
    <row r="9157" spans="1:14" ht="14.25" customHeight="1" x14ac:dyDescent="0.25">
      <c r="A9157" s="494"/>
      <c r="B9157" s="495"/>
      <c r="C9157" s="477"/>
      <c r="D9157" s="477"/>
      <c r="E9157" s="484"/>
      <c r="F9157" s="483"/>
      <c r="G9157" s="81"/>
      <c r="H9157" s="81"/>
      <c r="I9157" s="81"/>
      <c r="J9157" s="81"/>
      <c r="K9157" s="81"/>
      <c r="L9157" s="81"/>
      <c r="M9157" s="81"/>
      <c r="N9157" s="81"/>
    </row>
    <row r="9158" spans="1:14" ht="14.25" customHeight="1" x14ac:dyDescent="0.25">
      <c r="A9158" s="494"/>
      <c r="B9158" s="495"/>
      <c r="C9158" s="477"/>
      <c r="D9158" s="477"/>
      <c r="E9158" s="496"/>
      <c r="F9158" s="483"/>
      <c r="G9158" s="81"/>
      <c r="H9158" s="81"/>
      <c r="I9158" s="81"/>
      <c r="J9158" s="81"/>
      <c r="K9158" s="81"/>
      <c r="L9158" s="81"/>
      <c r="M9158" s="81"/>
      <c r="N9158" s="81"/>
    </row>
    <row r="9159" spans="1:14" ht="14.25" customHeight="1" x14ac:dyDescent="0.25">
      <c r="A9159" s="199" t="s">
        <v>548</v>
      </c>
      <c r="B9159" s="497"/>
      <c r="C9159" s="487"/>
      <c r="D9159" s="487"/>
      <c r="E9159" s="487"/>
      <c r="F9159" s="489">
        <f>SUM(F9155:F9158)</f>
        <v>17566.192606602894</v>
      </c>
      <c r="G9159" s="81"/>
      <c r="H9159" s="81"/>
      <c r="I9159" s="81"/>
      <c r="J9159" s="81"/>
      <c r="K9159" s="81"/>
      <c r="L9159" s="81"/>
      <c r="M9159" s="81"/>
      <c r="N9159" s="81"/>
    </row>
    <row r="9160" spans="1:14" ht="14.25" customHeight="1" x14ac:dyDescent="0.25">
      <c r="A9160" s="198"/>
      <c r="B9160" s="231"/>
      <c r="C9160" s="223"/>
      <c r="D9160" s="223"/>
      <c r="E9160" s="223"/>
      <c r="F9160" s="223"/>
      <c r="G9160" s="81"/>
      <c r="H9160" s="81"/>
      <c r="I9160" s="81"/>
      <c r="J9160" s="81"/>
      <c r="K9160" s="81"/>
      <c r="L9160" s="81"/>
      <c r="M9160" s="81"/>
      <c r="N9160" s="81"/>
    </row>
    <row r="9161" spans="1:14" ht="14.25" customHeight="1" x14ac:dyDescent="0.25">
      <c r="A9161" s="197" t="s">
        <v>583</v>
      </c>
      <c r="B9161" s="198"/>
      <c r="C9161" s="193"/>
      <c r="D9161" s="193"/>
      <c r="E9161" s="193" t="s">
        <v>584</v>
      </c>
      <c r="F9161" s="193"/>
      <c r="G9161" s="81"/>
      <c r="H9161" s="81"/>
      <c r="I9161" s="81"/>
      <c r="J9161" s="81"/>
      <c r="K9161" s="81"/>
      <c r="L9161" s="81"/>
      <c r="M9161" s="81"/>
      <c r="N9161" s="81"/>
    </row>
    <row r="9162" spans="1:14" ht="25.5" x14ac:dyDescent="0.25">
      <c r="A9162" s="199" t="s">
        <v>563</v>
      </c>
      <c r="B9162" s="474" t="s">
        <v>564</v>
      </c>
      <c r="C9162" s="474" t="s">
        <v>585</v>
      </c>
      <c r="D9162" s="474" t="s">
        <v>586</v>
      </c>
      <c r="E9162" s="492" t="s">
        <v>587</v>
      </c>
      <c r="F9162" s="474" t="s">
        <v>568</v>
      </c>
      <c r="G9162" s="81"/>
      <c r="H9162" s="81"/>
      <c r="I9162" s="81"/>
      <c r="J9162" s="81"/>
      <c r="K9162" s="81"/>
      <c r="L9162" s="81"/>
      <c r="M9162" s="81"/>
      <c r="N9162" s="81"/>
    </row>
    <row r="9163" spans="1:14" ht="14.25" customHeight="1" x14ac:dyDescent="0.25">
      <c r="A9163" s="480"/>
      <c r="B9163" s="476"/>
      <c r="C9163" s="477"/>
      <c r="D9163" s="498"/>
      <c r="E9163" s="484"/>
      <c r="F9163" s="486">
        <f>+C9163*D9163*E9163</f>
        <v>0</v>
      </c>
      <c r="G9163" s="81"/>
      <c r="H9163" s="81"/>
      <c r="I9163" s="81"/>
      <c r="J9163" s="81"/>
      <c r="K9163" s="81"/>
      <c r="L9163" s="81"/>
      <c r="M9163" s="81"/>
      <c r="N9163" s="81"/>
    </row>
    <row r="9164" spans="1:14" ht="14.25" customHeight="1" x14ac:dyDescent="0.25">
      <c r="A9164" s="480"/>
      <c r="B9164" s="476"/>
      <c r="C9164" s="484"/>
      <c r="D9164" s="484"/>
      <c r="E9164" s="485"/>
      <c r="F9164" s="486"/>
      <c r="G9164" s="81"/>
      <c r="H9164" s="81"/>
      <c r="I9164" s="81"/>
      <c r="J9164" s="81"/>
      <c r="K9164" s="81"/>
      <c r="L9164" s="81"/>
      <c r="M9164" s="81"/>
      <c r="N9164" s="81"/>
    </row>
    <row r="9165" spans="1:14" ht="14.25" customHeight="1" x14ac:dyDescent="0.25">
      <c r="A9165" s="199" t="s">
        <v>548</v>
      </c>
      <c r="B9165" s="474"/>
      <c r="C9165" s="487"/>
      <c r="D9165" s="487"/>
      <c r="E9165" s="488"/>
      <c r="F9165" s="489">
        <f>SUM(F9163:F9164)</f>
        <v>0</v>
      </c>
      <c r="G9165" s="81"/>
      <c r="H9165" s="81"/>
      <c r="I9165" s="81"/>
      <c r="J9165" s="81"/>
      <c r="K9165" s="81"/>
      <c r="L9165" s="81"/>
      <c r="M9165" s="81"/>
      <c r="N9165" s="81"/>
    </row>
    <row r="9166" spans="1:14" ht="14.25" customHeight="1" x14ac:dyDescent="0.25">
      <c r="A9166" s="192"/>
      <c r="B9166" s="194"/>
      <c r="C9166" s="215"/>
      <c r="D9166" s="215"/>
      <c r="E9166" s="216"/>
      <c r="F9166" s="215"/>
      <c r="G9166" s="81"/>
      <c r="H9166" s="81"/>
      <c r="I9166" s="81"/>
      <c r="J9166" s="81"/>
      <c r="K9166" s="81"/>
      <c r="L9166" s="81"/>
      <c r="M9166" s="81"/>
      <c r="N9166" s="81"/>
    </row>
    <row r="9167" spans="1:14" ht="14.25" customHeight="1" x14ac:dyDescent="0.25">
      <c r="A9167" s="192"/>
      <c r="B9167" s="194"/>
      <c r="C9167" s="215"/>
      <c r="D9167" s="215"/>
      <c r="E9167" s="216"/>
      <c r="F9167" s="215"/>
      <c r="G9167" s="81"/>
      <c r="H9167" s="81"/>
      <c r="I9167" s="81"/>
      <c r="J9167" s="81"/>
      <c r="K9167" s="81"/>
      <c r="L9167" s="81"/>
      <c r="M9167" s="81"/>
      <c r="N9167" s="81"/>
    </row>
    <row r="9168" spans="1:14" ht="14.25" customHeight="1" x14ac:dyDescent="0.25">
      <c r="A9168" s="590" t="s">
        <v>588</v>
      </c>
      <c r="B9168" s="586"/>
      <c r="C9168" s="586"/>
      <c r="D9168" s="586"/>
      <c r="E9168" s="587"/>
      <c r="F9168" s="499">
        <f>ROUND(F9145+F9151+F9159+F9165,0)</f>
        <v>46688</v>
      </c>
      <c r="G9168" s="81"/>
      <c r="H9168" s="117"/>
      <c r="I9168" s="81"/>
      <c r="J9168" s="81"/>
      <c r="K9168" s="81"/>
      <c r="L9168" s="81"/>
      <c r="M9168" s="81"/>
      <c r="N9168" s="81"/>
    </row>
    <row r="9169" spans="1:14" ht="14.25" customHeight="1" x14ac:dyDescent="0.25">
      <c r="A9169" s="590" t="s">
        <v>589</v>
      </c>
      <c r="B9169" s="586"/>
      <c r="C9169" s="586"/>
      <c r="D9169" s="586"/>
      <c r="E9169" s="587"/>
      <c r="F9169" s="500"/>
      <c r="G9169" s="81"/>
      <c r="H9169" s="81"/>
      <c r="I9169" s="81"/>
      <c r="J9169" s="81"/>
      <c r="K9169" s="81"/>
      <c r="L9169" s="81"/>
      <c r="M9169" s="81"/>
      <c r="N9169" s="81"/>
    </row>
    <row r="9170" spans="1:14" ht="14.25" customHeight="1" x14ac:dyDescent="0.25">
      <c r="A9170" s="590" t="s">
        <v>556</v>
      </c>
      <c r="B9170" s="586"/>
      <c r="C9170" s="586"/>
      <c r="D9170" s="586"/>
      <c r="E9170" s="587"/>
      <c r="F9170" s="501"/>
      <c r="G9170" s="81"/>
      <c r="H9170" s="81"/>
      <c r="I9170" s="81"/>
      <c r="J9170" s="81"/>
      <c r="K9170" s="81"/>
      <c r="L9170" s="81"/>
      <c r="M9170" s="81"/>
      <c r="N9170" s="81"/>
    </row>
    <row r="9171" spans="1:14" ht="14.25" customHeight="1" x14ac:dyDescent="0.25">
      <c r="A9171" s="301"/>
      <c r="B9171" s="502"/>
      <c r="C9171" s="502"/>
      <c r="D9171" s="502"/>
      <c r="E9171" s="502"/>
      <c r="F9171" s="503"/>
      <c r="G9171" s="81"/>
      <c r="H9171" s="81"/>
      <c r="I9171" s="81"/>
      <c r="J9171" s="81"/>
      <c r="K9171" s="81"/>
      <c r="L9171" s="81"/>
      <c r="M9171" s="81"/>
      <c r="N9171" s="81"/>
    </row>
    <row r="9172" spans="1:14" ht="14.25" customHeight="1" x14ac:dyDescent="0.25">
      <c r="A9172" s="301"/>
      <c r="B9172" s="502"/>
      <c r="C9172" s="502"/>
      <c r="D9172" s="502"/>
      <c r="E9172" s="502"/>
      <c r="F9172" s="503"/>
      <c r="G9172" s="81"/>
      <c r="H9172" s="81"/>
      <c r="I9172" s="81"/>
      <c r="J9172" s="81"/>
      <c r="K9172" s="81"/>
      <c r="L9172" s="81"/>
      <c r="M9172" s="81"/>
      <c r="N9172" s="81"/>
    </row>
    <row r="9173" spans="1:14" ht="14.25" customHeight="1" x14ac:dyDescent="0.25">
      <c r="A9173" s="301"/>
      <c r="B9173" s="502"/>
      <c r="C9173" s="502"/>
      <c r="D9173" s="502"/>
      <c r="E9173" s="502"/>
      <c r="F9173" s="503"/>
      <c r="G9173" s="81"/>
      <c r="H9173" s="143"/>
      <c r="I9173" s="81"/>
      <c r="J9173" s="81"/>
      <c r="K9173" s="81"/>
      <c r="L9173" s="81"/>
      <c r="M9173" s="81"/>
      <c r="N9173" s="81"/>
    </row>
    <row r="9174" spans="1:14" ht="14.25" customHeight="1" x14ac:dyDescent="0.25">
      <c r="A9174" s="243"/>
      <c r="B9174" s="243"/>
      <c r="C9174" s="504"/>
      <c r="D9174" s="243"/>
      <c r="E9174" s="243"/>
      <c r="F9174" s="243"/>
      <c r="G9174" s="81"/>
      <c r="H9174" s="81"/>
      <c r="I9174" s="81"/>
      <c r="J9174" s="81"/>
      <c r="K9174" s="81"/>
      <c r="L9174" s="81"/>
      <c r="M9174" s="81"/>
      <c r="N9174" s="81"/>
    </row>
    <row r="9175" spans="1:14" ht="14.25" customHeight="1" x14ac:dyDescent="0.25">
      <c r="A9175" s="243"/>
      <c r="B9175" s="243"/>
      <c r="C9175" s="504"/>
      <c r="D9175" s="243"/>
      <c r="E9175" s="243"/>
      <c r="F9175" s="243"/>
      <c r="G9175" s="81"/>
      <c r="H9175" s="81"/>
      <c r="I9175" s="81"/>
      <c r="J9175" s="81"/>
      <c r="K9175" s="81"/>
      <c r="L9175" s="81"/>
      <c r="M9175" s="81"/>
      <c r="N9175" s="81"/>
    </row>
    <row r="9176" spans="1:14" ht="14.25" customHeight="1" x14ac:dyDescent="0.25">
      <c r="A9176" s="243"/>
      <c r="B9176" s="243"/>
      <c r="C9176" s="504"/>
      <c r="D9176" s="243"/>
      <c r="E9176" s="243"/>
      <c r="F9176" s="243"/>
      <c r="G9176" s="81"/>
      <c r="H9176" s="81"/>
      <c r="I9176" s="81"/>
      <c r="J9176" s="81"/>
      <c r="K9176" s="81"/>
      <c r="L9176" s="81"/>
      <c r="M9176" s="81"/>
      <c r="N9176" s="81"/>
    </row>
    <row r="9177" spans="1:14" ht="14.25" customHeight="1" x14ac:dyDescent="0.25">
      <c r="A9177" s="301"/>
      <c r="B9177" s="502"/>
      <c r="C9177" s="502"/>
      <c r="D9177" s="502"/>
      <c r="E9177" s="502"/>
      <c r="F9177" s="503"/>
      <c r="G9177" s="81"/>
      <c r="H9177" s="81"/>
      <c r="I9177" s="81"/>
      <c r="J9177" s="81"/>
      <c r="K9177" s="81"/>
      <c r="L9177" s="81"/>
      <c r="M9177" s="81"/>
      <c r="N9177" s="81"/>
    </row>
    <row r="9178" spans="1:14" ht="14.25" customHeight="1" thickBot="1" x14ac:dyDescent="0.3">
      <c r="A9178" s="243"/>
      <c r="B9178" s="243"/>
      <c r="C9178" s="243"/>
      <c r="D9178" s="243"/>
      <c r="E9178" s="243"/>
      <c r="F9178" s="243"/>
      <c r="G9178" s="81"/>
      <c r="H9178" s="81"/>
      <c r="I9178" s="81"/>
      <c r="J9178" s="81"/>
      <c r="K9178" s="81"/>
      <c r="L9178" s="81"/>
      <c r="M9178" s="81"/>
      <c r="N9178" s="81"/>
    </row>
    <row r="9179" spans="1:14" ht="14.25" customHeight="1" x14ac:dyDescent="0.25">
      <c r="A9179" s="258"/>
      <c r="B9179" s="259"/>
      <c r="C9179" s="260"/>
      <c r="D9179" s="261"/>
      <c r="E9179" s="261"/>
      <c r="F9179" s="262"/>
      <c r="G9179" s="81"/>
      <c r="H9179" s="81"/>
      <c r="I9179" s="81"/>
      <c r="J9179" s="81"/>
      <c r="K9179" s="81"/>
      <c r="L9179" s="81"/>
      <c r="M9179" s="81"/>
      <c r="N9179" s="81"/>
    </row>
    <row r="9180" spans="1:14" ht="14.25" customHeight="1" x14ac:dyDescent="0.25">
      <c r="A9180" s="621"/>
      <c r="B9180" s="629"/>
      <c r="C9180" s="629"/>
      <c r="D9180" s="629"/>
      <c r="E9180" s="629"/>
      <c r="F9180" s="630"/>
      <c r="G9180" s="81"/>
      <c r="H9180" s="81"/>
      <c r="I9180" s="81"/>
      <c r="J9180" s="81"/>
      <c r="K9180" s="81"/>
      <c r="L9180" s="81"/>
      <c r="M9180" s="81"/>
      <c r="N9180" s="81"/>
    </row>
    <row r="9181" spans="1:14" ht="14.25" customHeight="1" x14ac:dyDescent="0.25">
      <c r="A9181" s="614" t="s">
        <v>561</v>
      </c>
      <c r="B9181" s="629"/>
      <c r="C9181" s="629"/>
      <c r="D9181" s="629"/>
      <c r="E9181" s="629"/>
      <c r="F9181" s="630"/>
      <c r="G9181" s="81"/>
      <c r="H9181" s="81"/>
      <c r="I9181" s="81"/>
      <c r="J9181" s="81"/>
      <c r="K9181" s="81"/>
      <c r="L9181" s="81"/>
      <c r="M9181" s="81"/>
      <c r="N9181" s="81"/>
    </row>
    <row r="9182" spans="1:14" ht="14.25" customHeight="1" thickBot="1" x14ac:dyDescent="0.3">
      <c r="A9182" s="617"/>
      <c r="B9182" s="631"/>
      <c r="C9182" s="631"/>
      <c r="D9182" s="631"/>
      <c r="E9182" s="631"/>
      <c r="F9182" s="632"/>
      <c r="G9182" s="81"/>
      <c r="H9182" s="81"/>
      <c r="I9182" s="81"/>
      <c r="J9182" s="81"/>
      <c r="K9182" s="81"/>
      <c r="L9182" s="81"/>
      <c r="M9182" s="81"/>
      <c r="N9182" s="81"/>
    </row>
    <row r="9183" spans="1:14" ht="14.25" customHeight="1" x14ac:dyDescent="0.25">
      <c r="A9183" s="192"/>
      <c r="B9183" s="192"/>
      <c r="C9183" s="194"/>
      <c r="D9183" s="194"/>
      <c r="E9183" s="194"/>
      <c r="F9183" s="194"/>
      <c r="G9183" s="81"/>
      <c r="H9183" s="81"/>
      <c r="I9183" s="81"/>
      <c r="J9183" s="81"/>
      <c r="K9183" s="81"/>
      <c r="L9183" s="81"/>
      <c r="M9183" s="81"/>
      <c r="N9183" s="81"/>
    </row>
    <row r="9184" spans="1:14" ht="29.25" customHeight="1" x14ac:dyDescent="0.25">
      <c r="A9184" s="473" t="s">
        <v>47</v>
      </c>
      <c r="B9184" s="620" t="s">
        <v>1412</v>
      </c>
      <c r="C9184" s="629"/>
      <c r="D9184" s="629"/>
      <c r="E9184" s="629"/>
      <c r="F9184" s="629"/>
      <c r="G9184" s="81"/>
      <c r="H9184" s="81"/>
      <c r="I9184" s="81"/>
      <c r="J9184" s="81"/>
      <c r="K9184" s="81"/>
      <c r="L9184" s="81"/>
      <c r="M9184" s="81"/>
      <c r="N9184" s="81"/>
    </row>
    <row r="9185" spans="1:14" ht="14.25" customHeight="1" x14ac:dyDescent="0.25">
      <c r="A9185" s="191"/>
      <c r="B9185" s="191"/>
      <c r="C9185" s="191"/>
      <c r="D9185" s="191"/>
      <c r="E9185" s="191"/>
      <c r="F9185" s="191"/>
      <c r="G9185" s="81"/>
      <c r="H9185" s="81"/>
      <c r="I9185" s="81"/>
      <c r="J9185" s="81"/>
      <c r="K9185" s="81"/>
      <c r="L9185" s="81"/>
      <c r="M9185" s="81"/>
      <c r="N9185" s="81"/>
    </row>
    <row r="9186" spans="1:14" ht="14.25" customHeight="1" x14ac:dyDescent="0.25">
      <c r="A9186" s="192" t="s">
        <v>49</v>
      </c>
      <c r="B9186" s="193" t="s">
        <v>99</v>
      </c>
      <c r="C9186" s="194"/>
      <c r="D9186" s="194"/>
      <c r="E9186" s="194"/>
      <c r="F9186" s="195"/>
      <c r="G9186" s="81"/>
      <c r="H9186" s="81"/>
      <c r="I9186" s="81"/>
      <c r="J9186" s="81"/>
      <c r="K9186" s="81"/>
      <c r="L9186" s="81"/>
      <c r="M9186" s="81"/>
      <c r="N9186" s="81"/>
    </row>
    <row r="9187" spans="1:14" ht="14.25" customHeight="1" x14ac:dyDescent="0.25">
      <c r="A9187" s="192"/>
      <c r="B9187" s="196"/>
      <c r="C9187" s="194"/>
      <c r="D9187" s="194"/>
      <c r="E9187" s="194"/>
      <c r="F9187" s="195"/>
      <c r="G9187" s="81"/>
      <c r="H9187" s="81"/>
      <c r="I9187" s="81"/>
      <c r="J9187" s="81"/>
      <c r="K9187" s="81"/>
      <c r="L9187" s="81"/>
      <c r="M9187" s="81"/>
      <c r="N9187" s="81"/>
    </row>
    <row r="9188" spans="1:14" ht="14.25" customHeight="1" x14ac:dyDescent="0.25">
      <c r="A9188" s="197" t="s">
        <v>562</v>
      </c>
      <c r="B9188" s="198"/>
      <c r="C9188" s="193"/>
      <c r="D9188" s="193"/>
      <c r="E9188" s="193"/>
      <c r="F9188" s="193"/>
      <c r="G9188" s="81"/>
      <c r="H9188" s="81"/>
      <c r="I9188" s="81"/>
      <c r="J9188" s="81"/>
      <c r="K9188" s="81"/>
      <c r="L9188" s="81"/>
      <c r="M9188" s="81"/>
      <c r="N9188" s="81"/>
    </row>
    <row r="9189" spans="1:14" ht="14.25" customHeight="1" x14ac:dyDescent="0.25">
      <c r="A9189" s="199" t="s">
        <v>563</v>
      </c>
      <c r="B9189" s="474" t="s">
        <v>564</v>
      </c>
      <c r="C9189" s="474" t="s">
        <v>565</v>
      </c>
      <c r="D9189" s="474" t="s">
        <v>566</v>
      </c>
      <c r="E9189" s="474" t="s">
        <v>567</v>
      </c>
      <c r="F9189" s="474" t="s">
        <v>568</v>
      </c>
      <c r="G9189" s="81"/>
      <c r="H9189" s="81"/>
      <c r="I9189" s="81"/>
      <c r="J9189" s="81"/>
      <c r="K9189" s="81"/>
      <c r="L9189" s="81"/>
      <c r="M9189" s="81"/>
      <c r="N9189" s="81"/>
    </row>
    <row r="9190" spans="1:14" ht="14.25" customHeight="1" x14ac:dyDescent="0.25">
      <c r="A9190" s="475" t="s">
        <v>1413</v>
      </c>
      <c r="B9190" s="476" t="s">
        <v>99</v>
      </c>
      <c r="C9190" s="477">
        <v>120</v>
      </c>
      <c r="D9190" s="481">
        <v>75</v>
      </c>
      <c r="E9190" s="479">
        <v>0.05</v>
      </c>
      <c r="F9190" s="477">
        <f t="shared" ref="F9190:F9193" si="453">C9190*(D9190+(D9190*E9190))</f>
        <v>9450</v>
      </c>
      <c r="G9190" s="81"/>
      <c r="H9190" s="81"/>
      <c r="I9190" s="81"/>
      <c r="J9190" s="81"/>
      <c r="K9190" s="81"/>
      <c r="L9190" s="81"/>
      <c r="M9190" s="81"/>
      <c r="N9190" s="81"/>
    </row>
    <row r="9191" spans="1:14" ht="14.25" customHeight="1" x14ac:dyDescent="0.25">
      <c r="A9191" s="475" t="s">
        <v>1414</v>
      </c>
      <c r="B9191" s="476" t="s">
        <v>59</v>
      </c>
      <c r="C9191" s="477">
        <v>1850</v>
      </c>
      <c r="D9191" s="481">
        <v>42</v>
      </c>
      <c r="E9191" s="479">
        <v>0.05</v>
      </c>
      <c r="F9191" s="477">
        <f t="shared" si="453"/>
        <v>81585</v>
      </c>
      <c r="G9191" s="81"/>
      <c r="H9191" s="81"/>
      <c r="I9191" s="81"/>
      <c r="J9191" s="81"/>
      <c r="K9191" s="81"/>
      <c r="L9191" s="81"/>
      <c r="M9191" s="81"/>
      <c r="N9191" s="81"/>
    </row>
    <row r="9192" spans="1:14" ht="14.25" customHeight="1" x14ac:dyDescent="0.25">
      <c r="A9192" s="480" t="s">
        <v>1415</v>
      </c>
      <c r="B9192" s="476" t="s">
        <v>59</v>
      </c>
      <c r="C9192" s="477">
        <v>1350</v>
      </c>
      <c r="D9192" s="481">
        <v>42</v>
      </c>
      <c r="E9192" s="479">
        <v>0.05</v>
      </c>
      <c r="F9192" s="477">
        <f t="shared" si="453"/>
        <v>59535</v>
      </c>
      <c r="G9192" s="81"/>
      <c r="H9192" s="81"/>
      <c r="I9192" s="81"/>
      <c r="J9192" s="81"/>
      <c r="K9192" s="81"/>
      <c r="L9192" s="81"/>
      <c r="M9192" s="81"/>
      <c r="N9192" s="81"/>
    </row>
    <row r="9193" spans="1:14" ht="14.25" customHeight="1" x14ac:dyDescent="0.25">
      <c r="A9193" s="480" t="s">
        <v>1416</v>
      </c>
      <c r="B9193" s="476" t="s">
        <v>59</v>
      </c>
      <c r="C9193" s="477">
        <v>8720</v>
      </c>
      <c r="D9193" s="484">
        <v>13</v>
      </c>
      <c r="E9193" s="479">
        <v>0.05</v>
      </c>
      <c r="F9193" s="477">
        <f t="shared" si="453"/>
        <v>119028</v>
      </c>
      <c r="G9193" s="81"/>
      <c r="H9193" s="81"/>
      <c r="I9193" s="81"/>
      <c r="J9193" s="81"/>
      <c r="K9193" s="81"/>
      <c r="L9193" s="81"/>
      <c r="M9193" s="81"/>
      <c r="N9193" s="81"/>
    </row>
    <row r="9194" spans="1:14" ht="14.25" customHeight="1" x14ac:dyDescent="0.25">
      <c r="A9194" s="475"/>
      <c r="B9194" s="476"/>
      <c r="C9194" s="483"/>
      <c r="D9194" s="484"/>
      <c r="E9194" s="485"/>
      <c r="F9194" s="483"/>
      <c r="G9194" s="81"/>
      <c r="H9194" s="81"/>
      <c r="I9194" s="81"/>
      <c r="J9194" s="81"/>
      <c r="K9194" s="81"/>
      <c r="L9194" s="81"/>
      <c r="M9194" s="81"/>
      <c r="N9194" s="81"/>
    </row>
    <row r="9195" spans="1:14" ht="14.25" customHeight="1" x14ac:dyDescent="0.25">
      <c r="A9195" s="199" t="s">
        <v>548</v>
      </c>
      <c r="B9195" s="199"/>
      <c r="C9195" s="486"/>
      <c r="D9195" s="487"/>
      <c r="E9195" s="488"/>
      <c r="F9195" s="489">
        <f>SUM(F9190:F9194)</f>
        <v>269598</v>
      </c>
      <c r="G9195" s="81"/>
      <c r="H9195" s="81"/>
      <c r="I9195" s="81"/>
      <c r="J9195" s="81"/>
      <c r="K9195" s="81"/>
      <c r="L9195" s="81"/>
      <c r="M9195" s="81"/>
      <c r="N9195" s="81"/>
    </row>
    <row r="9196" spans="1:14" ht="14.25" customHeight="1" x14ac:dyDescent="0.25">
      <c r="A9196" s="192"/>
      <c r="B9196" s="192"/>
      <c r="C9196" s="215"/>
      <c r="D9196" s="215"/>
      <c r="E9196" s="216"/>
      <c r="F9196" s="215"/>
      <c r="G9196" s="81"/>
      <c r="H9196" s="81"/>
      <c r="I9196" s="81"/>
      <c r="J9196" s="81"/>
      <c r="K9196" s="81"/>
      <c r="L9196" s="81"/>
      <c r="M9196" s="81"/>
      <c r="N9196" s="81"/>
    </row>
    <row r="9197" spans="1:14" ht="14.25" customHeight="1" x14ac:dyDescent="0.25">
      <c r="A9197" s="198" t="s">
        <v>573</v>
      </c>
      <c r="B9197" s="198"/>
      <c r="C9197" s="193"/>
      <c r="D9197" s="193"/>
      <c r="E9197" s="193"/>
      <c r="F9197" s="193"/>
      <c r="G9197" s="81"/>
      <c r="H9197" s="81"/>
      <c r="I9197" s="81"/>
      <c r="J9197" s="81"/>
      <c r="K9197" s="81"/>
      <c r="L9197" s="81"/>
      <c r="M9197" s="81"/>
      <c r="N9197" s="81"/>
    </row>
    <row r="9198" spans="1:14" ht="14.25" customHeight="1" x14ac:dyDescent="0.25">
      <c r="A9198" s="585" t="s">
        <v>563</v>
      </c>
      <c r="B9198" s="586"/>
      <c r="C9198" s="587"/>
      <c r="D9198" s="474" t="s">
        <v>574</v>
      </c>
      <c r="E9198" s="474" t="s">
        <v>575</v>
      </c>
      <c r="F9198" s="474" t="s">
        <v>568</v>
      </c>
      <c r="G9198" s="81"/>
      <c r="H9198" s="81"/>
      <c r="I9198" s="81"/>
      <c r="J9198" s="81"/>
      <c r="K9198" s="81"/>
      <c r="L9198" s="81"/>
      <c r="M9198" s="81"/>
      <c r="N9198" s="81"/>
    </row>
    <row r="9199" spans="1:14" ht="14.25" customHeight="1" x14ac:dyDescent="0.25">
      <c r="A9199" s="588" t="s">
        <v>577</v>
      </c>
      <c r="B9199" s="586"/>
      <c r="C9199" s="587"/>
      <c r="D9199" s="490"/>
      <c r="E9199" s="484"/>
      <c r="F9199" s="483">
        <f>+F9212*5%</f>
        <v>6156.4826460889963</v>
      </c>
      <c r="G9199" s="81"/>
      <c r="H9199" s="81"/>
      <c r="I9199" s="81"/>
      <c r="J9199" s="81"/>
      <c r="K9199" s="81"/>
      <c r="L9199" s="81"/>
      <c r="M9199" s="81"/>
      <c r="N9199" s="81"/>
    </row>
    <row r="9200" spans="1:14" ht="14.25" customHeight="1" x14ac:dyDescent="0.25">
      <c r="A9200" s="588" t="s">
        <v>639</v>
      </c>
      <c r="B9200" s="586"/>
      <c r="C9200" s="587"/>
      <c r="D9200" s="505">
        <v>5150</v>
      </c>
      <c r="E9200" s="484">
        <v>14</v>
      </c>
      <c r="F9200" s="483">
        <f t="shared" ref="F9200:F9202" si="454">D9200/E9200</f>
        <v>367.85714285714283</v>
      </c>
      <c r="G9200" s="81"/>
      <c r="H9200" s="81"/>
      <c r="I9200" s="81"/>
      <c r="J9200" s="81"/>
      <c r="K9200" s="81"/>
      <c r="L9200" s="81"/>
      <c r="M9200" s="81"/>
      <c r="N9200" s="81"/>
    </row>
    <row r="9201" spans="1:14" ht="14.25" customHeight="1" x14ac:dyDescent="0.25">
      <c r="A9201" s="588" t="s">
        <v>702</v>
      </c>
      <c r="B9201" s="586"/>
      <c r="C9201" s="587"/>
      <c r="D9201" s="505">
        <v>3250</v>
      </c>
      <c r="E9201" s="484">
        <v>12</v>
      </c>
      <c r="F9201" s="483">
        <f t="shared" si="454"/>
        <v>270.83333333333331</v>
      </c>
      <c r="G9201" s="81"/>
      <c r="H9201" s="81"/>
      <c r="I9201" s="81"/>
      <c r="J9201" s="81"/>
      <c r="K9201" s="81"/>
      <c r="L9201" s="81"/>
      <c r="M9201" s="81"/>
      <c r="N9201" s="81"/>
    </row>
    <row r="9202" spans="1:14" ht="14.25" customHeight="1" x14ac:dyDescent="0.25">
      <c r="A9202" s="588" t="s">
        <v>766</v>
      </c>
      <c r="B9202" s="586"/>
      <c r="C9202" s="587"/>
      <c r="D9202" s="505">
        <v>5730</v>
      </c>
      <c r="E9202" s="484">
        <v>12</v>
      </c>
      <c r="F9202" s="483">
        <f t="shared" si="454"/>
        <v>477.5</v>
      </c>
      <c r="G9202" s="81"/>
      <c r="H9202" s="81"/>
      <c r="I9202" s="81"/>
      <c r="J9202" s="81"/>
      <c r="K9202" s="81"/>
      <c r="L9202" s="81"/>
      <c r="M9202" s="81"/>
      <c r="N9202" s="81"/>
    </row>
    <row r="9203" spans="1:14" ht="14.25" customHeight="1" x14ac:dyDescent="0.25">
      <c r="A9203" s="589"/>
      <c r="B9203" s="586"/>
      <c r="C9203" s="587"/>
      <c r="D9203" s="491"/>
      <c r="E9203" s="484"/>
      <c r="F9203" s="483"/>
      <c r="G9203" s="81"/>
      <c r="H9203" s="81"/>
      <c r="I9203" s="81"/>
      <c r="J9203" s="81"/>
      <c r="K9203" s="81"/>
      <c r="L9203" s="81"/>
      <c r="M9203" s="81"/>
      <c r="N9203" s="81"/>
    </row>
    <row r="9204" spans="1:14" ht="14.25" customHeight="1" x14ac:dyDescent="0.25">
      <c r="A9204" s="585" t="s">
        <v>548</v>
      </c>
      <c r="B9204" s="586"/>
      <c r="C9204" s="587"/>
      <c r="D9204" s="487"/>
      <c r="E9204" s="487"/>
      <c r="F9204" s="489">
        <f>SUM(F9199:F9203)</f>
        <v>7272.6731222794724</v>
      </c>
      <c r="G9204" s="81"/>
      <c r="H9204" s="81"/>
      <c r="I9204" s="81"/>
      <c r="J9204" s="81"/>
      <c r="K9204" s="81"/>
      <c r="L9204" s="81"/>
      <c r="M9204" s="81"/>
      <c r="N9204" s="81"/>
    </row>
    <row r="9205" spans="1:14" ht="14.25" customHeight="1" x14ac:dyDescent="0.25">
      <c r="A9205" s="192"/>
      <c r="B9205" s="192"/>
      <c r="C9205" s="194"/>
      <c r="D9205" s="215"/>
      <c r="E9205" s="215"/>
      <c r="F9205" s="215"/>
      <c r="G9205" s="81"/>
      <c r="H9205" s="81"/>
      <c r="I9205" s="81"/>
      <c r="J9205" s="81"/>
      <c r="K9205" s="81"/>
      <c r="L9205" s="81"/>
      <c r="M9205" s="81"/>
      <c r="N9205" s="81"/>
    </row>
    <row r="9206" spans="1:14" ht="14.25" customHeight="1" x14ac:dyDescent="0.25">
      <c r="A9206" s="198" t="s">
        <v>578</v>
      </c>
      <c r="B9206" s="198"/>
      <c r="C9206" s="193"/>
      <c r="D9206" s="223"/>
      <c r="E9206" s="223"/>
      <c r="F9206" s="223"/>
      <c r="G9206" s="81"/>
      <c r="H9206" s="81"/>
      <c r="I9206" s="81"/>
      <c r="J9206" s="81"/>
      <c r="K9206" s="81"/>
      <c r="L9206" s="81"/>
      <c r="M9206" s="81"/>
      <c r="N9206" s="81"/>
    </row>
    <row r="9207" spans="1:14" ht="38.25" x14ac:dyDescent="0.25">
      <c r="A9207" s="224" t="s">
        <v>563</v>
      </c>
      <c r="B9207" s="492" t="s">
        <v>579</v>
      </c>
      <c r="C9207" s="492" t="s">
        <v>580</v>
      </c>
      <c r="D9207" s="493" t="s">
        <v>581</v>
      </c>
      <c r="E9207" s="493" t="s">
        <v>575</v>
      </c>
      <c r="F9207" s="493" t="s">
        <v>568</v>
      </c>
      <c r="G9207" s="81"/>
      <c r="H9207" s="81"/>
      <c r="I9207" s="81"/>
      <c r="J9207" s="81"/>
      <c r="K9207" s="81"/>
      <c r="L9207" s="81"/>
      <c r="M9207" s="81"/>
      <c r="N9207" s="81"/>
    </row>
    <row r="9208" spans="1:14" ht="14.25" customHeight="1" x14ac:dyDescent="0.25">
      <c r="A9208" s="494" t="s">
        <v>593</v>
      </c>
      <c r="B9208" s="495">
        <v>1</v>
      </c>
      <c r="C9208" s="477">
        <v>32688</v>
      </c>
      <c r="D9208" s="477">
        <f t="shared" ref="D9208:D9209" si="455">+C9208*1.7</f>
        <v>55569.599999999999</v>
      </c>
      <c r="E9208" s="484">
        <v>1.1766799999999999</v>
      </c>
      <c r="F9208" s="483">
        <f t="shared" ref="F9208:F9209" si="456">+D9208/E9208</f>
        <v>47225.753815820783</v>
      </c>
      <c r="G9208" s="81"/>
      <c r="H9208" s="81"/>
      <c r="I9208" s="81"/>
      <c r="J9208" s="81"/>
      <c r="K9208" s="81"/>
      <c r="L9208" s="81"/>
      <c r="M9208" s="81"/>
      <c r="N9208" s="81"/>
    </row>
    <row r="9209" spans="1:14" ht="14.25" customHeight="1" x14ac:dyDescent="0.25">
      <c r="A9209" s="494" t="s">
        <v>594</v>
      </c>
      <c r="B9209" s="495">
        <v>1</v>
      </c>
      <c r="C9209" s="477">
        <v>52538</v>
      </c>
      <c r="D9209" s="477">
        <f t="shared" si="455"/>
        <v>89314.599999999991</v>
      </c>
      <c r="E9209" s="484">
        <f>E9208</f>
        <v>1.1766799999999999</v>
      </c>
      <c r="F9209" s="483">
        <f t="shared" si="456"/>
        <v>75903.899105959135</v>
      </c>
      <c r="G9209" s="81"/>
      <c r="H9209" s="81"/>
      <c r="I9209" s="81"/>
      <c r="J9209" s="81"/>
      <c r="K9209" s="81"/>
      <c r="L9209" s="81"/>
      <c r="M9209" s="81"/>
      <c r="N9209" s="81"/>
    </row>
    <row r="9210" spans="1:14" ht="14.25" customHeight="1" x14ac:dyDescent="0.25">
      <c r="A9210" s="494"/>
      <c r="B9210" s="495"/>
      <c r="C9210" s="477"/>
      <c r="D9210" s="477"/>
      <c r="E9210" s="484"/>
      <c r="F9210" s="483"/>
      <c r="G9210" s="81"/>
      <c r="H9210" s="81"/>
      <c r="I9210" s="81"/>
      <c r="J9210" s="81"/>
      <c r="K9210" s="81"/>
      <c r="L9210" s="81"/>
      <c r="M9210" s="81"/>
      <c r="N9210" s="81"/>
    </row>
    <row r="9211" spans="1:14" ht="14.25" customHeight="1" x14ac:dyDescent="0.25">
      <c r="A9211" s="494"/>
      <c r="B9211" s="495"/>
      <c r="C9211" s="477"/>
      <c r="D9211" s="477"/>
      <c r="E9211" s="496"/>
      <c r="F9211" s="483"/>
      <c r="G9211" s="81"/>
      <c r="H9211" s="81"/>
      <c r="I9211" s="81"/>
      <c r="J9211" s="81"/>
      <c r="K9211" s="81"/>
      <c r="L9211" s="81"/>
      <c r="M9211" s="81"/>
      <c r="N9211" s="81"/>
    </row>
    <row r="9212" spans="1:14" ht="14.25" customHeight="1" x14ac:dyDescent="0.25">
      <c r="A9212" s="199" t="s">
        <v>548</v>
      </c>
      <c r="B9212" s="497"/>
      <c r="C9212" s="487"/>
      <c r="D9212" s="487"/>
      <c r="E9212" s="487"/>
      <c r="F9212" s="489">
        <f>SUM(F9208:F9211)</f>
        <v>123129.65292177993</v>
      </c>
      <c r="G9212" s="81"/>
      <c r="H9212" s="81"/>
      <c r="I9212" s="81"/>
      <c r="J9212" s="81"/>
      <c r="K9212" s="81"/>
      <c r="L9212" s="81"/>
      <c r="M9212" s="81"/>
      <c r="N9212" s="81"/>
    </row>
    <row r="9213" spans="1:14" ht="14.25" customHeight="1" x14ac:dyDescent="0.25">
      <c r="A9213" s="198"/>
      <c r="B9213" s="231"/>
      <c r="C9213" s="223"/>
      <c r="D9213" s="223"/>
      <c r="E9213" s="223"/>
      <c r="F9213" s="223"/>
      <c r="G9213" s="81"/>
      <c r="H9213" s="81"/>
      <c r="I9213" s="81"/>
      <c r="J9213" s="81"/>
      <c r="K9213" s="81"/>
      <c r="L9213" s="81"/>
      <c r="M9213" s="81"/>
      <c r="N9213" s="81"/>
    </row>
    <row r="9214" spans="1:14" ht="14.25" customHeight="1" x14ac:dyDescent="0.25">
      <c r="A9214" s="197" t="s">
        <v>583</v>
      </c>
      <c r="B9214" s="198"/>
      <c r="C9214" s="193"/>
      <c r="D9214" s="193"/>
      <c r="E9214" s="193" t="s">
        <v>584</v>
      </c>
      <c r="F9214" s="193"/>
      <c r="G9214" s="81"/>
      <c r="H9214" s="81"/>
      <c r="I9214" s="81"/>
      <c r="J9214" s="81"/>
      <c r="K9214" s="81"/>
      <c r="L9214" s="81"/>
      <c r="M9214" s="81"/>
      <c r="N9214" s="81"/>
    </row>
    <row r="9215" spans="1:14" ht="14.25" customHeight="1" x14ac:dyDescent="0.25">
      <c r="A9215" s="199" t="s">
        <v>563</v>
      </c>
      <c r="B9215" s="474" t="s">
        <v>564</v>
      </c>
      <c r="C9215" s="474" t="s">
        <v>585</v>
      </c>
      <c r="D9215" s="474" t="s">
        <v>586</v>
      </c>
      <c r="E9215" s="492" t="s">
        <v>587</v>
      </c>
      <c r="F9215" s="474" t="s">
        <v>568</v>
      </c>
      <c r="G9215" s="81"/>
      <c r="H9215" s="81"/>
      <c r="I9215" s="81"/>
      <c r="J9215" s="81"/>
      <c r="K9215" s="81"/>
      <c r="L9215" s="81"/>
      <c r="M9215" s="81"/>
      <c r="N9215" s="81"/>
    </row>
    <row r="9216" spans="1:14" ht="14.25" customHeight="1" x14ac:dyDescent="0.25">
      <c r="A9216" s="480"/>
      <c r="B9216" s="476"/>
      <c r="C9216" s="477"/>
      <c r="D9216" s="498"/>
      <c r="E9216" s="484"/>
      <c r="F9216" s="486">
        <f>+C9216*D9216*E9216</f>
        <v>0</v>
      </c>
      <c r="G9216" s="81"/>
      <c r="H9216" s="81"/>
      <c r="I9216" s="81"/>
      <c r="J9216" s="81"/>
      <c r="K9216" s="81"/>
      <c r="L9216" s="81"/>
      <c r="M9216" s="81"/>
      <c r="N9216" s="81"/>
    </row>
    <row r="9217" spans="1:14" ht="14.25" customHeight="1" x14ac:dyDescent="0.25">
      <c r="A9217" s="480"/>
      <c r="B9217" s="476"/>
      <c r="C9217" s="484"/>
      <c r="D9217" s="484"/>
      <c r="E9217" s="485"/>
      <c r="F9217" s="486"/>
      <c r="G9217" s="81"/>
      <c r="H9217" s="81"/>
      <c r="I9217" s="81"/>
      <c r="J9217" s="81"/>
      <c r="K9217" s="81"/>
      <c r="L9217" s="81"/>
      <c r="M9217" s="81"/>
      <c r="N9217" s="81"/>
    </row>
    <row r="9218" spans="1:14" ht="14.25" customHeight="1" x14ac:dyDescent="0.25">
      <c r="A9218" s="199" t="s">
        <v>548</v>
      </c>
      <c r="B9218" s="474"/>
      <c r="C9218" s="487"/>
      <c r="D9218" s="487"/>
      <c r="E9218" s="488"/>
      <c r="F9218" s="489">
        <f>SUM(F9216:F9217)</f>
        <v>0</v>
      </c>
      <c r="G9218" s="81"/>
      <c r="H9218" s="81"/>
      <c r="I9218" s="81"/>
      <c r="J9218" s="81"/>
      <c r="K9218" s="81"/>
      <c r="L9218" s="81"/>
      <c r="M9218" s="81"/>
      <c r="N9218" s="81"/>
    </row>
    <row r="9219" spans="1:14" ht="14.25" customHeight="1" x14ac:dyDescent="0.25">
      <c r="A9219" s="192"/>
      <c r="B9219" s="194"/>
      <c r="C9219" s="215"/>
      <c r="D9219" s="215"/>
      <c r="E9219" s="216"/>
      <c r="F9219" s="215"/>
      <c r="G9219" s="81"/>
      <c r="H9219" s="81"/>
      <c r="I9219" s="81"/>
      <c r="J9219" s="81"/>
      <c r="K9219" s="81"/>
      <c r="L9219" s="81"/>
      <c r="M9219" s="81"/>
      <c r="N9219" s="81"/>
    </row>
    <row r="9220" spans="1:14" ht="14.25" customHeight="1" x14ac:dyDescent="0.25">
      <c r="A9220" s="192"/>
      <c r="B9220" s="194"/>
      <c r="C9220" s="215"/>
      <c r="D9220" s="215"/>
      <c r="E9220" s="216"/>
      <c r="F9220" s="215"/>
      <c r="G9220" s="81"/>
      <c r="H9220" s="81"/>
      <c r="I9220" s="81"/>
      <c r="J9220" s="81"/>
      <c r="K9220" s="81"/>
      <c r="L9220" s="81"/>
      <c r="M9220" s="81"/>
      <c r="N9220" s="81"/>
    </row>
    <row r="9221" spans="1:14" ht="14.25" customHeight="1" x14ac:dyDescent="0.25">
      <c r="A9221" s="590" t="s">
        <v>588</v>
      </c>
      <c r="B9221" s="586"/>
      <c r="C9221" s="586"/>
      <c r="D9221" s="586"/>
      <c r="E9221" s="587"/>
      <c r="F9221" s="499">
        <f>ROUND(F9195+F9204+F9212+F9218,0)</f>
        <v>400000</v>
      </c>
      <c r="G9221" s="81"/>
      <c r="H9221" s="81"/>
      <c r="I9221" s="81"/>
      <c r="J9221" s="81"/>
      <c r="K9221" s="81"/>
      <c r="L9221" s="81"/>
      <c r="M9221" s="81"/>
      <c r="N9221" s="81"/>
    </row>
    <row r="9222" spans="1:14" ht="14.25" customHeight="1" x14ac:dyDescent="0.25">
      <c r="A9222" s="590" t="s">
        <v>589</v>
      </c>
      <c r="B9222" s="586"/>
      <c r="C9222" s="586"/>
      <c r="D9222" s="586"/>
      <c r="E9222" s="587"/>
      <c r="F9222" s="500"/>
      <c r="G9222" s="81"/>
      <c r="H9222" s="81"/>
      <c r="I9222" s="81"/>
      <c r="J9222" s="81"/>
      <c r="K9222" s="81"/>
      <c r="L9222" s="81"/>
      <c r="M9222" s="81"/>
      <c r="N9222" s="81"/>
    </row>
    <row r="9223" spans="1:14" ht="14.25" customHeight="1" x14ac:dyDescent="0.25">
      <c r="A9223" s="590" t="s">
        <v>556</v>
      </c>
      <c r="B9223" s="586"/>
      <c r="C9223" s="586"/>
      <c r="D9223" s="586"/>
      <c r="E9223" s="587"/>
      <c r="F9223" s="501"/>
      <c r="G9223" s="81"/>
      <c r="H9223" s="81"/>
      <c r="I9223" s="81"/>
      <c r="J9223" s="81"/>
      <c r="K9223" s="81"/>
      <c r="L9223" s="81"/>
      <c r="M9223" s="81"/>
      <c r="N9223" s="81"/>
    </row>
    <row r="9224" spans="1:14" ht="14.25" customHeight="1" x14ac:dyDescent="0.25">
      <c r="A9224" s="301"/>
      <c r="B9224" s="502"/>
      <c r="C9224" s="502"/>
      <c r="D9224" s="502"/>
      <c r="E9224" s="502"/>
      <c r="F9224" s="503"/>
      <c r="G9224" s="81"/>
      <c r="H9224" s="81"/>
      <c r="I9224" s="81"/>
      <c r="J9224" s="81"/>
      <c r="K9224" s="81"/>
      <c r="L9224" s="81"/>
      <c r="M9224" s="81"/>
      <c r="N9224" s="81"/>
    </row>
    <row r="9225" spans="1:14" ht="14.25" customHeight="1" x14ac:dyDescent="0.25">
      <c r="A9225" s="301"/>
      <c r="B9225" s="502"/>
      <c r="C9225" s="502"/>
      <c r="D9225" s="502"/>
      <c r="E9225" s="502"/>
      <c r="F9225" s="503"/>
      <c r="G9225" s="81"/>
      <c r="H9225" s="81"/>
      <c r="I9225" s="81"/>
      <c r="J9225" s="81"/>
      <c r="K9225" s="81"/>
      <c r="L9225" s="81"/>
      <c r="M9225" s="81"/>
      <c r="N9225" s="81"/>
    </row>
    <row r="9226" spans="1:14" ht="14.25" customHeight="1" x14ac:dyDescent="0.25">
      <c r="A9226" s="301"/>
      <c r="B9226" s="502"/>
      <c r="C9226" s="502"/>
      <c r="D9226" s="502"/>
      <c r="E9226" s="502"/>
      <c r="F9226" s="503"/>
      <c r="G9226" s="81"/>
      <c r="H9226" s="81"/>
      <c r="I9226" s="81"/>
      <c r="J9226" s="81"/>
      <c r="K9226" s="81"/>
      <c r="L9226" s="81"/>
      <c r="M9226" s="81"/>
      <c r="N9226" s="81"/>
    </row>
    <row r="9227" spans="1:14" ht="14.25" customHeight="1" x14ac:dyDescent="0.25">
      <c r="A9227" s="243"/>
      <c r="B9227" s="243"/>
      <c r="C9227" s="504"/>
      <c r="D9227" s="243"/>
      <c r="E9227" s="243"/>
      <c r="F9227" s="243"/>
      <c r="G9227" s="81"/>
      <c r="H9227" s="81"/>
      <c r="I9227" s="81"/>
      <c r="J9227" s="81"/>
      <c r="K9227" s="81"/>
      <c r="L9227" s="81"/>
      <c r="M9227" s="81"/>
      <c r="N9227" s="81"/>
    </row>
    <row r="9228" spans="1:14" ht="14.25" customHeight="1" x14ac:dyDescent="0.25">
      <c r="A9228" s="243"/>
      <c r="B9228" s="243"/>
      <c r="C9228" s="504"/>
      <c r="D9228" s="243"/>
      <c r="E9228" s="243"/>
      <c r="F9228" s="243"/>
      <c r="G9228" s="81"/>
      <c r="H9228" s="81"/>
      <c r="I9228" s="81"/>
      <c r="J9228" s="81"/>
      <c r="K9228" s="81"/>
      <c r="L9228" s="81"/>
      <c r="M9228" s="81"/>
      <c r="N9228" s="81"/>
    </row>
    <row r="9229" spans="1:14" ht="14.25" customHeight="1" x14ac:dyDescent="0.25">
      <c r="A9229" s="243"/>
      <c r="B9229" s="243"/>
      <c r="C9229" s="504"/>
      <c r="D9229" s="243"/>
      <c r="E9229" s="243"/>
      <c r="F9229" s="243"/>
      <c r="G9229" s="81"/>
      <c r="H9229" s="117"/>
      <c r="I9229" s="81"/>
      <c r="J9229" s="81"/>
      <c r="K9229" s="81"/>
      <c r="L9229" s="81"/>
      <c r="M9229" s="81"/>
      <c r="N9229" s="81"/>
    </row>
    <row r="9230" spans="1:14" ht="14.25" customHeight="1" x14ac:dyDescent="0.25">
      <c r="A9230" s="243"/>
      <c r="B9230" s="243"/>
      <c r="C9230" s="504"/>
      <c r="D9230" s="243"/>
      <c r="E9230" s="243"/>
      <c r="F9230" s="243"/>
      <c r="G9230" s="81"/>
      <c r="H9230" s="81"/>
      <c r="I9230" s="81"/>
      <c r="J9230" s="81"/>
      <c r="K9230" s="81"/>
      <c r="L9230" s="81"/>
      <c r="M9230" s="81"/>
      <c r="N9230" s="81"/>
    </row>
    <row r="9231" spans="1:14" ht="14.25" customHeight="1" x14ac:dyDescent="0.25">
      <c r="A9231" s="301"/>
      <c r="B9231" s="502"/>
      <c r="C9231" s="502"/>
      <c r="D9231" s="502"/>
      <c r="E9231" s="502"/>
      <c r="F9231" s="503"/>
      <c r="G9231" s="81"/>
      <c r="H9231" s="81"/>
      <c r="I9231" s="81"/>
      <c r="J9231" s="81"/>
      <c r="K9231" s="81"/>
      <c r="L9231" s="81"/>
      <c r="M9231" s="81"/>
      <c r="N9231" s="81"/>
    </row>
    <row r="9232" spans="1:14" ht="14.25" customHeight="1" thickBot="1" x14ac:dyDescent="0.3">
      <c r="A9232" s="243"/>
      <c r="B9232" s="243"/>
      <c r="C9232" s="243"/>
      <c r="D9232" s="243"/>
      <c r="E9232" s="243"/>
      <c r="F9232" s="243"/>
      <c r="G9232" s="81"/>
      <c r="H9232" s="143"/>
      <c r="I9232" s="81"/>
      <c r="J9232" s="81"/>
      <c r="K9232" s="81"/>
      <c r="L9232" s="81"/>
      <c r="M9232" s="81"/>
      <c r="N9232" s="81"/>
    </row>
    <row r="9233" spans="1:14" ht="14.25" customHeight="1" x14ac:dyDescent="0.25">
      <c r="A9233" s="258"/>
      <c r="B9233" s="259"/>
      <c r="C9233" s="260"/>
      <c r="D9233" s="261"/>
      <c r="E9233" s="261"/>
      <c r="F9233" s="262"/>
      <c r="G9233" s="81"/>
      <c r="H9233" s="81"/>
      <c r="I9233" s="81"/>
      <c r="J9233" s="81"/>
      <c r="K9233" s="81"/>
      <c r="L9233" s="81"/>
      <c r="M9233" s="81"/>
      <c r="N9233" s="81"/>
    </row>
    <row r="9234" spans="1:14" ht="14.25" customHeight="1" x14ac:dyDescent="0.25">
      <c r="A9234" s="621"/>
      <c r="B9234" s="629"/>
      <c r="C9234" s="629"/>
      <c r="D9234" s="629"/>
      <c r="E9234" s="629"/>
      <c r="F9234" s="630"/>
      <c r="G9234" s="81"/>
      <c r="H9234" s="81"/>
      <c r="I9234" s="81"/>
      <c r="J9234" s="81"/>
      <c r="K9234" s="81"/>
      <c r="L9234" s="81"/>
      <c r="M9234" s="81"/>
      <c r="N9234" s="81"/>
    </row>
    <row r="9235" spans="1:14" ht="14.25" customHeight="1" x14ac:dyDescent="0.25">
      <c r="A9235" s="614" t="s">
        <v>561</v>
      </c>
      <c r="B9235" s="629"/>
      <c r="C9235" s="629"/>
      <c r="D9235" s="629"/>
      <c r="E9235" s="629"/>
      <c r="F9235" s="630"/>
      <c r="G9235" s="81"/>
      <c r="H9235" s="81"/>
      <c r="I9235" s="81"/>
      <c r="J9235" s="81"/>
      <c r="K9235" s="81"/>
      <c r="L9235" s="81"/>
      <c r="M9235" s="81"/>
      <c r="N9235" s="81"/>
    </row>
    <row r="9236" spans="1:14" ht="14.25" customHeight="1" thickBot="1" x14ac:dyDescent="0.3">
      <c r="A9236" s="617"/>
      <c r="B9236" s="631"/>
      <c r="C9236" s="631"/>
      <c r="D9236" s="631"/>
      <c r="E9236" s="631"/>
      <c r="F9236" s="632"/>
      <c r="G9236" s="81"/>
      <c r="H9236" s="81"/>
      <c r="I9236" s="81"/>
      <c r="J9236" s="81"/>
      <c r="K9236" s="81"/>
      <c r="L9236" s="81"/>
      <c r="M9236" s="81"/>
      <c r="N9236" s="81"/>
    </row>
    <row r="9237" spans="1:14" ht="14.25" customHeight="1" x14ac:dyDescent="0.25">
      <c r="A9237" s="192"/>
      <c r="B9237" s="192"/>
      <c r="C9237" s="194"/>
      <c r="D9237" s="194"/>
      <c r="E9237" s="194"/>
      <c r="F9237" s="194"/>
      <c r="G9237" s="81"/>
      <c r="H9237" s="81"/>
      <c r="I9237" s="81"/>
      <c r="J9237" s="81"/>
      <c r="K9237" s="81"/>
      <c r="L9237" s="81"/>
      <c r="M9237" s="81"/>
      <c r="N9237" s="81"/>
    </row>
    <row r="9238" spans="1:14" ht="14.25" customHeight="1" x14ac:dyDescent="0.25">
      <c r="A9238" s="473" t="s">
        <v>47</v>
      </c>
      <c r="B9238" s="620" t="s">
        <v>1021</v>
      </c>
      <c r="C9238" s="629"/>
      <c r="D9238" s="629"/>
      <c r="E9238" s="629"/>
      <c r="F9238" s="629"/>
      <c r="G9238" s="81"/>
      <c r="H9238" s="81"/>
      <c r="I9238" s="81"/>
      <c r="J9238" s="81"/>
      <c r="K9238" s="81"/>
      <c r="L9238" s="81"/>
      <c r="M9238" s="81"/>
      <c r="N9238" s="81"/>
    </row>
    <row r="9239" spans="1:14" ht="14.25" customHeight="1" x14ac:dyDescent="0.25">
      <c r="A9239" s="191"/>
      <c r="B9239" s="191"/>
      <c r="C9239" s="191"/>
      <c r="D9239" s="191"/>
      <c r="E9239" s="191"/>
      <c r="F9239" s="191"/>
      <c r="G9239" s="81"/>
      <c r="H9239" s="81"/>
      <c r="I9239" s="81"/>
      <c r="J9239" s="81"/>
      <c r="K9239" s="81"/>
      <c r="L9239" s="81"/>
      <c r="M9239" s="81"/>
      <c r="N9239" s="81"/>
    </row>
    <row r="9240" spans="1:14" ht="14.25" customHeight="1" x14ac:dyDescent="0.25">
      <c r="A9240" s="192" t="s">
        <v>49</v>
      </c>
      <c r="B9240" s="193" t="s">
        <v>56</v>
      </c>
      <c r="C9240" s="194"/>
      <c r="D9240" s="194"/>
      <c r="E9240" s="194"/>
      <c r="F9240" s="195"/>
      <c r="G9240" s="81"/>
      <c r="H9240" s="81"/>
      <c r="I9240" s="81"/>
      <c r="J9240" s="81"/>
      <c r="K9240" s="81"/>
      <c r="L9240" s="81"/>
      <c r="M9240" s="81"/>
      <c r="N9240" s="81"/>
    </row>
    <row r="9241" spans="1:14" ht="14.25" customHeight="1" x14ac:dyDescent="0.25">
      <c r="A9241" s="192"/>
      <c r="B9241" s="196"/>
      <c r="C9241" s="194"/>
      <c r="D9241" s="194"/>
      <c r="E9241" s="194"/>
      <c r="F9241" s="195"/>
      <c r="G9241" s="81"/>
      <c r="H9241" s="81"/>
      <c r="I9241" s="81"/>
      <c r="J9241" s="81"/>
      <c r="K9241" s="81"/>
      <c r="L9241" s="81"/>
      <c r="M9241" s="81"/>
      <c r="N9241" s="81"/>
    </row>
    <row r="9242" spans="1:14" ht="14.25" customHeight="1" x14ac:dyDescent="0.25">
      <c r="A9242" s="197" t="s">
        <v>562</v>
      </c>
      <c r="B9242" s="198"/>
      <c r="C9242" s="193"/>
      <c r="D9242" s="193"/>
      <c r="E9242" s="193"/>
      <c r="F9242" s="193"/>
      <c r="G9242" s="81"/>
      <c r="H9242" s="81"/>
      <c r="I9242" s="81"/>
      <c r="J9242" s="81"/>
      <c r="K9242" s="81"/>
      <c r="L9242" s="81"/>
      <c r="M9242" s="81"/>
      <c r="N9242" s="81"/>
    </row>
    <row r="9243" spans="1:14" ht="14.25" customHeight="1" x14ac:dyDescent="0.25">
      <c r="A9243" s="199" t="s">
        <v>563</v>
      </c>
      <c r="B9243" s="474" t="s">
        <v>564</v>
      </c>
      <c r="C9243" s="474" t="s">
        <v>565</v>
      </c>
      <c r="D9243" s="474" t="s">
        <v>566</v>
      </c>
      <c r="E9243" s="474" t="s">
        <v>567</v>
      </c>
      <c r="F9243" s="474" t="s">
        <v>568</v>
      </c>
      <c r="G9243" s="81"/>
      <c r="H9243" s="81"/>
      <c r="I9243" s="81"/>
      <c r="J9243" s="81"/>
      <c r="K9243" s="81"/>
      <c r="L9243" s="81"/>
      <c r="M9243" s="81"/>
      <c r="N9243" s="81"/>
    </row>
    <row r="9244" spans="1:14" ht="14.25" customHeight="1" x14ac:dyDescent="0.25">
      <c r="A9244" s="475" t="s">
        <v>662</v>
      </c>
      <c r="B9244" s="476" t="s">
        <v>64</v>
      </c>
      <c r="C9244" s="477">
        <v>373380</v>
      </c>
      <c r="D9244" s="478">
        <v>2.5000000000000001E-2</v>
      </c>
      <c r="E9244" s="479">
        <v>0.05</v>
      </c>
      <c r="F9244" s="477">
        <f t="shared" ref="F9244:F9246" si="457">C9244*(D9244+(D9244*E9244))</f>
        <v>9801.2250000000004</v>
      </c>
      <c r="G9244" s="81"/>
      <c r="H9244" s="81"/>
      <c r="I9244" s="81"/>
      <c r="J9244" s="81"/>
      <c r="K9244" s="81"/>
      <c r="L9244" s="81"/>
      <c r="M9244" s="81"/>
      <c r="N9244" s="81"/>
    </row>
    <row r="9245" spans="1:14" ht="14.25" customHeight="1" x14ac:dyDescent="0.25">
      <c r="A9245" s="475" t="s">
        <v>668</v>
      </c>
      <c r="B9245" s="476" t="s">
        <v>651</v>
      </c>
      <c r="C9245" s="477">
        <v>32000</v>
      </c>
      <c r="D9245" s="478">
        <v>0.15</v>
      </c>
      <c r="E9245" s="479">
        <v>0.05</v>
      </c>
      <c r="F9245" s="477">
        <f t="shared" si="457"/>
        <v>5040</v>
      </c>
      <c r="G9245" s="81"/>
      <c r="H9245" s="81"/>
      <c r="I9245" s="81"/>
      <c r="J9245" s="81"/>
      <c r="K9245" s="81"/>
      <c r="L9245" s="81"/>
      <c r="M9245" s="81"/>
      <c r="N9245" s="81"/>
    </row>
    <row r="9246" spans="1:14" ht="14.25" customHeight="1" x14ac:dyDescent="0.25">
      <c r="A9246" s="475" t="s">
        <v>669</v>
      </c>
      <c r="B9246" s="476" t="s">
        <v>651</v>
      </c>
      <c r="C9246" s="477">
        <v>115000</v>
      </c>
      <c r="D9246" s="478">
        <v>0.35</v>
      </c>
      <c r="E9246" s="479">
        <v>0.05</v>
      </c>
      <c r="F9246" s="477">
        <f t="shared" si="457"/>
        <v>42262.5</v>
      </c>
      <c r="G9246" s="81"/>
      <c r="H9246" s="81"/>
      <c r="I9246" s="81"/>
      <c r="J9246" s="81"/>
      <c r="K9246" s="81"/>
      <c r="L9246" s="81"/>
      <c r="M9246" s="81"/>
      <c r="N9246" s="81"/>
    </row>
    <row r="9247" spans="1:14" ht="14.25" customHeight="1" x14ac:dyDescent="0.25">
      <c r="A9247" s="480"/>
      <c r="B9247" s="476"/>
      <c r="C9247" s="477"/>
      <c r="D9247" s="484"/>
      <c r="E9247" s="479"/>
      <c r="F9247" s="477"/>
      <c r="G9247" s="81"/>
      <c r="H9247" s="81"/>
      <c r="I9247" s="81"/>
      <c r="J9247" s="81"/>
      <c r="K9247" s="81"/>
      <c r="L9247" s="81"/>
      <c r="M9247" s="81"/>
      <c r="N9247" s="81"/>
    </row>
    <row r="9248" spans="1:14" ht="14.25" customHeight="1" x14ac:dyDescent="0.25">
      <c r="A9248" s="475"/>
      <c r="B9248" s="476"/>
      <c r="C9248" s="483"/>
      <c r="D9248" s="484"/>
      <c r="E9248" s="485"/>
      <c r="F9248" s="483"/>
      <c r="G9248" s="81"/>
      <c r="H9248" s="81"/>
      <c r="I9248" s="81"/>
      <c r="J9248" s="81"/>
      <c r="K9248" s="81"/>
      <c r="L9248" s="81"/>
      <c r="M9248" s="81"/>
      <c r="N9248" s="81"/>
    </row>
    <row r="9249" spans="1:14" ht="14.25" customHeight="1" x14ac:dyDescent="0.25">
      <c r="A9249" s="199" t="s">
        <v>548</v>
      </c>
      <c r="B9249" s="199"/>
      <c r="C9249" s="486"/>
      <c r="D9249" s="487"/>
      <c r="E9249" s="488"/>
      <c r="F9249" s="489">
        <f>SUM(F9244:F9248)</f>
        <v>57103.724999999999</v>
      </c>
      <c r="G9249" s="81"/>
      <c r="H9249" s="81"/>
      <c r="I9249" s="81"/>
      <c r="J9249" s="81"/>
      <c r="K9249" s="81"/>
      <c r="L9249" s="81"/>
      <c r="M9249" s="81"/>
      <c r="N9249" s="81"/>
    </row>
    <row r="9250" spans="1:14" ht="14.25" customHeight="1" x14ac:dyDescent="0.25">
      <c r="A9250" s="192"/>
      <c r="B9250" s="192"/>
      <c r="C9250" s="215"/>
      <c r="D9250" s="215"/>
      <c r="E9250" s="216"/>
      <c r="F9250" s="215"/>
      <c r="G9250" s="81"/>
      <c r="H9250" s="81"/>
      <c r="I9250" s="81"/>
      <c r="J9250" s="81"/>
      <c r="K9250" s="81"/>
      <c r="L9250" s="81"/>
      <c r="M9250" s="81"/>
      <c r="N9250" s="81"/>
    </row>
    <row r="9251" spans="1:14" ht="14.25" customHeight="1" x14ac:dyDescent="0.25">
      <c r="A9251" s="198" t="s">
        <v>573</v>
      </c>
      <c r="B9251" s="198"/>
      <c r="C9251" s="193"/>
      <c r="D9251" s="193"/>
      <c r="E9251" s="193"/>
      <c r="F9251" s="193"/>
      <c r="G9251" s="81"/>
      <c r="H9251" s="81"/>
      <c r="I9251" s="81"/>
      <c r="J9251" s="81"/>
      <c r="K9251" s="81"/>
      <c r="L9251" s="81"/>
      <c r="M9251" s="81"/>
      <c r="N9251" s="81"/>
    </row>
    <row r="9252" spans="1:14" ht="14.25" customHeight="1" x14ac:dyDescent="0.25">
      <c r="A9252" s="585" t="s">
        <v>563</v>
      </c>
      <c r="B9252" s="586"/>
      <c r="C9252" s="587"/>
      <c r="D9252" s="474" t="s">
        <v>574</v>
      </c>
      <c r="E9252" s="474" t="s">
        <v>575</v>
      </c>
      <c r="F9252" s="474" t="s">
        <v>568</v>
      </c>
      <c r="G9252" s="81"/>
      <c r="H9252" s="81"/>
      <c r="I9252" s="81"/>
      <c r="J9252" s="81"/>
      <c r="K9252" s="81"/>
      <c r="L9252" s="81"/>
      <c r="M9252" s="81"/>
      <c r="N9252" s="81"/>
    </row>
    <row r="9253" spans="1:14" ht="14.25" customHeight="1" x14ac:dyDescent="0.25">
      <c r="A9253" s="588" t="s">
        <v>577</v>
      </c>
      <c r="B9253" s="586"/>
      <c r="C9253" s="587"/>
      <c r="D9253" s="490"/>
      <c r="E9253" s="484"/>
      <c r="F9253" s="483">
        <f>+F9266*5%</f>
        <v>1939.4436710216321</v>
      </c>
      <c r="G9253" s="81"/>
      <c r="H9253" s="81"/>
      <c r="I9253" s="81"/>
      <c r="J9253" s="81"/>
      <c r="K9253" s="81"/>
      <c r="L9253" s="81"/>
      <c r="M9253" s="81"/>
      <c r="N9253" s="81"/>
    </row>
    <row r="9254" spans="1:14" ht="14.25" customHeight="1" x14ac:dyDescent="0.25">
      <c r="A9254" s="588"/>
      <c r="B9254" s="586"/>
      <c r="C9254" s="587"/>
      <c r="D9254" s="505"/>
      <c r="E9254" s="484"/>
      <c r="F9254" s="483"/>
      <c r="G9254" s="81"/>
      <c r="H9254" s="81"/>
      <c r="I9254" s="81"/>
      <c r="J9254" s="81"/>
      <c r="K9254" s="81"/>
      <c r="L9254" s="81"/>
      <c r="M9254" s="81"/>
      <c r="N9254" s="81"/>
    </row>
    <row r="9255" spans="1:14" ht="14.25" customHeight="1" x14ac:dyDescent="0.25">
      <c r="A9255" s="588"/>
      <c r="B9255" s="586"/>
      <c r="C9255" s="587"/>
      <c r="D9255" s="505"/>
      <c r="E9255" s="484"/>
      <c r="F9255" s="483"/>
      <c r="G9255" s="81"/>
      <c r="H9255" s="81"/>
      <c r="I9255" s="81"/>
      <c r="J9255" s="81"/>
      <c r="K9255" s="81"/>
      <c r="L9255" s="81"/>
      <c r="M9255" s="81"/>
      <c r="N9255" s="81"/>
    </row>
    <row r="9256" spans="1:14" ht="14.25" customHeight="1" x14ac:dyDescent="0.25">
      <c r="A9256" s="588"/>
      <c r="B9256" s="586"/>
      <c r="C9256" s="587"/>
      <c r="D9256" s="505"/>
      <c r="E9256" s="484"/>
      <c r="F9256" s="483"/>
      <c r="G9256" s="81"/>
      <c r="H9256" s="81"/>
      <c r="I9256" s="81"/>
      <c r="J9256" s="81"/>
      <c r="K9256" s="81"/>
      <c r="L9256" s="81"/>
      <c r="M9256" s="81"/>
      <c r="N9256" s="81"/>
    </row>
    <row r="9257" spans="1:14" ht="14.25" customHeight="1" x14ac:dyDescent="0.25">
      <c r="A9257" s="589"/>
      <c r="B9257" s="586"/>
      <c r="C9257" s="587"/>
      <c r="D9257" s="491"/>
      <c r="E9257" s="484"/>
      <c r="F9257" s="483"/>
      <c r="G9257" s="81"/>
      <c r="H9257" s="81"/>
      <c r="I9257" s="81"/>
      <c r="J9257" s="81"/>
      <c r="K9257" s="81"/>
      <c r="L9257" s="81"/>
      <c r="M9257" s="81"/>
      <c r="N9257" s="81"/>
    </row>
    <row r="9258" spans="1:14" ht="14.25" customHeight="1" x14ac:dyDescent="0.25">
      <c r="A9258" s="585" t="s">
        <v>548</v>
      </c>
      <c r="B9258" s="586"/>
      <c r="C9258" s="587"/>
      <c r="D9258" s="487"/>
      <c r="E9258" s="487"/>
      <c r="F9258" s="489">
        <f>SUM(F9253:F9257)</f>
        <v>1939.4436710216321</v>
      </c>
      <c r="G9258" s="81"/>
      <c r="H9258" s="81"/>
      <c r="I9258" s="81"/>
      <c r="J9258" s="81"/>
      <c r="K9258" s="81"/>
      <c r="L9258" s="81"/>
      <c r="M9258" s="81"/>
      <c r="N9258" s="81"/>
    </row>
    <row r="9259" spans="1:14" ht="14.25" customHeight="1" x14ac:dyDescent="0.25">
      <c r="A9259" s="192"/>
      <c r="B9259" s="192"/>
      <c r="C9259" s="194"/>
      <c r="D9259" s="215"/>
      <c r="E9259" s="215"/>
      <c r="F9259" s="215"/>
      <c r="G9259" s="81"/>
      <c r="H9259" s="81"/>
      <c r="I9259" s="81"/>
      <c r="J9259" s="81"/>
      <c r="K9259" s="81"/>
      <c r="L9259" s="81"/>
      <c r="M9259" s="81"/>
      <c r="N9259" s="81"/>
    </row>
    <row r="9260" spans="1:14" ht="14.25" customHeight="1" x14ac:dyDescent="0.25">
      <c r="A9260" s="198" t="s">
        <v>578</v>
      </c>
      <c r="B9260" s="198"/>
      <c r="C9260" s="193"/>
      <c r="D9260" s="223"/>
      <c r="E9260" s="223"/>
      <c r="F9260" s="223"/>
      <c r="G9260" s="81"/>
      <c r="H9260" s="81"/>
      <c r="I9260" s="81"/>
      <c r="J9260" s="81"/>
      <c r="K9260" s="81"/>
      <c r="L9260" s="81"/>
      <c r="M9260" s="81"/>
      <c r="N9260" s="81"/>
    </row>
    <row r="9261" spans="1:14" ht="38.25" x14ac:dyDescent="0.25">
      <c r="A9261" s="224" t="s">
        <v>563</v>
      </c>
      <c r="B9261" s="492" t="s">
        <v>579</v>
      </c>
      <c r="C9261" s="492" t="s">
        <v>580</v>
      </c>
      <c r="D9261" s="493" t="s">
        <v>581</v>
      </c>
      <c r="E9261" s="493" t="s">
        <v>575</v>
      </c>
      <c r="F9261" s="493" t="s">
        <v>568</v>
      </c>
      <c r="G9261" s="81"/>
      <c r="H9261" s="81"/>
      <c r="I9261" s="81"/>
      <c r="J9261" s="81"/>
      <c r="K9261" s="81"/>
      <c r="L9261" s="81"/>
      <c r="M9261" s="81"/>
      <c r="N9261" s="81"/>
    </row>
    <row r="9262" spans="1:14" ht="14.25" customHeight="1" x14ac:dyDescent="0.25">
      <c r="A9262" s="494" t="s">
        <v>593</v>
      </c>
      <c r="B9262" s="495">
        <v>1</v>
      </c>
      <c r="C9262" s="477">
        <v>32688</v>
      </c>
      <c r="D9262" s="477">
        <f t="shared" ref="D9262:D9263" si="458">+C9262*1.7</f>
        <v>55569.599999999999</v>
      </c>
      <c r="E9262" s="484">
        <v>3.7351999999999999</v>
      </c>
      <c r="F9262" s="483">
        <f t="shared" ref="F9262:F9263" si="459">+D9262/E9262</f>
        <v>14877.275647890341</v>
      </c>
      <c r="G9262" s="81"/>
      <c r="H9262" s="81"/>
      <c r="I9262" s="81"/>
      <c r="J9262" s="81"/>
      <c r="K9262" s="81"/>
      <c r="L9262" s="81"/>
      <c r="M9262" s="81"/>
      <c r="N9262" s="81"/>
    </row>
    <row r="9263" spans="1:14" ht="14.25" customHeight="1" x14ac:dyDescent="0.25">
      <c r="A9263" s="494" t="s">
        <v>594</v>
      </c>
      <c r="B9263" s="495">
        <v>1</v>
      </c>
      <c r="C9263" s="477">
        <v>52538</v>
      </c>
      <c r="D9263" s="477">
        <f t="shared" si="458"/>
        <v>89314.599999999991</v>
      </c>
      <c r="E9263" s="484">
        <f>E9262</f>
        <v>3.7351999999999999</v>
      </c>
      <c r="F9263" s="483">
        <f t="shared" si="459"/>
        <v>23911.5977725423</v>
      </c>
      <c r="G9263" s="81"/>
      <c r="H9263" s="81"/>
      <c r="I9263" s="81"/>
      <c r="J9263" s="81"/>
      <c r="K9263" s="81"/>
      <c r="L9263" s="81"/>
      <c r="M9263" s="81"/>
      <c r="N9263" s="81"/>
    </row>
    <row r="9264" spans="1:14" ht="14.25" customHeight="1" x14ac:dyDescent="0.25">
      <c r="A9264" s="494"/>
      <c r="B9264" s="495"/>
      <c r="C9264" s="477"/>
      <c r="D9264" s="477"/>
      <c r="E9264" s="484"/>
      <c r="F9264" s="483"/>
      <c r="G9264" s="81"/>
      <c r="H9264" s="81"/>
      <c r="I9264" s="81"/>
      <c r="J9264" s="81"/>
      <c r="K9264" s="81"/>
      <c r="L9264" s="81"/>
      <c r="M9264" s="81"/>
      <c r="N9264" s="81"/>
    </row>
    <row r="9265" spans="1:14" ht="14.25" customHeight="1" x14ac:dyDescent="0.25">
      <c r="A9265" s="494"/>
      <c r="B9265" s="495"/>
      <c r="C9265" s="477"/>
      <c r="D9265" s="477"/>
      <c r="E9265" s="496"/>
      <c r="F9265" s="483"/>
      <c r="G9265" s="81"/>
      <c r="H9265" s="81"/>
      <c r="I9265" s="81"/>
      <c r="J9265" s="81"/>
      <c r="K9265" s="81"/>
      <c r="L9265" s="81"/>
      <c r="M9265" s="81"/>
      <c r="N9265" s="81"/>
    </row>
    <row r="9266" spans="1:14" ht="14.25" customHeight="1" x14ac:dyDescent="0.25">
      <c r="A9266" s="199" t="s">
        <v>548</v>
      </c>
      <c r="B9266" s="497"/>
      <c r="C9266" s="487"/>
      <c r="D9266" s="487"/>
      <c r="E9266" s="487"/>
      <c r="F9266" s="489">
        <f>SUM(F9262:F9265)</f>
        <v>38788.873420432639</v>
      </c>
      <c r="G9266" s="81"/>
      <c r="H9266" s="81"/>
      <c r="I9266" s="81"/>
      <c r="J9266" s="81"/>
      <c r="K9266" s="81"/>
      <c r="L9266" s="81"/>
      <c r="M9266" s="81"/>
      <c r="N9266" s="81"/>
    </row>
    <row r="9267" spans="1:14" ht="14.25" customHeight="1" x14ac:dyDescent="0.25">
      <c r="A9267" s="198"/>
      <c r="B9267" s="231"/>
      <c r="C9267" s="223"/>
      <c r="D9267" s="223"/>
      <c r="E9267" s="223"/>
      <c r="F9267" s="223"/>
      <c r="G9267" s="81"/>
      <c r="H9267" s="81"/>
      <c r="I9267" s="81"/>
      <c r="J9267" s="81"/>
      <c r="K9267" s="81"/>
      <c r="L9267" s="81"/>
      <c r="M9267" s="81"/>
      <c r="N9267" s="81"/>
    </row>
    <row r="9268" spans="1:14" ht="14.25" customHeight="1" x14ac:dyDescent="0.25">
      <c r="A9268" s="197" t="s">
        <v>583</v>
      </c>
      <c r="B9268" s="198"/>
      <c r="C9268" s="193"/>
      <c r="D9268" s="193"/>
      <c r="E9268" s="193" t="s">
        <v>584</v>
      </c>
      <c r="F9268" s="193"/>
      <c r="G9268" s="81"/>
      <c r="H9268" s="81"/>
      <c r="I9268" s="81"/>
      <c r="J9268" s="81"/>
      <c r="K9268" s="81"/>
      <c r="L9268" s="81"/>
      <c r="M9268" s="81"/>
      <c r="N9268" s="81"/>
    </row>
    <row r="9269" spans="1:14" ht="25.5" x14ac:dyDescent="0.25">
      <c r="A9269" s="199" t="s">
        <v>563</v>
      </c>
      <c r="B9269" s="474" t="s">
        <v>564</v>
      </c>
      <c r="C9269" s="474" t="s">
        <v>585</v>
      </c>
      <c r="D9269" s="474" t="s">
        <v>586</v>
      </c>
      <c r="E9269" s="492" t="s">
        <v>587</v>
      </c>
      <c r="F9269" s="474" t="s">
        <v>568</v>
      </c>
      <c r="G9269" s="81"/>
      <c r="H9269" s="81"/>
      <c r="I9269" s="81"/>
      <c r="J9269" s="81"/>
      <c r="K9269" s="81"/>
      <c r="L9269" s="81"/>
      <c r="M9269" s="81"/>
      <c r="N9269" s="81"/>
    </row>
    <row r="9270" spans="1:14" ht="14.25" customHeight="1" x14ac:dyDescent="0.25">
      <c r="A9270" s="480"/>
      <c r="B9270" s="476"/>
      <c r="C9270" s="477"/>
      <c r="D9270" s="498"/>
      <c r="E9270" s="484"/>
      <c r="F9270" s="486">
        <f>+C9270*D9270*E9270</f>
        <v>0</v>
      </c>
      <c r="G9270" s="81"/>
      <c r="H9270" s="81"/>
      <c r="I9270" s="81"/>
      <c r="J9270" s="81"/>
      <c r="K9270" s="81"/>
      <c r="L9270" s="81"/>
      <c r="M9270" s="81"/>
      <c r="N9270" s="81"/>
    </row>
    <row r="9271" spans="1:14" ht="14.25" customHeight="1" x14ac:dyDescent="0.25">
      <c r="A9271" s="480"/>
      <c r="B9271" s="476"/>
      <c r="C9271" s="484"/>
      <c r="D9271" s="484"/>
      <c r="E9271" s="485"/>
      <c r="F9271" s="486"/>
      <c r="G9271" s="81"/>
      <c r="H9271" s="81"/>
      <c r="I9271" s="81"/>
      <c r="J9271" s="81"/>
      <c r="K9271" s="81"/>
      <c r="L9271" s="81"/>
      <c r="M9271" s="81"/>
      <c r="N9271" s="81"/>
    </row>
    <row r="9272" spans="1:14" ht="14.25" customHeight="1" x14ac:dyDescent="0.25">
      <c r="A9272" s="199" t="s">
        <v>548</v>
      </c>
      <c r="B9272" s="474"/>
      <c r="C9272" s="487"/>
      <c r="D9272" s="487"/>
      <c r="E9272" s="488"/>
      <c r="F9272" s="489">
        <f>SUM(F9270:F9271)</f>
        <v>0</v>
      </c>
      <c r="G9272" s="81"/>
      <c r="H9272" s="81"/>
      <c r="I9272" s="81"/>
      <c r="J9272" s="81"/>
      <c r="K9272" s="81"/>
      <c r="L9272" s="81"/>
      <c r="M9272" s="81"/>
      <c r="N9272" s="81"/>
    </row>
    <row r="9273" spans="1:14" ht="14.25" customHeight="1" x14ac:dyDescent="0.25">
      <c r="A9273" s="192"/>
      <c r="B9273" s="194"/>
      <c r="C9273" s="215"/>
      <c r="D9273" s="215"/>
      <c r="E9273" s="216"/>
      <c r="F9273" s="215"/>
      <c r="G9273" s="81"/>
      <c r="H9273" s="81"/>
      <c r="I9273" s="81"/>
      <c r="J9273" s="81"/>
      <c r="K9273" s="81"/>
      <c r="L9273" s="81"/>
      <c r="M9273" s="81"/>
      <c r="N9273" s="81"/>
    </row>
    <row r="9274" spans="1:14" ht="14.25" customHeight="1" x14ac:dyDescent="0.25">
      <c r="A9274" s="192"/>
      <c r="B9274" s="194"/>
      <c r="C9274" s="215"/>
      <c r="D9274" s="215"/>
      <c r="E9274" s="216"/>
      <c r="F9274" s="215"/>
      <c r="G9274" s="81"/>
      <c r="H9274" s="81"/>
      <c r="I9274" s="81"/>
      <c r="J9274" s="81"/>
      <c r="K9274" s="81"/>
      <c r="L9274" s="81"/>
      <c r="M9274" s="81"/>
      <c r="N9274" s="81"/>
    </row>
    <row r="9275" spans="1:14" ht="14.25" customHeight="1" x14ac:dyDescent="0.25">
      <c r="A9275" s="590" t="s">
        <v>588</v>
      </c>
      <c r="B9275" s="586"/>
      <c r="C9275" s="586"/>
      <c r="D9275" s="586"/>
      <c r="E9275" s="587"/>
      <c r="F9275" s="499">
        <f>ROUND(F9249+F9258+F9266+F9272,0)</f>
        <v>97832</v>
      </c>
      <c r="G9275" s="81"/>
      <c r="H9275" s="81"/>
      <c r="I9275" s="81"/>
      <c r="J9275" s="81"/>
      <c r="K9275" s="81"/>
      <c r="L9275" s="81"/>
      <c r="M9275" s="81"/>
      <c r="N9275" s="81"/>
    </row>
    <row r="9276" spans="1:14" ht="14.25" customHeight="1" x14ac:dyDescent="0.25">
      <c r="A9276" s="590" t="s">
        <v>589</v>
      </c>
      <c r="B9276" s="586"/>
      <c r="C9276" s="586"/>
      <c r="D9276" s="586"/>
      <c r="E9276" s="587"/>
      <c r="F9276" s="500"/>
      <c r="G9276" s="81"/>
      <c r="H9276" s="81"/>
      <c r="I9276" s="81"/>
      <c r="J9276" s="81"/>
      <c r="K9276" s="81"/>
      <c r="L9276" s="81"/>
      <c r="M9276" s="81"/>
      <c r="N9276" s="81"/>
    </row>
    <row r="9277" spans="1:14" ht="14.25" customHeight="1" x14ac:dyDescent="0.25">
      <c r="A9277" s="590" t="s">
        <v>556</v>
      </c>
      <c r="B9277" s="586"/>
      <c r="C9277" s="586"/>
      <c r="D9277" s="586"/>
      <c r="E9277" s="587"/>
      <c r="F9277" s="501"/>
      <c r="G9277" s="81"/>
      <c r="H9277" s="81"/>
      <c r="I9277" s="81"/>
      <c r="J9277" s="81"/>
      <c r="K9277" s="81"/>
      <c r="L9277" s="81"/>
      <c r="M9277" s="81"/>
      <c r="N9277" s="81"/>
    </row>
    <row r="9278" spans="1:14" ht="14.25" customHeight="1" x14ac:dyDescent="0.25">
      <c r="A9278" s="301"/>
      <c r="B9278" s="502"/>
      <c r="C9278" s="502"/>
      <c r="D9278" s="502"/>
      <c r="E9278" s="502"/>
      <c r="F9278" s="503"/>
      <c r="G9278" s="81"/>
      <c r="H9278" s="81"/>
      <c r="I9278" s="81"/>
      <c r="J9278" s="81"/>
      <c r="K9278" s="81"/>
      <c r="L9278" s="81"/>
      <c r="M9278" s="81"/>
      <c r="N9278" s="81"/>
    </row>
    <row r="9279" spans="1:14" ht="14.25" customHeight="1" x14ac:dyDescent="0.25">
      <c r="A9279" s="301"/>
      <c r="B9279" s="502"/>
      <c r="C9279" s="502"/>
      <c r="D9279" s="502"/>
      <c r="E9279" s="502"/>
      <c r="F9279" s="503"/>
      <c r="G9279" s="81"/>
      <c r="H9279" s="81"/>
      <c r="I9279" s="81"/>
      <c r="J9279" s="81"/>
      <c r="K9279" s="81"/>
      <c r="L9279" s="81"/>
      <c r="M9279" s="81"/>
      <c r="N9279" s="81"/>
    </row>
    <row r="9280" spans="1:14" ht="14.25" customHeight="1" x14ac:dyDescent="0.25">
      <c r="A9280" s="301"/>
      <c r="B9280" s="502"/>
      <c r="C9280" s="502"/>
      <c r="D9280" s="502"/>
      <c r="E9280" s="502"/>
      <c r="F9280" s="503"/>
      <c r="G9280" s="81"/>
      <c r="H9280" s="81"/>
      <c r="I9280" s="81"/>
      <c r="J9280" s="81"/>
      <c r="K9280" s="81"/>
      <c r="L9280" s="81"/>
      <c r="M9280" s="81"/>
      <c r="N9280" s="81"/>
    </row>
    <row r="9281" spans="1:14" ht="14.25" customHeight="1" x14ac:dyDescent="0.25">
      <c r="A9281" s="243"/>
      <c r="B9281" s="243"/>
      <c r="C9281" s="504"/>
      <c r="D9281" s="243"/>
      <c r="E9281" s="243"/>
      <c r="F9281" s="243"/>
      <c r="G9281" s="81"/>
      <c r="H9281" s="81"/>
      <c r="I9281" s="81"/>
      <c r="J9281" s="81"/>
      <c r="K9281" s="81"/>
      <c r="L9281" s="81"/>
      <c r="M9281" s="81"/>
      <c r="N9281" s="81"/>
    </row>
    <row r="9282" spans="1:14" ht="14.25" customHeight="1" x14ac:dyDescent="0.25">
      <c r="A9282" s="243"/>
      <c r="B9282" s="243"/>
      <c r="C9282" s="504"/>
      <c r="D9282" s="243"/>
      <c r="E9282" s="243"/>
      <c r="F9282" s="243"/>
      <c r="G9282" s="81"/>
      <c r="H9282" s="81"/>
      <c r="I9282" s="81"/>
      <c r="J9282" s="81"/>
      <c r="K9282" s="81"/>
      <c r="L9282" s="81"/>
      <c r="M9282" s="81"/>
      <c r="N9282" s="81"/>
    </row>
    <row r="9283" spans="1:14" ht="14.25" customHeight="1" x14ac:dyDescent="0.25">
      <c r="A9283" s="243"/>
      <c r="B9283" s="243"/>
      <c r="C9283" s="504"/>
      <c r="D9283" s="243"/>
      <c r="E9283" s="243"/>
      <c r="F9283" s="243"/>
      <c r="G9283" s="81"/>
      <c r="H9283" s="81"/>
      <c r="I9283" s="81"/>
      <c r="J9283" s="81"/>
      <c r="K9283" s="81"/>
      <c r="L9283" s="81"/>
      <c r="M9283" s="81"/>
      <c r="N9283" s="81"/>
    </row>
    <row r="9284" spans="1:14" ht="14.25" customHeight="1" x14ac:dyDescent="0.25">
      <c r="A9284" s="243"/>
      <c r="B9284" s="243"/>
      <c r="C9284" s="504"/>
      <c r="D9284" s="243"/>
      <c r="E9284" s="243"/>
      <c r="F9284" s="243"/>
      <c r="G9284" s="81"/>
      <c r="H9284" s="81"/>
      <c r="I9284" s="81"/>
      <c r="J9284" s="81"/>
      <c r="K9284" s="81"/>
      <c r="L9284" s="81"/>
      <c r="M9284" s="81"/>
      <c r="N9284" s="81"/>
    </row>
    <row r="9285" spans="1:14" ht="14.25" customHeight="1" x14ac:dyDescent="0.25">
      <c r="A9285" s="301"/>
      <c r="B9285" s="502"/>
      <c r="C9285" s="502"/>
      <c r="D9285" s="502"/>
      <c r="E9285" s="502"/>
      <c r="F9285" s="503"/>
      <c r="G9285" s="81"/>
      <c r="H9285" s="81"/>
      <c r="I9285" s="81"/>
      <c r="J9285" s="81"/>
      <c r="K9285" s="81"/>
      <c r="L9285" s="81"/>
      <c r="M9285" s="81"/>
      <c r="N9285" s="81"/>
    </row>
    <row r="9286" spans="1:14" ht="14.25" customHeight="1" thickBot="1" x14ac:dyDescent="0.3">
      <c r="A9286" s="243"/>
      <c r="B9286" s="243"/>
      <c r="C9286" s="243"/>
      <c r="D9286" s="243"/>
      <c r="E9286" s="243"/>
      <c r="F9286" s="243"/>
      <c r="G9286" s="81"/>
      <c r="H9286" s="81"/>
      <c r="I9286" s="81"/>
      <c r="J9286" s="81"/>
      <c r="K9286" s="81"/>
      <c r="L9286" s="81"/>
      <c r="M9286" s="81"/>
      <c r="N9286" s="81"/>
    </row>
    <row r="9287" spans="1:14" ht="14.25" customHeight="1" x14ac:dyDescent="0.25">
      <c r="A9287" s="258"/>
      <c r="B9287" s="259"/>
      <c r="C9287" s="260"/>
      <c r="D9287" s="261"/>
      <c r="E9287" s="261"/>
      <c r="F9287" s="262"/>
      <c r="G9287" s="81"/>
      <c r="H9287" s="81"/>
      <c r="I9287" s="81"/>
      <c r="J9287" s="81"/>
      <c r="K9287" s="81"/>
      <c r="L9287" s="81"/>
      <c r="M9287" s="81"/>
      <c r="N9287" s="81"/>
    </row>
    <row r="9288" spans="1:14" ht="14.25" customHeight="1" x14ac:dyDescent="0.25">
      <c r="A9288" s="621"/>
      <c r="B9288" s="629"/>
      <c r="C9288" s="629"/>
      <c r="D9288" s="629"/>
      <c r="E9288" s="629"/>
      <c r="F9288" s="630"/>
      <c r="G9288" s="81"/>
      <c r="H9288" s="81"/>
      <c r="I9288" s="81"/>
      <c r="J9288" s="81"/>
      <c r="K9288" s="81"/>
      <c r="L9288" s="81"/>
      <c r="M9288" s="81"/>
      <c r="N9288" s="81"/>
    </row>
    <row r="9289" spans="1:14" ht="14.25" customHeight="1" x14ac:dyDescent="0.25">
      <c r="A9289" s="614" t="s">
        <v>561</v>
      </c>
      <c r="B9289" s="629"/>
      <c r="C9289" s="629"/>
      <c r="D9289" s="629"/>
      <c r="E9289" s="629"/>
      <c r="F9289" s="630"/>
      <c r="G9289" s="81"/>
      <c r="H9289" s="81"/>
      <c r="I9289" s="81"/>
      <c r="J9289" s="81"/>
      <c r="K9289" s="81"/>
      <c r="L9289" s="81"/>
      <c r="M9289" s="81"/>
      <c r="N9289" s="81"/>
    </row>
    <row r="9290" spans="1:14" ht="14.25" customHeight="1" thickBot="1" x14ac:dyDescent="0.3">
      <c r="A9290" s="617"/>
      <c r="B9290" s="631"/>
      <c r="C9290" s="631"/>
      <c r="D9290" s="631"/>
      <c r="E9290" s="631"/>
      <c r="F9290" s="632"/>
      <c r="G9290" s="81"/>
      <c r="H9290" s="117"/>
      <c r="I9290" s="81"/>
      <c r="J9290" s="81"/>
      <c r="K9290" s="81"/>
      <c r="L9290" s="81"/>
      <c r="M9290" s="81"/>
      <c r="N9290" s="81"/>
    </row>
    <row r="9291" spans="1:14" ht="14.25" customHeight="1" x14ac:dyDescent="0.25">
      <c r="A9291" s="192"/>
      <c r="B9291" s="192"/>
      <c r="C9291" s="194"/>
      <c r="D9291" s="194"/>
      <c r="E9291" s="194"/>
      <c r="F9291" s="194"/>
      <c r="G9291" s="81"/>
      <c r="H9291" s="81"/>
      <c r="I9291" s="81"/>
      <c r="J9291" s="81"/>
      <c r="K9291" s="81"/>
      <c r="L9291" s="81"/>
      <c r="M9291" s="81"/>
      <c r="N9291" s="81"/>
    </row>
    <row r="9292" spans="1:14" ht="14.25" customHeight="1" x14ac:dyDescent="0.25">
      <c r="A9292" s="473" t="s">
        <v>47</v>
      </c>
      <c r="B9292" s="620" t="s">
        <v>137</v>
      </c>
      <c r="C9292" s="629"/>
      <c r="D9292" s="629"/>
      <c r="E9292" s="629"/>
      <c r="F9292" s="629"/>
      <c r="G9292" s="81"/>
      <c r="H9292" s="81"/>
      <c r="I9292" s="81"/>
      <c r="J9292" s="81"/>
      <c r="K9292" s="81"/>
      <c r="L9292" s="81"/>
      <c r="M9292" s="81"/>
      <c r="N9292" s="81"/>
    </row>
    <row r="9293" spans="1:14" ht="14.25" customHeight="1" x14ac:dyDescent="0.25">
      <c r="A9293" s="191"/>
      <c r="B9293" s="191"/>
      <c r="C9293" s="191"/>
      <c r="D9293" s="191"/>
      <c r="E9293" s="191"/>
      <c r="F9293" s="191"/>
      <c r="G9293" s="81"/>
      <c r="H9293" s="81"/>
      <c r="I9293" s="81"/>
      <c r="J9293" s="81"/>
      <c r="K9293" s="81"/>
      <c r="L9293" s="81"/>
      <c r="M9293" s="81"/>
      <c r="N9293" s="81"/>
    </row>
    <row r="9294" spans="1:14" ht="14.25" customHeight="1" x14ac:dyDescent="0.25">
      <c r="A9294" s="192" t="s">
        <v>49</v>
      </c>
      <c r="B9294" s="193" t="s">
        <v>56</v>
      </c>
      <c r="C9294" s="194"/>
      <c r="D9294" s="194"/>
      <c r="E9294" s="194"/>
      <c r="F9294" s="195"/>
      <c r="G9294" s="81"/>
      <c r="H9294" s="81"/>
      <c r="I9294" s="81"/>
      <c r="J9294" s="81"/>
      <c r="K9294" s="81"/>
      <c r="L9294" s="81"/>
      <c r="M9294" s="81"/>
      <c r="N9294" s="81"/>
    </row>
    <row r="9295" spans="1:14" ht="14.25" customHeight="1" x14ac:dyDescent="0.25">
      <c r="A9295" s="192"/>
      <c r="B9295" s="196"/>
      <c r="C9295" s="194"/>
      <c r="D9295" s="194"/>
      <c r="E9295" s="194"/>
      <c r="F9295" s="195"/>
      <c r="G9295" s="81"/>
      <c r="H9295" s="81"/>
      <c r="I9295" s="81"/>
      <c r="J9295" s="81"/>
      <c r="K9295" s="81"/>
      <c r="L9295" s="81"/>
      <c r="M9295" s="81"/>
      <c r="N9295" s="81"/>
    </row>
    <row r="9296" spans="1:14" ht="14.25" customHeight="1" x14ac:dyDescent="0.25">
      <c r="A9296" s="197" t="s">
        <v>562</v>
      </c>
      <c r="B9296" s="198"/>
      <c r="C9296" s="193"/>
      <c r="D9296" s="193"/>
      <c r="E9296" s="193"/>
      <c r="F9296" s="193"/>
      <c r="G9296" s="81"/>
      <c r="H9296" s="81"/>
      <c r="I9296" s="81"/>
      <c r="J9296" s="81"/>
      <c r="K9296" s="81"/>
      <c r="L9296" s="81"/>
      <c r="M9296" s="81"/>
      <c r="N9296" s="81"/>
    </row>
    <row r="9297" spans="1:14" ht="14.25" customHeight="1" x14ac:dyDescent="0.25">
      <c r="A9297" s="199" t="s">
        <v>563</v>
      </c>
      <c r="B9297" s="474" t="s">
        <v>564</v>
      </c>
      <c r="C9297" s="474" t="s">
        <v>565</v>
      </c>
      <c r="D9297" s="474" t="s">
        <v>566</v>
      </c>
      <c r="E9297" s="474" t="s">
        <v>567</v>
      </c>
      <c r="F9297" s="474" t="s">
        <v>568</v>
      </c>
      <c r="G9297" s="81"/>
      <c r="H9297" s="81"/>
      <c r="I9297" s="81"/>
      <c r="J9297" s="81"/>
      <c r="K9297" s="81"/>
      <c r="L9297" s="81"/>
      <c r="M9297" s="81"/>
      <c r="N9297" s="81"/>
    </row>
    <row r="9298" spans="1:14" ht="14.25" customHeight="1" x14ac:dyDescent="0.25">
      <c r="A9298" s="475" t="s">
        <v>662</v>
      </c>
      <c r="B9298" s="476" t="s">
        <v>64</v>
      </c>
      <c r="C9298" s="477">
        <v>373380</v>
      </c>
      <c r="D9298" s="478">
        <v>0.02</v>
      </c>
      <c r="E9298" s="479">
        <v>0.05</v>
      </c>
      <c r="F9298" s="477">
        <f t="shared" ref="F9298:F9300" si="460">C9298*(D9298+(D9298*E9298))</f>
        <v>7840.9800000000005</v>
      </c>
      <c r="G9298" s="81"/>
      <c r="H9298" s="81"/>
      <c r="I9298" s="81"/>
      <c r="J9298" s="81"/>
      <c r="K9298" s="81"/>
      <c r="L9298" s="81"/>
      <c r="M9298" s="81"/>
      <c r="N9298" s="81"/>
    </row>
    <row r="9299" spans="1:14" ht="14.25" customHeight="1" x14ac:dyDescent="0.25">
      <c r="A9299" s="475" t="s">
        <v>668</v>
      </c>
      <c r="B9299" s="476" t="s">
        <v>651</v>
      </c>
      <c r="C9299" s="477">
        <v>32000</v>
      </c>
      <c r="D9299" s="478">
        <v>0.11</v>
      </c>
      <c r="E9299" s="479">
        <v>0.05</v>
      </c>
      <c r="F9299" s="477">
        <f t="shared" si="460"/>
        <v>3696</v>
      </c>
      <c r="G9299" s="81"/>
      <c r="H9299" s="81"/>
      <c r="I9299" s="81"/>
      <c r="J9299" s="81"/>
      <c r="K9299" s="81"/>
      <c r="L9299" s="81"/>
      <c r="M9299" s="81"/>
      <c r="N9299" s="81"/>
    </row>
    <row r="9300" spans="1:14" ht="14.25" customHeight="1" x14ac:dyDescent="0.25">
      <c r="A9300" s="475" t="s">
        <v>669</v>
      </c>
      <c r="B9300" s="476" t="s">
        <v>651</v>
      </c>
      <c r="C9300" s="477">
        <v>115000</v>
      </c>
      <c r="D9300" s="478">
        <v>0.14000000000000001</v>
      </c>
      <c r="E9300" s="479">
        <v>0.05</v>
      </c>
      <c r="F9300" s="477">
        <f t="shared" si="460"/>
        <v>16905.000000000004</v>
      </c>
      <c r="G9300" s="81"/>
      <c r="H9300" s="81"/>
      <c r="I9300" s="81"/>
      <c r="J9300" s="81"/>
      <c r="K9300" s="81"/>
      <c r="L9300" s="81"/>
      <c r="M9300" s="81"/>
      <c r="N9300" s="81"/>
    </row>
    <row r="9301" spans="1:14" ht="14.25" customHeight="1" x14ac:dyDescent="0.25">
      <c r="A9301" s="480"/>
      <c r="B9301" s="476"/>
      <c r="C9301" s="477"/>
      <c r="D9301" s="484"/>
      <c r="E9301" s="479"/>
      <c r="F9301" s="477"/>
      <c r="G9301" s="81"/>
      <c r="H9301" s="81"/>
      <c r="I9301" s="81"/>
      <c r="J9301" s="81"/>
      <c r="K9301" s="81"/>
      <c r="L9301" s="81"/>
      <c r="M9301" s="81"/>
      <c r="N9301" s="81"/>
    </row>
    <row r="9302" spans="1:14" ht="14.25" customHeight="1" x14ac:dyDescent="0.25">
      <c r="A9302" s="475"/>
      <c r="B9302" s="476"/>
      <c r="C9302" s="483"/>
      <c r="D9302" s="484"/>
      <c r="E9302" s="485"/>
      <c r="F9302" s="483"/>
      <c r="G9302" s="81"/>
      <c r="H9302" s="81"/>
      <c r="I9302" s="81"/>
      <c r="J9302" s="81"/>
      <c r="K9302" s="81"/>
      <c r="L9302" s="81"/>
      <c r="M9302" s="81"/>
      <c r="N9302" s="81"/>
    </row>
    <row r="9303" spans="1:14" ht="14.25" customHeight="1" x14ac:dyDescent="0.25">
      <c r="A9303" s="199" t="s">
        <v>548</v>
      </c>
      <c r="B9303" s="199"/>
      <c r="C9303" s="486"/>
      <c r="D9303" s="487"/>
      <c r="E9303" s="488"/>
      <c r="F9303" s="489">
        <f>SUM(F9298:F9302)</f>
        <v>28441.980000000003</v>
      </c>
      <c r="G9303" s="81"/>
      <c r="H9303" s="81"/>
      <c r="I9303" s="81"/>
      <c r="J9303" s="81"/>
      <c r="K9303" s="81"/>
      <c r="L9303" s="81"/>
      <c r="M9303" s="81"/>
      <c r="N9303" s="81"/>
    </row>
    <row r="9304" spans="1:14" ht="14.25" customHeight="1" x14ac:dyDescent="0.25">
      <c r="A9304" s="192"/>
      <c r="B9304" s="192"/>
      <c r="C9304" s="215"/>
      <c r="D9304" s="215"/>
      <c r="E9304" s="216"/>
      <c r="F9304" s="215"/>
      <c r="G9304" s="81"/>
      <c r="H9304" s="81"/>
      <c r="I9304" s="81"/>
      <c r="J9304" s="81"/>
      <c r="K9304" s="81"/>
      <c r="L9304" s="81"/>
      <c r="M9304" s="81"/>
      <c r="N9304" s="81"/>
    </row>
    <row r="9305" spans="1:14" ht="14.25" customHeight="1" x14ac:dyDescent="0.25">
      <c r="A9305" s="198" t="s">
        <v>573</v>
      </c>
      <c r="B9305" s="198"/>
      <c r="C9305" s="193"/>
      <c r="D9305" s="193"/>
      <c r="E9305" s="193"/>
      <c r="F9305" s="193"/>
      <c r="G9305" s="81"/>
      <c r="H9305" s="81"/>
      <c r="I9305" s="81"/>
      <c r="J9305" s="81"/>
      <c r="K9305" s="81"/>
      <c r="L9305" s="81"/>
      <c r="M9305" s="81"/>
      <c r="N9305" s="81"/>
    </row>
    <row r="9306" spans="1:14" ht="14.25" customHeight="1" x14ac:dyDescent="0.25">
      <c r="A9306" s="585" t="s">
        <v>563</v>
      </c>
      <c r="B9306" s="586"/>
      <c r="C9306" s="587"/>
      <c r="D9306" s="474" t="s">
        <v>574</v>
      </c>
      <c r="E9306" s="474" t="s">
        <v>575</v>
      </c>
      <c r="F9306" s="474" t="s">
        <v>568</v>
      </c>
      <c r="G9306" s="81"/>
      <c r="H9306" s="81"/>
      <c r="I9306" s="81"/>
      <c r="J9306" s="81"/>
      <c r="K9306" s="81"/>
      <c r="L9306" s="81"/>
      <c r="M9306" s="81"/>
      <c r="N9306" s="81"/>
    </row>
    <row r="9307" spans="1:14" ht="14.25" customHeight="1" x14ac:dyDescent="0.25">
      <c r="A9307" s="588" t="s">
        <v>577</v>
      </c>
      <c r="B9307" s="586"/>
      <c r="C9307" s="587"/>
      <c r="D9307" s="490"/>
      <c r="E9307" s="484"/>
      <c r="F9307" s="483">
        <f>+F9320*5%</f>
        <v>623.64066804407707</v>
      </c>
      <c r="G9307" s="81"/>
      <c r="H9307" s="81"/>
      <c r="I9307" s="81"/>
      <c r="J9307" s="81"/>
      <c r="K9307" s="81"/>
      <c r="L9307" s="81"/>
      <c r="M9307" s="81"/>
      <c r="N9307" s="81"/>
    </row>
    <row r="9308" spans="1:14" ht="14.25" customHeight="1" x14ac:dyDescent="0.25">
      <c r="A9308" s="588"/>
      <c r="B9308" s="586"/>
      <c r="C9308" s="587"/>
      <c r="D9308" s="505"/>
      <c r="E9308" s="484"/>
      <c r="F9308" s="483"/>
      <c r="G9308" s="81"/>
      <c r="H9308" s="81"/>
      <c r="I9308" s="81"/>
      <c r="J9308" s="81"/>
      <c r="K9308" s="81"/>
      <c r="L9308" s="81"/>
      <c r="M9308" s="81"/>
      <c r="N9308" s="81"/>
    </row>
    <row r="9309" spans="1:14" ht="14.25" customHeight="1" x14ac:dyDescent="0.25">
      <c r="A9309" s="588"/>
      <c r="B9309" s="586"/>
      <c r="C9309" s="587"/>
      <c r="D9309" s="505"/>
      <c r="E9309" s="484"/>
      <c r="F9309" s="483"/>
      <c r="G9309" s="81"/>
      <c r="H9309" s="81"/>
      <c r="I9309" s="81"/>
      <c r="J9309" s="81"/>
      <c r="K9309" s="81"/>
      <c r="L9309" s="81"/>
      <c r="M9309" s="81"/>
      <c r="N9309" s="81"/>
    </row>
    <row r="9310" spans="1:14" ht="14.25" customHeight="1" x14ac:dyDescent="0.25">
      <c r="A9310" s="588"/>
      <c r="B9310" s="586"/>
      <c r="C9310" s="587"/>
      <c r="D9310" s="505"/>
      <c r="E9310" s="484"/>
      <c r="F9310" s="483"/>
      <c r="G9310" s="81"/>
      <c r="H9310" s="81"/>
      <c r="I9310" s="81"/>
      <c r="J9310" s="81"/>
      <c r="K9310" s="81"/>
      <c r="L9310" s="81"/>
      <c r="M9310" s="81"/>
      <c r="N9310" s="81"/>
    </row>
    <row r="9311" spans="1:14" ht="14.25" customHeight="1" x14ac:dyDescent="0.25">
      <c r="A9311" s="589"/>
      <c r="B9311" s="586"/>
      <c r="C9311" s="587"/>
      <c r="D9311" s="491"/>
      <c r="E9311" s="484"/>
      <c r="F9311" s="483"/>
      <c r="G9311" s="81"/>
      <c r="H9311" s="81"/>
      <c r="I9311" s="81"/>
      <c r="J9311" s="81"/>
      <c r="K9311" s="81"/>
      <c r="L9311" s="81"/>
      <c r="M9311" s="81"/>
      <c r="N9311" s="81"/>
    </row>
    <row r="9312" spans="1:14" ht="14.25" customHeight="1" x14ac:dyDescent="0.25">
      <c r="A9312" s="585" t="s">
        <v>548</v>
      </c>
      <c r="B9312" s="586"/>
      <c r="C9312" s="587"/>
      <c r="D9312" s="487"/>
      <c r="E9312" s="487"/>
      <c r="F9312" s="489">
        <f>SUM(F9307:F9311)</f>
        <v>623.64066804407707</v>
      </c>
      <c r="G9312" s="81"/>
      <c r="H9312" s="81"/>
      <c r="I9312" s="81"/>
      <c r="J9312" s="81"/>
      <c r="K9312" s="81"/>
      <c r="L9312" s="81"/>
      <c r="M9312" s="81"/>
      <c r="N9312" s="81"/>
    </row>
    <row r="9313" spans="1:14" ht="14.25" customHeight="1" x14ac:dyDescent="0.25">
      <c r="A9313" s="192"/>
      <c r="B9313" s="192"/>
      <c r="C9313" s="194"/>
      <c r="D9313" s="215"/>
      <c r="E9313" s="215"/>
      <c r="F9313" s="215"/>
      <c r="G9313" s="81"/>
      <c r="H9313" s="81"/>
      <c r="I9313" s="81"/>
      <c r="J9313" s="81"/>
      <c r="K9313" s="81"/>
      <c r="L9313" s="81"/>
      <c r="M9313" s="81"/>
      <c r="N9313" s="81"/>
    </row>
    <row r="9314" spans="1:14" ht="14.25" customHeight="1" x14ac:dyDescent="0.25">
      <c r="A9314" s="198" t="s">
        <v>578</v>
      </c>
      <c r="B9314" s="198"/>
      <c r="C9314" s="193"/>
      <c r="D9314" s="223"/>
      <c r="E9314" s="223"/>
      <c r="F9314" s="223"/>
      <c r="G9314" s="81"/>
      <c r="H9314" s="81"/>
      <c r="I9314" s="81"/>
      <c r="J9314" s="81"/>
      <c r="K9314" s="81"/>
      <c r="L9314" s="81"/>
      <c r="M9314" s="81"/>
      <c r="N9314" s="81"/>
    </row>
    <row r="9315" spans="1:14" ht="38.25" x14ac:dyDescent="0.25">
      <c r="A9315" s="224" t="s">
        <v>563</v>
      </c>
      <c r="B9315" s="492" t="s">
        <v>579</v>
      </c>
      <c r="C9315" s="492" t="s">
        <v>580</v>
      </c>
      <c r="D9315" s="493" t="s">
        <v>581</v>
      </c>
      <c r="E9315" s="493" t="s">
        <v>575</v>
      </c>
      <c r="F9315" s="493" t="s">
        <v>568</v>
      </c>
      <c r="G9315" s="81"/>
      <c r="H9315" s="81"/>
      <c r="I9315" s="81"/>
      <c r="J9315" s="81"/>
      <c r="K9315" s="81"/>
      <c r="L9315" s="81"/>
      <c r="M9315" s="81"/>
      <c r="N9315" s="81"/>
    </row>
    <row r="9316" spans="1:14" ht="14.25" customHeight="1" x14ac:dyDescent="0.25">
      <c r="A9316" s="494" t="s">
        <v>593</v>
      </c>
      <c r="B9316" s="495">
        <v>1</v>
      </c>
      <c r="C9316" s="477">
        <v>32688</v>
      </c>
      <c r="D9316" s="477">
        <f t="shared" ref="D9316:D9317" si="461">+C9316*1.7</f>
        <v>55569.599999999999</v>
      </c>
      <c r="E9316" s="484">
        <v>11.616</v>
      </c>
      <c r="F9316" s="483">
        <f t="shared" ref="F9316:F9317" si="462">+B9316*(D9316)/E9316</f>
        <v>4783.8842975206608</v>
      </c>
      <c r="G9316" s="81"/>
      <c r="H9316" s="81"/>
      <c r="I9316" s="81"/>
      <c r="J9316" s="81"/>
      <c r="K9316" s="81"/>
      <c r="L9316" s="81"/>
      <c r="M9316" s="81"/>
      <c r="N9316" s="81"/>
    </row>
    <row r="9317" spans="1:14" ht="14.25" customHeight="1" x14ac:dyDescent="0.25">
      <c r="A9317" s="494" t="s">
        <v>594</v>
      </c>
      <c r="B9317" s="495">
        <v>1</v>
      </c>
      <c r="C9317" s="477">
        <v>52538</v>
      </c>
      <c r="D9317" s="477">
        <f t="shared" si="461"/>
        <v>89314.599999999991</v>
      </c>
      <c r="E9317" s="484">
        <f>E9316</f>
        <v>11.616</v>
      </c>
      <c r="F9317" s="483">
        <f t="shared" si="462"/>
        <v>7688.9290633608807</v>
      </c>
      <c r="G9317" s="81"/>
      <c r="H9317" s="81"/>
      <c r="I9317" s="81"/>
      <c r="J9317" s="81"/>
      <c r="K9317" s="81"/>
      <c r="L9317" s="81"/>
      <c r="M9317" s="81"/>
      <c r="N9317" s="81"/>
    </row>
    <row r="9318" spans="1:14" ht="14.25" customHeight="1" x14ac:dyDescent="0.25">
      <c r="A9318" s="494"/>
      <c r="B9318" s="495"/>
      <c r="C9318" s="477"/>
      <c r="D9318" s="477"/>
      <c r="E9318" s="484"/>
      <c r="F9318" s="483"/>
      <c r="G9318" s="81"/>
      <c r="H9318" s="81"/>
      <c r="I9318" s="81"/>
      <c r="J9318" s="81"/>
      <c r="K9318" s="81"/>
      <c r="L9318" s="81"/>
      <c r="M9318" s="81"/>
      <c r="N9318" s="81"/>
    </row>
    <row r="9319" spans="1:14" ht="14.25" customHeight="1" x14ac:dyDescent="0.25">
      <c r="A9319" s="494"/>
      <c r="B9319" s="495"/>
      <c r="C9319" s="477"/>
      <c r="D9319" s="477"/>
      <c r="E9319" s="496"/>
      <c r="F9319" s="483"/>
      <c r="G9319" s="81"/>
      <c r="H9319" s="81"/>
      <c r="I9319" s="81"/>
      <c r="J9319" s="81"/>
      <c r="K9319" s="81"/>
      <c r="L9319" s="81"/>
      <c r="M9319" s="81"/>
      <c r="N9319" s="81"/>
    </row>
    <row r="9320" spans="1:14" ht="14.25" customHeight="1" x14ac:dyDescent="0.25">
      <c r="A9320" s="199" t="s">
        <v>548</v>
      </c>
      <c r="B9320" s="497"/>
      <c r="C9320" s="487"/>
      <c r="D9320" s="487"/>
      <c r="E9320" s="487"/>
      <c r="F9320" s="489">
        <f>SUM(F9316:F9319)</f>
        <v>12472.813360881541</v>
      </c>
      <c r="G9320" s="81"/>
      <c r="H9320" s="81"/>
      <c r="I9320" s="81"/>
      <c r="J9320" s="81"/>
      <c r="K9320" s="81"/>
      <c r="L9320" s="81"/>
      <c r="M9320" s="81"/>
      <c r="N9320" s="81"/>
    </row>
    <row r="9321" spans="1:14" ht="14.25" customHeight="1" x14ac:dyDescent="0.25">
      <c r="A9321" s="198"/>
      <c r="B9321" s="231"/>
      <c r="C9321" s="223"/>
      <c r="D9321" s="223"/>
      <c r="E9321" s="223"/>
      <c r="F9321" s="223"/>
      <c r="G9321" s="81"/>
      <c r="H9321" s="81"/>
      <c r="I9321" s="81"/>
      <c r="J9321" s="81"/>
      <c r="K9321" s="81"/>
      <c r="L9321" s="81"/>
      <c r="M9321" s="81"/>
      <c r="N9321" s="81"/>
    </row>
    <row r="9322" spans="1:14" ht="14.25" customHeight="1" x14ac:dyDescent="0.25">
      <c r="A9322" s="197" t="s">
        <v>583</v>
      </c>
      <c r="B9322" s="198"/>
      <c r="C9322" s="193"/>
      <c r="D9322" s="193"/>
      <c r="E9322" s="193" t="s">
        <v>584</v>
      </c>
      <c r="F9322" s="193"/>
      <c r="G9322" s="81"/>
      <c r="H9322" s="81"/>
      <c r="I9322" s="81"/>
      <c r="J9322" s="81"/>
      <c r="K9322" s="81"/>
      <c r="L9322" s="81"/>
      <c r="M9322" s="81"/>
      <c r="N9322" s="81"/>
    </row>
    <row r="9323" spans="1:14" ht="14.25" customHeight="1" x14ac:dyDescent="0.25">
      <c r="A9323" s="199" t="s">
        <v>563</v>
      </c>
      <c r="B9323" s="474" t="s">
        <v>564</v>
      </c>
      <c r="C9323" s="474" t="s">
        <v>585</v>
      </c>
      <c r="D9323" s="474" t="s">
        <v>586</v>
      </c>
      <c r="E9323" s="492" t="s">
        <v>587</v>
      </c>
      <c r="F9323" s="474" t="s">
        <v>568</v>
      </c>
      <c r="G9323" s="81"/>
      <c r="H9323" s="81"/>
      <c r="I9323" s="81"/>
      <c r="J9323" s="81"/>
      <c r="K9323" s="81"/>
      <c r="L9323" s="81"/>
      <c r="M9323" s="81"/>
      <c r="N9323" s="81"/>
    </row>
    <row r="9324" spans="1:14" ht="14.25" customHeight="1" x14ac:dyDescent="0.25">
      <c r="A9324" s="480"/>
      <c r="B9324" s="476"/>
      <c r="C9324" s="477"/>
      <c r="D9324" s="498"/>
      <c r="E9324" s="484"/>
      <c r="F9324" s="486">
        <f>+C9324*D9324*E9324</f>
        <v>0</v>
      </c>
      <c r="G9324" s="81"/>
      <c r="H9324" s="81"/>
      <c r="I9324" s="81"/>
      <c r="J9324" s="81"/>
      <c r="K9324" s="81"/>
      <c r="L9324" s="81"/>
      <c r="M9324" s="81"/>
      <c r="N9324" s="81"/>
    </row>
    <row r="9325" spans="1:14" ht="14.25" customHeight="1" x14ac:dyDescent="0.25">
      <c r="A9325" s="480"/>
      <c r="B9325" s="476"/>
      <c r="C9325" s="484"/>
      <c r="D9325" s="484"/>
      <c r="E9325" s="485"/>
      <c r="F9325" s="486"/>
      <c r="G9325" s="81"/>
      <c r="H9325" s="81"/>
      <c r="I9325" s="81"/>
      <c r="J9325" s="81"/>
      <c r="K9325" s="81"/>
      <c r="L9325" s="81"/>
      <c r="M9325" s="81"/>
      <c r="N9325" s="81"/>
    </row>
    <row r="9326" spans="1:14" ht="14.25" customHeight="1" x14ac:dyDescent="0.25">
      <c r="A9326" s="199" t="s">
        <v>548</v>
      </c>
      <c r="B9326" s="474"/>
      <c r="C9326" s="487"/>
      <c r="D9326" s="487"/>
      <c r="E9326" s="488"/>
      <c r="F9326" s="489">
        <f>SUM(F9324:F9325)</f>
        <v>0</v>
      </c>
      <c r="G9326" s="81"/>
      <c r="H9326" s="81"/>
      <c r="I9326" s="81"/>
      <c r="J9326" s="81"/>
      <c r="K9326" s="81"/>
      <c r="L9326" s="81"/>
      <c r="M9326" s="81"/>
      <c r="N9326" s="81"/>
    </row>
    <row r="9327" spans="1:14" ht="14.25" customHeight="1" x14ac:dyDescent="0.25">
      <c r="A9327" s="192"/>
      <c r="B9327" s="194"/>
      <c r="C9327" s="215"/>
      <c r="D9327" s="215"/>
      <c r="E9327" s="216"/>
      <c r="F9327" s="215"/>
      <c r="G9327" s="81"/>
      <c r="H9327" s="81"/>
      <c r="I9327" s="81"/>
      <c r="J9327" s="81"/>
      <c r="K9327" s="81"/>
      <c r="L9327" s="81"/>
      <c r="M9327" s="81"/>
      <c r="N9327" s="81"/>
    </row>
    <row r="9328" spans="1:14" ht="14.25" customHeight="1" x14ac:dyDescent="0.25">
      <c r="A9328" s="192"/>
      <c r="B9328" s="194"/>
      <c r="C9328" s="215"/>
      <c r="D9328" s="215"/>
      <c r="E9328" s="216"/>
      <c r="F9328" s="215"/>
      <c r="G9328" s="81"/>
      <c r="H9328" s="81"/>
      <c r="I9328" s="81"/>
      <c r="J9328" s="81"/>
      <c r="K9328" s="81"/>
      <c r="L9328" s="81"/>
      <c r="M9328" s="81"/>
      <c r="N9328" s="81"/>
    </row>
    <row r="9329" spans="1:14" ht="14.25" customHeight="1" x14ac:dyDescent="0.25">
      <c r="A9329" s="590" t="s">
        <v>588</v>
      </c>
      <c r="B9329" s="586"/>
      <c r="C9329" s="586"/>
      <c r="D9329" s="586"/>
      <c r="E9329" s="587"/>
      <c r="F9329" s="499">
        <f>ROUND(F9303+F9312+F9320+F9326,0)</f>
        <v>41538</v>
      </c>
      <c r="G9329" s="81"/>
      <c r="H9329" s="81"/>
      <c r="I9329" s="81"/>
      <c r="J9329" s="81"/>
      <c r="K9329" s="81"/>
      <c r="L9329" s="81"/>
      <c r="M9329" s="81"/>
      <c r="N9329" s="81"/>
    </row>
    <row r="9330" spans="1:14" ht="14.25" customHeight="1" x14ac:dyDescent="0.25">
      <c r="A9330" s="590" t="s">
        <v>589</v>
      </c>
      <c r="B9330" s="586"/>
      <c r="C9330" s="586"/>
      <c r="D9330" s="586"/>
      <c r="E9330" s="587"/>
      <c r="F9330" s="500"/>
      <c r="G9330" s="81"/>
      <c r="H9330" s="81"/>
      <c r="I9330" s="81"/>
      <c r="J9330" s="81"/>
      <c r="K9330" s="81"/>
      <c r="L9330" s="81"/>
      <c r="M9330" s="81"/>
      <c r="N9330" s="81"/>
    </row>
    <row r="9331" spans="1:14" ht="14.25" customHeight="1" x14ac:dyDescent="0.25">
      <c r="A9331" s="590" t="s">
        <v>556</v>
      </c>
      <c r="B9331" s="586"/>
      <c r="C9331" s="586"/>
      <c r="D9331" s="586"/>
      <c r="E9331" s="587"/>
      <c r="F9331" s="501"/>
      <c r="G9331" s="81"/>
      <c r="H9331" s="81"/>
      <c r="I9331" s="81"/>
      <c r="J9331" s="81"/>
      <c r="K9331" s="81"/>
      <c r="L9331" s="81"/>
      <c r="M9331" s="81"/>
      <c r="N9331" s="81"/>
    </row>
    <row r="9332" spans="1:14" ht="14.25" customHeight="1" x14ac:dyDescent="0.25">
      <c r="A9332" s="301"/>
      <c r="B9332" s="502"/>
      <c r="C9332" s="502"/>
      <c r="D9332" s="502"/>
      <c r="E9332" s="502"/>
      <c r="F9332" s="503"/>
      <c r="G9332" s="81"/>
      <c r="H9332" s="81"/>
      <c r="I9332" s="81"/>
      <c r="J9332" s="81"/>
      <c r="K9332" s="81"/>
      <c r="L9332" s="81"/>
      <c r="M9332" s="81"/>
      <c r="N9332" s="81"/>
    </row>
    <row r="9333" spans="1:14" ht="14.25" customHeight="1" x14ac:dyDescent="0.25">
      <c r="A9333" s="301"/>
      <c r="B9333" s="502"/>
      <c r="C9333" s="502"/>
      <c r="D9333" s="502"/>
      <c r="E9333" s="502"/>
      <c r="F9333" s="503"/>
      <c r="G9333" s="81"/>
      <c r="H9333" s="81"/>
      <c r="I9333" s="81"/>
      <c r="J9333" s="81"/>
      <c r="K9333" s="81"/>
      <c r="L9333" s="81"/>
      <c r="M9333" s="81"/>
      <c r="N9333" s="81"/>
    </row>
    <row r="9334" spans="1:14" ht="14.25" customHeight="1" x14ac:dyDescent="0.25">
      <c r="A9334" s="301"/>
      <c r="B9334" s="502"/>
      <c r="C9334" s="502"/>
      <c r="D9334" s="502"/>
      <c r="E9334" s="502"/>
      <c r="F9334" s="503"/>
      <c r="G9334" s="81"/>
      <c r="H9334" s="81"/>
      <c r="I9334" s="81"/>
      <c r="J9334" s="81"/>
      <c r="K9334" s="81"/>
      <c r="L9334" s="81"/>
      <c r="M9334" s="81"/>
      <c r="N9334" s="81"/>
    </row>
    <row r="9335" spans="1:14" ht="14.25" customHeight="1" x14ac:dyDescent="0.25">
      <c r="A9335" s="243"/>
      <c r="B9335" s="243"/>
      <c r="C9335" s="504"/>
      <c r="D9335" s="243"/>
      <c r="E9335" s="243"/>
      <c r="F9335" s="243"/>
      <c r="G9335" s="81"/>
      <c r="H9335" s="81"/>
      <c r="I9335" s="81"/>
      <c r="J9335" s="81"/>
      <c r="K9335" s="81"/>
      <c r="L9335" s="81"/>
      <c r="M9335" s="81"/>
      <c r="N9335" s="81"/>
    </row>
    <row r="9336" spans="1:14" ht="14.25" customHeight="1" x14ac:dyDescent="0.25">
      <c r="A9336" s="243"/>
      <c r="B9336" s="243"/>
      <c r="C9336" s="504"/>
      <c r="D9336" s="243"/>
      <c r="E9336" s="243"/>
      <c r="F9336" s="243"/>
      <c r="G9336" s="81"/>
      <c r="H9336" s="81"/>
      <c r="I9336" s="81"/>
      <c r="J9336" s="81"/>
      <c r="K9336" s="81"/>
      <c r="L9336" s="81"/>
      <c r="M9336" s="81"/>
      <c r="N9336" s="81"/>
    </row>
    <row r="9337" spans="1:14" ht="14.25" customHeight="1" x14ac:dyDescent="0.25">
      <c r="A9337" s="243"/>
      <c r="B9337" s="243"/>
      <c r="C9337" s="504"/>
      <c r="D9337" s="243"/>
      <c r="E9337" s="243"/>
      <c r="F9337" s="243"/>
      <c r="G9337" s="81"/>
      <c r="H9337" s="81"/>
      <c r="I9337" s="81"/>
      <c r="J9337" s="81"/>
      <c r="K9337" s="81"/>
      <c r="L9337" s="81"/>
      <c r="M9337" s="81"/>
      <c r="N9337" s="81"/>
    </row>
    <row r="9338" spans="1:14" ht="14.25" customHeight="1" x14ac:dyDescent="0.25">
      <c r="A9338" s="243"/>
      <c r="B9338" s="243"/>
      <c r="C9338" s="504"/>
      <c r="D9338" s="243"/>
      <c r="E9338" s="243"/>
      <c r="F9338" s="243"/>
      <c r="G9338" s="81"/>
      <c r="H9338" s="81"/>
      <c r="I9338" s="81"/>
      <c r="J9338" s="81"/>
      <c r="K9338" s="81"/>
      <c r="L9338" s="81"/>
      <c r="M9338" s="81"/>
      <c r="N9338" s="81"/>
    </row>
    <row r="9339" spans="1:14" ht="14.25" customHeight="1" x14ac:dyDescent="0.25">
      <c r="A9339" s="301"/>
      <c r="B9339" s="502"/>
      <c r="C9339" s="502"/>
      <c r="D9339" s="502"/>
      <c r="E9339" s="502"/>
      <c r="F9339" s="503"/>
      <c r="G9339" s="81"/>
      <c r="H9339" s="81"/>
      <c r="I9339" s="81"/>
      <c r="J9339" s="81"/>
      <c r="K9339" s="81"/>
      <c r="L9339" s="81"/>
      <c r="M9339" s="81"/>
      <c r="N9339" s="81"/>
    </row>
    <row r="9340" spans="1:14" ht="14.25" customHeight="1" thickBot="1" x14ac:dyDescent="0.3">
      <c r="A9340" s="243"/>
      <c r="B9340" s="243"/>
      <c r="C9340" s="243"/>
      <c r="D9340" s="243"/>
      <c r="E9340" s="243"/>
      <c r="F9340" s="243"/>
      <c r="G9340" s="81"/>
      <c r="H9340" s="81"/>
      <c r="I9340" s="81"/>
      <c r="J9340" s="81"/>
      <c r="K9340" s="81"/>
      <c r="L9340" s="81"/>
      <c r="M9340" s="81"/>
      <c r="N9340" s="81"/>
    </row>
    <row r="9341" spans="1:14" ht="14.25" customHeight="1" x14ac:dyDescent="0.25">
      <c r="A9341" s="258"/>
      <c r="B9341" s="259"/>
      <c r="C9341" s="260"/>
      <c r="D9341" s="261"/>
      <c r="E9341" s="261"/>
      <c r="F9341" s="262"/>
      <c r="G9341" s="81"/>
      <c r="H9341" s="81"/>
      <c r="I9341" s="81"/>
      <c r="J9341" s="81"/>
      <c r="K9341" s="81"/>
      <c r="L9341" s="81"/>
      <c r="M9341" s="81"/>
      <c r="N9341" s="81"/>
    </row>
    <row r="9342" spans="1:14" ht="14.25" customHeight="1" x14ac:dyDescent="0.25">
      <c r="A9342" s="621"/>
      <c r="B9342" s="629"/>
      <c r="C9342" s="629"/>
      <c r="D9342" s="629"/>
      <c r="E9342" s="629"/>
      <c r="F9342" s="630"/>
      <c r="G9342" s="81"/>
      <c r="H9342" s="81"/>
      <c r="I9342" s="81"/>
      <c r="J9342" s="81"/>
      <c r="K9342" s="81"/>
      <c r="L9342" s="81"/>
      <c r="M9342" s="81"/>
      <c r="N9342" s="81"/>
    </row>
    <row r="9343" spans="1:14" ht="14.25" customHeight="1" x14ac:dyDescent="0.25">
      <c r="A9343" s="614" t="s">
        <v>561</v>
      </c>
      <c r="B9343" s="629"/>
      <c r="C9343" s="629"/>
      <c r="D9343" s="629"/>
      <c r="E9343" s="629"/>
      <c r="F9343" s="630"/>
      <c r="G9343" s="81"/>
      <c r="H9343" s="81"/>
      <c r="I9343" s="81"/>
      <c r="J9343" s="81"/>
      <c r="K9343" s="81"/>
      <c r="L9343" s="81"/>
      <c r="M9343" s="81"/>
      <c r="N9343" s="81"/>
    </row>
    <row r="9344" spans="1:14" ht="14.25" customHeight="1" thickBot="1" x14ac:dyDescent="0.3">
      <c r="A9344" s="617"/>
      <c r="B9344" s="631"/>
      <c r="C9344" s="631"/>
      <c r="D9344" s="631"/>
      <c r="E9344" s="631"/>
      <c r="F9344" s="632"/>
      <c r="G9344" s="81"/>
      <c r="H9344" s="81"/>
      <c r="I9344" s="81"/>
      <c r="J9344" s="81"/>
      <c r="K9344" s="81"/>
      <c r="L9344" s="81"/>
      <c r="M9344" s="81"/>
      <c r="N9344" s="81"/>
    </row>
    <row r="9345" spans="1:14" ht="14.25" customHeight="1" x14ac:dyDescent="0.25">
      <c r="A9345" s="192"/>
      <c r="B9345" s="192"/>
      <c r="C9345" s="194"/>
      <c r="D9345" s="194"/>
      <c r="E9345" s="194"/>
      <c r="F9345" s="194"/>
      <c r="G9345" s="81"/>
      <c r="H9345" s="81"/>
      <c r="I9345" s="81"/>
      <c r="J9345" s="81"/>
      <c r="K9345" s="81"/>
      <c r="L9345" s="81"/>
      <c r="M9345" s="81"/>
      <c r="N9345" s="81"/>
    </row>
    <row r="9346" spans="1:14" ht="14.25" customHeight="1" x14ac:dyDescent="0.25">
      <c r="A9346" s="473" t="s">
        <v>47</v>
      </c>
      <c r="B9346" s="620" t="s">
        <v>1022</v>
      </c>
      <c r="C9346" s="629"/>
      <c r="D9346" s="629"/>
      <c r="E9346" s="629"/>
      <c r="F9346" s="629"/>
      <c r="G9346" s="81"/>
      <c r="H9346" s="81"/>
      <c r="I9346" s="81"/>
      <c r="J9346" s="81"/>
      <c r="K9346" s="81"/>
      <c r="L9346" s="81"/>
      <c r="M9346" s="81"/>
      <c r="N9346" s="81"/>
    </row>
    <row r="9347" spans="1:14" ht="14.25" customHeight="1" x14ac:dyDescent="0.25">
      <c r="A9347" s="191"/>
      <c r="B9347" s="191"/>
      <c r="C9347" s="191"/>
      <c r="D9347" s="191"/>
      <c r="E9347" s="191"/>
      <c r="F9347" s="191"/>
      <c r="G9347" s="81"/>
      <c r="H9347" s="81"/>
      <c r="I9347" s="81"/>
      <c r="J9347" s="81"/>
      <c r="K9347" s="81"/>
      <c r="L9347" s="81"/>
      <c r="M9347" s="81"/>
      <c r="N9347" s="81"/>
    </row>
    <row r="9348" spans="1:14" ht="14.25" customHeight="1" x14ac:dyDescent="0.25">
      <c r="A9348" s="192" t="s">
        <v>49</v>
      </c>
      <c r="B9348" s="193" t="s">
        <v>56</v>
      </c>
      <c r="C9348" s="194"/>
      <c r="D9348" s="194"/>
      <c r="E9348" s="194"/>
      <c r="F9348" s="195"/>
      <c r="G9348" s="81"/>
      <c r="H9348" s="81"/>
      <c r="I9348" s="81"/>
      <c r="J9348" s="81"/>
      <c r="K9348" s="81"/>
      <c r="L9348" s="81"/>
      <c r="M9348" s="81"/>
      <c r="N9348" s="81"/>
    </row>
    <row r="9349" spans="1:14" ht="14.25" customHeight="1" x14ac:dyDescent="0.25">
      <c r="A9349" s="192"/>
      <c r="B9349" s="196"/>
      <c r="C9349" s="194"/>
      <c r="D9349" s="194"/>
      <c r="E9349" s="194"/>
      <c r="F9349" s="195"/>
      <c r="G9349" s="81"/>
      <c r="H9349" s="81"/>
      <c r="I9349" s="81"/>
      <c r="J9349" s="81"/>
      <c r="K9349" s="81"/>
      <c r="L9349" s="81"/>
      <c r="M9349" s="81"/>
      <c r="N9349" s="81"/>
    </row>
    <row r="9350" spans="1:14" ht="14.25" customHeight="1" x14ac:dyDescent="0.25">
      <c r="A9350" s="197" t="s">
        <v>562</v>
      </c>
      <c r="B9350" s="198"/>
      <c r="C9350" s="193"/>
      <c r="D9350" s="193"/>
      <c r="E9350" s="193"/>
      <c r="F9350" s="193"/>
      <c r="G9350" s="81"/>
      <c r="H9350" s="81"/>
      <c r="I9350" s="81"/>
      <c r="J9350" s="81"/>
      <c r="K9350" s="81"/>
      <c r="L9350" s="81"/>
      <c r="M9350" s="81"/>
      <c r="N9350" s="81"/>
    </row>
    <row r="9351" spans="1:14" ht="14.25" customHeight="1" x14ac:dyDescent="0.25">
      <c r="A9351" s="199" t="s">
        <v>563</v>
      </c>
      <c r="B9351" s="474" t="s">
        <v>564</v>
      </c>
      <c r="C9351" s="474" t="s">
        <v>565</v>
      </c>
      <c r="D9351" s="474" t="s">
        <v>566</v>
      </c>
      <c r="E9351" s="474" t="s">
        <v>567</v>
      </c>
      <c r="F9351" s="474" t="s">
        <v>568</v>
      </c>
      <c r="G9351" s="81"/>
      <c r="H9351" s="117"/>
      <c r="I9351" s="81"/>
      <c r="J9351" s="81"/>
      <c r="K9351" s="81"/>
      <c r="L9351" s="81"/>
      <c r="M9351" s="81"/>
      <c r="N9351" s="81"/>
    </row>
    <row r="9352" spans="1:14" ht="25.5" x14ac:dyDescent="0.25">
      <c r="A9352" s="475" t="s">
        <v>1417</v>
      </c>
      <c r="B9352" s="476" t="s">
        <v>651</v>
      </c>
      <c r="C9352" s="477">
        <v>183850</v>
      </c>
      <c r="D9352" s="478">
        <v>0.27</v>
      </c>
      <c r="E9352" s="479">
        <v>0.05</v>
      </c>
      <c r="F9352" s="477">
        <f t="shared" ref="F9352:F9355" si="463">C9352*(D9352+(D9352*E9352))</f>
        <v>52121.475000000006</v>
      </c>
      <c r="G9352" s="81"/>
      <c r="H9352" s="81"/>
      <c r="I9352" s="81"/>
      <c r="J9352" s="81"/>
      <c r="K9352" s="81"/>
      <c r="L9352" s="81"/>
      <c r="M9352" s="81"/>
      <c r="N9352" s="81"/>
    </row>
    <row r="9353" spans="1:14" ht="14.25" customHeight="1" x14ac:dyDescent="0.25">
      <c r="A9353" s="475" t="s">
        <v>675</v>
      </c>
      <c r="B9353" s="476" t="s">
        <v>99</v>
      </c>
      <c r="C9353" s="477">
        <v>12000</v>
      </c>
      <c r="D9353" s="478">
        <v>0.2</v>
      </c>
      <c r="E9353" s="479">
        <v>0.05</v>
      </c>
      <c r="F9353" s="477">
        <f t="shared" si="463"/>
        <v>2520.0000000000005</v>
      </c>
      <c r="G9353" s="81"/>
      <c r="H9353" s="81"/>
      <c r="I9353" s="81"/>
      <c r="J9353" s="81"/>
      <c r="K9353" s="81"/>
      <c r="L9353" s="81"/>
      <c r="M9353" s="81"/>
      <c r="N9353" s="81"/>
    </row>
    <row r="9354" spans="1:14" ht="14.25" customHeight="1" x14ac:dyDescent="0.25">
      <c r="A9354" s="475" t="s">
        <v>676</v>
      </c>
      <c r="B9354" s="476" t="s">
        <v>99</v>
      </c>
      <c r="C9354" s="477">
        <v>12350</v>
      </c>
      <c r="D9354" s="478">
        <v>0.2</v>
      </c>
      <c r="E9354" s="479">
        <v>0.05</v>
      </c>
      <c r="F9354" s="477">
        <f t="shared" si="463"/>
        <v>2593.5000000000005</v>
      </c>
      <c r="G9354" s="81"/>
      <c r="H9354" s="81"/>
      <c r="I9354" s="81"/>
      <c r="J9354" s="81"/>
      <c r="K9354" s="81"/>
      <c r="L9354" s="81"/>
      <c r="M9354" s="81"/>
      <c r="N9354" s="81"/>
    </row>
    <row r="9355" spans="1:14" ht="14.25" customHeight="1" x14ac:dyDescent="0.25">
      <c r="A9355" s="475" t="s">
        <v>677</v>
      </c>
      <c r="B9355" s="476" t="s">
        <v>99</v>
      </c>
      <c r="C9355" s="477">
        <v>4850</v>
      </c>
      <c r="D9355" s="478">
        <v>0.75</v>
      </c>
      <c r="E9355" s="479">
        <v>0.05</v>
      </c>
      <c r="F9355" s="477">
        <f t="shared" si="463"/>
        <v>3819.375</v>
      </c>
      <c r="G9355" s="81"/>
      <c r="H9355" s="81"/>
      <c r="I9355" s="81"/>
      <c r="J9355" s="81"/>
      <c r="K9355" s="81"/>
      <c r="L9355" s="81"/>
      <c r="M9355" s="81"/>
      <c r="N9355" s="81"/>
    </row>
    <row r="9356" spans="1:14" ht="14.25" customHeight="1" x14ac:dyDescent="0.25">
      <c r="A9356" s="475"/>
      <c r="B9356" s="476"/>
      <c r="C9356" s="483"/>
      <c r="D9356" s="484"/>
      <c r="E9356" s="485"/>
      <c r="F9356" s="483"/>
      <c r="G9356" s="81"/>
      <c r="H9356" s="81"/>
      <c r="I9356" s="81"/>
      <c r="J9356" s="81"/>
      <c r="K9356" s="81"/>
      <c r="L9356" s="81"/>
      <c r="M9356" s="81"/>
      <c r="N9356" s="81"/>
    </row>
    <row r="9357" spans="1:14" ht="14.25" customHeight="1" x14ac:dyDescent="0.25">
      <c r="A9357" s="199" t="s">
        <v>548</v>
      </c>
      <c r="B9357" s="199"/>
      <c r="C9357" s="486"/>
      <c r="D9357" s="487"/>
      <c r="E9357" s="488"/>
      <c r="F9357" s="489">
        <f>SUM(F9352:F9356)</f>
        <v>61054.350000000006</v>
      </c>
      <c r="G9357" s="81"/>
      <c r="H9357" s="81"/>
      <c r="I9357" s="81"/>
      <c r="J9357" s="81"/>
      <c r="K9357" s="81"/>
      <c r="L9357" s="81"/>
      <c r="M9357" s="81"/>
      <c r="N9357" s="81"/>
    </row>
    <row r="9358" spans="1:14" ht="14.25" customHeight="1" x14ac:dyDescent="0.25">
      <c r="A9358" s="192"/>
      <c r="B9358" s="192"/>
      <c r="C9358" s="215"/>
      <c r="D9358" s="215"/>
      <c r="E9358" s="216"/>
      <c r="F9358" s="215"/>
      <c r="G9358" s="81"/>
      <c r="H9358" s="81"/>
      <c r="I9358" s="81"/>
      <c r="J9358" s="81"/>
      <c r="K9358" s="81"/>
      <c r="L9358" s="81"/>
      <c r="M9358" s="81"/>
      <c r="N9358" s="81"/>
    </row>
    <row r="9359" spans="1:14" ht="14.25" customHeight="1" x14ac:dyDescent="0.25">
      <c r="A9359" s="198" t="s">
        <v>573</v>
      </c>
      <c r="B9359" s="198"/>
      <c r="C9359" s="193"/>
      <c r="D9359" s="193"/>
      <c r="E9359" s="193"/>
      <c r="F9359" s="193"/>
      <c r="G9359" s="81"/>
      <c r="H9359" s="81"/>
      <c r="I9359" s="81"/>
      <c r="J9359" s="81"/>
      <c r="K9359" s="81"/>
      <c r="L9359" s="81"/>
      <c r="M9359" s="81"/>
      <c r="N9359" s="81"/>
    </row>
    <row r="9360" spans="1:14" ht="14.25" customHeight="1" x14ac:dyDescent="0.25">
      <c r="A9360" s="585" t="s">
        <v>563</v>
      </c>
      <c r="B9360" s="586"/>
      <c r="C9360" s="587"/>
      <c r="D9360" s="474" t="s">
        <v>574</v>
      </c>
      <c r="E9360" s="474" t="s">
        <v>575</v>
      </c>
      <c r="F9360" s="474" t="s">
        <v>568</v>
      </c>
      <c r="G9360" s="81"/>
      <c r="H9360" s="81"/>
      <c r="I9360" s="81"/>
      <c r="J9360" s="81"/>
      <c r="K9360" s="81"/>
      <c r="L9360" s="81"/>
      <c r="M9360" s="81"/>
      <c r="N9360" s="81"/>
    </row>
    <row r="9361" spans="1:14" ht="14.25" customHeight="1" x14ac:dyDescent="0.25">
      <c r="A9361" s="588" t="s">
        <v>577</v>
      </c>
      <c r="B9361" s="586"/>
      <c r="C9361" s="587"/>
      <c r="D9361" s="490"/>
      <c r="E9361" s="484"/>
      <c r="F9361" s="483">
        <f>+F9374*5%</f>
        <v>1080.451318458418</v>
      </c>
      <c r="G9361" s="81"/>
      <c r="H9361" s="81"/>
      <c r="I9361" s="81"/>
      <c r="J9361" s="81"/>
      <c r="K9361" s="81"/>
      <c r="L9361" s="81"/>
      <c r="M9361" s="81"/>
      <c r="N9361" s="81"/>
    </row>
    <row r="9362" spans="1:14" ht="14.25" customHeight="1" x14ac:dyDescent="0.25">
      <c r="A9362" s="588"/>
      <c r="B9362" s="586"/>
      <c r="C9362" s="587"/>
      <c r="D9362" s="505"/>
      <c r="E9362" s="484"/>
      <c r="F9362" s="483"/>
      <c r="G9362" s="81"/>
      <c r="H9362" s="81"/>
      <c r="I9362" s="81"/>
      <c r="J9362" s="81"/>
      <c r="K9362" s="81"/>
      <c r="L9362" s="81"/>
      <c r="M9362" s="81"/>
      <c r="N9362" s="81"/>
    </row>
    <row r="9363" spans="1:14" ht="14.25" customHeight="1" x14ac:dyDescent="0.25">
      <c r="A9363" s="588"/>
      <c r="B9363" s="586"/>
      <c r="C9363" s="587"/>
      <c r="D9363" s="505"/>
      <c r="E9363" s="484"/>
      <c r="F9363" s="483"/>
      <c r="G9363" s="81"/>
      <c r="H9363" s="81"/>
      <c r="I9363" s="81"/>
      <c r="J9363" s="81"/>
      <c r="K9363" s="81"/>
      <c r="L9363" s="81"/>
      <c r="M9363" s="81"/>
      <c r="N9363" s="81"/>
    </row>
    <row r="9364" spans="1:14" ht="14.25" customHeight="1" x14ac:dyDescent="0.25">
      <c r="A9364" s="588"/>
      <c r="B9364" s="586"/>
      <c r="C9364" s="587"/>
      <c r="D9364" s="505"/>
      <c r="E9364" s="484"/>
      <c r="F9364" s="483"/>
      <c r="G9364" s="81"/>
      <c r="H9364" s="81"/>
      <c r="I9364" s="81"/>
      <c r="J9364" s="81"/>
      <c r="K9364" s="81"/>
      <c r="L9364" s="81"/>
      <c r="M9364" s="81"/>
      <c r="N9364" s="81"/>
    </row>
    <row r="9365" spans="1:14" ht="14.25" customHeight="1" x14ac:dyDescent="0.25">
      <c r="A9365" s="589"/>
      <c r="B9365" s="586"/>
      <c r="C9365" s="587"/>
      <c r="D9365" s="491"/>
      <c r="E9365" s="484"/>
      <c r="F9365" s="483"/>
      <c r="G9365" s="81"/>
      <c r="H9365" s="81"/>
      <c r="I9365" s="81"/>
      <c r="J9365" s="81"/>
      <c r="K9365" s="81"/>
      <c r="L9365" s="81"/>
      <c r="M9365" s="81"/>
      <c r="N9365" s="81"/>
    </row>
    <row r="9366" spans="1:14" ht="14.25" customHeight="1" x14ac:dyDescent="0.25">
      <c r="A9366" s="585" t="s">
        <v>548</v>
      </c>
      <c r="B9366" s="586"/>
      <c r="C9366" s="587"/>
      <c r="D9366" s="487"/>
      <c r="E9366" s="487"/>
      <c r="F9366" s="489">
        <f>SUM(F9361:F9365)</f>
        <v>1080.451318458418</v>
      </c>
      <c r="G9366" s="81"/>
      <c r="H9366" s="81"/>
      <c r="I9366" s="81"/>
      <c r="J9366" s="81"/>
      <c r="K9366" s="81"/>
      <c r="L9366" s="81"/>
      <c r="M9366" s="81"/>
      <c r="N9366" s="81"/>
    </row>
    <row r="9367" spans="1:14" ht="14.25" customHeight="1" x14ac:dyDescent="0.25">
      <c r="A9367" s="192"/>
      <c r="B9367" s="192"/>
      <c r="C9367" s="194"/>
      <c r="D9367" s="215"/>
      <c r="E9367" s="215"/>
      <c r="F9367" s="215"/>
      <c r="G9367" s="81"/>
      <c r="H9367" s="81"/>
      <c r="I9367" s="81"/>
      <c r="J9367" s="81"/>
      <c r="K9367" s="81"/>
      <c r="L9367" s="81"/>
      <c r="M9367" s="81"/>
      <c r="N9367" s="81"/>
    </row>
    <row r="9368" spans="1:14" ht="14.25" customHeight="1" x14ac:dyDescent="0.25">
      <c r="A9368" s="198" t="s">
        <v>578</v>
      </c>
      <c r="B9368" s="198"/>
      <c r="C9368" s="193"/>
      <c r="D9368" s="223"/>
      <c r="E9368" s="223"/>
      <c r="F9368" s="223"/>
      <c r="G9368" s="81"/>
      <c r="H9368" s="81"/>
      <c r="I9368" s="81"/>
      <c r="J9368" s="81"/>
      <c r="K9368" s="81"/>
      <c r="L9368" s="81"/>
      <c r="M9368" s="81"/>
      <c r="N9368" s="81"/>
    </row>
    <row r="9369" spans="1:14" ht="38.25" x14ac:dyDescent="0.25">
      <c r="A9369" s="224" t="s">
        <v>563</v>
      </c>
      <c r="B9369" s="492" t="s">
        <v>579</v>
      </c>
      <c r="C9369" s="492" t="s">
        <v>580</v>
      </c>
      <c r="D9369" s="493" t="s">
        <v>581</v>
      </c>
      <c r="E9369" s="493" t="s">
        <v>575</v>
      </c>
      <c r="F9369" s="493" t="s">
        <v>568</v>
      </c>
      <c r="G9369" s="81"/>
      <c r="H9369" s="81"/>
      <c r="I9369" s="81"/>
      <c r="J9369" s="81"/>
      <c r="K9369" s="81"/>
      <c r="L9369" s="81"/>
      <c r="M9369" s="81"/>
      <c r="N9369" s="81"/>
    </row>
    <row r="9370" spans="1:14" ht="14.25" customHeight="1" x14ac:dyDescent="0.25">
      <c r="A9370" s="494" t="s">
        <v>593</v>
      </c>
      <c r="B9370" s="495">
        <v>1</v>
      </c>
      <c r="C9370" s="477">
        <v>32688</v>
      </c>
      <c r="D9370" s="477">
        <f t="shared" ref="D9370:D9371" si="464">+C9370*1.7</f>
        <v>55569.599999999999</v>
      </c>
      <c r="E9370" s="484">
        <v>6.7047999999999996</v>
      </c>
      <c r="F9370" s="483">
        <f t="shared" ref="F9370:F9371" si="465">+B9370*(D9370)/E9370</f>
        <v>8288.032454361055</v>
      </c>
      <c r="G9370" s="81"/>
      <c r="H9370" s="81"/>
      <c r="I9370" s="81"/>
      <c r="J9370" s="81"/>
      <c r="K9370" s="81"/>
      <c r="L9370" s="81"/>
      <c r="M9370" s="81"/>
      <c r="N9370" s="81"/>
    </row>
    <row r="9371" spans="1:14" ht="14.25" customHeight="1" x14ac:dyDescent="0.25">
      <c r="A9371" s="494" t="s">
        <v>594</v>
      </c>
      <c r="B9371" s="495">
        <v>1</v>
      </c>
      <c r="C9371" s="477">
        <v>52538</v>
      </c>
      <c r="D9371" s="477">
        <f t="shared" si="464"/>
        <v>89314.599999999991</v>
      </c>
      <c r="E9371" s="484">
        <f>E9370</f>
        <v>6.7047999999999996</v>
      </c>
      <c r="F9371" s="483">
        <f t="shared" si="465"/>
        <v>13320.993914807301</v>
      </c>
      <c r="G9371" s="81"/>
      <c r="H9371" s="81"/>
      <c r="I9371" s="81"/>
      <c r="J9371" s="81"/>
      <c r="K9371" s="81"/>
      <c r="L9371" s="81"/>
      <c r="M9371" s="81"/>
      <c r="N9371" s="81"/>
    </row>
    <row r="9372" spans="1:14" ht="14.25" customHeight="1" x14ac:dyDescent="0.25">
      <c r="A9372" s="494"/>
      <c r="B9372" s="495"/>
      <c r="C9372" s="477"/>
      <c r="D9372" s="477"/>
      <c r="E9372" s="484"/>
      <c r="F9372" s="483"/>
      <c r="G9372" s="81"/>
      <c r="H9372" s="81"/>
      <c r="I9372" s="81"/>
      <c r="J9372" s="81"/>
      <c r="K9372" s="81"/>
      <c r="L9372" s="81"/>
      <c r="M9372" s="81"/>
      <c r="N9372" s="81"/>
    </row>
    <row r="9373" spans="1:14" ht="14.25" customHeight="1" x14ac:dyDescent="0.25">
      <c r="A9373" s="494"/>
      <c r="B9373" s="495"/>
      <c r="C9373" s="477"/>
      <c r="D9373" s="477"/>
      <c r="E9373" s="496"/>
      <c r="F9373" s="483"/>
      <c r="G9373" s="81"/>
      <c r="H9373" s="81"/>
      <c r="I9373" s="81"/>
      <c r="J9373" s="81"/>
      <c r="K9373" s="81"/>
      <c r="L9373" s="81"/>
      <c r="M9373" s="81"/>
      <c r="N9373" s="81"/>
    </row>
    <row r="9374" spans="1:14" ht="14.25" customHeight="1" x14ac:dyDescent="0.25">
      <c r="A9374" s="199" t="s">
        <v>548</v>
      </c>
      <c r="B9374" s="497"/>
      <c r="C9374" s="487"/>
      <c r="D9374" s="487"/>
      <c r="E9374" s="487"/>
      <c r="F9374" s="489">
        <f>SUM(F9370:F9373)</f>
        <v>21609.026369168358</v>
      </c>
      <c r="G9374" s="81"/>
      <c r="H9374" s="81"/>
      <c r="I9374" s="81"/>
      <c r="J9374" s="81"/>
      <c r="K9374" s="81"/>
      <c r="L9374" s="81"/>
      <c r="M9374" s="81"/>
      <c r="N9374" s="81"/>
    </row>
    <row r="9375" spans="1:14" ht="14.25" customHeight="1" x14ac:dyDescent="0.25">
      <c r="A9375" s="198"/>
      <c r="B9375" s="231"/>
      <c r="C9375" s="223"/>
      <c r="D9375" s="223"/>
      <c r="E9375" s="223"/>
      <c r="F9375" s="223"/>
      <c r="G9375" s="81"/>
      <c r="H9375" s="81"/>
      <c r="I9375" s="81"/>
      <c r="J9375" s="81"/>
      <c r="K9375" s="81"/>
      <c r="L9375" s="81"/>
      <c r="M9375" s="81"/>
      <c r="N9375" s="81"/>
    </row>
    <row r="9376" spans="1:14" ht="14.25" customHeight="1" x14ac:dyDescent="0.25">
      <c r="A9376" s="197" t="s">
        <v>583</v>
      </c>
      <c r="B9376" s="198"/>
      <c r="C9376" s="193"/>
      <c r="D9376" s="193"/>
      <c r="E9376" s="193" t="s">
        <v>584</v>
      </c>
      <c r="F9376" s="193"/>
      <c r="G9376" s="81"/>
      <c r="H9376" s="81"/>
      <c r="I9376" s="81"/>
      <c r="J9376" s="81"/>
      <c r="K9376" s="81"/>
      <c r="L9376" s="81"/>
      <c r="M9376" s="81"/>
      <c r="N9376" s="81"/>
    </row>
    <row r="9377" spans="1:14" ht="14.25" customHeight="1" x14ac:dyDescent="0.25">
      <c r="A9377" s="199" t="s">
        <v>563</v>
      </c>
      <c r="B9377" s="474" t="s">
        <v>564</v>
      </c>
      <c r="C9377" s="474" t="s">
        <v>585</v>
      </c>
      <c r="D9377" s="474" t="s">
        <v>586</v>
      </c>
      <c r="E9377" s="492" t="s">
        <v>587</v>
      </c>
      <c r="F9377" s="474" t="s">
        <v>568</v>
      </c>
      <c r="G9377" s="81"/>
      <c r="H9377" s="81"/>
      <c r="I9377" s="81"/>
      <c r="J9377" s="81"/>
      <c r="K9377" s="81"/>
      <c r="L9377" s="81"/>
      <c r="M9377" s="81"/>
      <c r="N9377" s="81"/>
    </row>
    <row r="9378" spans="1:14" ht="14.25" customHeight="1" x14ac:dyDescent="0.25">
      <c r="A9378" s="480"/>
      <c r="B9378" s="476"/>
      <c r="C9378" s="477"/>
      <c r="D9378" s="498"/>
      <c r="E9378" s="484"/>
      <c r="F9378" s="486">
        <f>+C9378*D9378*E9378</f>
        <v>0</v>
      </c>
      <c r="G9378" s="81"/>
      <c r="H9378" s="81"/>
      <c r="I9378" s="81"/>
      <c r="J9378" s="81"/>
      <c r="K9378" s="81"/>
      <c r="L9378" s="81"/>
      <c r="M9378" s="81"/>
      <c r="N9378" s="81"/>
    </row>
    <row r="9379" spans="1:14" ht="14.25" customHeight="1" x14ac:dyDescent="0.25">
      <c r="A9379" s="480"/>
      <c r="B9379" s="476"/>
      <c r="C9379" s="484"/>
      <c r="D9379" s="484"/>
      <c r="E9379" s="485"/>
      <c r="F9379" s="486"/>
      <c r="G9379" s="81"/>
      <c r="H9379" s="81"/>
      <c r="I9379" s="81"/>
      <c r="J9379" s="81"/>
      <c r="K9379" s="81"/>
      <c r="L9379" s="81"/>
      <c r="M9379" s="81"/>
      <c r="N9379" s="81"/>
    </row>
    <row r="9380" spans="1:14" ht="14.25" customHeight="1" x14ac:dyDescent="0.25">
      <c r="A9380" s="199" t="s">
        <v>548</v>
      </c>
      <c r="B9380" s="474"/>
      <c r="C9380" s="487"/>
      <c r="D9380" s="487"/>
      <c r="E9380" s="488"/>
      <c r="F9380" s="489">
        <f>SUM(F9378:F9379)</f>
        <v>0</v>
      </c>
      <c r="G9380" s="81"/>
      <c r="H9380" s="81"/>
      <c r="I9380" s="81"/>
      <c r="J9380" s="81"/>
      <c r="K9380" s="81"/>
      <c r="L9380" s="81"/>
      <c r="M9380" s="81"/>
      <c r="N9380" s="81"/>
    </row>
    <row r="9381" spans="1:14" ht="14.25" customHeight="1" x14ac:dyDescent="0.25">
      <c r="A9381" s="192"/>
      <c r="B9381" s="194"/>
      <c r="C9381" s="215"/>
      <c r="D9381" s="215"/>
      <c r="E9381" s="216"/>
      <c r="F9381" s="215"/>
      <c r="G9381" s="81"/>
      <c r="H9381" s="81"/>
      <c r="I9381" s="81"/>
      <c r="J9381" s="81"/>
      <c r="K9381" s="81"/>
      <c r="L9381" s="81"/>
      <c r="M9381" s="81"/>
      <c r="N9381" s="81"/>
    </row>
    <row r="9382" spans="1:14" ht="14.25" customHeight="1" x14ac:dyDescent="0.25">
      <c r="A9382" s="192"/>
      <c r="B9382" s="194"/>
      <c r="C9382" s="215"/>
      <c r="D9382" s="215"/>
      <c r="E9382" s="216"/>
      <c r="F9382" s="215"/>
      <c r="G9382" s="81"/>
      <c r="H9382" s="81"/>
      <c r="I9382" s="81"/>
      <c r="J9382" s="81"/>
      <c r="K9382" s="81"/>
      <c r="L9382" s="81"/>
      <c r="M9382" s="81"/>
      <c r="N9382" s="81"/>
    </row>
    <row r="9383" spans="1:14" ht="14.25" customHeight="1" x14ac:dyDescent="0.25">
      <c r="A9383" s="590" t="s">
        <v>588</v>
      </c>
      <c r="B9383" s="586"/>
      <c r="C9383" s="586"/>
      <c r="D9383" s="586"/>
      <c r="E9383" s="587"/>
      <c r="F9383" s="499">
        <f>ROUND(F9357+F9366+F9374+F9380,0)</f>
        <v>83744</v>
      </c>
      <c r="G9383" s="81"/>
      <c r="H9383" s="81"/>
      <c r="I9383" s="81"/>
      <c r="J9383" s="81"/>
      <c r="K9383" s="81"/>
      <c r="L9383" s="81"/>
      <c r="M9383" s="81"/>
      <c r="N9383" s="81"/>
    </row>
    <row r="9384" spans="1:14" ht="14.25" customHeight="1" x14ac:dyDescent="0.25">
      <c r="A9384" s="590" t="s">
        <v>589</v>
      </c>
      <c r="B9384" s="586"/>
      <c r="C9384" s="586"/>
      <c r="D9384" s="586"/>
      <c r="E9384" s="587"/>
      <c r="F9384" s="500"/>
      <c r="G9384" s="81"/>
      <c r="H9384" s="81"/>
      <c r="I9384" s="81"/>
      <c r="J9384" s="81"/>
      <c r="K9384" s="81"/>
      <c r="L9384" s="81"/>
      <c r="M9384" s="81"/>
      <c r="N9384" s="81"/>
    </row>
    <row r="9385" spans="1:14" ht="14.25" customHeight="1" x14ac:dyDescent="0.25">
      <c r="A9385" s="590" t="s">
        <v>556</v>
      </c>
      <c r="B9385" s="586"/>
      <c r="C9385" s="586"/>
      <c r="D9385" s="586"/>
      <c r="E9385" s="587"/>
      <c r="F9385" s="501"/>
      <c r="G9385" s="81"/>
      <c r="H9385" s="81"/>
      <c r="I9385" s="81"/>
      <c r="J9385" s="81"/>
      <c r="K9385" s="81"/>
      <c r="L9385" s="81"/>
      <c r="M9385" s="81"/>
      <c r="N9385" s="81"/>
    </row>
    <row r="9386" spans="1:14" ht="14.25" customHeight="1" x14ac:dyDescent="0.25">
      <c r="A9386" s="301"/>
      <c r="B9386" s="502"/>
      <c r="C9386" s="502"/>
      <c r="D9386" s="502"/>
      <c r="E9386" s="502"/>
      <c r="F9386" s="503"/>
      <c r="G9386" s="81"/>
      <c r="H9386" s="81"/>
      <c r="I9386" s="81"/>
      <c r="J9386" s="81"/>
      <c r="K9386" s="81"/>
      <c r="L9386" s="81"/>
      <c r="M9386" s="81"/>
      <c r="N9386" s="81"/>
    </row>
    <row r="9387" spans="1:14" ht="14.25" customHeight="1" x14ac:dyDescent="0.25">
      <c r="A9387" s="301"/>
      <c r="B9387" s="502"/>
      <c r="C9387" s="502"/>
      <c r="D9387" s="502"/>
      <c r="E9387" s="502"/>
      <c r="F9387" s="503"/>
      <c r="G9387" s="81"/>
      <c r="H9387" s="81"/>
      <c r="I9387" s="81"/>
      <c r="J9387" s="81"/>
      <c r="K9387" s="81"/>
      <c r="L9387" s="81"/>
      <c r="M9387" s="81"/>
      <c r="N9387" s="81"/>
    </row>
    <row r="9388" spans="1:14" ht="14.25" customHeight="1" x14ac:dyDescent="0.25">
      <c r="A9388" s="301"/>
      <c r="B9388" s="502"/>
      <c r="C9388" s="502"/>
      <c r="D9388" s="502"/>
      <c r="E9388" s="502"/>
      <c r="F9388" s="503"/>
      <c r="G9388" s="81"/>
      <c r="H9388" s="81"/>
      <c r="I9388" s="81"/>
      <c r="J9388" s="81"/>
      <c r="K9388" s="81"/>
      <c r="L9388" s="81"/>
      <c r="M9388" s="81"/>
      <c r="N9388" s="81"/>
    </row>
    <row r="9389" spans="1:14" ht="14.25" customHeight="1" x14ac:dyDescent="0.25">
      <c r="A9389" s="243"/>
      <c r="B9389" s="243"/>
      <c r="C9389" s="504"/>
      <c r="D9389" s="243"/>
      <c r="E9389" s="243"/>
      <c r="F9389" s="243"/>
      <c r="G9389" s="81"/>
      <c r="H9389" s="81"/>
      <c r="I9389" s="81"/>
      <c r="J9389" s="81"/>
      <c r="K9389" s="81"/>
      <c r="L9389" s="81"/>
      <c r="M9389" s="81"/>
      <c r="N9389" s="81"/>
    </row>
    <row r="9390" spans="1:14" ht="14.25" customHeight="1" x14ac:dyDescent="0.25">
      <c r="A9390" s="243"/>
      <c r="B9390" s="243"/>
      <c r="C9390" s="504"/>
      <c r="D9390" s="243"/>
      <c r="E9390" s="243"/>
      <c r="F9390" s="243"/>
      <c r="G9390" s="81"/>
      <c r="H9390" s="81"/>
      <c r="I9390" s="81"/>
      <c r="J9390" s="81"/>
      <c r="K9390" s="81"/>
      <c r="L9390" s="81"/>
      <c r="M9390" s="81"/>
      <c r="N9390" s="81"/>
    </row>
    <row r="9391" spans="1:14" ht="14.25" customHeight="1" x14ac:dyDescent="0.25">
      <c r="A9391" s="243"/>
      <c r="B9391" s="243"/>
      <c r="C9391" s="504"/>
      <c r="D9391" s="243"/>
      <c r="E9391" s="243"/>
      <c r="F9391" s="243"/>
      <c r="G9391" s="81"/>
      <c r="H9391" s="81"/>
      <c r="I9391" s="81"/>
      <c r="J9391" s="81"/>
      <c r="K9391" s="81"/>
      <c r="L9391" s="81"/>
      <c r="M9391" s="81"/>
      <c r="N9391" s="81"/>
    </row>
    <row r="9392" spans="1:14" ht="14.25" customHeight="1" x14ac:dyDescent="0.25">
      <c r="A9392" s="243"/>
      <c r="B9392" s="243"/>
      <c r="C9392" s="504"/>
      <c r="D9392" s="243"/>
      <c r="E9392" s="243"/>
      <c r="F9392" s="243"/>
      <c r="G9392" s="81"/>
      <c r="H9392" s="81"/>
      <c r="I9392" s="81"/>
      <c r="J9392" s="81"/>
      <c r="K9392" s="81"/>
      <c r="L9392" s="81"/>
      <c r="M9392" s="81"/>
      <c r="N9392" s="81"/>
    </row>
    <row r="9393" spans="1:14" ht="14.25" customHeight="1" x14ac:dyDescent="0.25">
      <c r="A9393" s="243"/>
      <c r="B9393" s="243"/>
      <c r="C9393" s="504"/>
      <c r="D9393" s="243"/>
      <c r="E9393" s="243"/>
      <c r="F9393" s="243"/>
      <c r="G9393" s="81"/>
      <c r="H9393" s="81"/>
      <c r="I9393" s="81"/>
      <c r="J9393" s="81"/>
      <c r="K9393" s="81"/>
      <c r="L9393" s="81"/>
      <c r="M9393" s="81"/>
      <c r="N9393" s="81"/>
    </row>
    <row r="9394" spans="1:14" ht="14.25" customHeight="1" x14ac:dyDescent="0.25">
      <c r="A9394" s="301"/>
      <c r="B9394" s="502"/>
      <c r="C9394" s="502"/>
      <c r="D9394" s="502"/>
      <c r="E9394" s="502"/>
      <c r="F9394" s="503"/>
      <c r="G9394" s="81"/>
      <c r="H9394" s="81"/>
      <c r="I9394" s="81"/>
      <c r="J9394" s="81"/>
      <c r="K9394" s="81"/>
      <c r="L9394" s="81"/>
      <c r="M9394" s="81"/>
      <c r="N9394" s="81"/>
    </row>
    <row r="9395" spans="1:14" ht="14.25" customHeight="1" thickBot="1" x14ac:dyDescent="0.3">
      <c r="A9395" s="243"/>
      <c r="B9395" s="243"/>
      <c r="C9395" s="243"/>
      <c r="D9395" s="243"/>
      <c r="E9395" s="243"/>
      <c r="F9395" s="243"/>
      <c r="G9395" s="81"/>
      <c r="H9395" s="81"/>
      <c r="I9395" s="81"/>
      <c r="J9395" s="81"/>
      <c r="K9395" s="81"/>
      <c r="L9395" s="81"/>
      <c r="M9395" s="81"/>
      <c r="N9395" s="81"/>
    </row>
    <row r="9396" spans="1:14" ht="14.25" customHeight="1" x14ac:dyDescent="0.25">
      <c r="A9396" s="258"/>
      <c r="B9396" s="259"/>
      <c r="C9396" s="260"/>
      <c r="D9396" s="261"/>
      <c r="E9396" s="261"/>
      <c r="F9396" s="262"/>
      <c r="G9396" s="81"/>
      <c r="H9396" s="81"/>
      <c r="I9396" s="81"/>
      <c r="J9396" s="81"/>
      <c r="K9396" s="81"/>
      <c r="L9396" s="81"/>
      <c r="M9396" s="81"/>
      <c r="N9396" s="81"/>
    </row>
    <row r="9397" spans="1:14" ht="14.25" customHeight="1" x14ac:dyDescent="0.25">
      <c r="A9397" s="621"/>
      <c r="B9397" s="629"/>
      <c r="C9397" s="629"/>
      <c r="D9397" s="629"/>
      <c r="E9397" s="629"/>
      <c r="F9397" s="630"/>
      <c r="G9397" s="81"/>
      <c r="H9397" s="81"/>
      <c r="I9397" s="81"/>
      <c r="J9397" s="81"/>
      <c r="K9397" s="81"/>
      <c r="L9397" s="81"/>
      <c r="M9397" s="81"/>
      <c r="N9397" s="81"/>
    </row>
    <row r="9398" spans="1:14" ht="14.25" customHeight="1" x14ac:dyDescent="0.25">
      <c r="A9398" s="614" t="s">
        <v>561</v>
      </c>
      <c r="B9398" s="629"/>
      <c r="C9398" s="629"/>
      <c r="D9398" s="629"/>
      <c r="E9398" s="629"/>
      <c r="F9398" s="630"/>
      <c r="G9398" s="81"/>
      <c r="H9398" s="81"/>
      <c r="I9398" s="81"/>
      <c r="J9398" s="81"/>
      <c r="K9398" s="81"/>
      <c r="L9398" s="81"/>
      <c r="M9398" s="81"/>
      <c r="N9398" s="81"/>
    </row>
    <row r="9399" spans="1:14" ht="14.25" customHeight="1" thickBot="1" x14ac:dyDescent="0.3">
      <c r="A9399" s="617"/>
      <c r="B9399" s="631"/>
      <c r="C9399" s="631"/>
      <c r="D9399" s="631"/>
      <c r="E9399" s="631"/>
      <c r="F9399" s="632"/>
      <c r="G9399" s="81"/>
      <c r="H9399" s="81"/>
      <c r="I9399" s="81"/>
      <c r="J9399" s="81"/>
      <c r="K9399" s="81"/>
      <c r="L9399" s="81"/>
      <c r="M9399" s="81"/>
      <c r="N9399" s="81"/>
    </row>
    <row r="9400" spans="1:14" ht="14.25" customHeight="1" x14ac:dyDescent="0.25">
      <c r="A9400" s="192"/>
      <c r="B9400" s="192"/>
      <c r="C9400" s="194"/>
      <c r="D9400" s="194"/>
      <c r="E9400" s="194"/>
      <c r="F9400" s="194"/>
      <c r="G9400" s="81"/>
      <c r="H9400" s="81"/>
      <c r="I9400" s="81"/>
      <c r="J9400" s="81"/>
      <c r="K9400" s="81"/>
      <c r="L9400" s="81"/>
      <c r="M9400" s="81"/>
      <c r="N9400" s="81"/>
    </row>
    <row r="9401" spans="1:14" ht="14.25" customHeight="1" x14ac:dyDescent="0.25">
      <c r="A9401" s="473" t="s">
        <v>47</v>
      </c>
      <c r="B9401" s="620" t="s">
        <v>1023</v>
      </c>
      <c r="C9401" s="629"/>
      <c r="D9401" s="629"/>
      <c r="E9401" s="629"/>
      <c r="F9401" s="629"/>
      <c r="G9401" s="81"/>
      <c r="H9401" s="81"/>
      <c r="I9401" s="81"/>
      <c r="J9401" s="81"/>
      <c r="K9401" s="81"/>
      <c r="L9401" s="81"/>
      <c r="M9401" s="81"/>
      <c r="N9401" s="81"/>
    </row>
    <row r="9402" spans="1:14" ht="14.25" customHeight="1" x14ac:dyDescent="0.25">
      <c r="A9402" s="191"/>
      <c r="B9402" s="191"/>
      <c r="C9402" s="191"/>
      <c r="D9402" s="191"/>
      <c r="E9402" s="191"/>
      <c r="F9402" s="191"/>
      <c r="G9402" s="81"/>
      <c r="H9402" s="81"/>
      <c r="I9402" s="81"/>
      <c r="J9402" s="81"/>
      <c r="K9402" s="81"/>
      <c r="L9402" s="81"/>
      <c r="M9402" s="81"/>
      <c r="N9402" s="81"/>
    </row>
    <row r="9403" spans="1:14" ht="14.25" customHeight="1" x14ac:dyDescent="0.25">
      <c r="A9403" s="192" t="s">
        <v>49</v>
      </c>
      <c r="B9403" s="193" t="s">
        <v>56</v>
      </c>
      <c r="C9403" s="194"/>
      <c r="D9403" s="194"/>
      <c r="E9403" s="194"/>
      <c r="F9403" s="195"/>
      <c r="G9403" s="81"/>
      <c r="H9403" s="81"/>
      <c r="I9403" s="81"/>
      <c r="J9403" s="81"/>
      <c r="K9403" s="81"/>
      <c r="L9403" s="81"/>
      <c r="M9403" s="81"/>
      <c r="N9403" s="81"/>
    </row>
    <row r="9404" spans="1:14" ht="14.25" customHeight="1" x14ac:dyDescent="0.25">
      <c r="A9404" s="192"/>
      <c r="B9404" s="196"/>
      <c r="C9404" s="194"/>
      <c r="D9404" s="194"/>
      <c r="E9404" s="194"/>
      <c r="F9404" s="195"/>
      <c r="G9404" s="81"/>
      <c r="H9404" s="81"/>
      <c r="I9404" s="81"/>
      <c r="J9404" s="81"/>
      <c r="K9404" s="81"/>
      <c r="L9404" s="81"/>
      <c r="M9404" s="81"/>
      <c r="N9404" s="81"/>
    </row>
    <row r="9405" spans="1:14" ht="14.25" customHeight="1" x14ac:dyDescent="0.25">
      <c r="A9405" s="197" t="s">
        <v>562</v>
      </c>
      <c r="B9405" s="198"/>
      <c r="C9405" s="193"/>
      <c r="D9405" s="193"/>
      <c r="E9405" s="193"/>
      <c r="F9405" s="193"/>
      <c r="G9405" s="81"/>
      <c r="H9405" s="81"/>
      <c r="I9405" s="81"/>
      <c r="J9405" s="81"/>
      <c r="K9405" s="81"/>
      <c r="L9405" s="81"/>
      <c r="M9405" s="81"/>
      <c r="N9405" s="81"/>
    </row>
    <row r="9406" spans="1:14" ht="14.25" customHeight="1" x14ac:dyDescent="0.25">
      <c r="A9406" s="199" t="s">
        <v>563</v>
      </c>
      <c r="B9406" s="474" t="s">
        <v>564</v>
      </c>
      <c r="C9406" s="474" t="s">
        <v>565</v>
      </c>
      <c r="D9406" s="474" t="s">
        <v>566</v>
      </c>
      <c r="E9406" s="474" t="s">
        <v>567</v>
      </c>
      <c r="F9406" s="474" t="s">
        <v>568</v>
      </c>
      <c r="G9406" s="81"/>
      <c r="H9406" s="81"/>
      <c r="I9406" s="81"/>
      <c r="J9406" s="81"/>
      <c r="K9406" s="81"/>
      <c r="L9406" s="81"/>
      <c r="M9406" s="81"/>
      <c r="N9406" s="81"/>
    </row>
    <row r="9407" spans="1:14" ht="14.25" customHeight="1" x14ac:dyDescent="0.25">
      <c r="A9407" s="475" t="s">
        <v>1418</v>
      </c>
      <c r="B9407" s="476" t="s">
        <v>56</v>
      </c>
      <c r="C9407" s="477">
        <v>34740</v>
      </c>
      <c r="D9407" s="478">
        <v>1</v>
      </c>
      <c r="E9407" s="479">
        <v>0.05</v>
      </c>
      <c r="F9407" s="477">
        <f t="shared" ref="F9407:F9409" si="466">C9407*(D9407+(D9407*E9407))</f>
        <v>36477</v>
      </c>
      <c r="G9407" s="81"/>
      <c r="H9407" s="81"/>
      <c r="I9407" s="81"/>
      <c r="J9407" s="81"/>
      <c r="K9407" s="81"/>
      <c r="L9407" s="81"/>
      <c r="M9407" s="81"/>
      <c r="N9407" s="81"/>
    </row>
    <row r="9408" spans="1:14" ht="14.25" customHeight="1" x14ac:dyDescent="0.25">
      <c r="A9408" s="475" t="s">
        <v>721</v>
      </c>
      <c r="B9408" s="476" t="s">
        <v>117</v>
      </c>
      <c r="C9408" s="477">
        <v>2085</v>
      </c>
      <c r="D9408" s="478">
        <v>3</v>
      </c>
      <c r="E9408" s="479">
        <v>0.05</v>
      </c>
      <c r="F9408" s="477">
        <f t="shared" si="466"/>
        <v>6567.75</v>
      </c>
      <c r="G9408" s="81"/>
      <c r="H9408" s="81"/>
      <c r="I9408" s="81"/>
      <c r="J9408" s="81"/>
      <c r="K9408" s="81"/>
      <c r="L9408" s="81"/>
      <c r="M9408" s="81"/>
      <c r="N9408" s="81"/>
    </row>
    <row r="9409" spans="1:14" ht="14.25" customHeight="1" x14ac:dyDescent="0.25">
      <c r="A9409" s="475" t="s">
        <v>722</v>
      </c>
      <c r="B9409" s="476" t="s">
        <v>117</v>
      </c>
      <c r="C9409" s="477">
        <v>2350</v>
      </c>
      <c r="D9409" s="478">
        <v>0.75</v>
      </c>
      <c r="E9409" s="479">
        <v>0.05</v>
      </c>
      <c r="F9409" s="477">
        <f t="shared" si="466"/>
        <v>1850.625</v>
      </c>
      <c r="G9409" s="81"/>
      <c r="H9409" s="81"/>
      <c r="I9409" s="81"/>
      <c r="J9409" s="81"/>
      <c r="K9409" s="81"/>
      <c r="L9409" s="81"/>
      <c r="M9409" s="81"/>
      <c r="N9409" s="81"/>
    </row>
    <row r="9410" spans="1:14" ht="14.25" customHeight="1" x14ac:dyDescent="0.25">
      <c r="A9410" s="475"/>
      <c r="B9410" s="476"/>
      <c r="C9410" s="477"/>
      <c r="D9410" s="478"/>
      <c r="E9410" s="479"/>
      <c r="F9410" s="477"/>
      <c r="G9410" s="81"/>
      <c r="H9410" s="81"/>
      <c r="I9410" s="81"/>
      <c r="J9410" s="81"/>
      <c r="K9410" s="81"/>
      <c r="L9410" s="81"/>
      <c r="M9410" s="81"/>
      <c r="N9410" s="81"/>
    </row>
    <row r="9411" spans="1:14" ht="14.25" customHeight="1" x14ac:dyDescent="0.25">
      <c r="A9411" s="475"/>
      <c r="B9411" s="476"/>
      <c r="C9411" s="483"/>
      <c r="D9411" s="484"/>
      <c r="E9411" s="485"/>
      <c r="F9411" s="483"/>
      <c r="G9411" s="81"/>
      <c r="H9411" s="81"/>
      <c r="I9411" s="81"/>
      <c r="J9411" s="81"/>
      <c r="K9411" s="81"/>
      <c r="L9411" s="81"/>
      <c r="M9411" s="81"/>
      <c r="N9411" s="81"/>
    </row>
    <row r="9412" spans="1:14" ht="14.25" customHeight="1" x14ac:dyDescent="0.25">
      <c r="A9412" s="199" t="s">
        <v>548</v>
      </c>
      <c r="B9412" s="199"/>
      <c r="C9412" s="486"/>
      <c r="D9412" s="487"/>
      <c r="E9412" s="488"/>
      <c r="F9412" s="489">
        <f>SUM(F9407:F9411)</f>
        <v>44895.375</v>
      </c>
      <c r="G9412" s="81"/>
      <c r="H9412" s="145"/>
      <c r="I9412" s="81"/>
      <c r="J9412" s="81"/>
      <c r="K9412" s="81"/>
      <c r="L9412" s="81"/>
      <c r="M9412" s="81"/>
      <c r="N9412" s="81"/>
    </row>
    <row r="9413" spans="1:14" ht="14.25" customHeight="1" x14ac:dyDescent="0.25">
      <c r="A9413" s="192"/>
      <c r="B9413" s="192"/>
      <c r="C9413" s="215"/>
      <c r="D9413" s="215"/>
      <c r="E9413" s="216"/>
      <c r="F9413" s="215"/>
      <c r="G9413" s="81"/>
      <c r="H9413" s="81"/>
      <c r="I9413" s="81"/>
      <c r="J9413" s="81"/>
      <c r="K9413" s="81"/>
      <c r="L9413" s="81"/>
      <c r="M9413" s="81"/>
      <c r="N9413" s="81"/>
    </row>
    <row r="9414" spans="1:14" ht="14.25" customHeight="1" x14ac:dyDescent="0.25">
      <c r="A9414" s="198" t="s">
        <v>573</v>
      </c>
      <c r="B9414" s="198"/>
      <c r="C9414" s="193"/>
      <c r="D9414" s="193"/>
      <c r="E9414" s="193"/>
      <c r="F9414" s="193"/>
      <c r="G9414" s="81"/>
      <c r="H9414" s="81"/>
      <c r="I9414" s="81"/>
      <c r="J9414" s="81"/>
      <c r="K9414" s="81"/>
      <c r="L9414" s="81"/>
      <c r="M9414" s="81"/>
      <c r="N9414" s="81"/>
    </row>
    <row r="9415" spans="1:14" ht="14.25" customHeight="1" x14ac:dyDescent="0.25">
      <c r="A9415" s="585" t="s">
        <v>563</v>
      </c>
      <c r="B9415" s="586"/>
      <c r="C9415" s="587"/>
      <c r="D9415" s="474" t="s">
        <v>574</v>
      </c>
      <c r="E9415" s="474" t="s">
        <v>575</v>
      </c>
      <c r="F9415" s="474" t="s">
        <v>568</v>
      </c>
      <c r="G9415" s="81"/>
      <c r="H9415" s="81"/>
      <c r="I9415" s="81"/>
      <c r="J9415" s="81"/>
      <c r="K9415" s="81"/>
      <c r="L9415" s="81"/>
      <c r="M9415" s="81"/>
      <c r="N9415" s="81"/>
    </row>
    <row r="9416" spans="1:14" ht="14.25" customHeight="1" x14ac:dyDescent="0.25">
      <c r="A9416" s="588" t="s">
        <v>577</v>
      </c>
      <c r="B9416" s="586"/>
      <c r="C9416" s="587"/>
      <c r="D9416" s="490"/>
      <c r="E9416" s="484"/>
      <c r="F9416" s="483">
        <f>+F9429*5%</f>
        <v>1454.2226237077186</v>
      </c>
      <c r="G9416" s="81"/>
      <c r="H9416" s="81"/>
      <c r="I9416" s="81"/>
      <c r="J9416" s="81"/>
      <c r="K9416" s="81"/>
      <c r="L9416" s="81"/>
      <c r="M9416" s="81"/>
      <c r="N9416" s="81"/>
    </row>
    <row r="9417" spans="1:14" ht="14.25" customHeight="1" x14ac:dyDescent="0.25">
      <c r="A9417" s="588"/>
      <c r="B9417" s="586"/>
      <c r="C9417" s="587"/>
      <c r="D9417" s="505"/>
      <c r="E9417" s="484"/>
      <c r="F9417" s="483"/>
      <c r="G9417" s="81"/>
      <c r="H9417" s="81"/>
      <c r="I9417" s="81"/>
      <c r="J9417" s="81"/>
      <c r="K9417" s="81"/>
      <c r="L9417" s="81"/>
      <c r="M9417" s="81"/>
      <c r="N9417" s="81"/>
    </row>
    <row r="9418" spans="1:14" ht="14.25" customHeight="1" x14ac:dyDescent="0.25">
      <c r="A9418" s="588"/>
      <c r="B9418" s="586"/>
      <c r="C9418" s="587"/>
      <c r="D9418" s="505"/>
      <c r="E9418" s="484"/>
      <c r="F9418" s="483"/>
      <c r="G9418" s="81"/>
      <c r="H9418" s="81"/>
      <c r="I9418" s="81"/>
      <c r="J9418" s="81"/>
      <c r="K9418" s="81"/>
      <c r="L9418" s="81"/>
      <c r="M9418" s="81"/>
      <c r="N9418" s="81"/>
    </row>
    <row r="9419" spans="1:14" ht="14.25" customHeight="1" x14ac:dyDescent="0.25">
      <c r="A9419" s="588"/>
      <c r="B9419" s="586"/>
      <c r="C9419" s="587"/>
      <c r="D9419" s="505"/>
      <c r="E9419" s="484"/>
      <c r="F9419" s="483"/>
      <c r="G9419" s="81"/>
      <c r="H9419" s="81"/>
      <c r="I9419" s="81"/>
      <c r="J9419" s="81"/>
      <c r="K9419" s="81"/>
      <c r="L9419" s="81"/>
      <c r="M9419" s="81"/>
      <c r="N9419" s="81"/>
    </row>
    <row r="9420" spans="1:14" ht="14.25" customHeight="1" x14ac:dyDescent="0.25">
      <c r="A9420" s="589"/>
      <c r="B9420" s="586"/>
      <c r="C9420" s="587"/>
      <c r="D9420" s="491"/>
      <c r="E9420" s="484"/>
      <c r="F9420" s="483"/>
      <c r="G9420" s="81"/>
      <c r="H9420" s="81"/>
      <c r="I9420" s="81"/>
      <c r="J9420" s="81"/>
      <c r="K9420" s="81"/>
      <c r="L9420" s="81"/>
      <c r="M9420" s="81"/>
      <c r="N9420" s="81"/>
    </row>
    <row r="9421" spans="1:14" ht="14.25" customHeight="1" x14ac:dyDescent="0.25">
      <c r="A9421" s="585" t="s">
        <v>548</v>
      </c>
      <c r="B9421" s="586"/>
      <c r="C9421" s="587"/>
      <c r="D9421" s="487"/>
      <c r="E9421" s="487"/>
      <c r="F9421" s="489">
        <f>SUM(F9416:F9420)</f>
        <v>1454.2226237077186</v>
      </c>
      <c r="G9421" s="81"/>
      <c r="H9421" s="81"/>
      <c r="I9421" s="81"/>
      <c r="J9421" s="81"/>
      <c r="K9421" s="81"/>
      <c r="L9421" s="81"/>
      <c r="M9421" s="81"/>
      <c r="N9421" s="81"/>
    </row>
    <row r="9422" spans="1:14" ht="14.25" customHeight="1" x14ac:dyDescent="0.25">
      <c r="A9422" s="192"/>
      <c r="B9422" s="192"/>
      <c r="C9422" s="194"/>
      <c r="D9422" s="215"/>
      <c r="E9422" s="215"/>
      <c r="F9422" s="215"/>
      <c r="G9422" s="81"/>
      <c r="H9422" s="81"/>
      <c r="I9422" s="81"/>
      <c r="J9422" s="81"/>
      <c r="K9422" s="81"/>
      <c r="L9422" s="81"/>
      <c r="M9422" s="81"/>
      <c r="N9422" s="81"/>
    </row>
    <row r="9423" spans="1:14" ht="14.25" customHeight="1" x14ac:dyDescent="0.25">
      <c r="A9423" s="198" t="s">
        <v>578</v>
      </c>
      <c r="B9423" s="198"/>
      <c r="C9423" s="193"/>
      <c r="D9423" s="223"/>
      <c r="E9423" s="223"/>
      <c r="F9423" s="223"/>
      <c r="G9423" s="81"/>
      <c r="H9423" s="81"/>
      <c r="I9423" s="81"/>
      <c r="J9423" s="81"/>
      <c r="K9423" s="81"/>
      <c r="L9423" s="81"/>
      <c r="M9423" s="81"/>
      <c r="N9423" s="81"/>
    </row>
    <row r="9424" spans="1:14" ht="38.25" x14ac:dyDescent="0.25">
      <c r="A9424" s="224" t="s">
        <v>563</v>
      </c>
      <c r="B9424" s="492" t="s">
        <v>579</v>
      </c>
      <c r="C9424" s="492" t="s">
        <v>580</v>
      </c>
      <c r="D9424" s="493" t="s">
        <v>581</v>
      </c>
      <c r="E9424" s="493" t="s">
        <v>575</v>
      </c>
      <c r="F9424" s="493" t="s">
        <v>568</v>
      </c>
      <c r="G9424" s="81"/>
      <c r="H9424" s="81"/>
      <c r="I9424" s="81"/>
      <c r="J9424" s="81"/>
      <c r="K9424" s="81"/>
      <c r="L9424" s="81"/>
      <c r="M9424" s="81"/>
      <c r="N9424" s="81"/>
    </row>
    <row r="9425" spans="1:14" ht="14.25" customHeight="1" x14ac:dyDescent="0.25">
      <c r="A9425" s="494" t="s">
        <v>593</v>
      </c>
      <c r="B9425" s="495">
        <v>1</v>
      </c>
      <c r="C9425" s="477">
        <v>32688</v>
      </c>
      <c r="D9425" s="477">
        <f t="shared" ref="D9425:D9426" si="467">+C9425*1.7</f>
        <v>55569.599999999999</v>
      </c>
      <c r="E9425" s="484">
        <v>4.9814999999999996</v>
      </c>
      <c r="F9425" s="483">
        <f t="shared" ref="F9425:F9426" si="468">+B9425*(D9425)/E9425</f>
        <v>11155.194218608853</v>
      </c>
      <c r="G9425" s="81"/>
      <c r="H9425" s="81"/>
      <c r="I9425" s="81"/>
      <c r="J9425" s="81"/>
      <c r="K9425" s="81"/>
      <c r="L9425" s="81"/>
      <c r="M9425" s="81"/>
      <c r="N9425" s="81"/>
    </row>
    <row r="9426" spans="1:14" ht="14.25" customHeight="1" x14ac:dyDescent="0.25">
      <c r="A9426" s="494" t="s">
        <v>594</v>
      </c>
      <c r="B9426" s="495">
        <v>1</v>
      </c>
      <c r="C9426" s="477">
        <v>52538</v>
      </c>
      <c r="D9426" s="477">
        <f t="shared" si="467"/>
        <v>89314.599999999991</v>
      </c>
      <c r="E9426" s="484">
        <f>E9425</f>
        <v>4.9814999999999996</v>
      </c>
      <c r="F9426" s="483">
        <f t="shared" si="468"/>
        <v>17929.258255545519</v>
      </c>
      <c r="G9426" s="81"/>
      <c r="H9426" s="81"/>
      <c r="I9426" s="81"/>
      <c r="J9426" s="81"/>
      <c r="K9426" s="81"/>
      <c r="L9426" s="81"/>
      <c r="M9426" s="81"/>
      <c r="N9426" s="81"/>
    </row>
    <row r="9427" spans="1:14" ht="14.25" customHeight="1" x14ac:dyDescent="0.25">
      <c r="A9427" s="494"/>
      <c r="B9427" s="495"/>
      <c r="C9427" s="477"/>
      <c r="D9427" s="477"/>
      <c r="E9427" s="484"/>
      <c r="F9427" s="483"/>
      <c r="G9427" s="81"/>
      <c r="H9427" s="81"/>
      <c r="I9427" s="81"/>
      <c r="J9427" s="81"/>
      <c r="K9427" s="81"/>
      <c r="L9427" s="81"/>
      <c r="M9427" s="81"/>
      <c r="N9427" s="81"/>
    </row>
    <row r="9428" spans="1:14" ht="14.25" customHeight="1" x14ac:dyDescent="0.25">
      <c r="A9428" s="494"/>
      <c r="B9428" s="495"/>
      <c r="C9428" s="477"/>
      <c r="D9428" s="477"/>
      <c r="E9428" s="496"/>
      <c r="F9428" s="483"/>
      <c r="G9428" s="81"/>
      <c r="H9428" s="81"/>
      <c r="I9428" s="81"/>
      <c r="J9428" s="81"/>
      <c r="K9428" s="81"/>
      <c r="L9428" s="81"/>
      <c r="M9428" s="81"/>
      <c r="N9428" s="81"/>
    </row>
    <row r="9429" spans="1:14" ht="14.25" customHeight="1" x14ac:dyDescent="0.25">
      <c r="A9429" s="199" t="s">
        <v>548</v>
      </c>
      <c r="B9429" s="497"/>
      <c r="C9429" s="487"/>
      <c r="D9429" s="487"/>
      <c r="E9429" s="487"/>
      <c r="F9429" s="489">
        <f>SUM(F9425:F9428)</f>
        <v>29084.452474154372</v>
      </c>
      <c r="G9429" s="81"/>
      <c r="H9429" s="81"/>
      <c r="I9429" s="81"/>
      <c r="J9429" s="81"/>
      <c r="K9429" s="81"/>
      <c r="L9429" s="81"/>
      <c r="M9429" s="81"/>
      <c r="N9429" s="81"/>
    </row>
    <row r="9430" spans="1:14" ht="14.25" customHeight="1" x14ac:dyDescent="0.25">
      <c r="A9430" s="198"/>
      <c r="B9430" s="231"/>
      <c r="C9430" s="223"/>
      <c r="D9430" s="223"/>
      <c r="E9430" s="223"/>
      <c r="F9430" s="223"/>
      <c r="G9430" s="81"/>
      <c r="H9430" s="81"/>
      <c r="I9430" s="81"/>
      <c r="J9430" s="81"/>
      <c r="K9430" s="81"/>
      <c r="L9430" s="81"/>
      <c r="M9430" s="81"/>
      <c r="N9430" s="81"/>
    </row>
    <row r="9431" spans="1:14" ht="14.25" customHeight="1" x14ac:dyDescent="0.25">
      <c r="A9431" s="197" t="s">
        <v>583</v>
      </c>
      <c r="B9431" s="198"/>
      <c r="C9431" s="193"/>
      <c r="D9431" s="193"/>
      <c r="E9431" s="193" t="s">
        <v>584</v>
      </c>
      <c r="F9431" s="193"/>
      <c r="G9431" s="81"/>
      <c r="H9431" s="81"/>
      <c r="I9431" s="81"/>
      <c r="J9431" s="81"/>
      <c r="K9431" s="81"/>
      <c r="L9431" s="81"/>
      <c r="M9431" s="81"/>
      <c r="N9431" s="81"/>
    </row>
    <row r="9432" spans="1:14" ht="14.25" customHeight="1" x14ac:dyDescent="0.25">
      <c r="A9432" s="199" t="s">
        <v>563</v>
      </c>
      <c r="B9432" s="474" t="s">
        <v>564</v>
      </c>
      <c r="C9432" s="474" t="s">
        <v>585</v>
      </c>
      <c r="D9432" s="474" t="s">
        <v>586</v>
      </c>
      <c r="E9432" s="492" t="s">
        <v>587</v>
      </c>
      <c r="F9432" s="474" t="s">
        <v>568</v>
      </c>
      <c r="G9432" s="81"/>
      <c r="H9432" s="81"/>
      <c r="I9432" s="81"/>
      <c r="J9432" s="81"/>
      <c r="K9432" s="81"/>
      <c r="L9432" s="81"/>
      <c r="M9432" s="81"/>
      <c r="N9432" s="81"/>
    </row>
    <row r="9433" spans="1:14" ht="14.25" customHeight="1" x14ac:dyDescent="0.25">
      <c r="A9433" s="480"/>
      <c r="B9433" s="476"/>
      <c r="C9433" s="477"/>
      <c r="D9433" s="498"/>
      <c r="E9433" s="484"/>
      <c r="F9433" s="486">
        <f>+C9433*D9433*E9433</f>
        <v>0</v>
      </c>
      <c r="G9433" s="81"/>
      <c r="H9433" s="81"/>
      <c r="I9433" s="81"/>
      <c r="J9433" s="81"/>
      <c r="K9433" s="81"/>
      <c r="L9433" s="81"/>
      <c r="M9433" s="81"/>
      <c r="N9433" s="81"/>
    </row>
    <row r="9434" spans="1:14" ht="14.25" customHeight="1" x14ac:dyDescent="0.25">
      <c r="A9434" s="480"/>
      <c r="B9434" s="476"/>
      <c r="C9434" s="484"/>
      <c r="D9434" s="484"/>
      <c r="E9434" s="485"/>
      <c r="F9434" s="486"/>
      <c r="G9434" s="81"/>
      <c r="H9434" s="81"/>
      <c r="I9434" s="81"/>
      <c r="J9434" s="81"/>
      <c r="K9434" s="81"/>
      <c r="L9434" s="81"/>
      <c r="M9434" s="81"/>
      <c r="N9434" s="81"/>
    </row>
    <row r="9435" spans="1:14" ht="14.25" customHeight="1" x14ac:dyDescent="0.25">
      <c r="A9435" s="199" t="s">
        <v>548</v>
      </c>
      <c r="B9435" s="474"/>
      <c r="C9435" s="487"/>
      <c r="D9435" s="487"/>
      <c r="E9435" s="488"/>
      <c r="F9435" s="489">
        <f>SUM(F9433:F9434)</f>
        <v>0</v>
      </c>
      <c r="G9435" s="81"/>
      <c r="H9435" s="81"/>
      <c r="I9435" s="81"/>
      <c r="J9435" s="81"/>
      <c r="K9435" s="81"/>
      <c r="L9435" s="81"/>
      <c r="M9435" s="81"/>
      <c r="N9435" s="81"/>
    </row>
    <row r="9436" spans="1:14" ht="14.25" customHeight="1" x14ac:dyDescent="0.25">
      <c r="A9436" s="192"/>
      <c r="B9436" s="194"/>
      <c r="C9436" s="215"/>
      <c r="D9436" s="215"/>
      <c r="E9436" s="216"/>
      <c r="F9436" s="215"/>
      <c r="G9436" s="81"/>
      <c r="H9436" s="81"/>
      <c r="I9436" s="81"/>
      <c r="J9436" s="81"/>
      <c r="K9436" s="81"/>
      <c r="L9436" s="81"/>
      <c r="M9436" s="81"/>
      <c r="N9436" s="81"/>
    </row>
    <row r="9437" spans="1:14" ht="14.25" customHeight="1" x14ac:dyDescent="0.25">
      <c r="A9437" s="192"/>
      <c r="B9437" s="194"/>
      <c r="C9437" s="215"/>
      <c r="D9437" s="215"/>
      <c r="E9437" s="216"/>
      <c r="F9437" s="215"/>
      <c r="G9437" s="81"/>
      <c r="H9437" s="81"/>
      <c r="I9437" s="81"/>
      <c r="J9437" s="81"/>
      <c r="K9437" s="81"/>
      <c r="L9437" s="81"/>
      <c r="M9437" s="81"/>
      <c r="N9437" s="81"/>
    </row>
    <row r="9438" spans="1:14" ht="14.25" customHeight="1" x14ac:dyDescent="0.25">
      <c r="A9438" s="590" t="s">
        <v>588</v>
      </c>
      <c r="B9438" s="586"/>
      <c r="C9438" s="586"/>
      <c r="D9438" s="586"/>
      <c r="E9438" s="587"/>
      <c r="F9438" s="499">
        <f>ROUND(F9412+F9421+F9429+F9435,0)</f>
        <v>75434</v>
      </c>
      <c r="G9438" s="81"/>
      <c r="H9438" s="81"/>
      <c r="I9438" s="81"/>
      <c r="J9438" s="81"/>
      <c r="K9438" s="81"/>
      <c r="L9438" s="81"/>
      <c r="M9438" s="81"/>
      <c r="N9438" s="81"/>
    </row>
    <row r="9439" spans="1:14" ht="14.25" customHeight="1" x14ac:dyDescent="0.25">
      <c r="A9439" s="590" t="s">
        <v>589</v>
      </c>
      <c r="B9439" s="586"/>
      <c r="C9439" s="586"/>
      <c r="D9439" s="586"/>
      <c r="E9439" s="587"/>
      <c r="F9439" s="500"/>
      <c r="G9439" s="81"/>
      <c r="H9439" s="81"/>
      <c r="I9439" s="81"/>
      <c r="J9439" s="81"/>
      <c r="K9439" s="81"/>
      <c r="L9439" s="81"/>
      <c r="M9439" s="81"/>
      <c r="N9439" s="81"/>
    </row>
    <row r="9440" spans="1:14" ht="14.25" customHeight="1" x14ac:dyDescent="0.25">
      <c r="A9440" s="590" t="s">
        <v>556</v>
      </c>
      <c r="B9440" s="586"/>
      <c r="C9440" s="586"/>
      <c r="D9440" s="586"/>
      <c r="E9440" s="587"/>
      <c r="F9440" s="501"/>
      <c r="G9440" s="81"/>
      <c r="H9440" s="81"/>
      <c r="I9440" s="81"/>
      <c r="J9440" s="81"/>
      <c r="K9440" s="81"/>
      <c r="L9440" s="81"/>
      <c r="M9440" s="81"/>
      <c r="N9440" s="81"/>
    </row>
    <row r="9441" spans="1:14" ht="14.25" customHeight="1" x14ac:dyDescent="0.25">
      <c r="A9441" s="301"/>
      <c r="B9441" s="502"/>
      <c r="C9441" s="502"/>
      <c r="D9441" s="502"/>
      <c r="E9441" s="502"/>
      <c r="F9441" s="503"/>
      <c r="G9441" s="81"/>
      <c r="H9441" s="81"/>
      <c r="I9441" s="81"/>
      <c r="J9441" s="81"/>
      <c r="K9441" s="81"/>
      <c r="L9441" s="81"/>
      <c r="M9441" s="81"/>
      <c r="N9441" s="81"/>
    </row>
    <row r="9442" spans="1:14" ht="14.25" customHeight="1" x14ac:dyDescent="0.25">
      <c r="A9442" s="301"/>
      <c r="B9442" s="502"/>
      <c r="C9442" s="502"/>
      <c r="D9442" s="502"/>
      <c r="E9442" s="502"/>
      <c r="F9442" s="503"/>
      <c r="G9442" s="81"/>
      <c r="H9442" s="81"/>
      <c r="I9442" s="81"/>
      <c r="J9442" s="81"/>
      <c r="K9442" s="81"/>
      <c r="L9442" s="81"/>
      <c r="M9442" s="81"/>
      <c r="N9442" s="81"/>
    </row>
    <row r="9443" spans="1:14" ht="14.25" customHeight="1" x14ac:dyDescent="0.25">
      <c r="A9443" s="301"/>
      <c r="B9443" s="502"/>
      <c r="C9443" s="502"/>
      <c r="D9443" s="502"/>
      <c r="E9443" s="502"/>
      <c r="F9443" s="503"/>
      <c r="G9443" s="81"/>
      <c r="H9443" s="81"/>
      <c r="I9443" s="81"/>
      <c r="J9443" s="81"/>
      <c r="K9443" s="81"/>
      <c r="L9443" s="81"/>
      <c r="M9443" s="81"/>
      <c r="N9443" s="81"/>
    </row>
    <row r="9444" spans="1:14" ht="14.25" customHeight="1" x14ac:dyDescent="0.25">
      <c r="A9444" s="243"/>
      <c r="B9444" s="243"/>
      <c r="C9444" s="504"/>
      <c r="D9444" s="243"/>
      <c r="E9444" s="243"/>
      <c r="F9444" s="243"/>
      <c r="G9444" s="81"/>
      <c r="H9444" s="81"/>
      <c r="I9444" s="81"/>
      <c r="J9444" s="81"/>
      <c r="K9444" s="81"/>
      <c r="L9444" s="81"/>
      <c r="M9444" s="81"/>
      <c r="N9444" s="81"/>
    </row>
    <row r="9445" spans="1:14" ht="14.25" customHeight="1" x14ac:dyDescent="0.25">
      <c r="A9445" s="243"/>
      <c r="B9445" s="243"/>
      <c r="C9445" s="504"/>
      <c r="D9445" s="243"/>
      <c r="E9445" s="243"/>
      <c r="F9445" s="243"/>
      <c r="G9445" s="81"/>
      <c r="H9445" s="81"/>
      <c r="I9445" s="81"/>
      <c r="J9445" s="81"/>
      <c r="K9445" s="81"/>
      <c r="L9445" s="81"/>
      <c r="M9445" s="81"/>
      <c r="N9445" s="81"/>
    </row>
    <row r="9446" spans="1:14" ht="14.25" customHeight="1" x14ac:dyDescent="0.25">
      <c r="A9446" s="243"/>
      <c r="B9446" s="243"/>
      <c r="C9446" s="504"/>
      <c r="D9446" s="243"/>
      <c r="E9446" s="243"/>
      <c r="F9446" s="243"/>
      <c r="G9446" s="81"/>
      <c r="H9446" s="81"/>
      <c r="I9446" s="81"/>
      <c r="J9446" s="81"/>
      <c r="K9446" s="81"/>
      <c r="L9446" s="81"/>
      <c r="M9446" s="81"/>
      <c r="N9446" s="81"/>
    </row>
    <row r="9447" spans="1:14" ht="14.25" customHeight="1" x14ac:dyDescent="0.25">
      <c r="A9447" s="243"/>
      <c r="B9447" s="243"/>
      <c r="C9447" s="504"/>
      <c r="D9447" s="243"/>
      <c r="E9447" s="243"/>
      <c r="F9447" s="243"/>
      <c r="G9447" s="81"/>
      <c r="H9447" s="81"/>
      <c r="I9447" s="81"/>
      <c r="J9447" s="81"/>
      <c r="K9447" s="81"/>
      <c r="L9447" s="81"/>
      <c r="M9447" s="81"/>
      <c r="N9447" s="81"/>
    </row>
    <row r="9448" spans="1:14" ht="14.25" customHeight="1" x14ac:dyDescent="0.25">
      <c r="A9448" s="243"/>
      <c r="B9448" s="243"/>
      <c r="C9448" s="504"/>
      <c r="D9448" s="243"/>
      <c r="E9448" s="243"/>
      <c r="F9448" s="243"/>
      <c r="G9448" s="81"/>
      <c r="H9448" s="81"/>
      <c r="I9448" s="81"/>
      <c r="J9448" s="81"/>
      <c r="K9448" s="81"/>
      <c r="L9448" s="81"/>
      <c r="M9448" s="81"/>
      <c r="N9448" s="81"/>
    </row>
    <row r="9449" spans="1:14" ht="14.25" customHeight="1" x14ac:dyDescent="0.25">
      <c r="A9449" s="243"/>
      <c r="B9449" s="243"/>
      <c r="C9449" s="504"/>
      <c r="D9449" s="243"/>
      <c r="E9449" s="243"/>
      <c r="F9449" s="243"/>
      <c r="G9449" s="81"/>
      <c r="H9449" s="81"/>
      <c r="I9449" s="81"/>
      <c r="J9449" s="81"/>
      <c r="K9449" s="81"/>
      <c r="L9449" s="81"/>
      <c r="M9449" s="81"/>
      <c r="N9449" s="81"/>
    </row>
    <row r="9450" spans="1:14" ht="14.25" customHeight="1" x14ac:dyDescent="0.25">
      <c r="A9450" s="301"/>
      <c r="B9450" s="502"/>
      <c r="C9450" s="502"/>
      <c r="D9450" s="502"/>
      <c r="E9450" s="502"/>
      <c r="F9450" s="503"/>
      <c r="G9450" s="81"/>
      <c r="H9450" s="81"/>
      <c r="I9450" s="81"/>
      <c r="J9450" s="81"/>
      <c r="K9450" s="81"/>
      <c r="L9450" s="81"/>
      <c r="M9450" s="81"/>
      <c r="N9450" s="81"/>
    </row>
    <row r="9451" spans="1:14" ht="14.25" customHeight="1" thickBot="1" x14ac:dyDescent="0.3">
      <c r="A9451" s="243"/>
      <c r="B9451" s="243"/>
      <c r="C9451" s="243"/>
      <c r="D9451" s="243"/>
      <c r="E9451" s="243"/>
      <c r="F9451" s="243"/>
      <c r="G9451" s="81"/>
      <c r="H9451" s="81"/>
      <c r="I9451" s="81"/>
      <c r="J9451" s="81"/>
      <c r="K9451" s="81"/>
      <c r="L9451" s="81"/>
      <c r="M9451" s="81"/>
      <c r="N9451" s="81"/>
    </row>
    <row r="9452" spans="1:14" ht="14.25" customHeight="1" x14ac:dyDescent="0.25">
      <c r="A9452" s="258"/>
      <c r="B9452" s="259"/>
      <c r="C9452" s="260"/>
      <c r="D9452" s="261"/>
      <c r="E9452" s="261"/>
      <c r="F9452" s="262"/>
      <c r="G9452" s="81"/>
      <c r="H9452" s="81"/>
      <c r="I9452" s="81"/>
      <c r="J9452" s="81"/>
      <c r="K9452" s="81"/>
      <c r="L9452" s="81"/>
      <c r="M9452" s="81"/>
      <c r="N9452" s="81"/>
    </row>
    <row r="9453" spans="1:14" ht="14.25" customHeight="1" x14ac:dyDescent="0.25">
      <c r="A9453" s="621"/>
      <c r="B9453" s="629"/>
      <c r="C9453" s="629"/>
      <c r="D9453" s="629"/>
      <c r="E9453" s="629"/>
      <c r="F9453" s="630"/>
      <c r="G9453" s="81"/>
      <c r="H9453" s="81"/>
      <c r="I9453" s="81"/>
      <c r="J9453" s="81"/>
      <c r="K9453" s="81"/>
      <c r="L9453" s="81"/>
      <c r="M9453" s="81"/>
      <c r="N9453" s="81"/>
    </row>
    <row r="9454" spans="1:14" ht="14.25" customHeight="1" x14ac:dyDescent="0.25">
      <c r="A9454" s="614" t="s">
        <v>561</v>
      </c>
      <c r="B9454" s="629"/>
      <c r="C9454" s="629"/>
      <c r="D9454" s="629"/>
      <c r="E9454" s="629"/>
      <c r="F9454" s="630"/>
      <c r="G9454" s="81"/>
      <c r="H9454" s="81"/>
      <c r="I9454" s="81"/>
      <c r="J9454" s="81"/>
      <c r="K9454" s="81"/>
      <c r="L9454" s="81"/>
      <c r="M9454" s="81"/>
      <c r="N9454" s="81"/>
    </row>
    <row r="9455" spans="1:14" ht="14.25" customHeight="1" thickBot="1" x14ac:dyDescent="0.3">
      <c r="A9455" s="617"/>
      <c r="B9455" s="631"/>
      <c r="C9455" s="631"/>
      <c r="D9455" s="631"/>
      <c r="E9455" s="631"/>
      <c r="F9455" s="632"/>
      <c r="G9455" s="81"/>
      <c r="H9455" s="81"/>
      <c r="I9455" s="81"/>
      <c r="J9455" s="81"/>
      <c r="K9455" s="81"/>
      <c r="L9455" s="81"/>
      <c r="M9455" s="81"/>
      <c r="N9455" s="81"/>
    </row>
    <row r="9456" spans="1:14" ht="14.25" customHeight="1" x14ac:dyDescent="0.25">
      <c r="A9456" s="192"/>
      <c r="B9456" s="192"/>
      <c r="C9456" s="194"/>
      <c r="D9456" s="194"/>
      <c r="E9456" s="194"/>
      <c r="F9456" s="194"/>
      <c r="G9456" s="81"/>
      <c r="H9456" s="81"/>
      <c r="I9456" s="81"/>
      <c r="J9456" s="81"/>
      <c r="K9456" s="81"/>
      <c r="L9456" s="81"/>
      <c r="M9456" s="81"/>
      <c r="N9456" s="81"/>
    </row>
    <row r="9457" spans="1:14" ht="14.25" customHeight="1" x14ac:dyDescent="0.25">
      <c r="A9457" s="473" t="s">
        <v>47</v>
      </c>
      <c r="B9457" s="620" t="s">
        <v>1419</v>
      </c>
      <c r="C9457" s="629"/>
      <c r="D9457" s="629"/>
      <c r="E9457" s="629"/>
      <c r="F9457" s="629"/>
      <c r="G9457" s="81"/>
      <c r="H9457" s="81"/>
      <c r="I9457" s="81"/>
      <c r="J9457" s="81"/>
      <c r="K9457" s="81"/>
      <c r="L9457" s="81"/>
      <c r="M9457" s="81"/>
      <c r="N9457" s="81"/>
    </row>
    <row r="9458" spans="1:14" ht="14.25" customHeight="1" x14ac:dyDescent="0.25">
      <c r="A9458" s="191"/>
      <c r="B9458" s="191"/>
      <c r="C9458" s="191"/>
      <c r="D9458" s="191"/>
      <c r="E9458" s="191"/>
      <c r="F9458" s="191"/>
      <c r="G9458" s="81"/>
      <c r="H9458" s="81"/>
      <c r="I9458" s="81"/>
      <c r="J9458" s="81"/>
      <c r="K9458" s="81"/>
      <c r="L9458" s="81"/>
      <c r="M9458" s="81"/>
      <c r="N9458" s="81"/>
    </row>
    <row r="9459" spans="1:14" ht="14.25" customHeight="1" x14ac:dyDescent="0.25">
      <c r="A9459" s="192" t="s">
        <v>49</v>
      </c>
      <c r="B9459" s="193" t="s">
        <v>99</v>
      </c>
      <c r="C9459" s="194"/>
      <c r="D9459" s="194"/>
      <c r="E9459" s="194"/>
      <c r="F9459" s="195"/>
      <c r="G9459" s="81"/>
      <c r="H9459" s="81"/>
      <c r="I9459" s="81"/>
      <c r="J9459" s="81"/>
      <c r="K9459" s="81"/>
      <c r="L9459" s="81"/>
      <c r="M9459" s="81"/>
      <c r="N9459" s="81"/>
    </row>
    <row r="9460" spans="1:14" ht="14.25" customHeight="1" x14ac:dyDescent="0.25">
      <c r="A9460" s="192"/>
      <c r="B9460" s="196"/>
      <c r="C9460" s="194"/>
      <c r="D9460" s="194"/>
      <c r="E9460" s="194"/>
      <c r="F9460" s="195"/>
      <c r="G9460" s="81"/>
      <c r="H9460" s="81"/>
      <c r="I9460" s="81"/>
      <c r="J9460" s="81"/>
      <c r="K9460" s="81"/>
      <c r="L9460" s="81"/>
      <c r="M9460" s="81"/>
      <c r="N9460" s="81"/>
    </row>
    <row r="9461" spans="1:14" ht="14.25" customHeight="1" x14ac:dyDescent="0.25">
      <c r="A9461" s="197" t="s">
        <v>562</v>
      </c>
      <c r="B9461" s="198"/>
      <c r="C9461" s="193"/>
      <c r="D9461" s="193"/>
      <c r="E9461" s="193"/>
      <c r="F9461" s="193"/>
      <c r="G9461" s="81"/>
      <c r="H9461" s="81"/>
      <c r="I9461" s="81"/>
      <c r="J9461" s="81"/>
      <c r="K9461" s="81"/>
      <c r="L9461" s="81"/>
      <c r="M9461" s="81"/>
      <c r="N9461" s="81"/>
    </row>
    <row r="9462" spans="1:14" ht="14.25" customHeight="1" x14ac:dyDescent="0.25">
      <c r="A9462" s="199" t="s">
        <v>563</v>
      </c>
      <c r="B9462" s="474" t="s">
        <v>564</v>
      </c>
      <c r="C9462" s="474" t="s">
        <v>565</v>
      </c>
      <c r="D9462" s="474" t="s">
        <v>566</v>
      </c>
      <c r="E9462" s="474" t="s">
        <v>567</v>
      </c>
      <c r="F9462" s="474" t="s">
        <v>568</v>
      </c>
      <c r="G9462" s="81"/>
      <c r="H9462" s="81"/>
      <c r="I9462" s="81"/>
      <c r="J9462" s="81"/>
      <c r="K9462" s="81"/>
      <c r="L9462" s="81"/>
      <c r="M9462" s="81"/>
      <c r="N9462" s="81"/>
    </row>
    <row r="9463" spans="1:14" ht="14.25" customHeight="1" x14ac:dyDescent="0.25">
      <c r="A9463" s="475" t="s">
        <v>611</v>
      </c>
      <c r="B9463" s="476" t="s">
        <v>612</v>
      </c>
      <c r="C9463" s="477">
        <v>12</v>
      </c>
      <c r="D9463" s="481">
        <v>2000</v>
      </c>
      <c r="E9463" s="479">
        <v>0.05</v>
      </c>
      <c r="F9463" s="477">
        <f>C9463*(D9463+(D9463*E9463))</f>
        <v>25200</v>
      </c>
      <c r="G9463" s="81"/>
      <c r="H9463" s="81"/>
      <c r="I9463" s="81"/>
      <c r="J9463" s="81"/>
      <c r="K9463" s="81"/>
      <c r="L9463" s="81"/>
      <c r="M9463" s="81"/>
      <c r="N9463" s="81"/>
    </row>
    <row r="9464" spans="1:14" ht="14.25" customHeight="1" x14ac:dyDescent="0.25">
      <c r="A9464" s="475"/>
      <c r="B9464" s="476"/>
      <c r="C9464" s="477"/>
      <c r="D9464" s="478"/>
      <c r="E9464" s="479"/>
      <c r="F9464" s="477"/>
      <c r="G9464" s="81"/>
      <c r="H9464" s="81"/>
      <c r="I9464" s="81"/>
      <c r="J9464" s="81"/>
      <c r="K9464" s="81"/>
      <c r="L9464" s="81"/>
      <c r="M9464" s="81"/>
      <c r="N9464" s="81"/>
    </row>
    <row r="9465" spans="1:14" ht="14.25" customHeight="1" x14ac:dyDescent="0.25">
      <c r="A9465" s="475"/>
      <c r="B9465" s="476"/>
      <c r="C9465" s="477"/>
      <c r="D9465" s="478"/>
      <c r="E9465" s="479"/>
      <c r="F9465" s="477"/>
      <c r="G9465" s="81"/>
      <c r="H9465" s="81"/>
      <c r="I9465" s="81"/>
      <c r="J9465" s="81"/>
      <c r="K9465" s="81"/>
      <c r="L9465" s="81"/>
      <c r="M9465" s="81"/>
      <c r="N9465" s="81"/>
    </row>
    <row r="9466" spans="1:14" ht="14.25" customHeight="1" x14ac:dyDescent="0.25">
      <c r="A9466" s="475"/>
      <c r="B9466" s="476"/>
      <c r="C9466" s="477"/>
      <c r="D9466" s="478"/>
      <c r="E9466" s="479"/>
      <c r="F9466" s="477"/>
      <c r="G9466" s="81"/>
      <c r="H9466" s="81"/>
      <c r="I9466" s="81"/>
      <c r="J9466" s="81"/>
      <c r="K9466" s="81"/>
      <c r="L9466" s="81"/>
      <c r="M9466" s="81"/>
      <c r="N9466" s="81"/>
    </row>
    <row r="9467" spans="1:14" ht="14.25" customHeight="1" x14ac:dyDescent="0.25">
      <c r="A9467" s="475"/>
      <c r="B9467" s="476"/>
      <c r="C9467" s="483"/>
      <c r="D9467" s="484"/>
      <c r="E9467" s="485"/>
      <c r="F9467" s="483"/>
      <c r="G9467" s="81"/>
      <c r="H9467" s="81"/>
      <c r="I9467" s="81"/>
      <c r="J9467" s="81"/>
      <c r="K9467" s="81"/>
      <c r="L9467" s="81"/>
      <c r="M9467" s="81"/>
      <c r="N9467" s="81"/>
    </row>
    <row r="9468" spans="1:14" ht="14.25" customHeight="1" x14ac:dyDescent="0.25">
      <c r="A9468" s="199" t="s">
        <v>548</v>
      </c>
      <c r="B9468" s="199"/>
      <c r="C9468" s="486"/>
      <c r="D9468" s="487"/>
      <c r="E9468" s="488"/>
      <c r="F9468" s="489">
        <f>SUM(F9463:F9467)</f>
        <v>25200</v>
      </c>
      <c r="G9468" s="81"/>
      <c r="H9468" s="81"/>
      <c r="I9468" s="81"/>
      <c r="J9468" s="81"/>
      <c r="K9468" s="81"/>
      <c r="L9468" s="81"/>
      <c r="M9468" s="81"/>
      <c r="N9468" s="81"/>
    </row>
    <row r="9469" spans="1:14" ht="14.25" customHeight="1" x14ac:dyDescent="0.25">
      <c r="A9469" s="192"/>
      <c r="B9469" s="192"/>
      <c r="C9469" s="215"/>
      <c r="D9469" s="215"/>
      <c r="E9469" s="216"/>
      <c r="F9469" s="215"/>
      <c r="G9469" s="81"/>
      <c r="H9469" s="81"/>
      <c r="I9469" s="81"/>
      <c r="J9469" s="81"/>
      <c r="K9469" s="81"/>
      <c r="L9469" s="81"/>
      <c r="M9469" s="81"/>
      <c r="N9469" s="81"/>
    </row>
    <row r="9470" spans="1:14" ht="14.25" customHeight="1" x14ac:dyDescent="0.25">
      <c r="A9470" s="198" t="s">
        <v>573</v>
      </c>
      <c r="B9470" s="198"/>
      <c r="C9470" s="193"/>
      <c r="D9470" s="193"/>
      <c r="E9470" s="193"/>
      <c r="F9470" s="193"/>
      <c r="G9470" s="81"/>
      <c r="H9470" s="81"/>
      <c r="I9470" s="81"/>
      <c r="J9470" s="81"/>
      <c r="K9470" s="81"/>
      <c r="L9470" s="81"/>
      <c r="M9470" s="81"/>
      <c r="N9470" s="81"/>
    </row>
    <row r="9471" spans="1:14" ht="14.25" customHeight="1" x14ac:dyDescent="0.25">
      <c r="A9471" s="585" t="s">
        <v>563</v>
      </c>
      <c r="B9471" s="586"/>
      <c r="C9471" s="587"/>
      <c r="D9471" s="474" t="s">
        <v>574</v>
      </c>
      <c r="E9471" s="474" t="s">
        <v>575</v>
      </c>
      <c r="F9471" s="474" t="s">
        <v>568</v>
      </c>
      <c r="G9471" s="81"/>
      <c r="H9471" s="81"/>
      <c r="I9471" s="81"/>
      <c r="J9471" s="81"/>
      <c r="K9471" s="81"/>
      <c r="L9471" s="81"/>
      <c r="M9471" s="81"/>
      <c r="N9471" s="81"/>
    </row>
    <row r="9472" spans="1:14" ht="14.25" customHeight="1" x14ac:dyDescent="0.25">
      <c r="A9472" s="588" t="s">
        <v>577</v>
      </c>
      <c r="B9472" s="586"/>
      <c r="C9472" s="587"/>
      <c r="D9472" s="490"/>
      <c r="E9472" s="484"/>
      <c r="F9472" s="483">
        <f>+F9485*5%</f>
        <v>12360.783122662371</v>
      </c>
      <c r="G9472" s="81"/>
      <c r="H9472" s="81"/>
      <c r="I9472" s="81"/>
      <c r="J9472" s="81"/>
      <c r="K9472" s="81"/>
      <c r="L9472" s="81"/>
      <c r="M9472" s="81"/>
      <c r="N9472" s="81"/>
    </row>
    <row r="9473" spans="1:14" ht="14.25" customHeight="1" x14ac:dyDescent="0.25">
      <c r="A9473" s="588" t="s">
        <v>680</v>
      </c>
      <c r="B9473" s="586"/>
      <c r="C9473" s="587"/>
      <c r="D9473" s="505">
        <v>5250</v>
      </c>
      <c r="E9473" s="484">
        <v>0.06</v>
      </c>
      <c r="F9473" s="483">
        <f t="shared" ref="F9473:F9474" si="469">D9473/E9473</f>
        <v>87500</v>
      </c>
      <c r="G9473" s="81"/>
      <c r="H9473" s="117"/>
      <c r="I9473" s="81"/>
      <c r="J9473" s="81"/>
      <c r="K9473" s="81"/>
      <c r="L9473" s="81"/>
      <c r="M9473" s="81"/>
      <c r="N9473" s="81"/>
    </row>
    <row r="9474" spans="1:14" ht="14.25" customHeight="1" x14ac:dyDescent="0.25">
      <c r="A9474" s="588" t="s">
        <v>608</v>
      </c>
      <c r="B9474" s="586"/>
      <c r="C9474" s="587"/>
      <c r="D9474" s="505">
        <v>110000</v>
      </c>
      <c r="E9474" s="484">
        <v>0.85</v>
      </c>
      <c r="F9474" s="483">
        <f t="shared" si="469"/>
        <v>129411.76470588235</v>
      </c>
      <c r="G9474" s="81"/>
      <c r="H9474" s="81"/>
      <c r="I9474" s="81"/>
      <c r="J9474" s="81"/>
      <c r="K9474" s="81"/>
      <c r="L9474" s="81"/>
      <c r="M9474" s="81"/>
      <c r="N9474" s="81"/>
    </row>
    <row r="9475" spans="1:14" ht="14.25" customHeight="1" x14ac:dyDescent="0.25">
      <c r="A9475" s="588"/>
      <c r="B9475" s="586"/>
      <c r="C9475" s="587"/>
      <c r="D9475" s="505"/>
      <c r="E9475" s="484"/>
      <c r="F9475" s="483"/>
      <c r="G9475" s="81"/>
      <c r="H9475" s="81"/>
      <c r="I9475" s="81"/>
      <c r="J9475" s="81"/>
      <c r="K9475" s="81"/>
      <c r="L9475" s="81"/>
      <c r="M9475" s="81"/>
      <c r="N9475" s="81"/>
    </row>
    <row r="9476" spans="1:14" ht="14.25" customHeight="1" x14ac:dyDescent="0.25">
      <c r="A9476" s="589"/>
      <c r="B9476" s="586"/>
      <c r="C9476" s="587"/>
      <c r="D9476" s="491"/>
      <c r="E9476" s="484"/>
      <c r="F9476" s="483"/>
      <c r="G9476" s="81"/>
      <c r="H9476" s="81"/>
      <c r="I9476" s="81"/>
      <c r="J9476" s="81"/>
      <c r="K9476" s="81"/>
      <c r="L9476" s="81"/>
      <c r="M9476" s="81"/>
      <c r="N9476" s="81"/>
    </row>
    <row r="9477" spans="1:14" ht="14.25" customHeight="1" x14ac:dyDescent="0.25">
      <c r="A9477" s="585" t="s">
        <v>548</v>
      </c>
      <c r="B9477" s="586"/>
      <c r="C9477" s="587"/>
      <c r="D9477" s="487"/>
      <c r="E9477" s="487"/>
      <c r="F9477" s="489">
        <f>SUM(F9472:F9476)</f>
        <v>229272.54782854472</v>
      </c>
      <c r="G9477" s="81"/>
      <c r="H9477" s="81"/>
      <c r="I9477" s="81"/>
      <c r="J9477" s="81"/>
      <c r="K9477" s="81"/>
      <c r="L9477" s="81"/>
      <c r="M9477" s="81"/>
      <c r="N9477" s="81"/>
    </row>
    <row r="9478" spans="1:14" ht="14.25" customHeight="1" x14ac:dyDescent="0.25">
      <c r="A9478" s="192"/>
      <c r="B9478" s="192"/>
      <c r="C9478" s="194"/>
      <c r="D9478" s="215"/>
      <c r="E9478" s="215"/>
      <c r="F9478" s="215"/>
      <c r="G9478" s="81"/>
      <c r="H9478" s="81"/>
      <c r="I9478" s="81"/>
      <c r="J9478" s="81"/>
      <c r="K9478" s="81"/>
      <c r="L9478" s="81"/>
      <c r="M9478" s="81"/>
      <c r="N9478" s="81"/>
    </row>
    <row r="9479" spans="1:14" ht="14.25" customHeight="1" x14ac:dyDescent="0.25">
      <c r="A9479" s="198" t="s">
        <v>578</v>
      </c>
      <c r="B9479" s="198"/>
      <c r="C9479" s="193"/>
      <c r="D9479" s="223"/>
      <c r="E9479" s="223"/>
      <c r="F9479" s="223"/>
      <c r="G9479" s="81"/>
      <c r="H9479" s="81"/>
      <c r="I9479" s="81"/>
      <c r="J9479" s="81"/>
      <c r="K9479" s="81"/>
      <c r="L9479" s="81"/>
      <c r="M9479" s="81"/>
      <c r="N9479" s="81"/>
    </row>
    <row r="9480" spans="1:14" ht="38.25" x14ac:dyDescent="0.25">
      <c r="A9480" s="224" t="s">
        <v>563</v>
      </c>
      <c r="B9480" s="492" t="s">
        <v>579</v>
      </c>
      <c r="C9480" s="492" t="s">
        <v>580</v>
      </c>
      <c r="D9480" s="493" t="s">
        <v>581</v>
      </c>
      <c r="E9480" s="493" t="s">
        <v>575</v>
      </c>
      <c r="F9480" s="493" t="s">
        <v>568</v>
      </c>
      <c r="G9480" s="81"/>
      <c r="H9480" s="81"/>
      <c r="I9480" s="81"/>
      <c r="J9480" s="81"/>
      <c r="K9480" s="81"/>
      <c r="L9480" s="81"/>
      <c r="M9480" s="81"/>
      <c r="N9480" s="81"/>
    </row>
    <row r="9481" spans="1:14" ht="14.25" customHeight="1" x14ac:dyDescent="0.25">
      <c r="A9481" s="494" t="s">
        <v>593</v>
      </c>
      <c r="B9481" s="495">
        <v>1</v>
      </c>
      <c r="C9481" s="477">
        <v>32688</v>
      </c>
      <c r="D9481" s="477">
        <f t="shared" ref="D9481:D9482" si="470">+C9481*1.7</f>
        <v>55569.599999999999</v>
      </c>
      <c r="E9481" s="484">
        <v>0.58606400000000003</v>
      </c>
      <c r="F9481" s="483">
        <f t="shared" ref="F9481:F9482" si="471">+B9481*(D9481)/E9481</f>
        <v>94818.313358268031</v>
      </c>
      <c r="G9481" s="81"/>
      <c r="H9481" s="81"/>
      <c r="I9481" s="81"/>
      <c r="J9481" s="81"/>
      <c r="K9481" s="81"/>
      <c r="L9481" s="81"/>
      <c r="M9481" s="81"/>
      <c r="N9481" s="81"/>
    </row>
    <row r="9482" spans="1:14" ht="14.25" customHeight="1" x14ac:dyDescent="0.25">
      <c r="A9482" s="494" t="s">
        <v>594</v>
      </c>
      <c r="B9482" s="495">
        <v>1</v>
      </c>
      <c r="C9482" s="477">
        <v>52538</v>
      </c>
      <c r="D9482" s="477">
        <f t="shared" si="470"/>
        <v>89314.599999999991</v>
      </c>
      <c r="E9482" s="484">
        <f>E9481</f>
        <v>0.58606400000000003</v>
      </c>
      <c r="F9482" s="483">
        <f t="shared" si="471"/>
        <v>152397.34909497938</v>
      </c>
      <c r="G9482" s="81"/>
      <c r="H9482" s="81"/>
      <c r="I9482" s="81"/>
      <c r="J9482" s="81"/>
      <c r="K9482" s="81"/>
      <c r="L9482" s="81"/>
      <c r="M9482" s="81"/>
      <c r="N9482" s="81"/>
    </row>
    <row r="9483" spans="1:14" ht="14.25" customHeight="1" x14ac:dyDescent="0.25">
      <c r="A9483" s="494"/>
      <c r="B9483" s="495"/>
      <c r="C9483" s="477"/>
      <c r="D9483" s="477"/>
      <c r="E9483" s="484"/>
      <c r="F9483" s="483"/>
      <c r="G9483" s="81"/>
      <c r="H9483" s="81"/>
      <c r="I9483" s="81"/>
      <c r="J9483" s="81"/>
      <c r="K9483" s="81"/>
      <c r="L9483" s="81"/>
      <c r="M9483" s="81"/>
      <c r="N9483" s="81"/>
    </row>
    <row r="9484" spans="1:14" ht="14.25" customHeight="1" x14ac:dyDescent="0.25">
      <c r="A9484" s="494"/>
      <c r="B9484" s="495"/>
      <c r="C9484" s="477"/>
      <c r="D9484" s="477"/>
      <c r="E9484" s="496"/>
      <c r="F9484" s="483"/>
      <c r="G9484" s="81"/>
      <c r="H9484" s="81"/>
      <c r="I9484" s="81"/>
      <c r="J9484" s="81"/>
      <c r="K9484" s="81"/>
      <c r="L9484" s="81"/>
      <c r="M9484" s="81"/>
      <c r="N9484" s="81"/>
    </row>
    <row r="9485" spans="1:14" ht="14.25" customHeight="1" x14ac:dyDescent="0.25">
      <c r="A9485" s="199" t="s">
        <v>548</v>
      </c>
      <c r="B9485" s="497"/>
      <c r="C9485" s="487"/>
      <c r="D9485" s="487"/>
      <c r="E9485" s="487"/>
      <c r="F9485" s="489">
        <f>SUM(F9481:F9484)</f>
        <v>247215.66245324741</v>
      </c>
      <c r="G9485" s="81"/>
      <c r="H9485" s="81"/>
      <c r="I9485" s="81"/>
      <c r="J9485" s="81"/>
      <c r="K9485" s="81"/>
      <c r="L9485" s="81"/>
      <c r="M9485" s="81"/>
      <c r="N9485" s="81"/>
    </row>
    <row r="9486" spans="1:14" ht="14.25" customHeight="1" x14ac:dyDescent="0.25">
      <c r="A9486" s="198"/>
      <c r="B9486" s="231"/>
      <c r="C9486" s="223"/>
      <c r="D9486" s="223"/>
      <c r="E9486" s="223"/>
      <c r="F9486" s="223"/>
      <c r="G9486" s="81"/>
      <c r="H9486" s="81"/>
      <c r="I9486" s="81"/>
      <c r="J9486" s="81"/>
      <c r="K9486" s="81"/>
      <c r="L9486" s="81"/>
      <c r="M9486" s="81"/>
      <c r="N9486" s="81"/>
    </row>
    <row r="9487" spans="1:14" ht="14.25" customHeight="1" x14ac:dyDescent="0.25">
      <c r="A9487" s="197" t="s">
        <v>583</v>
      </c>
      <c r="B9487" s="198"/>
      <c r="C9487" s="193"/>
      <c r="D9487" s="193"/>
      <c r="E9487" s="193" t="s">
        <v>584</v>
      </c>
      <c r="F9487" s="193"/>
      <c r="G9487" s="81"/>
      <c r="H9487" s="81"/>
      <c r="I9487" s="81"/>
      <c r="J9487" s="81"/>
      <c r="K9487" s="81"/>
      <c r="L9487" s="81"/>
      <c r="M9487" s="81"/>
      <c r="N9487" s="81"/>
    </row>
    <row r="9488" spans="1:14" ht="14.25" customHeight="1" x14ac:dyDescent="0.25">
      <c r="A9488" s="199" t="s">
        <v>563</v>
      </c>
      <c r="B9488" s="474" t="s">
        <v>564</v>
      </c>
      <c r="C9488" s="474" t="s">
        <v>585</v>
      </c>
      <c r="D9488" s="474" t="s">
        <v>586</v>
      </c>
      <c r="E9488" s="492" t="s">
        <v>587</v>
      </c>
      <c r="F9488" s="474" t="s">
        <v>568</v>
      </c>
      <c r="G9488" s="81"/>
      <c r="H9488" s="81"/>
      <c r="I9488" s="81"/>
      <c r="J9488" s="81"/>
      <c r="K9488" s="81"/>
      <c r="L9488" s="81"/>
      <c r="M9488" s="81"/>
      <c r="N9488" s="81"/>
    </row>
    <row r="9489" spans="1:14" ht="14.25" customHeight="1" x14ac:dyDescent="0.25">
      <c r="A9489" s="480"/>
      <c r="B9489" s="476"/>
      <c r="C9489" s="477"/>
      <c r="D9489" s="498"/>
      <c r="E9489" s="484"/>
      <c r="F9489" s="486">
        <f>+C9489*D9489*E9489</f>
        <v>0</v>
      </c>
      <c r="G9489" s="81"/>
      <c r="H9489" s="81"/>
      <c r="I9489" s="81"/>
      <c r="J9489" s="81"/>
      <c r="K9489" s="81"/>
      <c r="L9489" s="81"/>
      <c r="M9489" s="81"/>
      <c r="N9489" s="81"/>
    </row>
    <row r="9490" spans="1:14" ht="14.25" customHeight="1" x14ac:dyDescent="0.25">
      <c r="A9490" s="480"/>
      <c r="B9490" s="476"/>
      <c r="C9490" s="484"/>
      <c r="D9490" s="484"/>
      <c r="E9490" s="485"/>
      <c r="F9490" s="486"/>
      <c r="G9490" s="81"/>
      <c r="H9490" s="81"/>
      <c r="I9490" s="81"/>
      <c r="J9490" s="81"/>
      <c r="K9490" s="81"/>
      <c r="L9490" s="81"/>
      <c r="M9490" s="81"/>
      <c r="N9490" s="81"/>
    </row>
    <row r="9491" spans="1:14" ht="14.25" customHeight="1" x14ac:dyDescent="0.25">
      <c r="A9491" s="199" t="s">
        <v>548</v>
      </c>
      <c r="B9491" s="474"/>
      <c r="C9491" s="487"/>
      <c r="D9491" s="487"/>
      <c r="E9491" s="488"/>
      <c r="F9491" s="489">
        <f>SUM(F9489:F9490)</f>
        <v>0</v>
      </c>
      <c r="G9491" s="81"/>
      <c r="H9491" s="81"/>
      <c r="I9491" s="81"/>
      <c r="J9491" s="81"/>
      <c r="K9491" s="81"/>
      <c r="L9491" s="81"/>
      <c r="M9491" s="81"/>
      <c r="N9491" s="81"/>
    </row>
    <row r="9492" spans="1:14" ht="14.25" customHeight="1" x14ac:dyDescent="0.25">
      <c r="A9492" s="192"/>
      <c r="B9492" s="194"/>
      <c r="C9492" s="215"/>
      <c r="D9492" s="215"/>
      <c r="E9492" s="216"/>
      <c r="F9492" s="215"/>
      <c r="G9492" s="81"/>
      <c r="H9492" s="81"/>
      <c r="I9492" s="81"/>
      <c r="J9492" s="81"/>
      <c r="K9492" s="81"/>
      <c r="L9492" s="81"/>
      <c r="M9492" s="81"/>
      <c r="N9492" s="81"/>
    </row>
    <row r="9493" spans="1:14" ht="14.25" customHeight="1" x14ac:dyDescent="0.25">
      <c r="A9493" s="192"/>
      <c r="B9493" s="194"/>
      <c r="C9493" s="215"/>
      <c r="D9493" s="215"/>
      <c r="E9493" s="216"/>
      <c r="F9493" s="215"/>
      <c r="G9493" s="81"/>
      <c r="H9493" s="81"/>
      <c r="I9493" s="81"/>
      <c r="J9493" s="81"/>
      <c r="K9493" s="81"/>
      <c r="L9493" s="81"/>
      <c r="M9493" s="81"/>
      <c r="N9493" s="81"/>
    </row>
    <row r="9494" spans="1:14" ht="14.25" customHeight="1" x14ac:dyDescent="0.25">
      <c r="A9494" s="590" t="s">
        <v>588</v>
      </c>
      <c r="B9494" s="586"/>
      <c r="C9494" s="586"/>
      <c r="D9494" s="586"/>
      <c r="E9494" s="587"/>
      <c r="F9494" s="499">
        <f>ROUND(F9468+F9477+F9485+F9491,0)</f>
        <v>501688</v>
      </c>
      <c r="G9494" s="81"/>
      <c r="H9494" s="81"/>
      <c r="I9494" s="81"/>
      <c r="J9494" s="81"/>
      <c r="K9494" s="81"/>
      <c r="L9494" s="81"/>
      <c r="M9494" s="81"/>
      <c r="N9494" s="81"/>
    </row>
    <row r="9495" spans="1:14" ht="14.25" customHeight="1" x14ac:dyDescent="0.25">
      <c r="A9495" s="590" t="s">
        <v>589</v>
      </c>
      <c r="B9495" s="586"/>
      <c r="C9495" s="586"/>
      <c r="D9495" s="586"/>
      <c r="E9495" s="587"/>
      <c r="F9495" s="500"/>
      <c r="G9495" s="81"/>
      <c r="H9495" s="81"/>
      <c r="I9495" s="81"/>
      <c r="J9495" s="81"/>
      <c r="K9495" s="81"/>
      <c r="L9495" s="81"/>
      <c r="M9495" s="81"/>
      <c r="N9495" s="81"/>
    </row>
    <row r="9496" spans="1:14" ht="14.25" customHeight="1" x14ac:dyDescent="0.25">
      <c r="A9496" s="590" t="s">
        <v>556</v>
      </c>
      <c r="B9496" s="586"/>
      <c r="C9496" s="586"/>
      <c r="D9496" s="586"/>
      <c r="E9496" s="587"/>
      <c r="F9496" s="501"/>
      <c r="G9496" s="81"/>
      <c r="H9496" s="81"/>
      <c r="I9496" s="81"/>
      <c r="J9496" s="81"/>
      <c r="K9496" s="81"/>
      <c r="L9496" s="81"/>
      <c r="M9496" s="81"/>
      <c r="N9496" s="81"/>
    </row>
    <row r="9497" spans="1:14" ht="14.25" customHeight="1" x14ac:dyDescent="0.25">
      <c r="A9497" s="301"/>
      <c r="B9497" s="502"/>
      <c r="C9497" s="502"/>
      <c r="D9497" s="502"/>
      <c r="E9497" s="502"/>
      <c r="F9497" s="503"/>
      <c r="G9497" s="81"/>
      <c r="H9497" s="81"/>
      <c r="I9497" s="81"/>
      <c r="J9497" s="81"/>
      <c r="K9497" s="81"/>
      <c r="L9497" s="81"/>
      <c r="M9497" s="81"/>
      <c r="N9497" s="81"/>
    </row>
    <row r="9498" spans="1:14" ht="14.25" customHeight="1" x14ac:dyDescent="0.25">
      <c r="A9498" s="301"/>
      <c r="B9498" s="502"/>
      <c r="C9498" s="502"/>
      <c r="D9498" s="502"/>
      <c r="E9498" s="502"/>
      <c r="F9498" s="503"/>
      <c r="G9498" s="81"/>
      <c r="H9498" s="81"/>
      <c r="I9498" s="81"/>
      <c r="J9498" s="81"/>
      <c r="K9498" s="81"/>
      <c r="L9498" s="81"/>
      <c r="M9498" s="81"/>
      <c r="N9498" s="81"/>
    </row>
    <row r="9499" spans="1:14" ht="14.25" customHeight="1" x14ac:dyDescent="0.25">
      <c r="A9499" s="301"/>
      <c r="B9499" s="502"/>
      <c r="C9499" s="502"/>
      <c r="D9499" s="502"/>
      <c r="E9499" s="502"/>
      <c r="F9499" s="503"/>
      <c r="G9499" s="81"/>
      <c r="H9499" s="81"/>
      <c r="I9499" s="81"/>
      <c r="J9499" s="81"/>
      <c r="K9499" s="81"/>
      <c r="L9499" s="81"/>
      <c r="M9499" s="81"/>
      <c r="N9499" s="81"/>
    </row>
    <row r="9500" spans="1:14" ht="14.25" customHeight="1" x14ac:dyDescent="0.25">
      <c r="A9500" s="243"/>
      <c r="B9500" s="243"/>
      <c r="C9500" s="504"/>
      <c r="D9500" s="243"/>
      <c r="E9500" s="243"/>
      <c r="F9500" s="243"/>
      <c r="G9500" s="81"/>
      <c r="H9500" s="81"/>
      <c r="I9500" s="81"/>
      <c r="J9500" s="81"/>
      <c r="K9500" s="81"/>
      <c r="L9500" s="81"/>
      <c r="M9500" s="81"/>
      <c r="N9500" s="81"/>
    </row>
    <row r="9501" spans="1:14" ht="14.25" customHeight="1" x14ac:dyDescent="0.25">
      <c r="A9501" s="243"/>
      <c r="B9501" s="243"/>
      <c r="C9501" s="504"/>
      <c r="D9501" s="243"/>
      <c r="E9501" s="243"/>
      <c r="F9501" s="243"/>
      <c r="G9501" s="81"/>
      <c r="H9501" s="81"/>
      <c r="I9501" s="81"/>
      <c r="J9501" s="81"/>
      <c r="K9501" s="81"/>
      <c r="L9501" s="81"/>
      <c r="M9501" s="81"/>
      <c r="N9501" s="81"/>
    </row>
    <row r="9502" spans="1:14" ht="14.25" customHeight="1" x14ac:dyDescent="0.25">
      <c r="A9502" s="243"/>
      <c r="B9502" s="243"/>
      <c r="C9502" s="504"/>
      <c r="D9502" s="243"/>
      <c r="E9502" s="243"/>
      <c r="F9502" s="243"/>
      <c r="G9502" s="81"/>
      <c r="H9502" s="81"/>
      <c r="I9502" s="81"/>
      <c r="J9502" s="81"/>
      <c r="K9502" s="81"/>
      <c r="L9502" s="81"/>
      <c r="M9502" s="81"/>
      <c r="N9502" s="81"/>
    </row>
    <row r="9503" spans="1:14" ht="14.25" customHeight="1" x14ac:dyDescent="0.25">
      <c r="A9503" s="243"/>
      <c r="B9503" s="243"/>
      <c r="C9503" s="504"/>
      <c r="D9503" s="243"/>
      <c r="E9503" s="243"/>
      <c r="F9503" s="243"/>
      <c r="G9503" s="81"/>
      <c r="H9503" s="81"/>
      <c r="I9503" s="81"/>
      <c r="J9503" s="81"/>
      <c r="K9503" s="81"/>
      <c r="L9503" s="81"/>
      <c r="M9503" s="81"/>
      <c r="N9503" s="81"/>
    </row>
    <row r="9504" spans="1:14" ht="14.25" customHeight="1" x14ac:dyDescent="0.25">
      <c r="A9504" s="243"/>
      <c r="B9504" s="243"/>
      <c r="C9504" s="504"/>
      <c r="D9504" s="243"/>
      <c r="E9504" s="243"/>
      <c r="F9504" s="243"/>
      <c r="G9504" s="81"/>
      <c r="H9504" s="81"/>
      <c r="I9504" s="81"/>
      <c r="J9504" s="81"/>
      <c r="K9504" s="81"/>
      <c r="L9504" s="81"/>
      <c r="M9504" s="81"/>
      <c r="N9504" s="81"/>
    </row>
    <row r="9505" spans="1:14" ht="14.25" customHeight="1" x14ac:dyDescent="0.25">
      <c r="A9505" s="243"/>
      <c r="B9505" s="243"/>
      <c r="C9505" s="504"/>
      <c r="D9505" s="243"/>
      <c r="E9505" s="243"/>
      <c r="F9505" s="243"/>
      <c r="G9505" s="81"/>
      <c r="H9505" s="81"/>
      <c r="I9505" s="81"/>
      <c r="J9505" s="81"/>
      <c r="K9505" s="81"/>
      <c r="L9505" s="81"/>
      <c r="M9505" s="81"/>
      <c r="N9505" s="81"/>
    </row>
    <row r="9506" spans="1:14" ht="14.25" customHeight="1" x14ac:dyDescent="0.25">
      <c r="A9506" s="301"/>
      <c r="B9506" s="502"/>
      <c r="C9506" s="502"/>
      <c r="D9506" s="502"/>
      <c r="E9506" s="502"/>
      <c r="F9506" s="503"/>
      <c r="G9506" s="81"/>
      <c r="H9506" s="81"/>
      <c r="I9506" s="81"/>
      <c r="J9506" s="81"/>
      <c r="K9506" s="81"/>
      <c r="L9506" s="81"/>
      <c r="M9506" s="81"/>
      <c r="N9506" s="81"/>
    </row>
    <row r="9507" spans="1:14" ht="14.25" customHeight="1" thickBot="1" x14ac:dyDescent="0.3">
      <c r="A9507" s="243"/>
      <c r="B9507" s="243"/>
      <c r="C9507" s="243"/>
      <c r="D9507" s="243"/>
      <c r="E9507" s="243"/>
      <c r="F9507" s="243"/>
      <c r="G9507" s="81"/>
      <c r="H9507" s="81"/>
      <c r="I9507" s="81"/>
      <c r="J9507" s="81"/>
      <c r="K9507" s="81"/>
      <c r="L9507" s="81"/>
      <c r="M9507" s="81"/>
      <c r="N9507" s="81"/>
    </row>
    <row r="9508" spans="1:14" ht="14.25" customHeight="1" x14ac:dyDescent="0.25">
      <c r="A9508" s="258"/>
      <c r="B9508" s="259"/>
      <c r="C9508" s="260"/>
      <c r="D9508" s="261"/>
      <c r="E9508" s="261"/>
      <c r="F9508" s="262"/>
      <c r="G9508" s="81"/>
      <c r="H9508" s="81"/>
      <c r="I9508" s="81"/>
      <c r="J9508" s="81"/>
      <c r="K9508" s="81"/>
      <c r="L9508" s="81"/>
      <c r="M9508" s="81"/>
      <c r="N9508" s="81"/>
    </row>
    <row r="9509" spans="1:14" ht="14.25" customHeight="1" x14ac:dyDescent="0.25">
      <c r="A9509" s="621"/>
      <c r="B9509" s="629"/>
      <c r="C9509" s="629"/>
      <c r="D9509" s="629"/>
      <c r="E9509" s="629"/>
      <c r="F9509" s="630"/>
      <c r="G9509" s="81"/>
      <c r="H9509" s="81"/>
      <c r="I9509" s="81"/>
      <c r="J9509" s="81"/>
      <c r="K9509" s="81"/>
      <c r="L9509" s="81"/>
      <c r="M9509" s="81"/>
      <c r="N9509" s="81"/>
    </row>
    <row r="9510" spans="1:14" ht="14.25" customHeight="1" x14ac:dyDescent="0.25">
      <c r="A9510" s="614" t="s">
        <v>561</v>
      </c>
      <c r="B9510" s="629"/>
      <c r="C9510" s="629"/>
      <c r="D9510" s="629"/>
      <c r="E9510" s="629"/>
      <c r="F9510" s="630"/>
      <c r="G9510" s="81"/>
      <c r="H9510" s="81"/>
      <c r="I9510" s="81"/>
      <c r="J9510" s="81"/>
      <c r="K9510" s="81"/>
      <c r="L9510" s="81"/>
      <c r="M9510" s="81"/>
      <c r="N9510" s="81"/>
    </row>
    <row r="9511" spans="1:14" ht="14.25" customHeight="1" thickBot="1" x14ac:dyDescent="0.3">
      <c r="A9511" s="617"/>
      <c r="B9511" s="631"/>
      <c r="C9511" s="631"/>
      <c r="D9511" s="631"/>
      <c r="E9511" s="631"/>
      <c r="F9511" s="632"/>
      <c r="G9511" s="81"/>
      <c r="H9511" s="81"/>
      <c r="I9511" s="81"/>
      <c r="J9511" s="81"/>
      <c r="K9511" s="81"/>
      <c r="L9511" s="81"/>
      <c r="M9511" s="81"/>
      <c r="N9511" s="81"/>
    </row>
    <row r="9512" spans="1:14" ht="14.25" customHeight="1" x14ac:dyDescent="0.25">
      <c r="A9512" s="192"/>
      <c r="B9512" s="192"/>
      <c r="C9512" s="194"/>
      <c r="D9512" s="194"/>
      <c r="E9512" s="194"/>
      <c r="F9512" s="194"/>
      <c r="G9512" s="81"/>
      <c r="H9512" s="81"/>
      <c r="I9512" s="81"/>
      <c r="J9512" s="81"/>
      <c r="K9512" s="81"/>
      <c r="L9512" s="81"/>
      <c r="M9512" s="81"/>
      <c r="N9512" s="81"/>
    </row>
    <row r="9513" spans="1:14" ht="27" customHeight="1" x14ac:dyDescent="0.25">
      <c r="A9513" s="473" t="s">
        <v>47</v>
      </c>
      <c r="B9513" s="620" t="s">
        <v>1025</v>
      </c>
      <c r="C9513" s="629"/>
      <c r="D9513" s="629"/>
      <c r="E9513" s="629"/>
      <c r="F9513" s="629"/>
      <c r="G9513" s="81"/>
      <c r="H9513" s="81"/>
      <c r="I9513" s="81"/>
      <c r="J9513" s="81"/>
      <c r="K9513" s="81"/>
      <c r="L9513" s="81"/>
      <c r="M9513" s="81"/>
      <c r="N9513" s="81"/>
    </row>
    <row r="9514" spans="1:14" ht="14.25" customHeight="1" x14ac:dyDescent="0.25">
      <c r="A9514" s="191"/>
      <c r="B9514" s="191"/>
      <c r="C9514" s="191"/>
      <c r="D9514" s="191"/>
      <c r="E9514" s="191"/>
      <c r="F9514" s="191"/>
      <c r="G9514" s="81"/>
      <c r="H9514" s="81"/>
      <c r="I9514" s="81"/>
      <c r="J9514" s="81"/>
      <c r="K9514" s="81"/>
      <c r="L9514" s="81"/>
      <c r="M9514" s="81"/>
      <c r="N9514" s="81"/>
    </row>
    <row r="9515" spans="1:14" ht="14.25" customHeight="1" x14ac:dyDescent="0.25">
      <c r="A9515" s="192" t="s">
        <v>49</v>
      </c>
      <c r="B9515" s="193" t="s">
        <v>56</v>
      </c>
      <c r="C9515" s="194"/>
      <c r="D9515" s="194"/>
      <c r="E9515" s="194"/>
      <c r="F9515" s="195"/>
      <c r="G9515" s="81"/>
      <c r="H9515" s="81"/>
      <c r="I9515" s="81"/>
      <c r="J9515" s="81"/>
      <c r="K9515" s="81"/>
      <c r="L9515" s="81"/>
      <c r="M9515" s="81"/>
      <c r="N9515" s="81"/>
    </row>
    <row r="9516" spans="1:14" ht="14.25" customHeight="1" x14ac:dyDescent="0.25">
      <c r="A9516" s="192"/>
      <c r="B9516" s="196"/>
      <c r="C9516" s="194"/>
      <c r="D9516" s="194"/>
      <c r="E9516" s="194"/>
      <c r="F9516" s="195"/>
      <c r="G9516" s="81"/>
      <c r="H9516" s="81"/>
      <c r="I9516" s="81"/>
      <c r="J9516" s="81"/>
      <c r="K9516" s="81"/>
      <c r="L9516" s="81"/>
      <c r="M9516" s="81"/>
      <c r="N9516" s="81"/>
    </row>
    <row r="9517" spans="1:14" ht="14.25" customHeight="1" x14ac:dyDescent="0.25">
      <c r="A9517" s="197" t="s">
        <v>562</v>
      </c>
      <c r="B9517" s="198"/>
      <c r="C9517" s="193"/>
      <c r="D9517" s="193"/>
      <c r="E9517" s="193"/>
      <c r="F9517" s="193"/>
      <c r="G9517" s="81"/>
      <c r="H9517" s="81"/>
      <c r="I9517" s="81"/>
      <c r="J9517" s="81"/>
      <c r="K9517" s="81"/>
      <c r="L9517" s="81"/>
      <c r="M9517" s="81"/>
      <c r="N9517" s="81"/>
    </row>
    <row r="9518" spans="1:14" ht="14.25" customHeight="1" x14ac:dyDescent="0.25">
      <c r="A9518" s="199" t="s">
        <v>563</v>
      </c>
      <c r="B9518" s="474" t="s">
        <v>564</v>
      </c>
      <c r="C9518" s="474" t="s">
        <v>565</v>
      </c>
      <c r="D9518" s="474" t="s">
        <v>566</v>
      </c>
      <c r="E9518" s="474" t="s">
        <v>567</v>
      </c>
      <c r="F9518" s="474" t="s">
        <v>568</v>
      </c>
      <c r="G9518" s="81"/>
      <c r="H9518" s="81"/>
      <c r="I9518" s="81"/>
      <c r="J9518" s="81"/>
      <c r="K9518" s="81"/>
      <c r="L9518" s="81"/>
      <c r="M9518" s="81"/>
      <c r="N9518" s="81"/>
    </row>
    <row r="9519" spans="1:14" ht="14.25" customHeight="1" x14ac:dyDescent="0.25">
      <c r="A9519" s="475" t="s">
        <v>644</v>
      </c>
      <c r="B9519" s="476" t="s">
        <v>64</v>
      </c>
      <c r="C9519" s="477">
        <v>408050</v>
      </c>
      <c r="D9519" s="478">
        <v>2.8000000000000001E-2</v>
      </c>
      <c r="E9519" s="479">
        <v>0.05</v>
      </c>
      <c r="F9519" s="477">
        <f t="shared" ref="F9519:F9521" si="472">C9519*(D9519+(D9519*E9519))</f>
        <v>11996.670000000002</v>
      </c>
      <c r="G9519" s="81"/>
      <c r="H9519" s="81"/>
      <c r="I9519" s="81"/>
      <c r="J9519" s="81"/>
      <c r="K9519" s="81"/>
      <c r="L9519" s="81"/>
      <c r="M9519" s="81"/>
      <c r="N9519" s="81"/>
    </row>
    <row r="9520" spans="1:14" ht="14.25" customHeight="1" x14ac:dyDescent="0.25">
      <c r="A9520" s="475" t="s">
        <v>1420</v>
      </c>
      <c r="B9520" s="476" t="s">
        <v>651</v>
      </c>
      <c r="C9520" s="477">
        <v>125350</v>
      </c>
      <c r="D9520" s="478">
        <v>3.5000000000000003E-2</v>
      </c>
      <c r="E9520" s="479">
        <v>0.05</v>
      </c>
      <c r="F9520" s="477">
        <f t="shared" si="472"/>
        <v>4606.6125000000002</v>
      </c>
      <c r="G9520" s="81"/>
      <c r="H9520" s="81"/>
      <c r="I9520" s="81"/>
      <c r="J9520" s="81"/>
      <c r="K9520" s="81"/>
      <c r="L9520" s="81"/>
      <c r="M9520" s="81"/>
      <c r="N9520" s="81"/>
    </row>
    <row r="9521" spans="1:14" ht="14.25" customHeight="1" x14ac:dyDescent="0.25">
      <c r="A9521" s="475" t="s">
        <v>1421</v>
      </c>
      <c r="B9521" s="476" t="s">
        <v>117</v>
      </c>
      <c r="C9521" s="477">
        <v>105320</v>
      </c>
      <c r="D9521" s="478">
        <v>3.3000000000000002E-2</v>
      </c>
      <c r="E9521" s="479">
        <v>0.05</v>
      </c>
      <c r="F9521" s="477">
        <f t="shared" si="472"/>
        <v>3649.3380000000002</v>
      </c>
      <c r="G9521" s="81"/>
      <c r="H9521" s="81"/>
      <c r="I9521" s="81"/>
      <c r="J9521" s="81"/>
      <c r="K9521" s="81"/>
      <c r="L9521" s="81"/>
      <c r="M9521" s="81"/>
      <c r="N9521" s="81"/>
    </row>
    <row r="9522" spans="1:14" ht="14.25" customHeight="1" x14ac:dyDescent="0.25">
      <c r="A9522" s="475"/>
      <c r="B9522" s="476"/>
      <c r="C9522" s="477"/>
      <c r="D9522" s="478"/>
      <c r="E9522" s="479"/>
      <c r="F9522" s="477"/>
      <c r="G9522" s="81"/>
      <c r="H9522" s="81"/>
      <c r="I9522" s="81"/>
      <c r="J9522" s="81"/>
      <c r="K9522" s="81"/>
      <c r="L9522" s="81"/>
      <c r="M9522" s="81"/>
      <c r="N9522" s="81"/>
    </row>
    <row r="9523" spans="1:14" ht="14.25" customHeight="1" x14ac:dyDescent="0.25">
      <c r="A9523" s="475"/>
      <c r="B9523" s="476"/>
      <c r="C9523" s="483"/>
      <c r="D9523" s="484"/>
      <c r="E9523" s="485"/>
      <c r="F9523" s="483"/>
      <c r="G9523" s="81"/>
      <c r="H9523" s="81"/>
      <c r="I9523" s="81"/>
      <c r="J9523" s="81"/>
      <c r="K9523" s="81"/>
      <c r="L9523" s="81"/>
      <c r="M9523" s="81"/>
      <c r="N9523" s="81"/>
    </row>
    <row r="9524" spans="1:14" ht="14.25" customHeight="1" x14ac:dyDescent="0.25">
      <c r="A9524" s="199" t="s">
        <v>548</v>
      </c>
      <c r="B9524" s="199"/>
      <c r="C9524" s="486"/>
      <c r="D9524" s="487"/>
      <c r="E9524" s="488"/>
      <c r="F9524" s="489">
        <f>SUM(F9519:F9523)</f>
        <v>20252.620500000001</v>
      </c>
      <c r="G9524" s="81"/>
      <c r="H9524" s="81"/>
      <c r="I9524" s="81"/>
      <c r="J9524" s="81"/>
      <c r="K9524" s="81"/>
      <c r="L9524" s="81"/>
      <c r="M9524" s="81"/>
      <c r="N9524" s="81"/>
    </row>
    <row r="9525" spans="1:14" ht="14.25" customHeight="1" x14ac:dyDescent="0.25">
      <c r="A9525" s="192"/>
      <c r="B9525" s="192"/>
      <c r="C9525" s="215"/>
      <c r="D9525" s="215"/>
      <c r="E9525" s="216"/>
      <c r="F9525" s="215"/>
      <c r="G9525" s="81"/>
      <c r="H9525" s="81"/>
      <c r="I9525" s="81"/>
      <c r="J9525" s="81"/>
      <c r="K9525" s="81"/>
      <c r="L9525" s="81"/>
      <c r="M9525" s="81"/>
      <c r="N9525" s="81"/>
    </row>
    <row r="9526" spans="1:14" ht="14.25" customHeight="1" x14ac:dyDescent="0.25">
      <c r="A9526" s="198" t="s">
        <v>573</v>
      </c>
      <c r="B9526" s="198"/>
      <c r="C9526" s="193"/>
      <c r="D9526" s="193"/>
      <c r="E9526" s="193"/>
      <c r="F9526" s="193"/>
      <c r="G9526" s="81"/>
      <c r="H9526" s="81"/>
      <c r="I9526" s="81"/>
      <c r="J9526" s="81"/>
      <c r="K9526" s="81"/>
      <c r="L9526" s="81"/>
      <c r="M9526" s="81"/>
      <c r="N9526" s="81"/>
    </row>
    <row r="9527" spans="1:14" ht="14.25" customHeight="1" x14ac:dyDescent="0.25">
      <c r="A9527" s="585" t="s">
        <v>563</v>
      </c>
      <c r="B9527" s="586"/>
      <c r="C9527" s="587"/>
      <c r="D9527" s="474" t="s">
        <v>574</v>
      </c>
      <c r="E9527" s="474" t="s">
        <v>575</v>
      </c>
      <c r="F9527" s="474" t="s">
        <v>568</v>
      </c>
      <c r="G9527" s="81"/>
      <c r="H9527" s="81"/>
      <c r="I9527" s="81"/>
      <c r="J9527" s="81"/>
      <c r="K9527" s="81"/>
      <c r="L9527" s="81"/>
      <c r="M9527" s="81"/>
      <c r="N9527" s="81"/>
    </row>
    <row r="9528" spans="1:14" ht="14.25" customHeight="1" x14ac:dyDescent="0.25">
      <c r="A9528" s="588" t="s">
        <v>577</v>
      </c>
      <c r="B9528" s="586"/>
      <c r="C9528" s="587"/>
      <c r="D9528" s="490"/>
      <c r="E9528" s="484"/>
      <c r="F9528" s="483">
        <f>+F9541*5%</f>
        <v>718.60033726812821</v>
      </c>
      <c r="G9528" s="81"/>
      <c r="H9528" s="81"/>
      <c r="I9528" s="81"/>
      <c r="J9528" s="81"/>
      <c r="K9528" s="81"/>
      <c r="L9528" s="81"/>
      <c r="M9528" s="81"/>
      <c r="N9528" s="81"/>
    </row>
    <row r="9529" spans="1:14" ht="14.25" customHeight="1" x14ac:dyDescent="0.25">
      <c r="A9529" s="588" t="s">
        <v>643</v>
      </c>
      <c r="B9529" s="586"/>
      <c r="C9529" s="587"/>
      <c r="D9529" s="505">
        <v>12350</v>
      </c>
      <c r="E9529" s="484">
        <v>5</v>
      </c>
      <c r="F9529" s="483">
        <f>D9529/E9529</f>
        <v>2470</v>
      </c>
      <c r="G9529" s="81"/>
      <c r="H9529" s="81"/>
      <c r="I9529" s="81"/>
      <c r="J9529" s="81"/>
      <c r="K9529" s="81"/>
      <c r="L9529" s="81"/>
      <c r="M9529" s="81"/>
      <c r="N9529" s="81"/>
    </row>
    <row r="9530" spans="1:14" ht="14.25" customHeight="1" x14ac:dyDescent="0.25">
      <c r="A9530" s="588"/>
      <c r="B9530" s="586"/>
      <c r="C9530" s="587"/>
      <c r="D9530" s="505"/>
      <c r="E9530" s="484"/>
      <c r="F9530" s="483"/>
      <c r="G9530" s="81"/>
      <c r="H9530" s="81"/>
      <c r="I9530" s="81"/>
      <c r="J9530" s="81"/>
      <c r="K9530" s="81"/>
      <c r="L9530" s="81"/>
      <c r="M9530" s="81"/>
      <c r="N9530" s="81"/>
    </row>
    <row r="9531" spans="1:14" ht="14.25" customHeight="1" x14ac:dyDescent="0.25">
      <c r="A9531" s="588"/>
      <c r="B9531" s="586"/>
      <c r="C9531" s="587"/>
      <c r="D9531" s="505"/>
      <c r="E9531" s="484"/>
      <c r="F9531" s="483"/>
      <c r="G9531" s="81"/>
      <c r="H9531" s="81"/>
      <c r="I9531" s="81"/>
      <c r="J9531" s="81"/>
      <c r="K9531" s="81"/>
      <c r="L9531" s="81"/>
      <c r="M9531" s="81"/>
      <c r="N9531" s="81"/>
    </row>
    <row r="9532" spans="1:14" ht="14.25" customHeight="1" x14ac:dyDescent="0.25">
      <c r="A9532" s="589"/>
      <c r="B9532" s="586"/>
      <c r="C9532" s="587"/>
      <c r="D9532" s="491"/>
      <c r="E9532" s="484"/>
      <c r="F9532" s="483"/>
      <c r="G9532" s="81"/>
      <c r="H9532" s="81"/>
      <c r="I9532" s="81"/>
      <c r="J9532" s="81"/>
      <c r="K9532" s="81"/>
      <c r="L9532" s="81"/>
      <c r="M9532" s="81"/>
      <c r="N9532" s="81"/>
    </row>
    <row r="9533" spans="1:14" ht="14.25" customHeight="1" x14ac:dyDescent="0.25">
      <c r="A9533" s="585" t="s">
        <v>548</v>
      </c>
      <c r="B9533" s="586"/>
      <c r="C9533" s="587"/>
      <c r="D9533" s="487"/>
      <c r="E9533" s="487"/>
      <c r="F9533" s="489">
        <f>SUM(F9528:F9532)</f>
        <v>3188.600337268128</v>
      </c>
      <c r="G9533" s="81"/>
      <c r="H9533" s="81"/>
      <c r="I9533" s="81"/>
      <c r="J9533" s="81"/>
      <c r="K9533" s="81"/>
      <c r="L9533" s="81"/>
      <c r="M9533" s="81"/>
      <c r="N9533" s="81"/>
    </row>
    <row r="9534" spans="1:14" ht="14.25" customHeight="1" x14ac:dyDescent="0.25">
      <c r="A9534" s="192"/>
      <c r="B9534" s="192"/>
      <c r="C9534" s="194"/>
      <c r="D9534" s="215"/>
      <c r="E9534" s="215"/>
      <c r="F9534" s="215"/>
      <c r="G9534" s="81"/>
      <c r="H9534" s="117"/>
      <c r="I9534" s="81"/>
      <c r="J9534" s="81"/>
      <c r="K9534" s="81"/>
      <c r="L9534" s="81"/>
      <c r="M9534" s="81"/>
      <c r="N9534" s="81"/>
    </row>
    <row r="9535" spans="1:14" ht="14.25" customHeight="1" x14ac:dyDescent="0.25">
      <c r="A9535" s="198" t="s">
        <v>578</v>
      </c>
      <c r="B9535" s="198"/>
      <c r="C9535" s="193"/>
      <c r="D9535" s="223"/>
      <c r="E9535" s="223"/>
      <c r="F9535" s="223"/>
      <c r="G9535" s="81"/>
      <c r="H9535" s="81"/>
      <c r="I9535" s="81"/>
      <c r="J9535" s="81"/>
      <c r="K9535" s="81"/>
      <c r="L9535" s="81"/>
      <c r="M9535" s="81"/>
      <c r="N9535" s="81"/>
    </row>
    <row r="9536" spans="1:14" ht="38.25" x14ac:dyDescent="0.25">
      <c r="A9536" s="224" t="s">
        <v>563</v>
      </c>
      <c r="B9536" s="492" t="s">
        <v>579</v>
      </c>
      <c r="C9536" s="492" t="s">
        <v>580</v>
      </c>
      <c r="D9536" s="493" t="s">
        <v>581</v>
      </c>
      <c r="E9536" s="493" t="s">
        <v>575</v>
      </c>
      <c r="F9536" s="493" t="s">
        <v>568</v>
      </c>
      <c r="G9536" s="81"/>
      <c r="H9536" s="81"/>
      <c r="I9536" s="81"/>
      <c r="J9536" s="81"/>
      <c r="K9536" s="81"/>
      <c r="L9536" s="81"/>
      <c r="M9536" s="81"/>
      <c r="N9536" s="81"/>
    </row>
    <row r="9537" spans="1:14" ht="14.25" customHeight="1" x14ac:dyDescent="0.25">
      <c r="A9537" s="494" t="s">
        <v>593</v>
      </c>
      <c r="B9537" s="495">
        <v>1</v>
      </c>
      <c r="C9537" s="477">
        <v>32688</v>
      </c>
      <c r="D9537" s="477">
        <f t="shared" ref="D9537:D9538" si="473">+C9537*1.7</f>
        <v>55569.599999999999</v>
      </c>
      <c r="E9537" s="484">
        <v>10.081</v>
      </c>
      <c r="F9537" s="483">
        <f t="shared" ref="F9537:F9538" si="474">+B9537*(D9537)/E9537</f>
        <v>5512.3102866779091</v>
      </c>
      <c r="G9537" s="81"/>
      <c r="H9537" s="81"/>
      <c r="I9537" s="81"/>
      <c r="J9537" s="81"/>
      <c r="K9537" s="81"/>
      <c r="L9537" s="81"/>
      <c r="M9537" s="81"/>
      <c r="N9537" s="81"/>
    </row>
    <row r="9538" spans="1:14" ht="14.25" customHeight="1" x14ac:dyDescent="0.25">
      <c r="A9538" s="494" t="s">
        <v>594</v>
      </c>
      <c r="B9538" s="495">
        <v>1</v>
      </c>
      <c r="C9538" s="477">
        <v>52538</v>
      </c>
      <c r="D9538" s="477">
        <f t="shared" si="473"/>
        <v>89314.599999999991</v>
      </c>
      <c r="E9538" s="484">
        <f>E9537</f>
        <v>10.081</v>
      </c>
      <c r="F9538" s="483">
        <f t="shared" si="474"/>
        <v>8859.6964586846534</v>
      </c>
      <c r="G9538" s="81"/>
      <c r="H9538" s="81"/>
      <c r="I9538" s="81"/>
      <c r="J9538" s="81"/>
      <c r="K9538" s="81"/>
      <c r="L9538" s="81"/>
      <c r="M9538" s="81"/>
      <c r="N9538" s="81"/>
    </row>
    <row r="9539" spans="1:14" ht="14.25" customHeight="1" x14ac:dyDescent="0.25">
      <c r="A9539" s="494"/>
      <c r="B9539" s="495"/>
      <c r="C9539" s="477"/>
      <c r="D9539" s="477"/>
      <c r="E9539" s="484"/>
      <c r="F9539" s="483"/>
      <c r="G9539" s="81"/>
      <c r="H9539" s="81"/>
      <c r="I9539" s="81"/>
      <c r="J9539" s="81"/>
      <c r="K9539" s="81"/>
      <c r="L9539" s="81"/>
      <c r="M9539" s="81"/>
      <c r="N9539" s="81"/>
    </row>
    <row r="9540" spans="1:14" ht="14.25" customHeight="1" x14ac:dyDescent="0.25">
      <c r="A9540" s="494"/>
      <c r="B9540" s="495"/>
      <c r="C9540" s="477"/>
      <c r="D9540" s="477"/>
      <c r="E9540" s="496"/>
      <c r="F9540" s="483"/>
      <c r="G9540" s="81"/>
      <c r="H9540" s="81"/>
      <c r="I9540" s="81"/>
      <c r="J9540" s="81"/>
      <c r="K9540" s="81"/>
      <c r="L9540" s="81"/>
      <c r="M9540" s="81"/>
      <c r="N9540" s="81"/>
    </row>
    <row r="9541" spans="1:14" ht="14.25" customHeight="1" x14ac:dyDescent="0.25">
      <c r="A9541" s="199" t="s">
        <v>548</v>
      </c>
      <c r="B9541" s="497"/>
      <c r="C9541" s="487"/>
      <c r="D9541" s="487"/>
      <c r="E9541" s="487"/>
      <c r="F9541" s="489">
        <f>SUM(F9537:F9540)</f>
        <v>14372.006745362563</v>
      </c>
      <c r="G9541" s="81"/>
      <c r="H9541" s="81"/>
      <c r="I9541" s="81"/>
      <c r="J9541" s="81"/>
      <c r="K9541" s="81"/>
      <c r="L9541" s="81"/>
      <c r="M9541" s="81"/>
      <c r="N9541" s="81"/>
    </row>
    <row r="9542" spans="1:14" ht="14.25" customHeight="1" x14ac:dyDescent="0.25">
      <c r="A9542" s="198"/>
      <c r="B9542" s="231"/>
      <c r="C9542" s="223"/>
      <c r="D9542" s="223"/>
      <c r="E9542" s="223"/>
      <c r="F9542" s="223"/>
      <c r="G9542" s="81"/>
      <c r="H9542" s="81"/>
      <c r="I9542" s="81"/>
      <c r="J9542" s="81"/>
      <c r="K9542" s="81"/>
      <c r="L9542" s="81"/>
      <c r="M9542" s="81"/>
      <c r="N9542" s="81"/>
    </row>
    <row r="9543" spans="1:14" ht="14.25" customHeight="1" x14ac:dyDescent="0.25">
      <c r="A9543" s="197" t="s">
        <v>583</v>
      </c>
      <c r="B9543" s="198"/>
      <c r="C9543" s="193"/>
      <c r="D9543" s="193"/>
      <c r="E9543" s="193" t="s">
        <v>584</v>
      </c>
      <c r="F9543" s="193"/>
      <c r="G9543" s="81"/>
      <c r="H9543" s="81"/>
      <c r="I9543" s="81"/>
      <c r="J9543" s="81"/>
      <c r="K9543" s="81"/>
      <c r="L9543" s="81"/>
      <c r="M9543" s="81"/>
      <c r="N9543" s="81"/>
    </row>
    <row r="9544" spans="1:14" ht="25.5" x14ac:dyDescent="0.25">
      <c r="A9544" s="199" t="s">
        <v>563</v>
      </c>
      <c r="B9544" s="474" t="s">
        <v>564</v>
      </c>
      <c r="C9544" s="474" t="s">
        <v>585</v>
      </c>
      <c r="D9544" s="474" t="s">
        <v>586</v>
      </c>
      <c r="E9544" s="492" t="s">
        <v>587</v>
      </c>
      <c r="F9544" s="474" t="s">
        <v>568</v>
      </c>
      <c r="G9544" s="81"/>
      <c r="H9544" s="81"/>
      <c r="I9544" s="81"/>
      <c r="J9544" s="81"/>
      <c r="K9544" s="81"/>
      <c r="L9544" s="81"/>
      <c r="M9544" s="81"/>
      <c r="N9544" s="81"/>
    </row>
    <row r="9545" spans="1:14" ht="14.25" customHeight="1" x14ac:dyDescent="0.25">
      <c r="A9545" s="480"/>
      <c r="B9545" s="476"/>
      <c r="C9545" s="477"/>
      <c r="D9545" s="498"/>
      <c r="E9545" s="484"/>
      <c r="F9545" s="486">
        <f>+C9545*D9545*E9545</f>
        <v>0</v>
      </c>
      <c r="G9545" s="81"/>
      <c r="H9545" s="81"/>
      <c r="I9545" s="81"/>
      <c r="J9545" s="81"/>
      <c r="K9545" s="81"/>
      <c r="L9545" s="81"/>
      <c r="M9545" s="81"/>
      <c r="N9545" s="81"/>
    </row>
    <row r="9546" spans="1:14" ht="14.25" customHeight="1" x14ac:dyDescent="0.25">
      <c r="A9546" s="480"/>
      <c r="B9546" s="476"/>
      <c r="C9546" s="484"/>
      <c r="D9546" s="484"/>
      <c r="E9546" s="485"/>
      <c r="F9546" s="486"/>
      <c r="G9546" s="81"/>
      <c r="H9546" s="81"/>
      <c r="I9546" s="81"/>
      <c r="J9546" s="81"/>
      <c r="K9546" s="81"/>
      <c r="L9546" s="81"/>
      <c r="M9546" s="81"/>
      <c r="N9546" s="81"/>
    </row>
    <row r="9547" spans="1:14" ht="14.25" customHeight="1" x14ac:dyDescent="0.25">
      <c r="A9547" s="199" t="s">
        <v>548</v>
      </c>
      <c r="B9547" s="474"/>
      <c r="C9547" s="487"/>
      <c r="D9547" s="487"/>
      <c r="E9547" s="488"/>
      <c r="F9547" s="489">
        <f>SUM(F9545:F9546)</f>
        <v>0</v>
      </c>
      <c r="G9547" s="81"/>
      <c r="H9547" s="81"/>
      <c r="I9547" s="81"/>
      <c r="J9547" s="81"/>
      <c r="K9547" s="81"/>
      <c r="L9547" s="81"/>
      <c r="M9547" s="81"/>
      <c r="N9547" s="81"/>
    </row>
    <row r="9548" spans="1:14" ht="14.25" customHeight="1" x14ac:dyDescent="0.25">
      <c r="A9548" s="192"/>
      <c r="B9548" s="194"/>
      <c r="C9548" s="215"/>
      <c r="D9548" s="215"/>
      <c r="E9548" s="216"/>
      <c r="F9548" s="215"/>
      <c r="G9548" s="81"/>
      <c r="H9548" s="81"/>
      <c r="I9548" s="81"/>
      <c r="J9548" s="81"/>
      <c r="K9548" s="81"/>
      <c r="L9548" s="81"/>
      <c r="M9548" s="81"/>
      <c r="N9548" s="81"/>
    </row>
    <row r="9549" spans="1:14" ht="14.25" customHeight="1" x14ac:dyDescent="0.25">
      <c r="A9549" s="192"/>
      <c r="B9549" s="194"/>
      <c r="C9549" s="215"/>
      <c r="D9549" s="215"/>
      <c r="E9549" s="216"/>
      <c r="F9549" s="215"/>
      <c r="G9549" s="81"/>
      <c r="H9549" s="81"/>
      <c r="I9549" s="81"/>
      <c r="J9549" s="81"/>
      <c r="K9549" s="81"/>
      <c r="L9549" s="81"/>
      <c r="M9549" s="81"/>
      <c r="N9549" s="81"/>
    </row>
    <row r="9550" spans="1:14" ht="14.25" customHeight="1" x14ac:dyDescent="0.25">
      <c r="A9550" s="590" t="s">
        <v>588</v>
      </c>
      <c r="B9550" s="586"/>
      <c r="C9550" s="586"/>
      <c r="D9550" s="586"/>
      <c r="E9550" s="587"/>
      <c r="F9550" s="499">
        <f>ROUND(F9524+F9533+F9541+F9547,0)</f>
        <v>37813</v>
      </c>
      <c r="G9550" s="81"/>
      <c r="H9550" s="81"/>
      <c r="I9550" s="81"/>
      <c r="J9550" s="81"/>
      <c r="K9550" s="81"/>
      <c r="L9550" s="81"/>
      <c r="M9550" s="81"/>
      <c r="N9550" s="81"/>
    </row>
    <row r="9551" spans="1:14" ht="14.25" customHeight="1" x14ac:dyDescent="0.25">
      <c r="A9551" s="590" t="s">
        <v>589</v>
      </c>
      <c r="B9551" s="586"/>
      <c r="C9551" s="586"/>
      <c r="D9551" s="586"/>
      <c r="E9551" s="587"/>
      <c r="F9551" s="500"/>
      <c r="G9551" s="81"/>
      <c r="H9551" s="81"/>
      <c r="I9551" s="81"/>
      <c r="J9551" s="81"/>
      <c r="K9551" s="81"/>
      <c r="L9551" s="81"/>
      <c r="M9551" s="81"/>
      <c r="N9551" s="81"/>
    </row>
    <row r="9552" spans="1:14" ht="14.25" customHeight="1" x14ac:dyDescent="0.25">
      <c r="A9552" s="590" t="s">
        <v>556</v>
      </c>
      <c r="B9552" s="586"/>
      <c r="C9552" s="586"/>
      <c r="D9552" s="586"/>
      <c r="E9552" s="587"/>
      <c r="F9552" s="501"/>
      <c r="G9552" s="81"/>
      <c r="H9552" s="81"/>
      <c r="I9552" s="81"/>
      <c r="J9552" s="81"/>
      <c r="K9552" s="81"/>
      <c r="L9552" s="81"/>
      <c r="M9552" s="81"/>
      <c r="N9552" s="81"/>
    </row>
    <row r="9553" spans="1:14" ht="14.25" customHeight="1" x14ac:dyDescent="0.25">
      <c r="A9553" s="301"/>
      <c r="B9553" s="502"/>
      <c r="C9553" s="502"/>
      <c r="D9553" s="502"/>
      <c r="E9553" s="502"/>
      <c r="F9553" s="503"/>
      <c r="G9553" s="81"/>
      <c r="H9553" s="81"/>
      <c r="I9553" s="81"/>
      <c r="J9553" s="81"/>
      <c r="K9553" s="81"/>
      <c r="L9553" s="81"/>
      <c r="M9553" s="81"/>
      <c r="N9553" s="81"/>
    </row>
    <row r="9554" spans="1:14" ht="14.25" customHeight="1" x14ac:dyDescent="0.25">
      <c r="A9554" s="301"/>
      <c r="B9554" s="502"/>
      <c r="C9554" s="502"/>
      <c r="D9554" s="502"/>
      <c r="E9554" s="502"/>
      <c r="F9554" s="503"/>
      <c r="G9554" s="81"/>
      <c r="H9554" s="81"/>
      <c r="I9554" s="81"/>
      <c r="J9554" s="81"/>
      <c r="K9554" s="81"/>
      <c r="L9554" s="81"/>
      <c r="M9554" s="81"/>
      <c r="N9554" s="81"/>
    </row>
    <row r="9555" spans="1:14" ht="14.25" customHeight="1" x14ac:dyDescent="0.25">
      <c r="A9555" s="301"/>
      <c r="B9555" s="502"/>
      <c r="C9555" s="502"/>
      <c r="D9555" s="502"/>
      <c r="E9555" s="502"/>
      <c r="F9555" s="503"/>
      <c r="G9555" s="81"/>
      <c r="H9555" s="81"/>
      <c r="I9555" s="81"/>
      <c r="J9555" s="81"/>
      <c r="K9555" s="81"/>
      <c r="L9555" s="81"/>
      <c r="M9555" s="81"/>
      <c r="N9555" s="81"/>
    </row>
    <row r="9556" spans="1:14" ht="14.25" customHeight="1" x14ac:dyDescent="0.25">
      <c r="A9556" s="243"/>
      <c r="B9556" s="243"/>
      <c r="C9556" s="504"/>
      <c r="D9556" s="243"/>
      <c r="E9556" s="243"/>
      <c r="F9556" s="243"/>
      <c r="G9556" s="81"/>
      <c r="H9556" s="81"/>
      <c r="I9556" s="81"/>
      <c r="J9556" s="81"/>
      <c r="K9556" s="81"/>
      <c r="L9556" s="81"/>
      <c r="M9556" s="81"/>
      <c r="N9556" s="81"/>
    </row>
    <row r="9557" spans="1:14" ht="14.25" customHeight="1" x14ac:dyDescent="0.25">
      <c r="A9557" s="243"/>
      <c r="B9557" s="243"/>
      <c r="C9557" s="504"/>
      <c r="D9557" s="243"/>
      <c r="E9557" s="243"/>
      <c r="F9557" s="243"/>
      <c r="G9557" s="81"/>
      <c r="H9557" s="81"/>
      <c r="I9557" s="81"/>
      <c r="J9557" s="81"/>
      <c r="K9557" s="81"/>
      <c r="L9557" s="81"/>
      <c r="M9557" s="81"/>
      <c r="N9557" s="81"/>
    </row>
    <row r="9558" spans="1:14" ht="14.25" customHeight="1" x14ac:dyDescent="0.25">
      <c r="A9558" s="243"/>
      <c r="B9558" s="243"/>
      <c r="C9558" s="504"/>
      <c r="D9558" s="243"/>
      <c r="E9558" s="243"/>
      <c r="F9558" s="243"/>
      <c r="G9558" s="81"/>
      <c r="H9558" s="81"/>
      <c r="I9558" s="81"/>
      <c r="J9558" s="81"/>
      <c r="K9558" s="81"/>
      <c r="L9558" s="81"/>
      <c r="M9558" s="81"/>
      <c r="N9558" s="81"/>
    </row>
    <row r="9559" spans="1:14" ht="14.25" customHeight="1" x14ac:dyDescent="0.25">
      <c r="A9559" s="243"/>
      <c r="B9559" s="243"/>
      <c r="C9559" s="504"/>
      <c r="D9559" s="243"/>
      <c r="E9559" s="243"/>
      <c r="F9559" s="243"/>
      <c r="G9559" s="81"/>
      <c r="H9559" s="81"/>
      <c r="I9559" s="81"/>
      <c r="J9559" s="81"/>
      <c r="K9559" s="81"/>
      <c r="L9559" s="81"/>
      <c r="M9559" s="81"/>
      <c r="N9559" s="81"/>
    </row>
    <row r="9560" spans="1:14" ht="14.25" customHeight="1" x14ac:dyDescent="0.25">
      <c r="A9560" s="243"/>
      <c r="B9560" s="243"/>
      <c r="C9560" s="504"/>
      <c r="D9560" s="243"/>
      <c r="E9560" s="243"/>
      <c r="F9560" s="243"/>
      <c r="G9560" s="81"/>
      <c r="H9560" s="81"/>
      <c r="I9560" s="81"/>
      <c r="J9560" s="81"/>
      <c r="K9560" s="81"/>
      <c r="L9560" s="81"/>
      <c r="M9560" s="81"/>
      <c r="N9560" s="81"/>
    </row>
    <row r="9561" spans="1:14" ht="14.25" customHeight="1" x14ac:dyDescent="0.25">
      <c r="A9561" s="243"/>
      <c r="B9561" s="243"/>
      <c r="C9561" s="504"/>
      <c r="D9561" s="243"/>
      <c r="E9561" s="243"/>
      <c r="F9561" s="243"/>
      <c r="G9561" s="81"/>
      <c r="H9561" s="81"/>
      <c r="I9561" s="81"/>
      <c r="J9561" s="81"/>
      <c r="K9561" s="81"/>
      <c r="L9561" s="81"/>
      <c r="M9561" s="81"/>
      <c r="N9561" s="81"/>
    </row>
    <row r="9562" spans="1:14" ht="14.25" customHeight="1" x14ac:dyDescent="0.25">
      <c r="A9562" s="243"/>
      <c r="B9562" s="243"/>
      <c r="C9562" s="504"/>
      <c r="D9562" s="243"/>
      <c r="E9562" s="243"/>
      <c r="F9562" s="243"/>
      <c r="G9562" s="81"/>
      <c r="H9562" s="81"/>
      <c r="I9562" s="81"/>
      <c r="J9562" s="81"/>
      <c r="K9562" s="81"/>
      <c r="L9562" s="81"/>
      <c r="M9562" s="81"/>
      <c r="N9562" s="81"/>
    </row>
    <row r="9563" spans="1:14" ht="14.25" customHeight="1" x14ac:dyDescent="0.25">
      <c r="A9563" s="301"/>
      <c r="B9563" s="502"/>
      <c r="C9563" s="502"/>
      <c r="D9563" s="502"/>
      <c r="E9563" s="502"/>
      <c r="F9563" s="503"/>
      <c r="G9563" s="81"/>
      <c r="H9563" s="81"/>
      <c r="I9563" s="81"/>
      <c r="J9563" s="81"/>
      <c r="K9563" s="81"/>
      <c r="L9563" s="81"/>
      <c r="M9563" s="81"/>
      <c r="N9563" s="81"/>
    </row>
    <row r="9564" spans="1:14" ht="14.25" customHeight="1" thickBot="1" x14ac:dyDescent="0.3">
      <c r="A9564" s="243"/>
      <c r="B9564" s="243"/>
      <c r="C9564" s="243"/>
      <c r="D9564" s="243"/>
      <c r="E9564" s="243"/>
      <c r="F9564" s="243"/>
      <c r="G9564" s="81"/>
      <c r="H9564" s="81"/>
      <c r="I9564" s="81"/>
      <c r="J9564" s="81"/>
      <c r="K9564" s="81"/>
      <c r="L9564" s="81"/>
      <c r="M9564" s="81"/>
      <c r="N9564" s="81"/>
    </row>
    <row r="9565" spans="1:14" ht="14.25" customHeight="1" x14ac:dyDescent="0.25">
      <c r="A9565" s="258"/>
      <c r="B9565" s="259"/>
      <c r="C9565" s="260"/>
      <c r="D9565" s="261"/>
      <c r="E9565" s="261"/>
      <c r="F9565" s="262"/>
      <c r="G9565" s="81"/>
      <c r="H9565" s="81"/>
      <c r="I9565" s="81"/>
      <c r="J9565" s="81"/>
      <c r="K9565" s="81"/>
      <c r="L9565" s="81"/>
      <c r="M9565" s="81"/>
      <c r="N9565" s="81"/>
    </row>
    <row r="9566" spans="1:14" ht="14.25" customHeight="1" x14ac:dyDescent="0.25">
      <c r="A9566" s="621"/>
      <c r="B9566" s="629"/>
      <c r="C9566" s="629"/>
      <c r="D9566" s="629"/>
      <c r="E9566" s="629"/>
      <c r="F9566" s="630"/>
      <c r="G9566" s="81"/>
      <c r="H9566" s="81"/>
      <c r="I9566" s="81"/>
      <c r="J9566" s="81"/>
      <c r="K9566" s="81"/>
      <c r="L9566" s="81"/>
      <c r="M9566" s="81"/>
      <c r="N9566" s="81"/>
    </row>
    <row r="9567" spans="1:14" ht="14.25" customHeight="1" x14ac:dyDescent="0.25">
      <c r="A9567" s="614" t="s">
        <v>561</v>
      </c>
      <c r="B9567" s="629"/>
      <c r="C9567" s="629"/>
      <c r="D9567" s="629"/>
      <c r="E9567" s="629"/>
      <c r="F9567" s="630"/>
      <c r="G9567" s="81"/>
      <c r="H9567" s="81"/>
      <c r="I9567" s="81"/>
      <c r="J9567" s="81"/>
      <c r="K9567" s="81"/>
      <c r="L9567" s="81"/>
      <c r="M9567" s="81"/>
      <c r="N9567" s="81"/>
    </row>
    <row r="9568" spans="1:14" ht="14.25" customHeight="1" thickBot="1" x14ac:dyDescent="0.3">
      <c r="A9568" s="617"/>
      <c r="B9568" s="631"/>
      <c r="C9568" s="631"/>
      <c r="D9568" s="631"/>
      <c r="E9568" s="631"/>
      <c r="F9568" s="632"/>
      <c r="G9568" s="81"/>
      <c r="H9568" s="81"/>
      <c r="I9568" s="81"/>
      <c r="J9568" s="81"/>
      <c r="K9568" s="81"/>
      <c r="L9568" s="81"/>
      <c r="M9568" s="81"/>
      <c r="N9568" s="81"/>
    </row>
    <row r="9569" spans="1:14" ht="14.25" customHeight="1" x14ac:dyDescent="0.25">
      <c r="A9569" s="192"/>
      <c r="B9569" s="192"/>
      <c r="C9569" s="194"/>
      <c r="D9569" s="194"/>
      <c r="E9569" s="194"/>
      <c r="F9569" s="194"/>
      <c r="G9569" s="81"/>
      <c r="H9569" s="81"/>
      <c r="I9569" s="81"/>
      <c r="J9569" s="81"/>
      <c r="K9569" s="81"/>
      <c r="L9569" s="81"/>
      <c r="M9569" s="81"/>
      <c r="N9569" s="81"/>
    </row>
    <row r="9570" spans="1:14" ht="14.25" customHeight="1" x14ac:dyDescent="0.25">
      <c r="A9570" s="473" t="s">
        <v>47</v>
      </c>
      <c r="B9570" s="620" t="s">
        <v>1026</v>
      </c>
      <c r="C9570" s="629"/>
      <c r="D9570" s="629"/>
      <c r="E9570" s="629"/>
      <c r="F9570" s="629"/>
      <c r="G9570" s="81"/>
      <c r="H9570" s="81"/>
      <c r="I9570" s="81"/>
      <c r="J9570" s="81"/>
      <c r="K9570" s="81"/>
      <c r="L9570" s="81"/>
      <c r="M9570" s="81"/>
      <c r="N9570" s="81"/>
    </row>
    <row r="9571" spans="1:14" ht="14.25" customHeight="1" x14ac:dyDescent="0.25">
      <c r="A9571" s="191"/>
      <c r="B9571" s="191"/>
      <c r="C9571" s="191"/>
      <c r="D9571" s="191"/>
      <c r="E9571" s="191"/>
      <c r="F9571" s="191"/>
      <c r="G9571" s="81"/>
      <c r="H9571" s="81"/>
      <c r="I9571" s="81"/>
      <c r="J9571" s="81"/>
      <c r="K9571" s="81"/>
      <c r="L9571" s="81"/>
      <c r="M9571" s="81"/>
      <c r="N9571" s="81"/>
    </row>
    <row r="9572" spans="1:14" ht="14.25" customHeight="1" x14ac:dyDescent="0.25">
      <c r="A9572" s="192" t="s">
        <v>49</v>
      </c>
      <c r="B9572" s="193" t="s">
        <v>56</v>
      </c>
      <c r="C9572" s="194"/>
      <c r="D9572" s="194"/>
      <c r="E9572" s="194"/>
      <c r="F9572" s="195"/>
      <c r="G9572" s="81"/>
      <c r="H9572" s="81"/>
      <c r="I9572" s="81"/>
      <c r="J9572" s="81"/>
      <c r="K9572" s="81"/>
      <c r="L9572" s="81"/>
      <c r="M9572" s="81"/>
      <c r="N9572" s="81"/>
    </row>
    <row r="9573" spans="1:14" ht="14.25" customHeight="1" x14ac:dyDescent="0.25">
      <c r="A9573" s="192"/>
      <c r="B9573" s="196"/>
      <c r="C9573" s="194"/>
      <c r="D9573" s="194"/>
      <c r="E9573" s="194"/>
      <c r="F9573" s="195"/>
      <c r="G9573" s="81"/>
      <c r="H9573" s="81"/>
      <c r="I9573" s="81"/>
      <c r="J9573" s="81"/>
      <c r="K9573" s="81"/>
      <c r="L9573" s="81"/>
      <c r="M9573" s="81"/>
      <c r="N9573" s="81"/>
    </row>
    <row r="9574" spans="1:14" ht="14.25" customHeight="1" x14ac:dyDescent="0.25">
      <c r="A9574" s="197" t="s">
        <v>562</v>
      </c>
      <c r="B9574" s="198"/>
      <c r="C9574" s="193"/>
      <c r="D9574" s="193"/>
      <c r="E9574" s="193"/>
      <c r="F9574" s="193"/>
      <c r="G9574" s="81"/>
      <c r="H9574" s="81"/>
      <c r="I9574" s="81"/>
      <c r="J9574" s="81"/>
      <c r="K9574" s="81"/>
      <c r="L9574" s="81"/>
      <c r="M9574" s="81"/>
      <c r="N9574" s="81"/>
    </row>
    <row r="9575" spans="1:14" ht="14.25" customHeight="1" x14ac:dyDescent="0.25">
      <c r="A9575" s="199" t="s">
        <v>563</v>
      </c>
      <c r="B9575" s="474" t="s">
        <v>564</v>
      </c>
      <c r="C9575" s="474" t="s">
        <v>565</v>
      </c>
      <c r="D9575" s="474" t="s">
        <v>566</v>
      </c>
      <c r="E9575" s="474" t="s">
        <v>567</v>
      </c>
      <c r="F9575" s="474" t="s">
        <v>568</v>
      </c>
      <c r="G9575" s="81"/>
      <c r="H9575" s="81"/>
      <c r="I9575" s="81"/>
      <c r="J9575" s="81"/>
      <c r="K9575" s="81"/>
      <c r="L9575" s="81"/>
      <c r="M9575" s="81"/>
      <c r="N9575" s="81"/>
    </row>
    <row r="9576" spans="1:14" ht="14.25" customHeight="1" x14ac:dyDescent="0.25">
      <c r="A9576" s="475" t="s">
        <v>662</v>
      </c>
      <c r="B9576" s="476" t="s">
        <v>64</v>
      </c>
      <c r="C9576" s="477">
        <v>373380</v>
      </c>
      <c r="D9576" s="478">
        <v>0.02</v>
      </c>
      <c r="E9576" s="479">
        <v>0.05</v>
      </c>
      <c r="F9576" s="477">
        <f t="shared" ref="F9576:F9577" si="475">C9576*(D9576+(D9576*E9576))</f>
        <v>7840.9800000000005</v>
      </c>
      <c r="G9576" s="81"/>
      <c r="H9576" s="81"/>
      <c r="I9576" s="81"/>
      <c r="J9576" s="81"/>
      <c r="K9576" s="81"/>
      <c r="L9576" s="81"/>
      <c r="M9576" s="81"/>
      <c r="N9576" s="81"/>
    </row>
    <row r="9577" spans="1:14" ht="14.25" customHeight="1" x14ac:dyDescent="0.25">
      <c r="A9577" s="475" t="s">
        <v>668</v>
      </c>
      <c r="B9577" s="476" t="s">
        <v>651</v>
      </c>
      <c r="C9577" s="477">
        <v>32000</v>
      </c>
      <c r="D9577" s="478">
        <v>0.12069000000000001</v>
      </c>
      <c r="E9577" s="479">
        <v>0.05</v>
      </c>
      <c r="F9577" s="477">
        <f t="shared" si="475"/>
        <v>4055.1840000000007</v>
      </c>
      <c r="G9577" s="81"/>
      <c r="H9577" s="81"/>
      <c r="I9577" s="81"/>
      <c r="J9577" s="81"/>
      <c r="K9577" s="81"/>
      <c r="L9577" s="81"/>
      <c r="M9577" s="81"/>
      <c r="N9577" s="81"/>
    </row>
    <row r="9578" spans="1:14" ht="14.25" customHeight="1" x14ac:dyDescent="0.25">
      <c r="A9578" s="475"/>
      <c r="B9578" s="476"/>
      <c r="C9578" s="477"/>
      <c r="D9578" s="478"/>
      <c r="E9578" s="479"/>
      <c r="F9578" s="477"/>
      <c r="G9578" s="81"/>
      <c r="H9578" s="81"/>
      <c r="I9578" s="81"/>
      <c r="J9578" s="81"/>
      <c r="K9578" s="81"/>
      <c r="L9578" s="81"/>
      <c r="M9578" s="81"/>
      <c r="N9578" s="81"/>
    </row>
    <row r="9579" spans="1:14" ht="14.25" customHeight="1" x14ac:dyDescent="0.25">
      <c r="A9579" s="475"/>
      <c r="B9579" s="476"/>
      <c r="C9579" s="477"/>
      <c r="D9579" s="478"/>
      <c r="E9579" s="479"/>
      <c r="F9579" s="477"/>
      <c r="G9579" s="81"/>
      <c r="H9579" s="81"/>
      <c r="I9579" s="81"/>
      <c r="J9579" s="81"/>
      <c r="K9579" s="81"/>
      <c r="L9579" s="81"/>
      <c r="M9579" s="81"/>
      <c r="N9579" s="81"/>
    </row>
    <row r="9580" spans="1:14" ht="14.25" customHeight="1" x14ac:dyDescent="0.25">
      <c r="A9580" s="475"/>
      <c r="B9580" s="476"/>
      <c r="C9580" s="483"/>
      <c r="D9580" s="484"/>
      <c r="E9580" s="485"/>
      <c r="F9580" s="483"/>
      <c r="G9580" s="81"/>
      <c r="H9580" s="81"/>
      <c r="I9580" s="81"/>
      <c r="J9580" s="81"/>
      <c r="K9580" s="81"/>
      <c r="L9580" s="81"/>
      <c r="M9580" s="81"/>
      <c r="N9580" s="81"/>
    </row>
    <row r="9581" spans="1:14" ht="14.25" customHeight="1" x14ac:dyDescent="0.25">
      <c r="A9581" s="199" t="s">
        <v>548</v>
      </c>
      <c r="B9581" s="199"/>
      <c r="C9581" s="486"/>
      <c r="D9581" s="487"/>
      <c r="E9581" s="488"/>
      <c r="F9581" s="489">
        <f>SUM(F9576:F9580)</f>
        <v>11896.164000000001</v>
      </c>
      <c r="G9581" s="81"/>
      <c r="H9581" s="81"/>
      <c r="I9581" s="81"/>
      <c r="J9581" s="81"/>
      <c r="K9581" s="81"/>
      <c r="L9581" s="81"/>
      <c r="M9581" s="81"/>
      <c r="N9581" s="81"/>
    </row>
    <row r="9582" spans="1:14" ht="14.25" customHeight="1" x14ac:dyDescent="0.25">
      <c r="A9582" s="192"/>
      <c r="B9582" s="192"/>
      <c r="C9582" s="215"/>
      <c r="D9582" s="215"/>
      <c r="E9582" s="216"/>
      <c r="F9582" s="215"/>
      <c r="G9582" s="81"/>
      <c r="H9582" s="81"/>
      <c r="I9582" s="81"/>
      <c r="J9582" s="81"/>
      <c r="K9582" s="81"/>
      <c r="L9582" s="81"/>
      <c r="M9582" s="81"/>
      <c r="N9582" s="81"/>
    </row>
    <row r="9583" spans="1:14" ht="14.25" customHeight="1" x14ac:dyDescent="0.25">
      <c r="A9583" s="198" t="s">
        <v>573</v>
      </c>
      <c r="B9583" s="198"/>
      <c r="C9583" s="193"/>
      <c r="D9583" s="193"/>
      <c r="E9583" s="193"/>
      <c r="F9583" s="193"/>
      <c r="G9583" s="81"/>
      <c r="H9583" s="81"/>
      <c r="I9583" s="81"/>
      <c r="J9583" s="81"/>
      <c r="K9583" s="81"/>
      <c r="L9583" s="81"/>
      <c r="M9583" s="81"/>
      <c r="N9583" s="81"/>
    </row>
    <row r="9584" spans="1:14" ht="14.25" customHeight="1" x14ac:dyDescent="0.25">
      <c r="A9584" s="585" t="s">
        <v>563</v>
      </c>
      <c r="B9584" s="586"/>
      <c r="C9584" s="587"/>
      <c r="D9584" s="474" t="s">
        <v>574</v>
      </c>
      <c r="E9584" s="474" t="s">
        <v>575</v>
      </c>
      <c r="F9584" s="474" t="s">
        <v>568</v>
      </c>
      <c r="G9584" s="81"/>
      <c r="H9584" s="81"/>
      <c r="I9584" s="81"/>
      <c r="J9584" s="81"/>
      <c r="K9584" s="81"/>
      <c r="L9584" s="81"/>
      <c r="M9584" s="81"/>
      <c r="N9584" s="81"/>
    </row>
    <row r="9585" spans="1:14" ht="14.25" customHeight="1" x14ac:dyDescent="0.25">
      <c r="A9585" s="588" t="s">
        <v>577</v>
      </c>
      <c r="B9585" s="586"/>
      <c r="C9585" s="587"/>
      <c r="D9585" s="490"/>
      <c r="E9585" s="484"/>
      <c r="F9585" s="483">
        <f>+F9598*5%</f>
        <v>615.1046089053425</v>
      </c>
      <c r="G9585" s="81"/>
      <c r="H9585" s="81"/>
      <c r="I9585" s="81"/>
      <c r="J9585" s="81"/>
      <c r="K9585" s="81"/>
      <c r="L9585" s="81"/>
      <c r="M9585" s="81"/>
      <c r="N9585" s="81"/>
    </row>
    <row r="9586" spans="1:14" ht="14.25" customHeight="1" x14ac:dyDescent="0.25">
      <c r="A9586" s="588"/>
      <c r="B9586" s="586"/>
      <c r="C9586" s="587"/>
      <c r="D9586" s="505"/>
      <c r="E9586" s="484"/>
      <c r="F9586" s="483"/>
      <c r="G9586" s="81"/>
      <c r="H9586" s="81"/>
      <c r="I9586" s="81"/>
      <c r="J9586" s="81"/>
      <c r="K9586" s="81"/>
      <c r="L9586" s="81"/>
      <c r="M9586" s="81"/>
      <c r="N9586" s="81"/>
    </row>
    <row r="9587" spans="1:14" ht="14.25" customHeight="1" x14ac:dyDescent="0.25">
      <c r="A9587" s="588"/>
      <c r="B9587" s="586"/>
      <c r="C9587" s="587"/>
      <c r="D9587" s="505"/>
      <c r="E9587" s="484"/>
      <c r="F9587" s="483"/>
      <c r="G9587" s="81"/>
      <c r="H9587" s="81"/>
      <c r="I9587" s="81"/>
      <c r="J9587" s="81"/>
      <c r="K9587" s="81"/>
      <c r="L9587" s="81"/>
      <c r="M9587" s="81"/>
      <c r="N9587" s="81"/>
    </row>
    <row r="9588" spans="1:14" ht="14.25" customHeight="1" x14ac:dyDescent="0.25">
      <c r="A9588" s="588"/>
      <c r="B9588" s="586"/>
      <c r="C9588" s="587"/>
      <c r="D9588" s="505"/>
      <c r="E9588" s="484"/>
      <c r="F9588" s="483"/>
      <c r="G9588" s="81"/>
      <c r="H9588" s="81"/>
      <c r="I9588" s="81"/>
      <c r="J9588" s="81"/>
      <c r="K9588" s="81"/>
      <c r="L9588" s="81"/>
      <c r="M9588" s="81"/>
      <c r="N9588" s="81"/>
    </row>
    <row r="9589" spans="1:14" ht="14.25" customHeight="1" x14ac:dyDescent="0.25">
      <c r="A9589" s="589"/>
      <c r="B9589" s="586"/>
      <c r="C9589" s="587"/>
      <c r="D9589" s="491"/>
      <c r="E9589" s="484"/>
      <c r="F9589" s="483"/>
      <c r="G9589" s="81"/>
      <c r="H9589" s="81"/>
      <c r="I9589" s="81"/>
      <c r="J9589" s="81"/>
      <c r="K9589" s="81"/>
      <c r="L9589" s="81"/>
      <c r="M9589" s="81"/>
      <c r="N9589" s="81"/>
    </row>
    <row r="9590" spans="1:14" ht="14.25" customHeight="1" x14ac:dyDescent="0.25">
      <c r="A9590" s="585" t="s">
        <v>548</v>
      </c>
      <c r="B9590" s="586"/>
      <c r="C9590" s="587"/>
      <c r="D9590" s="487"/>
      <c r="E9590" s="487"/>
      <c r="F9590" s="489">
        <f>SUM(F9585:F9589)</f>
        <v>615.1046089053425</v>
      </c>
      <c r="G9590" s="81"/>
      <c r="H9590" s="81"/>
      <c r="I9590" s="81"/>
      <c r="J9590" s="81"/>
      <c r="K9590" s="81"/>
      <c r="L9590" s="81"/>
      <c r="M9590" s="81"/>
      <c r="N9590" s="81"/>
    </row>
    <row r="9591" spans="1:14" ht="14.25" customHeight="1" x14ac:dyDescent="0.25">
      <c r="A9591" s="192"/>
      <c r="B9591" s="192"/>
      <c r="C9591" s="194"/>
      <c r="D9591" s="215"/>
      <c r="E9591" s="215"/>
      <c r="F9591" s="215"/>
      <c r="G9591" s="81"/>
      <c r="H9591" s="81"/>
      <c r="I9591" s="81"/>
      <c r="J9591" s="81"/>
      <c r="K9591" s="81"/>
      <c r="L9591" s="81"/>
      <c r="M9591" s="81"/>
      <c r="N9591" s="81"/>
    </row>
    <row r="9592" spans="1:14" ht="14.25" customHeight="1" x14ac:dyDescent="0.25">
      <c r="A9592" s="198" t="s">
        <v>578</v>
      </c>
      <c r="B9592" s="198"/>
      <c r="C9592" s="193"/>
      <c r="D9592" s="223"/>
      <c r="E9592" s="223"/>
      <c r="F9592" s="223"/>
      <c r="G9592" s="81"/>
      <c r="H9592" s="81"/>
      <c r="I9592" s="81"/>
      <c r="J9592" s="81"/>
      <c r="K9592" s="81"/>
      <c r="L9592" s="81"/>
      <c r="M9592" s="81"/>
      <c r="N9592" s="81"/>
    </row>
    <row r="9593" spans="1:14" ht="38.25" x14ac:dyDescent="0.25">
      <c r="A9593" s="224" t="s">
        <v>563</v>
      </c>
      <c r="B9593" s="492" t="s">
        <v>579</v>
      </c>
      <c r="C9593" s="492" t="s">
        <v>580</v>
      </c>
      <c r="D9593" s="493" t="s">
        <v>581</v>
      </c>
      <c r="E9593" s="493" t="s">
        <v>575</v>
      </c>
      <c r="F9593" s="493" t="s">
        <v>568</v>
      </c>
      <c r="G9593" s="81"/>
      <c r="H9593" s="81"/>
      <c r="I9593" s="81"/>
      <c r="J9593" s="81"/>
      <c r="K9593" s="81"/>
      <c r="L9593" s="81"/>
      <c r="M9593" s="81"/>
      <c r="N9593" s="81"/>
    </row>
    <row r="9594" spans="1:14" ht="14.25" customHeight="1" x14ac:dyDescent="0.25">
      <c r="A9594" s="494" t="s">
        <v>593</v>
      </c>
      <c r="B9594" s="495">
        <v>1</v>
      </c>
      <c r="C9594" s="477">
        <v>32688</v>
      </c>
      <c r="D9594" s="477">
        <f t="shared" ref="D9594:D9595" si="476">+C9594*1.7</f>
        <v>55569.599999999999</v>
      </c>
      <c r="E9594" s="484">
        <v>11.777200000000001</v>
      </c>
      <c r="F9594" s="483">
        <f t="shared" ref="F9594:F9595" si="477">+B9594*(D9594)/E9594</f>
        <v>4718.4050538328293</v>
      </c>
      <c r="G9594" s="81"/>
      <c r="H9594" s="81"/>
      <c r="I9594" s="81"/>
      <c r="J9594" s="81"/>
      <c r="K9594" s="81"/>
      <c r="L9594" s="81"/>
      <c r="M9594" s="81"/>
      <c r="N9594" s="81"/>
    </row>
    <row r="9595" spans="1:14" ht="14.25" customHeight="1" x14ac:dyDescent="0.25">
      <c r="A9595" s="494" t="s">
        <v>594</v>
      </c>
      <c r="B9595" s="495">
        <v>1</v>
      </c>
      <c r="C9595" s="477">
        <v>52538</v>
      </c>
      <c r="D9595" s="477">
        <f t="shared" si="476"/>
        <v>89314.599999999991</v>
      </c>
      <c r="E9595" s="484">
        <f>E9594</f>
        <v>11.777200000000001</v>
      </c>
      <c r="F9595" s="483">
        <f t="shared" si="477"/>
        <v>7583.6871242740199</v>
      </c>
      <c r="G9595" s="81"/>
      <c r="H9595" s="81"/>
      <c r="I9595" s="81"/>
      <c r="J9595" s="81"/>
      <c r="K9595" s="81"/>
      <c r="L9595" s="81"/>
      <c r="M9595" s="81"/>
      <c r="N9595" s="81"/>
    </row>
    <row r="9596" spans="1:14" ht="14.25" customHeight="1" x14ac:dyDescent="0.25">
      <c r="A9596" s="494"/>
      <c r="B9596" s="495"/>
      <c r="C9596" s="477"/>
      <c r="D9596" s="477"/>
      <c r="E9596" s="484"/>
      <c r="F9596" s="483"/>
      <c r="G9596" s="81"/>
      <c r="H9596" s="117"/>
      <c r="I9596" s="81"/>
      <c r="J9596" s="81"/>
      <c r="K9596" s="81"/>
      <c r="L9596" s="81"/>
      <c r="M9596" s="81"/>
      <c r="N9596" s="81"/>
    </row>
    <row r="9597" spans="1:14" ht="14.25" customHeight="1" x14ac:dyDescent="0.25">
      <c r="A9597" s="494"/>
      <c r="B9597" s="495"/>
      <c r="C9597" s="477"/>
      <c r="D9597" s="477"/>
      <c r="E9597" s="496"/>
      <c r="F9597" s="483"/>
      <c r="G9597" s="81"/>
      <c r="H9597" s="81"/>
      <c r="I9597" s="81"/>
      <c r="J9597" s="81"/>
      <c r="K9597" s="81"/>
      <c r="L9597" s="81"/>
      <c r="M9597" s="81"/>
      <c r="N9597" s="81"/>
    </row>
    <row r="9598" spans="1:14" ht="14.25" customHeight="1" x14ac:dyDescent="0.25">
      <c r="A9598" s="199" t="s">
        <v>548</v>
      </c>
      <c r="B9598" s="497"/>
      <c r="C9598" s="487"/>
      <c r="D9598" s="487"/>
      <c r="E9598" s="487"/>
      <c r="F9598" s="489">
        <f>SUM(F9594:F9597)</f>
        <v>12302.09217810685</v>
      </c>
      <c r="G9598" s="81"/>
      <c r="H9598" s="81"/>
      <c r="I9598" s="81"/>
      <c r="J9598" s="81"/>
      <c r="K9598" s="81"/>
      <c r="L9598" s="81"/>
      <c r="M9598" s="81"/>
      <c r="N9598" s="81"/>
    </row>
    <row r="9599" spans="1:14" ht="14.25" customHeight="1" x14ac:dyDescent="0.25">
      <c r="A9599" s="198"/>
      <c r="B9599" s="231"/>
      <c r="C9599" s="223"/>
      <c r="D9599" s="223"/>
      <c r="E9599" s="223"/>
      <c r="F9599" s="223"/>
      <c r="G9599" s="81"/>
      <c r="H9599" s="143"/>
      <c r="I9599" s="81"/>
      <c r="J9599" s="81"/>
      <c r="K9599" s="81"/>
      <c r="L9599" s="81"/>
      <c r="M9599" s="81"/>
      <c r="N9599" s="81"/>
    </row>
    <row r="9600" spans="1:14" ht="14.25" customHeight="1" x14ac:dyDescent="0.25">
      <c r="A9600" s="197" t="s">
        <v>583</v>
      </c>
      <c r="B9600" s="198"/>
      <c r="C9600" s="193"/>
      <c r="D9600" s="193"/>
      <c r="E9600" s="193" t="s">
        <v>584</v>
      </c>
      <c r="F9600" s="193"/>
      <c r="G9600" s="81"/>
      <c r="H9600" s="81"/>
      <c r="I9600" s="81"/>
      <c r="J9600" s="81"/>
      <c r="K9600" s="81"/>
      <c r="L9600" s="81"/>
      <c r="M9600" s="81"/>
      <c r="N9600" s="81"/>
    </row>
    <row r="9601" spans="1:14" ht="25.5" x14ac:dyDescent="0.25">
      <c r="A9601" s="199" t="s">
        <v>563</v>
      </c>
      <c r="B9601" s="474" t="s">
        <v>564</v>
      </c>
      <c r="C9601" s="474" t="s">
        <v>585</v>
      </c>
      <c r="D9601" s="474" t="s">
        <v>586</v>
      </c>
      <c r="E9601" s="492" t="s">
        <v>587</v>
      </c>
      <c r="F9601" s="474" t="s">
        <v>568</v>
      </c>
      <c r="G9601" s="81"/>
      <c r="H9601" s="81"/>
      <c r="I9601" s="81"/>
      <c r="J9601" s="81"/>
      <c r="K9601" s="81"/>
      <c r="L9601" s="81"/>
      <c r="M9601" s="81"/>
      <c r="N9601" s="81"/>
    </row>
    <row r="9602" spans="1:14" ht="14.25" customHeight="1" x14ac:dyDescent="0.25">
      <c r="A9602" s="480"/>
      <c r="B9602" s="476"/>
      <c r="C9602" s="477"/>
      <c r="D9602" s="498"/>
      <c r="E9602" s="484"/>
      <c r="F9602" s="486">
        <f>+C9602*D9602*E9602</f>
        <v>0</v>
      </c>
      <c r="G9602" s="81"/>
      <c r="H9602" s="81"/>
      <c r="I9602" s="81"/>
      <c r="J9602" s="81"/>
      <c r="K9602" s="81"/>
      <c r="L9602" s="81"/>
      <c r="M9602" s="81"/>
      <c r="N9602" s="81"/>
    </row>
    <row r="9603" spans="1:14" ht="14.25" customHeight="1" x14ac:dyDescent="0.25">
      <c r="A9603" s="480"/>
      <c r="B9603" s="476"/>
      <c r="C9603" s="484"/>
      <c r="D9603" s="484"/>
      <c r="E9603" s="485"/>
      <c r="F9603" s="486"/>
      <c r="G9603" s="81"/>
      <c r="H9603" s="81"/>
      <c r="I9603" s="81"/>
      <c r="J9603" s="81"/>
      <c r="K9603" s="81"/>
      <c r="L9603" s="81"/>
      <c r="M9603" s="81"/>
      <c r="N9603" s="81"/>
    </row>
    <row r="9604" spans="1:14" ht="14.25" customHeight="1" x14ac:dyDescent="0.25">
      <c r="A9604" s="199" t="s">
        <v>548</v>
      </c>
      <c r="B9604" s="474"/>
      <c r="C9604" s="487"/>
      <c r="D9604" s="487"/>
      <c r="E9604" s="488"/>
      <c r="F9604" s="489">
        <f>SUM(F9602:F9603)</f>
        <v>0</v>
      </c>
      <c r="G9604" s="81"/>
      <c r="H9604" s="81"/>
      <c r="I9604" s="81"/>
      <c r="J9604" s="81"/>
      <c r="K9604" s="81"/>
      <c r="L9604" s="81"/>
      <c r="M9604" s="81"/>
      <c r="N9604" s="81"/>
    </row>
    <row r="9605" spans="1:14" ht="14.25" customHeight="1" x14ac:dyDescent="0.25">
      <c r="A9605" s="192"/>
      <c r="B9605" s="194"/>
      <c r="C9605" s="215"/>
      <c r="D9605" s="215"/>
      <c r="E9605" s="216"/>
      <c r="F9605" s="215"/>
      <c r="G9605" s="81"/>
      <c r="H9605" s="81"/>
      <c r="I9605" s="81"/>
      <c r="J9605" s="81"/>
      <c r="K9605" s="81"/>
      <c r="L9605" s="81"/>
      <c r="M9605" s="81"/>
      <c r="N9605" s="81"/>
    </row>
    <row r="9606" spans="1:14" ht="14.25" customHeight="1" x14ac:dyDescent="0.25">
      <c r="A9606" s="192"/>
      <c r="B9606" s="194"/>
      <c r="C9606" s="215"/>
      <c r="D9606" s="215"/>
      <c r="E9606" s="216"/>
      <c r="F9606" s="215"/>
      <c r="G9606" s="81"/>
      <c r="H9606" s="81"/>
      <c r="I9606" s="81"/>
      <c r="J9606" s="81"/>
      <c r="K9606" s="81"/>
      <c r="L9606" s="81"/>
      <c r="M9606" s="81"/>
      <c r="N9606" s="81"/>
    </row>
    <row r="9607" spans="1:14" ht="14.25" customHeight="1" x14ac:dyDescent="0.25">
      <c r="A9607" s="590" t="s">
        <v>588</v>
      </c>
      <c r="B9607" s="586"/>
      <c r="C9607" s="586"/>
      <c r="D9607" s="586"/>
      <c r="E9607" s="587"/>
      <c r="F9607" s="499">
        <f>ROUND(F9581+F9590+F9598+F9604,0)</f>
        <v>24813</v>
      </c>
      <c r="G9607" s="81"/>
      <c r="H9607" s="81"/>
      <c r="I9607" s="81"/>
      <c r="J9607" s="81"/>
      <c r="K9607" s="81"/>
      <c r="L9607" s="81"/>
      <c r="M9607" s="81"/>
      <c r="N9607" s="81"/>
    </row>
    <row r="9608" spans="1:14" ht="14.25" customHeight="1" x14ac:dyDescent="0.25">
      <c r="A9608" s="590" t="s">
        <v>589</v>
      </c>
      <c r="B9608" s="586"/>
      <c r="C9608" s="586"/>
      <c r="D9608" s="586"/>
      <c r="E9608" s="587"/>
      <c r="F9608" s="500"/>
      <c r="G9608" s="81"/>
      <c r="H9608" s="81"/>
      <c r="I9608" s="81"/>
      <c r="J9608" s="81"/>
      <c r="K9608" s="81"/>
      <c r="L9608" s="81"/>
      <c r="M9608" s="81"/>
      <c r="N9608" s="81"/>
    </row>
    <row r="9609" spans="1:14" ht="14.25" customHeight="1" x14ac:dyDescent="0.25">
      <c r="A9609" s="590" t="s">
        <v>556</v>
      </c>
      <c r="B9609" s="586"/>
      <c r="C9609" s="586"/>
      <c r="D9609" s="586"/>
      <c r="E9609" s="587"/>
      <c r="F9609" s="501"/>
      <c r="G9609" s="81"/>
      <c r="H9609" s="81"/>
      <c r="I9609" s="81"/>
      <c r="J9609" s="81"/>
      <c r="K9609" s="81"/>
      <c r="L9609" s="81"/>
      <c r="M9609" s="81"/>
      <c r="N9609" s="81"/>
    </row>
    <row r="9610" spans="1:14" ht="14.25" customHeight="1" x14ac:dyDescent="0.25">
      <c r="A9610" s="301"/>
      <c r="B9610" s="502"/>
      <c r="C9610" s="502"/>
      <c r="D9610" s="502"/>
      <c r="E9610" s="502"/>
      <c r="F9610" s="503"/>
      <c r="G9610" s="81"/>
      <c r="H9610" s="81"/>
      <c r="I9610" s="81"/>
      <c r="J9610" s="81"/>
      <c r="K9610" s="81"/>
      <c r="L9610" s="81"/>
      <c r="M9610" s="81"/>
      <c r="N9610" s="81"/>
    </row>
    <row r="9611" spans="1:14" ht="14.25" customHeight="1" x14ac:dyDescent="0.25">
      <c r="A9611" s="301"/>
      <c r="B9611" s="502"/>
      <c r="C9611" s="502"/>
      <c r="D9611" s="502"/>
      <c r="E9611" s="502"/>
      <c r="F9611" s="503"/>
      <c r="G9611" s="81"/>
      <c r="H9611" s="81"/>
      <c r="I9611" s="81"/>
      <c r="J9611" s="81"/>
      <c r="K9611" s="81"/>
      <c r="L9611" s="81"/>
      <c r="M9611" s="81"/>
      <c r="N9611" s="81"/>
    </row>
    <row r="9612" spans="1:14" ht="14.25" customHeight="1" x14ac:dyDescent="0.25">
      <c r="A9612" s="301"/>
      <c r="B9612" s="502"/>
      <c r="C9612" s="502"/>
      <c r="D9612" s="502"/>
      <c r="E9612" s="502"/>
      <c r="F9612" s="503"/>
      <c r="G9612" s="81"/>
      <c r="H9612" s="81"/>
      <c r="I9612" s="81"/>
      <c r="J9612" s="81"/>
      <c r="K9612" s="81"/>
      <c r="L9612" s="81"/>
      <c r="M9612" s="81"/>
      <c r="N9612" s="81"/>
    </row>
    <row r="9613" spans="1:14" ht="14.25" customHeight="1" x14ac:dyDescent="0.25">
      <c r="A9613" s="243"/>
      <c r="B9613" s="243"/>
      <c r="C9613" s="504"/>
      <c r="D9613" s="243"/>
      <c r="E9613" s="243"/>
      <c r="F9613" s="243"/>
      <c r="G9613" s="81"/>
      <c r="H9613" s="81"/>
      <c r="I9613" s="81"/>
      <c r="J9613" s="81"/>
      <c r="K9613" s="81"/>
      <c r="L9613" s="81"/>
      <c r="M9613" s="81"/>
      <c r="N9613" s="81"/>
    </row>
    <row r="9614" spans="1:14" ht="14.25" customHeight="1" x14ac:dyDescent="0.25">
      <c r="A9614" s="243"/>
      <c r="B9614" s="243"/>
      <c r="C9614" s="504"/>
      <c r="D9614" s="243"/>
      <c r="E9614" s="243"/>
      <c r="F9614" s="243"/>
      <c r="G9614" s="81"/>
      <c r="H9614" s="81"/>
      <c r="I9614" s="81"/>
      <c r="J9614" s="81"/>
      <c r="K9614" s="81"/>
      <c r="L9614" s="81"/>
      <c r="M9614" s="81"/>
      <c r="N9614" s="81"/>
    </row>
    <row r="9615" spans="1:14" ht="14.25" customHeight="1" x14ac:dyDescent="0.25">
      <c r="A9615" s="243"/>
      <c r="B9615" s="243"/>
      <c r="C9615" s="504"/>
      <c r="D9615" s="243"/>
      <c r="E9615" s="243"/>
      <c r="F9615" s="243"/>
      <c r="G9615" s="81"/>
      <c r="H9615" s="81"/>
      <c r="I9615" s="81"/>
      <c r="J9615" s="81"/>
      <c r="K9615" s="81"/>
      <c r="L9615" s="81"/>
      <c r="M9615" s="81"/>
      <c r="N9615" s="81"/>
    </row>
    <row r="9616" spans="1:14" ht="14.25" customHeight="1" x14ac:dyDescent="0.25">
      <c r="A9616" s="243"/>
      <c r="B9616" s="243"/>
      <c r="C9616" s="504"/>
      <c r="D9616" s="243"/>
      <c r="E9616" s="243"/>
      <c r="F9616" s="243"/>
      <c r="G9616" s="81"/>
      <c r="H9616" s="81"/>
      <c r="I9616" s="81"/>
      <c r="J9616" s="81"/>
      <c r="K9616" s="81"/>
      <c r="L9616" s="81"/>
      <c r="M9616" s="81"/>
      <c r="N9616" s="81"/>
    </row>
    <row r="9617" spans="1:14" ht="14.25" customHeight="1" x14ac:dyDescent="0.25">
      <c r="A9617" s="243"/>
      <c r="B9617" s="243"/>
      <c r="C9617" s="504"/>
      <c r="D9617" s="243"/>
      <c r="E9617" s="243"/>
      <c r="F9617" s="243"/>
      <c r="G9617" s="81"/>
      <c r="H9617" s="81"/>
      <c r="I9617" s="81"/>
      <c r="J9617" s="81"/>
      <c r="K9617" s="81"/>
      <c r="L9617" s="81"/>
      <c r="M9617" s="81"/>
      <c r="N9617" s="81"/>
    </row>
    <row r="9618" spans="1:14" ht="14.25" customHeight="1" x14ac:dyDescent="0.25">
      <c r="A9618" s="243"/>
      <c r="B9618" s="243"/>
      <c r="C9618" s="504"/>
      <c r="D9618" s="243"/>
      <c r="E9618" s="243"/>
      <c r="F9618" s="243"/>
      <c r="G9618" s="81"/>
      <c r="H9618" s="81"/>
      <c r="I9618" s="81"/>
      <c r="J9618" s="81"/>
      <c r="K9618" s="81"/>
      <c r="L9618" s="81"/>
      <c r="M9618" s="81"/>
      <c r="N9618" s="81"/>
    </row>
    <row r="9619" spans="1:14" ht="14.25" customHeight="1" x14ac:dyDescent="0.25">
      <c r="A9619" s="243"/>
      <c r="B9619" s="243"/>
      <c r="C9619" s="504"/>
      <c r="D9619" s="243"/>
      <c r="E9619" s="243"/>
      <c r="F9619" s="243"/>
      <c r="G9619" s="81"/>
      <c r="H9619" s="81"/>
      <c r="I9619" s="81"/>
      <c r="J9619" s="81"/>
      <c r="K9619" s="81"/>
      <c r="L9619" s="81"/>
      <c r="M9619" s="81"/>
      <c r="N9619" s="81"/>
    </row>
    <row r="9620" spans="1:14" ht="14.25" customHeight="1" x14ac:dyDescent="0.25">
      <c r="A9620" s="301"/>
      <c r="B9620" s="502"/>
      <c r="C9620" s="502"/>
      <c r="D9620" s="502"/>
      <c r="E9620" s="502"/>
      <c r="F9620" s="503"/>
      <c r="G9620" s="81"/>
      <c r="H9620" s="81"/>
      <c r="I9620" s="81"/>
      <c r="J9620" s="81"/>
      <c r="K9620" s="81"/>
      <c r="L9620" s="81"/>
      <c r="M9620" s="81"/>
      <c r="N9620" s="81"/>
    </row>
    <row r="9621" spans="1:14" ht="14.25" customHeight="1" thickBot="1" x14ac:dyDescent="0.3">
      <c r="A9621" s="243"/>
      <c r="B9621" s="243"/>
      <c r="C9621" s="243"/>
      <c r="D9621" s="243"/>
      <c r="E9621" s="243"/>
      <c r="F9621" s="243"/>
      <c r="G9621" s="81"/>
      <c r="H9621" s="81"/>
      <c r="I9621" s="81"/>
      <c r="J9621" s="81"/>
      <c r="K9621" s="81"/>
      <c r="L9621" s="81"/>
      <c r="M9621" s="81"/>
      <c r="N9621" s="81"/>
    </row>
    <row r="9622" spans="1:14" ht="14.25" customHeight="1" x14ac:dyDescent="0.25">
      <c r="A9622" s="258"/>
      <c r="B9622" s="259"/>
      <c r="C9622" s="260"/>
      <c r="D9622" s="261"/>
      <c r="E9622" s="261"/>
      <c r="F9622" s="262"/>
      <c r="G9622" s="81"/>
      <c r="H9622" s="81"/>
      <c r="I9622" s="81"/>
      <c r="J9622" s="81"/>
      <c r="K9622" s="81"/>
      <c r="L9622" s="81"/>
      <c r="M9622" s="81"/>
      <c r="N9622" s="81"/>
    </row>
    <row r="9623" spans="1:14" ht="14.25" customHeight="1" x14ac:dyDescent="0.25">
      <c r="A9623" s="621"/>
      <c r="B9623" s="629"/>
      <c r="C9623" s="629"/>
      <c r="D9623" s="629"/>
      <c r="E9623" s="629"/>
      <c r="F9623" s="630"/>
      <c r="G9623" s="81"/>
      <c r="H9623" s="81"/>
      <c r="I9623" s="81"/>
      <c r="J9623" s="81"/>
      <c r="K9623" s="81"/>
      <c r="L9623" s="81"/>
      <c r="M9623" s="81"/>
      <c r="N9623" s="81"/>
    </row>
    <row r="9624" spans="1:14" ht="14.25" customHeight="1" x14ac:dyDescent="0.25">
      <c r="A9624" s="614" t="s">
        <v>561</v>
      </c>
      <c r="B9624" s="629"/>
      <c r="C9624" s="629"/>
      <c r="D9624" s="629"/>
      <c r="E9624" s="629"/>
      <c r="F9624" s="630"/>
      <c r="G9624" s="81"/>
      <c r="H9624" s="81"/>
      <c r="I9624" s="81"/>
      <c r="J9624" s="81"/>
      <c r="K9624" s="81"/>
      <c r="L9624" s="81"/>
      <c r="M9624" s="81"/>
      <c r="N9624" s="81"/>
    </row>
    <row r="9625" spans="1:14" ht="14.25" customHeight="1" thickBot="1" x14ac:dyDescent="0.3">
      <c r="A9625" s="617"/>
      <c r="B9625" s="631"/>
      <c r="C9625" s="631"/>
      <c r="D9625" s="631"/>
      <c r="E9625" s="631"/>
      <c r="F9625" s="632"/>
      <c r="G9625" s="81"/>
      <c r="H9625" s="81"/>
      <c r="I9625" s="81"/>
      <c r="J9625" s="81"/>
      <c r="K9625" s="81"/>
      <c r="L9625" s="81"/>
      <c r="M9625" s="81"/>
      <c r="N9625" s="81"/>
    </row>
    <row r="9626" spans="1:14" ht="14.25" customHeight="1" x14ac:dyDescent="0.25">
      <c r="A9626" s="192"/>
      <c r="B9626" s="192"/>
      <c r="C9626" s="194"/>
      <c r="D9626" s="194"/>
      <c r="E9626" s="194"/>
      <c r="F9626" s="194"/>
      <c r="G9626" s="81"/>
      <c r="H9626" s="81"/>
      <c r="I9626" s="81"/>
      <c r="J9626" s="81"/>
      <c r="K9626" s="81"/>
      <c r="L9626" s="81"/>
      <c r="M9626" s="81"/>
      <c r="N9626" s="81"/>
    </row>
    <row r="9627" spans="1:14" ht="26.25" customHeight="1" x14ac:dyDescent="0.25">
      <c r="A9627" s="473" t="s">
        <v>47</v>
      </c>
      <c r="B9627" s="620" t="s">
        <v>1027</v>
      </c>
      <c r="C9627" s="629"/>
      <c r="D9627" s="629"/>
      <c r="E9627" s="629"/>
      <c r="F9627" s="629"/>
      <c r="G9627" s="81"/>
      <c r="H9627" s="81"/>
      <c r="I9627" s="81"/>
      <c r="J9627" s="81"/>
      <c r="K9627" s="81"/>
      <c r="L9627" s="81"/>
      <c r="M9627" s="81"/>
      <c r="N9627" s="81"/>
    </row>
    <row r="9628" spans="1:14" ht="14.25" customHeight="1" x14ac:dyDescent="0.25">
      <c r="A9628" s="191"/>
      <c r="B9628" s="191"/>
      <c r="C9628" s="191"/>
      <c r="D9628" s="191"/>
      <c r="E9628" s="191"/>
      <c r="F9628" s="191"/>
      <c r="G9628" s="81"/>
      <c r="H9628" s="81"/>
      <c r="I9628" s="81"/>
      <c r="J9628" s="81"/>
      <c r="K9628" s="81"/>
      <c r="L9628" s="81"/>
      <c r="M9628" s="81"/>
      <c r="N9628" s="81"/>
    </row>
    <row r="9629" spans="1:14" ht="14.25" customHeight="1" x14ac:dyDescent="0.25">
      <c r="A9629" s="192" t="s">
        <v>49</v>
      </c>
      <c r="B9629" s="193" t="s">
        <v>56</v>
      </c>
      <c r="C9629" s="194"/>
      <c r="D9629" s="194"/>
      <c r="E9629" s="194"/>
      <c r="F9629" s="195"/>
      <c r="G9629" s="81"/>
      <c r="H9629" s="81"/>
      <c r="I9629" s="81"/>
      <c r="J9629" s="81"/>
      <c r="K9629" s="81"/>
      <c r="L9629" s="81"/>
      <c r="M9629" s="81"/>
      <c r="N9629" s="81"/>
    </row>
    <row r="9630" spans="1:14" ht="14.25" customHeight="1" x14ac:dyDescent="0.25">
      <c r="A9630" s="192"/>
      <c r="B9630" s="196"/>
      <c r="C9630" s="194"/>
      <c r="D9630" s="194"/>
      <c r="E9630" s="194"/>
      <c r="F9630" s="195"/>
      <c r="G9630" s="81"/>
      <c r="H9630" s="81"/>
      <c r="I9630" s="81"/>
      <c r="J9630" s="81"/>
      <c r="K9630" s="81"/>
      <c r="L9630" s="81"/>
      <c r="M9630" s="81"/>
      <c r="N9630" s="81"/>
    </row>
    <row r="9631" spans="1:14" ht="14.25" customHeight="1" x14ac:dyDescent="0.25">
      <c r="A9631" s="197" t="s">
        <v>562</v>
      </c>
      <c r="B9631" s="198"/>
      <c r="C9631" s="193"/>
      <c r="D9631" s="193"/>
      <c r="E9631" s="193"/>
      <c r="F9631" s="193"/>
      <c r="G9631" s="81"/>
      <c r="H9631" s="81"/>
      <c r="I9631" s="81"/>
      <c r="J9631" s="81"/>
      <c r="K9631" s="81"/>
      <c r="L9631" s="81"/>
      <c r="M9631" s="81"/>
      <c r="N9631" s="81"/>
    </row>
    <row r="9632" spans="1:14" ht="14.25" customHeight="1" x14ac:dyDescent="0.25">
      <c r="A9632" s="199" t="s">
        <v>563</v>
      </c>
      <c r="B9632" s="474" t="s">
        <v>564</v>
      </c>
      <c r="C9632" s="474" t="s">
        <v>565</v>
      </c>
      <c r="D9632" s="474" t="s">
        <v>566</v>
      </c>
      <c r="E9632" s="474" t="s">
        <v>567</v>
      </c>
      <c r="F9632" s="474" t="s">
        <v>568</v>
      </c>
      <c r="G9632" s="81"/>
      <c r="H9632" s="81"/>
      <c r="I9632" s="81"/>
      <c r="J9632" s="81"/>
      <c r="K9632" s="81"/>
      <c r="L9632" s="81"/>
      <c r="M9632" s="81"/>
      <c r="N9632" s="81"/>
    </row>
    <row r="9633" spans="1:14" ht="14.25" customHeight="1" x14ac:dyDescent="0.25">
      <c r="A9633" s="475" t="s">
        <v>1418</v>
      </c>
      <c r="B9633" s="476" t="s">
        <v>56</v>
      </c>
      <c r="C9633" s="477">
        <v>34740</v>
      </c>
      <c r="D9633" s="478">
        <v>1</v>
      </c>
      <c r="E9633" s="479">
        <v>0.05</v>
      </c>
      <c r="F9633" s="477">
        <f t="shared" ref="F9633:F9635" si="478">C9633*(D9633+(D9633*E9633))</f>
        <v>36477</v>
      </c>
      <c r="G9633" s="81"/>
      <c r="H9633" s="81"/>
      <c r="I9633" s="81"/>
      <c r="J9633" s="81"/>
      <c r="K9633" s="81"/>
      <c r="L9633" s="81"/>
      <c r="M9633" s="81"/>
      <c r="N9633" s="81"/>
    </row>
    <row r="9634" spans="1:14" ht="14.25" customHeight="1" x14ac:dyDescent="0.25">
      <c r="A9634" s="475" t="s">
        <v>721</v>
      </c>
      <c r="B9634" s="476" t="s">
        <v>117</v>
      </c>
      <c r="C9634" s="477">
        <v>2085</v>
      </c>
      <c r="D9634" s="478">
        <v>3</v>
      </c>
      <c r="E9634" s="479">
        <v>0.05</v>
      </c>
      <c r="F9634" s="477">
        <f t="shared" si="478"/>
        <v>6567.75</v>
      </c>
      <c r="G9634" s="81"/>
      <c r="H9634" s="81"/>
      <c r="I9634" s="81"/>
      <c r="J9634" s="81"/>
      <c r="K9634" s="81"/>
      <c r="L9634" s="81"/>
      <c r="M9634" s="81"/>
      <c r="N9634" s="81"/>
    </row>
    <row r="9635" spans="1:14" ht="14.25" customHeight="1" x14ac:dyDescent="0.25">
      <c r="A9635" s="475" t="s">
        <v>722</v>
      </c>
      <c r="B9635" s="476" t="s">
        <v>117</v>
      </c>
      <c r="C9635" s="477">
        <v>2350</v>
      </c>
      <c r="D9635" s="478">
        <v>0.75</v>
      </c>
      <c r="E9635" s="479">
        <v>0.05</v>
      </c>
      <c r="F9635" s="477">
        <f t="shared" si="478"/>
        <v>1850.625</v>
      </c>
      <c r="G9635" s="81"/>
      <c r="H9635" s="81"/>
      <c r="I9635" s="81"/>
      <c r="J9635" s="81"/>
      <c r="K9635" s="81"/>
      <c r="L9635" s="81"/>
      <c r="M9635" s="81"/>
      <c r="N9635" s="81"/>
    </row>
    <row r="9636" spans="1:14" ht="14.25" customHeight="1" x14ac:dyDescent="0.25">
      <c r="A9636" s="475"/>
      <c r="B9636" s="476"/>
      <c r="C9636" s="477"/>
      <c r="D9636" s="478"/>
      <c r="E9636" s="479"/>
      <c r="F9636" s="477"/>
      <c r="G9636" s="81"/>
      <c r="H9636" s="81"/>
      <c r="I9636" s="81"/>
      <c r="J9636" s="81"/>
      <c r="K9636" s="81"/>
      <c r="L9636" s="81"/>
      <c r="M9636" s="81"/>
      <c r="N9636" s="81"/>
    </row>
    <row r="9637" spans="1:14" ht="14.25" customHeight="1" x14ac:dyDescent="0.25">
      <c r="A9637" s="475"/>
      <c r="B9637" s="476"/>
      <c r="C9637" s="483"/>
      <c r="D9637" s="484"/>
      <c r="E9637" s="485"/>
      <c r="F9637" s="483"/>
      <c r="G9637" s="81"/>
      <c r="H9637" s="81"/>
      <c r="I9637" s="81"/>
      <c r="J9637" s="81"/>
      <c r="K9637" s="81"/>
      <c r="L9637" s="81"/>
      <c r="M9637" s="81"/>
      <c r="N9637" s="81"/>
    </row>
    <row r="9638" spans="1:14" ht="14.25" customHeight="1" x14ac:dyDescent="0.25">
      <c r="A9638" s="199" t="s">
        <v>548</v>
      </c>
      <c r="B9638" s="199"/>
      <c r="C9638" s="486"/>
      <c r="D9638" s="487"/>
      <c r="E9638" s="488"/>
      <c r="F9638" s="489">
        <f>SUM(F9633:F9637)</f>
        <v>44895.375</v>
      </c>
      <c r="G9638" s="81"/>
      <c r="H9638" s="81"/>
      <c r="I9638" s="81"/>
      <c r="J9638" s="81"/>
      <c r="K9638" s="81"/>
      <c r="L9638" s="81"/>
      <c r="M9638" s="81"/>
      <c r="N9638" s="81"/>
    </row>
    <row r="9639" spans="1:14" ht="14.25" customHeight="1" x14ac:dyDescent="0.25">
      <c r="A9639" s="192"/>
      <c r="B9639" s="192"/>
      <c r="C9639" s="215"/>
      <c r="D9639" s="215"/>
      <c r="E9639" s="216"/>
      <c r="F9639" s="215"/>
      <c r="G9639" s="81"/>
      <c r="H9639" s="81"/>
      <c r="I9639" s="81"/>
      <c r="J9639" s="81"/>
      <c r="K9639" s="81"/>
      <c r="L9639" s="81"/>
      <c r="M9639" s="81"/>
      <c r="N9639" s="81"/>
    </row>
    <row r="9640" spans="1:14" ht="14.25" customHeight="1" x14ac:dyDescent="0.25">
      <c r="A9640" s="198" t="s">
        <v>573</v>
      </c>
      <c r="B9640" s="198"/>
      <c r="C9640" s="193"/>
      <c r="D9640" s="193"/>
      <c r="E9640" s="193"/>
      <c r="F9640" s="193"/>
      <c r="G9640" s="81"/>
      <c r="H9640" s="81"/>
      <c r="I9640" s="81"/>
      <c r="J9640" s="81"/>
      <c r="K9640" s="81"/>
      <c r="L9640" s="81"/>
      <c r="M9640" s="81"/>
      <c r="N9640" s="81"/>
    </row>
    <row r="9641" spans="1:14" ht="14.25" customHeight="1" x14ac:dyDescent="0.25">
      <c r="A9641" s="585" t="s">
        <v>563</v>
      </c>
      <c r="B9641" s="586"/>
      <c r="C9641" s="587"/>
      <c r="D9641" s="474" t="s">
        <v>574</v>
      </c>
      <c r="E9641" s="474" t="s">
        <v>575</v>
      </c>
      <c r="F9641" s="474" t="s">
        <v>568</v>
      </c>
      <c r="G9641" s="81"/>
      <c r="H9641" s="81"/>
      <c r="I9641" s="81"/>
      <c r="J9641" s="81"/>
      <c r="K9641" s="81"/>
      <c r="L9641" s="81"/>
      <c r="M9641" s="81"/>
      <c r="N9641" s="81"/>
    </row>
    <row r="9642" spans="1:14" ht="14.25" customHeight="1" x14ac:dyDescent="0.25">
      <c r="A9642" s="588" t="s">
        <v>577</v>
      </c>
      <c r="B9642" s="586"/>
      <c r="C9642" s="587"/>
      <c r="D9642" s="490"/>
      <c r="E9642" s="484"/>
      <c r="F9642" s="483">
        <f>+F9655*5%</f>
        <v>1454.2226237077186</v>
      </c>
      <c r="G9642" s="81"/>
      <c r="H9642" s="81"/>
      <c r="I9642" s="81"/>
      <c r="J9642" s="81"/>
      <c r="K9642" s="81"/>
      <c r="L9642" s="81"/>
      <c r="M9642" s="81"/>
      <c r="N9642" s="81"/>
    </row>
    <row r="9643" spans="1:14" ht="14.25" customHeight="1" x14ac:dyDescent="0.25">
      <c r="A9643" s="588"/>
      <c r="B9643" s="586"/>
      <c r="C9643" s="587"/>
      <c r="D9643" s="505"/>
      <c r="E9643" s="484"/>
      <c r="F9643" s="483"/>
      <c r="G9643" s="81"/>
      <c r="H9643" s="81"/>
      <c r="I9643" s="81"/>
      <c r="J9643" s="81"/>
      <c r="K9643" s="81"/>
      <c r="L9643" s="81"/>
      <c r="M9643" s="81"/>
      <c r="N9643" s="81"/>
    </row>
    <row r="9644" spans="1:14" ht="14.25" customHeight="1" x14ac:dyDescent="0.25">
      <c r="A9644" s="588"/>
      <c r="B9644" s="586"/>
      <c r="C9644" s="587"/>
      <c r="D9644" s="505"/>
      <c r="E9644" s="484"/>
      <c r="F9644" s="483"/>
      <c r="G9644" s="81"/>
      <c r="H9644" s="81"/>
      <c r="I9644" s="81"/>
      <c r="J9644" s="81"/>
      <c r="K9644" s="81"/>
      <c r="L9644" s="81"/>
      <c r="M9644" s="81"/>
      <c r="N9644" s="81"/>
    </row>
    <row r="9645" spans="1:14" ht="14.25" customHeight="1" x14ac:dyDescent="0.25">
      <c r="A9645" s="588"/>
      <c r="B9645" s="586"/>
      <c r="C9645" s="587"/>
      <c r="D9645" s="505"/>
      <c r="E9645" s="484"/>
      <c r="F9645" s="483"/>
      <c r="G9645" s="81"/>
      <c r="H9645" s="81"/>
      <c r="I9645" s="81"/>
      <c r="J9645" s="81"/>
      <c r="K9645" s="81"/>
      <c r="L9645" s="81"/>
      <c r="M9645" s="81"/>
      <c r="N9645" s="81"/>
    </row>
    <row r="9646" spans="1:14" ht="14.25" customHeight="1" x14ac:dyDescent="0.25">
      <c r="A9646" s="589"/>
      <c r="B9646" s="586"/>
      <c r="C9646" s="587"/>
      <c r="D9646" s="491"/>
      <c r="E9646" s="484"/>
      <c r="F9646" s="483"/>
      <c r="G9646" s="81"/>
      <c r="H9646" s="81"/>
      <c r="I9646" s="81"/>
      <c r="J9646" s="81"/>
      <c r="K9646" s="81"/>
      <c r="L9646" s="81"/>
      <c r="M9646" s="81"/>
      <c r="N9646" s="81"/>
    </row>
    <row r="9647" spans="1:14" ht="14.25" customHeight="1" x14ac:dyDescent="0.25">
      <c r="A9647" s="585" t="s">
        <v>548</v>
      </c>
      <c r="B9647" s="586"/>
      <c r="C9647" s="587"/>
      <c r="D9647" s="487"/>
      <c r="E9647" s="487"/>
      <c r="F9647" s="489">
        <f>SUM(F9642:F9646)</f>
        <v>1454.2226237077186</v>
      </c>
      <c r="G9647" s="81"/>
      <c r="H9647" s="81"/>
      <c r="I9647" s="81"/>
      <c r="J9647" s="81"/>
      <c r="K9647" s="81"/>
      <c r="L9647" s="81"/>
      <c r="M9647" s="81"/>
      <c r="N9647" s="81"/>
    </row>
    <row r="9648" spans="1:14" ht="14.25" customHeight="1" x14ac:dyDescent="0.25">
      <c r="A9648" s="192"/>
      <c r="B9648" s="192"/>
      <c r="C9648" s="194"/>
      <c r="D9648" s="215"/>
      <c r="E9648" s="215"/>
      <c r="F9648" s="215"/>
      <c r="G9648" s="81"/>
      <c r="H9648" s="81"/>
      <c r="I9648" s="81"/>
      <c r="J9648" s="81"/>
      <c r="K9648" s="81"/>
      <c r="L9648" s="81"/>
      <c r="M9648" s="81"/>
      <c r="N9648" s="81"/>
    </row>
    <row r="9649" spans="1:14" ht="14.25" customHeight="1" x14ac:dyDescent="0.25">
      <c r="A9649" s="198" t="s">
        <v>578</v>
      </c>
      <c r="B9649" s="198"/>
      <c r="C9649" s="193"/>
      <c r="D9649" s="223"/>
      <c r="E9649" s="223"/>
      <c r="F9649" s="223"/>
      <c r="G9649" s="81"/>
      <c r="H9649" s="81"/>
      <c r="I9649" s="81"/>
      <c r="J9649" s="81"/>
      <c r="K9649" s="81"/>
      <c r="L9649" s="81"/>
      <c r="M9649" s="81"/>
      <c r="N9649" s="81"/>
    </row>
    <row r="9650" spans="1:14" ht="38.25" x14ac:dyDescent="0.25">
      <c r="A9650" s="224" t="s">
        <v>563</v>
      </c>
      <c r="B9650" s="492" t="s">
        <v>579</v>
      </c>
      <c r="C9650" s="492" t="s">
        <v>580</v>
      </c>
      <c r="D9650" s="493" t="s">
        <v>581</v>
      </c>
      <c r="E9650" s="493" t="s">
        <v>575</v>
      </c>
      <c r="F9650" s="493" t="s">
        <v>568</v>
      </c>
      <c r="G9650" s="81"/>
      <c r="H9650" s="81"/>
      <c r="I9650" s="81"/>
      <c r="J9650" s="81"/>
      <c r="K9650" s="81"/>
      <c r="L9650" s="81"/>
      <c r="M9650" s="81"/>
      <c r="N9650" s="81"/>
    </row>
    <row r="9651" spans="1:14" ht="14.25" customHeight="1" x14ac:dyDescent="0.25">
      <c r="A9651" s="494" t="s">
        <v>593</v>
      </c>
      <c r="B9651" s="495">
        <v>1</v>
      </c>
      <c r="C9651" s="477">
        <v>32688</v>
      </c>
      <c r="D9651" s="477">
        <f t="shared" ref="D9651:D9652" si="479">+C9651*1.7</f>
        <v>55569.599999999999</v>
      </c>
      <c r="E9651" s="484">
        <v>4.9814999999999996</v>
      </c>
      <c r="F9651" s="483">
        <f t="shared" ref="F9651:F9652" si="480">+B9651*(D9651)/E9651</f>
        <v>11155.194218608853</v>
      </c>
      <c r="G9651" s="81"/>
      <c r="H9651" s="81"/>
      <c r="I9651" s="81"/>
      <c r="J9651" s="81"/>
      <c r="K9651" s="81"/>
      <c r="L9651" s="81"/>
      <c r="M9651" s="81"/>
      <c r="N9651" s="81"/>
    </row>
    <row r="9652" spans="1:14" ht="14.25" customHeight="1" x14ac:dyDescent="0.25">
      <c r="A9652" s="494" t="s">
        <v>594</v>
      </c>
      <c r="B9652" s="495">
        <v>1</v>
      </c>
      <c r="C9652" s="477">
        <v>52538</v>
      </c>
      <c r="D9652" s="477">
        <f t="shared" si="479"/>
        <v>89314.599999999991</v>
      </c>
      <c r="E9652" s="484">
        <f>E9651</f>
        <v>4.9814999999999996</v>
      </c>
      <c r="F9652" s="483">
        <f t="shared" si="480"/>
        <v>17929.258255545519</v>
      </c>
      <c r="G9652" s="81"/>
      <c r="H9652" s="81"/>
      <c r="I9652" s="81"/>
      <c r="J9652" s="81"/>
      <c r="K9652" s="81"/>
      <c r="L9652" s="81"/>
      <c r="M9652" s="81"/>
      <c r="N9652" s="81"/>
    </row>
    <row r="9653" spans="1:14" ht="14.25" customHeight="1" x14ac:dyDescent="0.25">
      <c r="A9653" s="494"/>
      <c r="B9653" s="495"/>
      <c r="C9653" s="477"/>
      <c r="D9653" s="477"/>
      <c r="E9653" s="484"/>
      <c r="F9653" s="483"/>
      <c r="G9653" s="81"/>
      <c r="H9653" s="81"/>
      <c r="I9653" s="81"/>
      <c r="J9653" s="81"/>
      <c r="K9653" s="81"/>
      <c r="L9653" s="81"/>
      <c r="M9653" s="81"/>
      <c r="N9653" s="81"/>
    </row>
    <row r="9654" spans="1:14" ht="14.25" customHeight="1" x14ac:dyDescent="0.25">
      <c r="A9654" s="494"/>
      <c r="B9654" s="495"/>
      <c r="C9654" s="477"/>
      <c r="D9654" s="477"/>
      <c r="E9654" s="496"/>
      <c r="F9654" s="483"/>
      <c r="G9654" s="81"/>
      <c r="H9654" s="81"/>
      <c r="I9654" s="81"/>
      <c r="J9654" s="81"/>
      <c r="K9654" s="81"/>
      <c r="L9654" s="81"/>
      <c r="M9654" s="81"/>
      <c r="N9654" s="81"/>
    </row>
    <row r="9655" spans="1:14" ht="14.25" customHeight="1" x14ac:dyDescent="0.25">
      <c r="A9655" s="199" t="s">
        <v>548</v>
      </c>
      <c r="B9655" s="497"/>
      <c r="C9655" s="487"/>
      <c r="D9655" s="487"/>
      <c r="E9655" s="487"/>
      <c r="F9655" s="489">
        <f>SUM(F9651:F9654)</f>
        <v>29084.452474154372</v>
      </c>
      <c r="G9655" s="81"/>
      <c r="H9655" s="81"/>
      <c r="I9655" s="81"/>
      <c r="J9655" s="81"/>
      <c r="K9655" s="81"/>
      <c r="L9655" s="81"/>
      <c r="M9655" s="81"/>
      <c r="N9655" s="81"/>
    </row>
    <row r="9656" spans="1:14" ht="14.25" customHeight="1" x14ac:dyDescent="0.25">
      <c r="A9656" s="198"/>
      <c r="B9656" s="231"/>
      <c r="C9656" s="223"/>
      <c r="D9656" s="223"/>
      <c r="E9656" s="223"/>
      <c r="F9656" s="223"/>
      <c r="G9656" s="81"/>
      <c r="H9656" s="81"/>
      <c r="I9656" s="81"/>
      <c r="J9656" s="81"/>
      <c r="K9656" s="81"/>
      <c r="L9656" s="81"/>
      <c r="M9656" s="81"/>
      <c r="N9656" s="81"/>
    </row>
    <row r="9657" spans="1:14" ht="14.25" customHeight="1" x14ac:dyDescent="0.25">
      <c r="A9657" s="197" t="s">
        <v>583</v>
      </c>
      <c r="B9657" s="198"/>
      <c r="C9657" s="193"/>
      <c r="D9657" s="193"/>
      <c r="E9657" s="193" t="s">
        <v>584</v>
      </c>
      <c r="F9657" s="193"/>
      <c r="G9657" s="81"/>
      <c r="H9657" s="81"/>
      <c r="I9657" s="81"/>
      <c r="J9657" s="81"/>
      <c r="K9657" s="81"/>
      <c r="L9657" s="81"/>
      <c r="M9657" s="81"/>
      <c r="N9657" s="81"/>
    </row>
    <row r="9658" spans="1:14" ht="14.25" customHeight="1" x14ac:dyDescent="0.25">
      <c r="A9658" s="199" t="s">
        <v>563</v>
      </c>
      <c r="B9658" s="474" t="s">
        <v>564</v>
      </c>
      <c r="C9658" s="474" t="s">
        <v>585</v>
      </c>
      <c r="D9658" s="474" t="s">
        <v>586</v>
      </c>
      <c r="E9658" s="492" t="s">
        <v>587</v>
      </c>
      <c r="F9658" s="474" t="s">
        <v>568</v>
      </c>
      <c r="G9658" s="81"/>
      <c r="H9658" s="117"/>
      <c r="I9658" s="81"/>
      <c r="J9658" s="81"/>
      <c r="K9658" s="81"/>
      <c r="L9658" s="81"/>
      <c r="M9658" s="81"/>
      <c r="N9658" s="81"/>
    </row>
    <row r="9659" spans="1:14" ht="14.25" customHeight="1" x14ac:dyDescent="0.25">
      <c r="A9659" s="480"/>
      <c r="B9659" s="476"/>
      <c r="C9659" s="477"/>
      <c r="D9659" s="498"/>
      <c r="E9659" s="484"/>
      <c r="F9659" s="486">
        <f>+C9659*D9659*E9659</f>
        <v>0</v>
      </c>
      <c r="G9659" s="81"/>
      <c r="H9659" s="81"/>
      <c r="I9659" s="81"/>
      <c r="J9659" s="81"/>
      <c r="K9659" s="81"/>
      <c r="L9659" s="81"/>
      <c r="M9659" s="81"/>
      <c r="N9659" s="81"/>
    </row>
    <row r="9660" spans="1:14" ht="14.25" customHeight="1" x14ac:dyDescent="0.25">
      <c r="A9660" s="480"/>
      <c r="B9660" s="476"/>
      <c r="C9660" s="484"/>
      <c r="D9660" s="484"/>
      <c r="E9660" s="485"/>
      <c r="F9660" s="486"/>
      <c r="G9660" s="81"/>
      <c r="H9660" s="81"/>
      <c r="I9660" s="81"/>
      <c r="J9660" s="81"/>
      <c r="K9660" s="81"/>
      <c r="L9660" s="81"/>
      <c r="M9660" s="81"/>
      <c r="N9660" s="81"/>
    </row>
    <row r="9661" spans="1:14" ht="14.25" customHeight="1" x14ac:dyDescent="0.25">
      <c r="A9661" s="199" t="s">
        <v>548</v>
      </c>
      <c r="B9661" s="474"/>
      <c r="C9661" s="487"/>
      <c r="D9661" s="487"/>
      <c r="E9661" s="488"/>
      <c r="F9661" s="489">
        <f>SUM(F9659:F9660)</f>
        <v>0</v>
      </c>
      <c r="G9661" s="81"/>
      <c r="H9661" s="81"/>
      <c r="I9661" s="81"/>
      <c r="J9661" s="81"/>
      <c r="K9661" s="81"/>
      <c r="L9661" s="81"/>
      <c r="M9661" s="81"/>
      <c r="N9661" s="81"/>
    </row>
    <row r="9662" spans="1:14" ht="14.25" customHeight="1" x14ac:dyDescent="0.25">
      <c r="A9662" s="192"/>
      <c r="B9662" s="194"/>
      <c r="C9662" s="215"/>
      <c r="D9662" s="215"/>
      <c r="E9662" s="216"/>
      <c r="F9662" s="215"/>
      <c r="G9662" s="81"/>
      <c r="H9662" s="81"/>
      <c r="I9662" s="81"/>
      <c r="J9662" s="81"/>
      <c r="K9662" s="81"/>
      <c r="L9662" s="81"/>
      <c r="M9662" s="81"/>
      <c r="N9662" s="81"/>
    </row>
    <row r="9663" spans="1:14" ht="14.25" customHeight="1" x14ac:dyDescent="0.25">
      <c r="A9663" s="192"/>
      <c r="B9663" s="194"/>
      <c r="C9663" s="215"/>
      <c r="D9663" s="215"/>
      <c r="E9663" s="216"/>
      <c r="F9663" s="215"/>
      <c r="G9663" s="81"/>
      <c r="H9663" s="81"/>
      <c r="I9663" s="81"/>
      <c r="J9663" s="81"/>
      <c r="K9663" s="81"/>
      <c r="L9663" s="81"/>
      <c r="M9663" s="81"/>
      <c r="N9663" s="81"/>
    </row>
    <row r="9664" spans="1:14" ht="14.25" customHeight="1" x14ac:dyDescent="0.25">
      <c r="A9664" s="590" t="s">
        <v>588</v>
      </c>
      <c r="B9664" s="586"/>
      <c r="C9664" s="586"/>
      <c r="D9664" s="586"/>
      <c r="E9664" s="587"/>
      <c r="F9664" s="499">
        <f>ROUND(F9638+F9647+F9655+F9661,0)</f>
        <v>75434</v>
      </c>
      <c r="G9664" s="81"/>
      <c r="H9664" s="81"/>
      <c r="I9664" s="81"/>
      <c r="J9664" s="81"/>
      <c r="K9664" s="81"/>
      <c r="L9664" s="81"/>
      <c r="M9664" s="81"/>
      <c r="N9664" s="81"/>
    </row>
    <row r="9665" spans="1:14" ht="14.25" customHeight="1" x14ac:dyDescent="0.25">
      <c r="A9665" s="590" t="s">
        <v>589</v>
      </c>
      <c r="B9665" s="586"/>
      <c r="C9665" s="586"/>
      <c r="D9665" s="586"/>
      <c r="E9665" s="587"/>
      <c r="F9665" s="500"/>
      <c r="G9665" s="81"/>
      <c r="H9665" s="81"/>
      <c r="I9665" s="81"/>
      <c r="J9665" s="81"/>
      <c r="K9665" s="81"/>
      <c r="L9665" s="81"/>
      <c r="M9665" s="81"/>
      <c r="N9665" s="81"/>
    </row>
    <row r="9666" spans="1:14" ht="14.25" customHeight="1" x14ac:dyDescent="0.25">
      <c r="A9666" s="590" t="s">
        <v>556</v>
      </c>
      <c r="B9666" s="586"/>
      <c r="C9666" s="586"/>
      <c r="D9666" s="586"/>
      <c r="E9666" s="587"/>
      <c r="F9666" s="501"/>
      <c r="G9666" s="81"/>
      <c r="H9666" s="81"/>
      <c r="I9666" s="81"/>
      <c r="J9666" s="81"/>
      <c r="K9666" s="81"/>
      <c r="L9666" s="81"/>
      <c r="M9666" s="81"/>
      <c r="N9666" s="81"/>
    </row>
    <row r="9667" spans="1:14" ht="14.25" customHeight="1" x14ac:dyDescent="0.25">
      <c r="A9667" s="301"/>
      <c r="B9667" s="502"/>
      <c r="C9667" s="502"/>
      <c r="D9667" s="502"/>
      <c r="E9667" s="502"/>
      <c r="F9667" s="503"/>
      <c r="G9667" s="81"/>
      <c r="H9667" s="81"/>
      <c r="I9667" s="81"/>
      <c r="J9667" s="81"/>
      <c r="K9667" s="81"/>
      <c r="L9667" s="81"/>
      <c r="M9667" s="81"/>
      <c r="N9667" s="81"/>
    </row>
    <row r="9668" spans="1:14" ht="14.25" customHeight="1" x14ac:dyDescent="0.25">
      <c r="A9668" s="301"/>
      <c r="B9668" s="502"/>
      <c r="C9668" s="502"/>
      <c r="D9668" s="502"/>
      <c r="E9668" s="502"/>
      <c r="F9668" s="503"/>
      <c r="G9668" s="81"/>
      <c r="H9668" s="81"/>
      <c r="I9668" s="81"/>
      <c r="J9668" s="81"/>
      <c r="K9668" s="81"/>
      <c r="L9668" s="81"/>
      <c r="M9668" s="81"/>
      <c r="N9668" s="81"/>
    </row>
    <row r="9669" spans="1:14" ht="14.25" customHeight="1" x14ac:dyDescent="0.25">
      <c r="A9669" s="301"/>
      <c r="B9669" s="502"/>
      <c r="C9669" s="502"/>
      <c r="D9669" s="502"/>
      <c r="E9669" s="502"/>
      <c r="F9669" s="503"/>
      <c r="G9669" s="81"/>
      <c r="H9669" s="81"/>
      <c r="I9669" s="81"/>
      <c r="J9669" s="81"/>
      <c r="K9669" s="81"/>
      <c r="L9669" s="81"/>
      <c r="M9669" s="81"/>
      <c r="N9669" s="81"/>
    </row>
    <row r="9670" spans="1:14" ht="14.25" customHeight="1" x14ac:dyDescent="0.25">
      <c r="A9670" s="243"/>
      <c r="B9670" s="243"/>
      <c r="C9670" s="504"/>
      <c r="D9670" s="243"/>
      <c r="E9670" s="243"/>
      <c r="F9670" s="243"/>
      <c r="G9670" s="81"/>
      <c r="H9670" s="81"/>
      <c r="I9670" s="81"/>
      <c r="J9670" s="81"/>
      <c r="K9670" s="81"/>
      <c r="L9670" s="81"/>
      <c r="M9670" s="81"/>
      <c r="N9670" s="81"/>
    </row>
    <row r="9671" spans="1:14" ht="14.25" customHeight="1" x14ac:dyDescent="0.25">
      <c r="A9671" s="243"/>
      <c r="B9671" s="243"/>
      <c r="C9671" s="504"/>
      <c r="D9671" s="243"/>
      <c r="E9671" s="243"/>
      <c r="F9671" s="243"/>
      <c r="G9671" s="81"/>
      <c r="H9671" s="81"/>
      <c r="I9671" s="81"/>
      <c r="J9671" s="81"/>
      <c r="K9671" s="81"/>
      <c r="L9671" s="81"/>
      <c r="M9671" s="81"/>
      <c r="N9671" s="81"/>
    </row>
    <row r="9672" spans="1:14" ht="14.25" customHeight="1" x14ac:dyDescent="0.25">
      <c r="A9672" s="243"/>
      <c r="B9672" s="243"/>
      <c r="C9672" s="504"/>
      <c r="D9672" s="243"/>
      <c r="E9672" s="243"/>
      <c r="F9672" s="243"/>
      <c r="G9672" s="81"/>
      <c r="H9672" s="81"/>
      <c r="I9672" s="81"/>
      <c r="J9672" s="81"/>
      <c r="K9672" s="81"/>
      <c r="L9672" s="81"/>
      <c r="M9672" s="81"/>
      <c r="N9672" s="81"/>
    </row>
    <row r="9673" spans="1:14" ht="14.25" customHeight="1" x14ac:dyDescent="0.25">
      <c r="A9673" s="243"/>
      <c r="B9673" s="243"/>
      <c r="C9673" s="504"/>
      <c r="D9673" s="243"/>
      <c r="E9673" s="243"/>
      <c r="F9673" s="243"/>
      <c r="G9673" s="81"/>
      <c r="H9673" s="81"/>
      <c r="I9673" s="81"/>
      <c r="J9673" s="81"/>
      <c r="K9673" s="81"/>
      <c r="L9673" s="81"/>
      <c r="M9673" s="81"/>
      <c r="N9673" s="81"/>
    </row>
    <row r="9674" spans="1:14" ht="14.25" customHeight="1" x14ac:dyDescent="0.25">
      <c r="A9674" s="243"/>
      <c r="B9674" s="243"/>
      <c r="C9674" s="504"/>
      <c r="D9674" s="243"/>
      <c r="E9674" s="243"/>
      <c r="F9674" s="243"/>
      <c r="G9674" s="81"/>
      <c r="H9674" s="81"/>
      <c r="I9674" s="81"/>
      <c r="J9674" s="81"/>
      <c r="K9674" s="81"/>
      <c r="L9674" s="81"/>
      <c r="M9674" s="81"/>
      <c r="N9674" s="81"/>
    </row>
    <row r="9675" spans="1:14" ht="14.25" customHeight="1" x14ac:dyDescent="0.25">
      <c r="A9675" s="243"/>
      <c r="B9675" s="243"/>
      <c r="C9675" s="504"/>
      <c r="D9675" s="243"/>
      <c r="E9675" s="243"/>
      <c r="F9675" s="243"/>
      <c r="G9675" s="81"/>
      <c r="H9675" s="81"/>
      <c r="I9675" s="81"/>
      <c r="J9675" s="81"/>
      <c r="K9675" s="81"/>
      <c r="L9675" s="81"/>
      <c r="M9675" s="81"/>
      <c r="N9675" s="81"/>
    </row>
    <row r="9676" spans="1:14" ht="14.25" customHeight="1" x14ac:dyDescent="0.25">
      <c r="A9676" s="243"/>
      <c r="B9676" s="243"/>
      <c r="C9676" s="504"/>
      <c r="D9676" s="243"/>
      <c r="E9676" s="243"/>
      <c r="F9676" s="243"/>
      <c r="G9676" s="81"/>
      <c r="H9676" s="81"/>
      <c r="I9676" s="81"/>
      <c r="J9676" s="81"/>
      <c r="K9676" s="81"/>
      <c r="L9676" s="81"/>
      <c r="M9676" s="81"/>
      <c r="N9676" s="81"/>
    </row>
    <row r="9677" spans="1:14" ht="14.25" customHeight="1" x14ac:dyDescent="0.25">
      <c r="A9677" s="301"/>
      <c r="B9677" s="502"/>
      <c r="C9677" s="502"/>
      <c r="D9677" s="502"/>
      <c r="E9677" s="502"/>
      <c r="F9677" s="503"/>
      <c r="G9677" s="81"/>
      <c r="H9677" s="81"/>
      <c r="I9677" s="81"/>
      <c r="J9677" s="81"/>
      <c r="K9677" s="81"/>
      <c r="L9677" s="81"/>
      <c r="M9677" s="81"/>
      <c r="N9677" s="81"/>
    </row>
    <row r="9678" spans="1:14" ht="14.25" customHeight="1" thickBot="1" x14ac:dyDescent="0.3">
      <c r="A9678" s="243"/>
      <c r="B9678" s="243"/>
      <c r="C9678" s="243"/>
      <c r="D9678" s="243"/>
      <c r="E9678" s="243"/>
      <c r="F9678" s="243"/>
      <c r="G9678" s="81"/>
      <c r="H9678" s="81"/>
      <c r="I9678" s="81"/>
      <c r="J9678" s="81"/>
      <c r="K9678" s="81"/>
      <c r="L9678" s="81"/>
      <c r="M9678" s="81"/>
      <c r="N9678" s="81"/>
    </row>
    <row r="9679" spans="1:14" ht="14.25" customHeight="1" x14ac:dyDescent="0.25">
      <c r="A9679" s="258"/>
      <c r="B9679" s="259"/>
      <c r="C9679" s="260"/>
      <c r="D9679" s="261"/>
      <c r="E9679" s="261"/>
      <c r="F9679" s="262"/>
      <c r="G9679" s="81"/>
      <c r="H9679" s="81"/>
      <c r="I9679" s="81"/>
      <c r="J9679" s="81"/>
      <c r="K9679" s="81"/>
      <c r="L9679" s="81"/>
      <c r="M9679" s="81"/>
      <c r="N9679" s="81"/>
    </row>
    <row r="9680" spans="1:14" ht="14.25" customHeight="1" x14ac:dyDescent="0.25">
      <c r="A9680" s="621"/>
      <c r="B9680" s="629"/>
      <c r="C9680" s="629"/>
      <c r="D9680" s="629"/>
      <c r="E9680" s="629"/>
      <c r="F9680" s="630"/>
      <c r="G9680" s="81"/>
      <c r="H9680" s="81"/>
      <c r="I9680" s="81"/>
      <c r="J9680" s="81"/>
      <c r="K9680" s="81"/>
      <c r="L9680" s="81"/>
      <c r="M9680" s="81"/>
      <c r="N9680" s="81"/>
    </row>
    <row r="9681" spans="1:14" ht="14.25" customHeight="1" x14ac:dyDescent="0.25">
      <c r="A9681" s="614" t="s">
        <v>561</v>
      </c>
      <c r="B9681" s="629"/>
      <c r="C9681" s="629"/>
      <c r="D9681" s="629"/>
      <c r="E9681" s="629"/>
      <c r="F9681" s="630"/>
      <c r="G9681" s="81"/>
      <c r="H9681" s="81"/>
      <c r="I9681" s="81"/>
      <c r="J9681" s="81"/>
      <c r="K9681" s="81"/>
      <c r="L9681" s="81"/>
      <c r="M9681" s="81"/>
      <c r="N9681" s="81"/>
    </row>
    <row r="9682" spans="1:14" ht="14.25" customHeight="1" thickBot="1" x14ac:dyDescent="0.3">
      <c r="A9682" s="617"/>
      <c r="B9682" s="631"/>
      <c r="C9682" s="631"/>
      <c r="D9682" s="631"/>
      <c r="E9682" s="631"/>
      <c r="F9682" s="632"/>
      <c r="G9682" s="81"/>
      <c r="H9682" s="81"/>
      <c r="I9682" s="81"/>
      <c r="J9682" s="81"/>
      <c r="K9682" s="81"/>
      <c r="L9682" s="81"/>
      <c r="M9682" s="81"/>
      <c r="N9682" s="81"/>
    </row>
    <row r="9683" spans="1:14" ht="14.25" customHeight="1" x14ac:dyDescent="0.25">
      <c r="A9683" s="192"/>
      <c r="B9683" s="192"/>
      <c r="C9683" s="194"/>
      <c r="D9683" s="194"/>
      <c r="E9683" s="194"/>
      <c r="F9683" s="194"/>
      <c r="G9683" s="81"/>
      <c r="H9683" s="81"/>
      <c r="I9683" s="81"/>
      <c r="J9683" s="81"/>
      <c r="K9683" s="81"/>
      <c r="L9683" s="81"/>
      <c r="M9683" s="81"/>
      <c r="N9683" s="81"/>
    </row>
    <row r="9684" spans="1:14" ht="14.25" customHeight="1" x14ac:dyDescent="0.25">
      <c r="A9684" s="473" t="s">
        <v>47</v>
      </c>
      <c r="B9684" s="620" t="s">
        <v>1028</v>
      </c>
      <c r="C9684" s="629"/>
      <c r="D9684" s="629"/>
      <c r="E9684" s="629"/>
      <c r="F9684" s="629"/>
      <c r="G9684" s="81"/>
      <c r="H9684" s="81"/>
      <c r="I9684" s="81"/>
      <c r="J9684" s="81"/>
      <c r="K9684" s="81"/>
      <c r="L9684" s="81"/>
      <c r="M9684" s="81"/>
      <c r="N9684" s="81"/>
    </row>
    <row r="9685" spans="1:14" ht="14.25" customHeight="1" x14ac:dyDescent="0.25">
      <c r="A9685" s="191"/>
      <c r="B9685" s="191"/>
      <c r="C9685" s="191"/>
      <c r="D9685" s="191"/>
      <c r="E9685" s="191"/>
      <c r="F9685" s="191"/>
      <c r="G9685" s="81"/>
      <c r="H9685" s="81"/>
      <c r="I9685" s="81"/>
      <c r="J9685" s="81"/>
      <c r="K9685" s="81"/>
      <c r="L9685" s="81"/>
      <c r="M9685" s="81"/>
      <c r="N9685" s="81"/>
    </row>
    <row r="9686" spans="1:14" ht="14.25" customHeight="1" x14ac:dyDescent="0.25">
      <c r="A9686" s="192" t="s">
        <v>49</v>
      </c>
      <c r="B9686" s="193" t="s">
        <v>56</v>
      </c>
      <c r="C9686" s="194"/>
      <c r="D9686" s="194"/>
      <c r="E9686" s="194"/>
      <c r="F9686" s="195"/>
      <c r="G9686" s="81"/>
      <c r="H9686" s="81"/>
      <c r="I9686" s="81"/>
      <c r="J9686" s="81"/>
      <c r="K9686" s="81"/>
      <c r="L9686" s="81"/>
      <c r="M9686" s="81"/>
      <c r="N9686" s="81"/>
    </row>
    <row r="9687" spans="1:14" ht="14.25" customHeight="1" x14ac:dyDescent="0.25">
      <c r="A9687" s="192"/>
      <c r="B9687" s="196"/>
      <c r="C9687" s="194"/>
      <c r="D9687" s="194"/>
      <c r="E9687" s="194"/>
      <c r="F9687" s="195"/>
      <c r="G9687" s="81"/>
      <c r="H9687" s="81"/>
      <c r="I9687" s="81"/>
      <c r="J9687" s="81"/>
      <c r="K9687" s="81"/>
      <c r="L9687" s="81"/>
      <c r="M9687" s="81"/>
      <c r="N9687" s="81"/>
    </row>
    <row r="9688" spans="1:14" ht="14.25" customHeight="1" x14ac:dyDescent="0.25">
      <c r="A9688" s="197" t="s">
        <v>562</v>
      </c>
      <c r="B9688" s="198"/>
      <c r="C9688" s="193"/>
      <c r="D9688" s="193"/>
      <c r="E9688" s="193"/>
      <c r="F9688" s="193"/>
      <c r="G9688" s="81"/>
      <c r="H9688" s="81"/>
      <c r="I9688" s="81"/>
      <c r="J9688" s="81"/>
      <c r="K9688" s="81"/>
      <c r="L9688" s="81"/>
      <c r="M9688" s="81"/>
      <c r="N9688" s="81"/>
    </row>
    <row r="9689" spans="1:14" ht="14.25" customHeight="1" x14ac:dyDescent="0.25">
      <c r="A9689" s="199" t="s">
        <v>563</v>
      </c>
      <c r="B9689" s="474" t="s">
        <v>564</v>
      </c>
      <c r="C9689" s="474" t="s">
        <v>565</v>
      </c>
      <c r="D9689" s="474" t="s">
        <v>566</v>
      </c>
      <c r="E9689" s="474" t="s">
        <v>567</v>
      </c>
      <c r="F9689" s="474" t="s">
        <v>568</v>
      </c>
      <c r="G9689" s="81"/>
      <c r="H9689" s="81"/>
      <c r="I9689" s="81"/>
      <c r="J9689" s="81"/>
      <c r="K9689" s="81"/>
      <c r="L9689" s="81"/>
      <c r="M9689" s="81"/>
      <c r="N9689" s="81"/>
    </row>
    <row r="9690" spans="1:14" ht="14.25" customHeight="1" x14ac:dyDescent="0.25">
      <c r="A9690" s="475" t="s">
        <v>611</v>
      </c>
      <c r="B9690" s="476" t="s">
        <v>612</v>
      </c>
      <c r="C9690" s="477">
        <v>12</v>
      </c>
      <c r="D9690" s="481">
        <v>4</v>
      </c>
      <c r="E9690" s="479">
        <v>0.05</v>
      </c>
      <c r="F9690" s="477">
        <f t="shared" ref="F9690:F9691" si="481">C9690*(D9690+(D9690*E9690))</f>
        <v>50.400000000000006</v>
      </c>
      <c r="G9690" s="81"/>
      <c r="H9690" s="81"/>
      <c r="I9690" s="81"/>
      <c r="J9690" s="81"/>
      <c r="K9690" s="81"/>
      <c r="L9690" s="81"/>
      <c r="M9690" s="81"/>
      <c r="N9690" s="81"/>
    </row>
    <row r="9691" spans="1:14" ht="14.25" customHeight="1" x14ac:dyDescent="0.25">
      <c r="A9691" s="475" t="s">
        <v>1422</v>
      </c>
      <c r="B9691" s="476" t="s">
        <v>117</v>
      </c>
      <c r="C9691" s="477">
        <v>2350</v>
      </c>
      <c r="D9691" s="481">
        <v>1.2</v>
      </c>
      <c r="E9691" s="479">
        <v>0.05</v>
      </c>
      <c r="F9691" s="477">
        <f t="shared" si="481"/>
        <v>2961</v>
      </c>
      <c r="G9691" s="81"/>
      <c r="H9691" s="81"/>
      <c r="I9691" s="81"/>
      <c r="J9691" s="81"/>
      <c r="K9691" s="81"/>
      <c r="L9691" s="81"/>
      <c r="M9691" s="81"/>
      <c r="N9691" s="81"/>
    </row>
    <row r="9692" spans="1:14" ht="14.25" customHeight="1" x14ac:dyDescent="0.25">
      <c r="A9692" s="475"/>
      <c r="B9692" s="476"/>
      <c r="C9692" s="477"/>
      <c r="D9692" s="478"/>
      <c r="E9692" s="479"/>
      <c r="F9692" s="477"/>
      <c r="G9692" s="81"/>
      <c r="H9692" s="81"/>
      <c r="I9692" s="81"/>
      <c r="J9692" s="81"/>
      <c r="K9692" s="81"/>
      <c r="L9692" s="81"/>
      <c r="M9692" s="81"/>
      <c r="N9692" s="81"/>
    </row>
    <row r="9693" spans="1:14" ht="14.25" customHeight="1" x14ac:dyDescent="0.25">
      <c r="A9693" s="475"/>
      <c r="B9693" s="476"/>
      <c r="C9693" s="477"/>
      <c r="D9693" s="478"/>
      <c r="E9693" s="479"/>
      <c r="F9693" s="477"/>
      <c r="G9693" s="81"/>
      <c r="H9693" s="81"/>
      <c r="I9693" s="81"/>
      <c r="J9693" s="81"/>
      <c r="K9693" s="81"/>
      <c r="L9693" s="81"/>
      <c r="M9693" s="81"/>
      <c r="N9693" s="81"/>
    </row>
    <row r="9694" spans="1:14" ht="14.25" customHeight="1" x14ac:dyDescent="0.25">
      <c r="A9694" s="475"/>
      <c r="B9694" s="476"/>
      <c r="C9694" s="483"/>
      <c r="D9694" s="484"/>
      <c r="E9694" s="485"/>
      <c r="F9694" s="483"/>
      <c r="G9694" s="81"/>
      <c r="H9694" s="81"/>
      <c r="I9694" s="81"/>
      <c r="J9694" s="81"/>
      <c r="K9694" s="81"/>
      <c r="L9694" s="81"/>
      <c r="M9694" s="81"/>
      <c r="N9694" s="81"/>
    </row>
    <row r="9695" spans="1:14" ht="14.25" customHeight="1" x14ac:dyDescent="0.25">
      <c r="A9695" s="199" t="s">
        <v>548</v>
      </c>
      <c r="B9695" s="199"/>
      <c r="C9695" s="486"/>
      <c r="D9695" s="487"/>
      <c r="E9695" s="488"/>
      <c r="F9695" s="489">
        <f>SUM(F9690:F9694)</f>
        <v>3011.4</v>
      </c>
      <c r="G9695" s="81"/>
      <c r="H9695" s="81"/>
      <c r="I9695" s="81"/>
      <c r="J9695" s="81"/>
      <c r="K9695" s="81"/>
      <c r="L9695" s="81"/>
      <c r="M9695" s="81"/>
      <c r="N9695" s="81"/>
    </row>
    <row r="9696" spans="1:14" ht="14.25" customHeight="1" x14ac:dyDescent="0.25">
      <c r="A9696" s="192"/>
      <c r="B9696" s="192"/>
      <c r="C9696" s="215"/>
      <c r="D9696" s="215"/>
      <c r="E9696" s="216"/>
      <c r="F9696" s="215"/>
      <c r="G9696" s="81"/>
      <c r="H9696" s="81"/>
      <c r="I9696" s="81"/>
      <c r="J9696" s="81"/>
      <c r="K9696" s="81"/>
      <c r="L9696" s="81"/>
      <c r="M9696" s="81"/>
      <c r="N9696" s="81"/>
    </row>
    <row r="9697" spans="1:14" ht="14.25" customHeight="1" x14ac:dyDescent="0.25">
      <c r="A9697" s="198" t="s">
        <v>573</v>
      </c>
      <c r="B9697" s="198"/>
      <c r="C9697" s="193"/>
      <c r="D9697" s="193"/>
      <c r="E9697" s="193"/>
      <c r="F9697" s="193"/>
      <c r="G9697" s="81"/>
      <c r="H9697" s="81"/>
      <c r="I9697" s="81"/>
      <c r="J9697" s="81"/>
      <c r="K9697" s="81"/>
      <c r="L9697" s="81"/>
      <c r="M9697" s="81"/>
      <c r="N9697" s="81"/>
    </row>
    <row r="9698" spans="1:14" ht="14.25" customHeight="1" x14ac:dyDescent="0.25">
      <c r="A9698" s="585" t="s">
        <v>563</v>
      </c>
      <c r="B9698" s="586"/>
      <c r="C9698" s="587"/>
      <c r="D9698" s="474" t="s">
        <v>574</v>
      </c>
      <c r="E9698" s="474" t="s">
        <v>575</v>
      </c>
      <c r="F9698" s="474" t="s">
        <v>568</v>
      </c>
      <c r="G9698" s="81"/>
      <c r="H9698" s="81"/>
      <c r="I9698" s="81"/>
      <c r="J9698" s="81"/>
      <c r="K9698" s="81"/>
      <c r="L9698" s="81"/>
      <c r="M9698" s="81"/>
      <c r="N9698" s="81"/>
    </row>
    <row r="9699" spans="1:14" ht="14.25" customHeight="1" x14ac:dyDescent="0.25">
      <c r="A9699" s="588" t="s">
        <v>577</v>
      </c>
      <c r="B9699" s="586"/>
      <c r="C9699" s="587"/>
      <c r="D9699" s="490"/>
      <c r="E9699" s="484"/>
      <c r="F9699" s="483">
        <f>+F9712*5%</f>
        <v>163.74796564195299</v>
      </c>
      <c r="G9699" s="81"/>
      <c r="H9699" s="81"/>
      <c r="I9699" s="81"/>
      <c r="J9699" s="81"/>
      <c r="K9699" s="81"/>
      <c r="L9699" s="81"/>
      <c r="M9699" s="81"/>
      <c r="N9699" s="81"/>
    </row>
    <row r="9700" spans="1:14" ht="14.25" customHeight="1" x14ac:dyDescent="0.25">
      <c r="A9700" s="588" t="s">
        <v>680</v>
      </c>
      <c r="B9700" s="586"/>
      <c r="C9700" s="587"/>
      <c r="D9700" s="505">
        <v>5250</v>
      </c>
      <c r="E9700" s="484">
        <v>5</v>
      </c>
      <c r="F9700" s="483">
        <f>D9700/E9700</f>
        <v>1050</v>
      </c>
      <c r="G9700" s="81"/>
      <c r="H9700" s="81"/>
      <c r="I9700" s="81"/>
      <c r="J9700" s="81"/>
      <c r="K9700" s="81"/>
      <c r="L9700" s="81"/>
      <c r="M9700" s="81"/>
      <c r="N9700" s="81"/>
    </row>
    <row r="9701" spans="1:14" ht="14.25" customHeight="1" x14ac:dyDescent="0.25">
      <c r="A9701" s="588"/>
      <c r="B9701" s="586"/>
      <c r="C9701" s="587"/>
      <c r="D9701" s="505"/>
      <c r="E9701" s="484"/>
      <c r="F9701" s="483"/>
      <c r="G9701" s="81"/>
      <c r="H9701" s="81"/>
      <c r="I9701" s="81"/>
      <c r="J9701" s="81"/>
      <c r="K9701" s="81"/>
      <c r="L9701" s="81"/>
      <c r="M9701" s="81"/>
      <c r="N9701" s="81"/>
    </row>
    <row r="9702" spans="1:14" ht="14.25" customHeight="1" x14ac:dyDescent="0.25">
      <c r="A9702" s="588"/>
      <c r="B9702" s="586"/>
      <c r="C9702" s="587"/>
      <c r="D9702" s="505"/>
      <c r="E9702" s="484"/>
      <c r="F9702" s="483"/>
      <c r="G9702" s="81"/>
      <c r="H9702" s="81"/>
      <c r="I9702" s="81"/>
      <c r="J9702" s="81"/>
      <c r="K9702" s="81"/>
      <c r="L9702" s="81"/>
      <c r="M9702" s="81"/>
      <c r="N9702" s="81"/>
    </row>
    <row r="9703" spans="1:14" ht="14.25" customHeight="1" x14ac:dyDescent="0.25">
      <c r="A9703" s="589"/>
      <c r="B9703" s="586"/>
      <c r="C9703" s="587"/>
      <c r="D9703" s="491"/>
      <c r="E9703" s="484"/>
      <c r="F9703" s="483"/>
      <c r="G9703" s="81"/>
      <c r="H9703" s="81"/>
      <c r="I9703" s="81"/>
      <c r="J9703" s="81"/>
      <c r="K9703" s="81"/>
      <c r="L9703" s="81"/>
      <c r="M9703" s="81"/>
      <c r="N9703" s="81"/>
    </row>
    <row r="9704" spans="1:14" ht="14.25" customHeight="1" x14ac:dyDescent="0.25">
      <c r="A9704" s="585" t="s">
        <v>548</v>
      </c>
      <c r="B9704" s="586"/>
      <c r="C9704" s="587"/>
      <c r="D9704" s="487"/>
      <c r="E9704" s="487"/>
      <c r="F9704" s="489">
        <f>SUM(F9699:F9703)</f>
        <v>1213.747965641953</v>
      </c>
      <c r="G9704" s="81"/>
      <c r="H9704" s="81"/>
      <c r="I9704" s="81"/>
      <c r="J9704" s="81"/>
      <c r="K9704" s="81"/>
      <c r="L9704" s="81"/>
      <c r="M9704" s="81"/>
      <c r="N9704" s="81"/>
    </row>
    <row r="9705" spans="1:14" ht="14.25" customHeight="1" x14ac:dyDescent="0.25">
      <c r="A9705" s="192"/>
      <c r="B9705" s="192"/>
      <c r="C9705" s="194"/>
      <c r="D9705" s="215"/>
      <c r="E9705" s="215"/>
      <c r="F9705" s="215"/>
      <c r="G9705" s="81"/>
      <c r="H9705" s="81"/>
      <c r="I9705" s="81"/>
      <c r="J9705" s="81"/>
      <c r="K9705" s="81"/>
      <c r="L9705" s="81"/>
      <c r="M9705" s="81"/>
      <c r="N9705" s="81"/>
    </row>
    <row r="9706" spans="1:14" ht="14.25" customHeight="1" x14ac:dyDescent="0.25">
      <c r="A9706" s="198" t="s">
        <v>578</v>
      </c>
      <c r="B9706" s="198"/>
      <c r="C9706" s="193"/>
      <c r="D9706" s="223"/>
      <c r="E9706" s="223"/>
      <c r="F9706" s="223"/>
      <c r="G9706" s="81"/>
      <c r="H9706" s="81"/>
      <c r="I9706" s="81"/>
      <c r="J9706" s="81"/>
      <c r="K9706" s="81"/>
      <c r="L9706" s="81"/>
      <c r="M9706" s="81"/>
      <c r="N9706" s="81"/>
    </row>
    <row r="9707" spans="1:14" ht="38.25" x14ac:dyDescent="0.25">
      <c r="A9707" s="224" t="s">
        <v>563</v>
      </c>
      <c r="B9707" s="492" t="s">
        <v>579</v>
      </c>
      <c r="C9707" s="492" t="s">
        <v>580</v>
      </c>
      <c r="D9707" s="493" t="s">
        <v>581</v>
      </c>
      <c r="E9707" s="493" t="s">
        <v>575</v>
      </c>
      <c r="F9707" s="493" t="s">
        <v>568</v>
      </c>
      <c r="G9707" s="81"/>
      <c r="H9707" s="81"/>
      <c r="I9707" s="81"/>
      <c r="J9707" s="81"/>
      <c r="K9707" s="81"/>
      <c r="L9707" s="81"/>
      <c r="M9707" s="81"/>
      <c r="N9707" s="81"/>
    </row>
    <row r="9708" spans="1:14" ht="14.25" customHeight="1" x14ac:dyDescent="0.25">
      <c r="A9708" s="494" t="s">
        <v>593</v>
      </c>
      <c r="B9708" s="495">
        <v>1</v>
      </c>
      <c r="C9708" s="477">
        <v>32688</v>
      </c>
      <c r="D9708" s="477">
        <f t="shared" ref="D9708:D9709" si="482">+C9708*1.7</f>
        <v>55569.599999999999</v>
      </c>
      <c r="E9708" s="484">
        <v>44.24</v>
      </c>
      <c r="F9708" s="483">
        <f t="shared" ref="F9708:F9709" si="483">+B9708*(D9708)/E9708</f>
        <v>1256.0940325497286</v>
      </c>
      <c r="G9708" s="81"/>
      <c r="H9708" s="81"/>
      <c r="I9708" s="81"/>
      <c r="J9708" s="81"/>
      <c r="K9708" s="81"/>
      <c r="L9708" s="81"/>
      <c r="M9708" s="81"/>
      <c r="N9708" s="81"/>
    </row>
    <row r="9709" spans="1:14" ht="14.25" customHeight="1" x14ac:dyDescent="0.25">
      <c r="A9709" s="494" t="s">
        <v>594</v>
      </c>
      <c r="B9709" s="495">
        <v>1</v>
      </c>
      <c r="C9709" s="477">
        <v>52538</v>
      </c>
      <c r="D9709" s="477">
        <f t="shared" si="482"/>
        <v>89314.599999999991</v>
      </c>
      <c r="E9709" s="484">
        <f>E9708</f>
        <v>44.24</v>
      </c>
      <c r="F9709" s="483">
        <f t="shared" si="483"/>
        <v>2018.8652802893307</v>
      </c>
      <c r="G9709" s="81"/>
      <c r="H9709" s="81"/>
      <c r="I9709" s="81"/>
      <c r="J9709" s="81"/>
      <c r="K9709" s="81"/>
      <c r="L9709" s="81"/>
      <c r="M9709" s="81"/>
      <c r="N9709" s="81"/>
    </row>
    <row r="9710" spans="1:14" ht="14.25" customHeight="1" x14ac:dyDescent="0.25">
      <c r="A9710" s="494"/>
      <c r="B9710" s="495"/>
      <c r="C9710" s="477"/>
      <c r="D9710" s="477"/>
      <c r="E9710" s="484"/>
      <c r="F9710" s="483"/>
      <c r="G9710" s="81"/>
      <c r="H9710" s="81"/>
      <c r="I9710" s="81"/>
      <c r="J9710" s="81"/>
      <c r="K9710" s="81"/>
      <c r="L9710" s="81"/>
      <c r="M9710" s="81"/>
      <c r="N9710" s="81"/>
    </row>
    <row r="9711" spans="1:14" ht="14.25" customHeight="1" x14ac:dyDescent="0.25">
      <c r="A9711" s="494"/>
      <c r="B9711" s="495"/>
      <c r="C9711" s="477"/>
      <c r="D9711" s="477"/>
      <c r="E9711" s="496"/>
      <c r="F9711" s="483"/>
      <c r="G9711" s="81"/>
      <c r="H9711" s="81"/>
      <c r="I9711" s="81"/>
      <c r="J9711" s="81"/>
      <c r="K9711" s="81"/>
      <c r="L9711" s="81"/>
      <c r="M9711" s="81"/>
      <c r="N9711" s="81"/>
    </row>
    <row r="9712" spans="1:14" ht="14.25" customHeight="1" x14ac:dyDescent="0.25">
      <c r="A9712" s="199" t="s">
        <v>548</v>
      </c>
      <c r="B9712" s="497"/>
      <c r="C9712" s="487"/>
      <c r="D9712" s="487"/>
      <c r="E9712" s="487"/>
      <c r="F9712" s="489">
        <f>SUM(F9708:F9711)</f>
        <v>3274.9593128390593</v>
      </c>
      <c r="G9712" s="81"/>
      <c r="H9712" s="81"/>
      <c r="I9712" s="81"/>
      <c r="J9712" s="81"/>
      <c r="K9712" s="81"/>
      <c r="L9712" s="81"/>
      <c r="M9712" s="81"/>
      <c r="N9712" s="81"/>
    </row>
    <row r="9713" spans="1:14" ht="14.25" customHeight="1" x14ac:dyDescent="0.25">
      <c r="A9713" s="198"/>
      <c r="B9713" s="231"/>
      <c r="C9713" s="223"/>
      <c r="D9713" s="223"/>
      <c r="E9713" s="223"/>
      <c r="F9713" s="223"/>
      <c r="G9713" s="81"/>
      <c r="H9713" s="81"/>
      <c r="I9713" s="81"/>
      <c r="J9713" s="81"/>
      <c r="K9713" s="81"/>
      <c r="L9713" s="81"/>
      <c r="M9713" s="81"/>
      <c r="N9713" s="81"/>
    </row>
    <row r="9714" spans="1:14" ht="14.25" customHeight="1" x14ac:dyDescent="0.25">
      <c r="A9714" s="197" t="s">
        <v>583</v>
      </c>
      <c r="B9714" s="198"/>
      <c r="C9714" s="193"/>
      <c r="D9714" s="193"/>
      <c r="E9714" s="193" t="s">
        <v>584</v>
      </c>
      <c r="F9714" s="193"/>
      <c r="G9714" s="81"/>
      <c r="H9714" s="81"/>
      <c r="I9714" s="81"/>
      <c r="J9714" s="81"/>
      <c r="K9714" s="81"/>
      <c r="L9714" s="81"/>
      <c r="M9714" s="81"/>
      <c r="N9714" s="81"/>
    </row>
    <row r="9715" spans="1:14" ht="14.25" customHeight="1" x14ac:dyDescent="0.25">
      <c r="A9715" s="199" t="s">
        <v>563</v>
      </c>
      <c r="B9715" s="474" t="s">
        <v>564</v>
      </c>
      <c r="C9715" s="474" t="s">
        <v>585</v>
      </c>
      <c r="D9715" s="474" t="s">
        <v>586</v>
      </c>
      <c r="E9715" s="492" t="s">
        <v>587</v>
      </c>
      <c r="F9715" s="474" t="s">
        <v>568</v>
      </c>
      <c r="G9715" s="81"/>
      <c r="H9715" s="81"/>
      <c r="I9715" s="81"/>
      <c r="J9715" s="81"/>
      <c r="K9715" s="81"/>
      <c r="L9715" s="81"/>
      <c r="M9715" s="81"/>
      <c r="N9715" s="81"/>
    </row>
    <row r="9716" spans="1:14" ht="14.25" customHeight="1" x14ac:dyDescent="0.25">
      <c r="A9716" s="480"/>
      <c r="B9716" s="476"/>
      <c r="C9716" s="477"/>
      <c r="D9716" s="498"/>
      <c r="E9716" s="484"/>
      <c r="F9716" s="486">
        <f>+C9716*D9716*E9716</f>
        <v>0</v>
      </c>
      <c r="G9716" s="81"/>
      <c r="H9716" s="81"/>
      <c r="I9716" s="81"/>
      <c r="J9716" s="81"/>
      <c r="K9716" s="81"/>
      <c r="L9716" s="81"/>
      <c r="M9716" s="81"/>
      <c r="N9716" s="81"/>
    </row>
    <row r="9717" spans="1:14" ht="14.25" customHeight="1" x14ac:dyDescent="0.25">
      <c r="A9717" s="480"/>
      <c r="B9717" s="476"/>
      <c r="C9717" s="484"/>
      <c r="D9717" s="484"/>
      <c r="E9717" s="485"/>
      <c r="F9717" s="486"/>
      <c r="G9717" s="81"/>
      <c r="H9717" s="81"/>
      <c r="I9717" s="81"/>
      <c r="J9717" s="81"/>
      <c r="K9717" s="81"/>
      <c r="L9717" s="81"/>
      <c r="M9717" s="81"/>
      <c r="N9717" s="81"/>
    </row>
    <row r="9718" spans="1:14" ht="14.25" customHeight="1" x14ac:dyDescent="0.25">
      <c r="A9718" s="199" t="s">
        <v>548</v>
      </c>
      <c r="B9718" s="474"/>
      <c r="C9718" s="487"/>
      <c r="D9718" s="487"/>
      <c r="E9718" s="488"/>
      <c r="F9718" s="489">
        <f>SUM(F9716:F9717)</f>
        <v>0</v>
      </c>
      <c r="G9718" s="81"/>
      <c r="H9718" s="81"/>
      <c r="I9718" s="81"/>
      <c r="J9718" s="81"/>
      <c r="K9718" s="81"/>
      <c r="L9718" s="81"/>
      <c r="M9718" s="81"/>
      <c r="N9718" s="81"/>
    </row>
    <row r="9719" spans="1:14" ht="14.25" customHeight="1" x14ac:dyDescent="0.25">
      <c r="A9719" s="192"/>
      <c r="B9719" s="194"/>
      <c r="C9719" s="215"/>
      <c r="D9719" s="215"/>
      <c r="E9719" s="216"/>
      <c r="F9719" s="215"/>
      <c r="G9719" s="81"/>
      <c r="H9719" s="81"/>
      <c r="I9719" s="81"/>
      <c r="J9719" s="81"/>
      <c r="K9719" s="81"/>
      <c r="L9719" s="81"/>
      <c r="M9719" s="81"/>
      <c r="N9719" s="81"/>
    </row>
    <row r="9720" spans="1:14" ht="14.25" customHeight="1" x14ac:dyDescent="0.25">
      <c r="A9720" s="192"/>
      <c r="B9720" s="194"/>
      <c r="C9720" s="215"/>
      <c r="D9720" s="215"/>
      <c r="E9720" s="216"/>
      <c r="F9720" s="215"/>
      <c r="G9720" s="81"/>
      <c r="H9720" s="117"/>
      <c r="I9720" s="81"/>
      <c r="J9720" s="81"/>
      <c r="K9720" s="81"/>
      <c r="L9720" s="81"/>
      <c r="M9720" s="81"/>
      <c r="N9720" s="81"/>
    </row>
    <row r="9721" spans="1:14" ht="14.25" customHeight="1" x14ac:dyDescent="0.25">
      <c r="A9721" s="590" t="s">
        <v>588</v>
      </c>
      <c r="B9721" s="586"/>
      <c r="C9721" s="586"/>
      <c r="D9721" s="586"/>
      <c r="E9721" s="587"/>
      <c r="F9721" s="499">
        <f>ROUND(F9695+F9704+F9712+F9718,0)</f>
        <v>7500</v>
      </c>
      <c r="G9721" s="81"/>
      <c r="H9721" s="81"/>
      <c r="I9721" s="81"/>
      <c r="J9721" s="81"/>
      <c r="K9721" s="81"/>
      <c r="L9721" s="81"/>
      <c r="M9721" s="81"/>
      <c r="N9721" s="81"/>
    </row>
    <row r="9722" spans="1:14" ht="14.25" customHeight="1" x14ac:dyDescent="0.25">
      <c r="A9722" s="590" t="s">
        <v>589</v>
      </c>
      <c r="B9722" s="586"/>
      <c r="C9722" s="586"/>
      <c r="D9722" s="586"/>
      <c r="E9722" s="587"/>
      <c r="F9722" s="500"/>
      <c r="G9722" s="81"/>
      <c r="H9722" s="81"/>
      <c r="I9722" s="81"/>
      <c r="J9722" s="81"/>
      <c r="K9722" s="81"/>
      <c r="L9722" s="81"/>
      <c r="M9722" s="81"/>
      <c r="N9722" s="81"/>
    </row>
    <row r="9723" spans="1:14" ht="14.25" customHeight="1" x14ac:dyDescent="0.25">
      <c r="A9723" s="590" t="s">
        <v>556</v>
      </c>
      <c r="B9723" s="586"/>
      <c r="C9723" s="586"/>
      <c r="D9723" s="586"/>
      <c r="E9723" s="587"/>
      <c r="F9723" s="501"/>
      <c r="G9723" s="81"/>
      <c r="H9723" s="81"/>
      <c r="I9723" s="81"/>
      <c r="J9723" s="81"/>
      <c r="K9723" s="81"/>
      <c r="L9723" s="81"/>
      <c r="M9723" s="81"/>
      <c r="N9723" s="81"/>
    </row>
    <row r="9724" spans="1:14" ht="14.25" customHeight="1" x14ac:dyDescent="0.25">
      <c r="A9724" s="301"/>
      <c r="B9724" s="502"/>
      <c r="C9724" s="502"/>
      <c r="D9724" s="502"/>
      <c r="E9724" s="502"/>
      <c r="F9724" s="503"/>
      <c r="G9724" s="81"/>
      <c r="H9724" s="81"/>
      <c r="I9724" s="81"/>
      <c r="J9724" s="81"/>
      <c r="K9724" s="81"/>
      <c r="L9724" s="81"/>
      <c r="M9724" s="81"/>
      <c r="N9724" s="81"/>
    </row>
    <row r="9725" spans="1:14" ht="14.25" customHeight="1" x14ac:dyDescent="0.25">
      <c r="A9725" s="301"/>
      <c r="B9725" s="502"/>
      <c r="C9725" s="502"/>
      <c r="D9725" s="502"/>
      <c r="E9725" s="502"/>
      <c r="F9725" s="503"/>
      <c r="G9725" s="81"/>
      <c r="H9725" s="81"/>
      <c r="I9725" s="81"/>
      <c r="J9725" s="81"/>
      <c r="K9725" s="81"/>
      <c r="L9725" s="81"/>
      <c r="M9725" s="81"/>
      <c r="N9725" s="81"/>
    </row>
    <row r="9726" spans="1:14" ht="14.25" customHeight="1" x14ac:dyDescent="0.25">
      <c r="A9726" s="301"/>
      <c r="B9726" s="502"/>
      <c r="C9726" s="502"/>
      <c r="D9726" s="502"/>
      <c r="E9726" s="502"/>
      <c r="F9726" s="503"/>
      <c r="G9726" s="81"/>
      <c r="H9726" s="81"/>
      <c r="I9726" s="81"/>
      <c r="J9726" s="81"/>
      <c r="K9726" s="81"/>
      <c r="L9726" s="81"/>
      <c r="M9726" s="81"/>
      <c r="N9726" s="81"/>
    </row>
    <row r="9727" spans="1:14" ht="14.25" customHeight="1" x14ac:dyDescent="0.25">
      <c r="A9727" s="243"/>
      <c r="B9727" s="243"/>
      <c r="C9727" s="504"/>
      <c r="D9727" s="243"/>
      <c r="E9727" s="243"/>
      <c r="F9727" s="243"/>
      <c r="G9727" s="81"/>
      <c r="H9727" s="81"/>
      <c r="I9727" s="81"/>
      <c r="J9727" s="81"/>
      <c r="K9727" s="81"/>
      <c r="L9727" s="81"/>
      <c r="M9727" s="81"/>
      <c r="N9727" s="81"/>
    </row>
    <row r="9728" spans="1:14" ht="14.25" customHeight="1" x14ac:dyDescent="0.25">
      <c r="A9728" s="243"/>
      <c r="B9728" s="243"/>
      <c r="C9728" s="504"/>
      <c r="D9728" s="243"/>
      <c r="E9728" s="243"/>
      <c r="F9728" s="243"/>
      <c r="G9728" s="81"/>
      <c r="H9728" s="81"/>
      <c r="I9728" s="81"/>
      <c r="J9728" s="81"/>
      <c r="K9728" s="81"/>
      <c r="L9728" s="81"/>
      <c r="M9728" s="81"/>
      <c r="N9728" s="81"/>
    </row>
    <row r="9729" spans="1:14" ht="14.25" customHeight="1" x14ac:dyDescent="0.25">
      <c r="A9729" s="243"/>
      <c r="B9729" s="243"/>
      <c r="C9729" s="504"/>
      <c r="D9729" s="243"/>
      <c r="E9729" s="243"/>
      <c r="F9729" s="243"/>
      <c r="G9729" s="81"/>
      <c r="H9729" s="81"/>
      <c r="I9729" s="81"/>
      <c r="J9729" s="81"/>
      <c r="K9729" s="81"/>
      <c r="L9729" s="81"/>
      <c r="M9729" s="81"/>
      <c r="N9729" s="81"/>
    </row>
    <row r="9730" spans="1:14" ht="14.25" customHeight="1" x14ac:dyDescent="0.25">
      <c r="A9730" s="243"/>
      <c r="B9730" s="243"/>
      <c r="C9730" s="504"/>
      <c r="D9730" s="243"/>
      <c r="E9730" s="243"/>
      <c r="F9730" s="243"/>
      <c r="G9730" s="81"/>
      <c r="H9730" s="81"/>
      <c r="I9730" s="81"/>
      <c r="J9730" s="81"/>
      <c r="K9730" s="81"/>
      <c r="L9730" s="81"/>
      <c r="M9730" s="81"/>
      <c r="N9730" s="81"/>
    </row>
    <row r="9731" spans="1:14" ht="14.25" customHeight="1" x14ac:dyDescent="0.25">
      <c r="A9731" s="243"/>
      <c r="B9731" s="243"/>
      <c r="C9731" s="504"/>
      <c r="D9731" s="243"/>
      <c r="E9731" s="243"/>
      <c r="F9731" s="243"/>
      <c r="G9731" s="81"/>
      <c r="H9731" s="81"/>
      <c r="I9731" s="81"/>
      <c r="J9731" s="81"/>
      <c r="K9731" s="81"/>
      <c r="L9731" s="81"/>
      <c r="M9731" s="81"/>
      <c r="N9731" s="81"/>
    </row>
    <row r="9732" spans="1:14" ht="14.25" customHeight="1" x14ac:dyDescent="0.25">
      <c r="A9732" s="243"/>
      <c r="B9732" s="243"/>
      <c r="C9732" s="504"/>
      <c r="D9732" s="243"/>
      <c r="E9732" s="243"/>
      <c r="F9732" s="243"/>
      <c r="G9732" s="81"/>
      <c r="H9732" s="81"/>
      <c r="I9732" s="81"/>
      <c r="J9732" s="81"/>
      <c r="K9732" s="81"/>
      <c r="L9732" s="81"/>
      <c r="M9732" s="81"/>
      <c r="N9732" s="81"/>
    </row>
    <row r="9733" spans="1:14" ht="14.25" customHeight="1" x14ac:dyDescent="0.25">
      <c r="A9733" s="243"/>
      <c r="B9733" s="243"/>
      <c r="C9733" s="504"/>
      <c r="D9733" s="243"/>
      <c r="E9733" s="243"/>
      <c r="F9733" s="243"/>
      <c r="G9733" s="81"/>
      <c r="H9733" s="81"/>
      <c r="I9733" s="81"/>
      <c r="J9733" s="81"/>
      <c r="K9733" s="81"/>
      <c r="L9733" s="81"/>
      <c r="M9733" s="81"/>
      <c r="N9733" s="81"/>
    </row>
    <row r="9734" spans="1:14" ht="14.25" customHeight="1" x14ac:dyDescent="0.25">
      <c r="A9734" s="243"/>
      <c r="B9734" s="243"/>
      <c r="C9734" s="504"/>
      <c r="D9734" s="243"/>
      <c r="E9734" s="243"/>
      <c r="F9734" s="243"/>
      <c r="G9734" s="81"/>
      <c r="H9734" s="81"/>
      <c r="I9734" s="81"/>
      <c r="J9734" s="81"/>
      <c r="K9734" s="81"/>
      <c r="L9734" s="81"/>
      <c r="M9734" s="81"/>
      <c r="N9734" s="81"/>
    </row>
    <row r="9735" spans="1:14" ht="14.25" customHeight="1" x14ac:dyDescent="0.25">
      <c r="A9735" s="243"/>
      <c r="B9735" s="243"/>
      <c r="C9735" s="504"/>
      <c r="D9735" s="243"/>
      <c r="E9735" s="243"/>
      <c r="F9735" s="243"/>
      <c r="G9735" s="81"/>
      <c r="H9735" s="81"/>
      <c r="I9735" s="81"/>
      <c r="J9735" s="81"/>
      <c r="K9735" s="81"/>
      <c r="L9735" s="81"/>
      <c r="M9735" s="81"/>
      <c r="N9735" s="81"/>
    </row>
    <row r="9736" spans="1:14" ht="14.25" customHeight="1" x14ac:dyDescent="0.25">
      <c r="A9736" s="301"/>
      <c r="B9736" s="502"/>
      <c r="C9736" s="502"/>
      <c r="D9736" s="502"/>
      <c r="E9736" s="502"/>
      <c r="F9736" s="503"/>
      <c r="G9736" s="81"/>
      <c r="H9736" s="81"/>
      <c r="I9736" s="81"/>
      <c r="J9736" s="81"/>
      <c r="K9736" s="81"/>
      <c r="L9736" s="81"/>
      <c r="M9736" s="81"/>
      <c r="N9736" s="81"/>
    </row>
    <row r="9737" spans="1:14" ht="14.25" customHeight="1" thickBot="1" x14ac:dyDescent="0.3">
      <c r="A9737" s="243"/>
      <c r="B9737" s="243"/>
      <c r="C9737" s="243"/>
      <c r="D9737" s="243"/>
      <c r="E9737" s="243"/>
      <c r="F9737" s="243"/>
      <c r="G9737" s="81"/>
      <c r="H9737" s="81"/>
      <c r="I9737" s="81"/>
      <c r="J9737" s="81"/>
      <c r="K9737" s="81"/>
      <c r="L9737" s="81"/>
      <c r="M9737" s="81"/>
      <c r="N9737" s="81"/>
    </row>
    <row r="9738" spans="1:14" ht="14.25" customHeight="1" x14ac:dyDescent="0.25">
      <c r="A9738" s="258"/>
      <c r="B9738" s="259"/>
      <c r="C9738" s="260"/>
      <c r="D9738" s="261"/>
      <c r="E9738" s="261"/>
      <c r="F9738" s="262"/>
      <c r="G9738" s="81"/>
      <c r="H9738" s="81"/>
      <c r="I9738" s="81"/>
      <c r="J9738" s="81"/>
      <c r="K9738" s="81"/>
      <c r="L9738" s="81"/>
      <c r="M9738" s="81"/>
      <c r="N9738" s="81"/>
    </row>
    <row r="9739" spans="1:14" ht="14.25" customHeight="1" x14ac:dyDescent="0.25">
      <c r="A9739" s="621"/>
      <c r="B9739" s="629"/>
      <c r="C9739" s="629"/>
      <c r="D9739" s="629"/>
      <c r="E9739" s="629"/>
      <c r="F9739" s="630"/>
      <c r="G9739" s="81"/>
      <c r="H9739" s="81"/>
      <c r="I9739" s="81"/>
      <c r="J9739" s="81"/>
      <c r="K9739" s="81"/>
      <c r="L9739" s="81"/>
      <c r="M9739" s="81"/>
      <c r="N9739" s="81"/>
    </row>
    <row r="9740" spans="1:14" ht="14.25" customHeight="1" x14ac:dyDescent="0.25">
      <c r="A9740" s="614" t="s">
        <v>561</v>
      </c>
      <c r="B9740" s="629"/>
      <c r="C9740" s="629"/>
      <c r="D9740" s="629"/>
      <c r="E9740" s="629"/>
      <c r="F9740" s="630"/>
      <c r="G9740" s="81"/>
      <c r="H9740" s="81"/>
      <c r="I9740" s="81"/>
      <c r="J9740" s="81"/>
      <c r="K9740" s="81"/>
      <c r="L9740" s="81"/>
      <c r="M9740" s="81"/>
      <c r="N9740" s="81"/>
    </row>
    <row r="9741" spans="1:14" ht="14.25" customHeight="1" thickBot="1" x14ac:dyDescent="0.3">
      <c r="A9741" s="617"/>
      <c r="B9741" s="631"/>
      <c r="C9741" s="631"/>
      <c r="D9741" s="631"/>
      <c r="E9741" s="631"/>
      <c r="F9741" s="632"/>
      <c r="G9741" s="81"/>
      <c r="H9741" s="81"/>
      <c r="I9741" s="81"/>
      <c r="J9741" s="81"/>
      <c r="K9741" s="81"/>
      <c r="L9741" s="81"/>
      <c r="M9741" s="81"/>
      <c r="N9741" s="81"/>
    </row>
    <row r="9742" spans="1:14" ht="14.25" customHeight="1" x14ac:dyDescent="0.25">
      <c r="A9742" s="192"/>
      <c r="B9742" s="192"/>
      <c r="C9742" s="194"/>
      <c r="D9742" s="194"/>
      <c r="E9742" s="194"/>
      <c r="F9742" s="194"/>
      <c r="G9742" s="81"/>
      <c r="H9742" s="81"/>
      <c r="I9742" s="81"/>
      <c r="J9742" s="81"/>
      <c r="K9742" s="81"/>
      <c r="L9742" s="81"/>
      <c r="M9742" s="81"/>
      <c r="N9742" s="81"/>
    </row>
    <row r="9743" spans="1:14" ht="14.25" customHeight="1" x14ac:dyDescent="0.25">
      <c r="A9743" s="473" t="s">
        <v>47</v>
      </c>
      <c r="B9743" s="620" t="s">
        <v>1029</v>
      </c>
      <c r="C9743" s="629"/>
      <c r="D9743" s="629"/>
      <c r="E9743" s="629"/>
      <c r="F9743" s="629"/>
      <c r="G9743" s="81"/>
      <c r="H9743" s="81"/>
      <c r="I9743" s="81"/>
      <c r="J9743" s="81"/>
      <c r="K9743" s="81"/>
      <c r="L9743" s="81"/>
      <c r="M9743" s="81"/>
      <c r="N9743" s="81"/>
    </row>
    <row r="9744" spans="1:14" ht="14.25" customHeight="1" x14ac:dyDescent="0.25">
      <c r="A9744" s="191"/>
      <c r="B9744" s="191"/>
      <c r="C9744" s="191"/>
      <c r="D9744" s="191"/>
      <c r="E9744" s="191"/>
      <c r="F9744" s="191"/>
      <c r="G9744" s="81"/>
      <c r="H9744" s="81"/>
      <c r="I9744" s="81"/>
      <c r="J9744" s="81"/>
      <c r="K9744" s="81"/>
      <c r="L9744" s="81"/>
      <c r="M9744" s="81"/>
      <c r="N9744" s="81"/>
    </row>
    <row r="9745" spans="1:14" ht="14.25" customHeight="1" x14ac:dyDescent="0.25">
      <c r="A9745" s="192" t="s">
        <v>49</v>
      </c>
      <c r="B9745" s="193" t="s">
        <v>85</v>
      </c>
      <c r="C9745" s="194"/>
      <c r="D9745" s="194"/>
      <c r="E9745" s="194"/>
      <c r="F9745" s="195"/>
      <c r="G9745" s="81"/>
      <c r="H9745" s="81"/>
      <c r="I9745" s="81"/>
      <c r="J9745" s="81"/>
      <c r="K9745" s="81"/>
      <c r="L9745" s="81"/>
      <c r="M9745" s="81"/>
      <c r="N9745" s="81"/>
    </row>
    <row r="9746" spans="1:14" ht="14.25" customHeight="1" x14ac:dyDescent="0.25">
      <c r="A9746" s="192"/>
      <c r="B9746" s="196"/>
      <c r="C9746" s="194"/>
      <c r="D9746" s="194"/>
      <c r="E9746" s="194"/>
      <c r="F9746" s="195"/>
      <c r="G9746" s="81"/>
      <c r="H9746" s="81"/>
      <c r="I9746" s="81"/>
      <c r="J9746" s="81"/>
      <c r="K9746" s="81"/>
      <c r="L9746" s="81"/>
      <c r="M9746" s="81"/>
      <c r="N9746" s="81"/>
    </row>
    <row r="9747" spans="1:14" ht="14.25" customHeight="1" x14ac:dyDescent="0.25">
      <c r="A9747" s="197" t="s">
        <v>562</v>
      </c>
      <c r="B9747" s="198"/>
      <c r="C9747" s="193"/>
      <c r="D9747" s="193"/>
      <c r="E9747" s="193"/>
      <c r="F9747" s="193"/>
      <c r="G9747" s="81"/>
      <c r="H9747" s="81"/>
      <c r="I9747" s="81"/>
      <c r="J9747" s="81"/>
      <c r="K9747" s="81"/>
      <c r="L9747" s="81"/>
      <c r="M9747" s="81"/>
      <c r="N9747" s="81"/>
    </row>
    <row r="9748" spans="1:14" ht="14.25" customHeight="1" x14ac:dyDescent="0.25">
      <c r="A9748" s="199" t="s">
        <v>563</v>
      </c>
      <c r="B9748" s="474" t="s">
        <v>564</v>
      </c>
      <c r="C9748" s="474" t="s">
        <v>565</v>
      </c>
      <c r="D9748" s="474" t="s">
        <v>566</v>
      </c>
      <c r="E9748" s="474" t="s">
        <v>567</v>
      </c>
      <c r="F9748" s="474" t="s">
        <v>568</v>
      </c>
      <c r="G9748" s="81"/>
      <c r="H9748" s="81"/>
      <c r="I9748" s="81"/>
      <c r="J9748" s="81"/>
      <c r="K9748" s="81"/>
      <c r="L9748" s="81"/>
      <c r="M9748" s="81"/>
      <c r="N9748" s="81"/>
    </row>
    <row r="9749" spans="1:14" ht="14.25" customHeight="1" x14ac:dyDescent="0.25">
      <c r="A9749" s="475" t="s">
        <v>611</v>
      </c>
      <c r="B9749" s="476" t="s">
        <v>612</v>
      </c>
      <c r="C9749" s="477">
        <v>12</v>
      </c>
      <c r="D9749" s="481">
        <v>2500</v>
      </c>
      <c r="E9749" s="479">
        <v>0.05</v>
      </c>
      <c r="F9749" s="477">
        <f>C9749*(D9749+(D9749*E9749))</f>
        <v>31500</v>
      </c>
      <c r="G9749" s="81"/>
      <c r="H9749" s="81"/>
      <c r="I9749" s="81"/>
      <c r="J9749" s="81"/>
      <c r="K9749" s="81"/>
      <c r="L9749" s="81"/>
      <c r="M9749" s="81"/>
      <c r="N9749" s="81"/>
    </row>
    <row r="9750" spans="1:14" ht="14.25" customHeight="1" x14ac:dyDescent="0.25">
      <c r="A9750" s="475"/>
      <c r="B9750" s="476"/>
      <c r="C9750" s="477"/>
      <c r="D9750" s="481"/>
      <c r="E9750" s="479"/>
      <c r="F9750" s="477"/>
      <c r="G9750" s="81"/>
      <c r="H9750" s="81"/>
      <c r="I9750" s="81"/>
      <c r="J9750" s="81"/>
      <c r="K9750" s="81"/>
      <c r="L9750" s="81"/>
      <c r="M9750" s="81"/>
      <c r="N9750" s="81"/>
    </row>
    <row r="9751" spans="1:14" ht="14.25" customHeight="1" x14ac:dyDescent="0.25">
      <c r="A9751" s="475"/>
      <c r="B9751" s="476"/>
      <c r="C9751" s="477"/>
      <c r="D9751" s="478"/>
      <c r="E9751" s="479"/>
      <c r="F9751" s="477"/>
      <c r="G9751" s="81"/>
      <c r="H9751" s="81"/>
      <c r="I9751" s="81"/>
      <c r="J9751" s="81"/>
      <c r="K9751" s="81"/>
      <c r="L9751" s="81"/>
      <c r="M9751" s="81"/>
      <c r="N9751" s="81"/>
    </row>
    <row r="9752" spans="1:14" ht="14.25" customHeight="1" x14ac:dyDescent="0.25">
      <c r="A9752" s="475"/>
      <c r="B9752" s="476"/>
      <c r="C9752" s="477"/>
      <c r="D9752" s="478"/>
      <c r="E9752" s="479"/>
      <c r="F9752" s="477"/>
      <c r="G9752" s="81"/>
      <c r="H9752" s="81"/>
      <c r="I9752" s="81"/>
      <c r="J9752" s="81"/>
      <c r="K9752" s="81"/>
      <c r="L9752" s="81"/>
      <c r="M9752" s="81"/>
      <c r="N9752" s="81"/>
    </row>
    <row r="9753" spans="1:14" ht="14.25" customHeight="1" x14ac:dyDescent="0.25">
      <c r="A9753" s="475"/>
      <c r="B9753" s="476"/>
      <c r="C9753" s="483"/>
      <c r="D9753" s="484"/>
      <c r="E9753" s="485"/>
      <c r="F9753" s="483"/>
      <c r="G9753" s="81"/>
      <c r="H9753" s="81"/>
      <c r="I9753" s="81"/>
      <c r="J9753" s="81"/>
      <c r="K9753" s="81"/>
      <c r="L9753" s="81"/>
      <c r="M9753" s="81"/>
      <c r="N9753" s="81"/>
    </row>
    <row r="9754" spans="1:14" ht="14.25" customHeight="1" x14ac:dyDescent="0.25">
      <c r="A9754" s="199" t="s">
        <v>548</v>
      </c>
      <c r="B9754" s="199"/>
      <c r="C9754" s="486"/>
      <c r="D9754" s="487"/>
      <c r="E9754" s="488"/>
      <c r="F9754" s="489">
        <f>SUM(F9749:F9753)</f>
        <v>31500</v>
      </c>
      <c r="G9754" s="81"/>
      <c r="H9754" s="81"/>
      <c r="I9754" s="81"/>
      <c r="J9754" s="81"/>
      <c r="K9754" s="81"/>
      <c r="L9754" s="81"/>
      <c r="M9754" s="81"/>
      <c r="N9754" s="81"/>
    </row>
    <row r="9755" spans="1:14" ht="14.25" customHeight="1" x14ac:dyDescent="0.25">
      <c r="A9755" s="192"/>
      <c r="B9755" s="192"/>
      <c r="C9755" s="215"/>
      <c r="D9755" s="215"/>
      <c r="E9755" s="216"/>
      <c r="F9755" s="215"/>
      <c r="G9755" s="81"/>
      <c r="H9755" s="81"/>
      <c r="I9755" s="81"/>
      <c r="J9755" s="81"/>
      <c r="K9755" s="81"/>
      <c r="L9755" s="81"/>
      <c r="M9755" s="81"/>
      <c r="N9755" s="81"/>
    </row>
    <row r="9756" spans="1:14" ht="14.25" customHeight="1" x14ac:dyDescent="0.25">
      <c r="A9756" s="198" t="s">
        <v>573</v>
      </c>
      <c r="B9756" s="198"/>
      <c r="C9756" s="193"/>
      <c r="D9756" s="193"/>
      <c r="E9756" s="193"/>
      <c r="F9756" s="193"/>
      <c r="G9756" s="81"/>
      <c r="H9756" s="81"/>
      <c r="I9756" s="81"/>
      <c r="J9756" s="81"/>
      <c r="K9756" s="81"/>
      <c r="L9756" s="81"/>
      <c r="M9756" s="81"/>
      <c r="N9756" s="81"/>
    </row>
    <row r="9757" spans="1:14" ht="14.25" customHeight="1" x14ac:dyDescent="0.25">
      <c r="A9757" s="585" t="s">
        <v>563</v>
      </c>
      <c r="B9757" s="586"/>
      <c r="C9757" s="587"/>
      <c r="D9757" s="474" t="s">
        <v>574</v>
      </c>
      <c r="E9757" s="474" t="s">
        <v>575</v>
      </c>
      <c r="F9757" s="474" t="s">
        <v>568</v>
      </c>
      <c r="G9757" s="81"/>
      <c r="H9757" s="81"/>
      <c r="I9757" s="81"/>
      <c r="J9757" s="81"/>
      <c r="K9757" s="81"/>
      <c r="L9757" s="81"/>
      <c r="M9757" s="81"/>
      <c r="N9757" s="81"/>
    </row>
    <row r="9758" spans="1:14" ht="14.25" customHeight="1" x14ac:dyDescent="0.25">
      <c r="A9758" s="588" t="s">
        <v>577</v>
      </c>
      <c r="B9758" s="586"/>
      <c r="C9758" s="587"/>
      <c r="D9758" s="490"/>
      <c r="E9758" s="484"/>
      <c r="F9758" s="483">
        <f>+F9771*5%</f>
        <v>54273.827647383187</v>
      </c>
      <c r="G9758" s="81"/>
      <c r="H9758" s="81"/>
      <c r="I9758" s="81"/>
      <c r="J9758" s="81"/>
      <c r="K9758" s="81"/>
      <c r="L9758" s="81"/>
      <c r="M9758" s="81"/>
      <c r="N9758" s="81"/>
    </row>
    <row r="9759" spans="1:14" ht="14.25" customHeight="1" x14ac:dyDescent="0.25">
      <c r="A9759" s="588" t="s">
        <v>680</v>
      </c>
      <c r="B9759" s="586"/>
      <c r="C9759" s="587"/>
      <c r="D9759" s="505">
        <v>5250</v>
      </c>
      <c r="E9759" s="484">
        <v>0.05</v>
      </c>
      <c r="F9759" s="483">
        <f t="shared" ref="F9759:F9761" si="484">D9759/E9759</f>
        <v>105000</v>
      </c>
      <c r="G9759" s="81"/>
      <c r="H9759" s="81"/>
      <c r="I9759" s="81"/>
      <c r="J9759" s="81"/>
      <c r="K9759" s="81"/>
      <c r="L9759" s="81"/>
      <c r="M9759" s="81"/>
      <c r="N9759" s="81"/>
    </row>
    <row r="9760" spans="1:14" ht="14.25" customHeight="1" x14ac:dyDescent="0.25">
      <c r="A9760" s="588" t="s">
        <v>608</v>
      </c>
      <c r="B9760" s="586"/>
      <c r="C9760" s="587"/>
      <c r="D9760" s="505">
        <v>110000</v>
      </c>
      <c r="E9760" s="484">
        <v>0.5</v>
      </c>
      <c r="F9760" s="483">
        <f t="shared" si="484"/>
        <v>220000</v>
      </c>
      <c r="G9760" s="81"/>
      <c r="H9760" s="81"/>
      <c r="I9760" s="81"/>
      <c r="J9760" s="81"/>
      <c r="K9760" s="81"/>
      <c r="L9760" s="81"/>
      <c r="M9760" s="81"/>
      <c r="N9760" s="81"/>
    </row>
    <row r="9761" spans="1:14" ht="14.25" customHeight="1" x14ac:dyDescent="0.25">
      <c r="A9761" s="588" t="s">
        <v>609</v>
      </c>
      <c r="B9761" s="586"/>
      <c r="C9761" s="587"/>
      <c r="D9761" s="505">
        <v>130000</v>
      </c>
      <c r="E9761" s="484">
        <v>0.5</v>
      </c>
      <c r="F9761" s="483">
        <f t="shared" si="484"/>
        <v>260000</v>
      </c>
      <c r="G9761" s="81"/>
      <c r="H9761" s="81"/>
      <c r="I9761" s="81"/>
      <c r="J9761" s="81"/>
      <c r="K9761" s="81"/>
      <c r="L9761" s="81"/>
      <c r="M9761" s="81"/>
      <c r="N9761" s="81"/>
    </row>
    <row r="9762" spans="1:14" ht="14.25" customHeight="1" x14ac:dyDescent="0.25">
      <c r="A9762" s="589"/>
      <c r="B9762" s="586"/>
      <c r="C9762" s="587"/>
      <c r="D9762" s="491"/>
      <c r="E9762" s="484"/>
      <c r="F9762" s="483"/>
      <c r="G9762" s="81"/>
      <c r="H9762" s="81"/>
      <c r="I9762" s="81"/>
      <c r="J9762" s="81"/>
      <c r="K9762" s="81"/>
      <c r="L9762" s="81"/>
      <c r="M9762" s="81"/>
      <c r="N9762" s="81"/>
    </row>
    <row r="9763" spans="1:14" ht="14.25" customHeight="1" x14ac:dyDescent="0.25">
      <c r="A9763" s="585" t="s">
        <v>548</v>
      </c>
      <c r="B9763" s="586"/>
      <c r="C9763" s="587"/>
      <c r="D9763" s="487"/>
      <c r="E9763" s="487"/>
      <c r="F9763" s="489">
        <f>SUM(F9758:F9762)</f>
        <v>639273.82764738321</v>
      </c>
      <c r="G9763" s="81"/>
      <c r="H9763" s="81"/>
      <c r="I9763" s="81"/>
      <c r="J9763" s="81"/>
      <c r="K9763" s="81"/>
      <c r="L9763" s="81"/>
      <c r="M9763" s="81"/>
      <c r="N9763" s="81"/>
    </row>
    <row r="9764" spans="1:14" ht="14.25" customHeight="1" x14ac:dyDescent="0.25">
      <c r="A9764" s="192"/>
      <c r="B9764" s="192"/>
      <c r="C9764" s="194"/>
      <c r="D9764" s="215"/>
      <c r="E9764" s="215"/>
      <c r="F9764" s="215"/>
      <c r="G9764" s="81"/>
      <c r="H9764" s="81"/>
      <c r="I9764" s="81"/>
      <c r="J9764" s="81"/>
      <c r="K9764" s="81"/>
      <c r="L9764" s="81"/>
      <c r="M9764" s="81"/>
      <c r="N9764" s="81"/>
    </row>
    <row r="9765" spans="1:14" ht="14.25" customHeight="1" x14ac:dyDescent="0.25">
      <c r="A9765" s="198" t="s">
        <v>578</v>
      </c>
      <c r="B9765" s="198"/>
      <c r="C9765" s="193"/>
      <c r="D9765" s="223"/>
      <c r="E9765" s="223"/>
      <c r="F9765" s="223"/>
      <c r="G9765" s="81"/>
      <c r="H9765" s="81"/>
      <c r="I9765" s="81"/>
      <c r="J9765" s="81"/>
      <c r="K9765" s="81"/>
      <c r="L9765" s="81"/>
      <c r="M9765" s="81"/>
      <c r="N9765" s="81"/>
    </row>
    <row r="9766" spans="1:14" ht="38.25" x14ac:dyDescent="0.25">
      <c r="A9766" s="224" t="s">
        <v>563</v>
      </c>
      <c r="B9766" s="492" t="s">
        <v>579</v>
      </c>
      <c r="C9766" s="492" t="s">
        <v>580</v>
      </c>
      <c r="D9766" s="493" t="s">
        <v>581</v>
      </c>
      <c r="E9766" s="493" t="s">
        <v>575</v>
      </c>
      <c r="F9766" s="493" t="s">
        <v>568</v>
      </c>
      <c r="G9766" s="81"/>
      <c r="H9766" s="81"/>
      <c r="I9766" s="81"/>
      <c r="J9766" s="81"/>
      <c r="K9766" s="81"/>
      <c r="L9766" s="81"/>
      <c r="M9766" s="81"/>
      <c r="N9766" s="81"/>
    </row>
    <row r="9767" spans="1:14" ht="14.25" customHeight="1" x14ac:dyDescent="0.25">
      <c r="A9767" s="494" t="s">
        <v>593</v>
      </c>
      <c r="B9767" s="495">
        <v>1</v>
      </c>
      <c r="C9767" s="477">
        <v>32688</v>
      </c>
      <c r="D9767" s="477">
        <f t="shared" ref="D9767:D9768" si="485">+C9767*1.7</f>
        <v>55569.599999999999</v>
      </c>
      <c r="E9767" s="484">
        <v>0.13347519999999999</v>
      </c>
      <c r="F9767" s="483">
        <f t="shared" ref="F9767:F9768" si="486">+B9767*(D9767)/E9767</f>
        <v>416329.02591642493</v>
      </c>
      <c r="G9767" s="81"/>
      <c r="H9767" s="81"/>
      <c r="I9767" s="81"/>
      <c r="J9767" s="81"/>
      <c r="K9767" s="81"/>
      <c r="L9767" s="81"/>
      <c r="M9767" s="81"/>
      <c r="N9767" s="81"/>
    </row>
    <row r="9768" spans="1:14" ht="14.25" customHeight="1" x14ac:dyDescent="0.25">
      <c r="A9768" s="494" t="s">
        <v>594</v>
      </c>
      <c r="B9768" s="495">
        <v>1</v>
      </c>
      <c r="C9768" s="477">
        <v>52538</v>
      </c>
      <c r="D9768" s="477">
        <f t="shared" si="485"/>
        <v>89314.599999999991</v>
      </c>
      <c r="E9768" s="484">
        <f>E9767</f>
        <v>0.13347519999999999</v>
      </c>
      <c r="F9768" s="483">
        <f t="shared" si="486"/>
        <v>669147.52703123877</v>
      </c>
      <c r="G9768" s="81"/>
      <c r="H9768" s="81"/>
      <c r="I9768" s="81"/>
      <c r="J9768" s="81"/>
      <c r="K9768" s="81"/>
      <c r="L9768" s="81"/>
      <c r="M9768" s="81"/>
      <c r="N9768" s="81"/>
    </row>
    <row r="9769" spans="1:14" ht="14.25" customHeight="1" x14ac:dyDescent="0.25">
      <c r="A9769" s="494"/>
      <c r="B9769" s="495"/>
      <c r="C9769" s="477"/>
      <c r="D9769" s="477"/>
      <c r="E9769" s="484"/>
      <c r="F9769" s="483"/>
      <c r="G9769" s="81"/>
      <c r="H9769" s="81"/>
      <c r="I9769" s="81"/>
      <c r="J9769" s="81"/>
      <c r="K9769" s="81"/>
      <c r="L9769" s="81"/>
      <c r="M9769" s="81"/>
      <c r="N9769" s="81"/>
    </row>
    <row r="9770" spans="1:14" ht="14.25" customHeight="1" x14ac:dyDescent="0.25">
      <c r="A9770" s="494"/>
      <c r="B9770" s="495"/>
      <c r="C9770" s="477"/>
      <c r="D9770" s="477"/>
      <c r="E9770" s="496"/>
      <c r="F9770" s="483"/>
      <c r="G9770" s="81"/>
      <c r="H9770" s="81"/>
      <c r="I9770" s="81"/>
      <c r="J9770" s="81"/>
      <c r="K9770" s="81"/>
      <c r="L9770" s="81"/>
      <c r="M9770" s="81"/>
      <c r="N9770" s="81"/>
    </row>
    <row r="9771" spans="1:14" ht="14.25" customHeight="1" x14ac:dyDescent="0.25">
      <c r="A9771" s="199" t="s">
        <v>548</v>
      </c>
      <c r="B9771" s="497"/>
      <c r="C9771" s="487"/>
      <c r="D9771" s="487"/>
      <c r="E9771" s="487"/>
      <c r="F9771" s="489">
        <f>SUM(F9767:F9770)</f>
        <v>1085476.5529476637</v>
      </c>
      <c r="G9771" s="81"/>
      <c r="H9771" s="81"/>
      <c r="I9771" s="81"/>
      <c r="J9771" s="81"/>
      <c r="K9771" s="81"/>
      <c r="L9771" s="81"/>
      <c r="M9771" s="81"/>
      <c r="N9771" s="81"/>
    </row>
    <row r="9772" spans="1:14" ht="14.25" customHeight="1" x14ac:dyDescent="0.25">
      <c r="A9772" s="198"/>
      <c r="B9772" s="231"/>
      <c r="C9772" s="223"/>
      <c r="D9772" s="223"/>
      <c r="E9772" s="223"/>
      <c r="F9772" s="223"/>
      <c r="G9772" s="81"/>
      <c r="H9772" s="81"/>
      <c r="I9772" s="81"/>
      <c r="J9772" s="81"/>
      <c r="K9772" s="81"/>
      <c r="L9772" s="81"/>
      <c r="M9772" s="81"/>
      <c r="N9772" s="81"/>
    </row>
    <row r="9773" spans="1:14" ht="14.25" customHeight="1" x14ac:dyDescent="0.25">
      <c r="A9773" s="197" t="s">
        <v>583</v>
      </c>
      <c r="B9773" s="198"/>
      <c r="C9773" s="193"/>
      <c r="D9773" s="193"/>
      <c r="E9773" s="193" t="s">
        <v>584</v>
      </c>
      <c r="F9773" s="193"/>
      <c r="G9773" s="81"/>
      <c r="H9773" s="81"/>
      <c r="I9773" s="81"/>
      <c r="J9773" s="81"/>
      <c r="K9773" s="81"/>
      <c r="L9773" s="81"/>
      <c r="M9773" s="81"/>
      <c r="N9773" s="81"/>
    </row>
    <row r="9774" spans="1:14" ht="25.5" x14ac:dyDescent="0.25">
      <c r="A9774" s="199" t="s">
        <v>563</v>
      </c>
      <c r="B9774" s="474" t="s">
        <v>564</v>
      </c>
      <c r="C9774" s="474" t="s">
        <v>585</v>
      </c>
      <c r="D9774" s="474" t="s">
        <v>586</v>
      </c>
      <c r="E9774" s="492" t="s">
        <v>587</v>
      </c>
      <c r="F9774" s="474" t="s">
        <v>568</v>
      </c>
      <c r="G9774" s="81"/>
      <c r="H9774" s="81"/>
      <c r="I9774" s="81"/>
      <c r="J9774" s="81"/>
      <c r="K9774" s="81"/>
      <c r="L9774" s="81"/>
      <c r="M9774" s="81"/>
      <c r="N9774" s="81"/>
    </row>
    <row r="9775" spans="1:14" ht="14.25" customHeight="1" x14ac:dyDescent="0.25">
      <c r="A9775" s="480"/>
      <c r="B9775" s="476"/>
      <c r="C9775" s="477"/>
      <c r="D9775" s="498"/>
      <c r="E9775" s="484"/>
      <c r="F9775" s="486">
        <f>+C9775*D9775*E9775</f>
        <v>0</v>
      </c>
      <c r="G9775" s="81"/>
      <c r="H9775" s="81"/>
      <c r="I9775" s="81"/>
      <c r="J9775" s="81"/>
      <c r="K9775" s="81"/>
      <c r="L9775" s="81"/>
      <c r="M9775" s="81"/>
      <c r="N9775" s="81"/>
    </row>
    <row r="9776" spans="1:14" ht="14.25" customHeight="1" x14ac:dyDescent="0.25">
      <c r="A9776" s="480"/>
      <c r="B9776" s="476"/>
      <c r="C9776" s="484"/>
      <c r="D9776" s="484"/>
      <c r="E9776" s="485"/>
      <c r="F9776" s="486"/>
      <c r="G9776" s="81"/>
      <c r="H9776" s="81"/>
      <c r="I9776" s="81"/>
      <c r="J9776" s="81"/>
      <c r="K9776" s="81"/>
      <c r="L9776" s="81"/>
      <c r="M9776" s="81"/>
      <c r="N9776" s="81"/>
    </row>
    <row r="9777" spans="1:14" ht="14.25" customHeight="1" x14ac:dyDescent="0.25">
      <c r="A9777" s="199" t="s">
        <v>548</v>
      </c>
      <c r="B9777" s="474"/>
      <c r="C9777" s="487"/>
      <c r="D9777" s="487"/>
      <c r="E9777" s="488"/>
      <c r="F9777" s="489">
        <f>SUM(F9775:F9776)</f>
        <v>0</v>
      </c>
      <c r="G9777" s="81"/>
      <c r="H9777" s="81"/>
      <c r="I9777" s="81"/>
      <c r="J9777" s="81"/>
      <c r="K9777" s="81"/>
      <c r="L9777" s="81"/>
      <c r="M9777" s="81"/>
      <c r="N9777" s="81"/>
    </row>
    <row r="9778" spans="1:14" ht="14.25" customHeight="1" x14ac:dyDescent="0.25">
      <c r="A9778" s="192"/>
      <c r="B9778" s="194"/>
      <c r="C9778" s="215"/>
      <c r="D9778" s="215"/>
      <c r="E9778" s="216"/>
      <c r="F9778" s="215"/>
      <c r="G9778" s="81"/>
      <c r="H9778" s="81"/>
      <c r="I9778" s="81"/>
      <c r="J9778" s="81"/>
      <c r="K9778" s="81"/>
      <c r="L9778" s="81"/>
      <c r="M9778" s="81"/>
      <c r="N9778" s="81"/>
    </row>
    <row r="9779" spans="1:14" ht="14.25" customHeight="1" x14ac:dyDescent="0.25">
      <c r="A9779" s="192"/>
      <c r="B9779" s="194"/>
      <c r="C9779" s="215"/>
      <c r="D9779" s="215"/>
      <c r="E9779" s="216"/>
      <c r="F9779" s="215"/>
      <c r="G9779" s="81"/>
      <c r="H9779" s="81"/>
      <c r="I9779" s="81"/>
      <c r="J9779" s="81"/>
      <c r="K9779" s="81"/>
      <c r="L9779" s="81"/>
      <c r="M9779" s="81"/>
      <c r="N9779" s="81"/>
    </row>
    <row r="9780" spans="1:14" ht="14.25" customHeight="1" x14ac:dyDescent="0.25">
      <c r="A9780" s="590" t="s">
        <v>588</v>
      </c>
      <c r="B9780" s="586"/>
      <c r="C9780" s="586"/>
      <c r="D9780" s="586"/>
      <c r="E9780" s="587"/>
      <c r="F9780" s="499">
        <f>ROUND(F9754+F9763+F9771+F9777,0)</f>
        <v>1756250</v>
      </c>
      <c r="G9780" s="81"/>
      <c r="H9780" s="81"/>
      <c r="I9780" s="81"/>
      <c r="J9780" s="81"/>
      <c r="K9780" s="81"/>
      <c r="L9780" s="81"/>
      <c r="M9780" s="81"/>
      <c r="N9780" s="81"/>
    </row>
    <row r="9781" spans="1:14" ht="14.25" customHeight="1" x14ac:dyDescent="0.25">
      <c r="A9781" s="590" t="s">
        <v>589</v>
      </c>
      <c r="B9781" s="586"/>
      <c r="C9781" s="586"/>
      <c r="D9781" s="586"/>
      <c r="E9781" s="587"/>
      <c r="F9781" s="500"/>
      <c r="G9781" s="81"/>
      <c r="H9781" s="81"/>
      <c r="I9781" s="81"/>
      <c r="J9781" s="81"/>
      <c r="K9781" s="81"/>
      <c r="L9781" s="81"/>
      <c r="M9781" s="81"/>
      <c r="N9781" s="81"/>
    </row>
    <row r="9782" spans="1:14" ht="14.25" customHeight="1" x14ac:dyDescent="0.25">
      <c r="A9782" s="590" t="s">
        <v>556</v>
      </c>
      <c r="B9782" s="586"/>
      <c r="C9782" s="586"/>
      <c r="D9782" s="586"/>
      <c r="E9782" s="587"/>
      <c r="F9782" s="501"/>
      <c r="G9782" s="81"/>
      <c r="H9782" s="117"/>
      <c r="I9782" s="81"/>
      <c r="J9782" s="81"/>
      <c r="K9782" s="81"/>
      <c r="L9782" s="81"/>
      <c r="M9782" s="81"/>
      <c r="N9782" s="81"/>
    </row>
    <row r="9783" spans="1:14" ht="14.25" customHeight="1" x14ac:dyDescent="0.25">
      <c r="A9783" s="301"/>
      <c r="B9783" s="502"/>
      <c r="C9783" s="502"/>
      <c r="D9783" s="502"/>
      <c r="E9783" s="502"/>
      <c r="F9783" s="503"/>
      <c r="G9783" s="81"/>
      <c r="H9783" s="81"/>
      <c r="I9783" s="81"/>
      <c r="J9783" s="81"/>
      <c r="K9783" s="81"/>
      <c r="L9783" s="81"/>
      <c r="M9783" s="81"/>
      <c r="N9783" s="81"/>
    </row>
    <row r="9784" spans="1:14" ht="14.25" customHeight="1" x14ac:dyDescent="0.25">
      <c r="A9784" s="301"/>
      <c r="B9784" s="502"/>
      <c r="C9784" s="502"/>
      <c r="D9784" s="502"/>
      <c r="E9784" s="502"/>
      <c r="F9784" s="503"/>
      <c r="G9784" s="81"/>
      <c r="H9784" s="81"/>
      <c r="I9784" s="81"/>
      <c r="J9784" s="81"/>
      <c r="K9784" s="81"/>
      <c r="L9784" s="81"/>
      <c r="M9784" s="81"/>
      <c r="N9784" s="81"/>
    </row>
    <row r="9785" spans="1:14" ht="14.25" customHeight="1" x14ac:dyDescent="0.25">
      <c r="A9785" s="301"/>
      <c r="B9785" s="502"/>
      <c r="C9785" s="502"/>
      <c r="D9785" s="502"/>
      <c r="E9785" s="502"/>
      <c r="F9785" s="503"/>
      <c r="G9785" s="81"/>
      <c r="H9785" s="81"/>
      <c r="I9785" s="81"/>
      <c r="J9785" s="81"/>
      <c r="K9785" s="81"/>
      <c r="L9785" s="81"/>
      <c r="M9785" s="81"/>
      <c r="N9785" s="81"/>
    </row>
    <row r="9786" spans="1:14" ht="14.25" customHeight="1" x14ac:dyDescent="0.25">
      <c r="A9786" s="243"/>
      <c r="B9786" s="243"/>
      <c r="C9786" s="504"/>
      <c r="D9786" s="243"/>
      <c r="E9786" s="243"/>
      <c r="F9786" s="243"/>
      <c r="G9786" s="81"/>
      <c r="H9786" s="81"/>
      <c r="I9786" s="81"/>
      <c r="J9786" s="81"/>
      <c r="K9786" s="81"/>
      <c r="L9786" s="81"/>
      <c r="M9786" s="81"/>
      <c r="N9786" s="81"/>
    </row>
    <row r="9787" spans="1:14" ht="14.25" customHeight="1" x14ac:dyDescent="0.25">
      <c r="A9787" s="243"/>
      <c r="B9787" s="243"/>
      <c r="C9787" s="504"/>
      <c r="D9787" s="243"/>
      <c r="E9787" s="243"/>
      <c r="F9787" s="243"/>
      <c r="G9787" s="81"/>
      <c r="H9787" s="81"/>
      <c r="I9787" s="81"/>
      <c r="J9787" s="81"/>
      <c r="K9787" s="81"/>
      <c r="L9787" s="81"/>
      <c r="M9787" s="81"/>
      <c r="N9787" s="81"/>
    </row>
    <row r="9788" spans="1:14" ht="14.25" customHeight="1" x14ac:dyDescent="0.25">
      <c r="A9788" s="243"/>
      <c r="B9788" s="243"/>
      <c r="C9788" s="504"/>
      <c r="D9788" s="243"/>
      <c r="E9788" s="243"/>
      <c r="F9788" s="243"/>
      <c r="G9788" s="81"/>
      <c r="H9788" s="81"/>
      <c r="I9788" s="81"/>
      <c r="J9788" s="81"/>
      <c r="K9788" s="81"/>
      <c r="L9788" s="81"/>
      <c r="M9788" s="81"/>
      <c r="N9788" s="81"/>
    </row>
    <row r="9789" spans="1:14" ht="14.25" customHeight="1" x14ac:dyDescent="0.25">
      <c r="A9789" s="243"/>
      <c r="B9789" s="243"/>
      <c r="C9789" s="504"/>
      <c r="D9789" s="243"/>
      <c r="E9789" s="243"/>
      <c r="F9789" s="243"/>
      <c r="G9789" s="81"/>
      <c r="H9789" s="81"/>
      <c r="I9789" s="81"/>
      <c r="J9789" s="81"/>
      <c r="K9789" s="81"/>
      <c r="L9789" s="81"/>
      <c r="M9789" s="81"/>
      <c r="N9789" s="81"/>
    </row>
    <row r="9790" spans="1:14" ht="14.25" customHeight="1" x14ac:dyDescent="0.25">
      <c r="A9790" s="243"/>
      <c r="B9790" s="243"/>
      <c r="C9790" s="504"/>
      <c r="D9790" s="243"/>
      <c r="E9790" s="243"/>
      <c r="F9790" s="243"/>
      <c r="G9790" s="81"/>
      <c r="H9790" s="81"/>
      <c r="I9790" s="81"/>
      <c r="J9790" s="81"/>
      <c r="K9790" s="81"/>
      <c r="L9790" s="81"/>
      <c r="M9790" s="81"/>
      <c r="N9790" s="81"/>
    </row>
    <row r="9791" spans="1:14" ht="14.25" customHeight="1" x14ac:dyDescent="0.25">
      <c r="A9791" s="243"/>
      <c r="B9791" s="243"/>
      <c r="C9791" s="504"/>
      <c r="D9791" s="243"/>
      <c r="E9791" s="243"/>
      <c r="F9791" s="243"/>
      <c r="G9791" s="81"/>
      <c r="H9791" s="81"/>
      <c r="I9791" s="81"/>
      <c r="J9791" s="81"/>
      <c r="K9791" s="81"/>
      <c r="L9791" s="81"/>
      <c r="M9791" s="81"/>
      <c r="N9791" s="81"/>
    </row>
    <row r="9792" spans="1:14" ht="14.25" customHeight="1" x14ac:dyDescent="0.25">
      <c r="A9792" s="243"/>
      <c r="B9792" s="243"/>
      <c r="C9792" s="504"/>
      <c r="D9792" s="243"/>
      <c r="E9792" s="243"/>
      <c r="F9792" s="243"/>
      <c r="G9792" s="81"/>
      <c r="H9792" s="81"/>
      <c r="I9792" s="81"/>
      <c r="J9792" s="81"/>
      <c r="K9792" s="81"/>
      <c r="L9792" s="81"/>
      <c r="M9792" s="81"/>
      <c r="N9792" s="81"/>
    </row>
    <row r="9793" spans="1:14" ht="14.25" customHeight="1" x14ac:dyDescent="0.25">
      <c r="A9793" s="243"/>
      <c r="B9793" s="243"/>
      <c r="C9793" s="504"/>
      <c r="D9793" s="243"/>
      <c r="E9793" s="243"/>
      <c r="F9793" s="243"/>
      <c r="G9793" s="81"/>
      <c r="H9793" s="81"/>
      <c r="I9793" s="81"/>
      <c r="J9793" s="81"/>
      <c r="K9793" s="81"/>
      <c r="L9793" s="81"/>
      <c r="M9793" s="81"/>
      <c r="N9793" s="81"/>
    </row>
    <row r="9794" spans="1:14" ht="14.25" customHeight="1" x14ac:dyDescent="0.25">
      <c r="A9794" s="243"/>
      <c r="B9794" s="243"/>
      <c r="C9794" s="504"/>
      <c r="D9794" s="243"/>
      <c r="E9794" s="243"/>
      <c r="F9794" s="243"/>
      <c r="G9794" s="81"/>
      <c r="H9794" s="81"/>
      <c r="I9794" s="81"/>
      <c r="J9794" s="81"/>
      <c r="K9794" s="81"/>
      <c r="L9794" s="81"/>
      <c r="M9794" s="81"/>
      <c r="N9794" s="81"/>
    </row>
    <row r="9795" spans="1:14" ht="14.25" customHeight="1" x14ac:dyDescent="0.25">
      <c r="A9795" s="301"/>
      <c r="B9795" s="502"/>
      <c r="C9795" s="502"/>
      <c r="D9795" s="502"/>
      <c r="E9795" s="502"/>
      <c r="F9795" s="503"/>
      <c r="G9795" s="81"/>
      <c r="H9795" s="81"/>
      <c r="I9795" s="81"/>
      <c r="J9795" s="81"/>
      <c r="K9795" s="81"/>
      <c r="L9795" s="81"/>
      <c r="M9795" s="81"/>
      <c r="N9795" s="81"/>
    </row>
    <row r="9796" spans="1:14" ht="14.25" customHeight="1" thickBot="1" x14ac:dyDescent="0.3">
      <c r="A9796" s="243"/>
      <c r="B9796" s="243"/>
      <c r="C9796" s="243"/>
      <c r="D9796" s="243"/>
      <c r="E9796" s="243"/>
      <c r="F9796" s="243"/>
      <c r="G9796" s="81"/>
      <c r="H9796" s="81"/>
      <c r="I9796" s="81"/>
      <c r="J9796" s="81"/>
      <c r="K9796" s="81"/>
      <c r="L9796" s="81"/>
      <c r="M9796" s="81"/>
      <c r="N9796" s="81"/>
    </row>
    <row r="9797" spans="1:14" ht="14.25" customHeight="1" x14ac:dyDescent="0.25">
      <c r="A9797" s="258"/>
      <c r="B9797" s="259"/>
      <c r="C9797" s="260"/>
      <c r="D9797" s="261"/>
      <c r="E9797" s="261"/>
      <c r="F9797" s="262"/>
      <c r="G9797" s="81"/>
      <c r="H9797" s="81"/>
      <c r="I9797" s="81"/>
      <c r="J9797" s="81"/>
      <c r="K9797" s="81"/>
      <c r="L9797" s="81"/>
      <c r="M9797" s="81"/>
      <c r="N9797" s="81"/>
    </row>
    <row r="9798" spans="1:14" ht="14.25" customHeight="1" x14ac:dyDescent="0.25">
      <c r="A9798" s="621"/>
      <c r="B9798" s="629"/>
      <c r="C9798" s="629"/>
      <c r="D9798" s="629"/>
      <c r="E9798" s="629"/>
      <c r="F9798" s="630"/>
      <c r="G9798" s="81"/>
      <c r="H9798" s="81"/>
      <c r="I9798" s="81"/>
      <c r="J9798" s="81"/>
      <c r="K9798" s="81"/>
      <c r="L9798" s="81"/>
      <c r="M9798" s="81"/>
      <c r="N9798" s="81"/>
    </row>
    <row r="9799" spans="1:14" ht="14.25" customHeight="1" x14ac:dyDescent="0.25">
      <c r="A9799" s="614" t="s">
        <v>561</v>
      </c>
      <c r="B9799" s="629"/>
      <c r="C9799" s="629"/>
      <c r="D9799" s="629"/>
      <c r="E9799" s="629"/>
      <c r="F9799" s="630"/>
      <c r="G9799" s="81"/>
      <c r="H9799" s="81"/>
      <c r="I9799" s="81"/>
      <c r="J9799" s="81"/>
      <c r="K9799" s="81"/>
      <c r="L9799" s="81"/>
      <c r="M9799" s="81"/>
      <c r="N9799" s="81"/>
    </row>
    <row r="9800" spans="1:14" ht="14.25" customHeight="1" thickBot="1" x14ac:dyDescent="0.3">
      <c r="A9800" s="617"/>
      <c r="B9800" s="631"/>
      <c r="C9800" s="631"/>
      <c r="D9800" s="631"/>
      <c r="E9800" s="631"/>
      <c r="F9800" s="632"/>
      <c r="G9800" s="81"/>
      <c r="H9800" s="81"/>
      <c r="I9800" s="81"/>
      <c r="J9800" s="81"/>
      <c r="K9800" s="81"/>
      <c r="L9800" s="81"/>
      <c r="M9800" s="81"/>
      <c r="N9800" s="81"/>
    </row>
    <row r="9801" spans="1:14" ht="14.25" customHeight="1" x14ac:dyDescent="0.25">
      <c r="A9801" s="192"/>
      <c r="B9801" s="192"/>
      <c r="C9801" s="194"/>
      <c r="D9801" s="194"/>
      <c r="E9801" s="194"/>
      <c r="F9801" s="194"/>
      <c r="G9801" s="81"/>
      <c r="H9801" s="81"/>
      <c r="I9801" s="81"/>
      <c r="J9801" s="81"/>
      <c r="K9801" s="81"/>
      <c r="L9801" s="81"/>
      <c r="M9801" s="81"/>
      <c r="N9801" s="81"/>
    </row>
    <row r="9802" spans="1:14" ht="36" customHeight="1" x14ac:dyDescent="0.25">
      <c r="A9802" s="473" t="s">
        <v>47</v>
      </c>
      <c r="B9802" s="620" t="s">
        <v>417</v>
      </c>
      <c r="C9802" s="629"/>
      <c r="D9802" s="629"/>
      <c r="E9802" s="629"/>
      <c r="F9802" s="629"/>
      <c r="G9802" s="81"/>
      <c r="H9802" s="81"/>
      <c r="I9802" s="81"/>
      <c r="J9802" s="81"/>
      <c r="K9802" s="81"/>
      <c r="L9802" s="81"/>
      <c r="M9802" s="81"/>
      <c r="N9802" s="81"/>
    </row>
    <row r="9803" spans="1:14" ht="14.25" customHeight="1" x14ac:dyDescent="0.25">
      <c r="A9803" s="191"/>
      <c r="B9803" s="191"/>
      <c r="C9803" s="191"/>
      <c r="D9803" s="191"/>
      <c r="E9803" s="191"/>
      <c r="F9803" s="191"/>
      <c r="G9803" s="81"/>
      <c r="H9803" s="81"/>
      <c r="I9803" s="81"/>
      <c r="J9803" s="81"/>
      <c r="K9803" s="81"/>
      <c r="L9803" s="81"/>
      <c r="M9803" s="81"/>
      <c r="N9803" s="81"/>
    </row>
    <row r="9804" spans="1:14" ht="14.25" customHeight="1" x14ac:dyDescent="0.25">
      <c r="A9804" s="192" t="s">
        <v>49</v>
      </c>
      <c r="B9804" s="193" t="s">
        <v>99</v>
      </c>
      <c r="C9804" s="194"/>
      <c r="D9804" s="194"/>
      <c r="E9804" s="194"/>
      <c r="F9804" s="195"/>
      <c r="G9804" s="81"/>
      <c r="H9804" s="81"/>
      <c r="I9804" s="81"/>
      <c r="J9804" s="81"/>
      <c r="K9804" s="81"/>
      <c r="L9804" s="81"/>
      <c r="M9804" s="81"/>
      <c r="N9804" s="81"/>
    </row>
    <row r="9805" spans="1:14" ht="14.25" customHeight="1" x14ac:dyDescent="0.25">
      <c r="A9805" s="192"/>
      <c r="B9805" s="196"/>
      <c r="C9805" s="194"/>
      <c r="D9805" s="194"/>
      <c r="E9805" s="194"/>
      <c r="F9805" s="195"/>
      <c r="G9805" s="81"/>
      <c r="H9805" s="81"/>
      <c r="I9805" s="81"/>
      <c r="J9805" s="81"/>
      <c r="K9805" s="81"/>
      <c r="L9805" s="81"/>
      <c r="M9805" s="81"/>
      <c r="N9805" s="81"/>
    </row>
    <row r="9806" spans="1:14" ht="14.25" customHeight="1" x14ac:dyDescent="0.25">
      <c r="A9806" s="197" t="s">
        <v>562</v>
      </c>
      <c r="B9806" s="198"/>
      <c r="C9806" s="193"/>
      <c r="D9806" s="193"/>
      <c r="E9806" s="193"/>
      <c r="F9806" s="193"/>
      <c r="G9806" s="81"/>
      <c r="H9806" s="81"/>
      <c r="I9806" s="81"/>
      <c r="J9806" s="81"/>
      <c r="K9806" s="81"/>
      <c r="L9806" s="81"/>
      <c r="M9806" s="81"/>
      <c r="N9806" s="81"/>
    </row>
    <row r="9807" spans="1:14" ht="14.25" customHeight="1" x14ac:dyDescent="0.25">
      <c r="A9807" s="199" t="s">
        <v>563</v>
      </c>
      <c r="B9807" s="474" t="s">
        <v>564</v>
      </c>
      <c r="C9807" s="474" t="s">
        <v>565</v>
      </c>
      <c r="D9807" s="474" t="s">
        <v>566</v>
      </c>
      <c r="E9807" s="474" t="s">
        <v>567</v>
      </c>
      <c r="F9807" s="474" t="s">
        <v>568</v>
      </c>
      <c r="G9807" s="81"/>
      <c r="H9807" s="81"/>
      <c r="I9807" s="81"/>
      <c r="J9807" s="81"/>
      <c r="K9807" s="81"/>
      <c r="L9807" s="81"/>
      <c r="M9807" s="81"/>
      <c r="N9807" s="81"/>
    </row>
    <row r="9808" spans="1:14" ht="14.25" customHeight="1" x14ac:dyDescent="0.25">
      <c r="A9808" s="475" t="s">
        <v>840</v>
      </c>
      <c r="B9808" s="476" t="s">
        <v>99</v>
      </c>
      <c r="C9808" s="477">
        <v>44709053</v>
      </c>
      <c r="D9808" s="478">
        <v>1</v>
      </c>
      <c r="E9808" s="479"/>
      <c r="F9808" s="477">
        <f>C9808*(D9808+(D9808*E9808))</f>
        <v>44709053</v>
      </c>
      <c r="G9808" s="81"/>
      <c r="H9808" s="81"/>
      <c r="I9808" s="81"/>
      <c r="J9808" s="81"/>
      <c r="K9808" s="81"/>
      <c r="L9808" s="81"/>
      <c r="M9808" s="81"/>
      <c r="N9808" s="81"/>
    </row>
    <row r="9809" spans="1:14" ht="14.25" customHeight="1" x14ac:dyDescent="0.25">
      <c r="A9809" s="475"/>
      <c r="B9809" s="476"/>
      <c r="C9809" s="477"/>
      <c r="D9809" s="481"/>
      <c r="E9809" s="479"/>
      <c r="F9809" s="477"/>
      <c r="G9809" s="81"/>
      <c r="H9809" s="81"/>
      <c r="I9809" s="81"/>
      <c r="J9809" s="81"/>
      <c r="K9809" s="81"/>
      <c r="L9809" s="81"/>
      <c r="M9809" s="81"/>
      <c r="N9809" s="81"/>
    </row>
    <row r="9810" spans="1:14" ht="14.25" customHeight="1" x14ac:dyDescent="0.25">
      <c r="A9810" s="475"/>
      <c r="B9810" s="476"/>
      <c r="C9810" s="477"/>
      <c r="D9810" s="478"/>
      <c r="E9810" s="479"/>
      <c r="F9810" s="477"/>
      <c r="G9810" s="81"/>
      <c r="H9810" s="81"/>
      <c r="I9810" s="81"/>
      <c r="J9810" s="81"/>
      <c r="K9810" s="81"/>
      <c r="L9810" s="81"/>
      <c r="M9810" s="81"/>
      <c r="N9810" s="81"/>
    </row>
    <row r="9811" spans="1:14" ht="14.25" customHeight="1" x14ac:dyDescent="0.25">
      <c r="A9811" s="475"/>
      <c r="B9811" s="476"/>
      <c r="C9811" s="477"/>
      <c r="D9811" s="478"/>
      <c r="E9811" s="479"/>
      <c r="F9811" s="477"/>
      <c r="G9811" s="81"/>
      <c r="H9811" s="81"/>
      <c r="I9811" s="81"/>
      <c r="J9811" s="81"/>
      <c r="K9811" s="81"/>
      <c r="L9811" s="81"/>
      <c r="M9811" s="81"/>
      <c r="N9811" s="81"/>
    </row>
    <row r="9812" spans="1:14" ht="14.25" customHeight="1" x14ac:dyDescent="0.25">
      <c r="A9812" s="475"/>
      <c r="B9812" s="476"/>
      <c r="C9812" s="483"/>
      <c r="D9812" s="484"/>
      <c r="E9812" s="485"/>
      <c r="F9812" s="483"/>
      <c r="G9812" s="81"/>
      <c r="H9812" s="81"/>
      <c r="I9812" s="81"/>
      <c r="J9812" s="81"/>
      <c r="K9812" s="81"/>
      <c r="L9812" s="81"/>
      <c r="M9812" s="81"/>
      <c r="N9812" s="81"/>
    </row>
    <row r="9813" spans="1:14" ht="14.25" customHeight="1" x14ac:dyDescent="0.25">
      <c r="A9813" s="199" t="s">
        <v>548</v>
      </c>
      <c r="B9813" s="199"/>
      <c r="C9813" s="486"/>
      <c r="D9813" s="487"/>
      <c r="E9813" s="488"/>
      <c r="F9813" s="489">
        <f>SUM(F9808:F9812)</f>
        <v>44709053</v>
      </c>
      <c r="G9813" s="81"/>
      <c r="H9813" s="81"/>
      <c r="I9813" s="81"/>
      <c r="J9813" s="81"/>
      <c r="K9813" s="81"/>
      <c r="L9813" s="81"/>
      <c r="M9813" s="81"/>
      <c r="N9813" s="81"/>
    </row>
    <row r="9814" spans="1:14" ht="14.25" customHeight="1" x14ac:dyDescent="0.25">
      <c r="A9814" s="192"/>
      <c r="B9814" s="192"/>
      <c r="C9814" s="215"/>
      <c r="D9814" s="215"/>
      <c r="E9814" s="216"/>
      <c r="F9814" s="215"/>
      <c r="G9814" s="81"/>
      <c r="H9814" s="81"/>
      <c r="I9814" s="81"/>
      <c r="J9814" s="81"/>
      <c r="K9814" s="81"/>
      <c r="L9814" s="81"/>
      <c r="M9814" s="81"/>
      <c r="N9814" s="81"/>
    </row>
    <row r="9815" spans="1:14" ht="14.25" customHeight="1" x14ac:dyDescent="0.25">
      <c r="A9815" s="198" t="s">
        <v>573</v>
      </c>
      <c r="B9815" s="198"/>
      <c r="C9815" s="193"/>
      <c r="D9815" s="193"/>
      <c r="E9815" s="193"/>
      <c r="F9815" s="193"/>
      <c r="G9815" s="81"/>
      <c r="H9815" s="81"/>
      <c r="I9815" s="81"/>
      <c r="J9815" s="81"/>
      <c r="K9815" s="81"/>
      <c r="L9815" s="81"/>
      <c r="M9815" s="81"/>
      <c r="N9815" s="81"/>
    </row>
    <row r="9816" spans="1:14" ht="14.25" customHeight="1" x14ac:dyDescent="0.25">
      <c r="A9816" s="585" t="s">
        <v>563</v>
      </c>
      <c r="B9816" s="586"/>
      <c r="C9816" s="587"/>
      <c r="D9816" s="474" t="s">
        <v>574</v>
      </c>
      <c r="E9816" s="474" t="s">
        <v>575</v>
      </c>
      <c r="F9816" s="474" t="s">
        <v>568</v>
      </c>
      <c r="G9816" s="81"/>
      <c r="H9816" s="81"/>
      <c r="I9816" s="81"/>
      <c r="J9816" s="81"/>
      <c r="K9816" s="81"/>
      <c r="L9816" s="81"/>
      <c r="M9816" s="81"/>
      <c r="N9816" s="81"/>
    </row>
    <row r="9817" spans="1:14" ht="14.25" customHeight="1" x14ac:dyDescent="0.25">
      <c r="A9817" s="588" t="s">
        <v>577</v>
      </c>
      <c r="B9817" s="586"/>
      <c r="C9817" s="587"/>
      <c r="D9817" s="490"/>
      <c r="E9817" s="484"/>
      <c r="F9817" s="483">
        <f>+F9830*5%</f>
        <v>241473.66666666666</v>
      </c>
      <c r="G9817" s="81"/>
      <c r="H9817" s="81"/>
      <c r="I9817" s="81"/>
      <c r="J9817" s="81"/>
      <c r="K9817" s="81"/>
      <c r="L9817" s="81"/>
      <c r="M9817" s="81"/>
      <c r="N9817" s="81"/>
    </row>
    <row r="9818" spans="1:14" ht="14.25" customHeight="1" x14ac:dyDescent="0.25">
      <c r="A9818" s="588"/>
      <c r="B9818" s="586"/>
      <c r="C9818" s="587"/>
      <c r="D9818" s="505"/>
      <c r="E9818" s="484"/>
      <c r="F9818" s="483"/>
      <c r="G9818" s="81"/>
      <c r="H9818" s="81"/>
      <c r="I9818" s="81"/>
      <c r="J9818" s="81"/>
      <c r="K9818" s="81"/>
      <c r="L9818" s="81"/>
      <c r="M9818" s="81"/>
      <c r="N9818" s="81"/>
    </row>
    <row r="9819" spans="1:14" ht="14.25" customHeight="1" x14ac:dyDescent="0.25">
      <c r="A9819" s="588"/>
      <c r="B9819" s="586"/>
      <c r="C9819" s="587"/>
      <c r="D9819" s="505"/>
      <c r="E9819" s="484"/>
      <c r="F9819" s="483"/>
      <c r="G9819" s="81"/>
      <c r="H9819" s="81"/>
      <c r="I9819" s="81"/>
      <c r="J9819" s="81"/>
      <c r="K9819" s="81"/>
      <c r="L9819" s="81"/>
      <c r="M9819" s="81"/>
      <c r="N9819" s="81"/>
    </row>
    <row r="9820" spans="1:14" ht="14.25" customHeight="1" x14ac:dyDescent="0.25">
      <c r="A9820" s="588"/>
      <c r="B9820" s="586"/>
      <c r="C9820" s="587"/>
      <c r="D9820" s="505"/>
      <c r="E9820" s="484"/>
      <c r="F9820" s="483"/>
      <c r="G9820" s="81"/>
      <c r="H9820" s="81"/>
      <c r="I9820" s="81"/>
      <c r="J9820" s="81"/>
      <c r="K9820" s="81"/>
      <c r="L9820" s="81"/>
      <c r="M9820" s="81"/>
      <c r="N9820" s="81"/>
    </row>
    <row r="9821" spans="1:14" ht="14.25" customHeight="1" x14ac:dyDescent="0.25">
      <c r="A9821" s="589"/>
      <c r="B9821" s="586"/>
      <c r="C9821" s="587"/>
      <c r="D9821" s="491"/>
      <c r="E9821" s="484"/>
      <c r="F9821" s="483"/>
      <c r="G9821" s="81"/>
      <c r="H9821" s="81"/>
      <c r="I9821" s="81"/>
      <c r="J9821" s="81"/>
      <c r="K9821" s="81"/>
      <c r="L9821" s="81"/>
      <c r="M9821" s="81"/>
      <c r="N9821" s="81"/>
    </row>
    <row r="9822" spans="1:14" ht="14.25" customHeight="1" x14ac:dyDescent="0.25">
      <c r="A9822" s="585" t="s">
        <v>548</v>
      </c>
      <c r="B9822" s="586"/>
      <c r="C9822" s="587"/>
      <c r="D9822" s="487"/>
      <c r="E9822" s="487"/>
      <c r="F9822" s="489">
        <f>SUM(F9817:F9821)</f>
        <v>241473.66666666666</v>
      </c>
      <c r="G9822" s="81"/>
      <c r="H9822" s="81"/>
      <c r="I9822" s="81"/>
      <c r="J9822" s="81"/>
      <c r="K9822" s="81"/>
      <c r="L9822" s="81"/>
      <c r="M9822" s="81"/>
      <c r="N9822" s="81"/>
    </row>
    <row r="9823" spans="1:14" ht="14.25" customHeight="1" x14ac:dyDescent="0.25">
      <c r="A9823" s="192"/>
      <c r="B9823" s="192"/>
      <c r="C9823" s="194"/>
      <c r="D9823" s="215"/>
      <c r="E9823" s="215"/>
      <c r="F9823" s="215"/>
      <c r="G9823" s="81"/>
      <c r="H9823" s="81"/>
      <c r="I9823" s="81"/>
      <c r="J9823" s="81"/>
      <c r="K9823" s="81"/>
      <c r="L9823" s="81"/>
      <c r="M9823" s="81"/>
      <c r="N9823" s="81"/>
    </row>
    <row r="9824" spans="1:14" ht="14.25" customHeight="1" x14ac:dyDescent="0.25">
      <c r="A9824" s="198" t="s">
        <v>578</v>
      </c>
      <c r="B9824" s="198"/>
      <c r="C9824" s="193"/>
      <c r="D9824" s="223"/>
      <c r="E9824" s="223"/>
      <c r="F9824" s="223"/>
      <c r="G9824" s="81"/>
      <c r="H9824" s="81"/>
      <c r="I9824" s="81"/>
      <c r="J9824" s="81"/>
      <c r="K9824" s="81"/>
      <c r="L9824" s="81"/>
      <c r="M9824" s="81"/>
      <c r="N9824" s="81"/>
    </row>
    <row r="9825" spans="1:14" ht="38.25" x14ac:dyDescent="0.25">
      <c r="A9825" s="224" t="s">
        <v>563</v>
      </c>
      <c r="B9825" s="492" t="s">
        <v>579</v>
      </c>
      <c r="C9825" s="492" t="s">
        <v>580</v>
      </c>
      <c r="D9825" s="493" t="s">
        <v>581</v>
      </c>
      <c r="E9825" s="493" t="s">
        <v>575</v>
      </c>
      <c r="F9825" s="493" t="s">
        <v>568</v>
      </c>
      <c r="G9825" s="81"/>
      <c r="H9825" s="81"/>
      <c r="I9825" s="81"/>
      <c r="J9825" s="81"/>
      <c r="K9825" s="81"/>
      <c r="L9825" s="81"/>
      <c r="M9825" s="81"/>
      <c r="N9825" s="81"/>
    </row>
    <row r="9826" spans="1:14" ht="14.25" customHeight="1" x14ac:dyDescent="0.25">
      <c r="A9826" s="494" t="s">
        <v>916</v>
      </c>
      <c r="B9826" s="495">
        <v>1</v>
      </c>
      <c r="C9826" s="477">
        <v>35956.800000000003</v>
      </c>
      <c r="D9826" s="477">
        <f t="shared" ref="D9826:D9827" si="487">+C9826*1.7</f>
        <v>61126.560000000005</v>
      </c>
      <c r="E9826" s="484">
        <v>3.3000000000000002E-2</v>
      </c>
      <c r="F9826" s="483">
        <f t="shared" ref="F9826:F9827" si="488">+B9826*(D9826)/E9826</f>
        <v>1852320</v>
      </c>
      <c r="G9826" s="81"/>
      <c r="H9826" s="81"/>
      <c r="I9826" s="81"/>
      <c r="J9826" s="81"/>
      <c r="K9826" s="81"/>
      <c r="L9826" s="81"/>
      <c r="M9826" s="81"/>
      <c r="N9826" s="81"/>
    </row>
    <row r="9827" spans="1:14" ht="14.25" customHeight="1" x14ac:dyDescent="0.25">
      <c r="A9827" s="494" t="s">
        <v>917</v>
      </c>
      <c r="B9827" s="495">
        <v>1</v>
      </c>
      <c r="C9827" s="477">
        <v>57791.8</v>
      </c>
      <c r="D9827" s="477">
        <f t="shared" si="487"/>
        <v>98246.06</v>
      </c>
      <c r="E9827" s="484">
        <f>E9826</f>
        <v>3.3000000000000002E-2</v>
      </c>
      <c r="F9827" s="483">
        <f t="shared" si="488"/>
        <v>2977153.333333333</v>
      </c>
      <c r="G9827" s="81"/>
      <c r="H9827" s="81"/>
      <c r="I9827" s="81"/>
      <c r="J9827" s="81"/>
      <c r="K9827" s="81"/>
      <c r="L9827" s="81"/>
      <c r="M9827" s="81"/>
      <c r="N9827" s="81"/>
    </row>
    <row r="9828" spans="1:14" ht="14.25" customHeight="1" x14ac:dyDescent="0.25">
      <c r="A9828" s="494"/>
      <c r="B9828" s="495"/>
      <c r="C9828" s="477"/>
      <c r="D9828" s="477"/>
      <c r="E9828" s="484"/>
      <c r="F9828" s="483"/>
      <c r="G9828" s="81"/>
      <c r="H9828" s="81"/>
      <c r="I9828" s="81"/>
      <c r="J9828" s="81"/>
      <c r="K9828" s="81"/>
      <c r="L9828" s="81"/>
      <c r="M9828" s="81"/>
      <c r="N9828" s="81"/>
    </row>
    <row r="9829" spans="1:14" ht="14.25" customHeight="1" x14ac:dyDescent="0.25">
      <c r="A9829" s="494"/>
      <c r="B9829" s="495"/>
      <c r="C9829" s="477"/>
      <c r="D9829" s="477"/>
      <c r="E9829" s="496"/>
      <c r="F9829" s="483"/>
      <c r="G9829" s="81"/>
      <c r="H9829" s="81"/>
      <c r="I9829" s="81"/>
      <c r="J9829" s="81"/>
      <c r="K9829" s="81"/>
      <c r="L9829" s="81"/>
      <c r="M9829" s="81"/>
      <c r="N9829" s="81"/>
    </row>
    <row r="9830" spans="1:14" ht="14.25" customHeight="1" x14ac:dyDescent="0.25">
      <c r="A9830" s="199" t="s">
        <v>548</v>
      </c>
      <c r="B9830" s="497"/>
      <c r="C9830" s="487"/>
      <c r="D9830" s="487"/>
      <c r="E9830" s="487"/>
      <c r="F9830" s="489">
        <f>SUM(F9826:F9829)</f>
        <v>4829473.333333333</v>
      </c>
      <c r="G9830" s="81"/>
      <c r="H9830" s="81"/>
      <c r="I9830" s="81"/>
      <c r="J9830" s="81"/>
      <c r="K9830" s="81"/>
      <c r="L9830" s="81"/>
      <c r="M9830" s="81"/>
      <c r="N9830" s="81"/>
    </row>
    <row r="9831" spans="1:14" ht="14.25" customHeight="1" x14ac:dyDescent="0.25">
      <c r="A9831" s="198"/>
      <c r="B9831" s="231"/>
      <c r="C9831" s="223"/>
      <c r="D9831" s="223"/>
      <c r="E9831" s="223"/>
      <c r="F9831" s="223"/>
      <c r="G9831" s="81"/>
      <c r="H9831" s="81"/>
      <c r="I9831" s="81"/>
      <c r="J9831" s="81"/>
      <c r="K9831" s="81"/>
      <c r="L9831" s="81"/>
      <c r="M9831" s="81"/>
      <c r="N9831" s="81"/>
    </row>
    <row r="9832" spans="1:14" ht="14.25" customHeight="1" x14ac:dyDescent="0.25">
      <c r="A9832" s="197" t="s">
        <v>583</v>
      </c>
      <c r="B9832" s="198"/>
      <c r="C9832" s="193"/>
      <c r="D9832" s="193"/>
      <c r="E9832" s="193" t="s">
        <v>584</v>
      </c>
      <c r="F9832" s="193"/>
      <c r="G9832" s="81"/>
      <c r="H9832" s="81"/>
      <c r="I9832" s="81"/>
      <c r="J9832" s="81"/>
      <c r="K9832" s="81"/>
      <c r="L9832" s="81"/>
      <c r="M9832" s="81"/>
      <c r="N9832" s="81"/>
    </row>
    <row r="9833" spans="1:14" ht="14.25" customHeight="1" x14ac:dyDescent="0.25">
      <c r="A9833" s="199" t="s">
        <v>563</v>
      </c>
      <c r="B9833" s="474" t="s">
        <v>564</v>
      </c>
      <c r="C9833" s="474" t="s">
        <v>585</v>
      </c>
      <c r="D9833" s="474" t="s">
        <v>586</v>
      </c>
      <c r="E9833" s="492" t="s">
        <v>587</v>
      </c>
      <c r="F9833" s="474" t="s">
        <v>568</v>
      </c>
      <c r="G9833" s="81"/>
      <c r="H9833" s="81"/>
      <c r="I9833" s="81"/>
      <c r="J9833" s="81"/>
      <c r="K9833" s="81"/>
      <c r="L9833" s="81"/>
      <c r="M9833" s="81"/>
      <c r="N9833" s="81"/>
    </row>
    <row r="9834" spans="1:14" ht="14.25" customHeight="1" x14ac:dyDescent="0.25">
      <c r="A9834" s="480"/>
      <c r="B9834" s="476"/>
      <c r="C9834" s="477"/>
      <c r="D9834" s="498"/>
      <c r="E9834" s="484"/>
      <c r="F9834" s="486">
        <f>+C9834*D9834*E9834</f>
        <v>0</v>
      </c>
      <c r="G9834" s="81"/>
      <c r="H9834" s="81"/>
      <c r="I9834" s="81"/>
      <c r="J9834" s="81"/>
      <c r="K9834" s="81"/>
      <c r="L9834" s="81"/>
      <c r="M9834" s="81"/>
      <c r="N9834" s="81"/>
    </row>
    <row r="9835" spans="1:14" ht="14.25" customHeight="1" x14ac:dyDescent="0.25">
      <c r="A9835" s="480"/>
      <c r="B9835" s="476"/>
      <c r="C9835" s="484"/>
      <c r="D9835" s="484"/>
      <c r="E9835" s="485"/>
      <c r="F9835" s="486"/>
      <c r="G9835" s="81"/>
      <c r="H9835" s="81"/>
      <c r="I9835" s="81"/>
      <c r="J9835" s="81"/>
      <c r="K9835" s="81"/>
      <c r="L9835" s="81"/>
      <c r="M9835" s="81"/>
      <c r="N9835" s="81"/>
    </row>
    <row r="9836" spans="1:14" ht="14.25" customHeight="1" x14ac:dyDescent="0.25">
      <c r="A9836" s="199" t="s">
        <v>548</v>
      </c>
      <c r="B9836" s="474"/>
      <c r="C9836" s="487"/>
      <c r="D9836" s="487"/>
      <c r="E9836" s="488"/>
      <c r="F9836" s="489">
        <f>SUM(F9834:F9835)</f>
        <v>0</v>
      </c>
      <c r="G9836" s="81"/>
      <c r="H9836" s="81"/>
      <c r="I9836" s="81"/>
      <c r="J9836" s="81"/>
      <c r="K9836" s="81"/>
      <c r="L9836" s="81"/>
      <c r="M9836" s="81"/>
      <c r="N9836" s="81"/>
    </row>
    <row r="9837" spans="1:14" ht="14.25" customHeight="1" x14ac:dyDescent="0.25">
      <c r="A9837" s="192"/>
      <c r="B9837" s="194"/>
      <c r="C9837" s="215"/>
      <c r="D9837" s="215"/>
      <c r="E9837" s="216"/>
      <c r="F9837" s="215"/>
      <c r="G9837" s="81"/>
      <c r="H9837" s="81"/>
      <c r="I9837" s="81"/>
      <c r="J9837" s="81"/>
      <c r="K9837" s="81"/>
      <c r="L9837" s="81"/>
      <c r="M9837" s="81"/>
      <c r="N9837" s="81"/>
    </row>
    <row r="9838" spans="1:14" ht="14.25" customHeight="1" x14ac:dyDescent="0.25">
      <c r="A9838" s="192"/>
      <c r="B9838" s="194"/>
      <c r="C9838" s="215"/>
      <c r="D9838" s="215"/>
      <c r="E9838" s="216"/>
      <c r="F9838" s="215"/>
      <c r="G9838" s="81"/>
      <c r="H9838" s="81"/>
      <c r="I9838" s="81"/>
      <c r="J9838" s="81"/>
      <c r="K9838" s="81"/>
      <c r="L9838" s="81"/>
      <c r="M9838" s="81"/>
      <c r="N9838" s="81"/>
    </row>
    <row r="9839" spans="1:14" ht="14.25" customHeight="1" x14ac:dyDescent="0.25">
      <c r="A9839" s="590" t="s">
        <v>588</v>
      </c>
      <c r="B9839" s="586"/>
      <c r="C9839" s="586"/>
      <c r="D9839" s="586"/>
      <c r="E9839" s="587"/>
      <c r="F9839" s="499">
        <f>ROUND(F9813+F9822+F9830+F9836,0)</f>
        <v>49780000</v>
      </c>
      <c r="G9839" s="81"/>
      <c r="H9839" s="81"/>
      <c r="I9839" s="81"/>
      <c r="J9839" s="81"/>
      <c r="K9839" s="81"/>
      <c r="L9839" s="81"/>
      <c r="M9839" s="81"/>
      <c r="N9839" s="81"/>
    </row>
    <row r="9840" spans="1:14" ht="14.25" customHeight="1" x14ac:dyDescent="0.25">
      <c r="A9840" s="590" t="s">
        <v>589</v>
      </c>
      <c r="B9840" s="586"/>
      <c r="C9840" s="586"/>
      <c r="D9840" s="586"/>
      <c r="E9840" s="587"/>
      <c r="F9840" s="500"/>
      <c r="G9840" s="81"/>
      <c r="H9840" s="81"/>
      <c r="I9840" s="81"/>
      <c r="J9840" s="81"/>
      <c r="K9840" s="81"/>
      <c r="L9840" s="81"/>
      <c r="M9840" s="81"/>
      <c r="N9840" s="81"/>
    </row>
    <row r="9841" spans="1:14" ht="14.25" customHeight="1" x14ac:dyDescent="0.25">
      <c r="A9841" s="300" t="s">
        <v>556</v>
      </c>
      <c r="B9841" s="506"/>
      <c r="C9841" s="506"/>
      <c r="D9841" s="506"/>
      <c r="E9841" s="507"/>
      <c r="F9841" s="501"/>
      <c r="G9841" s="81"/>
      <c r="H9841" s="81"/>
      <c r="I9841" s="81"/>
      <c r="J9841" s="81"/>
      <c r="K9841" s="81"/>
      <c r="L9841" s="81"/>
      <c r="M9841" s="81"/>
      <c r="N9841" s="81"/>
    </row>
    <row r="9842" spans="1:14" ht="14.25" customHeight="1" x14ac:dyDescent="0.25">
      <c r="A9842" s="301"/>
      <c r="B9842" s="502"/>
      <c r="C9842" s="502"/>
      <c r="D9842" s="502"/>
      <c r="E9842" s="502"/>
      <c r="F9842" s="503"/>
      <c r="G9842" s="81"/>
      <c r="H9842" s="81"/>
      <c r="I9842" s="81"/>
      <c r="J9842" s="81"/>
      <c r="K9842" s="81"/>
      <c r="L9842" s="81"/>
      <c r="M9842" s="81"/>
      <c r="N9842" s="81"/>
    </row>
    <row r="9843" spans="1:14" ht="14.25" customHeight="1" x14ac:dyDescent="0.25">
      <c r="A9843" s="301"/>
      <c r="B9843" s="502"/>
      <c r="C9843" s="502"/>
      <c r="D9843" s="502"/>
      <c r="E9843" s="502"/>
      <c r="F9843" s="503"/>
      <c r="G9843" s="81"/>
      <c r="H9843" s="81"/>
      <c r="I9843" s="81"/>
      <c r="J9843" s="81"/>
      <c r="K9843" s="81"/>
      <c r="L9843" s="81"/>
      <c r="M9843" s="81"/>
      <c r="N9843" s="81"/>
    </row>
    <row r="9844" spans="1:14" ht="14.25" customHeight="1" x14ac:dyDescent="0.25">
      <c r="A9844" s="301"/>
      <c r="B9844" s="502"/>
      <c r="C9844" s="502"/>
      <c r="D9844" s="502"/>
      <c r="E9844" s="502"/>
      <c r="F9844" s="503"/>
      <c r="G9844" s="81"/>
      <c r="H9844" s="117"/>
      <c r="I9844" s="81"/>
      <c r="J9844" s="81"/>
      <c r="K9844" s="81"/>
      <c r="L9844" s="81"/>
      <c r="M9844" s="81"/>
      <c r="N9844" s="81"/>
    </row>
    <row r="9845" spans="1:14" ht="14.25" customHeight="1" x14ac:dyDescent="0.25">
      <c r="A9845" s="243"/>
      <c r="B9845" s="243"/>
      <c r="C9845" s="504"/>
      <c r="D9845" s="243"/>
      <c r="E9845" s="243"/>
      <c r="F9845" s="243"/>
      <c r="G9845" s="81"/>
      <c r="H9845" s="81"/>
      <c r="I9845" s="81"/>
      <c r="J9845" s="81"/>
      <c r="K9845" s="81"/>
      <c r="L9845" s="81"/>
      <c r="M9845" s="81"/>
      <c r="N9845" s="81"/>
    </row>
    <row r="9846" spans="1:14" ht="14.25" customHeight="1" x14ac:dyDescent="0.25">
      <c r="A9846" s="243"/>
      <c r="B9846" s="243"/>
      <c r="C9846" s="504"/>
      <c r="D9846" s="243"/>
      <c r="E9846" s="243"/>
      <c r="F9846" s="243"/>
      <c r="G9846" s="81"/>
      <c r="H9846" s="81"/>
      <c r="I9846" s="81"/>
      <c r="J9846" s="81"/>
      <c r="K9846" s="81"/>
      <c r="L9846" s="81"/>
      <c r="M9846" s="81"/>
      <c r="N9846" s="81"/>
    </row>
    <row r="9847" spans="1:14" ht="14.25" customHeight="1" x14ac:dyDescent="0.25">
      <c r="A9847" s="243"/>
      <c r="B9847" s="243"/>
      <c r="C9847" s="504"/>
      <c r="D9847" s="243"/>
      <c r="E9847" s="243"/>
      <c r="F9847" s="243"/>
      <c r="G9847" s="81"/>
      <c r="H9847" s="81"/>
      <c r="I9847" s="81"/>
      <c r="J9847" s="81"/>
      <c r="K9847" s="81"/>
      <c r="L9847" s="81"/>
      <c r="M9847" s="81"/>
      <c r="N9847" s="81"/>
    </row>
    <row r="9848" spans="1:14" ht="14.25" customHeight="1" x14ac:dyDescent="0.25">
      <c r="A9848" s="243"/>
      <c r="B9848" s="243"/>
      <c r="C9848" s="504"/>
      <c r="D9848" s="243"/>
      <c r="E9848" s="243"/>
      <c r="F9848" s="243"/>
      <c r="G9848" s="81"/>
      <c r="H9848" s="81"/>
      <c r="I9848" s="81"/>
      <c r="J9848" s="81"/>
      <c r="K9848" s="81"/>
      <c r="L9848" s="81"/>
      <c r="M9848" s="81"/>
      <c r="N9848" s="81"/>
    </row>
    <row r="9849" spans="1:14" ht="14.25" customHeight="1" x14ac:dyDescent="0.25">
      <c r="A9849" s="243"/>
      <c r="B9849" s="243"/>
      <c r="C9849" s="504"/>
      <c r="D9849" s="243"/>
      <c r="E9849" s="243"/>
      <c r="F9849" s="243"/>
      <c r="G9849" s="81"/>
      <c r="H9849" s="81"/>
      <c r="I9849" s="81"/>
      <c r="J9849" s="81"/>
      <c r="K9849" s="81"/>
      <c r="L9849" s="81"/>
      <c r="M9849" s="81"/>
      <c r="N9849" s="81"/>
    </row>
    <row r="9850" spans="1:14" ht="14.25" customHeight="1" x14ac:dyDescent="0.25">
      <c r="A9850" s="243"/>
      <c r="B9850" s="243"/>
      <c r="C9850" s="504"/>
      <c r="D9850" s="243"/>
      <c r="E9850" s="243"/>
      <c r="F9850" s="243"/>
      <c r="G9850" s="81"/>
      <c r="H9850" s="81"/>
      <c r="I9850" s="81"/>
      <c r="J9850" s="81"/>
      <c r="K9850" s="81"/>
      <c r="L9850" s="81"/>
      <c r="M9850" s="81"/>
      <c r="N9850" s="81"/>
    </row>
    <row r="9851" spans="1:14" ht="14.25" customHeight="1" x14ac:dyDescent="0.25">
      <c r="A9851" s="243"/>
      <c r="B9851" s="243"/>
      <c r="C9851" s="504"/>
      <c r="D9851" s="243"/>
      <c r="E9851" s="243"/>
      <c r="F9851" s="243"/>
      <c r="G9851" s="81"/>
      <c r="H9851" s="81"/>
      <c r="I9851" s="81"/>
      <c r="J9851" s="81"/>
      <c r="K9851" s="81"/>
      <c r="L9851" s="81"/>
      <c r="M9851" s="81"/>
      <c r="N9851" s="81"/>
    </row>
    <row r="9852" spans="1:14" ht="14.25" customHeight="1" x14ac:dyDescent="0.25">
      <c r="A9852" s="243"/>
      <c r="B9852" s="243"/>
      <c r="C9852" s="504"/>
      <c r="D9852" s="243"/>
      <c r="E9852" s="243"/>
      <c r="F9852" s="243"/>
      <c r="G9852" s="81"/>
      <c r="H9852" s="81"/>
      <c r="I9852" s="81"/>
      <c r="J9852" s="81"/>
      <c r="K9852" s="81"/>
      <c r="L9852" s="81"/>
      <c r="M9852" s="81"/>
      <c r="N9852" s="81"/>
    </row>
    <row r="9853" spans="1:14" ht="14.25" customHeight="1" x14ac:dyDescent="0.25">
      <c r="A9853" s="243"/>
      <c r="B9853" s="243"/>
      <c r="C9853" s="504"/>
      <c r="D9853" s="243"/>
      <c r="E9853" s="243"/>
      <c r="F9853" s="243"/>
      <c r="G9853" s="81"/>
      <c r="H9853" s="81"/>
      <c r="I9853" s="81"/>
      <c r="J9853" s="81"/>
      <c r="K9853" s="81"/>
      <c r="L9853" s="81"/>
      <c r="M9853" s="81"/>
      <c r="N9853" s="81"/>
    </row>
    <row r="9854" spans="1:14" ht="14.25" customHeight="1" x14ac:dyDescent="0.25">
      <c r="A9854" s="243"/>
      <c r="B9854" s="243"/>
      <c r="C9854" s="504"/>
      <c r="D9854" s="243"/>
      <c r="E9854" s="243"/>
      <c r="F9854" s="243"/>
      <c r="G9854" s="81"/>
      <c r="H9854" s="81"/>
      <c r="I9854" s="81"/>
      <c r="J9854" s="81"/>
      <c r="K9854" s="81"/>
      <c r="L9854" s="81"/>
      <c r="M9854" s="81"/>
      <c r="N9854" s="81"/>
    </row>
    <row r="9855" spans="1:14" ht="14.25" customHeight="1" x14ac:dyDescent="0.25">
      <c r="A9855" s="243"/>
      <c r="B9855" s="243"/>
      <c r="C9855" s="504"/>
      <c r="D9855" s="243"/>
      <c r="E9855" s="243"/>
      <c r="F9855" s="243"/>
      <c r="G9855" s="81"/>
      <c r="H9855" s="81"/>
      <c r="I9855" s="81"/>
      <c r="J9855" s="81"/>
      <c r="K9855" s="81"/>
      <c r="L9855" s="81"/>
      <c r="M9855" s="81"/>
      <c r="N9855" s="81"/>
    </row>
    <row r="9856" spans="1:14" ht="14.25" customHeight="1" x14ac:dyDescent="0.25">
      <c r="A9856" s="301"/>
      <c r="B9856" s="502"/>
      <c r="C9856" s="502"/>
      <c r="D9856" s="502"/>
      <c r="E9856" s="502"/>
      <c r="F9856" s="503"/>
      <c r="G9856" s="81"/>
      <c r="H9856" s="81"/>
      <c r="I9856" s="81"/>
      <c r="J9856" s="81"/>
      <c r="K9856" s="81"/>
      <c r="L9856" s="81"/>
      <c r="M9856" s="81"/>
      <c r="N9856" s="81"/>
    </row>
    <row r="9857" spans="1:14" ht="14.25" customHeight="1" thickBot="1" x14ac:dyDescent="0.3">
      <c r="A9857" s="243"/>
      <c r="B9857" s="243"/>
      <c r="C9857" s="243"/>
      <c r="D9857" s="243"/>
      <c r="E9857" s="243"/>
      <c r="F9857" s="243"/>
      <c r="G9857" s="81"/>
      <c r="H9857" s="81"/>
      <c r="I9857" s="81"/>
      <c r="J9857" s="81"/>
      <c r="K9857" s="81"/>
      <c r="L9857" s="81"/>
      <c r="M9857" s="81"/>
      <c r="N9857" s="81"/>
    </row>
    <row r="9858" spans="1:14" ht="14.25" customHeight="1" x14ac:dyDescent="0.25">
      <c r="A9858" s="258"/>
      <c r="B9858" s="259"/>
      <c r="C9858" s="260"/>
      <c r="D9858" s="261"/>
      <c r="E9858" s="261"/>
      <c r="F9858" s="262"/>
      <c r="G9858" s="81"/>
      <c r="H9858" s="81"/>
      <c r="I9858" s="81"/>
      <c r="J9858" s="81"/>
      <c r="K9858" s="81"/>
      <c r="L9858" s="81"/>
      <c r="M9858" s="81"/>
      <c r="N9858" s="81"/>
    </row>
    <row r="9859" spans="1:14" ht="14.25" customHeight="1" x14ac:dyDescent="0.25">
      <c r="A9859" s="621"/>
      <c r="B9859" s="629"/>
      <c r="C9859" s="629"/>
      <c r="D9859" s="629"/>
      <c r="E9859" s="629"/>
      <c r="F9859" s="630"/>
      <c r="G9859" s="81"/>
      <c r="H9859" s="81"/>
      <c r="I9859" s="81"/>
      <c r="J9859" s="81"/>
      <c r="K9859" s="81"/>
      <c r="L9859" s="81"/>
      <c r="M9859" s="81"/>
      <c r="N9859" s="81"/>
    </row>
    <row r="9860" spans="1:14" ht="14.25" customHeight="1" x14ac:dyDescent="0.25">
      <c r="A9860" s="614" t="s">
        <v>561</v>
      </c>
      <c r="B9860" s="629"/>
      <c r="C9860" s="629"/>
      <c r="D9860" s="629"/>
      <c r="E9860" s="629"/>
      <c r="F9860" s="630"/>
      <c r="G9860" s="81"/>
      <c r="H9860" s="81"/>
      <c r="I9860" s="81"/>
      <c r="J9860" s="81"/>
      <c r="K9860" s="81"/>
      <c r="L9860" s="81"/>
      <c r="M9860" s="81"/>
      <c r="N9860" s="81"/>
    </row>
    <row r="9861" spans="1:14" ht="26.25" customHeight="1" thickBot="1" x14ac:dyDescent="0.3">
      <c r="A9861" s="617"/>
      <c r="B9861" s="631"/>
      <c r="C9861" s="631"/>
      <c r="D9861" s="631"/>
      <c r="E9861" s="631"/>
      <c r="F9861" s="632"/>
      <c r="G9861" s="81"/>
      <c r="H9861" s="81"/>
      <c r="I9861" s="81"/>
      <c r="J9861" s="81"/>
      <c r="K9861" s="81"/>
      <c r="L9861" s="81"/>
      <c r="M9861" s="81"/>
      <c r="N9861" s="81"/>
    </row>
    <row r="9862" spans="1:14" ht="14.25" customHeight="1" x14ac:dyDescent="0.25">
      <c r="A9862" s="192"/>
      <c r="B9862" s="192"/>
      <c r="C9862" s="194"/>
      <c r="D9862" s="194"/>
      <c r="E9862" s="194"/>
      <c r="F9862" s="194"/>
      <c r="G9862" s="81"/>
      <c r="H9862" s="81"/>
      <c r="I9862" s="81"/>
      <c r="J9862" s="81"/>
      <c r="K9862" s="81"/>
      <c r="L9862" s="81"/>
      <c r="M9862" s="81"/>
      <c r="N9862" s="81"/>
    </row>
    <row r="9863" spans="1:14" ht="14.25" customHeight="1" x14ac:dyDescent="0.25">
      <c r="A9863" s="473" t="s">
        <v>47</v>
      </c>
      <c r="B9863" s="620" t="s">
        <v>419</v>
      </c>
      <c r="C9863" s="629"/>
      <c r="D9863" s="629"/>
      <c r="E9863" s="629"/>
      <c r="F9863" s="629"/>
      <c r="G9863" s="81"/>
      <c r="H9863" s="81"/>
      <c r="I9863" s="81"/>
      <c r="J9863" s="81"/>
      <c r="K9863" s="81"/>
      <c r="L9863" s="81"/>
      <c r="M9863" s="81"/>
      <c r="N9863" s="81"/>
    </row>
    <row r="9864" spans="1:14" ht="14.25" customHeight="1" x14ac:dyDescent="0.25">
      <c r="A9864" s="191"/>
      <c r="B9864" s="191"/>
      <c r="C9864" s="191"/>
      <c r="D9864" s="191"/>
      <c r="E9864" s="191"/>
      <c r="F9864" s="191"/>
      <c r="G9864" s="81"/>
      <c r="H9864" s="81"/>
      <c r="I9864" s="81"/>
      <c r="J9864" s="81"/>
      <c r="K9864" s="81"/>
      <c r="L9864" s="81"/>
      <c r="M9864" s="81"/>
      <c r="N9864" s="81"/>
    </row>
    <row r="9865" spans="1:14" ht="14.25" customHeight="1" x14ac:dyDescent="0.25">
      <c r="A9865" s="192" t="s">
        <v>49</v>
      </c>
      <c r="B9865" s="193" t="s">
        <v>59</v>
      </c>
      <c r="C9865" s="194"/>
      <c r="D9865" s="194"/>
      <c r="E9865" s="194"/>
      <c r="F9865" s="195"/>
      <c r="G9865" s="81"/>
      <c r="H9865" s="81"/>
      <c r="I9865" s="81"/>
      <c r="J9865" s="81"/>
      <c r="K9865" s="81"/>
      <c r="L9865" s="81"/>
      <c r="M9865" s="81"/>
      <c r="N9865" s="81"/>
    </row>
    <row r="9866" spans="1:14" ht="14.25" customHeight="1" x14ac:dyDescent="0.25">
      <c r="A9866" s="192"/>
      <c r="B9866" s="196"/>
      <c r="C9866" s="194"/>
      <c r="D9866" s="194"/>
      <c r="E9866" s="194"/>
      <c r="F9866" s="195"/>
      <c r="G9866" s="81"/>
      <c r="H9866" s="81"/>
      <c r="I9866" s="81"/>
      <c r="J9866" s="81"/>
      <c r="K9866" s="81"/>
      <c r="L9866" s="81"/>
      <c r="M9866" s="81"/>
      <c r="N9866" s="81"/>
    </row>
    <row r="9867" spans="1:14" ht="14.25" customHeight="1" x14ac:dyDescent="0.25">
      <c r="A9867" s="197" t="s">
        <v>562</v>
      </c>
      <c r="B9867" s="198"/>
      <c r="C9867" s="193"/>
      <c r="D9867" s="193"/>
      <c r="E9867" s="193"/>
      <c r="F9867" s="193"/>
      <c r="G9867" s="81"/>
      <c r="H9867" s="81"/>
      <c r="I9867" s="81"/>
      <c r="J9867" s="81"/>
      <c r="K9867" s="81"/>
      <c r="L9867" s="81"/>
      <c r="M9867" s="81"/>
      <c r="N9867" s="81"/>
    </row>
    <row r="9868" spans="1:14" ht="14.25" customHeight="1" x14ac:dyDescent="0.25">
      <c r="A9868" s="199" t="s">
        <v>563</v>
      </c>
      <c r="B9868" s="474" t="s">
        <v>564</v>
      </c>
      <c r="C9868" s="474" t="s">
        <v>565</v>
      </c>
      <c r="D9868" s="474" t="s">
        <v>566</v>
      </c>
      <c r="E9868" s="474" t="s">
        <v>567</v>
      </c>
      <c r="F9868" s="474" t="s">
        <v>568</v>
      </c>
      <c r="G9868" s="81"/>
      <c r="H9868" s="81"/>
      <c r="I9868" s="81"/>
      <c r="J9868" s="81"/>
      <c r="K9868" s="81"/>
      <c r="L9868" s="81"/>
      <c r="M9868" s="81"/>
      <c r="N9868" s="81"/>
    </row>
    <row r="9869" spans="1:14" ht="14.25" customHeight="1" x14ac:dyDescent="0.25">
      <c r="A9869" s="475" t="s">
        <v>841</v>
      </c>
      <c r="B9869" s="476" t="s">
        <v>59</v>
      </c>
      <c r="C9869" s="477">
        <v>195420</v>
      </c>
      <c r="D9869" s="478">
        <v>1</v>
      </c>
      <c r="E9869" s="479">
        <v>0.05</v>
      </c>
      <c r="F9869" s="477">
        <f>C9869*(D9869+(D9869*E9869))</f>
        <v>205191</v>
      </c>
      <c r="G9869" s="81"/>
      <c r="H9869" s="81"/>
      <c r="I9869" s="81"/>
      <c r="J9869" s="81"/>
      <c r="K9869" s="81"/>
      <c r="L9869" s="81"/>
      <c r="M9869" s="81"/>
      <c r="N9869" s="81"/>
    </row>
    <row r="9870" spans="1:14" ht="14.25" customHeight="1" x14ac:dyDescent="0.25">
      <c r="A9870" s="475"/>
      <c r="B9870" s="476"/>
      <c r="C9870" s="477"/>
      <c r="D9870" s="481"/>
      <c r="E9870" s="479"/>
      <c r="F9870" s="477"/>
      <c r="G9870" s="81"/>
      <c r="H9870" s="81"/>
      <c r="I9870" s="81"/>
      <c r="J9870" s="81"/>
      <c r="K9870" s="81"/>
      <c r="L9870" s="81"/>
      <c r="M9870" s="81"/>
      <c r="N9870" s="81"/>
    </row>
    <row r="9871" spans="1:14" ht="14.25" customHeight="1" x14ac:dyDescent="0.25">
      <c r="A9871" s="475"/>
      <c r="B9871" s="476"/>
      <c r="C9871" s="477"/>
      <c r="D9871" s="478"/>
      <c r="E9871" s="479"/>
      <c r="F9871" s="477"/>
      <c r="G9871" s="81"/>
      <c r="H9871" s="81"/>
      <c r="I9871" s="81"/>
      <c r="J9871" s="81"/>
      <c r="K9871" s="81"/>
      <c r="L9871" s="81"/>
      <c r="M9871" s="81"/>
      <c r="N9871" s="81"/>
    </row>
    <row r="9872" spans="1:14" ht="14.25" customHeight="1" x14ac:dyDescent="0.25">
      <c r="A9872" s="475"/>
      <c r="B9872" s="476"/>
      <c r="C9872" s="477"/>
      <c r="D9872" s="478"/>
      <c r="E9872" s="479"/>
      <c r="F9872" s="477"/>
      <c r="G9872" s="81"/>
      <c r="H9872" s="81"/>
      <c r="I9872" s="81"/>
      <c r="J9872" s="81"/>
      <c r="K9872" s="81"/>
      <c r="L9872" s="81"/>
      <c r="M9872" s="81"/>
      <c r="N9872" s="81"/>
    </row>
    <row r="9873" spans="1:14" ht="14.25" customHeight="1" x14ac:dyDescent="0.25">
      <c r="A9873" s="475"/>
      <c r="B9873" s="476"/>
      <c r="C9873" s="483"/>
      <c r="D9873" s="484"/>
      <c r="E9873" s="485"/>
      <c r="F9873" s="483"/>
      <c r="G9873" s="81"/>
      <c r="H9873" s="81"/>
      <c r="I9873" s="81"/>
      <c r="J9873" s="81"/>
      <c r="K9873" s="81"/>
      <c r="L9873" s="81"/>
      <c r="M9873" s="81"/>
      <c r="N9873" s="81"/>
    </row>
    <row r="9874" spans="1:14" ht="14.25" customHeight="1" x14ac:dyDescent="0.25">
      <c r="A9874" s="199" t="s">
        <v>548</v>
      </c>
      <c r="B9874" s="199"/>
      <c r="C9874" s="486"/>
      <c r="D9874" s="487"/>
      <c r="E9874" s="488"/>
      <c r="F9874" s="489">
        <f>SUM(F9869:F9873)</f>
        <v>205191</v>
      </c>
      <c r="G9874" s="81"/>
      <c r="H9874" s="81"/>
      <c r="I9874" s="81"/>
      <c r="J9874" s="81"/>
      <c r="K9874" s="81"/>
      <c r="L9874" s="81"/>
      <c r="M9874" s="81"/>
      <c r="N9874" s="81"/>
    </row>
    <row r="9875" spans="1:14" ht="14.25" customHeight="1" x14ac:dyDescent="0.25">
      <c r="A9875" s="192"/>
      <c r="B9875" s="192"/>
      <c r="C9875" s="215"/>
      <c r="D9875" s="215"/>
      <c r="E9875" s="216"/>
      <c r="F9875" s="215"/>
      <c r="G9875" s="81"/>
      <c r="H9875" s="81"/>
      <c r="I9875" s="81"/>
      <c r="J9875" s="81"/>
      <c r="K9875" s="81"/>
      <c r="L9875" s="81"/>
      <c r="M9875" s="81"/>
      <c r="N9875" s="81"/>
    </row>
    <row r="9876" spans="1:14" ht="14.25" customHeight="1" x14ac:dyDescent="0.25">
      <c r="A9876" s="198" t="s">
        <v>573</v>
      </c>
      <c r="B9876" s="198"/>
      <c r="C9876" s="193"/>
      <c r="D9876" s="193"/>
      <c r="E9876" s="193"/>
      <c r="F9876" s="193"/>
      <c r="G9876" s="81"/>
      <c r="H9876" s="81"/>
      <c r="I9876" s="81"/>
      <c r="J9876" s="81"/>
      <c r="K9876" s="81"/>
      <c r="L9876" s="81"/>
      <c r="M9876" s="81"/>
      <c r="N9876" s="81"/>
    </row>
    <row r="9877" spans="1:14" ht="14.25" customHeight="1" x14ac:dyDescent="0.25">
      <c r="A9877" s="585" t="s">
        <v>563</v>
      </c>
      <c r="B9877" s="586"/>
      <c r="C9877" s="587"/>
      <c r="D9877" s="474" t="s">
        <v>574</v>
      </c>
      <c r="E9877" s="474" t="s">
        <v>575</v>
      </c>
      <c r="F9877" s="474" t="s">
        <v>568</v>
      </c>
      <c r="G9877" s="81"/>
      <c r="H9877" s="81"/>
      <c r="I9877" s="81"/>
      <c r="J9877" s="81"/>
      <c r="K9877" s="81"/>
      <c r="L9877" s="81"/>
      <c r="M9877" s="81"/>
      <c r="N9877" s="81"/>
    </row>
    <row r="9878" spans="1:14" ht="14.25" customHeight="1" x14ac:dyDescent="0.25">
      <c r="A9878" s="588" t="s">
        <v>577</v>
      </c>
      <c r="B9878" s="586"/>
      <c r="C9878" s="587"/>
      <c r="D9878" s="490"/>
      <c r="E9878" s="484"/>
      <c r="F9878" s="483">
        <f>+F9891*5%</f>
        <v>2411.3753555649701</v>
      </c>
      <c r="G9878" s="81"/>
      <c r="H9878" s="81"/>
      <c r="I9878" s="81"/>
      <c r="J9878" s="81"/>
      <c r="K9878" s="81"/>
      <c r="L9878" s="81"/>
      <c r="M9878" s="81"/>
      <c r="N9878" s="81"/>
    </row>
    <row r="9879" spans="1:14" ht="14.25" customHeight="1" x14ac:dyDescent="0.25">
      <c r="A9879" s="588"/>
      <c r="B9879" s="586"/>
      <c r="C9879" s="587"/>
      <c r="D9879" s="505"/>
      <c r="E9879" s="484"/>
      <c r="F9879" s="483"/>
      <c r="G9879" s="81"/>
      <c r="H9879" s="81"/>
      <c r="I9879" s="81"/>
      <c r="J9879" s="81"/>
      <c r="K9879" s="81"/>
      <c r="L9879" s="81"/>
      <c r="M9879" s="81"/>
      <c r="N9879" s="81"/>
    </row>
    <row r="9880" spans="1:14" ht="14.25" customHeight="1" x14ac:dyDescent="0.25">
      <c r="A9880" s="588"/>
      <c r="B9880" s="586"/>
      <c r="C9880" s="587"/>
      <c r="D9880" s="505"/>
      <c r="E9880" s="484"/>
      <c r="F9880" s="483"/>
      <c r="G9880" s="81"/>
      <c r="H9880" s="81"/>
      <c r="I9880" s="81"/>
      <c r="J9880" s="81"/>
      <c r="K9880" s="81"/>
      <c r="L9880" s="81"/>
      <c r="M9880" s="81"/>
      <c r="N9880" s="81"/>
    </row>
    <row r="9881" spans="1:14" ht="14.25" customHeight="1" x14ac:dyDescent="0.25">
      <c r="A9881" s="588"/>
      <c r="B9881" s="586"/>
      <c r="C9881" s="587"/>
      <c r="D9881" s="505"/>
      <c r="E9881" s="484"/>
      <c r="F9881" s="483"/>
      <c r="G9881" s="81"/>
      <c r="H9881" s="81"/>
      <c r="I9881" s="81"/>
      <c r="J9881" s="81"/>
      <c r="K9881" s="81"/>
      <c r="L9881" s="81"/>
      <c r="M9881" s="81"/>
      <c r="N9881" s="81"/>
    </row>
    <row r="9882" spans="1:14" ht="14.25" customHeight="1" x14ac:dyDescent="0.25">
      <c r="A9882" s="589"/>
      <c r="B9882" s="586"/>
      <c r="C9882" s="587"/>
      <c r="D9882" s="491"/>
      <c r="E9882" s="484"/>
      <c r="F9882" s="483"/>
      <c r="G9882" s="81"/>
      <c r="H9882" s="81"/>
      <c r="I9882" s="81"/>
      <c r="J9882" s="81"/>
      <c r="K9882" s="81"/>
      <c r="L9882" s="81"/>
      <c r="M9882" s="81"/>
      <c r="N9882" s="81"/>
    </row>
    <row r="9883" spans="1:14" ht="14.25" customHeight="1" x14ac:dyDescent="0.25">
      <c r="A9883" s="585" t="s">
        <v>548</v>
      </c>
      <c r="B9883" s="586"/>
      <c r="C9883" s="587"/>
      <c r="D9883" s="487"/>
      <c r="E9883" s="487"/>
      <c r="F9883" s="489">
        <f>SUM(F9878:F9882)</f>
        <v>2411.3753555649701</v>
      </c>
      <c r="G9883" s="81"/>
      <c r="H9883" s="81"/>
      <c r="I9883" s="81"/>
      <c r="J9883" s="81"/>
      <c r="K9883" s="81"/>
      <c r="L9883" s="81"/>
      <c r="M9883" s="81"/>
      <c r="N9883" s="81"/>
    </row>
    <row r="9884" spans="1:14" ht="14.25" customHeight="1" x14ac:dyDescent="0.25">
      <c r="A9884" s="192"/>
      <c r="B9884" s="192"/>
      <c r="C9884" s="194"/>
      <c r="D9884" s="215"/>
      <c r="E9884" s="215"/>
      <c r="F9884" s="215"/>
      <c r="G9884" s="81"/>
      <c r="H9884" s="81"/>
      <c r="I9884" s="81"/>
      <c r="J9884" s="81"/>
      <c r="K9884" s="81"/>
      <c r="L9884" s="81"/>
      <c r="M9884" s="81"/>
      <c r="N9884" s="81"/>
    </row>
    <row r="9885" spans="1:14" ht="14.25" customHeight="1" x14ac:dyDescent="0.25">
      <c r="A9885" s="198" t="s">
        <v>578</v>
      </c>
      <c r="B9885" s="198"/>
      <c r="C9885" s="193"/>
      <c r="D9885" s="223"/>
      <c r="E9885" s="223"/>
      <c r="F9885" s="223"/>
      <c r="G9885" s="81"/>
      <c r="H9885" s="81"/>
      <c r="I9885" s="81"/>
      <c r="J9885" s="81"/>
      <c r="K9885" s="81"/>
      <c r="L9885" s="81"/>
      <c r="M9885" s="81"/>
      <c r="N9885" s="81"/>
    </row>
    <row r="9886" spans="1:14" ht="14.25" customHeight="1" x14ac:dyDescent="0.25">
      <c r="A9886" s="224" t="s">
        <v>563</v>
      </c>
      <c r="B9886" s="492" t="s">
        <v>579</v>
      </c>
      <c r="C9886" s="492" t="s">
        <v>580</v>
      </c>
      <c r="D9886" s="493" t="s">
        <v>581</v>
      </c>
      <c r="E9886" s="493" t="s">
        <v>575</v>
      </c>
      <c r="F9886" s="493" t="s">
        <v>568</v>
      </c>
      <c r="G9886" s="81"/>
      <c r="H9886" s="81"/>
      <c r="I9886" s="81"/>
      <c r="J9886" s="81"/>
      <c r="K9886" s="81"/>
      <c r="L9886" s="81"/>
      <c r="M9886" s="81"/>
      <c r="N9886" s="81"/>
    </row>
    <row r="9887" spans="1:14" ht="14.25" customHeight="1" x14ac:dyDescent="0.25">
      <c r="A9887" s="494" t="s">
        <v>916</v>
      </c>
      <c r="B9887" s="495">
        <v>1</v>
      </c>
      <c r="C9887" s="477">
        <v>35956.800000000003</v>
      </c>
      <c r="D9887" s="477">
        <f t="shared" ref="D9887:D9888" si="489">+C9887*1.7</f>
        <v>61126.560000000005</v>
      </c>
      <c r="E9887" s="484">
        <v>3.3046000000000002</v>
      </c>
      <c r="F9887" s="483">
        <f t="shared" ref="F9887:F9888" si="490">+B9887*(D9887)/E9887</f>
        <v>18497.415723536888</v>
      </c>
      <c r="G9887" s="81"/>
      <c r="H9887" s="81"/>
      <c r="I9887" s="81"/>
      <c r="J9887" s="81"/>
      <c r="K9887" s="81"/>
      <c r="L9887" s="81"/>
      <c r="M9887" s="81"/>
      <c r="N9887" s="81"/>
    </row>
    <row r="9888" spans="1:14" ht="14.25" customHeight="1" x14ac:dyDescent="0.25">
      <c r="A9888" s="494" t="s">
        <v>917</v>
      </c>
      <c r="B9888" s="495">
        <v>1</v>
      </c>
      <c r="C9888" s="477">
        <v>57791.8</v>
      </c>
      <c r="D9888" s="477">
        <f t="shared" si="489"/>
        <v>98246.06</v>
      </c>
      <c r="E9888" s="484">
        <f>E9887</f>
        <v>3.3046000000000002</v>
      </c>
      <c r="F9888" s="483">
        <f t="shared" si="490"/>
        <v>29730.09138776251</v>
      </c>
      <c r="G9888" s="81"/>
      <c r="H9888" s="81"/>
      <c r="I9888" s="81"/>
      <c r="J9888" s="81"/>
      <c r="K9888" s="81"/>
      <c r="L9888" s="81"/>
      <c r="M9888" s="81"/>
      <c r="N9888" s="81"/>
    </row>
    <row r="9889" spans="1:14" ht="14.25" customHeight="1" x14ac:dyDescent="0.25">
      <c r="A9889" s="494"/>
      <c r="B9889" s="495"/>
      <c r="C9889" s="477"/>
      <c r="D9889" s="477"/>
      <c r="E9889" s="484"/>
      <c r="F9889" s="483"/>
      <c r="G9889" s="81"/>
      <c r="H9889" s="81"/>
      <c r="I9889" s="81"/>
      <c r="J9889" s="81"/>
      <c r="K9889" s="81"/>
      <c r="L9889" s="81"/>
      <c r="M9889" s="81"/>
      <c r="N9889" s="81"/>
    </row>
    <row r="9890" spans="1:14" ht="14.25" customHeight="1" x14ac:dyDescent="0.25">
      <c r="A9890" s="494"/>
      <c r="B9890" s="495"/>
      <c r="C9890" s="477"/>
      <c r="D9890" s="477"/>
      <c r="E9890" s="496"/>
      <c r="F9890" s="483"/>
      <c r="G9890" s="81"/>
      <c r="H9890" s="81"/>
      <c r="I9890" s="81"/>
      <c r="J9890" s="81"/>
      <c r="K9890" s="81"/>
      <c r="L9890" s="81"/>
      <c r="M9890" s="81"/>
      <c r="N9890" s="81"/>
    </row>
    <row r="9891" spans="1:14" ht="14.25" customHeight="1" x14ac:dyDescent="0.25">
      <c r="A9891" s="199" t="s">
        <v>548</v>
      </c>
      <c r="B9891" s="497"/>
      <c r="C9891" s="487"/>
      <c r="D9891" s="487"/>
      <c r="E9891" s="487"/>
      <c r="F9891" s="489">
        <f>SUM(F9887:F9890)</f>
        <v>48227.507111299397</v>
      </c>
      <c r="G9891" s="81"/>
      <c r="H9891" s="81"/>
      <c r="I9891" s="81"/>
      <c r="J9891" s="81"/>
      <c r="K9891" s="81"/>
      <c r="L9891" s="81"/>
      <c r="M9891" s="81"/>
      <c r="N9891" s="81"/>
    </row>
    <row r="9892" spans="1:14" ht="14.25" customHeight="1" x14ac:dyDescent="0.25">
      <c r="A9892" s="198"/>
      <c r="B9892" s="231"/>
      <c r="C9892" s="223"/>
      <c r="D9892" s="223"/>
      <c r="E9892" s="223"/>
      <c r="F9892" s="223"/>
      <c r="G9892" s="81"/>
      <c r="H9892" s="81"/>
      <c r="I9892" s="81"/>
      <c r="J9892" s="81"/>
      <c r="K9892" s="81"/>
      <c r="L9892" s="81"/>
      <c r="M9892" s="81"/>
      <c r="N9892" s="81"/>
    </row>
    <row r="9893" spans="1:14" ht="14.25" customHeight="1" x14ac:dyDescent="0.25">
      <c r="A9893" s="197" t="s">
        <v>583</v>
      </c>
      <c r="B9893" s="198"/>
      <c r="C9893" s="193"/>
      <c r="D9893" s="193"/>
      <c r="E9893" s="193" t="s">
        <v>584</v>
      </c>
      <c r="F9893" s="193"/>
      <c r="G9893" s="81"/>
      <c r="H9893" s="81"/>
      <c r="I9893" s="81"/>
      <c r="J9893" s="81"/>
      <c r="K9893" s="81"/>
      <c r="L9893" s="81"/>
      <c r="M9893" s="81"/>
      <c r="N9893" s="81"/>
    </row>
    <row r="9894" spans="1:14" ht="14.25" customHeight="1" x14ac:dyDescent="0.25">
      <c r="A9894" s="199" t="s">
        <v>563</v>
      </c>
      <c r="B9894" s="474" t="s">
        <v>564</v>
      </c>
      <c r="C9894" s="474" t="s">
        <v>585</v>
      </c>
      <c r="D9894" s="474" t="s">
        <v>586</v>
      </c>
      <c r="E9894" s="492" t="s">
        <v>587</v>
      </c>
      <c r="F9894" s="474" t="s">
        <v>568</v>
      </c>
      <c r="G9894" s="81"/>
      <c r="H9894" s="81"/>
      <c r="I9894" s="81"/>
      <c r="J9894" s="81"/>
      <c r="K9894" s="81"/>
      <c r="L9894" s="81"/>
      <c r="M9894" s="81"/>
      <c r="N9894" s="81"/>
    </row>
    <row r="9895" spans="1:14" ht="14.25" customHeight="1" x14ac:dyDescent="0.25">
      <c r="A9895" s="480"/>
      <c r="B9895" s="476"/>
      <c r="C9895" s="477"/>
      <c r="D9895" s="498"/>
      <c r="E9895" s="484"/>
      <c r="F9895" s="486">
        <f>+C9895*D9895*E9895</f>
        <v>0</v>
      </c>
      <c r="G9895" s="81"/>
      <c r="H9895" s="81"/>
      <c r="I9895" s="81"/>
      <c r="J9895" s="81"/>
      <c r="K9895" s="81"/>
      <c r="L9895" s="81"/>
      <c r="M9895" s="81"/>
      <c r="N9895" s="81"/>
    </row>
    <row r="9896" spans="1:14" ht="14.25" customHeight="1" x14ac:dyDescent="0.25">
      <c r="A9896" s="480"/>
      <c r="B9896" s="476"/>
      <c r="C9896" s="484"/>
      <c r="D9896" s="484"/>
      <c r="E9896" s="485"/>
      <c r="F9896" s="486"/>
      <c r="G9896" s="81"/>
      <c r="H9896" s="81"/>
      <c r="I9896" s="81"/>
      <c r="J9896" s="81"/>
      <c r="K9896" s="81"/>
      <c r="L9896" s="81"/>
      <c r="M9896" s="81"/>
      <c r="N9896" s="81"/>
    </row>
    <row r="9897" spans="1:14" ht="14.25" customHeight="1" x14ac:dyDescent="0.25">
      <c r="A9897" s="199" t="s">
        <v>548</v>
      </c>
      <c r="B9897" s="474"/>
      <c r="C9897" s="487"/>
      <c r="D9897" s="487"/>
      <c r="E9897" s="488"/>
      <c r="F9897" s="489">
        <f>SUM(F9895:F9896)</f>
        <v>0</v>
      </c>
      <c r="G9897" s="81"/>
      <c r="H9897" s="81"/>
      <c r="I9897" s="81"/>
      <c r="J9897" s="81"/>
      <c r="K9897" s="81"/>
      <c r="L9897" s="81"/>
      <c r="M9897" s="81"/>
      <c r="N9897" s="81"/>
    </row>
    <row r="9898" spans="1:14" ht="14.25" customHeight="1" x14ac:dyDescent="0.25">
      <c r="A9898" s="192"/>
      <c r="B9898" s="194"/>
      <c r="C9898" s="215"/>
      <c r="D9898" s="215"/>
      <c r="E9898" s="216"/>
      <c r="F9898" s="215"/>
      <c r="G9898" s="81"/>
      <c r="H9898" s="81"/>
      <c r="I9898" s="81"/>
      <c r="J9898" s="81"/>
      <c r="K9898" s="81"/>
      <c r="L9898" s="81"/>
      <c r="M9898" s="81"/>
      <c r="N9898" s="81"/>
    </row>
    <row r="9899" spans="1:14" ht="14.25" customHeight="1" x14ac:dyDescent="0.25">
      <c r="A9899" s="192"/>
      <c r="B9899" s="194"/>
      <c r="C9899" s="215"/>
      <c r="D9899" s="215"/>
      <c r="E9899" s="216"/>
      <c r="F9899" s="215"/>
      <c r="G9899" s="81"/>
      <c r="H9899" s="81"/>
      <c r="I9899" s="81"/>
      <c r="J9899" s="81"/>
      <c r="K9899" s="81"/>
      <c r="L9899" s="81"/>
      <c r="M9899" s="81"/>
      <c r="N9899" s="81"/>
    </row>
    <row r="9900" spans="1:14" ht="14.25" customHeight="1" x14ac:dyDescent="0.25">
      <c r="A9900" s="590" t="s">
        <v>588</v>
      </c>
      <c r="B9900" s="586"/>
      <c r="C9900" s="586"/>
      <c r="D9900" s="586"/>
      <c r="E9900" s="587"/>
      <c r="F9900" s="499">
        <f>ROUND(F9874+F9883+F9891+F9897,0)</f>
        <v>255830</v>
      </c>
      <c r="G9900" s="81"/>
      <c r="H9900" s="81"/>
      <c r="I9900" s="81"/>
      <c r="J9900" s="81"/>
      <c r="K9900" s="81"/>
      <c r="L9900" s="81"/>
      <c r="M9900" s="81"/>
      <c r="N9900" s="81"/>
    </row>
    <row r="9901" spans="1:14" ht="14.25" customHeight="1" x14ac:dyDescent="0.25">
      <c r="A9901" s="590" t="s">
        <v>589</v>
      </c>
      <c r="B9901" s="586"/>
      <c r="C9901" s="586"/>
      <c r="D9901" s="586"/>
      <c r="E9901" s="587"/>
      <c r="F9901" s="500"/>
      <c r="G9901" s="81"/>
      <c r="H9901" s="81"/>
      <c r="I9901" s="81"/>
      <c r="J9901" s="81"/>
      <c r="K9901" s="81"/>
      <c r="L9901" s="81"/>
      <c r="M9901" s="81"/>
      <c r="N9901" s="81"/>
    </row>
    <row r="9902" spans="1:14" ht="14.25" customHeight="1" x14ac:dyDescent="0.25">
      <c r="A9902" s="300" t="s">
        <v>556</v>
      </c>
      <c r="B9902" s="506"/>
      <c r="C9902" s="506"/>
      <c r="D9902" s="506"/>
      <c r="E9902" s="507"/>
      <c r="F9902" s="501"/>
      <c r="G9902" s="81"/>
      <c r="H9902" s="81"/>
      <c r="I9902" s="81"/>
      <c r="J9902" s="81"/>
      <c r="K9902" s="81"/>
      <c r="L9902" s="81"/>
      <c r="M9902" s="81"/>
      <c r="N9902" s="81"/>
    </row>
    <row r="9903" spans="1:14" ht="14.25" customHeight="1" x14ac:dyDescent="0.25">
      <c r="A9903" s="301"/>
      <c r="B9903" s="502"/>
      <c r="C9903" s="502"/>
      <c r="D9903" s="502"/>
      <c r="E9903" s="502"/>
      <c r="F9903" s="503"/>
      <c r="G9903" s="81"/>
      <c r="H9903" s="81"/>
      <c r="I9903" s="81"/>
      <c r="J9903" s="81"/>
      <c r="K9903" s="81"/>
      <c r="L9903" s="81"/>
      <c r="M9903" s="81"/>
      <c r="N9903" s="81"/>
    </row>
    <row r="9904" spans="1:14" ht="14.25" customHeight="1" x14ac:dyDescent="0.25">
      <c r="A9904" s="301"/>
      <c r="B9904" s="502"/>
      <c r="C9904" s="502"/>
      <c r="D9904" s="502"/>
      <c r="E9904" s="502"/>
      <c r="F9904" s="503"/>
      <c r="G9904" s="81"/>
      <c r="H9904" s="81"/>
      <c r="I9904" s="81"/>
      <c r="J9904" s="81"/>
      <c r="K9904" s="81"/>
      <c r="L9904" s="81"/>
      <c r="M9904" s="81"/>
      <c r="N9904" s="81"/>
    </row>
    <row r="9905" spans="1:14" ht="14.25" customHeight="1" x14ac:dyDescent="0.25">
      <c r="A9905" s="301"/>
      <c r="B9905" s="502"/>
      <c r="C9905" s="502"/>
      <c r="D9905" s="502"/>
      <c r="E9905" s="502"/>
      <c r="F9905" s="503"/>
      <c r="G9905" s="81"/>
      <c r="H9905" s="117"/>
      <c r="I9905" s="81"/>
      <c r="J9905" s="81"/>
      <c r="K9905" s="81"/>
      <c r="L9905" s="81"/>
      <c r="M9905" s="81"/>
      <c r="N9905" s="81"/>
    </row>
    <row r="9906" spans="1:14" ht="14.25" customHeight="1" x14ac:dyDescent="0.25">
      <c r="A9906" s="243"/>
      <c r="B9906" s="243"/>
      <c r="C9906" s="504"/>
      <c r="D9906" s="243"/>
      <c r="E9906" s="243"/>
      <c r="F9906" s="243"/>
      <c r="G9906" s="81"/>
      <c r="H9906" s="81"/>
      <c r="I9906" s="81"/>
      <c r="J9906" s="81"/>
      <c r="K9906" s="81"/>
      <c r="L9906" s="81"/>
      <c r="M9906" s="81"/>
      <c r="N9906" s="81"/>
    </row>
    <row r="9907" spans="1:14" ht="14.25" customHeight="1" x14ac:dyDescent="0.25">
      <c r="A9907" s="243"/>
      <c r="B9907" s="243"/>
      <c r="C9907" s="504"/>
      <c r="D9907" s="243"/>
      <c r="E9907" s="243"/>
      <c r="F9907" s="243"/>
      <c r="G9907" s="81"/>
      <c r="H9907" s="81"/>
      <c r="I9907" s="81"/>
      <c r="J9907" s="81"/>
      <c r="K9907" s="81"/>
      <c r="L9907" s="81"/>
      <c r="M9907" s="81"/>
      <c r="N9907" s="81"/>
    </row>
    <row r="9908" spans="1:14" ht="14.25" customHeight="1" x14ac:dyDescent="0.25">
      <c r="A9908" s="243"/>
      <c r="B9908" s="243"/>
      <c r="C9908" s="504"/>
      <c r="D9908" s="243"/>
      <c r="E9908" s="243"/>
      <c r="F9908" s="243"/>
      <c r="G9908" s="81"/>
      <c r="H9908" s="81"/>
      <c r="I9908" s="81"/>
      <c r="J9908" s="81"/>
      <c r="K9908" s="81"/>
      <c r="L9908" s="81"/>
      <c r="M9908" s="81"/>
      <c r="N9908" s="81"/>
    </row>
    <row r="9909" spans="1:14" ht="14.25" customHeight="1" x14ac:dyDescent="0.25">
      <c r="A9909" s="243"/>
      <c r="B9909" s="243"/>
      <c r="C9909" s="504"/>
      <c r="D9909" s="243"/>
      <c r="E9909" s="243"/>
      <c r="F9909" s="243"/>
      <c r="G9909" s="81"/>
      <c r="H9909" s="81"/>
      <c r="I9909" s="81"/>
      <c r="J9909" s="81"/>
      <c r="K9909" s="81"/>
      <c r="L9909" s="81"/>
      <c r="M9909" s="81"/>
      <c r="N9909" s="81"/>
    </row>
    <row r="9910" spans="1:14" ht="14.25" customHeight="1" x14ac:dyDescent="0.25">
      <c r="A9910" s="243"/>
      <c r="B9910" s="243"/>
      <c r="C9910" s="504"/>
      <c r="D9910" s="243"/>
      <c r="E9910" s="243"/>
      <c r="F9910" s="243"/>
      <c r="G9910" s="81"/>
      <c r="H9910" s="81"/>
      <c r="I9910" s="81"/>
      <c r="J9910" s="81"/>
      <c r="K9910" s="81"/>
      <c r="L9910" s="81"/>
      <c r="M9910" s="81"/>
      <c r="N9910" s="81"/>
    </row>
    <row r="9911" spans="1:14" ht="14.25" customHeight="1" x14ac:dyDescent="0.25">
      <c r="A9911" s="243"/>
      <c r="B9911" s="243"/>
      <c r="C9911" s="504"/>
      <c r="D9911" s="243"/>
      <c r="E9911" s="243"/>
      <c r="F9911" s="243"/>
      <c r="G9911" s="81"/>
      <c r="H9911" s="81"/>
      <c r="I9911" s="81"/>
      <c r="J9911" s="81"/>
      <c r="K9911" s="81"/>
      <c r="L9911" s="81"/>
      <c r="M9911" s="81"/>
      <c r="N9911" s="81"/>
    </row>
    <row r="9912" spans="1:14" ht="14.25" customHeight="1" x14ac:dyDescent="0.25">
      <c r="A9912" s="243"/>
      <c r="B9912" s="243"/>
      <c r="C9912" s="504"/>
      <c r="D9912" s="243"/>
      <c r="E9912" s="243"/>
      <c r="F9912" s="243"/>
      <c r="G9912" s="81"/>
      <c r="H9912" s="81"/>
      <c r="I9912" s="81"/>
      <c r="J9912" s="81"/>
      <c r="K9912" s="81"/>
      <c r="L9912" s="81"/>
      <c r="M9912" s="81"/>
      <c r="N9912" s="81"/>
    </row>
    <row r="9913" spans="1:14" ht="14.25" customHeight="1" x14ac:dyDescent="0.25">
      <c r="A9913" s="243"/>
      <c r="B9913" s="243"/>
      <c r="C9913" s="504"/>
      <c r="D9913" s="243"/>
      <c r="E9913" s="243"/>
      <c r="F9913" s="243"/>
      <c r="G9913" s="81"/>
      <c r="H9913" s="81"/>
      <c r="I9913" s="81"/>
      <c r="J9913" s="81"/>
      <c r="K9913" s="81"/>
      <c r="L9913" s="81"/>
      <c r="M9913" s="81"/>
      <c r="N9913" s="81"/>
    </row>
    <row r="9914" spans="1:14" ht="14.25" customHeight="1" x14ac:dyDescent="0.25">
      <c r="A9914" s="243"/>
      <c r="B9914" s="243"/>
      <c r="C9914" s="504"/>
      <c r="D9914" s="243"/>
      <c r="E9914" s="243"/>
      <c r="F9914" s="243"/>
      <c r="G9914" s="81"/>
      <c r="H9914" s="81"/>
      <c r="I9914" s="81"/>
      <c r="J9914" s="81"/>
      <c r="K9914" s="81"/>
      <c r="L9914" s="81"/>
      <c r="M9914" s="81"/>
      <c r="N9914" s="81"/>
    </row>
    <row r="9915" spans="1:14" ht="14.25" customHeight="1" x14ac:dyDescent="0.25">
      <c r="A9915" s="243"/>
      <c r="B9915" s="243"/>
      <c r="C9915" s="504"/>
      <c r="D9915" s="243"/>
      <c r="E9915" s="243"/>
      <c r="F9915" s="243"/>
      <c r="G9915" s="81"/>
      <c r="H9915" s="81"/>
      <c r="I9915" s="81"/>
      <c r="J9915" s="81"/>
      <c r="K9915" s="81"/>
      <c r="L9915" s="81"/>
      <c r="M9915" s="81"/>
      <c r="N9915" s="81"/>
    </row>
    <row r="9916" spans="1:14" ht="14.25" customHeight="1" x14ac:dyDescent="0.25">
      <c r="A9916" s="243"/>
      <c r="B9916" s="243"/>
      <c r="C9916" s="504"/>
      <c r="D9916" s="243"/>
      <c r="E9916" s="243"/>
      <c r="F9916" s="243"/>
      <c r="G9916" s="81"/>
      <c r="H9916" s="81"/>
      <c r="I9916" s="81"/>
      <c r="J9916" s="81"/>
      <c r="K9916" s="81"/>
      <c r="L9916" s="81"/>
      <c r="M9916" s="81"/>
      <c r="N9916" s="81"/>
    </row>
    <row r="9917" spans="1:14" ht="14.25" customHeight="1" x14ac:dyDescent="0.25">
      <c r="A9917" s="301"/>
      <c r="B9917" s="502"/>
      <c r="C9917" s="502"/>
      <c r="D9917" s="502"/>
      <c r="E9917" s="502"/>
      <c r="F9917" s="503"/>
      <c r="G9917" s="81"/>
      <c r="H9917" s="81"/>
      <c r="I9917" s="81"/>
      <c r="J9917" s="81"/>
      <c r="K9917" s="81"/>
      <c r="L9917" s="81"/>
      <c r="M9917" s="81"/>
      <c r="N9917" s="81"/>
    </row>
    <row r="9918" spans="1:14" ht="14.25" customHeight="1" thickBot="1" x14ac:dyDescent="0.3">
      <c r="A9918" s="243"/>
      <c r="B9918" s="243"/>
      <c r="C9918" s="243"/>
      <c r="D9918" s="243"/>
      <c r="E9918" s="243"/>
      <c r="F9918" s="243"/>
      <c r="G9918" s="81"/>
      <c r="H9918" s="81"/>
      <c r="I9918" s="81"/>
      <c r="J9918" s="81"/>
      <c r="K9918" s="81"/>
      <c r="L9918" s="81"/>
      <c r="M9918" s="81"/>
      <c r="N9918" s="81"/>
    </row>
    <row r="9919" spans="1:14" ht="14.25" customHeight="1" x14ac:dyDescent="0.25">
      <c r="A9919" s="258"/>
      <c r="B9919" s="259"/>
      <c r="C9919" s="260"/>
      <c r="D9919" s="261"/>
      <c r="E9919" s="261"/>
      <c r="F9919" s="262"/>
      <c r="G9919" s="81"/>
      <c r="H9919" s="81"/>
      <c r="I9919" s="81"/>
      <c r="J9919" s="81"/>
      <c r="K9919" s="81"/>
      <c r="L9919" s="81"/>
      <c r="M9919" s="81"/>
      <c r="N9919" s="81"/>
    </row>
    <row r="9920" spans="1:14" ht="14.25" customHeight="1" x14ac:dyDescent="0.25">
      <c r="A9920" s="621"/>
      <c r="B9920" s="629"/>
      <c r="C9920" s="629"/>
      <c r="D9920" s="629"/>
      <c r="E9920" s="629"/>
      <c r="F9920" s="630"/>
      <c r="G9920" s="81"/>
      <c r="H9920" s="81"/>
      <c r="I9920" s="81"/>
      <c r="J9920" s="81"/>
      <c r="K9920" s="81"/>
      <c r="L9920" s="81"/>
      <c r="M9920" s="81"/>
      <c r="N9920" s="81"/>
    </row>
    <row r="9921" spans="1:14" ht="14.25" customHeight="1" x14ac:dyDescent="0.25">
      <c r="A9921" s="614" t="s">
        <v>561</v>
      </c>
      <c r="B9921" s="629"/>
      <c r="C9921" s="629"/>
      <c r="D9921" s="629"/>
      <c r="E9921" s="629"/>
      <c r="F9921" s="630"/>
      <c r="G9921" s="81"/>
      <c r="H9921" s="81"/>
      <c r="I9921" s="81"/>
      <c r="J9921" s="81"/>
      <c r="K9921" s="81"/>
      <c r="L9921" s="81"/>
      <c r="M9921" s="81"/>
      <c r="N9921" s="81"/>
    </row>
    <row r="9922" spans="1:14" ht="26.25" customHeight="1" thickBot="1" x14ac:dyDescent="0.3">
      <c r="A9922" s="617"/>
      <c r="B9922" s="631"/>
      <c r="C9922" s="631"/>
      <c r="D9922" s="631"/>
      <c r="E9922" s="631"/>
      <c r="F9922" s="632"/>
      <c r="G9922" s="81"/>
      <c r="H9922" s="81"/>
      <c r="I9922" s="81"/>
      <c r="J9922" s="81"/>
      <c r="K9922" s="81"/>
      <c r="L9922" s="81"/>
      <c r="M9922" s="81"/>
      <c r="N9922" s="81"/>
    </row>
    <row r="9923" spans="1:14" ht="14.25" customHeight="1" x14ac:dyDescent="0.25">
      <c r="A9923" s="192"/>
      <c r="B9923" s="192"/>
      <c r="C9923" s="194"/>
      <c r="D9923" s="194"/>
      <c r="E9923" s="194"/>
      <c r="F9923" s="194"/>
      <c r="G9923" s="81"/>
      <c r="H9923" s="81"/>
      <c r="I9923" s="81"/>
      <c r="J9923" s="81"/>
      <c r="K9923" s="81"/>
      <c r="L9923" s="81"/>
      <c r="M9923" s="81"/>
      <c r="N9923" s="81"/>
    </row>
    <row r="9924" spans="1:14" ht="31.5" customHeight="1" x14ac:dyDescent="0.25">
      <c r="A9924" s="473" t="s">
        <v>47</v>
      </c>
      <c r="B9924" s="620" t="s">
        <v>421</v>
      </c>
      <c r="C9924" s="629"/>
      <c r="D9924" s="629"/>
      <c r="E9924" s="629"/>
      <c r="F9924" s="629"/>
      <c r="G9924" s="81"/>
      <c r="H9924" s="81"/>
      <c r="I9924" s="81"/>
      <c r="J9924" s="81"/>
      <c r="K9924" s="81"/>
      <c r="L9924" s="81"/>
      <c r="M9924" s="81"/>
      <c r="N9924" s="81"/>
    </row>
    <row r="9925" spans="1:14" ht="14.25" customHeight="1" x14ac:dyDescent="0.25">
      <c r="A9925" s="191"/>
      <c r="B9925" s="191"/>
      <c r="C9925" s="191"/>
      <c r="D9925" s="191"/>
      <c r="E9925" s="191"/>
      <c r="F9925" s="191"/>
      <c r="G9925" s="81"/>
      <c r="H9925" s="81"/>
      <c r="I9925" s="81"/>
      <c r="J9925" s="81"/>
      <c r="K9925" s="81"/>
      <c r="L9925" s="81"/>
      <c r="M9925" s="81"/>
      <c r="N9925" s="81"/>
    </row>
    <row r="9926" spans="1:14" ht="14.25" customHeight="1" x14ac:dyDescent="0.25">
      <c r="A9926" s="192" t="s">
        <v>49</v>
      </c>
      <c r="B9926" s="193" t="s">
        <v>59</v>
      </c>
      <c r="C9926" s="194"/>
      <c r="D9926" s="194"/>
      <c r="E9926" s="194"/>
      <c r="F9926" s="195"/>
      <c r="G9926" s="81"/>
      <c r="H9926" s="81"/>
      <c r="I9926" s="81"/>
      <c r="J9926" s="81"/>
      <c r="K9926" s="81"/>
      <c r="L9926" s="81"/>
      <c r="M9926" s="81"/>
      <c r="N9926" s="81"/>
    </row>
    <row r="9927" spans="1:14" ht="14.25" customHeight="1" x14ac:dyDescent="0.25">
      <c r="A9927" s="192"/>
      <c r="B9927" s="196"/>
      <c r="C9927" s="194"/>
      <c r="D9927" s="194"/>
      <c r="E9927" s="194"/>
      <c r="F9927" s="195"/>
      <c r="G9927" s="81"/>
      <c r="H9927" s="81"/>
      <c r="I9927" s="81"/>
      <c r="J9927" s="81"/>
      <c r="K9927" s="81"/>
      <c r="L9927" s="81"/>
      <c r="M9927" s="81"/>
      <c r="N9927" s="81"/>
    </row>
    <row r="9928" spans="1:14" ht="14.25" customHeight="1" x14ac:dyDescent="0.25">
      <c r="A9928" s="197" t="s">
        <v>562</v>
      </c>
      <c r="B9928" s="198"/>
      <c r="C9928" s="193"/>
      <c r="D9928" s="193"/>
      <c r="E9928" s="193"/>
      <c r="F9928" s="193"/>
      <c r="G9928" s="81"/>
      <c r="H9928" s="81"/>
      <c r="I9928" s="81"/>
      <c r="J9928" s="81"/>
      <c r="K9928" s="81"/>
      <c r="L9928" s="81"/>
      <c r="M9928" s="81"/>
      <c r="N9928" s="81"/>
    </row>
    <row r="9929" spans="1:14" ht="14.25" customHeight="1" x14ac:dyDescent="0.25">
      <c r="A9929" s="199" t="s">
        <v>563</v>
      </c>
      <c r="B9929" s="474" t="s">
        <v>564</v>
      </c>
      <c r="C9929" s="474" t="s">
        <v>565</v>
      </c>
      <c r="D9929" s="474" t="s">
        <v>566</v>
      </c>
      <c r="E9929" s="474" t="s">
        <v>567</v>
      </c>
      <c r="F9929" s="474" t="s">
        <v>568</v>
      </c>
      <c r="G9929" s="81"/>
      <c r="H9929" s="81"/>
      <c r="I9929" s="81"/>
      <c r="J9929" s="81"/>
      <c r="K9929" s="81"/>
      <c r="L9929" s="81"/>
      <c r="M9929" s="81"/>
      <c r="N9929" s="81"/>
    </row>
    <row r="9930" spans="1:14" ht="14.25" customHeight="1" x14ac:dyDescent="0.25">
      <c r="A9930" s="475" t="s">
        <v>842</v>
      </c>
      <c r="B9930" s="476" t="s">
        <v>59</v>
      </c>
      <c r="C9930" s="477">
        <v>56395</v>
      </c>
      <c r="D9930" s="478">
        <v>1</v>
      </c>
      <c r="E9930" s="479">
        <v>0.05</v>
      </c>
      <c r="F9930" s="477">
        <f t="shared" ref="F9930:F9931" si="491">C9930*(D9930+(D9930*E9930))</f>
        <v>59214.75</v>
      </c>
      <c r="G9930" s="81"/>
      <c r="H9930" s="81"/>
      <c r="I9930" s="81"/>
      <c r="J9930" s="81"/>
      <c r="K9930" s="81"/>
      <c r="L9930" s="81"/>
      <c r="M9930" s="81"/>
      <c r="N9930" s="81"/>
    </row>
    <row r="9931" spans="1:14" ht="14.25" customHeight="1" x14ac:dyDescent="0.25">
      <c r="A9931" s="475" t="s">
        <v>843</v>
      </c>
      <c r="B9931" s="476" t="s">
        <v>99</v>
      </c>
      <c r="C9931" s="477">
        <v>48970</v>
      </c>
      <c r="D9931" s="478">
        <v>0.5</v>
      </c>
      <c r="E9931" s="479">
        <v>0.05</v>
      </c>
      <c r="F9931" s="477">
        <f t="shared" si="491"/>
        <v>25709.25</v>
      </c>
      <c r="G9931" s="81"/>
      <c r="H9931" s="81"/>
      <c r="I9931" s="81"/>
      <c r="J9931" s="81"/>
      <c r="K9931" s="81"/>
      <c r="L9931" s="81"/>
      <c r="M9931" s="81"/>
      <c r="N9931" s="81"/>
    </row>
    <row r="9932" spans="1:14" ht="14.25" customHeight="1" x14ac:dyDescent="0.25">
      <c r="A9932" s="475"/>
      <c r="B9932" s="476"/>
      <c r="C9932" s="477"/>
      <c r="D9932" s="478"/>
      <c r="E9932" s="479"/>
      <c r="F9932" s="477"/>
      <c r="G9932" s="81"/>
      <c r="H9932" s="81"/>
      <c r="I9932" s="81"/>
      <c r="J9932" s="81"/>
      <c r="K9932" s="81"/>
      <c r="L9932" s="81"/>
      <c r="M9932" s="81"/>
      <c r="N9932" s="81"/>
    </row>
    <row r="9933" spans="1:14" ht="14.25" customHeight="1" x14ac:dyDescent="0.25">
      <c r="A9933" s="475"/>
      <c r="B9933" s="476"/>
      <c r="C9933" s="477"/>
      <c r="D9933" s="478"/>
      <c r="E9933" s="479"/>
      <c r="F9933" s="477"/>
      <c r="G9933" s="81"/>
      <c r="H9933" s="81"/>
      <c r="I9933" s="81"/>
      <c r="J9933" s="81"/>
      <c r="K9933" s="81"/>
      <c r="L9933" s="81"/>
      <c r="M9933" s="81"/>
      <c r="N9933" s="81"/>
    </row>
    <row r="9934" spans="1:14" ht="14.25" customHeight="1" x14ac:dyDescent="0.25">
      <c r="A9934" s="475"/>
      <c r="B9934" s="476"/>
      <c r="C9934" s="483"/>
      <c r="D9934" s="484"/>
      <c r="E9934" s="485"/>
      <c r="F9934" s="483"/>
      <c r="G9934" s="81"/>
      <c r="H9934" s="81"/>
      <c r="I9934" s="81"/>
      <c r="J9934" s="81"/>
      <c r="K9934" s="81"/>
      <c r="L9934" s="81"/>
      <c r="M9934" s="81"/>
      <c r="N9934" s="81"/>
    </row>
    <row r="9935" spans="1:14" ht="14.25" customHeight="1" x14ac:dyDescent="0.25">
      <c r="A9935" s="199" t="s">
        <v>548</v>
      </c>
      <c r="B9935" s="199"/>
      <c r="C9935" s="486"/>
      <c r="D9935" s="487"/>
      <c r="E9935" s="488"/>
      <c r="F9935" s="489">
        <f>SUM(F9930:F9934)</f>
        <v>84924</v>
      </c>
      <c r="G9935" s="81"/>
      <c r="H9935" s="81"/>
      <c r="I9935" s="81"/>
      <c r="J9935" s="81"/>
      <c r="K9935" s="81"/>
      <c r="L9935" s="81"/>
      <c r="M9935" s="81"/>
      <c r="N9935" s="81"/>
    </row>
    <row r="9936" spans="1:14" ht="14.25" customHeight="1" x14ac:dyDescent="0.25">
      <c r="A9936" s="192"/>
      <c r="B9936" s="192"/>
      <c r="C9936" s="215"/>
      <c r="D9936" s="215"/>
      <c r="E9936" s="216"/>
      <c r="F9936" s="215"/>
      <c r="G9936" s="81"/>
      <c r="H9936" s="81"/>
      <c r="I9936" s="81"/>
      <c r="J9936" s="81"/>
      <c r="K9936" s="81"/>
      <c r="L9936" s="81"/>
      <c r="M9936" s="81"/>
      <c r="N9936" s="81"/>
    </row>
    <row r="9937" spans="1:14" ht="14.25" customHeight="1" x14ac:dyDescent="0.25">
      <c r="A9937" s="198" t="s">
        <v>573</v>
      </c>
      <c r="B9937" s="198"/>
      <c r="C9937" s="193"/>
      <c r="D9937" s="193"/>
      <c r="E9937" s="193"/>
      <c r="F9937" s="193"/>
      <c r="G9937" s="81"/>
      <c r="H9937" s="81"/>
      <c r="I9937" s="81"/>
      <c r="J9937" s="81"/>
      <c r="K9937" s="81"/>
      <c r="L9937" s="81"/>
      <c r="M9937" s="81"/>
      <c r="N9937" s="81"/>
    </row>
    <row r="9938" spans="1:14" ht="14.25" customHeight="1" x14ac:dyDescent="0.25">
      <c r="A9938" s="585" t="s">
        <v>563</v>
      </c>
      <c r="B9938" s="586"/>
      <c r="C9938" s="587"/>
      <c r="D9938" s="474" t="s">
        <v>574</v>
      </c>
      <c r="E9938" s="474" t="s">
        <v>575</v>
      </c>
      <c r="F9938" s="474" t="s">
        <v>568</v>
      </c>
      <c r="G9938" s="81"/>
      <c r="H9938" s="81"/>
      <c r="I9938" s="81"/>
      <c r="J9938" s="81"/>
      <c r="K9938" s="81"/>
      <c r="L9938" s="81"/>
      <c r="M9938" s="81"/>
      <c r="N9938" s="81"/>
    </row>
    <row r="9939" spans="1:14" ht="14.25" customHeight="1" x14ac:dyDescent="0.25">
      <c r="A9939" s="588" t="s">
        <v>577</v>
      </c>
      <c r="B9939" s="586"/>
      <c r="C9939" s="587"/>
      <c r="D9939" s="490"/>
      <c r="E9939" s="484"/>
      <c r="F9939" s="483">
        <f>+F9952*5%</f>
        <v>1449.8173316594803</v>
      </c>
      <c r="G9939" s="81"/>
      <c r="H9939" s="81"/>
      <c r="I9939" s="81"/>
      <c r="J9939" s="81"/>
      <c r="K9939" s="81"/>
      <c r="L9939" s="81"/>
      <c r="M9939" s="81"/>
      <c r="N9939" s="81"/>
    </row>
    <row r="9940" spans="1:14" ht="14.25" customHeight="1" x14ac:dyDescent="0.25">
      <c r="A9940" s="588"/>
      <c r="B9940" s="586"/>
      <c r="C9940" s="587"/>
      <c r="D9940" s="505"/>
      <c r="E9940" s="484"/>
      <c r="F9940" s="483"/>
      <c r="G9940" s="81"/>
      <c r="H9940" s="81"/>
      <c r="I9940" s="81"/>
      <c r="J9940" s="81"/>
      <c r="K9940" s="81"/>
      <c r="L9940" s="81"/>
      <c r="M9940" s="81"/>
      <c r="N9940" s="81"/>
    </row>
    <row r="9941" spans="1:14" ht="14.25" customHeight="1" x14ac:dyDescent="0.25">
      <c r="A9941" s="588"/>
      <c r="B9941" s="586"/>
      <c r="C9941" s="587"/>
      <c r="D9941" s="505"/>
      <c r="E9941" s="484"/>
      <c r="F9941" s="483"/>
      <c r="G9941" s="81"/>
      <c r="H9941" s="81"/>
      <c r="I9941" s="81"/>
      <c r="J9941" s="81"/>
      <c r="K9941" s="81"/>
      <c r="L9941" s="81"/>
      <c r="M9941" s="81"/>
      <c r="N9941" s="81"/>
    </row>
    <row r="9942" spans="1:14" ht="14.25" customHeight="1" x14ac:dyDescent="0.25">
      <c r="A9942" s="588"/>
      <c r="B9942" s="586"/>
      <c r="C9942" s="587"/>
      <c r="D9942" s="505"/>
      <c r="E9942" s="484"/>
      <c r="F9942" s="483"/>
      <c r="G9942" s="81"/>
      <c r="H9942" s="81"/>
      <c r="I9942" s="81"/>
      <c r="J9942" s="81"/>
      <c r="K9942" s="81"/>
      <c r="L9942" s="81"/>
      <c r="M9942" s="81"/>
      <c r="N9942" s="81"/>
    </row>
    <row r="9943" spans="1:14" ht="14.25" customHeight="1" x14ac:dyDescent="0.25">
      <c r="A9943" s="589"/>
      <c r="B9943" s="586"/>
      <c r="C9943" s="587"/>
      <c r="D9943" s="491"/>
      <c r="E9943" s="484"/>
      <c r="F9943" s="483"/>
      <c r="G9943" s="81"/>
      <c r="H9943" s="81"/>
      <c r="I9943" s="81"/>
      <c r="J9943" s="81"/>
      <c r="K9943" s="81"/>
      <c r="L9943" s="81"/>
      <c r="M9943" s="81"/>
      <c r="N9943" s="81"/>
    </row>
    <row r="9944" spans="1:14" ht="14.25" customHeight="1" x14ac:dyDescent="0.25">
      <c r="A9944" s="585" t="s">
        <v>548</v>
      </c>
      <c r="B9944" s="586"/>
      <c r="C9944" s="587"/>
      <c r="D9944" s="487"/>
      <c r="E9944" s="487"/>
      <c r="F9944" s="489">
        <f>SUM(F9939:F9943)</f>
        <v>1449.8173316594803</v>
      </c>
      <c r="G9944" s="81"/>
      <c r="H9944" s="81"/>
      <c r="I9944" s="81"/>
      <c r="J9944" s="81"/>
      <c r="K9944" s="81"/>
      <c r="L9944" s="81"/>
      <c r="M9944" s="81"/>
      <c r="N9944" s="81"/>
    </row>
    <row r="9945" spans="1:14" ht="14.25" customHeight="1" x14ac:dyDescent="0.25">
      <c r="A9945" s="192"/>
      <c r="B9945" s="192"/>
      <c r="C9945" s="194"/>
      <c r="D9945" s="215"/>
      <c r="E9945" s="215"/>
      <c r="F9945" s="215"/>
      <c r="G9945" s="81"/>
      <c r="H9945" s="81"/>
      <c r="I9945" s="81"/>
      <c r="J9945" s="81"/>
      <c r="K9945" s="81"/>
      <c r="L9945" s="81"/>
      <c r="M9945" s="81"/>
      <c r="N9945" s="81"/>
    </row>
    <row r="9946" spans="1:14" ht="14.25" customHeight="1" x14ac:dyDescent="0.25">
      <c r="A9946" s="198" t="s">
        <v>578</v>
      </c>
      <c r="B9946" s="198"/>
      <c r="C9946" s="193"/>
      <c r="D9946" s="223"/>
      <c r="E9946" s="223"/>
      <c r="F9946" s="223"/>
      <c r="G9946" s="81"/>
      <c r="H9946" s="81"/>
      <c r="I9946" s="81"/>
      <c r="J9946" s="81"/>
      <c r="K9946" s="81"/>
      <c r="L9946" s="81"/>
      <c r="M9946" s="81"/>
      <c r="N9946" s="81"/>
    </row>
    <row r="9947" spans="1:14" ht="14.25" customHeight="1" x14ac:dyDescent="0.25">
      <c r="A9947" s="224" t="s">
        <v>563</v>
      </c>
      <c r="B9947" s="492" t="s">
        <v>579</v>
      </c>
      <c r="C9947" s="492" t="s">
        <v>580</v>
      </c>
      <c r="D9947" s="493" t="s">
        <v>581</v>
      </c>
      <c r="E9947" s="493" t="s">
        <v>575</v>
      </c>
      <c r="F9947" s="493" t="s">
        <v>568</v>
      </c>
      <c r="G9947" s="81"/>
      <c r="H9947" s="81"/>
      <c r="I9947" s="81"/>
      <c r="J9947" s="81"/>
      <c r="K9947" s="81"/>
      <c r="L9947" s="81"/>
      <c r="M9947" s="81"/>
      <c r="N9947" s="81"/>
    </row>
    <row r="9948" spans="1:14" ht="14.25" customHeight="1" x14ac:dyDescent="0.25">
      <c r="A9948" s="494" t="s">
        <v>916</v>
      </c>
      <c r="B9948" s="495">
        <v>1</v>
      </c>
      <c r="C9948" s="477">
        <v>35956.800000000003</v>
      </c>
      <c r="D9948" s="477">
        <f t="shared" ref="D9948:D9949" si="492">+C9948*1.7</f>
        <v>61126.560000000005</v>
      </c>
      <c r="E9948" s="484">
        <v>5.4962999999999997</v>
      </c>
      <c r="F9948" s="483">
        <f t="shared" ref="F9948:F9949" si="493">+B9948*(D9948)/E9948</f>
        <v>11121.401670214509</v>
      </c>
      <c r="G9948" s="81"/>
      <c r="H9948" s="81"/>
      <c r="I9948" s="81"/>
      <c r="J9948" s="81"/>
      <c r="K9948" s="81"/>
      <c r="L9948" s="81"/>
      <c r="M9948" s="81"/>
      <c r="N9948" s="81"/>
    </row>
    <row r="9949" spans="1:14" ht="14.25" customHeight="1" x14ac:dyDescent="0.25">
      <c r="A9949" s="494" t="s">
        <v>917</v>
      </c>
      <c r="B9949" s="495">
        <v>1</v>
      </c>
      <c r="C9949" s="477">
        <v>57791.8</v>
      </c>
      <c r="D9949" s="477">
        <f t="shared" si="492"/>
        <v>98246.06</v>
      </c>
      <c r="E9949" s="484">
        <f>E9948</f>
        <v>5.4962999999999997</v>
      </c>
      <c r="F9949" s="483">
        <f t="shared" si="493"/>
        <v>17874.944962975092</v>
      </c>
      <c r="G9949" s="81"/>
      <c r="H9949" s="81"/>
      <c r="I9949" s="81"/>
      <c r="J9949" s="81"/>
      <c r="K9949" s="81"/>
      <c r="L9949" s="81"/>
      <c r="M9949" s="81"/>
      <c r="N9949" s="81"/>
    </row>
    <row r="9950" spans="1:14" ht="14.25" customHeight="1" x14ac:dyDescent="0.25">
      <c r="A9950" s="494"/>
      <c r="B9950" s="495"/>
      <c r="C9950" s="477"/>
      <c r="D9950" s="477"/>
      <c r="E9950" s="484"/>
      <c r="F9950" s="483"/>
      <c r="G9950" s="81"/>
      <c r="H9950" s="81"/>
      <c r="I9950" s="81"/>
      <c r="J9950" s="81"/>
      <c r="K9950" s="81"/>
      <c r="L9950" s="81"/>
      <c r="M9950" s="81"/>
      <c r="N9950" s="81"/>
    </row>
    <row r="9951" spans="1:14" ht="14.25" customHeight="1" x14ac:dyDescent="0.25">
      <c r="A9951" s="494"/>
      <c r="B9951" s="495"/>
      <c r="C9951" s="477"/>
      <c r="D9951" s="477"/>
      <c r="E9951" s="496"/>
      <c r="F9951" s="483"/>
      <c r="G9951" s="81"/>
      <c r="H9951" s="81"/>
      <c r="I9951" s="81"/>
      <c r="J9951" s="81"/>
      <c r="K9951" s="81"/>
      <c r="L9951" s="81"/>
      <c r="M9951" s="81"/>
      <c r="N9951" s="81"/>
    </row>
    <row r="9952" spans="1:14" ht="14.25" customHeight="1" x14ac:dyDescent="0.25">
      <c r="A9952" s="199" t="s">
        <v>548</v>
      </c>
      <c r="B9952" s="497"/>
      <c r="C9952" s="487"/>
      <c r="D9952" s="487"/>
      <c r="E9952" s="487"/>
      <c r="F9952" s="489">
        <f>SUM(F9948:F9951)</f>
        <v>28996.346633189602</v>
      </c>
      <c r="G9952" s="81"/>
      <c r="H9952" s="81"/>
      <c r="I9952" s="81"/>
      <c r="J9952" s="81"/>
      <c r="K9952" s="81"/>
      <c r="L9952" s="81"/>
      <c r="M9952" s="81"/>
      <c r="N9952" s="81"/>
    </row>
    <row r="9953" spans="1:14" ht="14.25" customHeight="1" x14ac:dyDescent="0.25">
      <c r="A9953" s="198"/>
      <c r="B9953" s="231"/>
      <c r="C9953" s="223"/>
      <c r="D9953" s="223"/>
      <c r="E9953" s="223"/>
      <c r="F9953" s="223"/>
      <c r="G9953" s="81"/>
      <c r="H9953" s="81"/>
      <c r="I9953" s="81"/>
      <c r="J9953" s="81"/>
      <c r="K9953" s="81"/>
      <c r="L9953" s="81"/>
      <c r="M9953" s="81"/>
      <c r="N9953" s="81"/>
    </row>
    <row r="9954" spans="1:14" ht="14.25" customHeight="1" x14ac:dyDescent="0.25">
      <c r="A9954" s="197" t="s">
        <v>583</v>
      </c>
      <c r="B9954" s="198"/>
      <c r="C9954" s="193"/>
      <c r="D9954" s="193"/>
      <c r="E9954" s="193" t="s">
        <v>584</v>
      </c>
      <c r="F9954" s="193"/>
      <c r="G9954" s="81"/>
      <c r="H9954" s="81"/>
      <c r="I9954" s="81"/>
      <c r="J9954" s="81"/>
      <c r="K9954" s="81"/>
      <c r="L9954" s="81"/>
      <c r="M9954" s="81"/>
      <c r="N9954" s="81"/>
    </row>
    <row r="9955" spans="1:14" ht="14.25" customHeight="1" x14ac:dyDescent="0.25">
      <c r="A9955" s="199" t="s">
        <v>563</v>
      </c>
      <c r="B9955" s="474" t="s">
        <v>564</v>
      </c>
      <c r="C9955" s="474" t="s">
        <v>585</v>
      </c>
      <c r="D9955" s="474" t="s">
        <v>586</v>
      </c>
      <c r="E9955" s="492" t="s">
        <v>587</v>
      </c>
      <c r="F9955" s="474" t="s">
        <v>568</v>
      </c>
      <c r="G9955" s="81"/>
      <c r="H9955" s="81"/>
      <c r="I9955" s="81"/>
      <c r="J9955" s="81"/>
      <c r="K9955" s="81"/>
      <c r="L9955" s="81"/>
      <c r="M9955" s="81"/>
      <c r="N9955" s="81"/>
    </row>
    <row r="9956" spans="1:14" ht="14.25" customHeight="1" x14ac:dyDescent="0.25">
      <c r="A9956" s="480"/>
      <c r="B9956" s="476"/>
      <c r="C9956" s="477"/>
      <c r="D9956" s="498"/>
      <c r="E9956" s="484"/>
      <c r="F9956" s="486">
        <f>+C9956*D9956*E9956</f>
        <v>0</v>
      </c>
      <c r="G9956" s="81"/>
      <c r="H9956" s="81"/>
      <c r="I9956" s="81"/>
      <c r="J9956" s="81"/>
      <c r="K9956" s="81"/>
      <c r="L9956" s="81"/>
      <c r="M9956" s="81"/>
      <c r="N9956" s="81"/>
    </row>
    <row r="9957" spans="1:14" ht="14.25" customHeight="1" x14ac:dyDescent="0.25">
      <c r="A9957" s="480"/>
      <c r="B9957" s="476"/>
      <c r="C9957" s="484"/>
      <c r="D9957" s="484"/>
      <c r="E9957" s="485"/>
      <c r="F9957" s="486"/>
      <c r="G9957" s="81"/>
      <c r="H9957" s="81"/>
      <c r="I9957" s="81"/>
      <c r="J9957" s="81"/>
      <c r="K9957" s="81"/>
      <c r="L9957" s="81"/>
      <c r="M9957" s="81"/>
      <c r="N9957" s="81"/>
    </row>
    <row r="9958" spans="1:14" ht="14.25" customHeight="1" x14ac:dyDescent="0.25">
      <c r="A9958" s="199" t="s">
        <v>548</v>
      </c>
      <c r="B9958" s="474"/>
      <c r="C9958" s="487"/>
      <c r="D9958" s="487"/>
      <c r="E9958" s="488"/>
      <c r="F9958" s="489">
        <f>SUM(F9956:F9957)</f>
        <v>0</v>
      </c>
      <c r="G9958" s="81"/>
      <c r="H9958" s="81"/>
      <c r="I9958" s="81"/>
      <c r="J9958" s="81"/>
      <c r="K9958" s="81"/>
      <c r="L9958" s="81"/>
      <c r="M9958" s="81"/>
      <c r="N9958" s="81"/>
    </row>
    <row r="9959" spans="1:14" ht="14.25" customHeight="1" x14ac:dyDescent="0.25">
      <c r="A9959" s="192"/>
      <c r="B9959" s="194"/>
      <c r="C9959" s="215"/>
      <c r="D9959" s="215"/>
      <c r="E9959" s="216"/>
      <c r="F9959" s="215"/>
      <c r="G9959" s="81"/>
      <c r="H9959" s="81"/>
      <c r="I9959" s="81"/>
      <c r="J9959" s="81"/>
      <c r="K9959" s="81"/>
      <c r="L9959" s="81"/>
      <c r="M9959" s="81"/>
      <c r="N9959" s="81"/>
    </row>
    <row r="9960" spans="1:14" ht="14.25" customHeight="1" x14ac:dyDescent="0.25">
      <c r="A9960" s="192"/>
      <c r="B9960" s="194"/>
      <c r="C9960" s="215"/>
      <c r="D9960" s="215"/>
      <c r="E9960" s="216"/>
      <c r="F9960" s="215"/>
      <c r="G9960" s="81"/>
      <c r="H9960" s="81"/>
      <c r="I9960" s="81"/>
      <c r="J9960" s="81"/>
      <c r="K9960" s="81"/>
      <c r="L9960" s="81"/>
      <c r="M9960" s="81"/>
      <c r="N9960" s="81"/>
    </row>
    <row r="9961" spans="1:14" ht="14.25" customHeight="1" x14ac:dyDescent="0.25">
      <c r="A9961" s="590" t="s">
        <v>588</v>
      </c>
      <c r="B9961" s="586"/>
      <c r="C9961" s="586"/>
      <c r="D9961" s="586"/>
      <c r="E9961" s="587"/>
      <c r="F9961" s="499">
        <f>ROUND(F9935+F9944+F9952+F9958,0)</f>
        <v>115370</v>
      </c>
      <c r="G9961" s="81"/>
      <c r="H9961" s="81"/>
      <c r="I9961" s="81"/>
      <c r="J9961" s="81"/>
      <c r="K9961" s="81"/>
      <c r="L9961" s="81"/>
      <c r="M9961" s="81"/>
      <c r="N9961" s="81"/>
    </row>
    <row r="9962" spans="1:14" ht="14.25" customHeight="1" x14ac:dyDescent="0.25">
      <c r="A9962" s="590" t="s">
        <v>589</v>
      </c>
      <c r="B9962" s="586"/>
      <c r="C9962" s="586"/>
      <c r="D9962" s="586"/>
      <c r="E9962" s="587"/>
      <c r="F9962" s="500"/>
      <c r="G9962" s="81"/>
      <c r="H9962" s="81"/>
      <c r="I9962" s="81"/>
      <c r="J9962" s="81"/>
      <c r="K9962" s="81"/>
      <c r="L9962" s="81"/>
      <c r="M9962" s="81"/>
      <c r="N9962" s="81"/>
    </row>
    <row r="9963" spans="1:14" ht="14.25" customHeight="1" x14ac:dyDescent="0.25">
      <c r="A9963" s="300" t="s">
        <v>556</v>
      </c>
      <c r="B9963" s="506"/>
      <c r="C9963" s="506"/>
      <c r="D9963" s="506"/>
      <c r="E9963" s="507"/>
      <c r="F9963" s="501"/>
      <c r="G9963" s="81"/>
      <c r="H9963" s="81"/>
      <c r="I9963" s="81"/>
      <c r="J9963" s="81"/>
      <c r="K9963" s="81"/>
      <c r="L9963" s="81"/>
      <c r="M9963" s="81"/>
      <c r="N9963" s="81"/>
    </row>
    <row r="9964" spans="1:14" ht="14.25" customHeight="1" x14ac:dyDescent="0.25">
      <c r="A9964" s="301"/>
      <c r="B9964" s="502"/>
      <c r="C9964" s="502"/>
      <c r="D9964" s="502"/>
      <c r="E9964" s="502"/>
      <c r="F9964" s="503"/>
      <c r="G9964" s="81"/>
      <c r="H9964" s="81"/>
      <c r="I9964" s="81"/>
      <c r="J9964" s="81"/>
      <c r="K9964" s="81"/>
      <c r="L9964" s="81"/>
      <c r="M9964" s="81"/>
      <c r="N9964" s="81"/>
    </row>
    <row r="9965" spans="1:14" ht="14.25" customHeight="1" x14ac:dyDescent="0.25">
      <c r="A9965" s="301"/>
      <c r="B9965" s="502"/>
      <c r="C9965" s="502"/>
      <c r="D9965" s="502"/>
      <c r="E9965" s="502"/>
      <c r="F9965" s="503"/>
      <c r="G9965" s="81"/>
      <c r="H9965" s="81"/>
      <c r="I9965" s="81"/>
      <c r="J9965" s="81"/>
      <c r="K9965" s="81"/>
      <c r="L9965" s="81"/>
      <c r="M9965" s="81"/>
      <c r="N9965" s="81"/>
    </row>
    <row r="9966" spans="1:14" ht="14.25" customHeight="1" x14ac:dyDescent="0.25">
      <c r="A9966" s="301"/>
      <c r="B9966" s="502"/>
      <c r="C9966" s="502"/>
      <c r="D9966" s="502"/>
      <c r="E9966" s="502"/>
      <c r="F9966" s="503"/>
      <c r="G9966" s="81"/>
      <c r="H9966" s="117"/>
      <c r="I9966" s="81"/>
      <c r="J9966" s="81"/>
      <c r="K9966" s="81"/>
      <c r="L9966" s="81"/>
      <c r="M9966" s="81"/>
      <c r="N9966" s="81"/>
    </row>
    <row r="9967" spans="1:14" ht="14.25" customHeight="1" x14ac:dyDescent="0.25">
      <c r="A9967" s="243"/>
      <c r="B9967" s="243"/>
      <c r="C9967" s="504"/>
      <c r="D9967" s="243"/>
      <c r="E9967" s="243"/>
      <c r="F9967" s="243"/>
      <c r="G9967" s="81"/>
      <c r="H9967" s="81"/>
      <c r="I9967" s="81"/>
      <c r="J9967" s="81"/>
      <c r="K9967" s="81"/>
      <c r="L9967" s="81"/>
      <c r="M9967" s="81"/>
      <c r="N9967" s="81"/>
    </row>
    <row r="9968" spans="1:14" ht="14.25" customHeight="1" x14ac:dyDescent="0.25">
      <c r="A9968" s="243"/>
      <c r="B9968" s="243"/>
      <c r="C9968" s="504"/>
      <c r="D9968" s="243"/>
      <c r="E9968" s="243"/>
      <c r="F9968" s="243"/>
      <c r="G9968" s="81"/>
      <c r="H9968" s="81"/>
      <c r="I9968" s="81"/>
      <c r="J9968" s="81"/>
      <c r="K9968" s="81"/>
      <c r="L9968" s="81"/>
      <c r="M9968" s="81"/>
      <c r="N9968" s="81"/>
    </row>
    <row r="9969" spans="1:14" ht="14.25" customHeight="1" x14ac:dyDescent="0.25">
      <c r="A9969" s="243"/>
      <c r="B9969" s="243"/>
      <c r="C9969" s="504"/>
      <c r="D9969" s="243"/>
      <c r="E9969" s="243"/>
      <c r="F9969" s="243"/>
      <c r="G9969" s="81"/>
      <c r="H9969" s="81"/>
      <c r="I9969" s="81"/>
      <c r="J9969" s="81"/>
      <c r="K9969" s="81"/>
      <c r="L9969" s="81"/>
      <c r="M9969" s="81"/>
      <c r="N9969" s="81"/>
    </row>
    <row r="9970" spans="1:14" ht="14.25" customHeight="1" x14ac:dyDescent="0.25">
      <c r="A9970" s="243"/>
      <c r="B9970" s="243"/>
      <c r="C9970" s="504"/>
      <c r="D9970" s="243"/>
      <c r="E9970" s="243"/>
      <c r="F9970" s="243"/>
      <c r="G9970" s="81"/>
      <c r="H9970" s="81"/>
      <c r="I9970" s="81"/>
      <c r="J9970" s="81"/>
      <c r="K9970" s="81"/>
      <c r="L9970" s="81"/>
      <c r="M9970" s="81"/>
      <c r="N9970" s="81"/>
    </row>
    <row r="9971" spans="1:14" ht="14.25" customHeight="1" x14ac:dyDescent="0.25">
      <c r="A9971" s="243"/>
      <c r="B9971" s="243"/>
      <c r="C9971" s="504"/>
      <c r="D9971" s="243"/>
      <c r="E9971" s="243"/>
      <c r="F9971" s="243"/>
      <c r="G9971" s="81"/>
      <c r="H9971" s="81"/>
      <c r="I9971" s="81"/>
      <c r="J9971" s="81"/>
      <c r="K9971" s="81"/>
      <c r="L9971" s="81"/>
      <c r="M9971" s="81"/>
      <c r="N9971" s="81"/>
    </row>
    <row r="9972" spans="1:14" ht="14.25" customHeight="1" x14ac:dyDescent="0.25">
      <c r="A9972" s="243"/>
      <c r="B9972" s="243"/>
      <c r="C9972" s="504"/>
      <c r="D9972" s="243"/>
      <c r="E9972" s="243"/>
      <c r="F9972" s="243"/>
      <c r="G9972" s="81"/>
      <c r="H9972" s="81"/>
      <c r="I9972" s="81"/>
      <c r="J9972" s="81"/>
      <c r="K9972" s="81"/>
      <c r="L9972" s="81"/>
      <c r="M9972" s="81"/>
      <c r="N9972" s="81"/>
    </row>
    <row r="9973" spans="1:14" ht="14.25" customHeight="1" x14ac:dyDescent="0.25">
      <c r="A9973" s="243"/>
      <c r="B9973" s="243"/>
      <c r="C9973" s="504"/>
      <c r="D9973" s="243"/>
      <c r="E9973" s="243"/>
      <c r="F9973" s="243"/>
      <c r="G9973" s="81"/>
      <c r="H9973" s="81"/>
      <c r="I9973" s="81"/>
      <c r="J9973" s="81"/>
      <c r="K9973" s="81"/>
      <c r="L9973" s="81"/>
      <c r="M9973" s="81"/>
      <c r="N9973" s="81"/>
    </row>
    <row r="9974" spans="1:14" ht="14.25" customHeight="1" x14ac:dyDescent="0.25">
      <c r="A9974" s="243"/>
      <c r="B9974" s="243"/>
      <c r="C9974" s="504"/>
      <c r="D9974" s="243"/>
      <c r="E9974" s="243"/>
      <c r="F9974" s="243"/>
      <c r="G9974" s="81"/>
      <c r="H9974" s="81"/>
      <c r="I9974" s="81"/>
      <c r="J9974" s="81"/>
      <c r="K9974" s="81"/>
      <c r="L9974" s="81"/>
      <c r="M9974" s="81"/>
      <c r="N9974" s="81"/>
    </row>
    <row r="9975" spans="1:14" ht="14.25" customHeight="1" x14ac:dyDescent="0.25">
      <c r="A9975" s="243"/>
      <c r="B9975" s="243"/>
      <c r="C9975" s="504"/>
      <c r="D9975" s="243"/>
      <c r="E9975" s="243"/>
      <c r="F9975" s="243"/>
      <c r="G9975" s="81"/>
      <c r="H9975" s="81"/>
      <c r="I9975" s="81"/>
      <c r="J9975" s="81"/>
      <c r="K9975" s="81"/>
      <c r="L9975" s="81"/>
      <c r="M9975" s="81"/>
      <c r="N9975" s="81"/>
    </row>
    <row r="9976" spans="1:14" ht="14.25" customHeight="1" x14ac:dyDescent="0.25">
      <c r="A9976" s="243"/>
      <c r="B9976" s="243"/>
      <c r="C9976" s="504"/>
      <c r="D9976" s="243"/>
      <c r="E9976" s="243"/>
      <c r="F9976" s="243"/>
      <c r="G9976" s="81"/>
      <c r="H9976" s="81"/>
      <c r="I9976" s="81"/>
      <c r="J9976" s="81"/>
      <c r="K9976" s="81"/>
      <c r="L9976" s="81"/>
      <c r="M9976" s="81"/>
      <c r="N9976" s="81"/>
    </row>
    <row r="9977" spans="1:14" ht="14.25" customHeight="1" x14ac:dyDescent="0.25">
      <c r="A9977" s="243"/>
      <c r="B9977" s="243"/>
      <c r="C9977" s="504"/>
      <c r="D9977" s="243"/>
      <c r="E9977" s="243"/>
      <c r="F9977" s="243"/>
      <c r="G9977" s="81"/>
      <c r="H9977" s="81"/>
      <c r="I9977" s="81"/>
      <c r="J9977" s="81"/>
      <c r="K9977" s="81"/>
      <c r="L9977" s="81"/>
      <c r="M9977" s="81"/>
      <c r="N9977" s="81"/>
    </row>
    <row r="9978" spans="1:14" ht="14.25" customHeight="1" x14ac:dyDescent="0.25">
      <c r="A9978" s="301"/>
      <c r="B9978" s="502"/>
      <c r="C9978" s="502"/>
      <c r="D9978" s="502"/>
      <c r="E9978" s="502"/>
      <c r="F9978" s="503"/>
      <c r="G9978" s="81"/>
      <c r="H9978" s="81"/>
      <c r="I9978" s="81"/>
      <c r="J9978" s="81"/>
      <c r="K9978" s="81"/>
      <c r="L9978" s="81"/>
      <c r="M9978" s="81"/>
      <c r="N9978" s="81"/>
    </row>
    <row r="9979" spans="1:14" ht="14.25" customHeight="1" thickBot="1" x14ac:dyDescent="0.3">
      <c r="A9979" s="243"/>
      <c r="B9979" s="243"/>
      <c r="C9979" s="243"/>
      <c r="D9979" s="243"/>
      <c r="E9979" s="243"/>
      <c r="F9979" s="243"/>
      <c r="G9979" s="81"/>
      <c r="H9979" s="81"/>
      <c r="I9979" s="81"/>
      <c r="J9979" s="81"/>
      <c r="K9979" s="81"/>
      <c r="L9979" s="81"/>
      <c r="M9979" s="81"/>
      <c r="N9979" s="81"/>
    </row>
    <row r="9980" spans="1:14" ht="14.25" customHeight="1" x14ac:dyDescent="0.25">
      <c r="A9980" s="258"/>
      <c r="B9980" s="259"/>
      <c r="C9980" s="260"/>
      <c r="D9980" s="261"/>
      <c r="E9980" s="261"/>
      <c r="F9980" s="262"/>
      <c r="G9980" s="81"/>
      <c r="H9980" s="81"/>
      <c r="I9980" s="81"/>
      <c r="J9980" s="81"/>
      <c r="K9980" s="81"/>
      <c r="L9980" s="81"/>
      <c r="M9980" s="81"/>
      <c r="N9980" s="81"/>
    </row>
    <row r="9981" spans="1:14" ht="14.25" customHeight="1" x14ac:dyDescent="0.25">
      <c r="A9981" s="621"/>
      <c r="B9981" s="629"/>
      <c r="C9981" s="629"/>
      <c r="D9981" s="629"/>
      <c r="E9981" s="629"/>
      <c r="F9981" s="630"/>
      <c r="G9981" s="81"/>
      <c r="H9981" s="81"/>
      <c r="I9981" s="81"/>
      <c r="J9981" s="81"/>
      <c r="K9981" s="81"/>
      <c r="L9981" s="81"/>
      <c r="M9981" s="81"/>
      <c r="N9981" s="81"/>
    </row>
    <row r="9982" spans="1:14" ht="14.25" customHeight="1" x14ac:dyDescent="0.25">
      <c r="A9982" s="614" t="s">
        <v>561</v>
      </c>
      <c r="B9982" s="629"/>
      <c r="C9982" s="629"/>
      <c r="D9982" s="629"/>
      <c r="E9982" s="629"/>
      <c r="F9982" s="630"/>
      <c r="G9982" s="81"/>
      <c r="H9982" s="81"/>
      <c r="I9982" s="81"/>
      <c r="J9982" s="81"/>
      <c r="K9982" s="81"/>
      <c r="L9982" s="81"/>
      <c r="M9982" s="81"/>
      <c r="N9982" s="81"/>
    </row>
    <row r="9983" spans="1:14" ht="14.25" customHeight="1" thickBot="1" x14ac:dyDescent="0.3">
      <c r="A9983" s="617"/>
      <c r="B9983" s="631"/>
      <c r="C9983" s="631"/>
      <c r="D9983" s="631"/>
      <c r="E9983" s="631"/>
      <c r="F9983" s="632"/>
      <c r="G9983" s="81"/>
      <c r="H9983" s="81"/>
      <c r="I9983" s="81"/>
      <c r="J9983" s="81"/>
      <c r="K9983" s="81"/>
      <c r="L9983" s="81"/>
      <c r="M9983" s="81"/>
      <c r="N9983" s="81"/>
    </row>
    <row r="9984" spans="1:14" ht="14.25" customHeight="1" x14ac:dyDescent="0.25">
      <c r="A9984" s="192"/>
      <c r="B9984" s="192"/>
      <c r="C9984" s="194"/>
      <c r="D9984" s="194"/>
      <c r="E9984" s="194"/>
      <c r="F9984" s="194"/>
      <c r="G9984" s="81"/>
      <c r="H9984" s="81"/>
      <c r="I9984" s="81"/>
      <c r="J9984" s="81"/>
      <c r="K9984" s="81"/>
      <c r="L9984" s="81"/>
      <c r="M9984" s="81"/>
      <c r="N9984" s="81"/>
    </row>
    <row r="9985" spans="1:14" ht="14.25" customHeight="1" x14ac:dyDescent="0.25">
      <c r="A9985" s="473" t="s">
        <v>47</v>
      </c>
      <c r="B9985" s="620" t="s">
        <v>423</v>
      </c>
      <c r="C9985" s="629"/>
      <c r="D9985" s="629"/>
      <c r="E9985" s="629"/>
      <c r="F9985" s="629"/>
      <c r="G9985" s="81"/>
      <c r="H9985" s="81"/>
      <c r="I9985" s="81"/>
      <c r="J9985" s="81"/>
      <c r="K9985" s="81"/>
      <c r="L9985" s="81"/>
      <c r="M9985" s="81"/>
      <c r="N9985" s="81"/>
    </row>
    <row r="9986" spans="1:14" ht="14.25" customHeight="1" x14ac:dyDescent="0.25">
      <c r="A9986" s="191"/>
      <c r="B9986" s="191"/>
      <c r="C9986" s="191"/>
      <c r="D9986" s="191"/>
      <c r="E9986" s="191"/>
      <c r="F9986" s="191"/>
      <c r="G9986" s="81"/>
      <c r="H9986" s="81"/>
      <c r="I9986" s="81"/>
      <c r="J9986" s="81"/>
      <c r="K9986" s="81"/>
      <c r="L9986" s="81"/>
      <c r="M9986" s="81"/>
      <c r="N9986" s="81"/>
    </row>
    <row r="9987" spans="1:14" ht="14.25" customHeight="1" x14ac:dyDescent="0.25">
      <c r="A9987" s="192" t="s">
        <v>49</v>
      </c>
      <c r="B9987" s="193" t="s">
        <v>99</v>
      </c>
      <c r="C9987" s="194"/>
      <c r="D9987" s="194"/>
      <c r="E9987" s="194"/>
      <c r="F9987" s="195"/>
      <c r="G9987" s="81"/>
      <c r="H9987" s="81"/>
      <c r="I9987" s="81"/>
      <c r="J9987" s="81"/>
      <c r="K9987" s="81"/>
      <c r="L9987" s="81"/>
      <c r="M9987" s="81"/>
      <c r="N9987" s="81"/>
    </row>
    <row r="9988" spans="1:14" ht="14.25" customHeight="1" x14ac:dyDescent="0.25">
      <c r="A9988" s="192"/>
      <c r="B9988" s="196"/>
      <c r="C9988" s="194"/>
      <c r="D9988" s="194"/>
      <c r="E9988" s="194"/>
      <c r="F9988" s="195"/>
      <c r="G9988" s="81"/>
      <c r="H9988" s="81"/>
      <c r="I9988" s="81"/>
      <c r="J9988" s="81"/>
      <c r="K9988" s="81"/>
      <c r="L9988" s="81"/>
      <c r="M9988" s="81"/>
      <c r="N9988" s="81"/>
    </row>
    <row r="9989" spans="1:14" ht="14.25" customHeight="1" x14ac:dyDescent="0.25">
      <c r="A9989" s="197" t="s">
        <v>562</v>
      </c>
      <c r="B9989" s="198"/>
      <c r="C9989" s="193"/>
      <c r="D9989" s="193"/>
      <c r="E9989" s="193"/>
      <c r="F9989" s="193"/>
      <c r="G9989" s="81"/>
      <c r="H9989" s="81"/>
      <c r="I9989" s="81"/>
      <c r="J9989" s="81"/>
      <c r="K9989" s="81"/>
      <c r="L9989" s="81"/>
      <c r="M9989" s="81"/>
      <c r="N9989" s="81"/>
    </row>
    <row r="9990" spans="1:14" ht="14.25" customHeight="1" x14ac:dyDescent="0.25">
      <c r="A9990" s="199" t="s">
        <v>563</v>
      </c>
      <c r="B9990" s="474" t="s">
        <v>564</v>
      </c>
      <c r="C9990" s="474" t="s">
        <v>565</v>
      </c>
      <c r="D9990" s="474" t="s">
        <v>566</v>
      </c>
      <c r="E9990" s="474" t="s">
        <v>567</v>
      </c>
      <c r="F9990" s="474" t="s">
        <v>568</v>
      </c>
      <c r="G9990" s="81"/>
      <c r="H9990" s="81"/>
      <c r="I9990" s="81"/>
      <c r="J9990" s="81"/>
      <c r="K9990" s="81"/>
      <c r="L9990" s="81"/>
      <c r="M9990" s="81"/>
      <c r="N9990" s="81"/>
    </row>
    <row r="9991" spans="1:14" ht="14.25" customHeight="1" x14ac:dyDescent="0.25">
      <c r="A9991" s="475"/>
      <c r="B9991" s="476"/>
      <c r="C9991" s="477"/>
      <c r="D9991" s="478"/>
      <c r="E9991" s="479"/>
      <c r="F9991" s="477">
        <f t="shared" ref="F9991:F9992" si="494">C9991*(D9991+(D9991*E9991))</f>
        <v>0</v>
      </c>
      <c r="G9991" s="81"/>
      <c r="H9991" s="81"/>
      <c r="I9991" s="81"/>
      <c r="J9991" s="81"/>
      <c r="K9991" s="81"/>
      <c r="L9991" s="81"/>
      <c r="M9991" s="81"/>
      <c r="N9991" s="81"/>
    </row>
    <row r="9992" spans="1:14" ht="14.25" customHeight="1" x14ac:dyDescent="0.25">
      <c r="A9992" s="475"/>
      <c r="B9992" s="476"/>
      <c r="C9992" s="477"/>
      <c r="D9992" s="478"/>
      <c r="E9992" s="479"/>
      <c r="F9992" s="477">
        <f t="shared" si="494"/>
        <v>0</v>
      </c>
      <c r="G9992" s="81"/>
      <c r="H9992" s="81"/>
      <c r="I9992" s="81"/>
      <c r="J9992" s="81"/>
      <c r="K9992" s="81"/>
      <c r="L9992" s="81"/>
      <c r="M9992" s="81"/>
      <c r="N9992" s="81"/>
    </row>
    <row r="9993" spans="1:14" ht="14.25" customHeight="1" x14ac:dyDescent="0.25">
      <c r="A9993" s="475"/>
      <c r="B9993" s="476"/>
      <c r="C9993" s="477"/>
      <c r="D9993" s="478"/>
      <c r="E9993" s="479"/>
      <c r="F9993" s="477"/>
      <c r="G9993" s="81"/>
      <c r="H9993" s="81"/>
      <c r="I9993" s="81"/>
      <c r="J9993" s="81"/>
      <c r="K9993" s="81"/>
      <c r="L9993" s="81"/>
      <c r="M9993" s="81"/>
      <c r="N9993" s="81"/>
    </row>
    <row r="9994" spans="1:14" ht="14.25" customHeight="1" x14ac:dyDescent="0.25">
      <c r="A9994" s="475"/>
      <c r="B9994" s="476"/>
      <c r="C9994" s="477"/>
      <c r="D9994" s="478"/>
      <c r="E9994" s="479"/>
      <c r="F9994" s="477"/>
      <c r="G9994" s="81"/>
      <c r="H9994" s="81"/>
      <c r="I9994" s="81"/>
      <c r="J9994" s="81"/>
      <c r="K9994" s="81"/>
      <c r="L9994" s="81"/>
      <c r="M9994" s="81"/>
      <c r="N9994" s="81"/>
    </row>
    <row r="9995" spans="1:14" ht="14.25" customHeight="1" x14ac:dyDescent="0.25">
      <c r="A9995" s="475"/>
      <c r="B9995" s="476"/>
      <c r="C9995" s="483"/>
      <c r="D9995" s="484"/>
      <c r="E9995" s="485"/>
      <c r="F9995" s="483"/>
      <c r="G9995" s="81"/>
      <c r="H9995" s="81"/>
      <c r="I9995" s="81"/>
      <c r="J9995" s="81"/>
      <c r="K9995" s="81"/>
      <c r="L9995" s="81"/>
      <c r="M9995" s="81"/>
      <c r="N9995" s="81"/>
    </row>
    <row r="9996" spans="1:14" ht="14.25" customHeight="1" x14ac:dyDescent="0.25">
      <c r="A9996" s="199" t="s">
        <v>548</v>
      </c>
      <c r="B9996" s="199"/>
      <c r="C9996" s="486"/>
      <c r="D9996" s="487"/>
      <c r="E9996" s="488"/>
      <c r="F9996" s="489">
        <f>SUM(F9991:F9995)</f>
        <v>0</v>
      </c>
      <c r="G9996" s="81"/>
      <c r="H9996" s="81"/>
      <c r="I9996" s="81"/>
      <c r="J9996" s="81"/>
      <c r="K9996" s="81"/>
      <c r="L9996" s="81"/>
      <c r="M9996" s="81"/>
      <c r="N9996" s="81"/>
    </row>
    <row r="9997" spans="1:14" ht="14.25" customHeight="1" x14ac:dyDescent="0.25">
      <c r="A9997" s="192"/>
      <c r="B9997" s="192"/>
      <c r="C9997" s="215"/>
      <c r="D9997" s="215"/>
      <c r="E9997" s="216"/>
      <c r="F9997" s="215"/>
      <c r="G9997" s="81"/>
      <c r="H9997" s="81"/>
      <c r="I9997" s="81"/>
      <c r="J9997" s="81"/>
      <c r="K9997" s="81"/>
      <c r="L9997" s="81"/>
      <c r="M9997" s="81"/>
      <c r="N9997" s="81"/>
    </row>
    <row r="9998" spans="1:14" ht="14.25" customHeight="1" x14ac:dyDescent="0.25">
      <c r="A9998" s="198" t="s">
        <v>573</v>
      </c>
      <c r="B9998" s="198"/>
      <c r="C9998" s="193"/>
      <c r="D9998" s="193"/>
      <c r="E9998" s="193"/>
      <c r="F9998" s="193"/>
      <c r="G9998" s="81"/>
      <c r="H9998" s="81"/>
      <c r="I9998" s="81"/>
      <c r="J9998" s="81"/>
      <c r="K9998" s="81"/>
      <c r="L9998" s="81"/>
      <c r="M9998" s="81"/>
      <c r="N9998" s="81"/>
    </row>
    <row r="9999" spans="1:14" ht="14.25" customHeight="1" x14ac:dyDescent="0.25">
      <c r="A9999" s="585" t="s">
        <v>563</v>
      </c>
      <c r="B9999" s="586"/>
      <c r="C9999" s="587"/>
      <c r="D9999" s="474" t="s">
        <v>574</v>
      </c>
      <c r="E9999" s="474" t="s">
        <v>575</v>
      </c>
      <c r="F9999" s="474" t="s">
        <v>568</v>
      </c>
      <c r="G9999" s="81"/>
      <c r="H9999" s="81"/>
      <c r="I9999" s="81"/>
      <c r="J9999" s="81"/>
      <c r="K9999" s="81"/>
      <c r="L9999" s="81"/>
      <c r="M9999" s="81"/>
      <c r="N9999" s="81"/>
    </row>
    <row r="10000" spans="1:14" ht="14.25" customHeight="1" x14ac:dyDescent="0.25">
      <c r="A10000" s="588" t="s">
        <v>577</v>
      </c>
      <c r="B10000" s="586"/>
      <c r="C10000" s="587"/>
      <c r="D10000" s="490"/>
      <c r="E10000" s="484"/>
      <c r="F10000" s="483">
        <f>+F10013*5%</f>
        <v>230952.39917007473</v>
      </c>
      <c r="G10000" s="81"/>
      <c r="H10000" s="81"/>
      <c r="I10000" s="81"/>
      <c r="J10000" s="81"/>
      <c r="K10000" s="81"/>
      <c r="L10000" s="81"/>
      <c r="M10000" s="81"/>
      <c r="N10000" s="81"/>
    </row>
    <row r="10001" spans="1:14" ht="14.25" customHeight="1" x14ac:dyDescent="0.25">
      <c r="A10001" s="588"/>
      <c r="B10001" s="586"/>
      <c r="C10001" s="587"/>
      <c r="D10001" s="505"/>
      <c r="E10001" s="484"/>
      <c r="F10001" s="483"/>
      <c r="G10001" s="81"/>
      <c r="H10001" s="81"/>
      <c r="I10001" s="81"/>
      <c r="J10001" s="81"/>
      <c r="K10001" s="81"/>
      <c r="L10001" s="81"/>
      <c r="M10001" s="81"/>
      <c r="N10001" s="81"/>
    </row>
    <row r="10002" spans="1:14" ht="14.25" customHeight="1" x14ac:dyDescent="0.25">
      <c r="A10002" s="588"/>
      <c r="B10002" s="586"/>
      <c r="C10002" s="587"/>
      <c r="D10002" s="505"/>
      <c r="E10002" s="484"/>
      <c r="F10002" s="483"/>
      <c r="G10002" s="81"/>
      <c r="H10002" s="81"/>
      <c r="I10002" s="81"/>
      <c r="J10002" s="81"/>
      <c r="K10002" s="81"/>
      <c r="L10002" s="81"/>
      <c r="M10002" s="81"/>
      <c r="N10002" s="81"/>
    </row>
    <row r="10003" spans="1:14" ht="14.25" customHeight="1" x14ac:dyDescent="0.25">
      <c r="A10003" s="588"/>
      <c r="B10003" s="586"/>
      <c r="C10003" s="587"/>
      <c r="D10003" s="505"/>
      <c r="E10003" s="484"/>
      <c r="F10003" s="483"/>
      <c r="G10003" s="81"/>
      <c r="H10003" s="81"/>
      <c r="I10003" s="81"/>
      <c r="J10003" s="81"/>
      <c r="K10003" s="81"/>
      <c r="L10003" s="81"/>
      <c r="M10003" s="81"/>
      <c r="N10003" s="81"/>
    </row>
    <row r="10004" spans="1:14" ht="14.25" customHeight="1" x14ac:dyDescent="0.25">
      <c r="A10004" s="589"/>
      <c r="B10004" s="586"/>
      <c r="C10004" s="587"/>
      <c r="D10004" s="491"/>
      <c r="E10004" s="484"/>
      <c r="F10004" s="483"/>
      <c r="G10004" s="81"/>
      <c r="H10004" s="81"/>
      <c r="I10004" s="81"/>
      <c r="J10004" s="81"/>
      <c r="K10004" s="81"/>
      <c r="L10004" s="81"/>
      <c r="M10004" s="81"/>
      <c r="N10004" s="81"/>
    </row>
    <row r="10005" spans="1:14" ht="14.25" customHeight="1" x14ac:dyDescent="0.25">
      <c r="A10005" s="585" t="s">
        <v>548</v>
      </c>
      <c r="B10005" s="586"/>
      <c r="C10005" s="587"/>
      <c r="D10005" s="487"/>
      <c r="E10005" s="487"/>
      <c r="F10005" s="489">
        <f>SUM(F10000:F10004)</f>
        <v>230952.39917007473</v>
      </c>
      <c r="G10005" s="81"/>
      <c r="H10005" s="81"/>
      <c r="I10005" s="81"/>
      <c r="J10005" s="81"/>
      <c r="K10005" s="81"/>
      <c r="L10005" s="81"/>
      <c r="M10005" s="81"/>
      <c r="N10005" s="81"/>
    </row>
    <row r="10006" spans="1:14" ht="14.25" customHeight="1" x14ac:dyDescent="0.25">
      <c r="A10006" s="192"/>
      <c r="B10006" s="192"/>
      <c r="C10006" s="194"/>
      <c r="D10006" s="215"/>
      <c r="E10006" s="215"/>
      <c r="F10006" s="215"/>
      <c r="G10006" s="81"/>
      <c r="H10006" s="81"/>
      <c r="I10006" s="81"/>
      <c r="J10006" s="81"/>
      <c r="K10006" s="81"/>
      <c r="L10006" s="81"/>
      <c r="M10006" s="81"/>
      <c r="N10006" s="81"/>
    </row>
    <row r="10007" spans="1:14" ht="14.25" customHeight="1" x14ac:dyDescent="0.25">
      <c r="A10007" s="198" t="s">
        <v>578</v>
      </c>
      <c r="B10007" s="198"/>
      <c r="C10007" s="193"/>
      <c r="D10007" s="223"/>
      <c r="E10007" s="223"/>
      <c r="F10007" s="223"/>
      <c r="G10007" s="81"/>
      <c r="H10007" s="81"/>
      <c r="I10007" s="81"/>
      <c r="J10007" s="81"/>
      <c r="K10007" s="81"/>
      <c r="L10007" s="81"/>
      <c r="M10007" s="81"/>
      <c r="N10007" s="81"/>
    </row>
    <row r="10008" spans="1:14" ht="38.25" x14ac:dyDescent="0.25">
      <c r="A10008" s="224" t="s">
        <v>563</v>
      </c>
      <c r="B10008" s="492" t="s">
        <v>579</v>
      </c>
      <c r="C10008" s="492" t="s">
        <v>580</v>
      </c>
      <c r="D10008" s="493" t="s">
        <v>581</v>
      </c>
      <c r="E10008" s="493" t="s">
        <v>575</v>
      </c>
      <c r="F10008" s="493" t="s">
        <v>568</v>
      </c>
      <c r="G10008" s="81"/>
      <c r="H10008" s="81"/>
      <c r="I10008" s="81"/>
      <c r="J10008" s="81"/>
      <c r="K10008" s="81"/>
      <c r="L10008" s="81"/>
      <c r="M10008" s="81"/>
      <c r="N10008" s="81"/>
    </row>
    <row r="10009" spans="1:14" ht="14.25" customHeight="1" x14ac:dyDescent="0.25">
      <c r="A10009" s="494" t="s">
        <v>593</v>
      </c>
      <c r="B10009" s="495">
        <v>1</v>
      </c>
      <c r="C10009" s="477">
        <v>32688</v>
      </c>
      <c r="D10009" s="477">
        <f t="shared" ref="D10009:D10010" si="495">+C10009*1.7</f>
        <v>55569.599999999999</v>
      </c>
      <c r="E10009" s="484">
        <v>3.1366680000000001E-2</v>
      </c>
      <c r="F10009" s="483">
        <f t="shared" ref="F10009:F10010" si="496">+B10009*(D10009)/E10009</f>
        <v>1771612.4243942935</v>
      </c>
      <c r="G10009" s="81"/>
      <c r="H10009" s="81"/>
      <c r="I10009" s="81"/>
      <c r="J10009" s="81"/>
      <c r="K10009" s="81"/>
      <c r="L10009" s="81"/>
      <c r="M10009" s="81"/>
      <c r="N10009" s="81"/>
    </row>
    <row r="10010" spans="1:14" ht="14.25" customHeight="1" x14ac:dyDescent="0.25">
      <c r="A10010" s="494" t="s">
        <v>594</v>
      </c>
      <c r="B10010" s="495">
        <v>1</v>
      </c>
      <c r="C10010" s="477">
        <v>52538</v>
      </c>
      <c r="D10010" s="477">
        <f t="shared" si="495"/>
        <v>89314.599999999991</v>
      </c>
      <c r="E10010" s="484">
        <f>E10009</f>
        <v>3.1366680000000001E-2</v>
      </c>
      <c r="F10010" s="483">
        <f t="shared" si="496"/>
        <v>2847435.5590072009</v>
      </c>
      <c r="G10010" s="81"/>
      <c r="H10010" s="81"/>
      <c r="I10010" s="81"/>
      <c r="J10010" s="81"/>
      <c r="K10010" s="81"/>
      <c r="L10010" s="81"/>
      <c r="M10010" s="81"/>
      <c r="N10010" s="81"/>
    </row>
    <row r="10011" spans="1:14" ht="14.25" customHeight="1" x14ac:dyDescent="0.25">
      <c r="A10011" s="494"/>
      <c r="B10011" s="495"/>
      <c r="C10011" s="477"/>
      <c r="D10011" s="477"/>
      <c r="E10011" s="484"/>
      <c r="F10011" s="483"/>
      <c r="G10011" s="81"/>
      <c r="H10011" s="81"/>
      <c r="I10011" s="81"/>
      <c r="J10011" s="81"/>
      <c r="K10011" s="81"/>
      <c r="L10011" s="81"/>
      <c r="M10011" s="81"/>
      <c r="N10011" s="81"/>
    </row>
    <row r="10012" spans="1:14" ht="14.25" customHeight="1" x14ac:dyDescent="0.25">
      <c r="A10012" s="494"/>
      <c r="B10012" s="495"/>
      <c r="C10012" s="477"/>
      <c r="D10012" s="477"/>
      <c r="E10012" s="496"/>
      <c r="F10012" s="483"/>
      <c r="G10012" s="81"/>
      <c r="H10012" s="81"/>
      <c r="I10012" s="81"/>
      <c r="J10012" s="81"/>
      <c r="K10012" s="81"/>
      <c r="L10012" s="81"/>
      <c r="M10012" s="81"/>
      <c r="N10012" s="81"/>
    </row>
    <row r="10013" spans="1:14" ht="14.25" customHeight="1" x14ac:dyDescent="0.25">
      <c r="A10013" s="199" t="s">
        <v>548</v>
      </c>
      <c r="B10013" s="497"/>
      <c r="C10013" s="487"/>
      <c r="D10013" s="487"/>
      <c r="E10013" s="487"/>
      <c r="F10013" s="489">
        <f>SUM(F10009:F10012)</f>
        <v>4619047.9834014941</v>
      </c>
      <c r="G10013" s="81"/>
      <c r="H10013" s="81"/>
      <c r="I10013" s="81"/>
      <c r="J10013" s="81"/>
      <c r="K10013" s="81"/>
      <c r="L10013" s="81"/>
      <c r="M10013" s="81"/>
      <c r="N10013" s="81"/>
    </row>
    <row r="10014" spans="1:14" ht="14.25" customHeight="1" x14ac:dyDescent="0.25">
      <c r="A10014" s="198"/>
      <c r="B10014" s="231"/>
      <c r="C10014" s="223"/>
      <c r="D10014" s="223"/>
      <c r="E10014" s="223"/>
      <c r="F10014" s="223"/>
      <c r="G10014" s="81"/>
      <c r="H10014" s="81"/>
      <c r="I10014" s="81"/>
      <c r="J10014" s="81"/>
      <c r="K10014" s="81"/>
      <c r="L10014" s="81"/>
      <c r="M10014" s="81"/>
      <c r="N10014" s="81"/>
    </row>
    <row r="10015" spans="1:14" ht="14.25" customHeight="1" x14ac:dyDescent="0.25">
      <c r="A10015" s="197" t="s">
        <v>583</v>
      </c>
      <c r="B10015" s="198"/>
      <c r="C10015" s="193"/>
      <c r="D10015" s="193"/>
      <c r="E10015" s="193" t="s">
        <v>584</v>
      </c>
      <c r="F10015" s="193"/>
      <c r="G10015" s="81"/>
      <c r="H10015" s="81"/>
      <c r="I10015" s="81"/>
      <c r="J10015" s="81"/>
      <c r="K10015" s="81"/>
      <c r="L10015" s="81"/>
      <c r="M10015" s="81"/>
      <c r="N10015" s="81"/>
    </row>
    <row r="10016" spans="1:14" ht="25.5" x14ac:dyDescent="0.25">
      <c r="A10016" s="199" t="s">
        <v>563</v>
      </c>
      <c r="B10016" s="474" t="s">
        <v>564</v>
      </c>
      <c r="C10016" s="474" t="s">
        <v>585</v>
      </c>
      <c r="D10016" s="474" t="s">
        <v>586</v>
      </c>
      <c r="E10016" s="492" t="s">
        <v>587</v>
      </c>
      <c r="F10016" s="474" t="s">
        <v>568</v>
      </c>
      <c r="G10016" s="81"/>
      <c r="H10016" s="81"/>
      <c r="I10016" s="81"/>
      <c r="J10016" s="81"/>
      <c r="K10016" s="81"/>
      <c r="L10016" s="81"/>
      <c r="M10016" s="81"/>
      <c r="N10016" s="81"/>
    </row>
    <row r="10017" spans="1:14" ht="14.25" customHeight="1" x14ac:dyDescent="0.25">
      <c r="A10017" s="480"/>
      <c r="B10017" s="476"/>
      <c r="C10017" s="477"/>
      <c r="D10017" s="498"/>
      <c r="E10017" s="484"/>
      <c r="F10017" s="486">
        <f>+C10017*D10017*E10017</f>
        <v>0</v>
      </c>
      <c r="G10017" s="81"/>
      <c r="H10017" s="81"/>
      <c r="I10017" s="81"/>
      <c r="J10017" s="81"/>
      <c r="K10017" s="81"/>
      <c r="L10017" s="81"/>
      <c r="M10017" s="81"/>
      <c r="N10017" s="81"/>
    </row>
    <row r="10018" spans="1:14" ht="14.25" customHeight="1" x14ac:dyDescent="0.25">
      <c r="A10018" s="480"/>
      <c r="B10018" s="476"/>
      <c r="C10018" s="484"/>
      <c r="D10018" s="484"/>
      <c r="E10018" s="485"/>
      <c r="F10018" s="486"/>
      <c r="G10018" s="81"/>
      <c r="H10018" s="81"/>
      <c r="I10018" s="81"/>
      <c r="J10018" s="81"/>
      <c r="K10018" s="81"/>
      <c r="L10018" s="81"/>
      <c r="M10018" s="81"/>
      <c r="N10018" s="81"/>
    </row>
    <row r="10019" spans="1:14" ht="14.25" customHeight="1" x14ac:dyDescent="0.25">
      <c r="A10019" s="199" t="s">
        <v>548</v>
      </c>
      <c r="B10019" s="474"/>
      <c r="C10019" s="487"/>
      <c r="D10019" s="487"/>
      <c r="E10019" s="488"/>
      <c r="F10019" s="489">
        <f>SUM(F10017:F10018)</f>
        <v>0</v>
      </c>
      <c r="G10019" s="81"/>
      <c r="H10019" s="81"/>
      <c r="I10019" s="81"/>
      <c r="J10019" s="81"/>
      <c r="K10019" s="81"/>
      <c r="L10019" s="81"/>
      <c r="M10019" s="81"/>
      <c r="N10019" s="81"/>
    </row>
    <row r="10020" spans="1:14" ht="14.25" customHeight="1" x14ac:dyDescent="0.25">
      <c r="A10020" s="192"/>
      <c r="B10020" s="194"/>
      <c r="C10020" s="215"/>
      <c r="D10020" s="215"/>
      <c r="E10020" s="216"/>
      <c r="F10020" s="215"/>
      <c r="G10020" s="81"/>
      <c r="H10020" s="81"/>
      <c r="I10020" s="81"/>
      <c r="J10020" s="81"/>
      <c r="K10020" s="81"/>
      <c r="L10020" s="81"/>
      <c r="M10020" s="81"/>
      <c r="N10020" s="81"/>
    </row>
    <row r="10021" spans="1:14" ht="14.25" customHeight="1" x14ac:dyDescent="0.25">
      <c r="A10021" s="192"/>
      <c r="B10021" s="194"/>
      <c r="C10021" s="215"/>
      <c r="D10021" s="215"/>
      <c r="E10021" s="216"/>
      <c r="F10021" s="215"/>
      <c r="G10021" s="81"/>
      <c r="H10021" s="81"/>
      <c r="I10021" s="81"/>
      <c r="J10021" s="81"/>
      <c r="K10021" s="81"/>
      <c r="L10021" s="81"/>
      <c r="M10021" s="81"/>
      <c r="N10021" s="81"/>
    </row>
    <row r="10022" spans="1:14" ht="14.25" customHeight="1" x14ac:dyDescent="0.25">
      <c r="A10022" s="590" t="s">
        <v>588</v>
      </c>
      <c r="B10022" s="586"/>
      <c r="C10022" s="586"/>
      <c r="D10022" s="586"/>
      <c r="E10022" s="587"/>
      <c r="F10022" s="499">
        <f>ROUND(F9996+F10005+F10013+F10019,0)</f>
        <v>4850000</v>
      </c>
      <c r="G10022" s="81"/>
      <c r="H10022" s="81"/>
      <c r="I10022" s="81"/>
      <c r="J10022" s="81"/>
      <c r="K10022" s="81"/>
      <c r="L10022" s="81"/>
      <c r="M10022" s="81"/>
      <c r="N10022" s="81"/>
    </row>
    <row r="10023" spans="1:14" ht="14.25" customHeight="1" x14ac:dyDescent="0.25">
      <c r="A10023" s="590" t="s">
        <v>589</v>
      </c>
      <c r="B10023" s="586"/>
      <c r="C10023" s="586"/>
      <c r="D10023" s="586"/>
      <c r="E10023" s="587"/>
      <c r="F10023" s="500"/>
      <c r="G10023" s="81"/>
      <c r="H10023" s="81"/>
      <c r="I10023" s="81"/>
      <c r="J10023" s="81"/>
      <c r="K10023" s="81"/>
      <c r="L10023" s="81"/>
      <c r="M10023" s="81"/>
      <c r="N10023" s="81"/>
    </row>
    <row r="10024" spans="1:14" ht="14.25" customHeight="1" x14ac:dyDescent="0.25">
      <c r="A10024" s="300" t="s">
        <v>556</v>
      </c>
      <c r="B10024" s="506"/>
      <c r="C10024" s="506"/>
      <c r="D10024" s="506"/>
      <c r="E10024" s="507"/>
      <c r="F10024" s="501"/>
      <c r="G10024" s="81"/>
      <c r="H10024" s="81"/>
      <c r="I10024" s="81"/>
      <c r="J10024" s="81"/>
      <c r="K10024" s="81"/>
      <c r="L10024" s="81"/>
      <c r="M10024" s="81"/>
      <c r="N10024" s="81"/>
    </row>
    <row r="10025" spans="1:14" ht="14.25" customHeight="1" x14ac:dyDescent="0.25">
      <c r="A10025" s="301"/>
      <c r="B10025" s="502"/>
      <c r="C10025" s="502"/>
      <c r="D10025" s="502"/>
      <c r="E10025" s="502"/>
      <c r="F10025" s="503"/>
      <c r="G10025" s="81"/>
      <c r="H10025" s="81"/>
      <c r="I10025" s="81"/>
      <c r="J10025" s="81"/>
      <c r="K10025" s="81"/>
      <c r="L10025" s="81"/>
      <c r="M10025" s="81"/>
      <c r="N10025" s="81"/>
    </row>
    <row r="10026" spans="1:14" ht="14.25" customHeight="1" x14ac:dyDescent="0.25">
      <c r="A10026" s="81"/>
      <c r="B10026" s="81"/>
      <c r="C10026" s="137"/>
      <c r="D10026" s="81"/>
      <c r="E10026" s="81"/>
      <c r="F10026" s="81"/>
      <c r="G10026" s="81"/>
      <c r="H10026" s="81"/>
      <c r="I10026" s="81"/>
      <c r="J10026" s="81"/>
      <c r="K10026" s="81"/>
      <c r="L10026" s="81"/>
      <c r="M10026" s="81"/>
      <c r="N10026" s="81"/>
    </row>
    <row r="10027" spans="1:14" ht="14.25" customHeight="1" x14ac:dyDescent="0.25">
      <c r="A10027" s="81"/>
      <c r="B10027" s="81"/>
      <c r="C10027" s="137"/>
      <c r="D10027" s="81"/>
      <c r="E10027" s="81"/>
      <c r="F10027" s="81"/>
      <c r="G10027" s="81"/>
      <c r="H10027" s="117"/>
      <c r="I10027" s="81"/>
      <c r="J10027" s="81"/>
      <c r="K10027" s="81"/>
      <c r="L10027" s="81"/>
      <c r="M10027" s="81"/>
      <c r="N10027" s="81"/>
    </row>
    <row r="10028" spans="1:14" ht="14.25" customHeight="1" x14ac:dyDescent="0.25">
      <c r="A10028" s="81"/>
      <c r="B10028" s="81"/>
      <c r="C10028" s="137"/>
      <c r="D10028" s="81"/>
      <c r="E10028" s="81"/>
      <c r="F10028" s="81"/>
      <c r="G10028" s="81"/>
      <c r="H10028" s="81"/>
      <c r="I10028" s="81"/>
      <c r="J10028" s="81"/>
      <c r="K10028" s="81"/>
      <c r="L10028" s="81"/>
      <c r="M10028" s="81"/>
      <c r="N10028" s="81"/>
    </row>
    <row r="10029" spans="1:14" ht="14.25" customHeight="1" x14ac:dyDescent="0.25">
      <c r="A10029" s="81"/>
      <c r="B10029" s="81"/>
      <c r="C10029" s="137"/>
      <c r="D10029" s="81"/>
      <c r="E10029" s="81"/>
      <c r="F10029" s="81"/>
      <c r="G10029" s="81"/>
      <c r="H10029" s="81"/>
      <c r="I10029" s="81"/>
      <c r="J10029" s="81"/>
      <c r="K10029" s="81"/>
      <c r="L10029" s="81"/>
      <c r="M10029" s="81"/>
      <c r="N10029" s="81"/>
    </row>
    <row r="10030" spans="1:14" ht="14.25" customHeight="1" x14ac:dyDescent="0.25">
      <c r="A10030" s="134"/>
      <c r="B10030" s="135"/>
      <c r="C10030" s="135"/>
      <c r="D10030" s="135"/>
      <c r="E10030" s="135"/>
      <c r="F10030" s="136"/>
      <c r="G10030" s="81"/>
      <c r="H10030" s="81"/>
      <c r="I10030" s="81"/>
      <c r="J10030" s="81"/>
      <c r="K10030" s="81"/>
      <c r="L10030" s="81"/>
      <c r="M10030" s="81"/>
      <c r="N10030" s="81"/>
    </row>
    <row r="10031" spans="1:14" ht="14.25" customHeight="1" x14ac:dyDescent="0.25">
      <c r="A10031" s="81"/>
      <c r="B10031" s="81"/>
      <c r="C10031" s="137"/>
      <c r="D10031" s="81"/>
      <c r="E10031" s="81"/>
      <c r="F10031" s="81"/>
      <c r="G10031" s="81"/>
      <c r="H10031" s="81"/>
      <c r="I10031" s="81"/>
      <c r="J10031" s="81"/>
      <c r="K10031" s="81"/>
      <c r="L10031" s="81"/>
      <c r="M10031" s="81"/>
      <c r="N10031" s="81"/>
    </row>
    <row r="10032" spans="1:14" ht="14.25" customHeight="1" x14ac:dyDescent="0.25">
      <c r="A10032" s="81"/>
      <c r="B10032" s="81"/>
      <c r="C10032" s="137"/>
      <c r="D10032" s="81"/>
      <c r="E10032" s="81"/>
      <c r="F10032" s="81"/>
      <c r="G10032" s="81"/>
      <c r="H10032" s="81"/>
      <c r="I10032" s="81"/>
      <c r="J10032" s="81"/>
      <c r="K10032" s="81"/>
      <c r="L10032" s="81"/>
      <c r="M10032" s="81"/>
      <c r="N10032" s="81"/>
    </row>
    <row r="10033" spans="1:14" ht="14.25" customHeight="1" x14ac:dyDescent="0.25">
      <c r="A10033" s="134"/>
      <c r="B10033" s="135"/>
      <c r="C10033" s="135"/>
      <c r="D10033" s="135"/>
      <c r="E10033" s="135"/>
      <c r="F10033" s="136"/>
      <c r="G10033" s="81"/>
      <c r="H10033" s="81"/>
      <c r="I10033" s="81"/>
      <c r="J10033" s="81"/>
      <c r="K10033" s="81"/>
      <c r="L10033" s="81"/>
      <c r="M10033" s="81"/>
      <c r="N10033" s="81"/>
    </row>
    <row r="10034" spans="1:14" ht="14.25" customHeight="1" x14ac:dyDescent="0.25">
      <c r="A10034" s="134"/>
      <c r="B10034" s="135"/>
      <c r="C10034" s="135"/>
      <c r="D10034" s="135"/>
      <c r="E10034" s="135"/>
      <c r="F10034" s="136"/>
      <c r="G10034" s="81"/>
      <c r="H10034" s="81"/>
      <c r="I10034" s="81"/>
      <c r="J10034" s="81"/>
      <c r="K10034" s="81"/>
      <c r="L10034" s="81"/>
      <c r="M10034" s="81"/>
      <c r="N10034" s="81"/>
    </row>
    <row r="10035" spans="1:14" ht="14.25" customHeight="1" x14ac:dyDescent="0.25">
      <c r="A10035" s="134"/>
      <c r="B10035" s="135"/>
      <c r="C10035" s="135"/>
      <c r="D10035" s="135"/>
      <c r="E10035" s="81"/>
      <c r="F10035" s="136"/>
      <c r="G10035" s="81"/>
      <c r="H10035" s="81"/>
      <c r="I10035" s="81"/>
      <c r="J10035" s="81"/>
      <c r="K10035" s="81"/>
      <c r="L10035" s="81"/>
      <c r="M10035" s="81"/>
      <c r="N10035" s="81"/>
    </row>
    <row r="10036" spans="1:14" ht="14.25" customHeight="1" thickBot="1" x14ac:dyDescent="0.3">
      <c r="A10036" s="81"/>
      <c r="B10036" s="81"/>
      <c r="C10036" s="81"/>
      <c r="D10036" s="81"/>
      <c r="E10036" s="81"/>
      <c r="F10036" s="81"/>
      <c r="G10036" s="81"/>
      <c r="H10036" s="81"/>
      <c r="I10036" s="81"/>
      <c r="J10036" s="81"/>
      <c r="K10036" s="81"/>
      <c r="L10036" s="81"/>
      <c r="M10036" s="81"/>
      <c r="N10036" s="81"/>
    </row>
    <row r="10037" spans="1:14" ht="14.25" customHeight="1" x14ac:dyDescent="0.25">
      <c r="A10037" s="83"/>
      <c r="B10037" s="84"/>
      <c r="C10037" s="85"/>
      <c r="D10037" s="86"/>
      <c r="E10037" s="86"/>
      <c r="F10037" s="87"/>
      <c r="G10037" s="81"/>
      <c r="H10037" s="81"/>
      <c r="I10037" s="81"/>
      <c r="J10037" s="81"/>
      <c r="K10037" s="81"/>
      <c r="L10037" s="81"/>
      <c r="M10037" s="81"/>
      <c r="N10037" s="81"/>
    </row>
    <row r="10038" spans="1:14" ht="14.25" customHeight="1" x14ac:dyDescent="0.25">
      <c r="A10038" s="599"/>
      <c r="B10038" s="600"/>
      <c r="C10038" s="600"/>
      <c r="D10038" s="600"/>
      <c r="E10038" s="600"/>
      <c r="F10038" s="601"/>
      <c r="G10038" s="81"/>
      <c r="H10038" s="81"/>
      <c r="I10038" s="81"/>
      <c r="J10038" s="81"/>
      <c r="K10038" s="81"/>
      <c r="L10038" s="81"/>
      <c r="M10038" s="81"/>
      <c r="N10038" s="81"/>
    </row>
    <row r="10039" spans="1:14" ht="14.25" customHeight="1" x14ac:dyDescent="0.25">
      <c r="A10039" s="602" t="s">
        <v>561</v>
      </c>
      <c r="B10039" s="600"/>
      <c r="C10039" s="600"/>
      <c r="D10039" s="600"/>
      <c r="E10039" s="600"/>
      <c r="F10039" s="601"/>
      <c r="G10039" s="81"/>
      <c r="H10039" s="81"/>
      <c r="I10039" s="81"/>
      <c r="J10039" s="81"/>
      <c r="K10039" s="81"/>
      <c r="L10039" s="81"/>
      <c r="M10039" s="81"/>
      <c r="N10039" s="81"/>
    </row>
    <row r="10040" spans="1:14" ht="14.25" customHeight="1" thickBot="1" x14ac:dyDescent="0.3">
      <c r="A10040" s="603"/>
      <c r="B10040" s="604"/>
      <c r="C10040" s="604"/>
      <c r="D10040" s="604"/>
      <c r="E10040" s="604"/>
      <c r="F10040" s="605"/>
      <c r="G10040" s="81"/>
      <c r="H10040" s="81"/>
      <c r="I10040" s="81"/>
      <c r="J10040" s="81"/>
      <c r="K10040" s="81"/>
      <c r="L10040" s="81"/>
      <c r="M10040" s="81"/>
      <c r="N10040" s="81"/>
    </row>
    <row r="10041" spans="1:14" ht="14.25" customHeight="1" x14ac:dyDescent="0.25">
      <c r="A10041" s="88"/>
      <c r="B10041" s="88"/>
      <c r="C10041" s="89"/>
      <c r="D10041" s="89"/>
      <c r="E10041" s="89"/>
      <c r="F10041" s="89"/>
      <c r="G10041" s="81"/>
      <c r="H10041" s="81"/>
      <c r="I10041" s="81"/>
      <c r="J10041" s="81"/>
      <c r="K10041" s="81"/>
      <c r="L10041" s="81"/>
      <c r="M10041" s="81"/>
      <c r="N10041" s="81"/>
    </row>
    <row r="10042" spans="1:14" ht="27.75" customHeight="1" x14ac:dyDescent="0.25">
      <c r="A10042" s="90" t="s">
        <v>47</v>
      </c>
      <c r="B10042" s="613" t="s">
        <v>417</v>
      </c>
      <c r="C10042" s="600"/>
      <c r="D10042" s="600"/>
      <c r="E10042" s="600"/>
      <c r="F10042" s="600"/>
      <c r="G10042" s="81"/>
      <c r="H10042" s="117"/>
      <c r="I10042" s="81"/>
      <c r="J10042" s="81"/>
      <c r="K10042" s="81"/>
      <c r="L10042" s="81"/>
      <c r="M10042" s="81"/>
      <c r="N10042" s="81"/>
    </row>
    <row r="10043" spans="1:14" ht="14.25" customHeight="1" x14ac:dyDescent="0.25">
      <c r="A10043" s="91"/>
      <c r="B10043" s="91"/>
      <c r="C10043" s="91"/>
      <c r="D10043" s="91"/>
      <c r="E10043" s="91"/>
      <c r="F10043" s="91"/>
      <c r="G10043" s="81"/>
      <c r="H10043" s="81"/>
      <c r="I10043" s="81"/>
      <c r="J10043" s="81"/>
      <c r="K10043" s="81"/>
      <c r="L10043" s="81"/>
      <c r="M10043" s="81"/>
      <c r="N10043" s="81"/>
    </row>
    <row r="10044" spans="1:14" ht="14.25" customHeight="1" x14ac:dyDescent="0.25">
      <c r="A10044" s="88" t="s">
        <v>49</v>
      </c>
      <c r="B10044" s="92" t="s">
        <v>99</v>
      </c>
      <c r="C10044" s="89"/>
      <c r="D10044" s="89"/>
      <c r="E10044" s="89"/>
      <c r="F10044" s="93"/>
      <c r="G10044" s="81"/>
      <c r="H10044" s="81"/>
      <c r="I10044" s="81"/>
      <c r="J10044" s="81"/>
      <c r="K10044" s="81"/>
      <c r="L10044" s="81"/>
      <c r="M10044" s="81"/>
      <c r="N10044" s="81"/>
    </row>
    <row r="10045" spans="1:14" ht="14.25" customHeight="1" x14ac:dyDescent="0.25">
      <c r="A10045" s="88"/>
      <c r="B10045" s="94"/>
      <c r="C10045" s="89"/>
      <c r="D10045" s="89"/>
      <c r="E10045" s="89"/>
      <c r="F10045" s="93"/>
      <c r="G10045" s="81"/>
      <c r="H10045" s="81"/>
      <c r="I10045" s="81"/>
      <c r="J10045" s="81"/>
      <c r="K10045" s="81"/>
      <c r="L10045" s="81"/>
      <c r="M10045" s="81"/>
      <c r="N10045" s="81"/>
    </row>
    <row r="10046" spans="1:14" ht="14.25" customHeight="1" x14ac:dyDescent="0.25">
      <c r="A10046" s="95" t="s">
        <v>562</v>
      </c>
      <c r="B10046" s="96"/>
      <c r="C10046" s="92"/>
      <c r="D10046" s="92"/>
      <c r="E10046" s="92"/>
      <c r="F10046" s="92"/>
      <c r="G10046" s="81"/>
      <c r="H10046" s="81"/>
      <c r="I10046" s="81"/>
      <c r="J10046" s="81"/>
      <c r="K10046" s="81"/>
      <c r="L10046" s="81"/>
      <c r="M10046" s="81"/>
      <c r="N10046" s="81"/>
    </row>
    <row r="10047" spans="1:14" ht="14.25" customHeight="1" x14ac:dyDescent="0.25">
      <c r="A10047" s="97" t="s">
        <v>563</v>
      </c>
      <c r="B10047" s="98" t="s">
        <v>564</v>
      </c>
      <c r="C10047" s="98" t="s">
        <v>565</v>
      </c>
      <c r="D10047" s="98" t="s">
        <v>566</v>
      </c>
      <c r="E10047" s="98" t="s">
        <v>567</v>
      </c>
      <c r="F10047" s="98" t="s">
        <v>568</v>
      </c>
      <c r="G10047" s="81"/>
      <c r="H10047" s="81"/>
      <c r="I10047" s="81"/>
      <c r="J10047" s="81"/>
      <c r="K10047" s="81"/>
      <c r="L10047" s="81"/>
      <c r="M10047" s="81"/>
      <c r="N10047" s="81"/>
    </row>
    <row r="10048" spans="1:14" ht="25.5" x14ac:dyDescent="0.25">
      <c r="A10048" s="99" t="s">
        <v>840</v>
      </c>
      <c r="B10048" s="100" t="s">
        <v>99</v>
      </c>
      <c r="C10048" s="101">
        <v>44709053</v>
      </c>
      <c r="D10048" s="149">
        <v>1</v>
      </c>
      <c r="E10048" s="102"/>
      <c r="F10048" s="101">
        <f>C10048*(D10048+(D10048*E10048))</f>
        <v>44709053</v>
      </c>
      <c r="G10048" s="81"/>
      <c r="H10048" s="81"/>
      <c r="I10048" s="81"/>
      <c r="J10048" s="81"/>
      <c r="K10048" s="81"/>
      <c r="L10048" s="81"/>
      <c r="M10048" s="81"/>
      <c r="N10048" s="81"/>
    </row>
    <row r="10049" spans="1:14" ht="14.25" customHeight="1" x14ac:dyDescent="0.25">
      <c r="A10049" s="99"/>
      <c r="B10049" s="100"/>
      <c r="C10049" s="101"/>
      <c r="D10049" s="149"/>
      <c r="E10049" s="102"/>
      <c r="F10049" s="101"/>
      <c r="G10049" s="81"/>
      <c r="H10049" s="81"/>
      <c r="I10049" s="81"/>
      <c r="J10049" s="81"/>
      <c r="K10049" s="81"/>
      <c r="L10049" s="81"/>
      <c r="M10049" s="81"/>
      <c r="N10049" s="81"/>
    </row>
    <row r="10050" spans="1:14" ht="14.25" customHeight="1" x14ac:dyDescent="0.25">
      <c r="A10050" s="99"/>
      <c r="B10050" s="100"/>
      <c r="C10050" s="101"/>
      <c r="D10050" s="149"/>
      <c r="E10050" s="102"/>
      <c r="F10050" s="101"/>
      <c r="G10050" s="81"/>
      <c r="H10050" s="81"/>
      <c r="I10050" s="81"/>
      <c r="J10050" s="81"/>
      <c r="K10050" s="81"/>
      <c r="L10050" s="81"/>
      <c r="M10050" s="81"/>
      <c r="N10050" s="81"/>
    </row>
    <row r="10051" spans="1:14" ht="14.25" customHeight="1" x14ac:dyDescent="0.25">
      <c r="A10051" s="99"/>
      <c r="B10051" s="100"/>
      <c r="C10051" s="101"/>
      <c r="D10051" s="104"/>
      <c r="E10051" s="102"/>
      <c r="F10051" s="101"/>
      <c r="G10051" s="81"/>
      <c r="H10051" s="81"/>
      <c r="I10051" s="81"/>
      <c r="J10051" s="81"/>
      <c r="K10051" s="81"/>
      <c r="L10051" s="81"/>
      <c r="M10051" s="81"/>
      <c r="N10051" s="81"/>
    </row>
    <row r="10052" spans="1:14" ht="14.25" customHeight="1" x14ac:dyDescent="0.25">
      <c r="A10052" s="99"/>
      <c r="B10052" s="100"/>
      <c r="C10052" s="101"/>
      <c r="D10052" s="104"/>
      <c r="E10052" s="102"/>
      <c r="F10052" s="101"/>
      <c r="G10052" s="81"/>
      <c r="H10052" s="81"/>
      <c r="I10052" s="81"/>
      <c r="J10052" s="81"/>
      <c r="K10052" s="81"/>
      <c r="L10052" s="81"/>
      <c r="M10052" s="81"/>
      <c r="N10052" s="81"/>
    </row>
    <row r="10053" spans="1:14" ht="14.25" customHeight="1" x14ac:dyDescent="0.25">
      <c r="A10053" s="99"/>
      <c r="B10053" s="100"/>
      <c r="C10053" s="106"/>
      <c r="D10053" s="107"/>
      <c r="E10053" s="108"/>
      <c r="F10053" s="106"/>
      <c r="G10053" s="81"/>
      <c r="H10053" s="81"/>
      <c r="I10053" s="81"/>
      <c r="J10053" s="81"/>
      <c r="K10053" s="81"/>
      <c r="L10053" s="81"/>
      <c r="M10053" s="81"/>
      <c r="N10053" s="81"/>
    </row>
    <row r="10054" spans="1:14" ht="14.25" customHeight="1" x14ac:dyDescent="0.25">
      <c r="A10054" s="97" t="s">
        <v>548</v>
      </c>
      <c r="B10054" s="97"/>
      <c r="C10054" s="109"/>
      <c r="D10054" s="110"/>
      <c r="E10054" s="111"/>
      <c r="F10054" s="112">
        <f>SUM(F10048:F10053)</f>
        <v>44709053</v>
      </c>
      <c r="G10054" s="81"/>
      <c r="H10054" s="81"/>
      <c r="I10054" s="81"/>
      <c r="J10054" s="81"/>
      <c r="K10054" s="81"/>
      <c r="L10054" s="81"/>
      <c r="M10054" s="81"/>
      <c r="N10054" s="81"/>
    </row>
    <row r="10055" spans="1:14" ht="14.25" customHeight="1" x14ac:dyDescent="0.25">
      <c r="A10055" s="88"/>
      <c r="B10055" s="88"/>
      <c r="C10055" s="113"/>
      <c r="D10055" s="113"/>
      <c r="E10055" s="114"/>
      <c r="F10055" s="113"/>
      <c r="G10055" s="81"/>
      <c r="H10055" s="81"/>
      <c r="I10055" s="81"/>
      <c r="J10055" s="81"/>
      <c r="K10055" s="81"/>
      <c r="L10055" s="81"/>
      <c r="M10055" s="81"/>
      <c r="N10055" s="81"/>
    </row>
    <row r="10056" spans="1:14" ht="14.25" customHeight="1" x14ac:dyDescent="0.25">
      <c r="A10056" s="96" t="s">
        <v>573</v>
      </c>
      <c r="B10056" s="96"/>
      <c r="C10056" s="92"/>
      <c r="D10056" s="92"/>
      <c r="E10056" s="92"/>
      <c r="F10056" s="92"/>
      <c r="G10056" s="81"/>
      <c r="H10056" s="81"/>
      <c r="I10056" s="81"/>
      <c r="J10056" s="81"/>
      <c r="K10056" s="81"/>
      <c r="L10056" s="81"/>
      <c r="M10056" s="81"/>
      <c r="N10056" s="81"/>
    </row>
    <row r="10057" spans="1:14" ht="14.25" customHeight="1" x14ac:dyDescent="0.25">
      <c r="A10057" s="611" t="s">
        <v>563</v>
      </c>
      <c r="B10057" s="608"/>
      <c r="C10057" s="609"/>
      <c r="D10057" s="98" t="s">
        <v>574</v>
      </c>
      <c r="E10057" s="98" t="s">
        <v>575</v>
      </c>
      <c r="F10057" s="98" t="s">
        <v>568</v>
      </c>
      <c r="G10057" s="81"/>
      <c r="H10057" s="81"/>
      <c r="I10057" s="81"/>
      <c r="J10057" s="81"/>
      <c r="K10057" s="81"/>
      <c r="L10057" s="81"/>
      <c r="M10057" s="81"/>
      <c r="N10057" s="81"/>
    </row>
    <row r="10058" spans="1:14" ht="14.25" customHeight="1" x14ac:dyDescent="0.25">
      <c r="A10058" s="607" t="s">
        <v>577</v>
      </c>
      <c r="B10058" s="608"/>
      <c r="C10058" s="609"/>
      <c r="D10058" s="116"/>
      <c r="E10058" s="107"/>
      <c r="F10058" s="106">
        <f>+F10071*5%</f>
        <v>241473.66666666666</v>
      </c>
      <c r="G10058" s="81"/>
      <c r="H10058" s="81"/>
      <c r="I10058" s="81"/>
      <c r="J10058" s="81"/>
      <c r="K10058" s="81"/>
      <c r="L10058" s="81"/>
      <c r="M10058" s="81"/>
      <c r="N10058" s="81"/>
    </row>
    <row r="10059" spans="1:14" ht="14.25" customHeight="1" x14ac:dyDescent="0.25">
      <c r="A10059" s="607"/>
      <c r="B10059" s="608"/>
      <c r="C10059" s="609"/>
      <c r="D10059" s="142"/>
      <c r="E10059" s="105"/>
      <c r="F10059" s="106"/>
      <c r="G10059" s="81"/>
      <c r="H10059" s="81"/>
      <c r="I10059" s="81"/>
      <c r="J10059" s="81"/>
      <c r="K10059" s="81"/>
      <c r="L10059" s="81"/>
      <c r="M10059" s="81"/>
      <c r="N10059" s="81"/>
    </row>
    <row r="10060" spans="1:14" ht="14.25" customHeight="1" x14ac:dyDescent="0.25">
      <c r="A10060" s="607"/>
      <c r="B10060" s="608"/>
      <c r="C10060" s="609"/>
      <c r="D10060" s="142"/>
      <c r="E10060" s="105"/>
      <c r="F10060" s="106"/>
      <c r="G10060" s="81"/>
      <c r="H10060" s="81"/>
      <c r="I10060" s="81"/>
      <c r="J10060" s="81"/>
      <c r="K10060" s="81"/>
      <c r="L10060" s="81"/>
      <c r="M10060" s="81"/>
      <c r="N10060" s="81"/>
    </row>
    <row r="10061" spans="1:14" ht="14.25" customHeight="1" x14ac:dyDescent="0.25">
      <c r="A10061" s="607"/>
      <c r="B10061" s="608"/>
      <c r="C10061" s="609"/>
      <c r="D10061" s="142"/>
      <c r="E10061" s="107"/>
      <c r="F10061" s="106"/>
      <c r="G10061" s="81"/>
      <c r="H10061" s="81"/>
      <c r="I10061" s="81"/>
      <c r="J10061" s="81"/>
      <c r="K10061" s="81"/>
      <c r="L10061" s="81"/>
      <c r="M10061" s="81"/>
      <c r="N10061" s="81"/>
    </row>
    <row r="10062" spans="1:14" ht="14.25" customHeight="1" x14ac:dyDescent="0.25">
      <c r="A10062" s="610"/>
      <c r="B10062" s="608"/>
      <c r="C10062" s="609"/>
      <c r="D10062" s="115"/>
      <c r="E10062" s="107"/>
      <c r="F10062" s="106"/>
      <c r="G10062" s="81"/>
      <c r="H10062" s="81"/>
      <c r="I10062" s="81"/>
      <c r="J10062" s="81"/>
      <c r="K10062" s="81"/>
      <c r="L10062" s="81"/>
      <c r="M10062" s="81"/>
      <c r="N10062" s="81"/>
    </row>
    <row r="10063" spans="1:14" ht="14.25" customHeight="1" x14ac:dyDescent="0.25">
      <c r="A10063" s="611" t="s">
        <v>548</v>
      </c>
      <c r="B10063" s="608"/>
      <c r="C10063" s="609"/>
      <c r="D10063" s="110"/>
      <c r="E10063" s="110"/>
      <c r="F10063" s="112">
        <f>SUM(F10058:F10061)</f>
        <v>241473.66666666666</v>
      </c>
      <c r="G10063" s="81"/>
      <c r="H10063" s="81"/>
      <c r="I10063" s="81"/>
      <c r="J10063" s="81"/>
      <c r="K10063" s="81"/>
      <c r="L10063" s="81"/>
      <c r="M10063" s="81"/>
      <c r="N10063" s="81"/>
    </row>
    <row r="10064" spans="1:14" ht="14.25" customHeight="1" x14ac:dyDescent="0.25">
      <c r="A10064" s="88"/>
      <c r="B10064" s="88"/>
      <c r="C10064" s="89"/>
      <c r="D10064" s="113"/>
      <c r="E10064" s="113"/>
      <c r="F10064" s="113"/>
      <c r="G10064" s="81"/>
      <c r="H10064" s="81"/>
      <c r="I10064" s="81"/>
      <c r="J10064" s="81"/>
      <c r="K10064" s="81"/>
      <c r="L10064" s="81"/>
      <c r="M10064" s="81"/>
      <c r="N10064" s="81"/>
    </row>
    <row r="10065" spans="1:14" ht="14.25" customHeight="1" x14ac:dyDescent="0.25">
      <c r="A10065" s="96" t="s">
        <v>578</v>
      </c>
      <c r="B10065" s="96"/>
      <c r="C10065" s="92"/>
      <c r="D10065" s="118"/>
      <c r="E10065" s="118"/>
      <c r="F10065" s="118"/>
      <c r="G10065" s="81"/>
      <c r="H10065" s="81"/>
      <c r="I10065" s="81"/>
      <c r="J10065" s="81"/>
      <c r="K10065" s="81"/>
      <c r="L10065" s="81"/>
      <c r="M10065" s="81"/>
      <c r="N10065" s="81"/>
    </row>
    <row r="10066" spans="1:14" ht="38.25" x14ac:dyDescent="0.25">
      <c r="A10066" s="119" t="s">
        <v>563</v>
      </c>
      <c r="B10066" s="120" t="s">
        <v>579</v>
      </c>
      <c r="C10066" s="120" t="s">
        <v>580</v>
      </c>
      <c r="D10066" s="121" t="s">
        <v>581</v>
      </c>
      <c r="E10066" s="121" t="s">
        <v>575</v>
      </c>
      <c r="F10066" s="121" t="s">
        <v>568</v>
      </c>
      <c r="G10066" s="81"/>
      <c r="H10066" s="81"/>
      <c r="I10066" s="81"/>
      <c r="J10066" s="81"/>
      <c r="K10066" s="81"/>
      <c r="L10066" s="81"/>
      <c r="M10066" s="81"/>
      <c r="N10066" s="81"/>
    </row>
    <row r="10067" spans="1:14" ht="14.25" customHeight="1" x14ac:dyDescent="0.25">
      <c r="A10067" s="122" t="s">
        <v>593</v>
      </c>
      <c r="B10067" s="127">
        <v>1</v>
      </c>
      <c r="C10067" s="101">
        <v>32688</v>
      </c>
      <c r="D10067" s="101">
        <f t="shared" ref="D10067:D10068" si="497">+C10067*1.7</f>
        <v>55569.599999999999</v>
      </c>
      <c r="E10067" s="107">
        <v>0.03</v>
      </c>
      <c r="F10067" s="106">
        <f t="shared" ref="F10067:F10068" si="498">+B10067*(D10067)/E10067</f>
        <v>1852320</v>
      </c>
      <c r="G10067" s="81"/>
      <c r="H10067" s="81"/>
      <c r="I10067" s="81"/>
      <c r="J10067" s="81"/>
      <c r="K10067" s="81"/>
      <c r="L10067" s="81"/>
      <c r="M10067" s="81"/>
      <c r="N10067" s="81"/>
    </row>
    <row r="10068" spans="1:14" ht="14.25" customHeight="1" x14ac:dyDescent="0.25">
      <c r="A10068" s="122" t="s">
        <v>594</v>
      </c>
      <c r="B10068" s="127">
        <v>1</v>
      </c>
      <c r="C10068" s="101">
        <v>52538</v>
      </c>
      <c r="D10068" s="101">
        <f t="shared" si="497"/>
        <v>89314.599999999991</v>
      </c>
      <c r="E10068" s="107">
        <f>E10067</f>
        <v>0.03</v>
      </c>
      <c r="F10068" s="106">
        <f t="shared" si="498"/>
        <v>2977153.333333333</v>
      </c>
      <c r="G10068" s="81"/>
      <c r="H10068" s="81"/>
      <c r="I10068" s="81"/>
      <c r="J10068" s="81"/>
      <c r="K10068" s="81"/>
      <c r="L10068" s="81"/>
      <c r="M10068" s="81"/>
      <c r="N10068" s="81"/>
    </row>
    <row r="10069" spans="1:14" ht="14.25" customHeight="1" x14ac:dyDescent="0.25">
      <c r="A10069" s="122"/>
      <c r="B10069" s="127"/>
      <c r="C10069" s="101"/>
      <c r="D10069" s="101"/>
      <c r="E10069" s="105"/>
      <c r="F10069" s="106"/>
      <c r="G10069" s="81"/>
      <c r="H10069" s="81"/>
      <c r="I10069" s="81"/>
      <c r="J10069" s="81"/>
      <c r="K10069" s="81"/>
      <c r="L10069" s="81"/>
      <c r="M10069" s="81"/>
      <c r="N10069" s="81"/>
    </row>
    <row r="10070" spans="1:14" ht="14.25" customHeight="1" x14ac:dyDescent="0.25">
      <c r="A10070" s="122"/>
      <c r="B10070" s="127"/>
      <c r="C10070" s="101"/>
      <c r="D10070" s="101"/>
      <c r="E10070" s="125"/>
      <c r="F10070" s="106"/>
      <c r="G10070" s="81"/>
      <c r="H10070" s="81"/>
      <c r="I10070" s="81"/>
      <c r="J10070" s="81"/>
      <c r="K10070" s="81"/>
      <c r="L10070" s="81"/>
      <c r="M10070" s="81"/>
      <c r="N10070" s="81"/>
    </row>
    <row r="10071" spans="1:14" ht="14.25" customHeight="1" x14ac:dyDescent="0.25">
      <c r="A10071" s="97" t="s">
        <v>548</v>
      </c>
      <c r="B10071" s="128"/>
      <c r="C10071" s="110"/>
      <c r="D10071" s="110"/>
      <c r="E10071" s="110"/>
      <c r="F10071" s="112">
        <f>SUM(F10067:F10070)</f>
        <v>4829473.333333333</v>
      </c>
      <c r="G10071" s="81"/>
      <c r="H10071" s="81"/>
      <c r="I10071" s="81"/>
      <c r="J10071" s="81"/>
      <c r="K10071" s="81"/>
      <c r="L10071" s="81"/>
      <c r="M10071" s="81"/>
      <c r="N10071" s="81"/>
    </row>
    <row r="10072" spans="1:14" ht="14.25" customHeight="1" x14ac:dyDescent="0.25">
      <c r="A10072" s="96"/>
      <c r="B10072" s="129"/>
      <c r="C10072" s="118"/>
      <c r="D10072" s="118"/>
      <c r="E10072" s="118"/>
      <c r="F10072" s="118"/>
      <c r="G10072" s="81"/>
      <c r="H10072" s="81"/>
      <c r="I10072" s="81"/>
      <c r="J10072" s="81"/>
      <c r="K10072" s="81"/>
      <c r="L10072" s="81"/>
      <c r="M10072" s="81"/>
      <c r="N10072" s="81"/>
    </row>
    <row r="10073" spans="1:14" ht="14.25" customHeight="1" x14ac:dyDescent="0.25">
      <c r="A10073" s="95" t="s">
        <v>583</v>
      </c>
      <c r="B10073" s="96"/>
      <c r="C10073" s="92"/>
      <c r="D10073" s="92"/>
      <c r="E10073" s="92" t="s">
        <v>584</v>
      </c>
      <c r="F10073" s="92"/>
      <c r="G10073" s="81"/>
      <c r="H10073" s="81"/>
      <c r="I10073" s="81"/>
      <c r="J10073" s="81"/>
      <c r="K10073" s="81"/>
      <c r="L10073" s="81"/>
      <c r="M10073" s="81"/>
      <c r="N10073" s="81"/>
    </row>
    <row r="10074" spans="1:14" ht="14.25" customHeight="1" x14ac:dyDescent="0.25">
      <c r="A10074" s="97" t="s">
        <v>563</v>
      </c>
      <c r="B10074" s="98" t="s">
        <v>564</v>
      </c>
      <c r="C10074" s="98" t="s">
        <v>585</v>
      </c>
      <c r="D10074" s="98" t="s">
        <v>586</v>
      </c>
      <c r="E10074" s="120" t="s">
        <v>587</v>
      </c>
      <c r="F10074" s="98" t="s">
        <v>568</v>
      </c>
      <c r="G10074" s="81"/>
      <c r="H10074" s="81"/>
      <c r="I10074" s="81"/>
      <c r="J10074" s="81"/>
      <c r="K10074" s="81"/>
      <c r="L10074" s="81"/>
      <c r="M10074" s="81"/>
      <c r="N10074" s="81"/>
    </row>
    <row r="10075" spans="1:14" ht="14.25" customHeight="1" x14ac:dyDescent="0.25">
      <c r="A10075" s="103"/>
      <c r="B10075" s="100"/>
      <c r="C10075" s="101"/>
      <c r="D10075" s="140"/>
      <c r="E10075" s="107"/>
      <c r="F10075" s="109"/>
      <c r="G10075" s="81"/>
      <c r="H10075" s="81"/>
      <c r="I10075" s="81"/>
      <c r="J10075" s="81"/>
      <c r="K10075" s="81"/>
      <c r="L10075" s="81"/>
      <c r="M10075" s="81"/>
      <c r="N10075" s="81"/>
    </row>
    <row r="10076" spans="1:14" ht="14.25" customHeight="1" x14ac:dyDescent="0.25">
      <c r="A10076" s="103"/>
      <c r="B10076" s="100"/>
      <c r="C10076" s="107"/>
      <c r="D10076" s="107"/>
      <c r="E10076" s="108"/>
      <c r="F10076" s="109"/>
      <c r="G10076" s="81"/>
      <c r="H10076" s="81"/>
      <c r="I10076" s="81"/>
      <c r="J10076" s="81"/>
      <c r="K10076" s="81"/>
      <c r="L10076" s="81"/>
      <c r="M10076" s="81"/>
      <c r="N10076" s="81"/>
    </row>
    <row r="10077" spans="1:14" ht="14.25" customHeight="1" x14ac:dyDescent="0.25">
      <c r="A10077" s="97" t="s">
        <v>548</v>
      </c>
      <c r="B10077" s="98"/>
      <c r="C10077" s="110"/>
      <c r="D10077" s="110"/>
      <c r="E10077" s="111"/>
      <c r="F10077" s="112">
        <f>SUM(F10075:F10076)</f>
        <v>0</v>
      </c>
      <c r="G10077" s="81"/>
      <c r="H10077" s="81"/>
      <c r="I10077" s="81"/>
      <c r="J10077" s="81"/>
      <c r="K10077" s="81"/>
      <c r="L10077" s="81"/>
      <c r="M10077" s="81"/>
      <c r="N10077" s="81"/>
    </row>
    <row r="10078" spans="1:14" ht="14.25" customHeight="1" x14ac:dyDescent="0.25">
      <c r="A10078" s="88"/>
      <c r="B10078" s="89"/>
      <c r="C10078" s="113"/>
      <c r="D10078" s="113"/>
      <c r="E10078" s="114"/>
      <c r="F10078" s="113"/>
      <c r="G10078" s="81"/>
      <c r="H10078" s="81"/>
      <c r="I10078" s="81"/>
      <c r="J10078" s="81"/>
      <c r="K10078" s="81"/>
      <c r="L10078" s="81"/>
      <c r="M10078" s="81"/>
      <c r="N10078" s="81"/>
    </row>
    <row r="10079" spans="1:14" ht="14.25" customHeight="1" x14ac:dyDescent="0.25">
      <c r="A10079" s="88"/>
      <c r="B10079" s="89"/>
      <c r="C10079" s="113"/>
      <c r="D10079" s="113"/>
      <c r="E10079" s="114"/>
      <c r="F10079" s="113"/>
      <c r="G10079" s="81"/>
      <c r="H10079" s="81"/>
      <c r="I10079" s="81"/>
      <c r="J10079" s="81"/>
      <c r="K10079" s="81"/>
      <c r="L10079" s="81"/>
      <c r="M10079" s="81"/>
      <c r="N10079" s="81"/>
    </row>
    <row r="10080" spans="1:14" ht="14.25" customHeight="1" x14ac:dyDescent="0.25">
      <c r="A10080" s="612" t="s">
        <v>588</v>
      </c>
      <c r="B10080" s="608"/>
      <c r="C10080" s="608"/>
      <c r="D10080" s="608"/>
      <c r="E10080" s="609"/>
      <c r="F10080" s="131">
        <f>ROUND(F10054+F10063+F10071+F10077,0)</f>
        <v>49780000</v>
      </c>
      <c r="G10080" s="81"/>
      <c r="H10080" s="81"/>
      <c r="I10080" s="81"/>
      <c r="J10080" s="81"/>
      <c r="K10080" s="81"/>
      <c r="L10080" s="81"/>
      <c r="M10080" s="81"/>
      <c r="N10080" s="81"/>
    </row>
    <row r="10081" spans="1:14" ht="14.25" customHeight="1" x14ac:dyDescent="0.25">
      <c r="A10081" s="612" t="s">
        <v>589</v>
      </c>
      <c r="B10081" s="608"/>
      <c r="C10081" s="608"/>
      <c r="D10081" s="608"/>
      <c r="E10081" s="609"/>
      <c r="F10081" s="132"/>
      <c r="G10081" s="81"/>
      <c r="H10081" s="81"/>
      <c r="I10081" s="81"/>
      <c r="J10081" s="81"/>
      <c r="K10081" s="81"/>
      <c r="L10081" s="81"/>
      <c r="M10081" s="81"/>
      <c r="N10081" s="81"/>
    </row>
    <row r="10082" spans="1:14" ht="14.25" customHeight="1" x14ac:dyDescent="0.25">
      <c r="A10082" s="146" t="s">
        <v>556</v>
      </c>
      <c r="B10082" s="147"/>
      <c r="C10082" s="147"/>
      <c r="D10082" s="147"/>
      <c r="E10082" s="148"/>
      <c r="F10082" s="133"/>
      <c r="G10082" s="81"/>
      <c r="H10082" s="81"/>
      <c r="I10082" s="81"/>
      <c r="J10082" s="81"/>
      <c r="K10082" s="81"/>
      <c r="L10082" s="81"/>
      <c r="M10082" s="81"/>
      <c r="N10082" s="81"/>
    </row>
    <row r="10083" spans="1:14" ht="14.25" customHeight="1" x14ac:dyDescent="0.25">
      <c r="A10083" s="134"/>
      <c r="B10083" s="135"/>
      <c r="C10083" s="135"/>
      <c r="D10083" s="135"/>
      <c r="E10083" s="135"/>
      <c r="F10083" s="136"/>
      <c r="G10083" s="81"/>
      <c r="H10083" s="81"/>
      <c r="I10083" s="81"/>
      <c r="J10083" s="81"/>
      <c r="K10083" s="81"/>
      <c r="L10083" s="81"/>
      <c r="M10083" s="81"/>
      <c r="N10083" s="81"/>
    </row>
    <row r="10084" spans="1:14" ht="14.25" customHeight="1" x14ac:dyDescent="0.25">
      <c r="A10084" s="81"/>
      <c r="B10084" s="81"/>
      <c r="C10084" s="137"/>
      <c r="D10084" s="81"/>
      <c r="E10084" s="81"/>
      <c r="F10084" s="81"/>
      <c r="G10084" s="81"/>
      <c r="H10084" s="81"/>
      <c r="I10084" s="81"/>
      <c r="J10084" s="81"/>
      <c r="K10084" s="81"/>
      <c r="L10084" s="81"/>
      <c r="M10084" s="81"/>
      <c r="N10084" s="81"/>
    </row>
    <row r="10085" spans="1:14" ht="14.25" customHeight="1" x14ac:dyDescent="0.25">
      <c r="A10085" s="81"/>
      <c r="B10085" s="81"/>
      <c r="C10085" s="137"/>
      <c r="D10085" s="81"/>
      <c r="E10085" s="81"/>
      <c r="F10085" s="81"/>
      <c r="G10085" s="81"/>
      <c r="H10085" s="81"/>
      <c r="I10085" s="81"/>
      <c r="J10085" s="81"/>
      <c r="K10085" s="81"/>
      <c r="L10085" s="81"/>
      <c r="M10085" s="81"/>
      <c r="N10085" s="81"/>
    </row>
    <row r="10086" spans="1:14" ht="14.25" customHeight="1" x14ac:dyDescent="0.25">
      <c r="A10086" s="81"/>
      <c r="B10086" s="81"/>
      <c r="C10086" s="137"/>
      <c r="D10086" s="81"/>
      <c r="E10086" s="81"/>
      <c r="F10086" s="81"/>
      <c r="G10086" s="81"/>
      <c r="H10086" s="81"/>
      <c r="I10086" s="81"/>
      <c r="J10086" s="81"/>
      <c r="K10086" s="81"/>
      <c r="L10086" s="81"/>
      <c r="M10086" s="81"/>
      <c r="N10086" s="81"/>
    </row>
    <row r="10087" spans="1:14" ht="14.25" customHeight="1" x14ac:dyDescent="0.25">
      <c r="A10087" s="81"/>
      <c r="B10087" s="81"/>
      <c r="C10087" s="137"/>
      <c r="D10087" s="81"/>
      <c r="E10087" s="81"/>
      <c r="F10087" s="81"/>
      <c r="G10087" s="81"/>
      <c r="H10087" s="81"/>
      <c r="I10087" s="81"/>
      <c r="J10087" s="81"/>
      <c r="K10087" s="81"/>
      <c r="L10087" s="81"/>
      <c r="M10087" s="81"/>
      <c r="N10087" s="81"/>
    </row>
    <row r="10088" spans="1:14" ht="14.25" customHeight="1" x14ac:dyDescent="0.25">
      <c r="A10088" s="134"/>
      <c r="B10088" s="135"/>
      <c r="C10088" s="135"/>
      <c r="D10088" s="135"/>
      <c r="E10088" s="135"/>
      <c r="F10088" s="136"/>
      <c r="G10088" s="81"/>
      <c r="H10088" s="81"/>
      <c r="I10088" s="81"/>
      <c r="J10088" s="81"/>
      <c r="K10088" s="81"/>
      <c r="L10088" s="81"/>
      <c r="M10088" s="81"/>
      <c r="N10088" s="81"/>
    </row>
    <row r="10089" spans="1:14" ht="14.25" customHeight="1" x14ac:dyDescent="0.25">
      <c r="A10089" s="134"/>
      <c r="B10089" s="135"/>
      <c r="C10089" s="135"/>
      <c r="D10089" s="135"/>
      <c r="E10089" s="135"/>
      <c r="F10089" s="136"/>
      <c r="G10089" s="81"/>
      <c r="H10089" s="81"/>
      <c r="I10089" s="81"/>
      <c r="J10089" s="81"/>
      <c r="K10089" s="81"/>
      <c r="L10089" s="81"/>
      <c r="M10089" s="81"/>
      <c r="N10089" s="81"/>
    </row>
    <row r="10090" spans="1:14" ht="14.25" customHeight="1" x14ac:dyDescent="0.25">
      <c r="A10090" s="134"/>
      <c r="B10090" s="135"/>
      <c r="C10090" s="135"/>
      <c r="D10090" s="135"/>
      <c r="E10090" s="81"/>
      <c r="F10090" s="136"/>
      <c r="G10090" s="81"/>
      <c r="H10090" s="81"/>
      <c r="I10090" s="81"/>
      <c r="J10090" s="81"/>
      <c r="K10090" s="81"/>
      <c r="L10090" s="81"/>
      <c r="M10090" s="81"/>
      <c r="N10090" s="81"/>
    </row>
    <row r="10091" spans="1:14" ht="14.25" customHeight="1" thickBot="1" x14ac:dyDescent="0.3">
      <c r="A10091" s="81"/>
      <c r="B10091" s="81"/>
      <c r="C10091" s="81"/>
      <c r="D10091" s="81"/>
      <c r="E10091" s="81"/>
      <c r="F10091" s="81"/>
      <c r="G10091" s="81"/>
      <c r="H10091" s="81"/>
      <c r="I10091" s="81"/>
      <c r="J10091" s="81"/>
      <c r="K10091" s="81"/>
      <c r="L10091" s="81"/>
      <c r="M10091" s="81"/>
      <c r="N10091" s="81"/>
    </row>
    <row r="10092" spans="1:14" ht="14.25" customHeight="1" x14ac:dyDescent="0.25">
      <c r="A10092" s="83"/>
      <c r="B10092" s="84"/>
      <c r="C10092" s="85"/>
      <c r="D10092" s="86"/>
      <c r="E10092" s="86"/>
      <c r="F10092" s="87"/>
      <c r="G10092" s="81"/>
      <c r="H10092" s="81"/>
      <c r="I10092" s="81"/>
      <c r="J10092" s="81"/>
      <c r="K10092" s="81"/>
      <c r="L10092" s="81"/>
      <c r="M10092" s="81"/>
      <c r="N10092" s="81"/>
    </row>
    <row r="10093" spans="1:14" ht="14.25" customHeight="1" x14ac:dyDescent="0.25">
      <c r="A10093" s="599"/>
      <c r="B10093" s="600"/>
      <c r="C10093" s="600"/>
      <c r="D10093" s="600"/>
      <c r="E10093" s="600"/>
      <c r="F10093" s="601"/>
      <c r="G10093" s="81"/>
      <c r="H10093" s="81"/>
      <c r="I10093" s="81"/>
      <c r="J10093" s="81"/>
      <c r="K10093" s="81"/>
      <c r="L10093" s="81"/>
      <c r="M10093" s="81"/>
      <c r="N10093" s="81"/>
    </row>
    <row r="10094" spans="1:14" ht="14.25" customHeight="1" x14ac:dyDescent="0.25">
      <c r="A10094" s="602" t="s">
        <v>561</v>
      </c>
      <c r="B10094" s="600"/>
      <c r="C10094" s="600"/>
      <c r="D10094" s="600"/>
      <c r="E10094" s="600"/>
      <c r="F10094" s="601"/>
      <c r="G10094" s="81"/>
      <c r="H10094" s="81"/>
      <c r="I10094" s="81"/>
      <c r="J10094" s="81"/>
      <c r="K10094" s="81"/>
      <c r="L10094" s="81"/>
      <c r="M10094" s="81"/>
      <c r="N10094" s="81"/>
    </row>
    <row r="10095" spans="1:14" ht="14.25" customHeight="1" thickBot="1" x14ac:dyDescent="0.3">
      <c r="A10095" s="603"/>
      <c r="B10095" s="604"/>
      <c r="C10095" s="604"/>
      <c r="D10095" s="604"/>
      <c r="E10095" s="604"/>
      <c r="F10095" s="605"/>
      <c r="G10095" s="81"/>
      <c r="H10095" s="81"/>
      <c r="I10095" s="81"/>
      <c r="J10095" s="81"/>
      <c r="K10095" s="81"/>
      <c r="L10095" s="81"/>
      <c r="M10095" s="81"/>
      <c r="N10095" s="81"/>
    </row>
    <row r="10096" spans="1:14" ht="14.25" customHeight="1" x14ac:dyDescent="0.25">
      <c r="A10096" s="88"/>
      <c r="B10096" s="88"/>
      <c r="C10096" s="89"/>
      <c r="D10096" s="89"/>
      <c r="E10096" s="89"/>
      <c r="F10096" s="89"/>
      <c r="G10096" s="81"/>
      <c r="H10096" s="81"/>
      <c r="I10096" s="81"/>
      <c r="J10096" s="81"/>
      <c r="K10096" s="81"/>
      <c r="L10096" s="81"/>
      <c r="M10096" s="81"/>
      <c r="N10096" s="81"/>
    </row>
    <row r="10097" spans="1:14" ht="14.25" customHeight="1" x14ac:dyDescent="0.25">
      <c r="A10097" s="90" t="s">
        <v>47</v>
      </c>
      <c r="B10097" s="613" t="s">
        <v>419</v>
      </c>
      <c r="C10097" s="600"/>
      <c r="D10097" s="600"/>
      <c r="E10097" s="600"/>
      <c r="F10097" s="600"/>
      <c r="G10097" s="81"/>
      <c r="H10097" s="81"/>
      <c r="I10097" s="81"/>
      <c r="J10097" s="81"/>
      <c r="K10097" s="81"/>
      <c r="L10097" s="81"/>
      <c r="M10097" s="81"/>
      <c r="N10097" s="81"/>
    </row>
    <row r="10098" spans="1:14" ht="14.25" customHeight="1" x14ac:dyDescent="0.25">
      <c r="A10098" s="91"/>
      <c r="B10098" s="91"/>
      <c r="C10098" s="91"/>
      <c r="D10098" s="91"/>
      <c r="E10098" s="91"/>
      <c r="F10098" s="91"/>
      <c r="G10098" s="81"/>
      <c r="H10098" s="81"/>
      <c r="I10098" s="81"/>
      <c r="J10098" s="81"/>
      <c r="K10098" s="81"/>
      <c r="L10098" s="81"/>
      <c r="M10098" s="81"/>
      <c r="N10098" s="81"/>
    </row>
    <row r="10099" spans="1:14" ht="14.25" customHeight="1" x14ac:dyDescent="0.25">
      <c r="A10099" s="88" t="s">
        <v>49</v>
      </c>
      <c r="B10099" s="92" t="s">
        <v>59</v>
      </c>
      <c r="C10099" s="89"/>
      <c r="D10099" s="89"/>
      <c r="E10099" s="89"/>
      <c r="F10099" s="93"/>
      <c r="G10099" s="81"/>
      <c r="H10099" s="81"/>
      <c r="I10099" s="81"/>
      <c r="J10099" s="81"/>
      <c r="K10099" s="81"/>
      <c r="L10099" s="81"/>
      <c r="M10099" s="81"/>
      <c r="N10099" s="81"/>
    </row>
    <row r="10100" spans="1:14" ht="14.25" customHeight="1" x14ac:dyDescent="0.25">
      <c r="A10100" s="88"/>
      <c r="B10100" s="94"/>
      <c r="C10100" s="89"/>
      <c r="D10100" s="89"/>
      <c r="E10100" s="89"/>
      <c r="F10100" s="93"/>
      <c r="G10100" s="81"/>
      <c r="H10100" s="81"/>
      <c r="I10100" s="81"/>
      <c r="J10100" s="81"/>
      <c r="K10100" s="81"/>
      <c r="L10100" s="81"/>
      <c r="M10100" s="81"/>
      <c r="N10100" s="81"/>
    </row>
    <row r="10101" spans="1:14" ht="14.25" customHeight="1" x14ac:dyDescent="0.25">
      <c r="A10101" s="95" t="s">
        <v>562</v>
      </c>
      <c r="B10101" s="96"/>
      <c r="C10101" s="92"/>
      <c r="D10101" s="92"/>
      <c r="E10101" s="92"/>
      <c r="F10101" s="92"/>
      <c r="G10101" s="81"/>
      <c r="H10101" s="81"/>
      <c r="I10101" s="81"/>
      <c r="J10101" s="81"/>
      <c r="K10101" s="81"/>
      <c r="L10101" s="81"/>
      <c r="M10101" s="81"/>
      <c r="N10101" s="81"/>
    </row>
    <row r="10102" spans="1:14" ht="14.25" customHeight="1" x14ac:dyDescent="0.25">
      <c r="A10102" s="97" t="s">
        <v>563</v>
      </c>
      <c r="B10102" s="98" t="s">
        <v>564</v>
      </c>
      <c r="C10102" s="98" t="s">
        <v>565</v>
      </c>
      <c r="D10102" s="98" t="s">
        <v>566</v>
      </c>
      <c r="E10102" s="98" t="s">
        <v>567</v>
      </c>
      <c r="F10102" s="98" t="s">
        <v>568</v>
      </c>
      <c r="G10102" s="81"/>
      <c r="H10102" s="81"/>
      <c r="I10102" s="81"/>
      <c r="J10102" s="81"/>
      <c r="K10102" s="81"/>
      <c r="L10102" s="81"/>
      <c r="M10102" s="81"/>
      <c r="N10102" s="81"/>
    </row>
    <row r="10103" spans="1:14" ht="63.75" x14ac:dyDescent="0.25">
      <c r="A10103" s="99" t="s">
        <v>841</v>
      </c>
      <c r="B10103" s="100" t="s">
        <v>59</v>
      </c>
      <c r="C10103" s="101">
        <v>195420</v>
      </c>
      <c r="D10103" s="149">
        <v>1</v>
      </c>
      <c r="E10103" s="102">
        <v>0.05</v>
      </c>
      <c r="F10103" s="101">
        <f>C10103*(D10103+(D10103*E10103))</f>
        <v>205191</v>
      </c>
      <c r="G10103" s="81"/>
      <c r="H10103" s="117"/>
      <c r="I10103" s="81"/>
      <c r="J10103" s="81"/>
      <c r="K10103" s="81"/>
      <c r="L10103" s="81"/>
      <c r="M10103" s="81"/>
      <c r="N10103" s="81"/>
    </row>
    <row r="10104" spans="1:14" ht="14.25" customHeight="1" x14ac:dyDescent="0.25">
      <c r="A10104" s="99"/>
      <c r="B10104" s="100"/>
      <c r="C10104" s="101"/>
      <c r="D10104" s="149"/>
      <c r="E10104" s="102"/>
      <c r="F10104" s="101"/>
      <c r="G10104" s="81"/>
      <c r="H10104" s="81"/>
      <c r="I10104" s="81"/>
      <c r="J10104" s="81"/>
      <c r="K10104" s="81"/>
      <c r="L10104" s="81"/>
      <c r="M10104" s="81"/>
      <c r="N10104" s="81"/>
    </row>
    <row r="10105" spans="1:14" ht="14.25" customHeight="1" x14ac:dyDescent="0.25">
      <c r="A10105" s="99"/>
      <c r="B10105" s="100"/>
      <c r="C10105" s="101"/>
      <c r="D10105" s="149"/>
      <c r="E10105" s="102"/>
      <c r="F10105" s="101"/>
      <c r="G10105" s="81"/>
      <c r="H10105" s="81"/>
      <c r="I10105" s="81"/>
      <c r="J10105" s="81"/>
      <c r="K10105" s="81"/>
      <c r="L10105" s="81"/>
      <c r="M10105" s="81"/>
      <c r="N10105" s="81"/>
    </row>
    <row r="10106" spans="1:14" ht="14.25" customHeight="1" x14ac:dyDescent="0.25">
      <c r="A10106" s="99"/>
      <c r="B10106" s="100"/>
      <c r="C10106" s="101"/>
      <c r="D10106" s="104"/>
      <c r="E10106" s="102"/>
      <c r="F10106" s="101"/>
      <c r="G10106" s="81"/>
      <c r="H10106" s="81"/>
      <c r="I10106" s="81"/>
      <c r="J10106" s="81"/>
      <c r="K10106" s="81"/>
      <c r="L10106" s="81"/>
      <c r="M10106" s="81"/>
      <c r="N10106" s="81"/>
    </row>
    <row r="10107" spans="1:14" ht="14.25" customHeight="1" x14ac:dyDescent="0.25">
      <c r="A10107" s="99"/>
      <c r="B10107" s="100"/>
      <c r="C10107" s="101"/>
      <c r="D10107" s="104"/>
      <c r="E10107" s="102"/>
      <c r="F10107" s="101"/>
      <c r="G10107" s="81"/>
      <c r="H10107" s="81"/>
      <c r="I10107" s="81"/>
      <c r="J10107" s="81"/>
      <c r="K10107" s="81"/>
      <c r="L10107" s="81"/>
      <c r="M10107" s="81"/>
      <c r="N10107" s="81"/>
    </row>
    <row r="10108" spans="1:14" ht="14.25" customHeight="1" x14ac:dyDescent="0.25">
      <c r="A10108" s="99"/>
      <c r="B10108" s="100"/>
      <c r="C10108" s="106"/>
      <c r="D10108" s="107"/>
      <c r="E10108" s="108"/>
      <c r="F10108" s="106"/>
      <c r="G10108" s="81"/>
      <c r="H10108" s="81"/>
      <c r="I10108" s="81"/>
      <c r="J10108" s="81"/>
      <c r="K10108" s="81"/>
      <c r="L10108" s="81"/>
      <c r="M10108" s="81"/>
      <c r="N10108" s="81"/>
    </row>
    <row r="10109" spans="1:14" ht="14.25" customHeight="1" x14ac:dyDescent="0.25">
      <c r="A10109" s="97" t="s">
        <v>548</v>
      </c>
      <c r="B10109" s="97"/>
      <c r="C10109" s="109"/>
      <c r="D10109" s="110"/>
      <c r="E10109" s="111"/>
      <c r="F10109" s="112">
        <f>SUM(F10103:F10108)</f>
        <v>205191</v>
      </c>
      <c r="G10109" s="81"/>
      <c r="H10109" s="81"/>
      <c r="I10109" s="81"/>
      <c r="J10109" s="81"/>
      <c r="K10109" s="81"/>
      <c r="L10109" s="81"/>
      <c r="M10109" s="81"/>
      <c r="N10109" s="81"/>
    </row>
    <row r="10110" spans="1:14" ht="14.25" customHeight="1" x14ac:dyDescent="0.25">
      <c r="A10110" s="88"/>
      <c r="B10110" s="88"/>
      <c r="C10110" s="113"/>
      <c r="D10110" s="113"/>
      <c r="E10110" s="114"/>
      <c r="F10110" s="113"/>
      <c r="G10110" s="81"/>
      <c r="H10110" s="81"/>
      <c r="I10110" s="81"/>
      <c r="J10110" s="81"/>
      <c r="K10110" s="81"/>
      <c r="L10110" s="81"/>
      <c r="M10110" s="81"/>
      <c r="N10110" s="81"/>
    </row>
    <row r="10111" spans="1:14" ht="14.25" customHeight="1" x14ac:dyDescent="0.25">
      <c r="A10111" s="96" t="s">
        <v>573</v>
      </c>
      <c r="B10111" s="96"/>
      <c r="C10111" s="92"/>
      <c r="D10111" s="92"/>
      <c r="E10111" s="92"/>
      <c r="F10111" s="92"/>
      <c r="G10111" s="81"/>
      <c r="H10111" s="81"/>
      <c r="I10111" s="81"/>
      <c r="J10111" s="81"/>
      <c r="K10111" s="81"/>
      <c r="L10111" s="81"/>
      <c r="M10111" s="81"/>
      <c r="N10111" s="81"/>
    </row>
    <row r="10112" spans="1:14" ht="14.25" customHeight="1" x14ac:dyDescent="0.25">
      <c r="A10112" s="611" t="s">
        <v>563</v>
      </c>
      <c r="B10112" s="608"/>
      <c r="C10112" s="609"/>
      <c r="D10112" s="98" t="s">
        <v>574</v>
      </c>
      <c r="E10112" s="98" t="s">
        <v>575</v>
      </c>
      <c r="F10112" s="98" t="s">
        <v>568</v>
      </c>
      <c r="G10112" s="81"/>
      <c r="H10112" s="81"/>
      <c r="I10112" s="81"/>
      <c r="J10112" s="81"/>
      <c r="K10112" s="81"/>
      <c r="L10112" s="81"/>
      <c r="M10112" s="81"/>
      <c r="N10112" s="81"/>
    </row>
    <row r="10113" spans="1:14" ht="14.25" customHeight="1" x14ac:dyDescent="0.25">
      <c r="A10113" s="607" t="s">
        <v>577</v>
      </c>
      <c r="B10113" s="608"/>
      <c r="C10113" s="609"/>
      <c r="D10113" s="116"/>
      <c r="E10113" s="107"/>
      <c r="F10113" s="106">
        <f>+F10126*5%</f>
        <v>2411.360761600426</v>
      </c>
      <c r="G10113" s="81"/>
      <c r="H10113" s="81"/>
      <c r="I10113" s="81"/>
      <c r="J10113" s="81"/>
      <c r="K10113" s="81"/>
      <c r="L10113" s="81"/>
      <c r="M10113" s="81"/>
      <c r="N10113" s="81"/>
    </row>
    <row r="10114" spans="1:14" ht="14.25" customHeight="1" x14ac:dyDescent="0.25">
      <c r="A10114" s="607"/>
      <c r="B10114" s="608"/>
      <c r="C10114" s="609"/>
      <c r="D10114" s="142"/>
      <c r="E10114" s="105"/>
      <c r="F10114" s="106"/>
      <c r="G10114" s="81"/>
      <c r="H10114" s="81"/>
      <c r="I10114" s="81"/>
      <c r="J10114" s="81"/>
      <c r="K10114" s="81"/>
      <c r="L10114" s="81"/>
      <c r="M10114" s="81"/>
      <c r="N10114" s="81"/>
    </row>
    <row r="10115" spans="1:14" ht="14.25" customHeight="1" x14ac:dyDescent="0.25">
      <c r="A10115" s="607"/>
      <c r="B10115" s="608"/>
      <c r="C10115" s="609"/>
      <c r="D10115" s="142"/>
      <c r="E10115" s="105"/>
      <c r="F10115" s="106"/>
      <c r="G10115" s="81"/>
      <c r="H10115" s="81"/>
      <c r="I10115" s="81"/>
      <c r="J10115" s="81"/>
      <c r="K10115" s="81"/>
      <c r="L10115" s="81"/>
      <c r="M10115" s="81"/>
      <c r="N10115" s="81"/>
    </row>
    <row r="10116" spans="1:14" ht="14.25" customHeight="1" x14ac:dyDescent="0.25">
      <c r="A10116" s="607"/>
      <c r="B10116" s="608"/>
      <c r="C10116" s="609"/>
      <c r="D10116" s="142"/>
      <c r="E10116" s="107"/>
      <c r="F10116" s="106"/>
      <c r="G10116" s="81"/>
      <c r="H10116" s="81"/>
      <c r="I10116" s="81"/>
      <c r="J10116" s="81"/>
      <c r="K10116" s="81"/>
      <c r="L10116" s="81"/>
      <c r="M10116" s="81"/>
      <c r="N10116" s="81"/>
    </row>
    <row r="10117" spans="1:14" ht="14.25" customHeight="1" x14ac:dyDescent="0.25">
      <c r="A10117" s="610"/>
      <c r="B10117" s="608"/>
      <c r="C10117" s="609"/>
      <c r="D10117" s="115"/>
      <c r="E10117" s="107"/>
      <c r="F10117" s="106"/>
      <c r="G10117" s="81"/>
      <c r="H10117" s="81"/>
      <c r="I10117" s="81"/>
      <c r="J10117" s="81"/>
      <c r="K10117" s="81"/>
      <c r="L10117" s="81"/>
      <c r="M10117" s="81"/>
      <c r="N10117" s="81"/>
    </row>
    <row r="10118" spans="1:14" ht="14.25" customHeight="1" x14ac:dyDescent="0.25">
      <c r="A10118" s="611" t="s">
        <v>548</v>
      </c>
      <c r="B10118" s="608"/>
      <c r="C10118" s="609"/>
      <c r="D10118" s="110"/>
      <c r="E10118" s="110"/>
      <c r="F10118" s="112">
        <f>SUM(F10113:F10116)</f>
        <v>2411.360761600426</v>
      </c>
      <c r="G10118" s="81"/>
      <c r="H10118" s="81"/>
      <c r="I10118" s="81"/>
      <c r="J10118" s="81"/>
      <c r="K10118" s="81"/>
      <c r="L10118" s="81"/>
      <c r="M10118" s="81"/>
      <c r="N10118" s="81"/>
    </row>
    <row r="10119" spans="1:14" ht="14.25" customHeight="1" x14ac:dyDescent="0.25">
      <c r="A10119" s="88"/>
      <c r="B10119" s="88"/>
      <c r="C10119" s="89"/>
      <c r="D10119" s="113"/>
      <c r="E10119" s="113"/>
      <c r="F10119" s="113"/>
      <c r="G10119" s="81"/>
      <c r="H10119" s="81"/>
      <c r="I10119" s="81"/>
      <c r="J10119" s="81"/>
      <c r="K10119" s="81"/>
      <c r="L10119" s="81"/>
      <c r="M10119" s="81"/>
      <c r="N10119" s="81"/>
    </row>
    <row r="10120" spans="1:14" ht="14.25" customHeight="1" x14ac:dyDescent="0.25">
      <c r="A10120" s="96" t="s">
        <v>578</v>
      </c>
      <c r="B10120" s="96"/>
      <c r="C10120" s="92"/>
      <c r="D10120" s="118"/>
      <c r="E10120" s="118"/>
      <c r="F10120" s="118"/>
      <c r="G10120" s="81"/>
      <c r="H10120" s="81"/>
      <c r="I10120" s="81"/>
      <c r="J10120" s="81"/>
      <c r="K10120" s="81"/>
      <c r="L10120" s="81"/>
      <c r="M10120" s="81"/>
      <c r="N10120" s="81"/>
    </row>
    <row r="10121" spans="1:14" ht="38.25" x14ac:dyDescent="0.25">
      <c r="A10121" s="119" t="s">
        <v>563</v>
      </c>
      <c r="B10121" s="120" t="s">
        <v>579</v>
      </c>
      <c r="C10121" s="120" t="s">
        <v>580</v>
      </c>
      <c r="D10121" s="121" t="s">
        <v>581</v>
      </c>
      <c r="E10121" s="121" t="s">
        <v>575</v>
      </c>
      <c r="F10121" s="121" t="s">
        <v>568</v>
      </c>
      <c r="G10121" s="81"/>
      <c r="H10121" s="81"/>
      <c r="I10121" s="81"/>
      <c r="J10121" s="81"/>
      <c r="K10121" s="81"/>
      <c r="L10121" s="81"/>
      <c r="M10121" s="81"/>
      <c r="N10121" s="81"/>
    </row>
    <row r="10122" spans="1:14" ht="14.25" customHeight="1" x14ac:dyDescent="0.25">
      <c r="A10122" s="122" t="s">
        <v>593</v>
      </c>
      <c r="B10122" s="127">
        <v>1</v>
      </c>
      <c r="C10122" s="101">
        <v>32688</v>
      </c>
      <c r="D10122" s="101">
        <f t="shared" ref="D10122:D10123" si="499">+C10122*1.7</f>
        <v>55569.599999999999</v>
      </c>
      <c r="E10122" s="107">
        <v>3.0042</v>
      </c>
      <c r="F10122" s="106">
        <f t="shared" ref="F10122:F10123" si="500">+B10122*(D10122)/E10122</f>
        <v>18497.303774715398</v>
      </c>
      <c r="G10122" s="81"/>
      <c r="H10122" s="81"/>
      <c r="I10122" s="81"/>
      <c r="J10122" s="81"/>
      <c r="K10122" s="81"/>
      <c r="L10122" s="81"/>
      <c r="M10122" s="81"/>
      <c r="N10122" s="81"/>
    </row>
    <row r="10123" spans="1:14" ht="14.25" customHeight="1" x14ac:dyDescent="0.25">
      <c r="A10123" s="122" t="s">
        <v>594</v>
      </c>
      <c r="B10123" s="127">
        <v>1</v>
      </c>
      <c r="C10123" s="101">
        <v>52538</v>
      </c>
      <c r="D10123" s="101">
        <f t="shared" si="499"/>
        <v>89314.599999999991</v>
      </c>
      <c r="E10123" s="107">
        <f>E10122</f>
        <v>3.0042</v>
      </c>
      <c r="F10123" s="106">
        <f t="shared" si="500"/>
        <v>29729.911457293121</v>
      </c>
      <c r="G10123" s="81"/>
      <c r="H10123" s="81"/>
      <c r="I10123" s="81"/>
      <c r="J10123" s="81"/>
      <c r="K10123" s="81"/>
      <c r="L10123" s="81"/>
      <c r="M10123" s="81"/>
      <c r="N10123" s="81"/>
    </row>
    <row r="10124" spans="1:14" ht="14.25" customHeight="1" x14ac:dyDescent="0.25">
      <c r="A10124" s="122"/>
      <c r="B10124" s="127"/>
      <c r="C10124" s="101"/>
      <c r="D10124" s="101"/>
      <c r="E10124" s="105"/>
      <c r="F10124" s="106"/>
      <c r="G10124" s="81"/>
      <c r="H10124" s="81"/>
      <c r="I10124" s="81"/>
      <c r="J10124" s="81"/>
      <c r="K10124" s="81"/>
      <c r="L10124" s="81"/>
      <c r="M10124" s="81"/>
      <c r="N10124" s="81"/>
    </row>
    <row r="10125" spans="1:14" ht="14.25" customHeight="1" x14ac:dyDescent="0.25">
      <c r="A10125" s="122"/>
      <c r="B10125" s="127"/>
      <c r="C10125" s="101"/>
      <c r="D10125" s="101"/>
      <c r="E10125" s="125"/>
      <c r="F10125" s="106"/>
      <c r="G10125" s="81"/>
      <c r="H10125" s="81"/>
      <c r="I10125" s="81"/>
      <c r="J10125" s="81"/>
      <c r="K10125" s="81"/>
      <c r="L10125" s="81"/>
      <c r="M10125" s="81"/>
      <c r="N10125" s="81"/>
    </row>
    <row r="10126" spans="1:14" ht="14.25" customHeight="1" x14ac:dyDescent="0.25">
      <c r="A10126" s="97" t="s">
        <v>548</v>
      </c>
      <c r="B10126" s="128"/>
      <c r="C10126" s="110"/>
      <c r="D10126" s="110"/>
      <c r="E10126" s="110"/>
      <c r="F10126" s="112">
        <f>SUM(F10122:F10125)</f>
        <v>48227.215232008515</v>
      </c>
      <c r="G10126" s="81"/>
      <c r="H10126" s="81"/>
      <c r="I10126" s="81"/>
      <c r="J10126" s="81"/>
      <c r="K10126" s="81"/>
      <c r="L10126" s="81"/>
      <c r="M10126" s="81"/>
      <c r="N10126" s="81"/>
    </row>
    <row r="10127" spans="1:14" ht="14.25" customHeight="1" x14ac:dyDescent="0.25">
      <c r="A10127" s="96"/>
      <c r="B10127" s="129"/>
      <c r="C10127" s="118"/>
      <c r="D10127" s="118"/>
      <c r="E10127" s="118"/>
      <c r="F10127" s="118"/>
      <c r="G10127" s="81"/>
      <c r="H10127" s="81"/>
      <c r="I10127" s="81"/>
      <c r="J10127" s="81"/>
      <c r="K10127" s="81"/>
      <c r="L10127" s="81"/>
      <c r="M10127" s="81"/>
      <c r="N10127" s="81"/>
    </row>
    <row r="10128" spans="1:14" ht="14.25" customHeight="1" x14ac:dyDescent="0.25">
      <c r="A10128" s="95" t="s">
        <v>583</v>
      </c>
      <c r="B10128" s="96"/>
      <c r="C10128" s="92"/>
      <c r="D10128" s="92"/>
      <c r="E10128" s="92" t="s">
        <v>584</v>
      </c>
      <c r="F10128" s="92"/>
      <c r="G10128" s="81"/>
      <c r="H10128" s="81"/>
      <c r="I10128" s="81"/>
      <c r="J10128" s="81"/>
      <c r="K10128" s="81"/>
      <c r="L10128" s="81"/>
      <c r="M10128" s="81"/>
      <c r="N10128" s="81"/>
    </row>
    <row r="10129" spans="1:14" ht="30.75" customHeight="1" x14ac:dyDescent="0.25">
      <c r="A10129" s="97" t="s">
        <v>563</v>
      </c>
      <c r="B10129" s="98" t="s">
        <v>564</v>
      </c>
      <c r="C10129" s="98" t="s">
        <v>585</v>
      </c>
      <c r="D10129" s="98" t="s">
        <v>586</v>
      </c>
      <c r="E10129" s="120" t="s">
        <v>587</v>
      </c>
      <c r="F10129" s="98" t="s">
        <v>568</v>
      </c>
      <c r="G10129" s="81"/>
      <c r="H10129" s="81"/>
      <c r="I10129" s="81"/>
      <c r="J10129" s="81"/>
      <c r="K10129" s="81"/>
      <c r="L10129" s="81"/>
      <c r="M10129" s="81"/>
      <c r="N10129" s="81"/>
    </row>
    <row r="10130" spans="1:14" ht="14.25" customHeight="1" x14ac:dyDescent="0.25">
      <c r="A10130" s="103"/>
      <c r="B10130" s="100"/>
      <c r="C10130" s="101"/>
      <c r="D10130" s="140"/>
      <c r="E10130" s="107"/>
      <c r="F10130" s="109"/>
      <c r="G10130" s="81"/>
      <c r="H10130" s="81"/>
      <c r="I10130" s="81"/>
      <c r="J10130" s="81"/>
      <c r="K10130" s="81"/>
      <c r="L10130" s="81"/>
      <c r="M10130" s="81"/>
      <c r="N10130" s="81"/>
    </row>
    <row r="10131" spans="1:14" ht="14.25" customHeight="1" x14ac:dyDescent="0.25">
      <c r="A10131" s="103"/>
      <c r="B10131" s="100"/>
      <c r="C10131" s="107"/>
      <c r="D10131" s="107"/>
      <c r="E10131" s="108"/>
      <c r="F10131" s="109"/>
      <c r="G10131" s="81"/>
      <c r="H10131" s="81"/>
      <c r="I10131" s="81"/>
      <c r="J10131" s="81"/>
      <c r="K10131" s="81"/>
      <c r="L10131" s="81"/>
      <c r="M10131" s="81"/>
      <c r="N10131" s="81"/>
    </row>
    <row r="10132" spans="1:14" ht="14.25" customHeight="1" x14ac:dyDescent="0.25">
      <c r="A10132" s="97" t="s">
        <v>548</v>
      </c>
      <c r="B10132" s="98"/>
      <c r="C10132" s="110"/>
      <c r="D10132" s="110"/>
      <c r="E10132" s="111"/>
      <c r="F10132" s="112">
        <f>SUM(F10130:F10131)</f>
        <v>0</v>
      </c>
      <c r="G10132" s="81"/>
      <c r="H10132" s="81"/>
      <c r="I10132" s="81"/>
      <c r="J10132" s="81"/>
      <c r="K10132" s="81"/>
      <c r="L10132" s="81"/>
      <c r="M10132" s="81"/>
      <c r="N10132" s="81"/>
    </row>
    <row r="10133" spans="1:14" ht="14.25" customHeight="1" x14ac:dyDescent="0.25">
      <c r="A10133" s="88"/>
      <c r="B10133" s="89"/>
      <c r="C10133" s="113"/>
      <c r="D10133" s="113"/>
      <c r="E10133" s="114"/>
      <c r="F10133" s="113"/>
      <c r="G10133" s="81"/>
      <c r="H10133" s="81"/>
      <c r="I10133" s="81"/>
      <c r="J10133" s="81"/>
      <c r="K10133" s="81"/>
      <c r="L10133" s="81"/>
      <c r="M10133" s="81"/>
      <c r="N10133" s="81"/>
    </row>
    <row r="10134" spans="1:14" ht="14.25" customHeight="1" x14ac:dyDescent="0.25">
      <c r="A10134" s="88"/>
      <c r="B10134" s="89"/>
      <c r="C10134" s="113"/>
      <c r="D10134" s="113"/>
      <c r="E10134" s="114"/>
      <c r="F10134" s="113"/>
      <c r="G10134" s="81"/>
      <c r="H10134" s="81"/>
      <c r="I10134" s="81"/>
      <c r="J10134" s="81"/>
      <c r="K10134" s="81"/>
      <c r="L10134" s="81"/>
      <c r="M10134" s="81"/>
      <c r="N10134" s="81"/>
    </row>
    <row r="10135" spans="1:14" ht="14.25" customHeight="1" x14ac:dyDescent="0.25">
      <c r="A10135" s="612" t="s">
        <v>588</v>
      </c>
      <c r="B10135" s="608"/>
      <c r="C10135" s="608"/>
      <c r="D10135" s="608"/>
      <c r="E10135" s="609"/>
      <c r="F10135" s="131">
        <f>ROUND(F10109+F10118+F10126+F10132,0)</f>
        <v>255830</v>
      </c>
      <c r="G10135" s="81"/>
      <c r="H10135" s="81"/>
      <c r="I10135" s="81"/>
      <c r="J10135" s="81"/>
      <c r="K10135" s="81"/>
      <c r="L10135" s="81"/>
      <c r="M10135" s="81"/>
      <c r="N10135" s="81"/>
    </row>
    <row r="10136" spans="1:14" ht="14.25" customHeight="1" x14ac:dyDescent="0.25">
      <c r="A10136" s="612" t="s">
        <v>589</v>
      </c>
      <c r="B10136" s="608"/>
      <c r="C10136" s="608"/>
      <c r="D10136" s="608"/>
      <c r="E10136" s="609"/>
      <c r="F10136" s="132"/>
      <c r="G10136" s="81"/>
      <c r="H10136" s="81"/>
      <c r="I10136" s="81"/>
      <c r="J10136" s="81"/>
      <c r="K10136" s="81"/>
      <c r="L10136" s="81"/>
      <c r="M10136" s="81"/>
      <c r="N10136" s="81"/>
    </row>
    <row r="10137" spans="1:14" ht="14.25" customHeight="1" x14ac:dyDescent="0.25">
      <c r="A10137" s="146" t="s">
        <v>556</v>
      </c>
      <c r="B10137" s="147"/>
      <c r="C10137" s="147"/>
      <c r="D10137" s="147"/>
      <c r="E10137" s="148"/>
      <c r="F10137" s="133"/>
      <c r="G10137" s="81"/>
      <c r="H10137" s="81"/>
      <c r="I10137" s="81"/>
      <c r="J10137" s="81"/>
      <c r="K10137" s="81"/>
      <c r="L10137" s="81"/>
      <c r="M10137" s="81"/>
      <c r="N10137" s="81"/>
    </row>
    <row r="10138" spans="1:14" ht="14.25" customHeight="1" x14ac:dyDescent="0.25">
      <c r="A10138" s="134"/>
      <c r="B10138" s="135"/>
      <c r="C10138" s="135"/>
      <c r="D10138" s="135"/>
      <c r="E10138" s="135"/>
      <c r="F10138" s="136"/>
      <c r="G10138" s="81"/>
      <c r="H10138" s="81"/>
      <c r="I10138" s="81"/>
      <c r="J10138" s="81"/>
      <c r="K10138" s="81"/>
      <c r="L10138" s="81"/>
      <c r="M10138" s="81"/>
      <c r="N10138" s="81"/>
    </row>
    <row r="10139" spans="1:14" ht="14.25" customHeight="1" x14ac:dyDescent="0.25">
      <c r="A10139" s="81"/>
      <c r="B10139" s="81"/>
      <c r="C10139" s="137"/>
      <c r="D10139" s="81"/>
      <c r="E10139" s="81"/>
      <c r="F10139" s="81"/>
      <c r="G10139" s="81"/>
      <c r="H10139" s="81"/>
      <c r="I10139" s="81"/>
      <c r="J10139" s="81"/>
      <c r="K10139" s="81"/>
      <c r="L10139" s="81"/>
      <c r="M10139" s="81"/>
      <c r="N10139" s="81"/>
    </row>
    <row r="10140" spans="1:14" ht="14.25" customHeight="1" x14ac:dyDescent="0.25">
      <c r="A10140" s="81"/>
      <c r="B10140" s="81"/>
      <c r="C10140" s="137"/>
      <c r="D10140" s="81"/>
      <c r="E10140" s="81"/>
      <c r="F10140" s="81"/>
      <c r="G10140" s="81"/>
      <c r="H10140" s="81"/>
      <c r="I10140" s="81"/>
      <c r="J10140" s="81"/>
      <c r="K10140" s="81"/>
      <c r="L10140" s="81"/>
      <c r="M10140" s="81"/>
      <c r="N10140" s="81"/>
    </row>
    <row r="10141" spans="1:14" ht="14.25" customHeight="1" x14ac:dyDescent="0.25">
      <c r="A10141" s="81"/>
      <c r="B10141" s="81"/>
      <c r="C10141" s="137"/>
      <c r="D10141" s="81"/>
      <c r="E10141" s="81"/>
      <c r="F10141" s="81"/>
      <c r="G10141" s="81"/>
      <c r="H10141" s="81"/>
      <c r="I10141" s="81"/>
      <c r="J10141" s="81"/>
      <c r="K10141" s="81"/>
      <c r="L10141" s="81"/>
      <c r="M10141" s="81"/>
      <c r="N10141" s="81"/>
    </row>
    <row r="10142" spans="1:14" ht="14.25" customHeight="1" x14ac:dyDescent="0.25">
      <c r="A10142" s="81"/>
      <c r="B10142" s="81"/>
      <c r="C10142" s="137"/>
      <c r="D10142" s="81"/>
      <c r="E10142" s="81"/>
      <c r="F10142" s="81"/>
      <c r="G10142" s="81"/>
      <c r="H10142" s="81"/>
      <c r="I10142" s="81"/>
      <c r="J10142" s="81"/>
      <c r="K10142" s="81"/>
      <c r="L10142" s="81"/>
      <c r="M10142" s="81"/>
      <c r="N10142" s="81"/>
    </row>
    <row r="10143" spans="1:14" ht="14.25" customHeight="1" x14ac:dyDescent="0.25">
      <c r="A10143" s="134"/>
      <c r="B10143" s="135"/>
      <c r="C10143" s="135"/>
      <c r="D10143" s="135"/>
      <c r="E10143" s="135"/>
      <c r="F10143" s="136"/>
      <c r="G10143" s="81"/>
      <c r="H10143" s="81"/>
      <c r="I10143" s="81"/>
      <c r="J10143" s="81"/>
      <c r="K10143" s="81"/>
      <c r="L10143" s="81"/>
      <c r="M10143" s="81"/>
      <c r="N10143" s="81"/>
    </row>
    <row r="10144" spans="1:14" ht="14.25" customHeight="1" x14ac:dyDescent="0.25">
      <c r="A10144" s="134"/>
      <c r="B10144" s="135"/>
      <c r="C10144" s="135"/>
      <c r="D10144" s="135"/>
      <c r="E10144" s="135"/>
      <c r="F10144" s="136"/>
      <c r="G10144" s="81"/>
      <c r="H10144" s="81"/>
      <c r="I10144" s="81"/>
      <c r="J10144" s="81"/>
      <c r="K10144" s="81"/>
      <c r="L10144" s="81"/>
      <c r="M10144" s="81"/>
      <c r="N10144" s="81"/>
    </row>
    <row r="10145" spans="1:14" ht="14.25" customHeight="1" x14ac:dyDescent="0.25">
      <c r="A10145" s="134"/>
      <c r="B10145" s="135"/>
      <c r="C10145" s="135"/>
      <c r="D10145" s="135"/>
      <c r="E10145" s="81"/>
      <c r="F10145" s="136"/>
      <c r="G10145" s="81"/>
      <c r="H10145" s="81"/>
      <c r="I10145" s="81"/>
      <c r="J10145" s="81"/>
      <c r="K10145" s="81"/>
      <c r="L10145" s="81"/>
      <c r="M10145" s="81"/>
      <c r="N10145" s="81"/>
    </row>
    <row r="10146" spans="1:14" ht="14.25" customHeight="1" thickBot="1" x14ac:dyDescent="0.3">
      <c r="A10146" s="81"/>
      <c r="B10146" s="81"/>
      <c r="C10146" s="81"/>
      <c r="D10146" s="81"/>
      <c r="E10146" s="81"/>
      <c r="F10146" s="81"/>
      <c r="G10146" s="81"/>
      <c r="H10146" s="81"/>
      <c r="I10146" s="81"/>
      <c r="J10146" s="81"/>
      <c r="K10146" s="81"/>
      <c r="L10146" s="81"/>
      <c r="M10146" s="81"/>
      <c r="N10146" s="81"/>
    </row>
    <row r="10147" spans="1:14" ht="14.25" customHeight="1" x14ac:dyDescent="0.25">
      <c r="A10147" s="83"/>
      <c r="B10147" s="84"/>
      <c r="C10147" s="85"/>
      <c r="D10147" s="86"/>
      <c r="E10147" s="86"/>
      <c r="F10147" s="87"/>
      <c r="G10147" s="81"/>
      <c r="H10147" s="81"/>
      <c r="I10147" s="81"/>
      <c r="J10147" s="81"/>
      <c r="K10147" s="81"/>
      <c r="L10147" s="81"/>
      <c r="M10147" s="81"/>
      <c r="N10147" s="81"/>
    </row>
    <row r="10148" spans="1:14" ht="14.25" customHeight="1" x14ac:dyDescent="0.25">
      <c r="A10148" s="599"/>
      <c r="B10148" s="600"/>
      <c r="C10148" s="600"/>
      <c r="D10148" s="600"/>
      <c r="E10148" s="600"/>
      <c r="F10148" s="601"/>
      <c r="G10148" s="81"/>
      <c r="H10148" s="81"/>
      <c r="I10148" s="81"/>
      <c r="J10148" s="81"/>
      <c r="K10148" s="81"/>
      <c r="L10148" s="81"/>
      <c r="M10148" s="81"/>
      <c r="N10148" s="81"/>
    </row>
    <row r="10149" spans="1:14" ht="14.25" customHeight="1" x14ac:dyDescent="0.25">
      <c r="A10149" s="602" t="s">
        <v>561</v>
      </c>
      <c r="B10149" s="600"/>
      <c r="C10149" s="600"/>
      <c r="D10149" s="600"/>
      <c r="E10149" s="600"/>
      <c r="F10149" s="601"/>
      <c r="G10149" s="81"/>
      <c r="H10149" s="81"/>
      <c r="I10149" s="81"/>
      <c r="J10149" s="81"/>
      <c r="K10149" s="81"/>
      <c r="L10149" s="81"/>
      <c r="M10149" s="81"/>
      <c r="N10149" s="81"/>
    </row>
    <row r="10150" spans="1:14" ht="14.25" customHeight="1" thickBot="1" x14ac:dyDescent="0.3">
      <c r="A10150" s="603"/>
      <c r="B10150" s="604"/>
      <c r="C10150" s="604"/>
      <c r="D10150" s="604"/>
      <c r="E10150" s="604"/>
      <c r="F10150" s="605"/>
      <c r="G10150" s="81"/>
      <c r="H10150" s="81"/>
      <c r="I10150" s="81"/>
      <c r="J10150" s="81"/>
      <c r="K10150" s="81"/>
      <c r="L10150" s="81"/>
      <c r="M10150" s="81"/>
      <c r="N10150" s="81"/>
    </row>
    <row r="10151" spans="1:14" ht="14.25" customHeight="1" x14ac:dyDescent="0.25">
      <c r="A10151" s="88"/>
      <c r="B10151" s="88"/>
      <c r="C10151" s="89"/>
      <c r="D10151" s="89"/>
      <c r="E10151" s="89"/>
      <c r="F10151" s="89"/>
      <c r="G10151" s="81"/>
      <c r="H10151" s="81"/>
      <c r="I10151" s="81"/>
      <c r="J10151" s="81"/>
      <c r="K10151" s="81"/>
      <c r="L10151" s="81"/>
      <c r="M10151" s="81"/>
      <c r="N10151" s="81"/>
    </row>
    <row r="10152" spans="1:14" ht="29.25" customHeight="1" x14ac:dyDescent="0.25">
      <c r="A10152" s="90" t="s">
        <v>47</v>
      </c>
      <c r="B10152" s="613" t="s">
        <v>421</v>
      </c>
      <c r="C10152" s="600"/>
      <c r="D10152" s="600"/>
      <c r="E10152" s="600"/>
      <c r="F10152" s="600"/>
      <c r="G10152" s="81"/>
      <c r="H10152" s="81"/>
      <c r="I10152" s="81"/>
      <c r="J10152" s="81"/>
      <c r="K10152" s="81"/>
      <c r="L10152" s="81"/>
      <c r="M10152" s="81"/>
      <c r="N10152" s="81"/>
    </row>
    <row r="10153" spans="1:14" ht="14.25" customHeight="1" x14ac:dyDescent="0.25">
      <c r="A10153" s="91"/>
      <c r="B10153" s="91"/>
      <c r="C10153" s="91"/>
      <c r="D10153" s="91"/>
      <c r="E10153" s="91"/>
      <c r="F10153" s="91"/>
      <c r="G10153" s="81"/>
      <c r="H10153" s="81"/>
      <c r="I10153" s="81"/>
      <c r="J10153" s="81"/>
      <c r="K10153" s="81"/>
      <c r="L10153" s="81"/>
      <c r="M10153" s="81"/>
      <c r="N10153" s="81"/>
    </row>
    <row r="10154" spans="1:14" ht="14.25" customHeight="1" x14ac:dyDescent="0.25">
      <c r="A10154" s="88" t="s">
        <v>49</v>
      </c>
      <c r="B10154" s="92" t="s">
        <v>59</v>
      </c>
      <c r="C10154" s="89"/>
      <c r="D10154" s="89"/>
      <c r="E10154" s="89"/>
      <c r="F10154" s="93"/>
      <c r="G10154" s="81"/>
      <c r="H10154" s="81"/>
      <c r="I10154" s="81"/>
      <c r="J10154" s="81"/>
      <c r="K10154" s="81"/>
      <c r="L10154" s="81"/>
      <c r="M10154" s="81"/>
      <c r="N10154" s="81"/>
    </row>
    <row r="10155" spans="1:14" ht="14.25" customHeight="1" x14ac:dyDescent="0.25">
      <c r="A10155" s="88"/>
      <c r="B10155" s="94"/>
      <c r="C10155" s="89"/>
      <c r="D10155" s="89"/>
      <c r="E10155" s="89"/>
      <c r="F10155" s="93"/>
      <c r="G10155" s="81"/>
      <c r="H10155" s="81"/>
      <c r="I10155" s="81"/>
      <c r="J10155" s="81"/>
      <c r="K10155" s="81"/>
      <c r="L10155" s="81"/>
      <c r="M10155" s="81"/>
      <c r="N10155" s="81"/>
    </row>
    <row r="10156" spans="1:14" ht="14.25" customHeight="1" x14ac:dyDescent="0.25">
      <c r="A10156" s="95" t="s">
        <v>562</v>
      </c>
      <c r="B10156" s="96"/>
      <c r="C10156" s="92"/>
      <c r="D10156" s="92"/>
      <c r="E10156" s="92"/>
      <c r="F10156" s="92"/>
      <c r="G10156" s="81"/>
      <c r="H10156" s="81"/>
      <c r="I10156" s="81"/>
      <c r="J10156" s="81"/>
      <c r="K10156" s="81"/>
      <c r="L10156" s="81"/>
      <c r="M10156" s="81"/>
      <c r="N10156" s="81"/>
    </row>
    <row r="10157" spans="1:14" ht="14.25" customHeight="1" x14ac:dyDescent="0.25">
      <c r="A10157" s="97" t="s">
        <v>563</v>
      </c>
      <c r="B10157" s="98" t="s">
        <v>564</v>
      </c>
      <c r="C10157" s="98" t="s">
        <v>565</v>
      </c>
      <c r="D10157" s="98" t="s">
        <v>566</v>
      </c>
      <c r="E10157" s="98" t="s">
        <v>567</v>
      </c>
      <c r="F10157" s="98" t="s">
        <v>568</v>
      </c>
      <c r="G10157" s="81"/>
      <c r="H10157" s="81"/>
      <c r="I10157" s="81"/>
      <c r="J10157" s="81"/>
      <c r="K10157" s="81"/>
      <c r="L10157" s="81"/>
      <c r="M10157" s="81"/>
      <c r="N10157" s="81"/>
    </row>
    <row r="10158" spans="1:14" ht="14.25" customHeight="1" x14ac:dyDescent="0.25">
      <c r="A10158" s="99" t="s">
        <v>842</v>
      </c>
      <c r="B10158" s="100" t="s">
        <v>59</v>
      </c>
      <c r="C10158" s="101">
        <v>56395</v>
      </c>
      <c r="D10158" s="149">
        <v>1</v>
      </c>
      <c r="E10158" s="102">
        <v>0.05</v>
      </c>
      <c r="F10158" s="101">
        <f t="shared" ref="F10158:F10159" si="501">C10158*(D10158+(D10158*E10158))</f>
        <v>59214.75</v>
      </c>
      <c r="G10158" s="81"/>
      <c r="H10158" s="81"/>
      <c r="I10158" s="81"/>
      <c r="J10158" s="81"/>
      <c r="K10158" s="81"/>
      <c r="L10158" s="81"/>
      <c r="M10158" s="81"/>
      <c r="N10158" s="81"/>
    </row>
    <row r="10159" spans="1:14" ht="14.25" customHeight="1" x14ac:dyDescent="0.25">
      <c r="A10159" s="99" t="s">
        <v>843</v>
      </c>
      <c r="B10159" s="100" t="s">
        <v>99</v>
      </c>
      <c r="C10159" s="101">
        <v>48970</v>
      </c>
      <c r="D10159" s="149">
        <v>0.5</v>
      </c>
      <c r="E10159" s="102">
        <v>0.05</v>
      </c>
      <c r="F10159" s="101">
        <f t="shared" si="501"/>
        <v>25709.25</v>
      </c>
      <c r="G10159" s="81"/>
      <c r="H10159" s="81"/>
      <c r="I10159" s="81"/>
      <c r="J10159" s="81"/>
      <c r="K10159" s="81"/>
      <c r="L10159" s="81"/>
      <c r="M10159" s="81"/>
      <c r="N10159" s="81"/>
    </row>
    <row r="10160" spans="1:14" ht="14.25" customHeight="1" x14ac:dyDescent="0.25">
      <c r="A10160" s="99"/>
      <c r="B10160" s="100"/>
      <c r="C10160" s="101"/>
      <c r="D10160" s="149"/>
      <c r="E10160" s="102"/>
      <c r="F10160" s="101"/>
      <c r="G10160" s="81"/>
      <c r="H10160" s="81"/>
      <c r="I10160" s="81"/>
      <c r="J10160" s="81"/>
      <c r="K10160" s="81"/>
      <c r="L10160" s="81"/>
      <c r="M10160" s="81"/>
      <c r="N10160" s="81"/>
    </row>
    <row r="10161" spans="1:14" ht="14.25" customHeight="1" x14ac:dyDescent="0.25">
      <c r="A10161" s="99"/>
      <c r="B10161" s="100"/>
      <c r="C10161" s="101"/>
      <c r="D10161" s="104"/>
      <c r="E10161" s="102"/>
      <c r="F10161" s="101"/>
      <c r="G10161" s="81"/>
      <c r="H10161" s="81"/>
      <c r="I10161" s="81"/>
      <c r="J10161" s="81"/>
      <c r="K10161" s="81"/>
      <c r="L10161" s="81"/>
      <c r="M10161" s="81"/>
      <c r="N10161" s="81"/>
    </row>
    <row r="10162" spans="1:14" ht="14.25" customHeight="1" x14ac:dyDescent="0.25">
      <c r="A10162" s="99"/>
      <c r="B10162" s="100"/>
      <c r="C10162" s="101"/>
      <c r="D10162" s="104"/>
      <c r="E10162" s="102"/>
      <c r="F10162" s="101"/>
      <c r="G10162" s="81"/>
      <c r="H10162" s="81"/>
      <c r="I10162" s="81"/>
      <c r="J10162" s="81"/>
      <c r="K10162" s="81"/>
      <c r="L10162" s="81"/>
      <c r="M10162" s="81"/>
      <c r="N10162" s="81"/>
    </row>
    <row r="10163" spans="1:14" ht="14.25" customHeight="1" x14ac:dyDescent="0.25">
      <c r="A10163" s="99"/>
      <c r="B10163" s="100"/>
      <c r="C10163" s="106"/>
      <c r="D10163" s="107"/>
      <c r="E10163" s="108"/>
      <c r="F10163" s="106"/>
      <c r="G10163" s="81"/>
      <c r="H10163" s="81"/>
      <c r="I10163" s="81"/>
      <c r="J10163" s="81"/>
      <c r="K10163" s="81"/>
      <c r="L10163" s="81"/>
      <c r="M10163" s="81"/>
      <c r="N10163" s="81"/>
    </row>
    <row r="10164" spans="1:14" ht="14.25" customHeight="1" x14ac:dyDescent="0.25">
      <c r="A10164" s="97" t="s">
        <v>548</v>
      </c>
      <c r="B10164" s="97"/>
      <c r="C10164" s="109"/>
      <c r="D10164" s="110"/>
      <c r="E10164" s="111"/>
      <c r="F10164" s="112">
        <f>SUM(F10158:F10163)</f>
        <v>84924</v>
      </c>
      <c r="G10164" s="81"/>
      <c r="H10164" s="117"/>
      <c r="I10164" s="81"/>
      <c r="J10164" s="81"/>
      <c r="K10164" s="81"/>
      <c r="L10164" s="81"/>
      <c r="M10164" s="81"/>
      <c r="N10164" s="81"/>
    </row>
    <row r="10165" spans="1:14" ht="14.25" customHeight="1" x14ac:dyDescent="0.25">
      <c r="A10165" s="88"/>
      <c r="B10165" s="88"/>
      <c r="C10165" s="113"/>
      <c r="D10165" s="113"/>
      <c r="E10165" s="114"/>
      <c r="F10165" s="113"/>
      <c r="G10165" s="81"/>
      <c r="H10165" s="81"/>
      <c r="I10165" s="81"/>
      <c r="J10165" s="81"/>
      <c r="K10165" s="81"/>
      <c r="L10165" s="81"/>
      <c r="M10165" s="81"/>
      <c r="N10165" s="81"/>
    </row>
    <row r="10166" spans="1:14" ht="14.25" customHeight="1" x14ac:dyDescent="0.25">
      <c r="A10166" s="96" t="s">
        <v>573</v>
      </c>
      <c r="B10166" s="96"/>
      <c r="C10166" s="92"/>
      <c r="D10166" s="92"/>
      <c r="E10166" s="92"/>
      <c r="F10166" s="92"/>
      <c r="G10166" s="81"/>
      <c r="H10166" s="81"/>
      <c r="I10166" s="81"/>
      <c r="J10166" s="81"/>
      <c r="K10166" s="81"/>
      <c r="L10166" s="81"/>
      <c r="M10166" s="81"/>
      <c r="N10166" s="81"/>
    </row>
    <row r="10167" spans="1:14" ht="14.25" customHeight="1" x14ac:dyDescent="0.25">
      <c r="A10167" s="611" t="s">
        <v>563</v>
      </c>
      <c r="B10167" s="608"/>
      <c r="C10167" s="609"/>
      <c r="D10167" s="98" t="s">
        <v>574</v>
      </c>
      <c r="E10167" s="98" t="s">
        <v>575</v>
      </c>
      <c r="F10167" s="98" t="s">
        <v>568</v>
      </c>
      <c r="G10167" s="81"/>
      <c r="H10167" s="81"/>
      <c r="I10167" s="81"/>
      <c r="J10167" s="81"/>
      <c r="K10167" s="81"/>
      <c r="L10167" s="81"/>
      <c r="M10167" s="81"/>
      <c r="N10167" s="81"/>
    </row>
    <row r="10168" spans="1:14" ht="14.25" customHeight="1" x14ac:dyDescent="0.25">
      <c r="A10168" s="607" t="s">
        <v>577</v>
      </c>
      <c r="B10168" s="608"/>
      <c r="C10168" s="609"/>
      <c r="D10168" s="116"/>
      <c r="E10168" s="107"/>
      <c r="F10168" s="106">
        <f>+F10181*5%</f>
        <v>1449.7988672523866</v>
      </c>
      <c r="G10168" s="81"/>
      <c r="H10168" s="81"/>
      <c r="I10168" s="81"/>
      <c r="J10168" s="81"/>
      <c r="K10168" s="81"/>
      <c r="L10168" s="81"/>
      <c r="M10168" s="81"/>
      <c r="N10168" s="81"/>
    </row>
    <row r="10169" spans="1:14" ht="14.25" customHeight="1" x14ac:dyDescent="0.25">
      <c r="A10169" s="607"/>
      <c r="B10169" s="608"/>
      <c r="C10169" s="609"/>
      <c r="D10169" s="142"/>
      <c r="E10169" s="105"/>
      <c r="F10169" s="106"/>
      <c r="G10169" s="81"/>
      <c r="H10169" s="81"/>
      <c r="I10169" s="81"/>
      <c r="J10169" s="81"/>
      <c r="K10169" s="81"/>
      <c r="L10169" s="81"/>
      <c r="M10169" s="81"/>
      <c r="N10169" s="81"/>
    </row>
    <row r="10170" spans="1:14" ht="14.25" customHeight="1" x14ac:dyDescent="0.25">
      <c r="A10170" s="607"/>
      <c r="B10170" s="608"/>
      <c r="C10170" s="609"/>
      <c r="D10170" s="142"/>
      <c r="E10170" s="105"/>
      <c r="F10170" s="106"/>
      <c r="G10170" s="81"/>
      <c r="H10170" s="81"/>
      <c r="I10170" s="81"/>
      <c r="J10170" s="81"/>
      <c r="K10170" s="81"/>
      <c r="L10170" s="81"/>
      <c r="M10170" s="81"/>
      <c r="N10170" s="81"/>
    </row>
    <row r="10171" spans="1:14" ht="14.25" customHeight="1" x14ac:dyDescent="0.25">
      <c r="A10171" s="607"/>
      <c r="B10171" s="608"/>
      <c r="C10171" s="609"/>
      <c r="D10171" s="142"/>
      <c r="E10171" s="107"/>
      <c r="F10171" s="106"/>
      <c r="G10171" s="81"/>
      <c r="H10171" s="81"/>
      <c r="I10171" s="81"/>
      <c r="J10171" s="81"/>
      <c r="K10171" s="81"/>
      <c r="L10171" s="81"/>
      <c r="M10171" s="81"/>
      <c r="N10171" s="81"/>
    </row>
    <row r="10172" spans="1:14" ht="14.25" customHeight="1" x14ac:dyDescent="0.25">
      <c r="A10172" s="610"/>
      <c r="B10172" s="608"/>
      <c r="C10172" s="609"/>
      <c r="D10172" s="115"/>
      <c r="E10172" s="107"/>
      <c r="F10172" s="106"/>
      <c r="G10172" s="81"/>
      <c r="H10172" s="81"/>
      <c r="I10172" s="81"/>
      <c r="J10172" s="81"/>
      <c r="K10172" s="81"/>
      <c r="L10172" s="81"/>
      <c r="M10172" s="81"/>
      <c r="N10172" s="81"/>
    </row>
    <row r="10173" spans="1:14" ht="14.25" customHeight="1" x14ac:dyDescent="0.25">
      <c r="A10173" s="611" t="s">
        <v>548</v>
      </c>
      <c r="B10173" s="608"/>
      <c r="C10173" s="609"/>
      <c r="D10173" s="110"/>
      <c r="E10173" s="110"/>
      <c r="F10173" s="112">
        <f>SUM(F10168:F10171)</f>
        <v>1449.7988672523866</v>
      </c>
      <c r="G10173" s="81"/>
      <c r="H10173" s="81"/>
      <c r="I10173" s="81"/>
      <c r="J10173" s="81"/>
      <c r="K10173" s="81"/>
      <c r="L10173" s="81"/>
      <c r="M10173" s="81"/>
      <c r="N10173" s="81"/>
    </row>
    <row r="10174" spans="1:14" ht="14.25" customHeight="1" x14ac:dyDescent="0.25">
      <c r="A10174" s="88"/>
      <c r="B10174" s="88"/>
      <c r="C10174" s="89"/>
      <c r="D10174" s="113"/>
      <c r="E10174" s="113"/>
      <c r="F10174" s="113"/>
      <c r="G10174" s="81"/>
      <c r="H10174" s="81"/>
      <c r="I10174" s="81"/>
      <c r="J10174" s="81"/>
      <c r="K10174" s="81"/>
      <c r="L10174" s="81"/>
      <c r="M10174" s="81"/>
      <c r="N10174" s="81"/>
    </row>
    <row r="10175" spans="1:14" ht="14.25" customHeight="1" x14ac:dyDescent="0.25">
      <c r="A10175" s="96" t="s">
        <v>578</v>
      </c>
      <c r="B10175" s="96"/>
      <c r="C10175" s="92"/>
      <c r="D10175" s="118"/>
      <c r="E10175" s="118"/>
      <c r="F10175" s="118"/>
      <c r="G10175" s="81"/>
      <c r="H10175" s="81"/>
      <c r="I10175" s="81"/>
      <c r="J10175" s="81"/>
      <c r="K10175" s="81"/>
      <c r="L10175" s="81"/>
      <c r="M10175" s="81"/>
      <c r="N10175" s="81"/>
    </row>
    <row r="10176" spans="1:14" ht="40.5" customHeight="1" x14ac:dyDescent="0.25">
      <c r="A10176" s="119" t="s">
        <v>563</v>
      </c>
      <c r="B10176" s="120" t="s">
        <v>579</v>
      </c>
      <c r="C10176" s="120" t="s">
        <v>580</v>
      </c>
      <c r="D10176" s="121" t="s">
        <v>581</v>
      </c>
      <c r="E10176" s="121" t="s">
        <v>575</v>
      </c>
      <c r="F10176" s="121" t="s">
        <v>568</v>
      </c>
      <c r="G10176" s="81"/>
      <c r="H10176" s="81"/>
      <c r="I10176" s="81"/>
      <c r="J10176" s="81"/>
      <c r="K10176" s="81"/>
      <c r="L10176" s="81"/>
      <c r="M10176" s="81"/>
      <c r="N10176" s="81"/>
    </row>
    <row r="10177" spans="1:14" ht="14.25" customHeight="1" x14ac:dyDescent="0.25">
      <c r="A10177" s="122" t="s">
        <v>593</v>
      </c>
      <c r="B10177" s="127">
        <v>1</v>
      </c>
      <c r="C10177" s="101">
        <v>32688</v>
      </c>
      <c r="D10177" s="101">
        <f t="shared" ref="D10177:D10178" si="502">+C10177*1.7</f>
        <v>55569.599999999999</v>
      </c>
      <c r="E10177" s="107">
        <v>4.9966999999999997</v>
      </c>
      <c r="F10177" s="106">
        <f t="shared" ref="F10177:F10178" si="503">+B10177*(D10177)/E10177</f>
        <v>11121.26003162087</v>
      </c>
      <c r="G10177" s="81"/>
      <c r="H10177" s="81"/>
      <c r="I10177" s="81"/>
      <c r="J10177" s="81"/>
      <c r="K10177" s="81"/>
      <c r="L10177" s="81"/>
      <c r="M10177" s="81"/>
      <c r="N10177" s="81"/>
    </row>
    <row r="10178" spans="1:14" ht="14.25" customHeight="1" x14ac:dyDescent="0.25">
      <c r="A10178" s="122" t="s">
        <v>594</v>
      </c>
      <c r="B10178" s="127">
        <v>1</v>
      </c>
      <c r="C10178" s="101">
        <v>52538</v>
      </c>
      <c r="D10178" s="101">
        <f t="shared" si="502"/>
        <v>89314.599999999991</v>
      </c>
      <c r="E10178" s="107">
        <f>E10177</f>
        <v>4.9966999999999997</v>
      </c>
      <c r="F10178" s="106">
        <f t="shared" si="503"/>
        <v>17874.71731342686</v>
      </c>
      <c r="G10178" s="81"/>
      <c r="H10178" s="81"/>
      <c r="I10178" s="81"/>
      <c r="J10178" s="81"/>
      <c r="K10178" s="81"/>
      <c r="L10178" s="81"/>
      <c r="M10178" s="81"/>
      <c r="N10178" s="81"/>
    </row>
    <row r="10179" spans="1:14" ht="14.25" customHeight="1" x14ac:dyDescent="0.25">
      <c r="A10179" s="122"/>
      <c r="B10179" s="127"/>
      <c r="C10179" s="101"/>
      <c r="D10179" s="101"/>
      <c r="E10179" s="105"/>
      <c r="F10179" s="106"/>
      <c r="G10179" s="81"/>
      <c r="H10179" s="81"/>
      <c r="I10179" s="81"/>
      <c r="J10179" s="81"/>
      <c r="K10179" s="81"/>
      <c r="L10179" s="81"/>
      <c r="M10179" s="81"/>
      <c r="N10179" s="81"/>
    </row>
    <row r="10180" spans="1:14" ht="14.25" customHeight="1" x14ac:dyDescent="0.25">
      <c r="A10180" s="122"/>
      <c r="B10180" s="127"/>
      <c r="C10180" s="101"/>
      <c r="D10180" s="101"/>
      <c r="E10180" s="125"/>
      <c r="F10180" s="106"/>
      <c r="G10180" s="81"/>
      <c r="H10180" s="81"/>
      <c r="I10180" s="81"/>
      <c r="J10180" s="81"/>
      <c r="K10180" s="81"/>
      <c r="L10180" s="81"/>
      <c r="M10180" s="81"/>
      <c r="N10180" s="81"/>
    </row>
    <row r="10181" spans="1:14" ht="14.25" customHeight="1" x14ac:dyDescent="0.25">
      <c r="A10181" s="97" t="s">
        <v>548</v>
      </c>
      <c r="B10181" s="128"/>
      <c r="C10181" s="110"/>
      <c r="D10181" s="110"/>
      <c r="E10181" s="110"/>
      <c r="F10181" s="112">
        <f>SUM(F10177:F10180)</f>
        <v>28995.97734504773</v>
      </c>
      <c r="G10181" s="81"/>
      <c r="H10181" s="81"/>
      <c r="I10181" s="81"/>
      <c r="J10181" s="81"/>
      <c r="K10181" s="81"/>
      <c r="L10181" s="81"/>
      <c r="M10181" s="81"/>
      <c r="N10181" s="81"/>
    </row>
    <row r="10182" spans="1:14" ht="14.25" customHeight="1" x14ac:dyDescent="0.25">
      <c r="A10182" s="96"/>
      <c r="B10182" s="129"/>
      <c r="C10182" s="118"/>
      <c r="D10182" s="118"/>
      <c r="E10182" s="118"/>
      <c r="F10182" s="118"/>
      <c r="G10182" s="81"/>
      <c r="H10182" s="81"/>
      <c r="I10182" s="81"/>
      <c r="J10182" s="81"/>
      <c r="K10182" s="81"/>
      <c r="L10182" s="81"/>
      <c r="M10182" s="81"/>
      <c r="N10182" s="81"/>
    </row>
    <row r="10183" spans="1:14" ht="14.25" customHeight="1" x14ac:dyDescent="0.25">
      <c r="A10183" s="95" t="s">
        <v>583</v>
      </c>
      <c r="B10183" s="96"/>
      <c r="C10183" s="92"/>
      <c r="D10183" s="92"/>
      <c r="E10183" s="92" t="s">
        <v>584</v>
      </c>
      <c r="F10183" s="92"/>
      <c r="G10183" s="81"/>
      <c r="H10183" s="81"/>
      <c r="I10183" s="81"/>
      <c r="J10183" s="81"/>
      <c r="K10183" s="81"/>
      <c r="L10183" s="81"/>
      <c r="M10183" s="81"/>
      <c r="N10183" s="81"/>
    </row>
    <row r="10184" spans="1:14" ht="14.25" customHeight="1" x14ac:dyDescent="0.25">
      <c r="A10184" s="97" t="s">
        <v>563</v>
      </c>
      <c r="B10184" s="98" t="s">
        <v>564</v>
      </c>
      <c r="C10184" s="98" t="s">
        <v>585</v>
      </c>
      <c r="D10184" s="98" t="s">
        <v>586</v>
      </c>
      <c r="E10184" s="120" t="s">
        <v>587</v>
      </c>
      <c r="F10184" s="98" t="s">
        <v>568</v>
      </c>
      <c r="G10184" s="81"/>
      <c r="H10184" s="81"/>
      <c r="I10184" s="81"/>
      <c r="J10184" s="81"/>
      <c r="K10184" s="81"/>
      <c r="L10184" s="81"/>
      <c r="M10184" s="81"/>
      <c r="N10184" s="81"/>
    </row>
    <row r="10185" spans="1:14" ht="14.25" customHeight="1" x14ac:dyDescent="0.25">
      <c r="A10185" s="103"/>
      <c r="B10185" s="100"/>
      <c r="C10185" s="101"/>
      <c r="D10185" s="140"/>
      <c r="E10185" s="107"/>
      <c r="F10185" s="109"/>
      <c r="G10185" s="81"/>
      <c r="H10185" s="81"/>
      <c r="I10185" s="81"/>
      <c r="J10185" s="81"/>
      <c r="K10185" s="81"/>
      <c r="L10185" s="81"/>
      <c r="M10185" s="81"/>
      <c r="N10185" s="81"/>
    </row>
    <row r="10186" spans="1:14" ht="14.25" customHeight="1" x14ac:dyDescent="0.25">
      <c r="A10186" s="103"/>
      <c r="B10186" s="100"/>
      <c r="C10186" s="107"/>
      <c r="D10186" s="107"/>
      <c r="E10186" s="108"/>
      <c r="F10186" s="109"/>
      <c r="G10186" s="81"/>
      <c r="H10186" s="81"/>
      <c r="I10186" s="81"/>
      <c r="J10186" s="81"/>
      <c r="K10186" s="81"/>
      <c r="L10186" s="81"/>
      <c r="M10186" s="81"/>
      <c r="N10186" s="81"/>
    </row>
    <row r="10187" spans="1:14" ht="14.25" customHeight="1" x14ac:dyDescent="0.25">
      <c r="A10187" s="97" t="s">
        <v>548</v>
      </c>
      <c r="B10187" s="98"/>
      <c r="C10187" s="110"/>
      <c r="D10187" s="110"/>
      <c r="E10187" s="111"/>
      <c r="F10187" s="112">
        <f>SUM(F10185:F10186)</f>
        <v>0</v>
      </c>
      <c r="G10187" s="81"/>
      <c r="H10187" s="81"/>
      <c r="I10187" s="81"/>
      <c r="J10187" s="81"/>
      <c r="K10187" s="81"/>
      <c r="L10187" s="81"/>
      <c r="M10187" s="81"/>
      <c r="N10187" s="81"/>
    </row>
    <row r="10188" spans="1:14" ht="14.25" customHeight="1" x14ac:dyDescent="0.25">
      <c r="A10188" s="88"/>
      <c r="B10188" s="89"/>
      <c r="C10188" s="113"/>
      <c r="D10188" s="113"/>
      <c r="E10188" s="114"/>
      <c r="F10188" s="113"/>
      <c r="G10188" s="81"/>
      <c r="H10188" s="81"/>
      <c r="I10188" s="81"/>
      <c r="J10188" s="81"/>
      <c r="K10188" s="81"/>
      <c r="L10188" s="81"/>
      <c r="M10188" s="81"/>
      <c r="N10188" s="81"/>
    </row>
    <row r="10189" spans="1:14" ht="14.25" customHeight="1" x14ac:dyDescent="0.25">
      <c r="A10189" s="88"/>
      <c r="B10189" s="89"/>
      <c r="C10189" s="113"/>
      <c r="D10189" s="113"/>
      <c r="E10189" s="114"/>
      <c r="F10189" s="113"/>
      <c r="G10189" s="81"/>
      <c r="H10189" s="81"/>
      <c r="I10189" s="81"/>
      <c r="J10189" s="81"/>
      <c r="K10189" s="81"/>
      <c r="L10189" s="81"/>
      <c r="M10189" s="81"/>
      <c r="N10189" s="81"/>
    </row>
    <row r="10190" spans="1:14" ht="14.25" customHeight="1" x14ac:dyDescent="0.25">
      <c r="A10190" s="612" t="s">
        <v>588</v>
      </c>
      <c r="B10190" s="608"/>
      <c r="C10190" s="608"/>
      <c r="D10190" s="608"/>
      <c r="E10190" s="609"/>
      <c r="F10190" s="131">
        <f>ROUND(F10164+F10173+F10181+F10187,0)</f>
        <v>115370</v>
      </c>
      <c r="G10190" s="81"/>
      <c r="H10190" s="81"/>
      <c r="I10190" s="81"/>
      <c r="J10190" s="81"/>
      <c r="K10190" s="81"/>
      <c r="L10190" s="81"/>
      <c r="M10190" s="81"/>
      <c r="N10190" s="81"/>
    </row>
    <row r="10191" spans="1:14" ht="14.25" customHeight="1" x14ac:dyDescent="0.25">
      <c r="A10191" s="612" t="s">
        <v>589</v>
      </c>
      <c r="B10191" s="608"/>
      <c r="C10191" s="608"/>
      <c r="D10191" s="608"/>
      <c r="E10191" s="609"/>
      <c r="F10191" s="132"/>
      <c r="G10191" s="81"/>
      <c r="H10191" s="81"/>
      <c r="I10191" s="81"/>
      <c r="J10191" s="81"/>
      <c r="K10191" s="81"/>
      <c r="L10191" s="81"/>
      <c r="M10191" s="81"/>
      <c r="N10191" s="81"/>
    </row>
    <row r="10192" spans="1:14" ht="14.25" customHeight="1" x14ac:dyDescent="0.25">
      <c r="A10192" s="146" t="s">
        <v>556</v>
      </c>
      <c r="B10192" s="147"/>
      <c r="C10192" s="147"/>
      <c r="D10192" s="147"/>
      <c r="E10192" s="148"/>
      <c r="F10192" s="133"/>
      <c r="G10192" s="81"/>
      <c r="H10192" s="81"/>
      <c r="I10192" s="81"/>
      <c r="J10192" s="81"/>
      <c r="K10192" s="81"/>
      <c r="L10192" s="81"/>
      <c r="M10192" s="81"/>
      <c r="N10192" s="81"/>
    </row>
    <row r="10193" spans="1:14" ht="14.25" customHeight="1" x14ac:dyDescent="0.25">
      <c r="A10193" s="134"/>
      <c r="B10193" s="135"/>
      <c r="C10193" s="135"/>
      <c r="D10193" s="135"/>
      <c r="E10193" s="135"/>
      <c r="F10193" s="136"/>
      <c r="G10193" s="81"/>
      <c r="H10193" s="81"/>
      <c r="I10193" s="81"/>
      <c r="J10193" s="81"/>
      <c r="K10193" s="81"/>
      <c r="L10193" s="81"/>
      <c r="M10193" s="81"/>
      <c r="N10193" s="81"/>
    </row>
    <row r="10194" spans="1:14" ht="14.25" customHeight="1" x14ac:dyDescent="0.25">
      <c r="A10194" s="81"/>
      <c r="B10194" s="81"/>
      <c r="C10194" s="137"/>
      <c r="D10194" s="81"/>
      <c r="E10194" s="81"/>
      <c r="F10194" s="81"/>
      <c r="G10194" s="81"/>
      <c r="H10194" s="81"/>
      <c r="I10194" s="81"/>
      <c r="J10194" s="81"/>
      <c r="K10194" s="81"/>
      <c r="L10194" s="81"/>
      <c r="M10194" s="81"/>
      <c r="N10194" s="81"/>
    </row>
    <row r="10195" spans="1:14" ht="14.25" customHeight="1" x14ac:dyDescent="0.25">
      <c r="A10195" s="81"/>
      <c r="B10195" s="81"/>
      <c r="C10195" s="137"/>
      <c r="D10195" s="81"/>
      <c r="E10195" s="81"/>
      <c r="F10195" s="81"/>
      <c r="G10195" s="81"/>
      <c r="H10195" s="81"/>
      <c r="I10195" s="81"/>
      <c r="J10195" s="81"/>
      <c r="K10195" s="81"/>
      <c r="L10195" s="81"/>
      <c r="M10195" s="81"/>
      <c r="N10195" s="81"/>
    </row>
    <row r="10196" spans="1:14" ht="14.25" customHeight="1" x14ac:dyDescent="0.25">
      <c r="A10196" s="81"/>
      <c r="B10196" s="81"/>
      <c r="C10196" s="137"/>
      <c r="D10196" s="81"/>
      <c r="E10196" s="81"/>
      <c r="F10196" s="81"/>
      <c r="G10196" s="81"/>
      <c r="H10196" s="81"/>
      <c r="I10196" s="81"/>
      <c r="J10196" s="81"/>
      <c r="K10196" s="81"/>
      <c r="L10196" s="81"/>
      <c r="M10196" s="81"/>
      <c r="N10196" s="81"/>
    </row>
    <row r="10197" spans="1:14" ht="14.25" customHeight="1" x14ac:dyDescent="0.25">
      <c r="A10197" s="81"/>
      <c r="B10197" s="81"/>
      <c r="C10197" s="137"/>
      <c r="D10197" s="81"/>
      <c r="E10197" s="81"/>
      <c r="F10197" s="81"/>
      <c r="G10197" s="81"/>
      <c r="H10197" s="81"/>
      <c r="I10197" s="81"/>
      <c r="J10197" s="81"/>
      <c r="K10197" s="81"/>
      <c r="L10197" s="81"/>
      <c r="M10197" s="81"/>
      <c r="N10197" s="81"/>
    </row>
    <row r="10198" spans="1:14" ht="14.25" customHeight="1" x14ac:dyDescent="0.25">
      <c r="A10198" s="134"/>
      <c r="B10198" s="135"/>
      <c r="C10198" s="135"/>
      <c r="D10198" s="135"/>
      <c r="E10198" s="135"/>
      <c r="F10198" s="136"/>
      <c r="G10198" s="81"/>
      <c r="H10198" s="81"/>
      <c r="I10198" s="81"/>
      <c r="J10198" s="81"/>
      <c r="K10198" s="81"/>
      <c r="L10198" s="81"/>
      <c r="M10198" s="81"/>
      <c r="N10198" s="81"/>
    </row>
    <row r="10199" spans="1:14" ht="14.25" customHeight="1" x14ac:dyDescent="0.25">
      <c r="A10199" s="134"/>
      <c r="B10199" s="135"/>
      <c r="C10199" s="135"/>
      <c r="D10199" s="135"/>
      <c r="E10199" s="135"/>
      <c r="F10199" s="136"/>
      <c r="G10199" s="81"/>
      <c r="H10199" s="81"/>
      <c r="I10199" s="81"/>
      <c r="J10199" s="81"/>
      <c r="K10199" s="81"/>
      <c r="L10199" s="81"/>
      <c r="M10199" s="81"/>
      <c r="N10199" s="81"/>
    </row>
    <row r="10200" spans="1:14" ht="14.25" customHeight="1" x14ac:dyDescent="0.25">
      <c r="A10200" s="134"/>
      <c r="B10200" s="135"/>
      <c r="C10200" s="135"/>
      <c r="D10200" s="135"/>
      <c r="E10200" s="81"/>
      <c r="F10200" s="136"/>
      <c r="G10200" s="81"/>
      <c r="H10200" s="81"/>
      <c r="I10200" s="81"/>
      <c r="J10200" s="81"/>
      <c r="K10200" s="81"/>
      <c r="L10200" s="81"/>
      <c r="M10200" s="81"/>
      <c r="N10200" s="81"/>
    </row>
    <row r="10201" spans="1:14" ht="14.25" customHeight="1" thickBot="1" x14ac:dyDescent="0.3">
      <c r="A10201" s="81"/>
      <c r="B10201" s="81"/>
      <c r="C10201" s="81"/>
      <c r="D10201" s="81"/>
      <c r="E10201" s="81"/>
      <c r="F10201" s="81"/>
      <c r="G10201" s="81"/>
      <c r="H10201" s="81"/>
      <c r="I10201" s="81"/>
      <c r="J10201" s="81"/>
      <c r="K10201" s="81"/>
      <c r="L10201" s="81"/>
      <c r="M10201" s="81"/>
      <c r="N10201" s="81"/>
    </row>
    <row r="10202" spans="1:14" ht="14.25" customHeight="1" x14ac:dyDescent="0.25">
      <c r="A10202" s="83"/>
      <c r="B10202" s="84"/>
      <c r="C10202" s="85"/>
      <c r="D10202" s="86"/>
      <c r="E10202" s="86"/>
      <c r="F10202" s="87"/>
      <c r="G10202" s="81"/>
      <c r="H10202" s="81"/>
      <c r="I10202" s="81"/>
      <c r="J10202" s="81"/>
      <c r="K10202" s="81"/>
      <c r="L10202" s="81"/>
      <c r="M10202" s="81"/>
      <c r="N10202" s="81"/>
    </row>
    <row r="10203" spans="1:14" ht="14.25" customHeight="1" x14ac:dyDescent="0.25">
      <c r="A10203" s="599"/>
      <c r="B10203" s="600"/>
      <c r="C10203" s="600"/>
      <c r="D10203" s="600"/>
      <c r="E10203" s="600"/>
      <c r="F10203" s="601"/>
      <c r="G10203" s="81"/>
      <c r="H10203" s="81"/>
      <c r="I10203" s="81"/>
      <c r="J10203" s="81"/>
      <c r="K10203" s="81"/>
      <c r="L10203" s="81"/>
      <c r="M10203" s="81"/>
      <c r="N10203" s="81"/>
    </row>
    <row r="10204" spans="1:14" ht="14.25" customHeight="1" x14ac:dyDescent="0.25">
      <c r="A10204" s="602" t="s">
        <v>561</v>
      </c>
      <c r="B10204" s="600"/>
      <c r="C10204" s="600"/>
      <c r="D10204" s="600"/>
      <c r="E10204" s="600"/>
      <c r="F10204" s="601"/>
      <c r="G10204" s="81"/>
      <c r="H10204" s="81"/>
      <c r="I10204" s="81"/>
      <c r="J10204" s="81"/>
      <c r="K10204" s="81"/>
      <c r="L10204" s="81"/>
      <c r="M10204" s="81"/>
      <c r="N10204" s="81"/>
    </row>
    <row r="10205" spans="1:14" ht="14.25" customHeight="1" thickBot="1" x14ac:dyDescent="0.3">
      <c r="A10205" s="603"/>
      <c r="B10205" s="604"/>
      <c r="C10205" s="604"/>
      <c r="D10205" s="604"/>
      <c r="E10205" s="604"/>
      <c r="F10205" s="605"/>
      <c r="G10205" s="81"/>
      <c r="H10205" s="81"/>
      <c r="I10205" s="81"/>
      <c r="J10205" s="81"/>
      <c r="K10205" s="81"/>
      <c r="L10205" s="81"/>
      <c r="M10205" s="81"/>
      <c r="N10205" s="81"/>
    </row>
    <row r="10206" spans="1:14" ht="14.25" customHeight="1" x14ac:dyDescent="0.25">
      <c r="A10206" s="88"/>
      <c r="B10206" s="88"/>
      <c r="C10206" s="89"/>
      <c r="D10206" s="89"/>
      <c r="E10206" s="89"/>
      <c r="F10206" s="89"/>
      <c r="G10206" s="81"/>
      <c r="H10206" s="81"/>
      <c r="I10206" s="81"/>
      <c r="J10206" s="81"/>
      <c r="K10206" s="81"/>
      <c r="L10206" s="81"/>
      <c r="M10206" s="81"/>
      <c r="N10206" s="81"/>
    </row>
    <row r="10207" spans="1:14" ht="14.25" customHeight="1" x14ac:dyDescent="0.25">
      <c r="A10207" s="90" t="s">
        <v>47</v>
      </c>
      <c r="B10207" s="613" t="s">
        <v>423</v>
      </c>
      <c r="C10207" s="600"/>
      <c r="D10207" s="600"/>
      <c r="E10207" s="600"/>
      <c r="F10207" s="600"/>
      <c r="G10207" s="81"/>
      <c r="H10207" s="81"/>
      <c r="I10207" s="81"/>
      <c r="J10207" s="81"/>
      <c r="K10207" s="81"/>
      <c r="L10207" s="81"/>
      <c r="M10207" s="81"/>
      <c r="N10207" s="81"/>
    </row>
    <row r="10208" spans="1:14" ht="14.25" customHeight="1" x14ac:dyDescent="0.25">
      <c r="A10208" s="91"/>
      <c r="B10208" s="91"/>
      <c r="C10208" s="91"/>
      <c r="D10208" s="91"/>
      <c r="E10208" s="91"/>
      <c r="F10208" s="91"/>
      <c r="G10208" s="81"/>
      <c r="H10208" s="81"/>
      <c r="I10208" s="81"/>
      <c r="J10208" s="81"/>
      <c r="K10208" s="81"/>
      <c r="L10208" s="81"/>
      <c r="M10208" s="81"/>
      <c r="N10208" s="81"/>
    </row>
    <row r="10209" spans="1:14" ht="14.25" customHeight="1" x14ac:dyDescent="0.25">
      <c r="A10209" s="88" t="s">
        <v>49</v>
      </c>
      <c r="B10209" s="92" t="s">
        <v>99</v>
      </c>
      <c r="C10209" s="89"/>
      <c r="D10209" s="89"/>
      <c r="E10209" s="89"/>
      <c r="F10209" s="93"/>
      <c r="G10209" s="81"/>
      <c r="H10209" s="81"/>
      <c r="I10209" s="81"/>
      <c r="J10209" s="81"/>
      <c r="K10209" s="81"/>
      <c r="L10209" s="81"/>
      <c r="M10209" s="81"/>
      <c r="N10209" s="81"/>
    </row>
    <row r="10210" spans="1:14" ht="14.25" customHeight="1" x14ac:dyDescent="0.25">
      <c r="A10210" s="88"/>
      <c r="B10210" s="94"/>
      <c r="C10210" s="89"/>
      <c r="D10210" s="89"/>
      <c r="E10210" s="89"/>
      <c r="F10210" s="93"/>
      <c r="G10210" s="81"/>
      <c r="H10210" s="81"/>
      <c r="I10210" s="81"/>
      <c r="J10210" s="81"/>
      <c r="K10210" s="81"/>
      <c r="L10210" s="81"/>
      <c r="M10210" s="81"/>
      <c r="N10210" s="81"/>
    </row>
    <row r="10211" spans="1:14" ht="14.25" customHeight="1" x14ac:dyDescent="0.25">
      <c r="A10211" s="95" t="s">
        <v>562</v>
      </c>
      <c r="B10211" s="96"/>
      <c r="C10211" s="92"/>
      <c r="D10211" s="92"/>
      <c r="E10211" s="92"/>
      <c r="F10211" s="92"/>
      <c r="G10211" s="81"/>
      <c r="H10211" s="81"/>
      <c r="I10211" s="81"/>
      <c r="J10211" s="81"/>
      <c r="K10211" s="81"/>
      <c r="L10211" s="81"/>
      <c r="M10211" s="81"/>
      <c r="N10211" s="81"/>
    </row>
    <row r="10212" spans="1:14" ht="14.25" customHeight="1" x14ac:dyDescent="0.25">
      <c r="A10212" s="97" t="s">
        <v>563</v>
      </c>
      <c r="B10212" s="98" t="s">
        <v>564</v>
      </c>
      <c r="C10212" s="98" t="s">
        <v>565</v>
      </c>
      <c r="D10212" s="98" t="s">
        <v>566</v>
      </c>
      <c r="E10212" s="98" t="s">
        <v>567</v>
      </c>
      <c r="F10212" s="98" t="s">
        <v>568</v>
      </c>
      <c r="G10212" s="81"/>
      <c r="H10212" s="81"/>
      <c r="I10212" s="81"/>
      <c r="J10212" s="81"/>
      <c r="K10212" s="81"/>
      <c r="L10212" s="81"/>
      <c r="M10212" s="81"/>
      <c r="N10212" s="81"/>
    </row>
    <row r="10213" spans="1:14" ht="14.25" customHeight="1" x14ac:dyDescent="0.25">
      <c r="A10213" s="99"/>
      <c r="B10213" s="100"/>
      <c r="C10213" s="101"/>
      <c r="D10213" s="149"/>
      <c r="E10213" s="102"/>
      <c r="F10213" s="101">
        <f>C10213*(D10213+(D10213*E10213))</f>
        <v>0</v>
      </c>
      <c r="G10213" s="81"/>
      <c r="H10213" s="81"/>
      <c r="I10213" s="81"/>
      <c r="J10213" s="81"/>
      <c r="K10213" s="81"/>
      <c r="L10213" s="81"/>
      <c r="M10213" s="81"/>
      <c r="N10213" s="81"/>
    </row>
    <row r="10214" spans="1:14" ht="14.25" customHeight="1" x14ac:dyDescent="0.25">
      <c r="A10214" s="99"/>
      <c r="B10214" s="100"/>
      <c r="C10214" s="101"/>
      <c r="D10214" s="149"/>
      <c r="E10214" s="102"/>
      <c r="F10214" s="101"/>
      <c r="G10214" s="81"/>
      <c r="H10214" s="81"/>
      <c r="I10214" s="81"/>
      <c r="J10214" s="81"/>
      <c r="K10214" s="81"/>
      <c r="L10214" s="81"/>
      <c r="M10214" s="81"/>
      <c r="N10214" s="81"/>
    </row>
    <row r="10215" spans="1:14" ht="14.25" customHeight="1" x14ac:dyDescent="0.25">
      <c r="A10215" s="99"/>
      <c r="B10215" s="100"/>
      <c r="C10215" s="101"/>
      <c r="D10215" s="149"/>
      <c r="E10215" s="102"/>
      <c r="F10215" s="101"/>
      <c r="G10215" s="81"/>
      <c r="H10215" s="81"/>
      <c r="I10215" s="81"/>
      <c r="J10215" s="81"/>
      <c r="K10215" s="81"/>
      <c r="L10215" s="81"/>
      <c r="M10215" s="81"/>
      <c r="N10215" s="81"/>
    </row>
    <row r="10216" spans="1:14" ht="14.25" customHeight="1" x14ac:dyDescent="0.25">
      <c r="A10216" s="99"/>
      <c r="B10216" s="100"/>
      <c r="C10216" s="101"/>
      <c r="D10216" s="104"/>
      <c r="E10216" s="102"/>
      <c r="F10216" s="101"/>
      <c r="G10216" s="81"/>
      <c r="H10216" s="81"/>
      <c r="I10216" s="81"/>
      <c r="J10216" s="81"/>
      <c r="K10216" s="81"/>
      <c r="L10216" s="81"/>
      <c r="M10216" s="81"/>
      <c r="N10216" s="81"/>
    </row>
    <row r="10217" spans="1:14" ht="14.25" customHeight="1" x14ac:dyDescent="0.25">
      <c r="A10217" s="99"/>
      <c r="B10217" s="100"/>
      <c r="C10217" s="101"/>
      <c r="D10217" s="104"/>
      <c r="E10217" s="102"/>
      <c r="F10217" s="101"/>
      <c r="G10217" s="81"/>
      <c r="H10217" s="81"/>
      <c r="I10217" s="81"/>
      <c r="J10217" s="81"/>
      <c r="K10217" s="81"/>
      <c r="L10217" s="81"/>
      <c r="M10217" s="81"/>
      <c r="N10217" s="81"/>
    </row>
    <row r="10218" spans="1:14" ht="14.25" customHeight="1" x14ac:dyDescent="0.25">
      <c r="A10218" s="99"/>
      <c r="B10218" s="100"/>
      <c r="C10218" s="106"/>
      <c r="D10218" s="107"/>
      <c r="E10218" s="108"/>
      <c r="F10218" s="106"/>
      <c r="G10218" s="81"/>
      <c r="H10218" s="81"/>
      <c r="I10218" s="81"/>
      <c r="J10218" s="81"/>
      <c r="K10218" s="81"/>
      <c r="L10218" s="81"/>
      <c r="M10218" s="81"/>
      <c r="N10218" s="81"/>
    </row>
    <row r="10219" spans="1:14" ht="14.25" customHeight="1" x14ac:dyDescent="0.25">
      <c r="A10219" s="97" t="s">
        <v>548</v>
      </c>
      <c r="B10219" s="97"/>
      <c r="C10219" s="109"/>
      <c r="D10219" s="110"/>
      <c r="E10219" s="111"/>
      <c r="F10219" s="112">
        <f>SUM(F10213:F10218)</f>
        <v>0</v>
      </c>
      <c r="G10219" s="81"/>
      <c r="H10219" s="81"/>
      <c r="I10219" s="81"/>
      <c r="J10219" s="81"/>
      <c r="K10219" s="81"/>
      <c r="L10219" s="81"/>
      <c r="M10219" s="81"/>
      <c r="N10219" s="81"/>
    </row>
    <row r="10220" spans="1:14" ht="14.25" customHeight="1" x14ac:dyDescent="0.25">
      <c r="A10220" s="88"/>
      <c r="B10220" s="88"/>
      <c r="C10220" s="113"/>
      <c r="D10220" s="113"/>
      <c r="E10220" s="114"/>
      <c r="F10220" s="113"/>
      <c r="G10220" s="81"/>
      <c r="H10220" s="81"/>
      <c r="I10220" s="81"/>
      <c r="J10220" s="81"/>
      <c r="K10220" s="81"/>
      <c r="L10220" s="81"/>
      <c r="M10220" s="81"/>
      <c r="N10220" s="81"/>
    </row>
    <row r="10221" spans="1:14" ht="14.25" customHeight="1" x14ac:dyDescent="0.25">
      <c r="A10221" s="96" t="s">
        <v>573</v>
      </c>
      <c r="B10221" s="96"/>
      <c r="C10221" s="92"/>
      <c r="D10221" s="92"/>
      <c r="E10221" s="92"/>
      <c r="F10221" s="92"/>
      <c r="G10221" s="81"/>
      <c r="H10221" s="81"/>
      <c r="I10221" s="81"/>
      <c r="J10221" s="81"/>
      <c r="K10221" s="81"/>
      <c r="L10221" s="81"/>
      <c r="M10221" s="81"/>
      <c r="N10221" s="81"/>
    </row>
    <row r="10222" spans="1:14" ht="14.25" customHeight="1" x14ac:dyDescent="0.25">
      <c r="A10222" s="611" t="s">
        <v>563</v>
      </c>
      <c r="B10222" s="608"/>
      <c r="C10222" s="609"/>
      <c r="D10222" s="98" t="s">
        <v>574</v>
      </c>
      <c r="E10222" s="98" t="s">
        <v>575</v>
      </c>
      <c r="F10222" s="98" t="s">
        <v>568</v>
      </c>
      <c r="G10222" s="81"/>
      <c r="H10222" s="81"/>
      <c r="I10222" s="81"/>
      <c r="J10222" s="81"/>
      <c r="K10222" s="81"/>
      <c r="L10222" s="81"/>
      <c r="M10222" s="81"/>
      <c r="N10222" s="81"/>
    </row>
    <row r="10223" spans="1:14" ht="14.25" customHeight="1" x14ac:dyDescent="0.25">
      <c r="A10223" s="607" t="s">
        <v>577</v>
      </c>
      <c r="B10223" s="608"/>
      <c r="C10223" s="609"/>
      <c r="D10223" s="116"/>
      <c r="E10223" s="107"/>
      <c r="F10223" s="106">
        <f>+F10236*5%</f>
        <v>230952.39917007473</v>
      </c>
      <c r="G10223" s="81"/>
      <c r="H10223" s="81"/>
      <c r="I10223" s="81"/>
      <c r="J10223" s="81"/>
      <c r="K10223" s="81"/>
      <c r="L10223" s="81"/>
      <c r="M10223" s="81"/>
      <c r="N10223" s="81"/>
    </row>
    <row r="10224" spans="1:14" ht="14.25" customHeight="1" x14ac:dyDescent="0.25">
      <c r="A10224" s="607"/>
      <c r="B10224" s="608"/>
      <c r="C10224" s="609"/>
      <c r="D10224" s="142"/>
      <c r="E10224" s="105"/>
      <c r="F10224" s="106"/>
      <c r="G10224" s="81"/>
      <c r="H10224" s="81"/>
      <c r="I10224" s="81"/>
      <c r="J10224" s="81"/>
      <c r="K10224" s="81"/>
      <c r="L10224" s="81"/>
      <c r="M10224" s="81"/>
      <c r="N10224" s="81"/>
    </row>
    <row r="10225" spans="1:14" ht="14.25" customHeight="1" x14ac:dyDescent="0.25">
      <c r="A10225" s="607"/>
      <c r="B10225" s="608"/>
      <c r="C10225" s="609"/>
      <c r="D10225" s="142"/>
      <c r="E10225" s="105"/>
      <c r="F10225" s="106"/>
      <c r="G10225" s="81"/>
      <c r="H10225" s="117"/>
      <c r="I10225" s="81"/>
      <c r="J10225" s="81"/>
      <c r="K10225" s="81"/>
      <c r="L10225" s="81"/>
      <c r="M10225" s="81"/>
      <c r="N10225" s="81"/>
    </row>
    <row r="10226" spans="1:14" ht="14.25" customHeight="1" x14ac:dyDescent="0.25">
      <c r="A10226" s="607"/>
      <c r="B10226" s="608"/>
      <c r="C10226" s="609"/>
      <c r="D10226" s="142"/>
      <c r="E10226" s="107"/>
      <c r="F10226" s="106"/>
      <c r="G10226" s="81"/>
      <c r="H10226" s="81"/>
      <c r="I10226" s="81"/>
      <c r="J10226" s="81"/>
      <c r="K10226" s="81"/>
      <c r="L10226" s="81"/>
      <c r="M10226" s="81"/>
      <c r="N10226" s="81"/>
    </row>
    <row r="10227" spans="1:14" ht="14.25" customHeight="1" x14ac:dyDescent="0.25">
      <c r="A10227" s="610"/>
      <c r="B10227" s="608"/>
      <c r="C10227" s="609"/>
      <c r="D10227" s="115"/>
      <c r="E10227" s="107"/>
      <c r="F10227" s="106"/>
      <c r="G10227" s="81"/>
      <c r="H10227" s="81"/>
      <c r="I10227" s="81"/>
      <c r="J10227" s="81"/>
      <c r="K10227" s="81"/>
      <c r="L10227" s="81"/>
      <c r="M10227" s="81"/>
      <c r="N10227" s="81"/>
    </row>
    <row r="10228" spans="1:14" ht="14.25" customHeight="1" x14ac:dyDescent="0.25">
      <c r="A10228" s="611" t="s">
        <v>548</v>
      </c>
      <c r="B10228" s="608"/>
      <c r="C10228" s="609"/>
      <c r="D10228" s="110"/>
      <c r="E10228" s="110"/>
      <c r="F10228" s="112">
        <f>SUM(F10223:F10226)</f>
        <v>230952.39917007473</v>
      </c>
      <c r="G10228" s="81"/>
      <c r="H10228" s="81"/>
      <c r="I10228" s="81"/>
      <c r="J10228" s="81"/>
      <c r="K10228" s="81"/>
      <c r="L10228" s="81"/>
      <c r="M10228" s="81"/>
      <c r="N10228" s="81"/>
    </row>
    <row r="10229" spans="1:14" ht="14.25" customHeight="1" x14ac:dyDescent="0.25">
      <c r="A10229" s="88"/>
      <c r="B10229" s="88"/>
      <c r="C10229" s="89"/>
      <c r="D10229" s="113"/>
      <c r="E10229" s="113"/>
      <c r="F10229" s="113"/>
      <c r="G10229" s="81"/>
      <c r="H10229" s="81"/>
      <c r="I10229" s="81"/>
      <c r="J10229" s="81"/>
      <c r="K10229" s="81"/>
      <c r="L10229" s="81"/>
      <c r="M10229" s="81"/>
      <c r="N10229" s="81"/>
    </row>
    <row r="10230" spans="1:14" ht="14.25" customHeight="1" x14ac:dyDescent="0.25">
      <c r="A10230" s="96" t="s">
        <v>578</v>
      </c>
      <c r="B10230" s="96"/>
      <c r="C10230" s="92"/>
      <c r="D10230" s="118"/>
      <c r="E10230" s="118"/>
      <c r="F10230" s="118"/>
      <c r="G10230" s="81"/>
      <c r="H10230" s="81"/>
      <c r="I10230" s="81"/>
      <c r="J10230" s="81"/>
      <c r="K10230" s="81"/>
      <c r="L10230" s="81"/>
      <c r="M10230" s="81"/>
      <c r="N10230" s="81"/>
    </row>
    <row r="10231" spans="1:14" ht="42" customHeight="1" x14ac:dyDescent="0.25">
      <c r="A10231" s="119" t="s">
        <v>563</v>
      </c>
      <c r="B10231" s="120" t="s">
        <v>579</v>
      </c>
      <c r="C10231" s="120" t="s">
        <v>580</v>
      </c>
      <c r="D10231" s="121" t="s">
        <v>581</v>
      </c>
      <c r="E10231" s="121" t="s">
        <v>575</v>
      </c>
      <c r="F10231" s="121" t="s">
        <v>568</v>
      </c>
      <c r="G10231" s="81"/>
      <c r="H10231" s="81"/>
      <c r="I10231" s="81"/>
      <c r="J10231" s="81"/>
      <c r="K10231" s="81"/>
      <c r="L10231" s="81"/>
      <c r="M10231" s="81"/>
      <c r="N10231" s="81"/>
    </row>
    <row r="10232" spans="1:14" ht="14.25" customHeight="1" x14ac:dyDescent="0.25">
      <c r="A10232" s="122" t="s">
        <v>593</v>
      </c>
      <c r="B10232" s="127">
        <v>1</v>
      </c>
      <c r="C10232" s="101">
        <v>32688</v>
      </c>
      <c r="D10232" s="101">
        <f t="shared" ref="D10232:D10233" si="504">+C10232*1.7</f>
        <v>55569.599999999999</v>
      </c>
      <c r="E10232" s="107">
        <v>3.1366680000000001E-2</v>
      </c>
      <c r="F10232" s="106">
        <f t="shared" ref="F10232:F10233" si="505">+B10232*(D10232)/E10232</f>
        <v>1771612.4243942935</v>
      </c>
      <c r="G10232" s="81"/>
      <c r="H10232" s="81"/>
      <c r="I10232" s="81"/>
      <c r="J10232" s="81"/>
      <c r="K10232" s="81"/>
      <c r="L10232" s="81"/>
      <c r="M10232" s="81"/>
      <c r="N10232" s="81"/>
    </row>
    <row r="10233" spans="1:14" ht="14.25" customHeight="1" x14ac:dyDescent="0.25">
      <c r="A10233" s="122" t="s">
        <v>594</v>
      </c>
      <c r="B10233" s="127">
        <v>1</v>
      </c>
      <c r="C10233" s="101">
        <v>52538</v>
      </c>
      <c r="D10233" s="101">
        <f t="shared" si="504"/>
        <v>89314.599999999991</v>
      </c>
      <c r="E10233" s="107">
        <f>E10232</f>
        <v>3.1366680000000001E-2</v>
      </c>
      <c r="F10233" s="106">
        <f t="shared" si="505"/>
        <v>2847435.5590072009</v>
      </c>
      <c r="G10233" s="81"/>
      <c r="H10233" s="81"/>
      <c r="I10233" s="81"/>
      <c r="J10233" s="81"/>
      <c r="K10233" s="81"/>
      <c r="L10233" s="81"/>
      <c r="M10233" s="81"/>
      <c r="N10233" s="81"/>
    </row>
    <row r="10234" spans="1:14" ht="14.25" customHeight="1" x14ac:dyDescent="0.25">
      <c r="A10234" s="122"/>
      <c r="B10234" s="127"/>
      <c r="C10234" s="101"/>
      <c r="D10234" s="101"/>
      <c r="E10234" s="105"/>
      <c r="F10234" s="106"/>
      <c r="G10234" s="81"/>
      <c r="H10234" s="81"/>
      <c r="I10234" s="81"/>
      <c r="J10234" s="81"/>
      <c r="K10234" s="81"/>
      <c r="L10234" s="81"/>
      <c r="M10234" s="81"/>
      <c r="N10234" s="81"/>
    </row>
    <row r="10235" spans="1:14" ht="14.25" customHeight="1" x14ac:dyDescent="0.25">
      <c r="A10235" s="122"/>
      <c r="B10235" s="127"/>
      <c r="C10235" s="101"/>
      <c r="D10235" s="101"/>
      <c r="E10235" s="125"/>
      <c r="F10235" s="106"/>
      <c r="G10235" s="81"/>
      <c r="H10235" s="81"/>
      <c r="I10235" s="81"/>
      <c r="J10235" s="81"/>
      <c r="K10235" s="81"/>
      <c r="L10235" s="81"/>
      <c r="M10235" s="81"/>
      <c r="N10235" s="81"/>
    </row>
    <row r="10236" spans="1:14" ht="14.25" customHeight="1" x14ac:dyDescent="0.25">
      <c r="A10236" s="97" t="s">
        <v>548</v>
      </c>
      <c r="B10236" s="128"/>
      <c r="C10236" s="110"/>
      <c r="D10236" s="110"/>
      <c r="E10236" s="110"/>
      <c r="F10236" s="112">
        <f>SUM(F10232:F10235)</f>
        <v>4619047.9834014941</v>
      </c>
      <c r="G10236" s="81"/>
      <c r="H10236" s="81"/>
      <c r="I10236" s="81"/>
      <c r="J10236" s="81"/>
      <c r="K10236" s="81"/>
      <c r="L10236" s="81"/>
      <c r="M10236" s="81"/>
      <c r="N10236" s="81"/>
    </row>
    <row r="10237" spans="1:14" ht="14.25" customHeight="1" x14ac:dyDescent="0.25">
      <c r="A10237" s="96"/>
      <c r="B10237" s="129"/>
      <c r="C10237" s="118"/>
      <c r="D10237" s="118"/>
      <c r="E10237" s="118"/>
      <c r="F10237" s="118"/>
      <c r="G10237" s="81"/>
      <c r="H10237" s="81"/>
      <c r="I10237" s="81"/>
      <c r="J10237" s="81"/>
      <c r="K10237" s="81"/>
      <c r="L10237" s="81"/>
      <c r="M10237" s="81"/>
      <c r="N10237" s="81"/>
    </row>
    <row r="10238" spans="1:14" ht="14.25" customHeight="1" x14ac:dyDescent="0.25">
      <c r="A10238" s="95" t="s">
        <v>583</v>
      </c>
      <c r="B10238" s="96"/>
      <c r="C10238" s="92"/>
      <c r="D10238" s="92"/>
      <c r="E10238" s="92" t="s">
        <v>584</v>
      </c>
      <c r="F10238" s="92"/>
      <c r="G10238" s="81"/>
      <c r="H10238" s="81"/>
      <c r="I10238" s="81"/>
      <c r="J10238" s="81"/>
      <c r="K10238" s="81"/>
      <c r="L10238" s="81"/>
      <c r="M10238" s="81"/>
      <c r="N10238" s="81"/>
    </row>
    <row r="10239" spans="1:14" ht="14.25" customHeight="1" x14ac:dyDescent="0.25">
      <c r="A10239" s="97" t="s">
        <v>563</v>
      </c>
      <c r="B10239" s="98" t="s">
        <v>564</v>
      </c>
      <c r="C10239" s="98" t="s">
        <v>585</v>
      </c>
      <c r="D10239" s="98" t="s">
        <v>586</v>
      </c>
      <c r="E10239" s="120" t="s">
        <v>587</v>
      </c>
      <c r="F10239" s="98" t="s">
        <v>568</v>
      </c>
      <c r="G10239" s="81"/>
      <c r="H10239" s="81"/>
      <c r="I10239" s="81"/>
      <c r="J10239" s="81"/>
      <c r="K10239" s="81"/>
      <c r="L10239" s="81"/>
      <c r="M10239" s="81"/>
      <c r="N10239" s="81"/>
    </row>
    <row r="10240" spans="1:14" ht="14.25" customHeight="1" x14ac:dyDescent="0.25">
      <c r="A10240" s="103"/>
      <c r="B10240" s="100"/>
      <c r="C10240" s="101"/>
      <c r="D10240" s="140"/>
      <c r="E10240" s="107"/>
      <c r="F10240" s="109"/>
      <c r="G10240" s="81"/>
      <c r="H10240" s="81"/>
      <c r="I10240" s="81"/>
      <c r="J10240" s="81"/>
      <c r="K10240" s="81"/>
      <c r="L10240" s="81"/>
      <c r="M10240" s="81"/>
      <c r="N10240" s="81"/>
    </row>
    <row r="10241" spans="1:14" ht="14.25" customHeight="1" x14ac:dyDescent="0.25">
      <c r="A10241" s="103"/>
      <c r="B10241" s="100"/>
      <c r="C10241" s="107"/>
      <c r="D10241" s="107"/>
      <c r="E10241" s="108"/>
      <c r="F10241" s="109"/>
      <c r="G10241" s="81"/>
      <c r="H10241" s="81"/>
      <c r="I10241" s="81"/>
      <c r="J10241" s="81"/>
      <c r="K10241" s="81"/>
      <c r="L10241" s="81"/>
      <c r="M10241" s="81"/>
      <c r="N10241" s="81"/>
    </row>
    <row r="10242" spans="1:14" ht="14.25" customHeight="1" x14ac:dyDescent="0.25">
      <c r="A10242" s="97" t="s">
        <v>548</v>
      </c>
      <c r="B10242" s="98"/>
      <c r="C10242" s="110"/>
      <c r="D10242" s="110"/>
      <c r="E10242" s="111"/>
      <c r="F10242" s="112">
        <f>SUM(F10240:F10241)</f>
        <v>0</v>
      </c>
      <c r="G10242" s="81"/>
      <c r="H10242" s="81"/>
      <c r="I10242" s="81"/>
      <c r="J10242" s="81"/>
      <c r="K10242" s="81"/>
      <c r="L10242" s="81"/>
      <c r="M10242" s="81"/>
      <c r="N10242" s="81"/>
    </row>
    <row r="10243" spans="1:14" ht="14.25" customHeight="1" x14ac:dyDescent="0.25">
      <c r="A10243" s="88"/>
      <c r="B10243" s="89"/>
      <c r="C10243" s="113"/>
      <c r="D10243" s="113"/>
      <c r="E10243" s="114"/>
      <c r="F10243" s="113"/>
      <c r="G10243" s="81"/>
      <c r="H10243" s="81"/>
      <c r="I10243" s="81"/>
      <c r="J10243" s="81"/>
      <c r="K10243" s="81"/>
      <c r="L10243" s="81"/>
      <c r="M10243" s="81"/>
      <c r="N10243" s="81"/>
    </row>
    <row r="10244" spans="1:14" ht="14.25" customHeight="1" x14ac:dyDescent="0.25">
      <c r="A10244" s="88"/>
      <c r="B10244" s="89"/>
      <c r="C10244" s="113"/>
      <c r="D10244" s="113"/>
      <c r="E10244" s="114"/>
      <c r="F10244" s="113"/>
      <c r="G10244" s="81"/>
      <c r="H10244" s="81"/>
      <c r="I10244" s="81"/>
      <c r="J10244" s="81"/>
      <c r="K10244" s="81"/>
      <c r="L10244" s="81"/>
      <c r="M10244" s="81"/>
      <c r="N10244" s="81"/>
    </row>
    <row r="10245" spans="1:14" ht="14.25" customHeight="1" x14ac:dyDescent="0.25">
      <c r="A10245" s="612" t="s">
        <v>588</v>
      </c>
      <c r="B10245" s="608"/>
      <c r="C10245" s="608"/>
      <c r="D10245" s="608"/>
      <c r="E10245" s="609"/>
      <c r="F10245" s="131">
        <f>ROUND(F10219+F10228+F10236+F10242,0)</f>
        <v>4850000</v>
      </c>
      <c r="G10245" s="81"/>
      <c r="H10245" s="81"/>
      <c r="I10245" s="81"/>
      <c r="J10245" s="81"/>
      <c r="K10245" s="81"/>
      <c r="L10245" s="81"/>
      <c r="M10245" s="81"/>
      <c r="N10245" s="81"/>
    </row>
    <row r="10246" spans="1:14" ht="14.25" customHeight="1" x14ac:dyDescent="0.25">
      <c r="A10246" s="612" t="s">
        <v>589</v>
      </c>
      <c r="B10246" s="608"/>
      <c r="C10246" s="608"/>
      <c r="D10246" s="608"/>
      <c r="E10246" s="609"/>
      <c r="F10246" s="132"/>
      <c r="G10246" s="81"/>
      <c r="H10246" s="81"/>
      <c r="I10246" s="81"/>
      <c r="J10246" s="81"/>
      <c r="K10246" s="81"/>
      <c r="L10246" s="81"/>
      <c r="M10246" s="81"/>
      <c r="N10246" s="81"/>
    </row>
    <row r="10247" spans="1:14" ht="14.25" customHeight="1" x14ac:dyDescent="0.25">
      <c r="A10247" s="146" t="s">
        <v>556</v>
      </c>
      <c r="B10247" s="147"/>
      <c r="C10247" s="147"/>
      <c r="D10247" s="147"/>
      <c r="E10247" s="148"/>
      <c r="F10247" s="133"/>
      <c r="G10247" s="81"/>
      <c r="H10247" s="81"/>
      <c r="I10247" s="81"/>
      <c r="J10247" s="81"/>
      <c r="K10247" s="81"/>
      <c r="L10247" s="81"/>
      <c r="M10247" s="81"/>
      <c r="N10247" s="81"/>
    </row>
    <row r="10248" spans="1:14" ht="14.25" customHeight="1" x14ac:dyDescent="0.25">
      <c r="A10248" s="134"/>
      <c r="B10248" s="135"/>
      <c r="C10248" s="135"/>
      <c r="D10248" s="135"/>
      <c r="E10248" s="135"/>
      <c r="F10248" s="136"/>
      <c r="G10248" s="81"/>
      <c r="H10248" s="81"/>
      <c r="I10248" s="81"/>
      <c r="J10248" s="81"/>
      <c r="K10248" s="81"/>
      <c r="L10248" s="81"/>
      <c r="M10248" s="81"/>
      <c r="N10248" s="81"/>
    </row>
    <row r="10249" spans="1:14" ht="14.25" customHeight="1" x14ac:dyDescent="0.25">
      <c r="A10249" s="81"/>
      <c r="B10249" s="81"/>
      <c r="C10249" s="137"/>
      <c r="D10249" s="81"/>
      <c r="E10249" s="81"/>
      <c r="F10249" s="81"/>
      <c r="G10249" s="81"/>
      <c r="H10249" s="81"/>
      <c r="I10249" s="81"/>
      <c r="J10249" s="81"/>
      <c r="K10249" s="81"/>
      <c r="L10249" s="81"/>
      <c r="M10249" s="81"/>
      <c r="N10249" s="81"/>
    </row>
    <row r="10250" spans="1:14" ht="14.25" customHeight="1" x14ac:dyDescent="0.25">
      <c r="A10250" s="81"/>
      <c r="B10250" s="81"/>
      <c r="C10250" s="137"/>
      <c r="D10250" s="81"/>
      <c r="E10250" s="81"/>
      <c r="F10250" s="81"/>
      <c r="G10250" s="81"/>
      <c r="H10250" s="81"/>
      <c r="I10250" s="81"/>
      <c r="J10250" s="81"/>
      <c r="K10250" s="81"/>
      <c r="L10250" s="81"/>
      <c r="M10250" s="81"/>
      <c r="N10250" s="81"/>
    </row>
    <row r="10251" spans="1:14" ht="14.25" customHeight="1" x14ac:dyDescent="0.25">
      <c r="A10251" s="134"/>
      <c r="B10251" s="135"/>
      <c r="C10251" s="135"/>
      <c r="D10251" s="135"/>
      <c r="E10251" s="135"/>
      <c r="F10251" s="136"/>
      <c r="G10251" s="81"/>
      <c r="H10251" s="81"/>
      <c r="I10251" s="81"/>
      <c r="J10251" s="81"/>
      <c r="K10251" s="81"/>
      <c r="L10251" s="81"/>
      <c r="M10251" s="81"/>
      <c r="N10251" s="81"/>
    </row>
    <row r="10252" spans="1:14" ht="14.25" customHeight="1" x14ac:dyDescent="0.25">
      <c r="A10252" s="134"/>
      <c r="B10252" s="135"/>
      <c r="C10252" s="135"/>
      <c r="D10252" s="135"/>
      <c r="E10252" s="135"/>
      <c r="F10252" s="136"/>
      <c r="G10252" s="81"/>
      <c r="H10252" s="81"/>
      <c r="I10252" s="81"/>
      <c r="J10252" s="81"/>
      <c r="K10252" s="81"/>
      <c r="L10252" s="81"/>
      <c r="M10252" s="81"/>
      <c r="N10252" s="81"/>
    </row>
    <row r="10253" spans="1:14" ht="14.25" customHeight="1" x14ac:dyDescent="0.25">
      <c r="A10253" s="134"/>
      <c r="B10253" s="135"/>
      <c r="C10253" s="135"/>
      <c r="D10253" s="135"/>
      <c r="E10253" s="81"/>
      <c r="F10253" s="136"/>
      <c r="G10253" s="81"/>
      <c r="H10253" s="81"/>
      <c r="I10253" s="81"/>
      <c r="J10253" s="81"/>
      <c r="K10253" s="81"/>
      <c r="L10253" s="81"/>
      <c r="M10253" s="81"/>
      <c r="N10253" s="81"/>
    </row>
    <row r="10254" spans="1:14" ht="14.25" customHeight="1" thickBot="1" x14ac:dyDescent="0.3">
      <c r="A10254" s="81"/>
      <c r="B10254" s="81"/>
      <c r="C10254" s="81"/>
      <c r="D10254" s="81"/>
      <c r="E10254" s="81"/>
      <c r="F10254" s="81"/>
      <c r="G10254" s="81"/>
      <c r="H10254" s="81"/>
      <c r="I10254" s="81"/>
      <c r="J10254" s="81"/>
      <c r="K10254" s="81"/>
      <c r="L10254" s="81"/>
      <c r="M10254" s="81"/>
      <c r="N10254" s="81"/>
    </row>
    <row r="10255" spans="1:14" ht="14.25" customHeight="1" x14ac:dyDescent="0.25">
      <c r="A10255" s="83"/>
      <c r="B10255" s="84"/>
      <c r="C10255" s="85"/>
      <c r="D10255" s="86"/>
      <c r="E10255" s="86"/>
      <c r="F10255" s="87"/>
      <c r="G10255" s="81"/>
      <c r="H10255" s="81"/>
      <c r="I10255" s="81"/>
      <c r="J10255" s="81"/>
      <c r="K10255" s="81"/>
      <c r="L10255" s="81"/>
      <c r="M10255" s="81"/>
      <c r="N10255" s="81"/>
    </row>
    <row r="10256" spans="1:14" ht="14.25" customHeight="1" x14ac:dyDescent="0.25">
      <c r="A10256" s="599"/>
      <c r="B10256" s="600"/>
      <c r="C10256" s="600"/>
      <c r="D10256" s="600"/>
      <c r="E10256" s="600"/>
      <c r="F10256" s="601"/>
      <c r="G10256" s="81"/>
      <c r="H10256" s="81"/>
      <c r="I10256" s="81"/>
      <c r="J10256" s="81"/>
      <c r="K10256" s="81"/>
      <c r="L10256" s="81"/>
      <c r="M10256" s="81"/>
      <c r="N10256" s="81"/>
    </row>
    <row r="10257" spans="1:14" ht="14.25" customHeight="1" x14ac:dyDescent="0.25">
      <c r="A10257" s="602" t="s">
        <v>561</v>
      </c>
      <c r="B10257" s="600"/>
      <c r="C10257" s="600"/>
      <c r="D10257" s="600"/>
      <c r="E10257" s="600"/>
      <c r="F10257" s="601"/>
      <c r="G10257" s="81"/>
      <c r="H10257" s="81"/>
      <c r="I10257" s="81"/>
      <c r="J10257" s="81"/>
      <c r="K10257" s="81"/>
      <c r="L10257" s="81"/>
      <c r="M10257" s="81"/>
      <c r="N10257" s="81"/>
    </row>
    <row r="10258" spans="1:14" ht="14.25" customHeight="1" thickBot="1" x14ac:dyDescent="0.3">
      <c r="A10258" s="603"/>
      <c r="B10258" s="604"/>
      <c r="C10258" s="604"/>
      <c r="D10258" s="604"/>
      <c r="E10258" s="604"/>
      <c r="F10258" s="605"/>
      <c r="G10258" s="81"/>
      <c r="H10258" s="81"/>
      <c r="I10258" s="81"/>
      <c r="J10258" s="81"/>
      <c r="K10258" s="81"/>
      <c r="L10258" s="81"/>
      <c r="M10258" s="81"/>
      <c r="N10258" s="81"/>
    </row>
    <row r="10259" spans="1:14" ht="14.25" customHeight="1" x14ac:dyDescent="0.25">
      <c r="A10259" s="88"/>
      <c r="B10259" s="88"/>
      <c r="C10259" s="89"/>
      <c r="D10259" s="89"/>
      <c r="E10259" s="89"/>
      <c r="F10259" s="89"/>
      <c r="G10259" s="81"/>
      <c r="H10259" s="81"/>
      <c r="I10259" s="81"/>
      <c r="J10259" s="81"/>
      <c r="K10259" s="81"/>
      <c r="L10259" s="81"/>
      <c r="M10259" s="81"/>
      <c r="N10259" s="81"/>
    </row>
    <row r="10260" spans="1:14" ht="33.75" customHeight="1" x14ac:dyDescent="0.25">
      <c r="A10260" s="90" t="s">
        <v>47</v>
      </c>
      <c r="B10260" s="613" t="s">
        <v>1332</v>
      </c>
      <c r="C10260" s="600"/>
      <c r="D10260" s="600"/>
      <c r="E10260" s="600"/>
      <c r="F10260" s="600"/>
      <c r="G10260" s="81"/>
      <c r="H10260" s="81"/>
      <c r="I10260" s="81"/>
      <c r="J10260" s="81"/>
      <c r="K10260" s="81"/>
      <c r="L10260" s="81"/>
      <c r="M10260" s="81"/>
      <c r="N10260" s="81"/>
    </row>
    <row r="10261" spans="1:14" ht="14.25" customHeight="1" x14ac:dyDescent="0.25">
      <c r="A10261" s="91"/>
      <c r="B10261" s="91"/>
      <c r="C10261" s="91"/>
      <c r="D10261" s="91"/>
      <c r="E10261" s="91"/>
      <c r="F10261" s="91"/>
      <c r="G10261" s="81"/>
      <c r="H10261" s="81"/>
      <c r="I10261" s="81"/>
      <c r="J10261" s="81"/>
      <c r="K10261" s="81"/>
      <c r="L10261" s="81"/>
      <c r="M10261" s="81"/>
      <c r="N10261" s="81"/>
    </row>
    <row r="10262" spans="1:14" ht="14.25" customHeight="1" x14ac:dyDescent="0.25">
      <c r="A10262" s="88" t="s">
        <v>49</v>
      </c>
      <c r="B10262" s="92" t="s">
        <v>56</v>
      </c>
      <c r="C10262" s="89"/>
      <c r="D10262" s="89"/>
      <c r="E10262" s="89"/>
      <c r="F10262" s="93"/>
      <c r="G10262" s="81"/>
      <c r="H10262" s="81"/>
      <c r="I10262" s="81"/>
      <c r="J10262" s="81"/>
      <c r="K10262" s="81"/>
      <c r="L10262" s="81"/>
      <c r="M10262" s="81"/>
      <c r="N10262" s="81"/>
    </row>
    <row r="10263" spans="1:14" ht="14.25" customHeight="1" x14ac:dyDescent="0.25">
      <c r="A10263" s="88"/>
      <c r="B10263" s="94"/>
      <c r="C10263" s="89"/>
      <c r="D10263" s="89"/>
      <c r="E10263" s="89"/>
      <c r="F10263" s="93"/>
      <c r="G10263" s="81"/>
      <c r="H10263" s="81"/>
      <c r="I10263" s="81"/>
      <c r="J10263" s="81"/>
      <c r="K10263" s="81"/>
      <c r="L10263" s="81"/>
      <c r="M10263" s="81"/>
      <c r="N10263" s="81"/>
    </row>
    <row r="10264" spans="1:14" ht="14.25" customHeight="1" x14ac:dyDescent="0.25">
      <c r="A10264" s="95" t="s">
        <v>562</v>
      </c>
      <c r="B10264" s="96"/>
      <c r="C10264" s="92"/>
      <c r="D10264" s="92"/>
      <c r="E10264" s="92"/>
      <c r="F10264" s="92"/>
      <c r="G10264" s="81"/>
      <c r="H10264" s="81"/>
      <c r="I10264" s="81"/>
      <c r="J10264" s="81"/>
      <c r="K10264" s="81"/>
      <c r="L10264" s="81"/>
      <c r="M10264" s="81"/>
      <c r="N10264" s="81"/>
    </row>
    <row r="10265" spans="1:14" ht="14.25" customHeight="1" x14ac:dyDescent="0.25">
      <c r="A10265" s="97" t="s">
        <v>563</v>
      </c>
      <c r="B10265" s="98" t="s">
        <v>564</v>
      </c>
      <c r="C10265" s="98" t="s">
        <v>565</v>
      </c>
      <c r="D10265" s="98" t="s">
        <v>566</v>
      </c>
      <c r="E10265" s="98" t="s">
        <v>567</v>
      </c>
      <c r="F10265" s="98" t="s">
        <v>568</v>
      </c>
      <c r="G10265" s="81"/>
      <c r="H10265" s="81"/>
      <c r="I10265" s="81"/>
      <c r="J10265" s="81"/>
      <c r="K10265" s="81"/>
      <c r="L10265" s="81"/>
      <c r="M10265" s="81"/>
      <c r="N10265" s="81"/>
    </row>
    <row r="10266" spans="1:14" ht="14.25" customHeight="1" x14ac:dyDescent="0.25">
      <c r="A10266" s="99" t="s">
        <v>844</v>
      </c>
      <c r="B10266" s="100" t="s">
        <v>64</v>
      </c>
      <c r="C10266" s="101">
        <v>575000</v>
      </c>
      <c r="D10266" s="149">
        <f>0.06*1.23</f>
        <v>7.3799999999999991E-2</v>
      </c>
      <c r="E10266" s="102">
        <v>0.05</v>
      </c>
      <c r="F10266" s="101">
        <f t="shared" ref="F10266:F10267" si="506">C10266*(D10266+(D10266*E10266))</f>
        <v>44556.749999999993</v>
      </c>
      <c r="G10266" s="81"/>
      <c r="H10266" s="81"/>
      <c r="I10266" s="81"/>
      <c r="J10266" s="81"/>
      <c r="K10266" s="81"/>
      <c r="L10266" s="81"/>
      <c r="M10266" s="81"/>
      <c r="N10266" s="81"/>
    </row>
    <row r="10267" spans="1:14" ht="14.25" customHeight="1" x14ac:dyDescent="0.25">
      <c r="A10267" s="99" t="s">
        <v>611</v>
      </c>
      <c r="B10267" s="100" t="s">
        <v>612</v>
      </c>
      <c r="C10267" s="101">
        <v>12</v>
      </c>
      <c r="D10267" s="104">
        <v>15</v>
      </c>
      <c r="E10267" s="102">
        <v>0.05</v>
      </c>
      <c r="F10267" s="101">
        <f t="shared" si="506"/>
        <v>189</v>
      </c>
      <c r="G10267" s="81"/>
      <c r="H10267" s="81"/>
      <c r="I10267" s="81"/>
      <c r="J10267" s="81"/>
      <c r="K10267" s="81"/>
      <c r="L10267" s="81"/>
      <c r="M10267" s="81"/>
      <c r="N10267" s="81"/>
    </row>
    <row r="10268" spans="1:14" ht="14.25" customHeight="1" x14ac:dyDescent="0.25">
      <c r="A10268" s="99"/>
      <c r="B10268" s="100"/>
      <c r="C10268" s="101"/>
      <c r="D10268" s="149"/>
      <c r="E10268" s="102"/>
      <c r="F10268" s="101"/>
      <c r="G10268" s="81"/>
      <c r="H10268" s="81"/>
      <c r="I10268" s="81"/>
      <c r="J10268" s="81"/>
      <c r="K10268" s="81"/>
      <c r="L10268" s="81"/>
      <c r="M10268" s="81"/>
      <c r="N10268" s="81"/>
    </row>
    <row r="10269" spans="1:14" ht="14.25" customHeight="1" x14ac:dyDescent="0.25">
      <c r="A10269" s="99"/>
      <c r="B10269" s="100"/>
      <c r="C10269" s="101"/>
      <c r="D10269" s="104"/>
      <c r="E10269" s="102"/>
      <c r="F10269" s="101"/>
      <c r="G10269" s="81"/>
      <c r="H10269" s="81"/>
      <c r="I10269" s="81"/>
      <c r="J10269" s="81"/>
      <c r="K10269" s="81"/>
      <c r="L10269" s="81"/>
      <c r="M10269" s="81"/>
      <c r="N10269" s="81"/>
    </row>
    <row r="10270" spans="1:14" ht="14.25" customHeight="1" x14ac:dyDescent="0.25">
      <c r="A10270" s="99"/>
      <c r="B10270" s="100"/>
      <c r="C10270" s="101"/>
      <c r="D10270" s="104"/>
      <c r="E10270" s="102"/>
      <c r="F10270" s="101"/>
      <c r="G10270" s="81"/>
      <c r="H10270" s="81"/>
      <c r="I10270" s="81"/>
      <c r="J10270" s="81"/>
      <c r="K10270" s="81"/>
      <c r="L10270" s="81"/>
      <c r="M10270" s="81"/>
      <c r="N10270" s="81"/>
    </row>
    <row r="10271" spans="1:14" ht="14.25" customHeight="1" x14ac:dyDescent="0.25">
      <c r="A10271" s="99"/>
      <c r="B10271" s="100"/>
      <c r="C10271" s="106"/>
      <c r="D10271" s="107"/>
      <c r="E10271" s="108"/>
      <c r="F10271" s="106"/>
      <c r="G10271" s="81"/>
      <c r="H10271" s="81"/>
      <c r="I10271" s="81"/>
      <c r="J10271" s="81"/>
      <c r="K10271" s="81"/>
      <c r="L10271" s="81"/>
      <c r="M10271" s="81"/>
      <c r="N10271" s="81"/>
    </row>
    <row r="10272" spans="1:14" ht="14.25" customHeight="1" x14ac:dyDescent="0.25">
      <c r="A10272" s="97" t="s">
        <v>548</v>
      </c>
      <c r="B10272" s="97"/>
      <c r="C10272" s="109"/>
      <c r="D10272" s="110"/>
      <c r="E10272" s="111"/>
      <c r="F10272" s="112">
        <f>SUM(F10266:F10271)</f>
        <v>44745.749999999993</v>
      </c>
      <c r="G10272" s="81"/>
      <c r="H10272" s="81"/>
      <c r="I10272" s="81"/>
      <c r="J10272" s="81"/>
      <c r="K10272" s="81"/>
      <c r="L10272" s="81"/>
      <c r="M10272" s="81"/>
      <c r="N10272" s="81"/>
    </row>
    <row r="10273" spans="1:14" ht="14.25" customHeight="1" x14ac:dyDescent="0.25">
      <c r="A10273" s="88"/>
      <c r="B10273" s="88"/>
      <c r="C10273" s="113"/>
      <c r="D10273" s="113"/>
      <c r="E10273" s="114"/>
      <c r="F10273" s="113"/>
      <c r="G10273" s="81"/>
      <c r="H10273" s="81"/>
      <c r="I10273" s="81"/>
      <c r="J10273" s="81"/>
      <c r="K10273" s="81"/>
      <c r="L10273" s="81"/>
      <c r="M10273" s="81"/>
      <c r="N10273" s="81"/>
    </row>
    <row r="10274" spans="1:14" ht="14.25" customHeight="1" x14ac:dyDescent="0.25">
      <c r="A10274" s="96" t="s">
        <v>573</v>
      </c>
      <c r="B10274" s="96"/>
      <c r="C10274" s="92"/>
      <c r="D10274" s="92"/>
      <c r="E10274" s="92"/>
      <c r="F10274" s="92"/>
      <c r="G10274" s="81"/>
      <c r="H10274" s="81"/>
      <c r="I10274" s="81"/>
      <c r="J10274" s="81"/>
      <c r="K10274" s="81"/>
      <c r="L10274" s="81"/>
      <c r="M10274" s="81"/>
      <c r="N10274" s="81"/>
    </row>
    <row r="10275" spans="1:14" ht="14.25" customHeight="1" x14ac:dyDescent="0.25">
      <c r="A10275" s="611" t="s">
        <v>563</v>
      </c>
      <c r="B10275" s="608"/>
      <c r="C10275" s="609"/>
      <c r="D10275" s="98" t="s">
        <v>574</v>
      </c>
      <c r="E10275" s="98" t="s">
        <v>575</v>
      </c>
      <c r="F10275" s="98" t="s">
        <v>568</v>
      </c>
      <c r="G10275" s="81"/>
      <c r="H10275" s="81"/>
      <c r="I10275" s="81"/>
      <c r="J10275" s="81"/>
      <c r="K10275" s="81"/>
      <c r="L10275" s="81"/>
      <c r="M10275" s="81"/>
      <c r="N10275" s="81"/>
    </row>
    <row r="10276" spans="1:14" ht="14.25" customHeight="1" x14ac:dyDescent="0.25">
      <c r="A10276" s="607" t="s">
        <v>577</v>
      </c>
      <c r="B10276" s="608"/>
      <c r="C10276" s="609"/>
      <c r="D10276" s="116"/>
      <c r="E10276" s="107"/>
      <c r="F10276" s="106">
        <v>510</v>
      </c>
      <c r="G10276" s="81"/>
      <c r="H10276" s="81"/>
      <c r="I10276" s="81"/>
      <c r="J10276" s="81"/>
      <c r="K10276" s="81"/>
      <c r="L10276" s="81"/>
      <c r="M10276" s="81"/>
      <c r="N10276" s="81"/>
    </row>
    <row r="10277" spans="1:14" ht="14.25" customHeight="1" x14ac:dyDescent="0.25">
      <c r="A10277" s="607" t="s">
        <v>845</v>
      </c>
      <c r="B10277" s="608"/>
      <c r="C10277" s="609"/>
      <c r="D10277" s="142">
        <v>110000</v>
      </c>
      <c r="E10277" s="105">
        <f>+E10281/2</f>
        <v>208.33333333333334</v>
      </c>
      <c r="F10277" s="106">
        <f t="shared" ref="F10277:F10279" si="507">D10277/E10277</f>
        <v>528</v>
      </c>
      <c r="G10277" s="81"/>
      <c r="H10277" s="81"/>
      <c r="I10277" s="81"/>
      <c r="J10277" s="81"/>
      <c r="K10277" s="81"/>
      <c r="L10277" s="81"/>
      <c r="M10277" s="81"/>
      <c r="N10277" s="81"/>
    </row>
    <row r="10278" spans="1:14" ht="14.25" customHeight="1" x14ac:dyDescent="0.25">
      <c r="A10278" s="607" t="s">
        <v>846</v>
      </c>
      <c r="B10278" s="608"/>
      <c r="C10278" s="609"/>
      <c r="D10278" s="142">
        <v>63500</v>
      </c>
      <c r="E10278" s="105">
        <f>+E10281/2</f>
        <v>208.33333333333334</v>
      </c>
      <c r="F10278" s="106">
        <f t="shared" si="507"/>
        <v>304.8</v>
      </c>
      <c r="G10278" s="81"/>
      <c r="H10278" s="81"/>
      <c r="I10278" s="81"/>
      <c r="J10278" s="81"/>
      <c r="K10278" s="81"/>
      <c r="L10278" s="81"/>
      <c r="M10278" s="81"/>
      <c r="N10278" s="81"/>
    </row>
    <row r="10279" spans="1:14" ht="14.25" customHeight="1" x14ac:dyDescent="0.25">
      <c r="A10279" s="607" t="s">
        <v>613</v>
      </c>
      <c r="B10279" s="608"/>
      <c r="C10279" s="609"/>
      <c r="D10279" s="142">
        <v>100000</v>
      </c>
      <c r="E10279" s="107">
        <f>+E10281/2</f>
        <v>208.33333333333334</v>
      </c>
      <c r="F10279" s="106">
        <f t="shared" si="507"/>
        <v>480</v>
      </c>
      <c r="G10279" s="81"/>
      <c r="H10279" s="81"/>
      <c r="I10279" s="81"/>
      <c r="J10279" s="81"/>
      <c r="K10279" s="81"/>
      <c r="L10279" s="81"/>
      <c r="M10279" s="81"/>
      <c r="N10279" s="81"/>
    </row>
    <row r="10280" spans="1:14" ht="14.25" customHeight="1" x14ac:dyDescent="0.25">
      <c r="A10280" s="282" t="s">
        <v>610</v>
      </c>
      <c r="B10280" s="283"/>
      <c r="C10280" s="284"/>
      <c r="D10280" s="142">
        <v>85000</v>
      </c>
      <c r="E10280" s="107">
        <f>+E10281</f>
        <v>416.66666666666669</v>
      </c>
      <c r="F10280" s="106">
        <f t="shared" ref="F10280" si="508">D10280/E10280</f>
        <v>204</v>
      </c>
      <c r="G10280" s="81"/>
      <c r="H10280" s="81"/>
      <c r="I10280" s="81"/>
      <c r="J10280" s="81"/>
      <c r="K10280" s="81"/>
      <c r="L10280" s="81"/>
      <c r="M10280" s="81"/>
      <c r="N10280" s="81"/>
    </row>
    <row r="10281" spans="1:14" ht="14.25" customHeight="1" x14ac:dyDescent="0.25">
      <c r="A10281" s="607" t="s">
        <v>848</v>
      </c>
      <c r="B10281" s="608"/>
      <c r="C10281" s="609"/>
      <c r="D10281" s="142">
        <v>485000</v>
      </c>
      <c r="E10281" s="107">
        <f>25/0.06</f>
        <v>416.66666666666669</v>
      </c>
      <c r="F10281" s="106">
        <f t="shared" ref="F10281" si="509">D10281/E10281</f>
        <v>1164</v>
      </c>
      <c r="G10281" s="81"/>
      <c r="H10281" s="81"/>
      <c r="I10281" s="81"/>
      <c r="J10281" s="81"/>
      <c r="K10281" s="81"/>
      <c r="L10281" s="81"/>
      <c r="M10281" s="81"/>
      <c r="N10281" s="81"/>
    </row>
    <row r="10282" spans="1:14" ht="14.25" customHeight="1" x14ac:dyDescent="0.25">
      <c r="A10282" s="607"/>
      <c r="B10282" s="608"/>
      <c r="C10282" s="609"/>
      <c r="D10282" s="142"/>
      <c r="E10282" s="107"/>
      <c r="F10282" s="106"/>
      <c r="G10282" s="81"/>
      <c r="H10282" s="81"/>
      <c r="I10282" s="81"/>
      <c r="J10282" s="81"/>
      <c r="K10282" s="81"/>
      <c r="L10282" s="81"/>
      <c r="M10282" s="81"/>
      <c r="N10282" s="81"/>
    </row>
    <row r="10283" spans="1:14" ht="14.25" customHeight="1" x14ac:dyDescent="0.25">
      <c r="A10283" s="607"/>
      <c r="B10283" s="608"/>
      <c r="C10283" s="609"/>
      <c r="D10283" s="142"/>
      <c r="E10283" s="107"/>
      <c r="F10283" s="106"/>
      <c r="G10283" s="81"/>
      <c r="H10283" s="81"/>
      <c r="I10283" s="81"/>
      <c r="J10283" s="81"/>
      <c r="K10283" s="81"/>
      <c r="L10283" s="81"/>
      <c r="M10283" s="81"/>
      <c r="N10283" s="81"/>
    </row>
    <row r="10284" spans="1:14" ht="14.25" customHeight="1" x14ac:dyDescent="0.25">
      <c r="A10284" s="610"/>
      <c r="B10284" s="608"/>
      <c r="C10284" s="609"/>
      <c r="D10284" s="115"/>
      <c r="E10284" s="107"/>
      <c r="F10284" s="106"/>
      <c r="G10284" s="81"/>
      <c r="H10284" s="81"/>
      <c r="I10284" s="81"/>
      <c r="J10284" s="81"/>
      <c r="K10284" s="81"/>
      <c r="L10284" s="81"/>
      <c r="M10284" s="81"/>
      <c r="N10284" s="81"/>
    </row>
    <row r="10285" spans="1:14" ht="14.25" customHeight="1" x14ac:dyDescent="0.25">
      <c r="A10285" s="611" t="s">
        <v>548</v>
      </c>
      <c r="B10285" s="608"/>
      <c r="C10285" s="609"/>
      <c r="D10285" s="110"/>
      <c r="E10285" s="110"/>
      <c r="F10285" s="112">
        <f>SUM(F10276:F10283)</f>
        <v>3190.8</v>
      </c>
      <c r="G10285" s="81"/>
      <c r="H10285" s="81"/>
      <c r="I10285" s="81"/>
      <c r="J10285" s="81"/>
      <c r="K10285" s="81"/>
      <c r="L10285" s="81"/>
      <c r="M10285" s="81"/>
      <c r="N10285" s="81"/>
    </row>
    <row r="10286" spans="1:14" ht="14.25" customHeight="1" x14ac:dyDescent="0.25">
      <c r="A10286" s="88"/>
      <c r="B10286" s="88"/>
      <c r="C10286" s="89"/>
      <c r="D10286" s="113"/>
      <c r="E10286" s="113"/>
      <c r="F10286" s="113"/>
      <c r="G10286" s="81"/>
      <c r="H10286" s="117"/>
      <c r="I10286" s="81"/>
      <c r="J10286" s="81"/>
      <c r="K10286" s="81"/>
      <c r="L10286" s="81"/>
      <c r="M10286" s="81"/>
      <c r="N10286" s="81"/>
    </row>
    <row r="10287" spans="1:14" ht="14.25" customHeight="1" x14ac:dyDescent="0.25">
      <c r="A10287" s="96" t="s">
        <v>578</v>
      </c>
      <c r="B10287" s="96"/>
      <c r="C10287" s="92"/>
      <c r="D10287" s="118"/>
      <c r="E10287" s="118"/>
      <c r="F10287" s="118"/>
      <c r="G10287" s="81"/>
      <c r="H10287" s="81"/>
      <c r="I10287" s="81"/>
      <c r="J10287" s="81"/>
      <c r="K10287" s="81"/>
      <c r="L10287" s="81"/>
      <c r="M10287" s="81"/>
      <c r="N10287" s="81"/>
    </row>
    <row r="10288" spans="1:14" ht="38.25" x14ac:dyDescent="0.25">
      <c r="A10288" s="119" t="s">
        <v>563</v>
      </c>
      <c r="B10288" s="120" t="s">
        <v>579</v>
      </c>
      <c r="C10288" s="120" t="s">
        <v>580</v>
      </c>
      <c r="D10288" s="121" t="s">
        <v>581</v>
      </c>
      <c r="E10288" s="121" t="s">
        <v>575</v>
      </c>
      <c r="F10288" s="121" t="s">
        <v>568</v>
      </c>
      <c r="G10288" s="81"/>
      <c r="H10288" s="81"/>
      <c r="I10288" s="81"/>
      <c r="J10288" s="81"/>
      <c r="K10288" s="81"/>
      <c r="L10288" s="81"/>
      <c r="M10288" s="81"/>
      <c r="N10288" s="81"/>
    </row>
    <row r="10289" spans="1:14" ht="14.25" customHeight="1" x14ac:dyDescent="0.25">
      <c r="A10289" s="122" t="s">
        <v>593</v>
      </c>
      <c r="B10289" s="127">
        <v>5</v>
      </c>
      <c r="C10289" s="101">
        <v>32688</v>
      </c>
      <c r="D10289" s="101">
        <f t="shared" ref="D10289:D10290" si="510">+C10289*1.7</f>
        <v>55569.599999999999</v>
      </c>
      <c r="E10289" s="107">
        <f>E10281</f>
        <v>416.66666666666669</v>
      </c>
      <c r="F10289" s="106">
        <f t="shared" ref="F10289:F10290" si="511">+B10289*(D10289)/E10289</f>
        <v>666.83519999999999</v>
      </c>
      <c r="G10289" s="81"/>
      <c r="H10289" s="81"/>
      <c r="I10289" s="81"/>
      <c r="J10289" s="81"/>
      <c r="K10289" s="81"/>
      <c r="L10289" s="81"/>
      <c r="M10289" s="81"/>
      <c r="N10289" s="81"/>
    </row>
    <row r="10290" spans="1:14" ht="14.25" customHeight="1" x14ac:dyDescent="0.25">
      <c r="A10290" s="122" t="s">
        <v>594</v>
      </c>
      <c r="B10290" s="127">
        <v>3</v>
      </c>
      <c r="C10290" s="101">
        <v>52538</v>
      </c>
      <c r="D10290" s="101">
        <f t="shared" si="510"/>
        <v>89314.599999999991</v>
      </c>
      <c r="E10290" s="107">
        <f>E10289</f>
        <v>416.66666666666669</v>
      </c>
      <c r="F10290" s="106">
        <f t="shared" si="511"/>
        <v>643.06511999999998</v>
      </c>
      <c r="G10290" s="81"/>
      <c r="H10290" s="81"/>
      <c r="I10290" s="81"/>
      <c r="J10290" s="81"/>
      <c r="K10290" s="81"/>
      <c r="L10290" s="81"/>
      <c r="M10290" s="81"/>
      <c r="N10290" s="81"/>
    </row>
    <row r="10291" spans="1:14" ht="14.25" customHeight="1" x14ac:dyDescent="0.25">
      <c r="A10291" s="122"/>
      <c r="B10291" s="127"/>
      <c r="C10291" s="101"/>
      <c r="D10291" s="101"/>
      <c r="E10291" s="105"/>
      <c r="F10291" s="106"/>
      <c r="G10291" s="81"/>
      <c r="H10291" s="81"/>
      <c r="I10291" s="81"/>
      <c r="J10291" s="81"/>
      <c r="K10291" s="81"/>
      <c r="L10291" s="81"/>
      <c r="M10291" s="81"/>
      <c r="N10291" s="81"/>
    </row>
    <row r="10292" spans="1:14" ht="14.25" customHeight="1" x14ac:dyDescent="0.25">
      <c r="A10292" s="122"/>
      <c r="B10292" s="127"/>
      <c r="C10292" s="101"/>
      <c r="D10292" s="101"/>
      <c r="E10292" s="125"/>
      <c r="F10292" s="106"/>
      <c r="G10292" s="81"/>
      <c r="H10292" s="81"/>
      <c r="I10292" s="81"/>
      <c r="J10292" s="81"/>
      <c r="K10292" s="81"/>
      <c r="L10292" s="81"/>
      <c r="M10292" s="81"/>
      <c r="N10292" s="81"/>
    </row>
    <row r="10293" spans="1:14" ht="14.25" customHeight="1" x14ac:dyDescent="0.25">
      <c r="A10293" s="97" t="s">
        <v>548</v>
      </c>
      <c r="B10293" s="128"/>
      <c r="C10293" s="110"/>
      <c r="D10293" s="110"/>
      <c r="E10293" s="110"/>
      <c r="F10293" s="112">
        <f>SUM(F10289:F10292)</f>
        <v>1309.90032</v>
      </c>
      <c r="G10293" s="81"/>
      <c r="H10293" s="81"/>
      <c r="I10293" s="81"/>
      <c r="J10293" s="81"/>
      <c r="K10293" s="81"/>
      <c r="L10293" s="81"/>
      <c r="M10293" s="81"/>
      <c r="N10293" s="81"/>
    </row>
    <row r="10294" spans="1:14" ht="14.25" customHeight="1" x14ac:dyDescent="0.25">
      <c r="A10294" s="96"/>
      <c r="B10294" s="129"/>
      <c r="C10294" s="118"/>
      <c r="D10294" s="118"/>
      <c r="E10294" s="118"/>
      <c r="F10294" s="118"/>
      <c r="G10294" s="81"/>
      <c r="H10294" s="81"/>
      <c r="I10294" s="81"/>
      <c r="J10294" s="81"/>
      <c r="K10294" s="81"/>
      <c r="L10294" s="81"/>
      <c r="M10294" s="81"/>
      <c r="N10294" s="81"/>
    </row>
    <row r="10295" spans="1:14" ht="14.25" customHeight="1" x14ac:dyDescent="0.25">
      <c r="A10295" s="95" t="s">
        <v>583</v>
      </c>
      <c r="B10295" s="96"/>
      <c r="C10295" s="92"/>
      <c r="D10295" s="92"/>
      <c r="E10295" s="92" t="s">
        <v>584</v>
      </c>
      <c r="F10295" s="92"/>
      <c r="G10295" s="81"/>
      <c r="H10295" s="81"/>
      <c r="I10295" s="81"/>
      <c r="J10295" s="81"/>
      <c r="K10295" s="81"/>
      <c r="L10295" s="81"/>
      <c r="M10295" s="81"/>
      <c r="N10295" s="81"/>
    </row>
    <row r="10296" spans="1:14" ht="27.75" customHeight="1" x14ac:dyDescent="0.25">
      <c r="A10296" s="97" t="s">
        <v>563</v>
      </c>
      <c r="B10296" s="98" t="s">
        <v>564</v>
      </c>
      <c r="C10296" s="98" t="s">
        <v>585</v>
      </c>
      <c r="D10296" s="98" t="s">
        <v>586</v>
      </c>
      <c r="E10296" s="120" t="s">
        <v>587</v>
      </c>
      <c r="F10296" s="98" t="s">
        <v>568</v>
      </c>
      <c r="G10296" s="81"/>
      <c r="H10296" s="81"/>
      <c r="I10296" s="81"/>
      <c r="J10296" s="81"/>
      <c r="K10296" s="81"/>
      <c r="L10296" s="81"/>
      <c r="M10296" s="81"/>
      <c r="N10296" s="81"/>
    </row>
    <row r="10297" spans="1:14" ht="14.25" customHeight="1" x14ac:dyDescent="0.25">
      <c r="A10297" s="103" t="s">
        <v>1315</v>
      </c>
      <c r="B10297" s="100" t="s">
        <v>551</v>
      </c>
      <c r="C10297" s="101">
        <v>1000</v>
      </c>
      <c r="D10297" s="140">
        <f>1*0.06*1.23</f>
        <v>7.3799999999999991E-2</v>
      </c>
      <c r="E10297" s="107">
        <v>110</v>
      </c>
      <c r="F10297" s="109">
        <f>+C10297*D10297*E10297</f>
        <v>8118</v>
      </c>
      <c r="G10297" s="81"/>
      <c r="H10297" s="81"/>
      <c r="I10297" s="81"/>
      <c r="J10297" s="81"/>
      <c r="K10297" s="81"/>
      <c r="L10297" s="81"/>
      <c r="M10297" s="81"/>
      <c r="N10297" s="81"/>
    </row>
    <row r="10298" spans="1:14" ht="14.25" customHeight="1" x14ac:dyDescent="0.25">
      <c r="A10298" s="103"/>
      <c r="B10298" s="100"/>
      <c r="C10298" s="107"/>
      <c r="D10298" s="107"/>
      <c r="E10298" s="108"/>
      <c r="F10298" s="109"/>
      <c r="G10298" s="81"/>
      <c r="H10298" s="81"/>
      <c r="I10298" s="81"/>
      <c r="J10298" s="81"/>
      <c r="K10298" s="81"/>
      <c r="L10298" s="81"/>
      <c r="M10298" s="81"/>
      <c r="N10298" s="81"/>
    </row>
    <row r="10299" spans="1:14" ht="14.25" customHeight="1" x14ac:dyDescent="0.25">
      <c r="A10299" s="97" t="s">
        <v>548</v>
      </c>
      <c r="B10299" s="98"/>
      <c r="C10299" s="110"/>
      <c r="D10299" s="110"/>
      <c r="E10299" s="111"/>
      <c r="F10299" s="112">
        <f>SUM(F10297:F10298)</f>
        <v>8118</v>
      </c>
      <c r="G10299" s="81"/>
      <c r="H10299" s="81"/>
      <c r="I10299" s="81"/>
      <c r="J10299" s="81"/>
      <c r="K10299" s="81"/>
      <c r="L10299" s="81"/>
      <c r="M10299" s="81"/>
      <c r="N10299" s="81"/>
    </row>
    <row r="10300" spans="1:14" ht="14.25" customHeight="1" x14ac:dyDescent="0.25">
      <c r="A10300" s="88"/>
      <c r="B10300" s="89"/>
      <c r="C10300" s="113"/>
      <c r="D10300" s="113"/>
      <c r="E10300" s="114"/>
      <c r="F10300" s="113"/>
      <c r="G10300" s="81"/>
      <c r="H10300" s="81"/>
      <c r="I10300" s="81"/>
      <c r="J10300" s="81"/>
      <c r="K10300" s="81"/>
      <c r="L10300" s="81"/>
      <c r="M10300" s="81"/>
      <c r="N10300" s="81"/>
    </row>
    <row r="10301" spans="1:14" ht="14.25" customHeight="1" x14ac:dyDescent="0.25">
      <c r="A10301" s="88"/>
      <c r="B10301" s="89"/>
      <c r="C10301" s="113"/>
      <c r="D10301" s="113"/>
      <c r="E10301" s="114"/>
      <c r="F10301" s="113"/>
      <c r="G10301" s="81"/>
      <c r="H10301" s="81"/>
      <c r="I10301" s="81"/>
      <c r="J10301" s="81"/>
      <c r="K10301" s="81"/>
      <c r="L10301" s="81"/>
      <c r="M10301" s="81"/>
      <c r="N10301" s="81"/>
    </row>
    <row r="10302" spans="1:14" ht="14.25" customHeight="1" x14ac:dyDescent="0.25">
      <c r="A10302" s="612" t="s">
        <v>588</v>
      </c>
      <c r="B10302" s="608"/>
      <c r="C10302" s="608"/>
      <c r="D10302" s="608"/>
      <c r="E10302" s="609"/>
      <c r="F10302" s="131">
        <f>ROUND(F10272+F10285+F10293+F10299,0)</f>
        <v>57364</v>
      </c>
      <c r="G10302" s="81"/>
      <c r="H10302" s="81"/>
      <c r="I10302" s="81"/>
      <c r="J10302" s="81"/>
      <c r="K10302" s="81"/>
      <c r="L10302" s="81"/>
      <c r="M10302" s="81"/>
      <c r="N10302" s="81"/>
    </row>
    <row r="10303" spans="1:14" ht="14.25" customHeight="1" x14ac:dyDescent="0.25">
      <c r="A10303" s="612" t="s">
        <v>589</v>
      </c>
      <c r="B10303" s="608"/>
      <c r="C10303" s="608"/>
      <c r="D10303" s="608"/>
      <c r="E10303" s="609"/>
      <c r="F10303" s="132"/>
      <c r="G10303" s="81"/>
      <c r="H10303" s="81"/>
      <c r="I10303" s="81"/>
      <c r="J10303" s="81"/>
      <c r="K10303" s="81"/>
      <c r="L10303" s="81"/>
      <c r="M10303" s="81"/>
      <c r="N10303" s="81"/>
    </row>
    <row r="10304" spans="1:14" ht="14.25" customHeight="1" x14ac:dyDescent="0.25">
      <c r="A10304" s="146" t="s">
        <v>556</v>
      </c>
      <c r="B10304" s="147"/>
      <c r="C10304" s="147"/>
      <c r="D10304" s="147"/>
      <c r="E10304" s="148"/>
      <c r="F10304" s="133"/>
      <c r="G10304" s="81"/>
      <c r="H10304" s="81"/>
      <c r="I10304" s="81"/>
      <c r="J10304" s="81"/>
      <c r="K10304" s="81"/>
      <c r="L10304" s="81"/>
      <c r="M10304" s="81"/>
      <c r="N10304" s="81"/>
    </row>
    <row r="10305" spans="1:14" ht="14.25" customHeight="1" x14ac:dyDescent="0.25">
      <c r="A10305" s="134"/>
      <c r="B10305" s="135"/>
      <c r="C10305" s="135"/>
      <c r="D10305" s="135"/>
      <c r="E10305" s="135"/>
      <c r="F10305" s="136"/>
      <c r="G10305" s="81"/>
      <c r="H10305" s="81"/>
      <c r="I10305" s="81"/>
      <c r="J10305" s="81"/>
      <c r="K10305" s="81"/>
      <c r="L10305" s="81"/>
      <c r="M10305" s="81"/>
      <c r="N10305" s="81"/>
    </row>
    <row r="10306" spans="1:14" ht="14.25" customHeight="1" x14ac:dyDescent="0.25">
      <c r="A10306" s="81"/>
      <c r="B10306" s="81"/>
      <c r="C10306" s="137"/>
      <c r="D10306" s="81"/>
      <c r="E10306" s="81"/>
      <c r="F10306" s="81"/>
      <c r="G10306" s="81"/>
      <c r="H10306" s="81"/>
      <c r="I10306" s="81"/>
      <c r="J10306" s="81"/>
      <c r="K10306" s="81"/>
      <c r="L10306" s="81"/>
      <c r="M10306" s="81"/>
      <c r="N10306" s="81"/>
    </row>
    <row r="10307" spans="1:14" ht="14.25" customHeight="1" x14ac:dyDescent="0.25">
      <c r="A10307" s="81"/>
      <c r="B10307" s="81"/>
      <c r="C10307" s="137"/>
      <c r="D10307" s="81"/>
      <c r="E10307" s="81"/>
      <c r="F10307" s="81"/>
      <c r="G10307" s="81"/>
      <c r="H10307" s="81"/>
      <c r="I10307" s="81"/>
      <c r="J10307" s="81"/>
      <c r="K10307" s="81"/>
      <c r="L10307" s="81"/>
      <c r="M10307" s="81"/>
      <c r="N10307" s="81"/>
    </row>
    <row r="10308" spans="1:14" ht="14.25" customHeight="1" x14ac:dyDescent="0.25">
      <c r="A10308" s="81"/>
      <c r="B10308" s="81"/>
      <c r="C10308" s="137"/>
      <c r="D10308" s="81"/>
      <c r="E10308" s="81"/>
      <c r="F10308" s="81"/>
      <c r="G10308" s="81"/>
      <c r="H10308" s="81"/>
      <c r="I10308" s="81"/>
      <c r="J10308" s="81"/>
      <c r="K10308" s="81"/>
      <c r="L10308" s="81"/>
      <c r="M10308" s="81"/>
      <c r="N10308" s="81"/>
    </row>
    <row r="10309" spans="1:14" ht="14.25" customHeight="1" x14ac:dyDescent="0.25">
      <c r="A10309" s="81"/>
      <c r="B10309" s="81"/>
      <c r="C10309" s="137"/>
      <c r="D10309" s="81"/>
      <c r="E10309" s="81"/>
      <c r="F10309" s="81"/>
      <c r="G10309" s="81"/>
      <c r="H10309" s="81"/>
      <c r="I10309" s="81"/>
      <c r="J10309" s="81"/>
      <c r="K10309" s="81"/>
      <c r="L10309" s="81"/>
      <c r="M10309" s="81"/>
      <c r="N10309" s="81"/>
    </row>
    <row r="10310" spans="1:14" ht="14.25" customHeight="1" x14ac:dyDescent="0.25">
      <c r="A10310" s="134"/>
      <c r="B10310" s="135"/>
      <c r="C10310" s="135"/>
      <c r="D10310" s="135"/>
      <c r="E10310" s="135"/>
      <c r="F10310" s="136"/>
      <c r="G10310" s="81"/>
      <c r="H10310" s="81"/>
      <c r="I10310" s="81"/>
      <c r="J10310" s="81"/>
      <c r="K10310" s="81"/>
      <c r="L10310" s="81"/>
      <c r="M10310" s="81"/>
      <c r="N10310" s="81"/>
    </row>
    <row r="10311" spans="1:14" ht="14.25" customHeight="1" x14ac:dyDescent="0.25">
      <c r="A10311" s="134"/>
      <c r="B10311" s="135"/>
      <c r="C10311" s="135"/>
      <c r="D10311" s="135"/>
      <c r="E10311" s="135"/>
      <c r="F10311" s="136"/>
      <c r="G10311" s="81"/>
      <c r="H10311" s="81"/>
      <c r="I10311" s="81"/>
      <c r="J10311" s="81"/>
      <c r="K10311" s="81"/>
      <c r="L10311" s="81"/>
      <c r="M10311" s="81"/>
      <c r="N10311" s="81"/>
    </row>
    <row r="10312" spans="1:14" ht="14.25" customHeight="1" x14ac:dyDescent="0.25">
      <c r="A10312" s="134"/>
      <c r="B10312" s="135"/>
      <c r="C10312" s="135"/>
      <c r="D10312" s="135"/>
      <c r="E10312" s="81"/>
      <c r="F10312" s="136"/>
      <c r="G10312" s="81"/>
      <c r="H10312" s="81"/>
      <c r="I10312" s="81"/>
      <c r="J10312" s="81"/>
      <c r="K10312" s="81"/>
      <c r="L10312" s="81"/>
      <c r="M10312" s="81"/>
      <c r="N10312" s="81"/>
    </row>
    <row r="10313" spans="1:14" ht="14.25" customHeight="1" thickBot="1" x14ac:dyDescent="0.3">
      <c r="A10313" s="81"/>
      <c r="B10313" s="81"/>
      <c r="C10313" s="81"/>
      <c r="D10313" s="81"/>
      <c r="E10313" s="81"/>
      <c r="F10313" s="81"/>
      <c r="G10313" s="81"/>
      <c r="H10313" s="81"/>
      <c r="I10313" s="81"/>
      <c r="J10313" s="81"/>
      <c r="K10313" s="81"/>
      <c r="L10313" s="81"/>
      <c r="M10313" s="81"/>
      <c r="N10313" s="81"/>
    </row>
    <row r="10314" spans="1:14" ht="14.25" customHeight="1" x14ac:dyDescent="0.25">
      <c r="A10314" s="83"/>
      <c r="B10314" s="84"/>
      <c r="C10314" s="85"/>
      <c r="D10314" s="86"/>
      <c r="E10314" s="86"/>
      <c r="F10314" s="87"/>
      <c r="G10314" s="81"/>
      <c r="H10314" s="81"/>
      <c r="I10314" s="81"/>
      <c r="J10314" s="81"/>
      <c r="K10314" s="81"/>
      <c r="L10314" s="81"/>
      <c r="M10314" s="81"/>
      <c r="N10314" s="81"/>
    </row>
    <row r="10315" spans="1:14" ht="14.25" customHeight="1" x14ac:dyDescent="0.25">
      <c r="A10315" s="599"/>
      <c r="B10315" s="600"/>
      <c r="C10315" s="600"/>
      <c r="D10315" s="600"/>
      <c r="E10315" s="600"/>
      <c r="F10315" s="601"/>
      <c r="G10315" s="81"/>
      <c r="H10315" s="81"/>
      <c r="I10315" s="81"/>
      <c r="J10315" s="81"/>
      <c r="K10315" s="81"/>
      <c r="L10315" s="81"/>
      <c r="M10315" s="81"/>
      <c r="N10315" s="81"/>
    </row>
    <row r="10316" spans="1:14" ht="14.25" customHeight="1" x14ac:dyDescent="0.25">
      <c r="A10316" s="602" t="s">
        <v>561</v>
      </c>
      <c r="B10316" s="600"/>
      <c r="C10316" s="600"/>
      <c r="D10316" s="600"/>
      <c r="E10316" s="600"/>
      <c r="F10316" s="601"/>
      <c r="G10316" s="81"/>
      <c r="H10316" s="81"/>
      <c r="I10316" s="81"/>
      <c r="J10316" s="81"/>
      <c r="K10316" s="81"/>
      <c r="L10316" s="81"/>
      <c r="M10316" s="81"/>
      <c r="N10316" s="81"/>
    </row>
    <row r="10317" spans="1:14" ht="14.25" customHeight="1" thickBot="1" x14ac:dyDescent="0.3">
      <c r="A10317" s="603"/>
      <c r="B10317" s="604"/>
      <c r="C10317" s="604"/>
      <c r="D10317" s="604"/>
      <c r="E10317" s="604"/>
      <c r="F10317" s="605"/>
      <c r="G10317" s="81"/>
      <c r="H10317" s="81"/>
      <c r="I10317" s="81"/>
      <c r="J10317" s="81"/>
      <c r="K10317" s="81"/>
      <c r="L10317" s="81"/>
      <c r="M10317" s="81"/>
      <c r="N10317" s="81"/>
    </row>
    <row r="10318" spans="1:14" ht="14.25" customHeight="1" x14ac:dyDescent="0.25">
      <c r="A10318" s="88"/>
      <c r="B10318" s="88"/>
      <c r="C10318" s="89"/>
      <c r="D10318" s="89"/>
      <c r="E10318" s="89"/>
      <c r="F10318" s="89"/>
      <c r="G10318" s="81"/>
      <c r="H10318" s="81"/>
      <c r="I10318" s="81"/>
      <c r="J10318" s="81"/>
      <c r="K10318" s="81"/>
      <c r="L10318" s="81"/>
      <c r="M10318" s="81"/>
      <c r="N10318" s="81"/>
    </row>
    <row r="10319" spans="1:14" ht="14.25" customHeight="1" x14ac:dyDescent="0.25">
      <c r="A10319" s="90" t="s">
        <v>47</v>
      </c>
      <c r="B10319" s="613" t="s">
        <v>430</v>
      </c>
      <c r="C10319" s="600"/>
      <c r="D10319" s="600"/>
      <c r="E10319" s="600"/>
      <c r="F10319" s="600"/>
      <c r="G10319" s="81"/>
      <c r="H10319" s="81"/>
      <c r="I10319" s="81"/>
      <c r="J10319" s="81"/>
      <c r="K10319" s="81"/>
      <c r="L10319" s="81"/>
      <c r="M10319" s="81"/>
      <c r="N10319" s="81"/>
    </row>
    <row r="10320" spans="1:14" ht="14.25" customHeight="1" x14ac:dyDescent="0.25">
      <c r="A10320" s="91"/>
      <c r="B10320" s="91"/>
      <c r="C10320" s="91"/>
      <c r="D10320" s="91"/>
      <c r="E10320" s="91"/>
      <c r="F10320" s="91"/>
      <c r="G10320" s="81"/>
      <c r="H10320" s="81"/>
      <c r="I10320" s="81"/>
      <c r="J10320" s="81"/>
      <c r="K10320" s="81"/>
      <c r="L10320" s="81"/>
      <c r="M10320" s="81"/>
      <c r="N10320" s="81"/>
    </row>
    <row r="10321" spans="1:14" ht="14.25" customHeight="1" x14ac:dyDescent="0.25">
      <c r="A10321" s="88" t="s">
        <v>49</v>
      </c>
      <c r="B10321" s="92" t="s">
        <v>56</v>
      </c>
      <c r="C10321" s="89"/>
      <c r="D10321" s="89"/>
      <c r="E10321" s="89"/>
      <c r="F10321" s="93"/>
      <c r="G10321" s="81"/>
      <c r="H10321" s="81"/>
      <c r="I10321" s="81"/>
      <c r="J10321" s="81"/>
      <c r="K10321" s="81"/>
      <c r="L10321" s="81"/>
      <c r="M10321" s="81"/>
      <c r="N10321" s="81"/>
    </row>
    <row r="10322" spans="1:14" ht="14.25" customHeight="1" x14ac:dyDescent="0.25">
      <c r="A10322" s="88"/>
      <c r="B10322" s="94"/>
      <c r="C10322" s="89"/>
      <c r="D10322" s="89"/>
      <c r="E10322" s="89"/>
      <c r="F10322" s="93"/>
      <c r="G10322" s="81"/>
      <c r="H10322" s="81"/>
      <c r="I10322" s="81"/>
      <c r="J10322" s="81"/>
      <c r="K10322" s="81"/>
      <c r="L10322" s="81"/>
      <c r="M10322" s="81"/>
      <c r="N10322" s="81"/>
    </row>
    <row r="10323" spans="1:14" ht="14.25" customHeight="1" x14ac:dyDescent="0.25">
      <c r="A10323" s="95" t="s">
        <v>562</v>
      </c>
      <c r="B10323" s="96"/>
      <c r="C10323" s="92"/>
      <c r="D10323" s="92"/>
      <c r="E10323" s="92"/>
      <c r="F10323" s="92"/>
      <c r="G10323" s="81"/>
      <c r="H10323" s="81"/>
      <c r="I10323" s="81"/>
      <c r="J10323" s="81"/>
      <c r="K10323" s="81"/>
      <c r="L10323" s="81"/>
      <c r="M10323" s="81"/>
      <c r="N10323" s="81"/>
    </row>
    <row r="10324" spans="1:14" ht="14.25" customHeight="1" x14ac:dyDescent="0.25">
      <c r="A10324" s="97" t="s">
        <v>563</v>
      </c>
      <c r="B10324" s="98" t="s">
        <v>564</v>
      </c>
      <c r="C10324" s="98" t="s">
        <v>565</v>
      </c>
      <c r="D10324" s="98" t="s">
        <v>566</v>
      </c>
      <c r="E10324" s="98" t="s">
        <v>567</v>
      </c>
      <c r="F10324" s="98" t="s">
        <v>568</v>
      </c>
      <c r="G10324" s="81"/>
      <c r="H10324" s="81"/>
      <c r="I10324" s="81"/>
      <c r="J10324" s="81"/>
      <c r="K10324" s="81"/>
      <c r="L10324" s="81"/>
      <c r="M10324" s="81"/>
      <c r="N10324" s="81"/>
    </row>
    <row r="10325" spans="1:14" ht="14.25" customHeight="1" x14ac:dyDescent="0.25">
      <c r="A10325" s="99" t="s">
        <v>849</v>
      </c>
      <c r="B10325" s="100" t="s">
        <v>56</v>
      </c>
      <c r="C10325" s="101">
        <v>146250</v>
      </c>
      <c r="D10325" s="149">
        <v>1</v>
      </c>
      <c r="E10325" s="102">
        <v>0.05</v>
      </c>
      <c r="F10325" s="101">
        <f>C10325*(D10325+(D10325*E10325))</f>
        <v>153562.5</v>
      </c>
      <c r="G10325" s="81"/>
      <c r="H10325" s="81"/>
      <c r="I10325" s="81"/>
      <c r="J10325" s="81"/>
      <c r="K10325" s="81"/>
      <c r="L10325" s="81"/>
      <c r="M10325" s="81"/>
      <c r="N10325" s="81"/>
    </row>
    <row r="10326" spans="1:14" ht="14.25" customHeight="1" x14ac:dyDescent="0.25">
      <c r="A10326" s="99"/>
      <c r="B10326" s="100"/>
      <c r="C10326" s="101"/>
      <c r="D10326" s="104"/>
      <c r="E10326" s="102"/>
      <c r="F10326" s="101"/>
      <c r="G10326" s="81"/>
      <c r="H10326" s="81"/>
      <c r="I10326" s="81"/>
      <c r="J10326" s="81"/>
      <c r="K10326" s="81"/>
      <c r="L10326" s="81"/>
      <c r="M10326" s="81"/>
      <c r="N10326" s="81"/>
    </row>
    <row r="10327" spans="1:14" ht="14.25" customHeight="1" x14ac:dyDescent="0.25">
      <c r="A10327" s="99"/>
      <c r="B10327" s="100"/>
      <c r="C10327" s="101"/>
      <c r="D10327" s="149"/>
      <c r="E10327" s="102"/>
      <c r="F10327" s="101"/>
      <c r="G10327" s="81"/>
      <c r="H10327" s="81"/>
      <c r="I10327" s="81"/>
      <c r="J10327" s="81"/>
      <c r="K10327" s="81"/>
      <c r="L10327" s="81"/>
      <c r="M10327" s="81"/>
      <c r="N10327" s="81"/>
    </row>
    <row r="10328" spans="1:14" ht="14.25" customHeight="1" x14ac:dyDescent="0.25">
      <c r="A10328" s="99"/>
      <c r="B10328" s="100"/>
      <c r="C10328" s="101"/>
      <c r="D10328" s="104"/>
      <c r="E10328" s="102"/>
      <c r="F10328" s="101"/>
      <c r="G10328" s="81"/>
      <c r="H10328" s="81"/>
      <c r="I10328" s="81"/>
      <c r="J10328" s="81"/>
      <c r="K10328" s="81"/>
      <c r="L10328" s="81"/>
      <c r="M10328" s="81"/>
      <c r="N10328" s="81"/>
    </row>
    <row r="10329" spans="1:14" ht="14.25" customHeight="1" x14ac:dyDescent="0.25">
      <c r="A10329" s="99"/>
      <c r="B10329" s="100"/>
      <c r="C10329" s="101"/>
      <c r="D10329" s="104"/>
      <c r="E10329" s="102"/>
      <c r="F10329" s="101"/>
      <c r="G10329" s="81"/>
      <c r="H10329" s="81"/>
      <c r="I10329" s="81"/>
      <c r="J10329" s="81"/>
      <c r="K10329" s="81"/>
      <c r="L10329" s="81"/>
      <c r="M10329" s="81"/>
      <c r="N10329" s="81"/>
    </row>
    <row r="10330" spans="1:14" ht="14.25" customHeight="1" x14ac:dyDescent="0.25">
      <c r="A10330" s="99"/>
      <c r="B10330" s="100"/>
      <c r="C10330" s="106"/>
      <c r="D10330" s="107"/>
      <c r="E10330" s="108"/>
      <c r="F10330" s="106"/>
      <c r="G10330" s="81"/>
      <c r="H10330" s="81"/>
      <c r="I10330" s="81"/>
      <c r="J10330" s="81"/>
      <c r="K10330" s="81"/>
      <c r="L10330" s="81"/>
      <c r="M10330" s="81"/>
      <c r="N10330" s="81"/>
    </row>
    <row r="10331" spans="1:14" ht="14.25" customHeight="1" x14ac:dyDescent="0.25">
      <c r="A10331" s="97" t="s">
        <v>548</v>
      </c>
      <c r="B10331" s="97"/>
      <c r="C10331" s="109"/>
      <c r="D10331" s="110"/>
      <c r="E10331" s="111"/>
      <c r="F10331" s="112">
        <f>SUM(F10325:F10330)</f>
        <v>153562.5</v>
      </c>
      <c r="G10331" s="81"/>
      <c r="H10331" s="81"/>
      <c r="I10331" s="81"/>
      <c r="J10331" s="81"/>
      <c r="K10331" s="81"/>
      <c r="L10331" s="81"/>
      <c r="M10331" s="81"/>
      <c r="N10331" s="81"/>
    </row>
    <row r="10332" spans="1:14" ht="14.25" customHeight="1" x14ac:dyDescent="0.25">
      <c r="A10332" s="88"/>
      <c r="B10332" s="88"/>
      <c r="C10332" s="113"/>
      <c r="D10332" s="113"/>
      <c r="E10332" s="114"/>
      <c r="F10332" s="113"/>
      <c r="G10332" s="81"/>
      <c r="H10332" s="81"/>
      <c r="I10332" s="81"/>
      <c r="J10332" s="81"/>
      <c r="K10332" s="81"/>
      <c r="L10332" s="81"/>
      <c r="M10332" s="81"/>
      <c r="N10332" s="81"/>
    </row>
    <row r="10333" spans="1:14" ht="14.25" customHeight="1" x14ac:dyDescent="0.25">
      <c r="A10333" s="96" t="s">
        <v>573</v>
      </c>
      <c r="B10333" s="96"/>
      <c r="C10333" s="92"/>
      <c r="D10333" s="92"/>
      <c r="E10333" s="92"/>
      <c r="F10333" s="92"/>
      <c r="G10333" s="81"/>
      <c r="H10333" s="81"/>
      <c r="I10333" s="81"/>
      <c r="J10333" s="81"/>
      <c r="K10333" s="81"/>
      <c r="L10333" s="81"/>
      <c r="M10333" s="81"/>
      <c r="N10333" s="81"/>
    </row>
    <row r="10334" spans="1:14" ht="14.25" customHeight="1" x14ac:dyDescent="0.25">
      <c r="A10334" s="611" t="s">
        <v>563</v>
      </c>
      <c r="B10334" s="608"/>
      <c r="C10334" s="609"/>
      <c r="D10334" s="98" t="s">
        <v>574</v>
      </c>
      <c r="E10334" s="98" t="s">
        <v>575</v>
      </c>
      <c r="F10334" s="98" t="s">
        <v>568</v>
      </c>
      <c r="G10334" s="81"/>
      <c r="H10334" s="81"/>
      <c r="I10334" s="81"/>
      <c r="J10334" s="81"/>
      <c r="K10334" s="81"/>
      <c r="L10334" s="81"/>
      <c r="M10334" s="81"/>
      <c r="N10334" s="81"/>
    </row>
    <row r="10335" spans="1:14" ht="14.25" customHeight="1" x14ac:dyDescent="0.25">
      <c r="A10335" s="607" t="s">
        <v>577</v>
      </c>
      <c r="B10335" s="608"/>
      <c r="C10335" s="609"/>
      <c r="D10335" s="116"/>
      <c r="E10335" s="107"/>
      <c r="F10335" s="106">
        <v>765</v>
      </c>
      <c r="G10335" s="81"/>
      <c r="H10335" s="81"/>
      <c r="I10335" s="81"/>
      <c r="J10335" s="81"/>
      <c r="K10335" s="81"/>
      <c r="L10335" s="81"/>
      <c r="M10335" s="81"/>
      <c r="N10335" s="81"/>
    </row>
    <row r="10336" spans="1:14" ht="14.25" customHeight="1" x14ac:dyDescent="0.25">
      <c r="A10336" s="607" t="s">
        <v>845</v>
      </c>
      <c r="B10336" s="608"/>
      <c r="C10336" s="609"/>
      <c r="D10336" s="142">
        <v>150000</v>
      </c>
      <c r="E10336" s="144">
        <v>25</v>
      </c>
      <c r="F10336" s="106">
        <f t="shared" ref="F10336:F10338" si="512">D10336/E10336</f>
        <v>6000</v>
      </c>
      <c r="G10336" s="81"/>
      <c r="H10336" s="81"/>
      <c r="I10336" s="81"/>
      <c r="J10336" s="81"/>
      <c r="K10336" s="81"/>
      <c r="L10336" s="81"/>
      <c r="M10336" s="81"/>
      <c r="N10336" s="81"/>
    </row>
    <row r="10337" spans="1:14" ht="14.25" customHeight="1" x14ac:dyDescent="0.25">
      <c r="A10337" s="607" t="s">
        <v>846</v>
      </c>
      <c r="B10337" s="608"/>
      <c r="C10337" s="609"/>
      <c r="D10337" s="142">
        <v>63500</v>
      </c>
      <c r="E10337" s="144">
        <v>25</v>
      </c>
      <c r="F10337" s="106">
        <f t="shared" si="512"/>
        <v>2540</v>
      </c>
      <c r="G10337" s="81"/>
      <c r="H10337" s="81"/>
      <c r="I10337" s="81"/>
      <c r="J10337" s="81"/>
      <c r="K10337" s="81"/>
      <c r="L10337" s="81"/>
      <c r="M10337" s="81"/>
      <c r="N10337" s="81"/>
    </row>
    <row r="10338" spans="1:14" ht="14.25" customHeight="1" x14ac:dyDescent="0.25">
      <c r="A10338" s="607" t="s">
        <v>613</v>
      </c>
      <c r="B10338" s="608"/>
      <c r="C10338" s="609"/>
      <c r="D10338" s="142">
        <v>100000</v>
      </c>
      <c r="E10338" s="144">
        <v>10</v>
      </c>
      <c r="F10338" s="106">
        <f t="shared" si="512"/>
        <v>10000</v>
      </c>
      <c r="G10338" s="81"/>
      <c r="H10338" s="81"/>
      <c r="I10338" s="81"/>
      <c r="J10338" s="81"/>
      <c r="K10338" s="81"/>
      <c r="L10338" s="81"/>
      <c r="M10338" s="81"/>
      <c r="N10338" s="81"/>
    </row>
    <row r="10339" spans="1:14" ht="14.25" customHeight="1" x14ac:dyDescent="0.25">
      <c r="A10339" s="282" t="s">
        <v>1333</v>
      </c>
      <c r="B10339" s="283"/>
      <c r="C10339" s="284"/>
      <c r="D10339" s="142">
        <v>85000</v>
      </c>
      <c r="E10339" s="144">
        <v>25</v>
      </c>
      <c r="F10339" s="106">
        <f t="shared" ref="F10339:F10340" si="513">D10339/E10339</f>
        <v>3400</v>
      </c>
      <c r="G10339" s="81"/>
      <c r="H10339" s="81"/>
      <c r="I10339" s="81"/>
      <c r="J10339" s="81"/>
      <c r="K10339" s="81"/>
      <c r="L10339" s="81"/>
      <c r="M10339" s="81"/>
      <c r="N10339" s="81"/>
    </row>
    <row r="10340" spans="1:14" ht="14.25" customHeight="1" x14ac:dyDescent="0.25">
      <c r="A10340" s="607" t="s">
        <v>847</v>
      </c>
      <c r="B10340" s="608"/>
      <c r="C10340" s="609"/>
      <c r="D10340" s="142">
        <v>180000</v>
      </c>
      <c r="E10340" s="144">
        <v>30</v>
      </c>
      <c r="F10340" s="106">
        <f t="shared" si="513"/>
        <v>6000</v>
      </c>
      <c r="G10340" s="81"/>
      <c r="H10340" s="81"/>
      <c r="I10340" s="81"/>
      <c r="J10340" s="81"/>
      <c r="K10340" s="81"/>
      <c r="L10340" s="81"/>
      <c r="M10340" s="81"/>
      <c r="N10340" s="81"/>
    </row>
    <row r="10341" spans="1:14" ht="14.25" customHeight="1" x14ac:dyDescent="0.25">
      <c r="A10341" s="607"/>
      <c r="B10341" s="608"/>
      <c r="C10341" s="609"/>
      <c r="D10341" s="142"/>
      <c r="E10341" s="144"/>
      <c r="F10341" s="106"/>
      <c r="G10341" s="81"/>
      <c r="H10341" s="81"/>
      <c r="I10341" s="81"/>
      <c r="J10341" s="81"/>
      <c r="K10341" s="81"/>
      <c r="L10341" s="81"/>
      <c r="M10341" s="81"/>
      <c r="N10341" s="81"/>
    </row>
    <row r="10342" spans="1:14" ht="14.25" customHeight="1" x14ac:dyDescent="0.25">
      <c r="A10342" s="607"/>
      <c r="B10342" s="608"/>
      <c r="C10342" s="609"/>
      <c r="D10342" s="142"/>
      <c r="E10342" s="107"/>
      <c r="F10342" s="106"/>
      <c r="G10342" s="81"/>
      <c r="H10342" s="81"/>
      <c r="I10342" s="81"/>
      <c r="J10342" s="81"/>
      <c r="K10342" s="81"/>
      <c r="L10342" s="81"/>
      <c r="M10342" s="81"/>
      <c r="N10342" s="81"/>
    </row>
    <row r="10343" spans="1:14" ht="14.25" customHeight="1" x14ac:dyDescent="0.25">
      <c r="A10343" s="610"/>
      <c r="B10343" s="608"/>
      <c r="C10343" s="609"/>
      <c r="D10343" s="115"/>
      <c r="E10343" s="107"/>
      <c r="F10343" s="106"/>
      <c r="G10343" s="81"/>
      <c r="H10343" s="81"/>
      <c r="I10343" s="81"/>
      <c r="J10343" s="81"/>
      <c r="K10343" s="81"/>
      <c r="L10343" s="81"/>
      <c r="M10343" s="81"/>
      <c r="N10343" s="81"/>
    </row>
    <row r="10344" spans="1:14" ht="14.25" customHeight="1" x14ac:dyDescent="0.25">
      <c r="A10344" s="611" t="s">
        <v>548</v>
      </c>
      <c r="B10344" s="608"/>
      <c r="C10344" s="609"/>
      <c r="D10344" s="110"/>
      <c r="E10344" s="110"/>
      <c r="F10344" s="112">
        <f>SUM(F10335:F10342)</f>
        <v>28705</v>
      </c>
      <c r="G10344" s="81"/>
      <c r="H10344" s="81"/>
      <c r="I10344" s="81"/>
      <c r="J10344" s="81"/>
      <c r="K10344" s="81"/>
      <c r="L10344" s="81"/>
      <c r="M10344" s="81"/>
      <c r="N10344" s="81"/>
    </row>
    <row r="10345" spans="1:14" ht="14.25" customHeight="1" x14ac:dyDescent="0.25">
      <c r="A10345" s="88"/>
      <c r="B10345" s="88"/>
      <c r="C10345" s="89"/>
      <c r="D10345" s="113"/>
      <c r="E10345" s="113"/>
      <c r="F10345" s="113"/>
      <c r="G10345" s="81"/>
      <c r="H10345" s="81"/>
      <c r="I10345" s="81"/>
      <c r="J10345" s="81"/>
      <c r="K10345" s="81"/>
      <c r="L10345" s="81"/>
      <c r="M10345" s="81"/>
      <c r="N10345" s="81"/>
    </row>
    <row r="10346" spans="1:14" ht="14.25" customHeight="1" x14ac:dyDescent="0.25">
      <c r="A10346" s="96" t="s">
        <v>578</v>
      </c>
      <c r="B10346" s="96"/>
      <c r="C10346" s="92"/>
      <c r="D10346" s="118"/>
      <c r="E10346" s="118"/>
      <c r="F10346" s="118"/>
      <c r="G10346" s="81"/>
      <c r="H10346" s="81"/>
      <c r="I10346" s="81"/>
      <c r="J10346" s="81"/>
      <c r="K10346" s="81"/>
      <c r="L10346" s="81"/>
      <c r="M10346" s="81"/>
      <c r="N10346" s="81"/>
    </row>
    <row r="10347" spans="1:14" ht="38.25" x14ac:dyDescent="0.25">
      <c r="A10347" s="119" t="s">
        <v>563</v>
      </c>
      <c r="B10347" s="120" t="s">
        <v>579</v>
      </c>
      <c r="C10347" s="120" t="s">
        <v>580</v>
      </c>
      <c r="D10347" s="121" t="s">
        <v>581</v>
      </c>
      <c r="E10347" s="121" t="s">
        <v>575</v>
      </c>
      <c r="F10347" s="121" t="s">
        <v>568</v>
      </c>
      <c r="G10347" s="81"/>
      <c r="H10347" s="117"/>
      <c r="I10347" s="81"/>
      <c r="J10347" s="81"/>
      <c r="K10347" s="81"/>
      <c r="L10347" s="81"/>
      <c r="M10347" s="81"/>
      <c r="N10347" s="81"/>
    </row>
    <row r="10348" spans="1:14" ht="14.25" customHeight="1" x14ac:dyDescent="0.25">
      <c r="A10348" s="122" t="s">
        <v>593</v>
      </c>
      <c r="B10348" s="127">
        <v>5</v>
      </c>
      <c r="C10348" s="101">
        <v>32688</v>
      </c>
      <c r="D10348" s="101">
        <f t="shared" ref="D10348:D10349" si="514">+C10348*1.7</f>
        <v>55569.599999999999</v>
      </c>
      <c r="E10348" s="107">
        <v>10</v>
      </c>
      <c r="F10348" s="106">
        <f t="shared" ref="F10348:F10349" si="515">+B10348*(D10348)/E10348</f>
        <v>27784.799999999999</v>
      </c>
      <c r="G10348" s="81"/>
      <c r="H10348" s="81"/>
      <c r="I10348" s="81"/>
      <c r="J10348" s="81"/>
      <c r="K10348" s="81"/>
      <c r="L10348" s="81"/>
      <c r="M10348" s="81"/>
      <c r="N10348" s="81"/>
    </row>
    <row r="10349" spans="1:14" ht="14.25" customHeight="1" x14ac:dyDescent="0.25">
      <c r="A10349" s="122" t="s">
        <v>594</v>
      </c>
      <c r="B10349" s="127">
        <v>2</v>
      </c>
      <c r="C10349" s="101">
        <v>52538</v>
      </c>
      <c r="D10349" s="101">
        <f t="shared" si="514"/>
        <v>89314.599999999991</v>
      </c>
      <c r="E10349" s="107">
        <f>E10348</f>
        <v>10</v>
      </c>
      <c r="F10349" s="106">
        <f t="shared" si="515"/>
        <v>17862.919999999998</v>
      </c>
      <c r="G10349" s="81"/>
      <c r="H10349" s="81"/>
      <c r="I10349" s="81"/>
      <c r="J10349" s="81"/>
      <c r="K10349" s="81"/>
      <c r="L10349" s="81"/>
      <c r="M10349" s="81"/>
      <c r="N10349" s="81"/>
    </row>
    <row r="10350" spans="1:14" ht="14.25" customHeight="1" x14ac:dyDescent="0.25">
      <c r="A10350" s="122"/>
      <c r="B10350" s="127"/>
      <c r="C10350" s="101"/>
      <c r="D10350" s="101"/>
      <c r="E10350" s="105"/>
      <c r="F10350" s="106"/>
      <c r="G10350" s="81"/>
      <c r="H10350" s="81"/>
      <c r="I10350" s="81"/>
      <c r="J10350" s="81"/>
      <c r="K10350" s="81"/>
      <c r="L10350" s="81"/>
      <c r="M10350" s="81"/>
      <c r="N10350" s="81"/>
    </row>
    <row r="10351" spans="1:14" ht="14.25" customHeight="1" x14ac:dyDescent="0.25">
      <c r="A10351" s="122"/>
      <c r="B10351" s="127"/>
      <c r="C10351" s="101"/>
      <c r="D10351" s="101"/>
      <c r="E10351" s="125"/>
      <c r="F10351" s="106"/>
      <c r="G10351" s="81"/>
      <c r="H10351" s="81"/>
      <c r="I10351" s="81"/>
      <c r="J10351" s="81"/>
      <c r="K10351" s="81"/>
      <c r="L10351" s="81"/>
      <c r="M10351" s="81"/>
      <c r="N10351" s="81"/>
    </row>
    <row r="10352" spans="1:14" ht="14.25" customHeight="1" x14ac:dyDescent="0.25">
      <c r="A10352" s="97" t="s">
        <v>548</v>
      </c>
      <c r="B10352" s="128"/>
      <c r="C10352" s="110"/>
      <c r="D10352" s="110"/>
      <c r="E10352" s="110"/>
      <c r="F10352" s="112">
        <f>SUM(F10348:F10351)</f>
        <v>45647.72</v>
      </c>
      <c r="G10352" s="81"/>
      <c r="H10352" s="81"/>
      <c r="I10352" s="81"/>
      <c r="J10352" s="81"/>
      <c r="K10352" s="81"/>
      <c r="L10352" s="81"/>
      <c r="M10352" s="81"/>
      <c r="N10352" s="81"/>
    </row>
    <row r="10353" spans="1:14" ht="14.25" customHeight="1" x14ac:dyDescent="0.25">
      <c r="A10353" s="96"/>
      <c r="B10353" s="129"/>
      <c r="C10353" s="118"/>
      <c r="D10353" s="118"/>
      <c r="E10353" s="118"/>
      <c r="F10353" s="118"/>
      <c r="G10353" s="81"/>
      <c r="H10353" s="81"/>
      <c r="I10353" s="81"/>
      <c r="J10353" s="81"/>
      <c r="K10353" s="81"/>
      <c r="L10353" s="81"/>
      <c r="M10353" s="81"/>
      <c r="N10353" s="81"/>
    </row>
    <row r="10354" spans="1:14" ht="14.25" customHeight="1" x14ac:dyDescent="0.25">
      <c r="A10354" s="95" t="s">
        <v>583</v>
      </c>
      <c r="B10354" s="96"/>
      <c r="C10354" s="92"/>
      <c r="D10354" s="92"/>
      <c r="E10354" s="92" t="s">
        <v>584</v>
      </c>
      <c r="F10354" s="92"/>
      <c r="G10354" s="81"/>
      <c r="H10354" s="81"/>
      <c r="I10354" s="81"/>
      <c r="J10354" s="81"/>
      <c r="K10354" s="81"/>
      <c r="L10354" s="81"/>
      <c r="M10354" s="81"/>
      <c r="N10354" s="81"/>
    </row>
    <row r="10355" spans="1:14" ht="14.25" customHeight="1" x14ac:dyDescent="0.25">
      <c r="A10355" s="97" t="s">
        <v>563</v>
      </c>
      <c r="B10355" s="98" t="s">
        <v>564</v>
      </c>
      <c r="C10355" s="98" t="s">
        <v>585</v>
      </c>
      <c r="D10355" s="98" t="s">
        <v>586</v>
      </c>
      <c r="E10355" s="120" t="s">
        <v>587</v>
      </c>
      <c r="F10355" s="98" t="s">
        <v>568</v>
      </c>
      <c r="G10355" s="81"/>
      <c r="H10355" s="81"/>
      <c r="I10355" s="81"/>
      <c r="J10355" s="81"/>
      <c r="K10355" s="81"/>
      <c r="L10355" s="81"/>
      <c r="M10355" s="81"/>
      <c r="N10355" s="81"/>
    </row>
    <row r="10356" spans="1:14" ht="14.25" customHeight="1" x14ac:dyDescent="0.25">
      <c r="A10356" s="103" t="s">
        <v>1315</v>
      </c>
      <c r="B10356" s="100" t="s">
        <v>1330</v>
      </c>
      <c r="C10356" s="101"/>
      <c r="D10356" s="140"/>
      <c r="E10356" s="107"/>
      <c r="F10356" s="109">
        <v>64000</v>
      </c>
      <c r="G10356" s="81"/>
      <c r="H10356" s="81"/>
      <c r="I10356" s="81"/>
      <c r="J10356" s="81"/>
      <c r="K10356" s="81"/>
      <c r="L10356" s="81"/>
      <c r="M10356" s="81"/>
      <c r="N10356" s="81"/>
    </row>
    <row r="10357" spans="1:14" ht="14.25" customHeight="1" x14ac:dyDescent="0.25">
      <c r="A10357" s="103"/>
      <c r="B10357" s="100"/>
      <c r="C10357" s="107"/>
      <c r="D10357" s="107"/>
      <c r="E10357" s="108"/>
      <c r="F10357" s="109"/>
      <c r="G10357" s="81"/>
      <c r="H10357" s="81"/>
      <c r="I10357" s="81"/>
      <c r="J10357" s="81"/>
      <c r="K10357" s="81"/>
      <c r="L10357" s="81"/>
      <c r="M10357" s="81"/>
      <c r="N10357" s="81"/>
    </row>
    <row r="10358" spans="1:14" ht="14.25" customHeight="1" x14ac:dyDescent="0.25">
      <c r="A10358" s="97" t="s">
        <v>548</v>
      </c>
      <c r="B10358" s="98"/>
      <c r="C10358" s="110"/>
      <c r="D10358" s="110"/>
      <c r="E10358" s="111"/>
      <c r="F10358" s="112">
        <f>SUM(F10356:F10357)</f>
        <v>64000</v>
      </c>
      <c r="G10358" s="81"/>
      <c r="H10358" s="81"/>
      <c r="I10358" s="81"/>
      <c r="J10358" s="81"/>
      <c r="K10358" s="81"/>
      <c r="L10358" s="81"/>
      <c r="M10358" s="81"/>
      <c r="N10358" s="81"/>
    </row>
    <row r="10359" spans="1:14" ht="14.25" customHeight="1" x14ac:dyDescent="0.25">
      <c r="A10359" s="88"/>
      <c r="B10359" s="89"/>
      <c r="C10359" s="113"/>
      <c r="D10359" s="113"/>
      <c r="E10359" s="114"/>
      <c r="F10359" s="113"/>
      <c r="G10359" s="81"/>
      <c r="H10359" s="81"/>
      <c r="I10359" s="81"/>
      <c r="J10359" s="81"/>
      <c r="K10359" s="81"/>
      <c r="L10359" s="81"/>
      <c r="M10359" s="81"/>
      <c r="N10359" s="81"/>
    </row>
    <row r="10360" spans="1:14" ht="14.25" customHeight="1" x14ac:dyDescent="0.25">
      <c r="A10360" s="88"/>
      <c r="B10360" s="89"/>
      <c r="C10360" s="113"/>
      <c r="D10360" s="113"/>
      <c r="E10360" s="114"/>
      <c r="F10360" s="113"/>
      <c r="G10360" s="81"/>
      <c r="H10360" s="81"/>
      <c r="I10360" s="81"/>
      <c r="J10360" s="81"/>
      <c r="K10360" s="81"/>
      <c r="L10360" s="81"/>
      <c r="M10360" s="81"/>
      <c r="N10360" s="81"/>
    </row>
    <row r="10361" spans="1:14" ht="14.25" customHeight="1" x14ac:dyDescent="0.25">
      <c r="A10361" s="612" t="s">
        <v>588</v>
      </c>
      <c r="B10361" s="608"/>
      <c r="C10361" s="608"/>
      <c r="D10361" s="608"/>
      <c r="E10361" s="609"/>
      <c r="F10361" s="131">
        <f>ROUND(F10331+F10344+F10352+F10358,0)</f>
        <v>291915</v>
      </c>
      <c r="G10361" s="81"/>
      <c r="H10361" s="81"/>
      <c r="I10361" s="81"/>
      <c r="J10361" s="81"/>
      <c r="K10361" s="81"/>
      <c r="L10361" s="81"/>
      <c r="M10361" s="81"/>
      <c r="N10361" s="81"/>
    </row>
    <row r="10362" spans="1:14" ht="14.25" customHeight="1" x14ac:dyDescent="0.25">
      <c r="A10362" s="612" t="s">
        <v>589</v>
      </c>
      <c r="B10362" s="608"/>
      <c r="C10362" s="608"/>
      <c r="D10362" s="608"/>
      <c r="E10362" s="609"/>
      <c r="F10362" s="132"/>
      <c r="G10362" s="81"/>
      <c r="H10362" s="81"/>
      <c r="I10362" s="81"/>
      <c r="J10362" s="81"/>
      <c r="K10362" s="81"/>
      <c r="L10362" s="81"/>
      <c r="M10362" s="81"/>
      <c r="N10362" s="81"/>
    </row>
    <row r="10363" spans="1:14" ht="14.25" customHeight="1" x14ac:dyDescent="0.25">
      <c r="A10363" s="146" t="s">
        <v>556</v>
      </c>
      <c r="B10363" s="147"/>
      <c r="C10363" s="147"/>
      <c r="D10363" s="147"/>
      <c r="E10363" s="148"/>
      <c r="F10363" s="133"/>
      <c r="G10363" s="81"/>
      <c r="H10363" s="81"/>
      <c r="I10363" s="81"/>
      <c r="J10363" s="81"/>
      <c r="K10363" s="81"/>
      <c r="L10363" s="81"/>
      <c r="M10363" s="81"/>
      <c r="N10363" s="81"/>
    </row>
    <row r="10364" spans="1:14" ht="14.25" customHeight="1" x14ac:dyDescent="0.25">
      <c r="A10364" s="134"/>
      <c r="B10364" s="135"/>
      <c r="C10364" s="135"/>
      <c r="D10364" s="135"/>
      <c r="E10364" s="135"/>
      <c r="F10364" s="136"/>
      <c r="G10364" s="81"/>
      <c r="H10364" s="81"/>
      <c r="I10364" s="81"/>
      <c r="J10364" s="81"/>
      <c r="K10364" s="81"/>
      <c r="L10364" s="81"/>
      <c r="M10364" s="81"/>
      <c r="N10364" s="81"/>
    </row>
    <row r="10365" spans="1:14" ht="14.25" customHeight="1" thickBot="1" x14ac:dyDescent="0.3">
      <c r="A10365" s="81"/>
      <c r="B10365" s="81"/>
      <c r="C10365" s="137"/>
      <c r="D10365" s="81"/>
      <c r="E10365" s="81"/>
      <c r="F10365" s="81"/>
      <c r="G10365" s="81"/>
      <c r="H10365" s="81"/>
      <c r="I10365" s="81"/>
      <c r="J10365" s="81"/>
      <c r="K10365" s="81"/>
      <c r="L10365" s="81"/>
      <c r="M10365" s="81"/>
      <c r="N10365" s="81"/>
    </row>
    <row r="10366" spans="1:14" ht="14.25" customHeight="1" x14ac:dyDescent="0.25">
      <c r="A10366" s="258"/>
      <c r="B10366" s="259"/>
      <c r="C10366" s="260"/>
      <c r="D10366" s="261"/>
      <c r="E10366" s="261"/>
      <c r="F10366" s="262"/>
      <c r="G10366" s="81"/>
      <c r="H10366" s="81"/>
      <c r="I10366" s="81"/>
      <c r="J10366" s="81"/>
      <c r="K10366" s="81"/>
      <c r="L10366" s="81"/>
      <c r="M10366" s="81"/>
      <c r="N10366" s="81"/>
    </row>
    <row r="10367" spans="1:14" ht="14.25" customHeight="1" x14ac:dyDescent="0.25">
      <c r="A10367" s="621"/>
      <c r="B10367" s="629"/>
      <c r="C10367" s="629"/>
      <c r="D10367" s="629"/>
      <c r="E10367" s="629"/>
      <c r="F10367" s="630"/>
      <c r="G10367" s="81"/>
      <c r="H10367" s="81"/>
      <c r="I10367" s="81"/>
      <c r="J10367" s="81"/>
      <c r="K10367" s="81"/>
      <c r="L10367" s="81"/>
      <c r="M10367" s="81"/>
      <c r="N10367" s="81"/>
    </row>
    <row r="10368" spans="1:14" ht="14.25" customHeight="1" x14ac:dyDescent="0.25">
      <c r="A10368" s="614" t="s">
        <v>561</v>
      </c>
      <c r="B10368" s="629"/>
      <c r="C10368" s="629"/>
      <c r="D10368" s="629"/>
      <c r="E10368" s="629"/>
      <c r="F10368" s="630"/>
      <c r="G10368" s="81"/>
      <c r="H10368" s="81"/>
      <c r="I10368" s="81"/>
      <c r="J10368" s="81"/>
      <c r="K10368" s="81"/>
      <c r="L10368" s="81"/>
      <c r="M10368" s="81"/>
      <c r="N10368" s="81"/>
    </row>
    <row r="10369" spans="1:14" ht="14.25" customHeight="1" thickBot="1" x14ac:dyDescent="0.3">
      <c r="A10369" s="617"/>
      <c r="B10369" s="631"/>
      <c r="C10369" s="631"/>
      <c r="D10369" s="631"/>
      <c r="E10369" s="631"/>
      <c r="F10369" s="632"/>
      <c r="G10369" s="81"/>
      <c r="H10369" s="81"/>
      <c r="I10369" s="81"/>
      <c r="J10369" s="81"/>
      <c r="K10369" s="81"/>
      <c r="L10369" s="81"/>
      <c r="M10369" s="81"/>
      <c r="N10369" s="81"/>
    </row>
    <row r="10370" spans="1:14" ht="14.25" customHeight="1" x14ac:dyDescent="0.25">
      <c r="A10370" s="192"/>
      <c r="B10370" s="192"/>
      <c r="C10370" s="194"/>
      <c r="D10370" s="194"/>
      <c r="E10370" s="194"/>
      <c r="F10370" s="194"/>
      <c r="G10370" s="81"/>
      <c r="H10370" s="81"/>
      <c r="I10370" s="81"/>
      <c r="J10370" s="81"/>
      <c r="K10370" s="81"/>
      <c r="L10370" s="81"/>
      <c r="M10370" s="81"/>
      <c r="N10370" s="81"/>
    </row>
    <row r="10371" spans="1:14" ht="30.75" customHeight="1" x14ac:dyDescent="0.25">
      <c r="A10371" s="473" t="s">
        <v>47</v>
      </c>
      <c r="B10371" s="620" t="s">
        <v>1216</v>
      </c>
      <c r="C10371" s="629"/>
      <c r="D10371" s="629"/>
      <c r="E10371" s="629"/>
      <c r="F10371" s="629"/>
      <c r="G10371" s="81"/>
      <c r="H10371" s="81"/>
      <c r="I10371" s="81"/>
      <c r="J10371" s="81"/>
      <c r="K10371" s="81"/>
      <c r="L10371" s="81"/>
      <c r="M10371" s="81"/>
      <c r="N10371" s="81"/>
    </row>
    <row r="10372" spans="1:14" ht="14.25" customHeight="1" x14ac:dyDescent="0.25">
      <c r="A10372" s="191"/>
      <c r="B10372" s="191"/>
      <c r="C10372" s="191"/>
      <c r="D10372" s="191"/>
      <c r="E10372" s="191"/>
      <c r="F10372" s="191"/>
      <c r="G10372" s="81"/>
      <c r="H10372" s="81"/>
      <c r="I10372" s="81"/>
      <c r="J10372" s="81"/>
      <c r="K10372" s="81"/>
      <c r="L10372" s="81"/>
      <c r="M10372" s="81"/>
      <c r="N10372" s="81"/>
    </row>
    <row r="10373" spans="1:14" ht="14.25" customHeight="1" x14ac:dyDescent="0.25">
      <c r="A10373" s="192" t="s">
        <v>49</v>
      </c>
      <c r="B10373" s="193" t="s">
        <v>99</v>
      </c>
      <c r="C10373" s="194"/>
      <c r="D10373" s="194"/>
      <c r="E10373" s="194"/>
      <c r="F10373" s="195"/>
      <c r="G10373" s="81"/>
      <c r="H10373" s="81"/>
      <c r="I10373" s="81"/>
      <c r="J10373" s="81"/>
      <c r="K10373" s="81"/>
      <c r="L10373" s="81"/>
      <c r="M10373" s="81"/>
      <c r="N10373" s="81"/>
    </row>
    <row r="10374" spans="1:14" ht="14.25" customHeight="1" x14ac:dyDescent="0.25">
      <c r="A10374" s="192"/>
      <c r="B10374" s="196"/>
      <c r="C10374" s="194"/>
      <c r="D10374" s="194"/>
      <c r="E10374" s="194"/>
      <c r="F10374" s="195"/>
      <c r="G10374" s="81"/>
      <c r="H10374" s="81"/>
      <c r="I10374" s="81"/>
      <c r="J10374" s="81"/>
      <c r="K10374" s="81"/>
      <c r="L10374" s="81"/>
      <c r="M10374" s="81"/>
      <c r="N10374" s="81"/>
    </row>
    <row r="10375" spans="1:14" ht="14.25" customHeight="1" x14ac:dyDescent="0.25">
      <c r="A10375" s="197" t="s">
        <v>562</v>
      </c>
      <c r="B10375" s="198"/>
      <c r="C10375" s="193"/>
      <c r="D10375" s="193"/>
      <c r="E10375" s="193"/>
      <c r="F10375" s="193"/>
      <c r="G10375" s="81"/>
      <c r="H10375" s="81"/>
      <c r="I10375" s="81"/>
      <c r="J10375" s="81"/>
      <c r="K10375" s="81"/>
      <c r="L10375" s="81"/>
      <c r="M10375" s="81"/>
      <c r="N10375" s="81"/>
    </row>
    <row r="10376" spans="1:14" ht="14.25" customHeight="1" x14ac:dyDescent="0.25">
      <c r="A10376" s="199" t="s">
        <v>563</v>
      </c>
      <c r="B10376" s="474" t="s">
        <v>564</v>
      </c>
      <c r="C10376" s="474" t="s">
        <v>565</v>
      </c>
      <c r="D10376" s="474" t="s">
        <v>566</v>
      </c>
      <c r="E10376" s="474" t="s">
        <v>567</v>
      </c>
      <c r="F10376" s="474" t="s">
        <v>568</v>
      </c>
      <c r="G10376" s="81"/>
      <c r="H10376" s="81"/>
      <c r="I10376" s="81"/>
      <c r="J10376" s="81"/>
      <c r="K10376" s="81"/>
      <c r="L10376" s="81"/>
      <c r="M10376" s="81"/>
      <c r="N10376" s="81"/>
    </row>
    <row r="10377" spans="1:14" ht="14.25" customHeight="1" x14ac:dyDescent="0.25">
      <c r="A10377" s="475" t="s">
        <v>1423</v>
      </c>
      <c r="B10377" s="476" t="s">
        <v>59</v>
      </c>
      <c r="C10377" s="477">
        <v>26000</v>
      </c>
      <c r="D10377" s="478">
        <v>3.5</v>
      </c>
      <c r="E10377" s="479">
        <v>5</v>
      </c>
      <c r="F10377" s="477">
        <f t="shared" ref="F10377:F10382" si="516">C10377*(D10377+(D10377*E10377))</f>
        <v>546000</v>
      </c>
      <c r="G10377" s="81"/>
      <c r="H10377" s="81"/>
      <c r="I10377" s="81"/>
      <c r="J10377" s="81"/>
      <c r="K10377" s="81"/>
      <c r="L10377" s="81"/>
      <c r="M10377" s="81"/>
      <c r="N10377" s="81"/>
    </row>
    <row r="10378" spans="1:14" ht="14.25" customHeight="1" x14ac:dyDescent="0.25">
      <c r="A10378" s="475" t="s">
        <v>1424</v>
      </c>
      <c r="B10378" s="476" t="s">
        <v>99</v>
      </c>
      <c r="C10378" s="477">
        <v>46250</v>
      </c>
      <c r="D10378" s="478">
        <v>5</v>
      </c>
      <c r="E10378" s="479"/>
      <c r="F10378" s="477">
        <f t="shared" si="516"/>
        <v>231250</v>
      </c>
      <c r="G10378" s="81"/>
      <c r="H10378" s="81"/>
      <c r="I10378" s="81"/>
      <c r="J10378" s="81"/>
      <c r="K10378" s="81"/>
      <c r="L10378" s="81"/>
      <c r="M10378" s="81"/>
      <c r="N10378" s="81"/>
    </row>
    <row r="10379" spans="1:14" ht="14.25" customHeight="1" x14ac:dyDescent="0.25">
      <c r="A10379" s="475" t="s">
        <v>1425</v>
      </c>
      <c r="B10379" s="476" t="s">
        <v>99</v>
      </c>
      <c r="C10379" s="477">
        <v>72500</v>
      </c>
      <c r="D10379" s="478">
        <v>5</v>
      </c>
      <c r="E10379" s="479"/>
      <c r="F10379" s="477">
        <f t="shared" si="516"/>
        <v>362500</v>
      </c>
      <c r="G10379" s="81"/>
      <c r="H10379" s="81"/>
      <c r="I10379" s="81"/>
      <c r="J10379" s="81"/>
      <c r="K10379" s="81"/>
      <c r="L10379" s="81"/>
      <c r="M10379" s="81"/>
      <c r="N10379" s="81"/>
    </row>
    <row r="10380" spans="1:14" ht="14.25" customHeight="1" x14ac:dyDescent="0.25">
      <c r="A10380" s="475" t="s">
        <v>1426</v>
      </c>
      <c r="B10380" s="476" t="s">
        <v>99</v>
      </c>
      <c r="C10380" s="477">
        <v>10500</v>
      </c>
      <c r="D10380" s="478">
        <v>5</v>
      </c>
      <c r="E10380" s="479"/>
      <c r="F10380" s="477">
        <f t="shared" si="516"/>
        <v>52500</v>
      </c>
      <c r="G10380" s="81"/>
      <c r="H10380" s="81"/>
      <c r="I10380" s="81"/>
      <c r="J10380" s="81"/>
      <c r="K10380" s="81"/>
      <c r="L10380" s="81"/>
      <c r="M10380" s="81"/>
      <c r="N10380" s="81"/>
    </row>
    <row r="10381" spans="1:14" ht="14.25" customHeight="1" x14ac:dyDescent="0.25">
      <c r="A10381" s="475" t="s">
        <v>931</v>
      </c>
      <c r="B10381" s="476" t="s">
        <v>99</v>
      </c>
      <c r="C10381" s="477">
        <v>22000</v>
      </c>
      <c r="D10381" s="478">
        <v>2</v>
      </c>
      <c r="E10381" s="479">
        <v>0.05</v>
      </c>
      <c r="F10381" s="477">
        <f t="shared" si="516"/>
        <v>46200</v>
      </c>
      <c r="G10381" s="81"/>
      <c r="H10381" s="81"/>
      <c r="I10381" s="81"/>
      <c r="J10381" s="81"/>
      <c r="K10381" s="81"/>
      <c r="L10381" s="81"/>
      <c r="M10381" s="81"/>
      <c r="N10381" s="81"/>
    </row>
    <row r="10382" spans="1:14" ht="14.25" customHeight="1" x14ac:dyDescent="0.25">
      <c r="A10382" s="475" t="s">
        <v>1427</v>
      </c>
      <c r="B10382" s="476" t="s">
        <v>59</v>
      </c>
      <c r="C10382" s="477">
        <v>10250</v>
      </c>
      <c r="D10382" s="478">
        <v>30</v>
      </c>
      <c r="E10382" s="479">
        <v>0.05</v>
      </c>
      <c r="F10382" s="477">
        <f t="shared" si="516"/>
        <v>322875</v>
      </c>
      <c r="G10382" s="81"/>
      <c r="H10382" s="81"/>
      <c r="I10382" s="81"/>
      <c r="J10382" s="81"/>
      <c r="K10382" s="81"/>
      <c r="L10382" s="81"/>
      <c r="M10382" s="81"/>
      <c r="N10382" s="81"/>
    </row>
    <row r="10383" spans="1:14" ht="14.25" customHeight="1" x14ac:dyDescent="0.25">
      <c r="A10383" s="475"/>
      <c r="B10383" s="476"/>
      <c r="C10383" s="483"/>
      <c r="D10383" s="484"/>
      <c r="E10383" s="485"/>
      <c r="F10383" s="483"/>
      <c r="G10383" s="81"/>
      <c r="H10383" s="81"/>
      <c r="I10383" s="81"/>
      <c r="J10383" s="81"/>
      <c r="K10383" s="81"/>
      <c r="L10383" s="81"/>
      <c r="M10383" s="81"/>
      <c r="N10383" s="81"/>
    </row>
    <row r="10384" spans="1:14" ht="14.25" customHeight="1" x14ac:dyDescent="0.25">
      <c r="A10384" s="199" t="s">
        <v>548</v>
      </c>
      <c r="B10384" s="199"/>
      <c r="C10384" s="486"/>
      <c r="D10384" s="487"/>
      <c r="E10384" s="488"/>
      <c r="F10384" s="489">
        <f>SUM(F10377:F10383)</f>
        <v>1561325</v>
      </c>
      <c r="G10384" s="81"/>
      <c r="H10384" s="81"/>
      <c r="I10384" s="81"/>
      <c r="J10384" s="81"/>
      <c r="K10384" s="81"/>
      <c r="L10384" s="81"/>
      <c r="M10384" s="81"/>
      <c r="N10384" s="81"/>
    </row>
    <row r="10385" spans="1:14" ht="14.25" customHeight="1" x14ac:dyDescent="0.25">
      <c r="A10385" s="192"/>
      <c r="B10385" s="192"/>
      <c r="C10385" s="215"/>
      <c r="D10385" s="215"/>
      <c r="E10385" s="216"/>
      <c r="F10385" s="215"/>
      <c r="G10385" s="81"/>
      <c r="H10385" s="81"/>
      <c r="I10385" s="81"/>
      <c r="J10385" s="81"/>
      <c r="K10385" s="81"/>
      <c r="L10385" s="81"/>
      <c r="M10385" s="81"/>
      <c r="N10385" s="81"/>
    </row>
    <row r="10386" spans="1:14" ht="14.25" customHeight="1" x14ac:dyDescent="0.25">
      <c r="A10386" s="198" t="s">
        <v>573</v>
      </c>
      <c r="B10386" s="198"/>
      <c r="C10386" s="193"/>
      <c r="D10386" s="193"/>
      <c r="E10386" s="193"/>
      <c r="F10386" s="193"/>
      <c r="G10386" s="81"/>
      <c r="H10386" s="81"/>
      <c r="I10386" s="81"/>
      <c r="J10386" s="81"/>
      <c r="K10386" s="81"/>
      <c r="L10386" s="81"/>
      <c r="M10386" s="81"/>
      <c r="N10386" s="81"/>
    </row>
    <row r="10387" spans="1:14" ht="14.25" customHeight="1" x14ac:dyDescent="0.25">
      <c r="A10387" s="585" t="s">
        <v>563</v>
      </c>
      <c r="B10387" s="586"/>
      <c r="C10387" s="587"/>
      <c r="D10387" s="474" t="s">
        <v>574</v>
      </c>
      <c r="E10387" s="474" t="s">
        <v>575</v>
      </c>
      <c r="F10387" s="474" t="s">
        <v>568</v>
      </c>
      <c r="G10387" s="81"/>
      <c r="H10387" s="81"/>
      <c r="I10387" s="81"/>
      <c r="J10387" s="81"/>
      <c r="K10387" s="81"/>
      <c r="L10387" s="81"/>
      <c r="M10387" s="81"/>
      <c r="N10387" s="81"/>
    </row>
    <row r="10388" spans="1:14" ht="14.25" customHeight="1" x14ac:dyDescent="0.25">
      <c r="A10388" s="588" t="s">
        <v>577</v>
      </c>
      <c r="B10388" s="586"/>
      <c r="C10388" s="587"/>
      <c r="D10388" s="490"/>
      <c r="E10388" s="484"/>
      <c r="F10388" s="483">
        <f>+F10401*5%</f>
        <v>26936.338868006169</v>
      </c>
      <c r="G10388" s="81"/>
      <c r="H10388" s="81"/>
      <c r="I10388" s="81"/>
      <c r="J10388" s="81"/>
      <c r="K10388" s="81"/>
      <c r="L10388" s="81"/>
      <c r="M10388" s="81"/>
      <c r="N10388" s="81"/>
    </row>
    <row r="10389" spans="1:14" ht="14.25" customHeight="1" x14ac:dyDescent="0.25">
      <c r="A10389" s="588"/>
      <c r="B10389" s="586"/>
      <c r="C10389" s="587"/>
      <c r="D10389" s="505"/>
      <c r="E10389" s="484"/>
      <c r="F10389" s="483"/>
      <c r="G10389" s="81"/>
      <c r="H10389" s="81"/>
      <c r="I10389" s="81"/>
      <c r="J10389" s="81"/>
      <c r="K10389" s="81"/>
      <c r="L10389" s="81"/>
      <c r="M10389" s="81"/>
      <c r="N10389" s="81"/>
    </row>
    <row r="10390" spans="1:14" ht="14.25" customHeight="1" x14ac:dyDescent="0.25">
      <c r="A10390" s="588"/>
      <c r="B10390" s="586"/>
      <c r="C10390" s="587"/>
      <c r="D10390" s="505"/>
      <c r="E10390" s="484"/>
      <c r="F10390" s="483"/>
      <c r="G10390" s="81"/>
      <c r="H10390" s="81"/>
      <c r="I10390" s="81"/>
      <c r="J10390" s="81"/>
      <c r="K10390" s="81"/>
      <c r="L10390" s="81"/>
      <c r="M10390" s="81"/>
      <c r="N10390" s="81"/>
    </row>
    <row r="10391" spans="1:14" ht="14.25" customHeight="1" x14ac:dyDescent="0.25">
      <c r="A10391" s="588"/>
      <c r="B10391" s="586"/>
      <c r="C10391" s="587"/>
      <c r="D10391" s="505"/>
      <c r="E10391" s="484"/>
      <c r="F10391" s="483"/>
      <c r="G10391" s="81"/>
      <c r="H10391" s="81"/>
      <c r="I10391" s="81"/>
      <c r="J10391" s="81"/>
      <c r="K10391" s="81"/>
      <c r="L10391" s="81"/>
      <c r="M10391" s="81"/>
      <c r="N10391" s="81"/>
    </row>
    <row r="10392" spans="1:14" ht="14.25" customHeight="1" x14ac:dyDescent="0.25">
      <c r="A10392" s="589"/>
      <c r="B10392" s="586"/>
      <c r="C10392" s="587"/>
      <c r="D10392" s="491"/>
      <c r="E10392" s="484"/>
      <c r="F10392" s="483"/>
      <c r="G10392" s="81"/>
      <c r="H10392" s="81"/>
      <c r="I10392" s="81"/>
      <c r="J10392" s="81"/>
      <c r="K10392" s="81"/>
      <c r="L10392" s="81"/>
      <c r="M10392" s="81"/>
      <c r="N10392" s="81"/>
    </row>
    <row r="10393" spans="1:14" ht="14.25" customHeight="1" x14ac:dyDescent="0.25">
      <c r="A10393" s="585" t="s">
        <v>548</v>
      </c>
      <c r="B10393" s="586"/>
      <c r="C10393" s="587"/>
      <c r="D10393" s="487"/>
      <c r="E10393" s="487"/>
      <c r="F10393" s="489">
        <f>SUM(F10388:F10392)</f>
        <v>26936.338868006169</v>
      </c>
      <c r="G10393" s="81"/>
      <c r="H10393" s="81"/>
      <c r="I10393" s="81"/>
      <c r="J10393" s="81"/>
      <c r="K10393" s="81"/>
      <c r="L10393" s="81"/>
      <c r="M10393" s="81"/>
      <c r="N10393" s="81"/>
    </row>
    <row r="10394" spans="1:14" ht="14.25" customHeight="1" x14ac:dyDescent="0.25">
      <c r="A10394" s="192"/>
      <c r="B10394" s="192"/>
      <c r="C10394" s="194"/>
      <c r="D10394" s="215"/>
      <c r="E10394" s="215"/>
      <c r="F10394" s="215"/>
      <c r="G10394" s="81"/>
      <c r="H10394" s="81"/>
      <c r="I10394" s="81"/>
      <c r="J10394" s="81"/>
      <c r="K10394" s="81"/>
      <c r="L10394" s="81"/>
      <c r="M10394" s="81"/>
      <c r="N10394" s="81"/>
    </row>
    <row r="10395" spans="1:14" ht="14.25" customHeight="1" x14ac:dyDescent="0.25">
      <c r="A10395" s="198" t="s">
        <v>578</v>
      </c>
      <c r="B10395" s="198"/>
      <c r="C10395" s="193"/>
      <c r="D10395" s="223"/>
      <c r="E10395" s="223"/>
      <c r="F10395" s="223"/>
      <c r="G10395" s="81"/>
      <c r="H10395" s="81"/>
      <c r="I10395" s="81"/>
      <c r="J10395" s="81"/>
      <c r="K10395" s="81"/>
      <c r="L10395" s="81"/>
      <c r="M10395" s="81"/>
      <c r="N10395" s="81"/>
    </row>
    <row r="10396" spans="1:14" ht="38.25" x14ac:dyDescent="0.25">
      <c r="A10396" s="224" t="s">
        <v>563</v>
      </c>
      <c r="B10396" s="492" t="s">
        <v>579</v>
      </c>
      <c r="C10396" s="492" t="s">
        <v>580</v>
      </c>
      <c r="D10396" s="493" t="s">
        <v>581</v>
      </c>
      <c r="E10396" s="493" t="s">
        <v>575</v>
      </c>
      <c r="F10396" s="493" t="s">
        <v>568</v>
      </c>
      <c r="G10396" s="81"/>
      <c r="H10396" s="81"/>
      <c r="I10396" s="81"/>
      <c r="J10396" s="81"/>
      <c r="K10396" s="81"/>
      <c r="L10396" s="81"/>
      <c r="M10396" s="81"/>
      <c r="N10396" s="81"/>
    </row>
    <row r="10397" spans="1:14" ht="14.25" customHeight="1" x14ac:dyDescent="0.25">
      <c r="A10397" s="494" t="s">
        <v>916</v>
      </c>
      <c r="B10397" s="495">
        <v>1</v>
      </c>
      <c r="C10397" s="477">
        <v>35956.800000000003</v>
      </c>
      <c r="D10397" s="477">
        <f t="shared" ref="D10397:D10398" si="517">+C10397*1.7</f>
        <v>61126.560000000005</v>
      </c>
      <c r="E10397" s="484">
        <v>0.29583199999999998</v>
      </c>
      <c r="F10397" s="483">
        <f t="shared" ref="F10397:F10398" si="518">+B10397*(D10397)/E10397</f>
        <v>206625.92282106064</v>
      </c>
      <c r="G10397" s="81"/>
      <c r="H10397" s="81"/>
      <c r="I10397" s="81"/>
      <c r="J10397" s="81"/>
      <c r="K10397" s="81"/>
      <c r="L10397" s="81"/>
      <c r="M10397" s="81"/>
      <c r="N10397" s="81"/>
    </row>
    <row r="10398" spans="1:14" ht="14.25" customHeight="1" x14ac:dyDescent="0.25">
      <c r="A10398" s="494" t="s">
        <v>917</v>
      </c>
      <c r="B10398" s="495">
        <v>1</v>
      </c>
      <c r="C10398" s="477">
        <v>57791.8</v>
      </c>
      <c r="D10398" s="477">
        <f t="shared" si="517"/>
        <v>98246.06</v>
      </c>
      <c r="E10398" s="484">
        <f>E10397</f>
        <v>0.29583199999999998</v>
      </c>
      <c r="F10398" s="483">
        <f t="shared" si="518"/>
        <v>332100.85453906271</v>
      </c>
      <c r="G10398" s="81"/>
      <c r="H10398" s="81"/>
      <c r="I10398" s="81"/>
      <c r="J10398" s="81"/>
      <c r="K10398" s="81"/>
      <c r="L10398" s="81"/>
      <c r="M10398" s="81"/>
      <c r="N10398" s="81"/>
    </row>
    <row r="10399" spans="1:14" ht="14.25" customHeight="1" x14ac:dyDescent="0.25">
      <c r="A10399" s="494"/>
      <c r="B10399" s="495"/>
      <c r="C10399" s="477"/>
      <c r="D10399" s="477"/>
      <c r="E10399" s="484"/>
      <c r="F10399" s="483"/>
      <c r="G10399" s="81"/>
      <c r="H10399" s="81"/>
      <c r="I10399" s="81"/>
      <c r="J10399" s="81"/>
      <c r="K10399" s="81"/>
      <c r="L10399" s="81"/>
      <c r="M10399" s="81"/>
      <c r="N10399" s="81"/>
    </row>
    <row r="10400" spans="1:14" ht="14.25" customHeight="1" x14ac:dyDescent="0.25">
      <c r="A10400" s="494"/>
      <c r="B10400" s="495"/>
      <c r="C10400" s="477"/>
      <c r="D10400" s="477"/>
      <c r="E10400" s="496"/>
      <c r="F10400" s="483"/>
      <c r="G10400" s="81"/>
      <c r="H10400" s="81"/>
      <c r="I10400" s="81"/>
      <c r="J10400" s="81"/>
      <c r="K10400" s="81"/>
      <c r="L10400" s="81"/>
      <c r="M10400" s="81"/>
      <c r="N10400" s="81"/>
    </row>
    <row r="10401" spans="1:14" ht="14.25" customHeight="1" x14ac:dyDescent="0.25">
      <c r="A10401" s="199" t="s">
        <v>548</v>
      </c>
      <c r="B10401" s="497"/>
      <c r="C10401" s="487"/>
      <c r="D10401" s="487"/>
      <c r="E10401" s="487"/>
      <c r="F10401" s="489">
        <f>SUM(F10397:F10400)</f>
        <v>538726.77736012335</v>
      </c>
      <c r="G10401" s="81"/>
      <c r="H10401" s="81"/>
      <c r="I10401" s="81"/>
      <c r="J10401" s="81"/>
      <c r="K10401" s="81"/>
      <c r="L10401" s="81"/>
      <c r="M10401" s="81"/>
      <c r="N10401" s="81"/>
    </row>
    <row r="10402" spans="1:14" ht="14.25" customHeight="1" x14ac:dyDescent="0.25">
      <c r="A10402" s="198"/>
      <c r="B10402" s="231"/>
      <c r="C10402" s="223"/>
      <c r="D10402" s="223"/>
      <c r="E10402" s="223"/>
      <c r="F10402" s="223"/>
      <c r="G10402" s="81"/>
      <c r="H10402" s="81"/>
      <c r="I10402" s="81"/>
      <c r="J10402" s="81"/>
      <c r="K10402" s="81"/>
      <c r="L10402" s="81"/>
      <c r="M10402" s="81"/>
      <c r="N10402" s="81"/>
    </row>
    <row r="10403" spans="1:14" ht="14.25" customHeight="1" x14ac:dyDescent="0.25">
      <c r="A10403" s="197" t="s">
        <v>583</v>
      </c>
      <c r="B10403" s="198"/>
      <c r="C10403" s="193"/>
      <c r="D10403" s="193"/>
      <c r="E10403" s="193" t="s">
        <v>584</v>
      </c>
      <c r="F10403" s="193"/>
      <c r="G10403" s="81"/>
      <c r="H10403" s="81"/>
      <c r="I10403" s="81"/>
      <c r="J10403" s="81"/>
      <c r="K10403" s="81"/>
      <c r="L10403" s="81"/>
      <c r="M10403" s="81"/>
      <c r="N10403" s="81"/>
    </row>
    <row r="10404" spans="1:14" ht="14.25" customHeight="1" x14ac:dyDescent="0.25">
      <c r="A10404" s="199" t="s">
        <v>563</v>
      </c>
      <c r="B10404" s="474" t="s">
        <v>564</v>
      </c>
      <c r="C10404" s="474" t="s">
        <v>585</v>
      </c>
      <c r="D10404" s="474" t="s">
        <v>586</v>
      </c>
      <c r="E10404" s="492" t="s">
        <v>587</v>
      </c>
      <c r="F10404" s="474" t="s">
        <v>568</v>
      </c>
      <c r="G10404" s="81"/>
      <c r="H10404" s="81"/>
      <c r="I10404" s="81"/>
      <c r="J10404" s="81"/>
      <c r="K10404" s="81"/>
      <c r="L10404" s="81"/>
      <c r="M10404" s="81"/>
      <c r="N10404" s="81"/>
    </row>
    <row r="10405" spans="1:14" ht="14.25" customHeight="1" x14ac:dyDescent="0.25">
      <c r="A10405" s="480"/>
      <c r="B10405" s="476"/>
      <c r="C10405" s="477"/>
      <c r="D10405" s="498"/>
      <c r="E10405" s="484"/>
      <c r="F10405" s="486">
        <f>+C10405*D10405*E10405</f>
        <v>0</v>
      </c>
      <c r="G10405" s="81"/>
      <c r="H10405" s="81"/>
      <c r="I10405" s="81"/>
      <c r="J10405" s="81"/>
      <c r="K10405" s="81"/>
      <c r="L10405" s="81"/>
      <c r="M10405" s="81"/>
      <c r="N10405" s="81"/>
    </row>
    <row r="10406" spans="1:14" ht="14.25" customHeight="1" x14ac:dyDescent="0.25">
      <c r="A10406" s="480"/>
      <c r="B10406" s="476"/>
      <c r="C10406" s="484"/>
      <c r="D10406" s="484"/>
      <c r="E10406" s="485"/>
      <c r="F10406" s="486"/>
      <c r="G10406" s="81"/>
      <c r="H10406" s="81"/>
      <c r="I10406" s="81"/>
      <c r="J10406" s="81"/>
      <c r="K10406" s="81"/>
      <c r="L10406" s="81"/>
      <c r="M10406" s="81"/>
      <c r="N10406" s="81"/>
    </row>
    <row r="10407" spans="1:14" ht="14.25" customHeight="1" x14ac:dyDescent="0.25">
      <c r="A10407" s="199" t="s">
        <v>548</v>
      </c>
      <c r="B10407" s="474"/>
      <c r="C10407" s="487"/>
      <c r="D10407" s="487"/>
      <c r="E10407" s="488"/>
      <c r="F10407" s="489">
        <f>SUM(F10405:F10406)</f>
        <v>0</v>
      </c>
      <c r="G10407" s="81"/>
      <c r="H10407" s="81"/>
      <c r="I10407" s="81"/>
      <c r="J10407" s="81"/>
      <c r="K10407" s="81"/>
      <c r="L10407" s="81"/>
      <c r="M10407" s="81"/>
      <c r="N10407" s="81"/>
    </row>
    <row r="10408" spans="1:14" ht="14.25" customHeight="1" x14ac:dyDescent="0.25">
      <c r="A10408" s="192"/>
      <c r="B10408" s="194"/>
      <c r="C10408" s="215"/>
      <c r="D10408" s="215"/>
      <c r="E10408" s="216"/>
      <c r="F10408" s="215"/>
      <c r="G10408" s="81"/>
      <c r="H10408" s="117"/>
      <c r="I10408" s="81"/>
      <c r="J10408" s="81"/>
      <c r="K10408" s="81"/>
      <c r="L10408" s="81"/>
      <c r="M10408" s="81"/>
      <c r="N10408" s="81"/>
    </row>
    <row r="10409" spans="1:14" ht="14.25" customHeight="1" x14ac:dyDescent="0.25">
      <c r="A10409" s="192"/>
      <c r="B10409" s="194"/>
      <c r="C10409" s="215"/>
      <c r="D10409" s="215"/>
      <c r="E10409" s="216"/>
      <c r="F10409" s="215"/>
      <c r="G10409" s="81"/>
      <c r="H10409" s="81"/>
      <c r="I10409" s="81"/>
      <c r="J10409" s="81"/>
      <c r="K10409" s="81"/>
      <c r="L10409" s="81"/>
      <c r="M10409" s="81"/>
      <c r="N10409" s="81"/>
    </row>
    <row r="10410" spans="1:14" ht="14.25" customHeight="1" x14ac:dyDescent="0.25">
      <c r="A10410" s="590" t="s">
        <v>588</v>
      </c>
      <c r="B10410" s="586"/>
      <c r="C10410" s="586"/>
      <c r="D10410" s="586"/>
      <c r="E10410" s="587"/>
      <c r="F10410" s="499">
        <f>ROUND(F10384+F10393+F10401+F10407,0)</f>
        <v>2126988</v>
      </c>
      <c r="G10410" s="81"/>
      <c r="H10410" s="81"/>
      <c r="I10410" s="81"/>
      <c r="J10410" s="81"/>
      <c r="K10410" s="81"/>
      <c r="L10410" s="81"/>
      <c r="M10410" s="81"/>
      <c r="N10410" s="81"/>
    </row>
    <row r="10411" spans="1:14" ht="14.25" customHeight="1" x14ac:dyDescent="0.25">
      <c r="A10411" s="590" t="s">
        <v>589</v>
      </c>
      <c r="B10411" s="586"/>
      <c r="C10411" s="586"/>
      <c r="D10411" s="586"/>
      <c r="E10411" s="587"/>
      <c r="F10411" s="500"/>
      <c r="G10411" s="81"/>
      <c r="H10411" s="81"/>
      <c r="I10411" s="81"/>
      <c r="J10411" s="81"/>
      <c r="K10411" s="81"/>
      <c r="L10411" s="81"/>
      <c r="M10411" s="81"/>
      <c r="N10411" s="81"/>
    </row>
    <row r="10412" spans="1:14" ht="14.25" customHeight="1" x14ac:dyDescent="0.25">
      <c r="A10412" s="300" t="s">
        <v>556</v>
      </c>
      <c r="B10412" s="506"/>
      <c r="C10412" s="506"/>
      <c r="D10412" s="506"/>
      <c r="E10412" s="507"/>
      <c r="F10412" s="501"/>
      <c r="G10412" s="81"/>
      <c r="H10412" s="81"/>
      <c r="I10412" s="81"/>
      <c r="J10412" s="81"/>
      <c r="K10412" s="81"/>
      <c r="L10412" s="81"/>
      <c r="M10412" s="81"/>
      <c r="N10412" s="81"/>
    </row>
    <row r="10413" spans="1:14" ht="14.25" customHeight="1" x14ac:dyDescent="0.25">
      <c r="A10413" s="301"/>
      <c r="B10413" s="502"/>
      <c r="C10413" s="502"/>
      <c r="D10413" s="502"/>
      <c r="E10413" s="502"/>
      <c r="F10413" s="503"/>
      <c r="G10413" s="81"/>
      <c r="H10413" s="81"/>
      <c r="I10413" s="81"/>
      <c r="J10413" s="81"/>
      <c r="K10413" s="81"/>
      <c r="L10413" s="81"/>
      <c r="M10413" s="81"/>
      <c r="N10413" s="81"/>
    </row>
    <row r="10414" spans="1:14" ht="14.25" customHeight="1" x14ac:dyDescent="0.25">
      <c r="A10414" s="301"/>
      <c r="B10414" s="502"/>
      <c r="C10414" s="502"/>
      <c r="D10414" s="502"/>
      <c r="E10414" s="502"/>
      <c r="F10414" s="503"/>
      <c r="G10414" s="81"/>
      <c r="H10414" s="81"/>
      <c r="I10414" s="81"/>
      <c r="J10414" s="81"/>
      <c r="K10414" s="81"/>
      <c r="L10414" s="81"/>
      <c r="M10414" s="81"/>
      <c r="N10414" s="81"/>
    </row>
    <row r="10415" spans="1:14" ht="14.25" customHeight="1" x14ac:dyDescent="0.25">
      <c r="A10415" s="301"/>
      <c r="B10415" s="502"/>
      <c r="C10415" s="502"/>
      <c r="D10415" s="502"/>
      <c r="E10415" s="502"/>
      <c r="F10415" s="503"/>
      <c r="G10415" s="81"/>
      <c r="H10415" s="81"/>
      <c r="I10415" s="81"/>
      <c r="J10415" s="81"/>
      <c r="K10415" s="81"/>
      <c r="L10415" s="81"/>
      <c r="M10415" s="81"/>
      <c r="N10415" s="81"/>
    </row>
    <row r="10416" spans="1:14" ht="14.25" customHeight="1" x14ac:dyDescent="0.25">
      <c r="A10416" s="243"/>
      <c r="B10416" s="243"/>
      <c r="C10416" s="504"/>
      <c r="D10416" s="243"/>
      <c r="E10416" s="243"/>
      <c r="F10416" s="243"/>
      <c r="G10416" s="81"/>
      <c r="H10416" s="81"/>
      <c r="I10416" s="81"/>
      <c r="J10416" s="81"/>
      <c r="K10416" s="81"/>
      <c r="L10416" s="81"/>
      <c r="M10416" s="81"/>
      <c r="N10416" s="81"/>
    </row>
    <row r="10417" spans="1:14" ht="14.25" customHeight="1" x14ac:dyDescent="0.25">
      <c r="A10417" s="243"/>
      <c r="B10417" s="243"/>
      <c r="C10417" s="504"/>
      <c r="D10417" s="243"/>
      <c r="E10417" s="243"/>
      <c r="F10417" s="243"/>
      <c r="G10417" s="81"/>
      <c r="H10417" s="81"/>
      <c r="I10417" s="81"/>
      <c r="J10417" s="81"/>
      <c r="K10417" s="81"/>
      <c r="L10417" s="81"/>
      <c r="M10417" s="81"/>
      <c r="N10417" s="81"/>
    </row>
    <row r="10418" spans="1:14" ht="14.25" customHeight="1" x14ac:dyDescent="0.25">
      <c r="A10418" s="243"/>
      <c r="B10418" s="243"/>
      <c r="C10418" s="504"/>
      <c r="D10418" s="243"/>
      <c r="E10418" s="243"/>
      <c r="F10418" s="243"/>
      <c r="G10418" s="81"/>
      <c r="H10418" s="81"/>
      <c r="I10418" s="81"/>
      <c r="J10418" s="81"/>
      <c r="K10418" s="81"/>
      <c r="L10418" s="81"/>
      <c r="M10418" s="81"/>
      <c r="N10418" s="81"/>
    </row>
    <row r="10419" spans="1:14" ht="14.25" customHeight="1" x14ac:dyDescent="0.25">
      <c r="A10419" s="243"/>
      <c r="B10419" s="243"/>
      <c r="C10419" s="504"/>
      <c r="D10419" s="243"/>
      <c r="E10419" s="243"/>
      <c r="F10419" s="243"/>
      <c r="G10419" s="81"/>
      <c r="H10419" s="81"/>
      <c r="I10419" s="81"/>
      <c r="J10419" s="81"/>
      <c r="K10419" s="81"/>
      <c r="L10419" s="81"/>
      <c r="M10419" s="81"/>
      <c r="N10419" s="81"/>
    </row>
    <row r="10420" spans="1:14" ht="14.25" customHeight="1" x14ac:dyDescent="0.25">
      <c r="A10420" s="243"/>
      <c r="B10420" s="243"/>
      <c r="C10420" s="504"/>
      <c r="D10420" s="243"/>
      <c r="E10420" s="243"/>
      <c r="F10420" s="243"/>
      <c r="G10420" s="81"/>
      <c r="H10420" s="81"/>
      <c r="I10420" s="81"/>
      <c r="J10420" s="81"/>
      <c r="K10420" s="81"/>
      <c r="L10420" s="81"/>
      <c r="M10420" s="81"/>
      <c r="N10420" s="81"/>
    </row>
    <row r="10421" spans="1:14" ht="14.25" customHeight="1" x14ac:dyDescent="0.25">
      <c r="A10421" s="243"/>
      <c r="B10421" s="243"/>
      <c r="C10421" s="504"/>
      <c r="D10421" s="243"/>
      <c r="E10421" s="243"/>
      <c r="F10421" s="243"/>
      <c r="G10421" s="81"/>
      <c r="H10421" s="81"/>
      <c r="I10421" s="81"/>
      <c r="J10421" s="81"/>
      <c r="K10421" s="81"/>
      <c r="L10421" s="81"/>
      <c r="M10421" s="81"/>
      <c r="N10421" s="81"/>
    </row>
    <row r="10422" spans="1:14" ht="14.25" customHeight="1" x14ac:dyDescent="0.25">
      <c r="A10422" s="243"/>
      <c r="B10422" s="243"/>
      <c r="C10422" s="504"/>
      <c r="D10422" s="243"/>
      <c r="E10422" s="243"/>
      <c r="F10422" s="243"/>
      <c r="G10422" s="81"/>
      <c r="H10422" s="81"/>
      <c r="I10422" s="81"/>
      <c r="J10422" s="81"/>
      <c r="K10422" s="81"/>
      <c r="L10422" s="81"/>
      <c r="M10422" s="81"/>
      <c r="N10422" s="81"/>
    </row>
    <row r="10423" spans="1:14" ht="14.25" customHeight="1" x14ac:dyDescent="0.25">
      <c r="A10423" s="243"/>
      <c r="B10423" s="243"/>
      <c r="C10423" s="504"/>
      <c r="D10423" s="243"/>
      <c r="E10423" s="243"/>
      <c r="F10423" s="243"/>
      <c r="G10423" s="81"/>
      <c r="H10423" s="81"/>
      <c r="I10423" s="81"/>
      <c r="J10423" s="81"/>
      <c r="K10423" s="81"/>
      <c r="L10423" s="81"/>
      <c r="M10423" s="81"/>
      <c r="N10423" s="81"/>
    </row>
    <row r="10424" spans="1:14" ht="14.25" customHeight="1" x14ac:dyDescent="0.25">
      <c r="A10424" s="243"/>
      <c r="B10424" s="243"/>
      <c r="C10424" s="504"/>
      <c r="D10424" s="243"/>
      <c r="E10424" s="243"/>
      <c r="F10424" s="243"/>
      <c r="G10424" s="81"/>
      <c r="H10424" s="81"/>
      <c r="I10424" s="81"/>
      <c r="J10424" s="81"/>
      <c r="K10424" s="81"/>
      <c r="L10424" s="81"/>
      <c r="M10424" s="81"/>
      <c r="N10424" s="81"/>
    </row>
    <row r="10425" spans="1:14" ht="14.25" customHeight="1" x14ac:dyDescent="0.25">
      <c r="A10425" s="243"/>
      <c r="B10425" s="243"/>
      <c r="C10425" s="504"/>
      <c r="D10425" s="243"/>
      <c r="E10425" s="243"/>
      <c r="F10425" s="243"/>
      <c r="G10425" s="81"/>
      <c r="H10425" s="81"/>
      <c r="I10425" s="81"/>
      <c r="J10425" s="81"/>
      <c r="K10425" s="81"/>
      <c r="L10425" s="81"/>
      <c r="M10425" s="81"/>
      <c r="N10425" s="81"/>
    </row>
    <row r="10426" spans="1:14" ht="14.25" customHeight="1" x14ac:dyDescent="0.25">
      <c r="A10426" s="301"/>
      <c r="B10426" s="502"/>
      <c r="C10426" s="502"/>
      <c r="D10426" s="502"/>
      <c r="E10426" s="502"/>
      <c r="F10426" s="503"/>
      <c r="G10426" s="81"/>
      <c r="H10426" s="81"/>
      <c r="I10426" s="81"/>
      <c r="J10426" s="81"/>
      <c r="K10426" s="81"/>
      <c r="L10426" s="81"/>
      <c r="M10426" s="81"/>
      <c r="N10426" s="81"/>
    </row>
    <row r="10427" spans="1:14" ht="14.25" customHeight="1" thickBot="1" x14ac:dyDescent="0.3">
      <c r="A10427" s="243"/>
      <c r="B10427" s="243"/>
      <c r="C10427" s="243"/>
      <c r="D10427" s="243"/>
      <c r="E10427" s="243"/>
      <c r="F10427" s="243"/>
      <c r="G10427" s="81"/>
      <c r="H10427" s="81"/>
      <c r="I10427" s="81"/>
      <c r="J10427" s="81"/>
      <c r="K10427" s="81"/>
      <c r="L10427" s="81"/>
      <c r="M10427" s="81"/>
      <c r="N10427" s="81"/>
    </row>
    <row r="10428" spans="1:14" ht="14.25" customHeight="1" x14ac:dyDescent="0.25">
      <c r="A10428" s="258"/>
      <c r="B10428" s="259"/>
      <c r="C10428" s="260"/>
      <c r="D10428" s="261"/>
      <c r="E10428" s="261"/>
      <c r="F10428" s="262"/>
      <c r="G10428" s="81"/>
      <c r="H10428" s="81"/>
      <c r="I10428" s="81"/>
      <c r="J10428" s="81"/>
      <c r="K10428" s="81"/>
      <c r="L10428" s="81"/>
      <c r="M10428" s="81"/>
      <c r="N10428" s="81"/>
    </row>
    <row r="10429" spans="1:14" ht="14.25" customHeight="1" x14ac:dyDescent="0.25">
      <c r="A10429" s="621"/>
      <c r="B10429" s="629"/>
      <c r="C10429" s="629"/>
      <c r="D10429" s="629"/>
      <c r="E10429" s="629"/>
      <c r="F10429" s="630"/>
      <c r="G10429" s="81"/>
      <c r="H10429" s="81"/>
      <c r="I10429" s="81"/>
      <c r="J10429" s="81"/>
      <c r="K10429" s="81"/>
      <c r="L10429" s="81"/>
      <c r="M10429" s="81"/>
      <c r="N10429" s="81"/>
    </row>
    <row r="10430" spans="1:14" ht="14.25" customHeight="1" x14ac:dyDescent="0.25">
      <c r="A10430" s="614" t="s">
        <v>561</v>
      </c>
      <c r="B10430" s="629"/>
      <c r="C10430" s="629"/>
      <c r="D10430" s="629"/>
      <c r="E10430" s="629"/>
      <c r="F10430" s="630"/>
      <c r="G10430" s="81"/>
      <c r="H10430" s="81"/>
      <c r="I10430" s="81"/>
      <c r="J10430" s="81"/>
      <c r="K10430" s="81"/>
      <c r="L10430" s="81"/>
      <c r="M10430" s="81"/>
      <c r="N10430" s="81"/>
    </row>
    <row r="10431" spans="1:14" ht="14.25" customHeight="1" thickBot="1" x14ac:dyDescent="0.3">
      <c r="A10431" s="617"/>
      <c r="B10431" s="631"/>
      <c r="C10431" s="631"/>
      <c r="D10431" s="631"/>
      <c r="E10431" s="631"/>
      <c r="F10431" s="632"/>
      <c r="G10431" s="81"/>
      <c r="H10431" s="81"/>
      <c r="I10431" s="81"/>
      <c r="J10431" s="81"/>
      <c r="K10431" s="81"/>
      <c r="L10431" s="81"/>
      <c r="M10431" s="81"/>
      <c r="N10431" s="81"/>
    </row>
    <row r="10432" spans="1:14" ht="14.25" customHeight="1" x14ac:dyDescent="0.25">
      <c r="A10432" s="192"/>
      <c r="B10432" s="192"/>
      <c r="C10432" s="194"/>
      <c r="D10432" s="194"/>
      <c r="E10432" s="194"/>
      <c r="F10432" s="194"/>
      <c r="G10432" s="81"/>
      <c r="H10432" s="81"/>
      <c r="I10432" s="81"/>
      <c r="J10432" s="81"/>
      <c r="K10432" s="81"/>
      <c r="L10432" s="81"/>
      <c r="M10432" s="81"/>
      <c r="N10432" s="81"/>
    </row>
    <row r="10433" spans="1:14" ht="14.25" customHeight="1" x14ac:dyDescent="0.25">
      <c r="A10433" s="473" t="s">
        <v>47</v>
      </c>
      <c r="B10433" s="620" t="s">
        <v>1217</v>
      </c>
      <c r="C10433" s="629"/>
      <c r="D10433" s="629"/>
      <c r="E10433" s="629"/>
      <c r="F10433" s="629"/>
      <c r="G10433" s="81"/>
      <c r="H10433" s="81"/>
      <c r="I10433" s="81"/>
      <c r="J10433" s="81"/>
      <c r="K10433" s="81"/>
      <c r="L10433" s="81"/>
      <c r="M10433" s="81"/>
      <c r="N10433" s="81"/>
    </row>
    <row r="10434" spans="1:14" ht="14.25" customHeight="1" x14ac:dyDescent="0.25">
      <c r="A10434" s="191"/>
      <c r="B10434" s="191"/>
      <c r="C10434" s="191"/>
      <c r="D10434" s="191"/>
      <c r="E10434" s="191"/>
      <c r="F10434" s="191"/>
      <c r="G10434" s="81"/>
      <c r="H10434" s="81"/>
      <c r="I10434" s="81"/>
      <c r="J10434" s="81"/>
      <c r="K10434" s="81"/>
      <c r="L10434" s="81"/>
      <c r="M10434" s="81"/>
      <c r="N10434" s="81"/>
    </row>
    <row r="10435" spans="1:14" ht="14.25" customHeight="1" x14ac:dyDescent="0.25">
      <c r="A10435" s="192" t="s">
        <v>49</v>
      </c>
      <c r="B10435" s="193" t="s">
        <v>99</v>
      </c>
      <c r="C10435" s="194"/>
      <c r="D10435" s="194"/>
      <c r="E10435" s="194"/>
      <c r="F10435" s="195"/>
      <c r="G10435" s="81"/>
      <c r="H10435" s="81"/>
      <c r="I10435" s="81"/>
      <c r="J10435" s="81"/>
      <c r="K10435" s="81"/>
      <c r="L10435" s="81"/>
      <c r="M10435" s="81"/>
      <c r="N10435" s="81"/>
    </row>
    <row r="10436" spans="1:14" ht="14.25" customHeight="1" x14ac:dyDescent="0.25">
      <c r="A10436" s="192"/>
      <c r="B10436" s="196"/>
      <c r="C10436" s="194"/>
      <c r="D10436" s="194"/>
      <c r="E10436" s="194"/>
      <c r="F10436" s="195"/>
      <c r="G10436" s="81"/>
      <c r="H10436" s="81"/>
      <c r="I10436" s="81"/>
      <c r="J10436" s="81"/>
      <c r="K10436" s="81"/>
      <c r="L10436" s="81"/>
      <c r="M10436" s="81"/>
      <c r="N10436" s="81"/>
    </row>
    <row r="10437" spans="1:14" ht="14.25" customHeight="1" x14ac:dyDescent="0.25">
      <c r="A10437" s="197" t="s">
        <v>562</v>
      </c>
      <c r="B10437" s="198"/>
      <c r="C10437" s="193"/>
      <c r="D10437" s="193"/>
      <c r="E10437" s="193"/>
      <c r="F10437" s="193"/>
      <c r="G10437" s="81"/>
      <c r="H10437" s="81"/>
      <c r="I10437" s="81"/>
      <c r="J10437" s="81"/>
      <c r="K10437" s="81"/>
      <c r="L10437" s="81"/>
      <c r="M10437" s="81"/>
      <c r="N10437" s="81"/>
    </row>
    <row r="10438" spans="1:14" ht="14.25" customHeight="1" x14ac:dyDescent="0.25">
      <c r="A10438" s="199" t="s">
        <v>563</v>
      </c>
      <c r="B10438" s="474" t="s">
        <v>564</v>
      </c>
      <c r="C10438" s="474" t="s">
        <v>565</v>
      </c>
      <c r="D10438" s="474" t="s">
        <v>566</v>
      </c>
      <c r="E10438" s="474" t="s">
        <v>567</v>
      </c>
      <c r="F10438" s="474" t="s">
        <v>568</v>
      </c>
      <c r="G10438" s="81"/>
      <c r="H10438" s="81"/>
      <c r="I10438" s="81"/>
      <c r="J10438" s="81"/>
      <c r="K10438" s="81"/>
      <c r="L10438" s="81"/>
      <c r="M10438" s="81"/>
      <c r="N10438" s="81"/>
    </row>
    <row r="10439" spans="1:14" ht="14.25" customHeight="1" x14ac:dyDescent="0.25">
      <c r="A10439" s="475" t="s">
        <v>1423</v>
      </c>
      <c r="B10439" s="476" t="s">
        <v>59</v>
      </c>
      <c r="C10439" s="477">
        <v>26000</v>
      </c>
      <c r="D10439" s="478">
        <v>2.5</v>
      </c>
      <c r="E10439" s="479">
        <v>5</v>
      </c>
      <c r="F10439" s="477">
        <f t="shared" ref="F10439:F10444" si="519">C10439*(D10439+(D10439*E10439))</f>
        <v>390000</v>
      </c>
      <c r="G10439" s="81"/>
      <c r="H10439" s="81"/>
      <c r="I10439" s="81"/>
      <c r="J10439" s="81"/>
      <c r="K10439" s="81"/>
      <c r="L10439" s="81"/>
      <c r="M10439" s="81"/>
      <c r="N10439" s="81"/>
    </row>
    <row r="10440" spans="1:14" ht="14.25" customHeight="1" x14ac:dyDescent="0.25">
      <c r="A10440" s="475" t="s">
        <v>1424</v>
      </c>
      <c r="B10440" s="476" t="s">
        <v>99</v>
      </c>
      <c r="C10440" s="477">
        <v>46250</v>
      </c>
      <c r="D10440" s="478">
        <v>3</v>
      </c>
      <c r="E10440" s="479"/>
      <c r="F10440" s="477">
        <f t="shared" si="519"/>
        <v>138750</v>
      </c>
      <c r="G10440" s="81"/>
      <c r="H10440" s="81"/>
      <c r="I10440" s="81"/>
      <c r="J10440" s="81"/>
      <c r="K10440" s="81"/>
      <c r="L10440" s="81"/>
      <c r="M10440" s="81"/>
      <c r="N10440" s="81"/>
    </row>
    <row r="10441" spans="1:14" ht="14.25" customHeight="1" x14ac:dyDescent="0.25">
      <c r="A10441" s="475" t="s">
        <v>1425</v>
      </c>
      <c r="B10441" s="476" t="s">
        <v>99</v>
      </c>
      <c r="C10441" s="477">
        <v>72500</v>
      </c>
      <c r="D10441" s="478">
        <v>3</v>
      </c>
      <c r="E10441" s="479"/>
      <c r="F10441" s="477">
        <f t="shared" si="519"/>
        <v>217500</v>
      </c>
      <c r="G10441" s="81"/>
      <c r="H10441" s="81"/>
      <c r="I10441" s="81"/>
      <c r="J10441" s="81"/>
      <c r="K10441" s="81"/>
      <c r="L10441" s="81"/>
      <c r="M10441" s="81"/>
      <c r="N10441" s="81"/>
    </row>
    <row r="10442" spans="1:14" ht="14.25" customHeight="1" x14ac:dyDescent="0.25">
      <c r="A10442" s="475" t="s">
        <v>1426</v>
      </c>
      <c r="B10442" s="476" t="s">
        <v>99</v>
      </c>
      <c r="C10442" s="477">
        <v>10500</v>
      </c>
      <c r="D10442" s="478">
        <v>3</v>
      </c>
      <c r="E10442" s="479"/>
      <c r="F10442" s="477">
        <f t="shared" si="519"/>
        <v>31500</v>
      </c>
      <c r="G10442" s="81"/>
      <c r="H10442" s="81"/>
      <c r="I10442" s="81"/>
      <c r="J10442" s="81"/>
      <c r="K10442" s="81"/>
      <c r="L10442" s="81"/>
      <c r="M10442" s="81"/>
      <c r="N10442" s="81"/>
    </row>
    <row r="10443" spans="1:14" ht="14.25" customHeight="1" x14ac:dyDescent="0.25">
      <c r="A10443" s="475" t="s">
        <v>931</v>
      </c>
      <c r="B10443" s="476" t="s">
        <v>99</v>
      </c>
      <c r="C10443" s="477">
        <v>22000</v>
      </c>
      <c r="D10443" s="478">
        <v>1.5</v>
      </c>
      <c r="E10443" s="479">
        <v>0.05</v>
      </c>
      <c r="F10443" s="477">
        <f t="shared" si="519"/>
        <v>34650</v>
      </c>
      <c r="G10443" s="81"/>
      <c r="H10443" s="81"/>
      <c r="I10443" s="81"/>
      <c r="J10443" s="81"/>
      <c r="K10443" s="81"/>
      <c r="L10443" s="81"/>
      <c r="M10443" s="81"/>
      <c r="N10443" s="81"/>
    </row>
    <row r="10444" spans="1:14" ht="14.25" customHeight="1" x14ac:dyDescent="0.25">
      <c r="A10444" s="475" t="s">
        <v>1427</v>
      </c>
      <c r="B10444" s="476" t="s">
        <v>59</v>
      </c>
      <c r="C10444" s="477">
        <v>10250</v>
      </c>
      <c r="D10444" s="478">
        <v>17</v>
      </c>
      <c r="E10444" s="479">
        <v>0.05</v>
      </c>
      <c r="F10444" s="477">
        <f t="shared" si="519"/>
        <v>182962.50000000003</v>
      </c>
      <c r="G10444" s="81"/>
      <c r="H10444" s="81"/>
      <c r="I10444" s="81"/>
      <c r="J10444" s="81"/>
      <c r="K10444" s="81"/>
      <c r="L10444" s="81"/>
      <c r="M10444" s="81"/>
      <c r="N10444" s="81"/>
    </row>
    <row r="10445" spans="1:14" ht="14.25" customHeight="1" x14ac:dyDescent="0.25">
      <c r="A10445" s="475"/>
      <c r="B10445" s="476"/>
      <c r="C10445" s="483"/>
      <c r="D10445" s="484"/>
      <c r="E10445" s="485"/>
      <c r="F10445" s="483"/>
      <c r="G10445" s="81"/>
      <c r="H10445" s="81"/>
      <c r="I10445" s="81"/>
      <c r="J10445" s="81"/>
      <c r="K10445" s="81"/>
      <c r="L10445" s="81"/>
      <c r="M10445" s="81"/>
      <c r="N10445" s="81"/>
    </row>
    <row r="10446" spans="1:14" ht="14.25" customHeight="1" x14ac:dyDescent="0.25">
      <c r="A10446" s="199" t="s">
        <v>548</v>
      </c>
      <c r="B10446" s="199"/>
      <c r="C10446" s="486"/>
      <c r="D10446" s="487"/>
      <c r="E10446" s="488"/>
      <c r="F10446" s="489">
        <f>SUM(F10439:F10445)</f>
        <v>995362.5</v>
      </c>
      <c r="G10446" s="81"/>
      <c r="H10446" s="81"/>
      <c r="I10446" s="81"/>
      <c r="J10446" s="81"/>
      <c r="K10446" s="81"/>
      <c r="L10446" s="81"/>
      <c r="M10446" s="81"/>
      <c r="N10446" s="81"/>
    </row>
    <row r="10447" spans="1:14" ht="14.25" customHeight="1" x14ac:dyDescent="0.25">
      <c r="A10447" s="192"/>
      <c r="B10447" s="192"/>
      <c r="C10447" s="215"/>
      <c r="D10447" s="215"/>
      <c r="E10447" s="216"/>
      <c r="F10447" s="215"/>
      <c r="G10447" s="81"/>
      <c r="H10447" s="81"/>
      <c r="I10447" s="81"/>
      <c r="J10447" s="81"/>
      <c r="K10447" s="81"/>
      <c r="L10447" s="81"/>
      <c r="M10447" s="81"/>
      <c r="N10447" s="81"/>
    </row>
    <row r="10448" spans="1:14" ht="14.25" customHeight="1" x14ac:dyDescent="0.25">
      <c r="A10448" s="198" t="s">
        <v>573</v>
      </c>
      <c r="B10448" s="198"/>
      <c r="C10448" s="193"/>
      <c r="D10448" s="193"/>
      <c r="E10448" s="193"/>
      <c r="F10448" s="193"/>
      <c r="G10448" s="81"/>
      <c r="H10448" s="81"/>
      <c r="I10448" s="81"/>
      <c r="J10448" s="81"/>
      <c r="K10448" s="81"/>
      <c r="L10448" s="81"/>
      <c r="M10448" s="81"/>
      <c r="N10448" s="81"/>
    </row>
    <row r="10449" spans="1:14" ht="14.25" customHeight="1" x14ac:dyDescent="0.25">
      <c r="A10449" s="585" t="s">
        <v>563</v>
      </c>
      <c r="B10449" s="586"/>
      <c r="C10449" s="587"/>
      <c r="D10449" s="474" t="s">
        <v>574</v>
      </c>
      <c r="E10449" s="474" t="s">
        <v>575</v>
      </c>
      <c r="F10449" s="474" t="s">
        <v>568</v>
      </c>
      <c r="G10449" s="81"/>
      <c r="H10449" s="81"/>
      <c r="I10449" s="81"/>
      <c r="J10449" s="81"/>
      <c r="K10449" s="81"/>
      <c r="L10449" s="81"/>
      <c r="M10449" s="81"/>
      <c r="N10449" s="81"/>
    </row>
    <row r="10450" spans="1:14" ht="14.25" customHeight="1" x14ac:dyDescent="0.25">
      <c r="A10450" s="588" t="s">
        <v>577</v>
      </c>
      <c r="B10450" s="586"/>
      <c r="C10450" s="587"/>
      <c r="D10450" s="490"/>
      <c r="E10450" s="484"/>
      <c r="F10450" s="483">
        <f>+F10463*5%</f>
        <v>17056.035599086481</v>
      </c>
      <c r="G10450" s="81"/>
      <c r="H10450" s="81"/>
      <c r="I10450" s="81"/>
      <c r="J10450" s="81"/>
      <c r="K10450" s="81"/>
      <c r="L10450" s="81"/>
      <c r="M10450" s="81"/>
      <c r="N10450" s="81"/>
    </row>
    <row r="10451" spans="1:14" ht="14.25" customHeight="1" x14ac:dyDescent="0.25">
      <c r="A10451" s="588"/>
      <c r="B10451" s="586"/>
      <c r="C10451" s="587"/>
      <c r="D10451" s="505"/>
      <c r="E10451" s="484"/>
      <c r="F10451" s="483"/>
      <c r="G10451" s="81"/>
      <c r="H10451" s="81"/>
      <c r="I10451" s="81"/>
      <c r="J10451" s="81"/>
      <c r="K10451" s="81"/>
      <c r="L10451" s="81"/>
      <c r="M10451" s="81"/>
      <c r="N10451" s="81"/>
    </row>
    <row r="10452" spans="1:14" ht="14.25" customHeight="1" x14ac:dyDescent="0.25">
      <c r="A10452" s="588"/>
      <c r="B10452" s="586"/>
      <c r="C10452" s="587"/>
      <c r="D10452" s="505"/>
      <c r="E10452" s="484"/>
      <c r="F10452" s="483"/>
      <c r="G10452" s="81"/>
      <c r="H10452" s="81"/>
      <c r="I10452" s="81"/>
      <c r="J10452" s="81"/>
      <c r="K10452" s="81"/>
      <c r="L10452" s="81"/>
      <c r="M10452" s="81"/>
      <c r="N10452" s="81"/>
    </row>
    <row r="10453" spans="1:14" ht="14.25" customHeight="1" x14ac:dyDescent="0.25">
      <c r="A10453" s="588"/>
      <c r="B10453" s="586"/>
      <c r="C10453" s="587"/>
      <c r="D10453" s="505"/>
      <c r="E10453" s="484"/>
      <c r="F10453" s="483"/>
      <c r="G10453" s="81"/>
      <c r="H10453" s="81"/>
      <c r="I10453" s="81"/>
      <c r="J10453" s="81"/>
      <c r="K10453" s="81"/>
      <c r="L10453" s="81"/>
      <c r="M10453" s="81"/>
      <c r="N10453" s="81"/>
    </row>
    <row r="10454" spans="1:14" ht="14.25" customHeight="1" x14ac:dyDescent="0.25">
      <c r="A10454" s="589"/>
      <c r="B10454" s="586"/>
      <c r="C10454" s="587"/>
      <c r="D10454" s="491"/>
      <c r="E10454" s="484"/>
      <c r="F10454" s="483"/>
      <c r="G10454" s="81"/>
      <c r="H10454" s="81"/>
      <c r="I10454" s="81"/>
      <c r="J10454" s="81"/>
      <c r="K10454" s="81"/>
      <c r="L10454" s="81"/>
      <c r="M10454" s="81"/>
      <c r="N10454" s="81"/>
    </row>
    <row r="10455" spans="1:14" ht="14.25" customHeight="1" x14ac:dyDescent="0.25">
      <c r="A10455" s="585" t="s">
        <v>548</v>
      </c>
      <c r="B10455" s="586"/>
      <c r="C10455" s="587"/>
      <c r="D10455" s="487"/>
      <c r="E10455" s="487"/>
      <c r="F10455" s="489">
        <f>SUM(F10450:F10454)</f>
        <v>17056.035599086481</v>
      </c>
      <c r="G10455" s="81"/>
      <c r="H10455" s="81"/>
      <c r="I10455" s="81"/>
      <c r="J10455" s="81"/>
      <c r="K10455" s="81"/>
      <c r="L10455" s="81"/>
      <c r="M10455" s="81"/>
      <c r="N10455" s="81"/>
    </row>
    <row r="10456" spans="1:14" ht="14.25" customHeight="1" x14ac:dyDescent="0.25">
      <c r="A10456" s="192"/>
      <c r="B10456" s="192"/>
      <c r="C10456" s="194"/>
      <c r="D10456" s="215"/>
      <c r="E10456" s="215"/>
      <c r="F10456" s="215"/>
      <c r="G10456" s="81"/>
      <c r="H10456" s="81"/>
      <c r="I10456" s="81"/>
      <c r="J10456" s="81"/>
      <c r="K10456" s="81"/>
      <c r="L10456" s="81"/>
      <c r="M10456" s="81"/>
      <c r="N10456" s="81"/>
    </row>
    <row r="10457" spans="1:14" ht="14.25" customHeight="1" x14ac:dyDescent="0.25">
      <c r="A10457" s="198" t="s">
        <v>578</v>
      </c>
      <c r="B10457" s="198"/>
      <c r="C10457" s="193"/>
      <c r="D10457" s="223"/>
      <c r="E10457" s="223"/>
      <c r="F10457" s="223"/>
      <c r="G10457" s="81"/>
      <c r="H10457" s="81"/>
      <c r="I10457" s="81"/>
      <c r="J10457" s="81"/>
      <c r="K10457" s="81"/>
      <c r="L10457" s="81"/>
      <c r="M10457" s="81"/>
      <c r="N10457" s="81"/>
    </row>
    <row r="10458" spans="1:14" ht="14.25" customHeight="1" x14ac:dyDescent="0.25">
      <c r="A10458" s="224" t="s">
        <v>563</v>
      </c>
      <c r="B10458" s="492" t="s">
        <v>579</v>
      </c>
      <c r="C10458" s="492" t="s">
        <v>580</v>
      </c>
      <c r="D10458" s="493" t="s">
        <v>581</v>
      </c>
      <c r="E10458" s="493" t="s">
        <v>575</v>
      </c>
      <c r="F10458" s="493" t="s">
        <v>568</v>
      </c>
      <c r="G10458" s="81"/>
      <c r="H10458" s="81"/>
      <c r="I10458" s="81"/>
      <c r="J10458" s="81"/>
      <c r="K10458" s="81"/>
      <c r="L10458" s="81"/>
      <c r="M10458" s="81"/>
      <c r="N10458" s="81"/>
    </row>
    <row r="10459" spans="1:14" ht="14.25" customHeight="1" x14ac:dyDescent="0.25">
      <c r="A10459" s="494" t="s">
        <v>916</v>
      </c>
      <c r="B10459" s="495">
        <v>1</v>
      </c>
      <c r="C10459" s="477">
        <v>35956.800000000003</v>
      </c>
      <c r="D10459" s="477">
        <f t="shared" ref="D10459:D10460" si="520">+C10459*1.7</f>
        <v>61126.560000000005</v>
      </c>
      <c r="E10459" s="484">
        <v>0.46720299999999998</v>
      </c>
      <c r="F10459" s="483">
        <f t="shared" ref="F10459:F10460" si="521">+B10459*(D10459)/E10459</f>
        <v>130835.11878134345</v>
      </c>
      <c r="G10459" s="81"/>
      <c r="H10459" s="81"/>
      <c r="I10459" s="81"/>
      <c r="J10459" s="81"/>
      <c r="K10459" s="81"/>
      <c r="L10459" s="81"/>
      <c r="M10459" s="81"/>
      <c r="N10459" s="81"/>
    </row>
    <row r="10460" spans="1:14" ht="14.25" customHeight="1" x14ac:dyDescent="0.25">
      <c r="A10460" s="494" t="s">
        <v>917</v>
      </c>
      <c r="B10460" s="495">
        <v>1</v>
      </c>
      <c r="C10460" s="477">
        <v>57791.8</v>
      </c>
      <c r="D10460" s="477">
        <f t="shared" si="520"/>
        <v>98246.06</v>
      </c>
      <c r="E10460" s="484">
        <f>E10459</f>
        <v>0.46720299999999998</v>
      </c>
      <c r="F10460" s="483">
        <f t="shared" si="521"/>
        <v>210285.59320038612</v>
      </c>
      <c r="G10460" s="81"/>
      <c r="H10460" s="81"/>
      <c r="I10460" s="81"/>
      <c r="J10460" s="81"/>
      <c r="K10460" s="81"/>
      <c r="L10460" s="81"/>
      <c r="M10460" s="81"/>
      <c r="N10460" s="81"/>
    </row>
    <row r="10461" spans="1:14" ht="14.25" customHeight="1" x14ac:dyDescent="0.25">
      <c r="A10461" s="494"/>
      <c r="B10461" s="495"/>
      <c r="C10461" s="477"/>
      <c r="D10461" s="477"/>
      <c r="E10461" s="484"/>
      <c r="F10461" s="483"/>
      <c r="G10461" s="81"/>
      <c r="H10461" s="81"/>
      <c r="I10461" s="81"/>
      <c r="J10461" s="81"/>
      <c r="K10461" s="81"/>
      <c r="L10461" s="81"/>
      <c r="M10461" s="81"/>
      <c r="N10461" s="81"/>
    </row>
    <row r="10462" spans="1:14" ht="14.25" customHeight="1" x14ac:dyDescent="0.25">
      <c r="A10462" s="494"/>
      <c r="B10462" s="495"/>
      <c r="C10462" s="477"/>
      <c r="D10462" s="477"/>
      <c r="E10462" s="496"/>
      <c r="F10462" s="483"/>
      <c r="G10462" s="81"/>
      <c r="H10462" s="81"/>
      <c r="I10462" s="81"/>
      <c r="J10462" s="81"/>
      <c r="K10462" s="81"/>
      <c r="L10462" s="81"/>
      <c r="M10462" s="81"/>
      <c r="N10462" s="81"/>
    </row>
    <row r="10463" spans="1:14" ht="14.25" customHeight="1" x14ac:dyDescent="0.25">
      <c r="A10463" s="199" t="s">
        <v>548</v>
      </c>
      <c r="B10463" s="497"/>
      <c r="C10463" s="487"/>
      <c r="D10463" s="487"/>
      <c r="E10463" s="487"/>
      <c r="F10463" s="489">
        <f>SUM(F10459:F10462)</f>
        <v>341120.7119817296</v>
      </c>
      <c r="G10463" s="81"/>
      <c r="H10463" s="81"/>
      <c r="I10463" s="81"/>
      <c r="J10463" s="81"/>
      <c r="K10463" s="81"/>
      <c r="L10463" s="81"/>
      <c r="M10463" s="81"/>
      <c r="N10463" s="81"/>
    </row>
    <row r="10464" spans="1:14" ht="14.25" customHeight="1" x14ac:dyDescent="0.25">
      <c r="A10464" s="198"/>
      <c r="B10464" s="231"/>
      <c r="C10464" s="223"/>
      <c r="D10464" s="223"/>
      <c r="E10464" s="223"/>
      <c r="F10464" s="223"/>
      <c r="G10464" s="81"/>
      <c r="H10464" s="81"/>
      <c r="I10464" s="81"/>
      <c r="J10464" s="81"/>
      <c r="K10464" s="81"/>
      <c r="L10464" s="81"/>
      <c r="M10464" s="81"/>
      <c r="N10464" s="81"/>
    </row>
    <row r="10465" spans="1:14" ht="14.25" customHeight="1" x14ac:dyDescent="0.25">
      <c r="A10465" s="197" t="s">
        <v>583</v>
      </c>
      <c r="B10465" s="198"/>
      <c r="C10465" s="193"/>
      <c r="D10465" s="193"/>
      <c r="E10465" s="193" t="s">
        <v>584</v>
      </c>
      <c r="F10465" s="193"/>
      <c r="G10465" s="81"/>
      <c r="H10465" s="81"/>
      <c r="I10465" s="81"/>
      <c r="J10465" s="81"/>
      <c r="K10465" s="81"/>
      <c r="L10465" s="81"/>
      <c r="M10465" s="81"/>
      <c r="N10465" s="81"/>
    </row>
    <row r="10466" spans="1:14" ht="14.25" customHeight="1" x14ac:dyDescent="0.25">
      <c r="A10466" s="199" t="s">
        <v>563</v>
      </c>
      <c r="B10466" s="474" t="s">
        <v>564</v>
      </c>
      <c r="C10466" s="474" t="s">
        <v>585</v>
      </c>
      <c r="D10466" s="474" t="s">
        <v>586</v>
      </c>
      <c r="E10466" s="492" t="s">
        <v>587</v>
      </c>
      <c r="F10466" s="474" t="s">
        <v>568</v>
      </c>
      <c r="G10466" s="81"/>
      <c r="H10466" s="81"/>
      <c r="I10466" s="81"/>
      <c r="J10466" s="81"/>
      <c r="K10466" s="81"/>
      <c r="L10466" s="81"/>
      <c r="M10466" s="81"/>
      <c r="N10466" s="81"/>
    </row>
    <row r="10467" spans="1:14" ht="14.25" customHeight="1" x14ac:dyDescent="0.25">
      <c r="A10467" s="480"/>
      <c r="B10467" s="476"/>
      <c r="C10467" s="477"/>
      <c r="D10467" s="498"/>
      <c r="E10467" s="484"/>
      <c r="F10467" s="486">
        <f>+C10467*D10467*E10467</f>
        <v>0</v>
      </c>
      <c r="G10467" s="81"/>
      <c r="H10467" s="81"/>
      <c r="I10467" s="81"/>
      <c r="J10467" s="81"/>
      <c r="K10467" s="81"/>
      <c r="L10467" s="81"/>
      <c r="M10467" s="81"/>
      <c r="N10467" s="81"/>
    </row>
    <row r="10468" spans="1:14" ht="14.25" customHeight="1" x14ac:dyDescent="0.25">
      <c r="A10468" s="480"/>
      <c r="B10468" s="476"/>
      <c r="C10468" s="484"/>
      <c r="D10468" s="484"/>
      <c r="E10468" s="485"/>
      <c r="F10468" s="486"/>
      <c r="G10468" s="81"/>
      <c r="H10468" s="81"/>
      <c r="I10468" s="81"/>
      <c r="J10468" s="81"/>
      <c r="K10468" s="81"/>
      <c r="L10468" s="81"/>
      <c r="M10468" s="81"/>
      <c r="N10468" s="81"/>
    </row>
    <row r="10469" spans="1:14" ht="14.25" customHeight="1" x14ac:dyDescent="0.25">
      <c r="A10469" s="199" t="s">
        <v>548</v>
      </c>
      <c r="B10469" s="474"/>
      <c r="C10469" s="487"/>
      <c r="D10469" s="487"/>
      <c r="E10469" s="488"/>
      <c r="F10469" s="489">
        <f>SUM(F10467:F10468)</f>
        <v>0</v>
      </c>
      <c r="G10469" s="81"/>
      <c r="H10469" s="81"/>
      <c r="I10469" s="81"/>
      <c r="J10469" s="81"/>
      <c r="K10469" s="81"/>
      <c r="L10469" s="81"/>
      <c r="M10469" s="81"/>
      <c r="N10469" s="81"/>
    </row>
    <row r="10470" spans="1:14" ht="14.25" customHeight="1" x14ac:dyDescent="0.25">
      <c r="A10470" s="192"/>
      <c r="B10470" s="194"/>
      <c r="C10470" s="215"/>
      <c r="D10470" s="215"/>
      <c r="E10470" s="216"/>
      <c r="F10470" s="215"/>
      <c r="G10470" s="81"/>
      <c r="H10470" s="81"/>
      <c r="I10470" s="81"/>
      <c r="J10470" s="81"/>
      <c r="K10470" s="81"/>
      <c r="L10470" s="81"/>
      <c r="M10470" s="81"/>
      <c r="N10470" s="81"/>
    </row>
    <row r="10471" spans="1:14" ht="14.25" customHeight="1" x14ac:dyDescent="0.25">
      <c r="A10471" s="192"/>
      <c r="B10471" s="194"/>
      <c r="C10471" s="215"/>
      <c r="D10471" s="215"/>
      <c r="E10471" s="216"/>
      <c r="F10471" s="215"/>
      <c r="G10471" s="81"/>
      <c r="H10471" s="81"/>
      <c r="I10471" s="81"/>
      <c r="J10471" s="81"/>
      <c r="K10471" s="81"/>
      <c r="L10471" s="81"/>
      <c r="M10471" s="81"/>
      <c r="N10471" s="81"/>
    </row>
    <row r="10472" spans="1:14" ht="14.25" customHeight="1" x14ac:dyDescent="0.25">
      <c r="A10472" s="590" t="s">
        <v>588</v>
      </c>
      <c r="B10472" s="586"/>
      <c r="C10472" s="586"/>
      <c r="D10472" s="586"/>
      <c r="E10472" s="587"/>
      <c r="F10472" s="499">
        <f>ROUND(F10446+F10455+F10463+F10469,0)</f>
        <v>1353539</v>
      </c>
      <c r="G10472" s="81"/>
      <c r="H10472" s="81"/>
      <c r="I10472" s="81"/>
      <c r="J10472" s="81"/>
      <c r="K10472" s="81"/>
      <c r="L10472" s="81"/>
      <c r="M10472" s="81"/>
      <c r="N10472" s="81"/>
    </row>
    <row r="10473" spans="1:14" ht="14.25" customHeight="1" x14ac:dyDescent="0.25">
      <c r="A10473" s="590" t="s">
        <v>589</v>
      </c>
      <c r="B10473" s="586"/>
      <c r="C10473" s="586"/>
      <c r="D10473" s="586"/>
      <c r="E10473" s="587"/>
      <c r="F10473" s="500"/>
      <c r="G10473" s="81"/>
      <c r="H10473" s="81"/>
      <c r="I10473" s="81"/>
      <c r="J10473" s="81"/>
      <c r="K10473" s="81"/>
      <c r="L10473" s="81"/>
      <c r="M10473" s="81"/>
      <c r="N10473" s="81"/>
    </row>
    <row r="10474" spans="1:14" ht="14.25" customHeight="1" x14ac:dyDescent="0.25">
      <c r="A10474" s="300" t="s">
        <v>556</v>
      </c>
      <c r="B10474" s="506"/>
      <c r="C10474" s="506"/>
      <c r="D10474" s="506"/>
      <c r="E10474" s="507"/>
      <c r="F10474" s="501"/>
      <c r="G10474" s="81"/>
      <c r="H10474" s="81"/>
      <c r="I10474" s="81"/>
      <c r="J10474" s="81"/>
      <c r="K10474" s="81"/>
      <c r="L10474" s="81"/>
      <c r="M10474" s="81"/>
      <c r="N10474" s="81"/>
    </row>
    <row r="10475" spans="1:14" ht="14.25" customHeight="1" x14ac:dyDescent="0.25">
      <c r="A10475" s="301"/>
      <c r="B10475" s="502"/>
      <c r="C10475" s="502"/>
      <c r="D10475" s="502"/>
      <c r="E10475" s="502"/>
      <c r="F10475" s="503"/>
      <c r="G10475" s="81"/>
      <c r="H10475" s="81"/>
      <c r="I10475" s="81"/>
      <c r="J10475" s="81"/>
      <c r="K10475" s="81"/>
      <c r="L10475" s="81"/>
      <c r="M10475" s="81"/>
      <c r="N10475" s="81"/>
    </row>
    <row r="10476" spans="1:14" ht="14.25" customHeight="1" x14ac:dyDescent="0.25">
      <c r="A10476" s="301"/>
      <c r="B10476" s="502"/>
      <c r="C10476" s="502"/>
      <c r="D10476" s="502"/>
      <c r="E10476" s="502"/>
      <c r="F10476" s="503"/>
      <c r="G10476" s="81"/>
      <c r="H10476" s="81"/>
      <c r="I10476" s="81"/>
      <c r="J10476" s="81"/>
      <c r="K10476" s="81"/>
      <c r="L10476" s="81"/>
      <c r="M10476" s="81"/>
      <c r="N10476" s="81"/>
    </row>
    <row r="10477" spans="1:14" ht="14.25" customHeight="1" x14ac:dyDescent="0.25">
      <c r="A10477" s="301"/>
      <c r="B10477" s="502"/>
      <c r="C10477" s="502"/>
      <c r="D10477" s="502"/>
      <c r="E10477" s="502"/>
      <c r="F10477" s="503"/>
      <c r="G10477" s="81"/>
      <c r="H10477" s="81"/>
      <c r="I10477" s="81"/>
      <c r="J10477" s="81"/>
      <c r="K10477" s="81"/>
      <c r="L10477" s="81"/>
      <c r="M10477" s="81"/>
      <c r="N10477" s="81"/>
    </row>
    <row r="10478" spans="1:14" ht="14.25" customHeight="1" x14ac:dyDescent="0.25">
      <c r="A10478" s="243"/>
      <c r="B10478" s="243"/>
      <c r="C10478" s="504"/>
      <c r="D10478" s="243"/>
      <c r="E10478" s="243"/>
      <c r="F10478" s="243"/>
      <c r="G10478" s="81"/>
      <c r="H10478" s="81"/>
      <c r="I10478" s="81"/>
      <c r="J10478" s="81"/>
      <c r="K10478" s="81"/>
      <c r="L10478" s="81"/>
      <c r="M10478" s="81"/>
      <c r="N10478" s="81"/>
    </row>
    <row r="10479" spans="1:14" ht="14.25" customHeight="1" x14ac:dyDescent="0.25">
      <c r="A10479" s="243"/>
      <c r="B10479" s="243"/>
      <c r="C10479" s="504"/>
      <c r="D10479" s="243"/>
      <c r="E10479" s="243"/>
      <c r="F10479" s="243"/>
      <c r="G10479" s="81"/>
      <c r="H10479" s="81"/>
      <c r="I10479" s="81"/>
      <c r="J10479" s="81"/>
      <c r="K10479" s="81"/>
      <c r="L10479" s="81"/>
      <c r="M10479" s="81"/>
      <c r="N10479" s="81"/>
    </row>
    <row r="10480" spans="1:14" ht="14.25" customHeight="1" x14ac:dyDescent="0.25">
      <c r="A10480" s="243"/>
      <c r="B10480" s="243"/>
      <c r="C10480" s="504"/>
      <c r="D10480" s="243"/>
      <c r="E10480" s="243"/>
      <c r="F10480" s="243"/>
      <c r="G10480" s="81"/>
      <c r="H10480" s="81"/>
      <c r="I10480" s="81"/>
      <c r="J10480" s="81"/>
      <c r="K10480" s="81"/>
      <c r="L10480" s="81"/>
      <c r="M10480" s="81"/>
      <c r="N10480" s="81"/>
    </row>
    <row r="10481" spans="1:14" ht="14.25" customHeight="1" x14ac:dyDescent="0.25">
      <c r="A10481" s="243"/>
      <c r="B10481" s="243"/>
      <c r="C10481" s="504"/>
      <c r="D10481" s="243"/>
      <c r="E10481" s="243"/>
      <c r="F10481" s="243"/>
      <c r="G10481" s="81"/>
      <c r="H10481" s="81"/>
      <c r="I10481" s="81"/>
      <c r="J10481" s="81"/>
      <c r="K10481" s="81"/>
      <c r="L10481" s="81"/>
      <c r="M10481" s="81"/>
      <c r="N10481" s="81"/>
    </row>
    <row r="10482" spans="1:14" ht="14.25" customHeight="1" x14ac:dyDescent="0.25">
      <c r="A10482" s="243"/>
      <c r="B10482" s="243"/>
      <c r="C10482" s="504"/>
      <c r="D10482" s="243"/>
      <c r="E10482" s="243"/>
      <c r="F10482" s="243"/>
      <c r="G10482" s="81"/>
      <c r="H10482" s="81"/>
      <c r="I10482" s="81"/>
      <c r="J10482" s="81"/>
      <c r="K10482" s="81"/>
      <c r="L10482" s="81"/>
      <c r="M10482" s="81"/>
      <c r="N10482" s="81"/>
    </row>
    <row r="10483" spans="1:14" ht="14.25" customHeight="1" x14ac:dyDescent="0.25">
      <c r="A10483" s="243"/>
      <c r="B10483" s="243"/>
      <c r="C10483" s="504"/>
      <c r="D10483" s="243"/>
      <c r="E10483" s="243"/>
      <c r="F10483" s="243"/>
      <c r="G10483" s="81"/>
      <c r="H10483" s="81"/>
      <c r="I10483" s="81"/>
      <c r="J10483" s="81"/>
      <c r="K10483" s="81"/>
      <c r="L10483" s="81"/>
      <c r="M10483" s="81"/>
      <c r="N10483" s="81"/>
    </row>
    <row r="10484" spans="1:14" ht="14.25" customHeight="1" x14ac:dyDescent="0.25">
      <c r="A10484" s="243"/>
      <c r="B10484" s="243"/>
      <c r="C10484" s="504"/>
      <c r="D10484" s="243"/>
      <c r="E10484" s="243"/>
      <c r="F10484" s="243"/>
      <c r="G10484" s="81"/>
      <c r="H10484" s="81"/>
      <c r="I10484" s="81"/>
      <c r="J10484" s="81"/>
      <c r="K10484" s="81"/>
      <c r="L10484" s="81"/>
      <c r="M10484" s="81"/>
      <c r="N10484" s="81"/>
    </row>
    <row r="10485" spans="1:14" ht="14.25" customHeight="1" x14ac:dyDescent="0.25">
      <c r="A10485" s="243"/>
      <c r="B10485" s="243"/>
      <c r="C10485" s="504"/>
      <c r="D10485" s="243"/>
      <c r="E10485" s="243"/>
      <c r="F10485" s="243"/>
      <c r="G10485" s="81"/>
      <c r="H10485" s="81"/>
      <c r="I10485" s="81"/>
      <c r="J10485" s="81"/>
      <c r="K10485" s="81"/>
      <c r="L10485" s="81"/>
      <c r="M10485" s="81"/>
      <c r="N10485" s="81"/>
    </row>
    <row r="10486" spans="1:14" ht="14.25" customHeight="1" x14ac:dyDescent="0.25">
      <c r="A10486" s="243"/>
      <c r="B10486" s="243"/>
      <c r="C10486" s="504"/>
      <c r="D10486" s="243"/>
      <c r="E10486" s="243"/>
      <c r="F10486" s="243"/>
      <c r="G10486" s="81"/>
      <c r="H10486" s="81"/>
      <c r="I10486" s="81"/>
      <c r="J10486" s="81"/>
      <c r="K10486" s="81"/>
      <c r="L10486" s="81"/>
      <c r="M10486" s="81"/>
      <c r="N10486" s="81"/>
    </row>
    <row r="10487" spans="1:14" ht="14.25" customHeight="1" x14ac:dyDescent="0.25">
      <c r="A10487" s="243"/>
      <c r="B10487" s="243"/>
      <c r="C10487" s="504"/>
      <c r="D10487" s="243"/>
      <c r="E10487" s="243"/>
      <c r="F10487" s="243"/>
      <c r="G10487" s="81"/>
      <c r="H10487" s="81"/>
      <c r="I10487" s="81"/>
      <c r="J10487" s="81"/>
      <c r="K10487" s="81"/>
      <c r="L10487" s="81"/>
      <c r="M10487" s="81"/>
      <c r="N10487" s="81"/>
    </row>
    <row r="10488" spans="1:14" ht="14.25" customHeight="1" x14ac:dyDescent="0.25">
      <c r="A10488" s="243"/>
      <c r="B10488" s="243"/>
      <c r="C10488" s="504"/>
      <c r="D10488" s="243"/>
      <c r="E10488" s="243"/>
      <c r="F10488" s="243"/>
      <c r="G10488" s="81"/>
      <c r="H10488" s="81"/>
      <c r="I10488" s="81"/>
      <c r="J10488" s="81"/>
      <c r="K10488" s="81"/>
      <c r="L10488" s="81"/>
      <c r="M10488" s="81"/>
      <c r="N10488" s="81"/>
    </row>
    <row r="10489" spans="1:14" ht="14.25" customHeight="1" x14ac:dyDescent="0.25">
      <c r="A10489" s="301"/>
      <c r="B10489" s="502"/>
      <c r="C10489" s="502"/>
      <c r="D10489" s="502"/>
      <c r="E10489" s="502"/>
      <c r="F10489" s="503"/>
      <c r="G10489" s="81"/>
      <c r="H10489" s="81"/>
      <c r="I10489" s="81"/>
      <c r="J10489" s="81"/>
      <c r="K10489" s="81"/>
      <c r="L10489" s="81"/>
      <c r="M10489" s="81"/>
      <c r="N10489" s="81"/>
    </row>
    <row r="10490" spans="1:14" ht="14.25" customHeight="1" thickBot="1" x14ac:dyDescent="0.3">
      <c r="A10490" s="243"/>
      <c r="B10490" s="243"/>
      <c r="C10490" s="243"/>
      <c r="D10490" s="243"/>
      <c r="E10490" s="243"/>
      <c r="F10490" s="243"/>
      <c r="G10490" s="81"/>
      <c r="H10490" s="81"/>
      <c r="I10490" s="81"/>
      <c r="J10490" s="81"/>
      <c r="K10490" s="81"/>
      <c r="L10490" s="81"/>
      <c r="M10490" s="81"/>
      <c r="N10490" s="81"/>
    </row>
    <row r="10491" spans="1:14" ht="14.25" customHeight="1" x14ac:dyDescent="0.25">
      <c r="A10491" s="258"/>
      <c r="B10491" s="259"/>
      <c r="C10491" s="260"/>
      <c r="D10491" s="261"/>
      <c r="E10491" s="261"/>
      <c r="F10491" s="262"/>
      <c r="G10491" s="81"/>
      <c r="H10491" s="81"/>
      <c r="I10491" s="81"/>
      <c r="J10491" s="81"/>
      <c r="K10491" s="81"/>
      <c r="L10491" s="81"/>
      <c r="M10491" s="81"/>
      <c r="N10491" s="81"/>
    </row>
    <row r="10492" spans="1:14" ht="14.25" customHeight="1" x14ac:dyDescent="0.25">
      <c r="A10492" s="621"/>
      <c r="B10492" s="629"/>
      <c r="C10492" s="629"/>
      <c r="D10492" s="629"/>
      <c r="E10492" s="629"/>
      <c r="F10492" s="630"/>
      <c r="G10492" s="81"/>
      <c r="H10492" s="81"/>
      <c r="I10492" s="81"/>
      <c r="J10492" s="81"/>
      <c r="K10492" s="81"/>
      <c r="L10492" s="81"/>
      <c r="M10492" s="81"/>
      <c r="N10492" s="81"/>
    </row>
    <row r="10493" spans="1:14" ht="14.25" customHeight="1" x14ac:dyDescent="0.25">
      <c r="A10493" s="614" t="s">
        <v>561</v>
      </c>
      <c r="B10493" s="629"/>
      <c r="C10493" s="629"/>
      <c r="D10493" s="629"/>
      <c r="E10493" s="629"/>
      <c r="F10493" s="630"/>
      <c r="G10493" s="81"/>
      <c r="H10493" s="81"/>
      <c r="I10493" s="81"/>
      <c r="J10493" s="81"/>
      <c r="K10493" s="81"/>
      <c r="L10493" s="81"/>
      <c r="M10493" s="81"/>
      <c r="N10493" s="81"/>
    </row>
    <row r="10494" spans="1:14" ht="14.25" customHeight="1" thickBot="1" x14ac:dyDescent="0.3">
      <c r="A10494" s="617"/>
      <c r="B10494" s="631"/>
      <c r="C10494" s="631"/>
      <c r="D10494" s="631"/>
      <c r="E10494" s="631"/>
      <c r="F10494" s="632"/>
      <c r="G10494" s="81"/>
      <c r="H10494" s="81"/>
      <c r="I10494" s="81"/>
      <c r="J10494" s="81"/>
      <c r="K10494" s="81"/>
      <c r="L10494" s="81"/>
      <c r="M10494" s="81"/>
      <c r="N10494" s="81"/>
    </row>
    <row r="10495" spans="1:14" ht="14.25" customHeight="1" x14ac:dyDescent="0.25">
      <c r="A10495" s="192"/>
      <c r="B10495" s="192"/>
      <c r="C10495" s="194"/>
      <c r="D10495" s="194"/>
      <c r="E10495" s="194"/>
      <c r="F10495" s="194"/>
      <c r="G10495" s="81"/>
      <c r="H10495" s="81"/>
      <c r="I10495" s="81"/>
      <c r="J10495" s="81"/>
      <c r="K10495" s="81"/>
      <c r="L10495" s="81"/>
      <c r="M10495" s="81"/>
      <c r="N10495" s="81"/>
    </row>
    <row r="10496" spans="1:14" ht="14.25" customHeight="1" x14ac:dyDescent="0.25">
      <c r="A10496" s="473" t="s">
        <v>47</v>
      </c>
      <c r="B10496" s="620" t="s">
        <v>1218</v>
      </c>
      <c r="C10496" s="629"/>
      <c r="D10496" s="629"/>
      <c r="E10496" s="629"/>
      <c r="F10496" s="629"/>
      <c r="G10496" s="81"/>
      <c r="H10496" s="81"/>
      <c r="I10496" s="81"/>
      <c r="J10496" s="81"/>
      <c r="K10496" s="81"/>
      <c r="L10496" s="81"/>
      <c r="M10496" s="81"/>
      <c r="N10496" s="81"/>
    </row>
    <row r="10497" spans="1:14" ht="14.25" customHeight="1" x14ac:dyDescent="0.25">
      <c r="A10497" s="191"/>
      <c r="B10497" s="191"/>
      <c r="C10497" s="191"/>
      <c r="D10497" s="191"/>
      <c r="E10497" s="191"/>
      <c r="F10497" s="191"/>
      <c r="G10497" s="81"/>
      <c r="H10497" s="81"/>
      <c r="I10497" s="81"/>
      <c r="J10497" s="81"/>
      <c r="K10497" s="81"/>
      <c r="L10497" s="81"/>
      <c r="M10497" s="81"/>
      <c r="N10497" s="81"/>
    </row>
    <row r="10498" spans="1:14" ht="14.25" customHeight="1" x14ac:dyDescent="0.25">
      <c r="A10498" s="192" t="s">
        <v>49</v>
      </c>
      <c r="B10498" s="193" t="s">
        <v>99</v>
      </c>
      <c r="C10498" s="194"/>
      <c r="D10498" s="194"/>
      <c r="E10498" s="194"/>
      <c r="F10498" s="195"/>
      <c r="G10498" s="81"/>
      <c r="H10498" s="81"/>
      <c r="I10498" s="81"/>
      <c r="J10498" s="81"/>
      <c r="K10498" s="81"/>
      <c r="L10498" s="81"/>
      <c r="M10498" s="81"/>
      <c r="N10498" s="81"/>
    </row>
    <row r="10499" spans="1:14" ht="14.25" customHeight="1" x14ac:dyDescent="0.25">
      <c r="A10499" s="192"/>
      <c r="B10499" s="196"/>
      <c r="C10499" s="194"/>
      <c r="D10499" s="194"/>
      <c r="E10499" s="194"/>
      <c r="F10499" s="195"/>
      <c r="G10499" s="81"/>
      <c r="H10499" s="81"/>
      <c r="I10499" s="81"/>
      <c r="J10499" s="81"/>
      <c r="K10499" s="81"/>
      <c r="L10499" s="81"/>
      <c r="M10499" s="81"/>
      <c r="N10499" s="81"/>
    </row>
    <row r="10500" spans="1:14" ht="14.25" customHeight="1" x14ac:dyDescent="0.25">
      <c r="A10500" s="197" t="s">
        <v>562</v>
      </c>
      <c r="B10500" s="198"/>
      <c r="C10500" s="193"/>
      <c r="D10500" s="193"/>
      <c r="E10500" s="193"/>
      <c r="F10500" s="193"/>
      <c r="G10500" s="81"/>
      <c r="H10500" s="81"/>
      <c r="I10500" s="81"/>
      <c r="J10500" s="81"/>
      <c r="K10500" s="81"/>
      <c r="L10500" s="81"/>
      <c r="M10500" s="81"/>
      <c r="N10500" s="81"/>
    </row>
    <row r="10501" spans="1:14" ht="14.25" customHeight="1" x14ac:dyDescent="0.25">
      <c r="A10501" s="199" t="s">
        <v>563</v>
      </c>
      <c r="B10501" s="474" t="s">
        <v>564</v>
      </c>
      <c r="C10501" s="474" t="s">
        <v>565</v>
      </c>
      <c r="D10501" s="474" t="s">
        <v>566</v>
      </c>
      <c r="E10501" s="474" t="s">
        <v>567</v>
      </c>
      <c r="F10501" s="474" t="s">
        <v>568</v>
      </c>
      <c r="G10501" s="81"/>
      <c r="H10501" s="81"/>
      <c r="I10501" s="81"/>
      <c r="J10501" s="81"/>
      <c r="K10501" s="81"/>
      <c r="L10501" s="81"/>
      <c r="M10501" s="81"/>
      <c r="N10501" s="81"/>
    </row>
    <row r="10502" spans="1:14" ht="14.25" customHeight="1" x14ac:dyDescent="0.25">
      <c r="A10502" s="475" t="s">
        <v>1428</v>
      </c>
      <c r="B10502" s="476" t="s">
        <v>59</v>
      </c>
      <c r="C10502" s="477">
        <v>155850</v>
      </c>
      <c r="D10502" s="478">
        <v>11</v>
      </c>
      <c r="E10502" s="479">
        <v>5</v>
      </c>
      <c r="F10502" s="477">
        <f t="shared" ref="F10502:F10503" si="522">C10502*(D10502+(D10502*E10502))</f>
        <v>10286100</v>
      </c>
      <c r="G10502" s="81"/>
      <c r="H10502" s="81"/>
      <c r="I10502" s="81"/>
      <c r="J10502" s="81"/>
      <c r="K10502" s="81"/>
      <c r="L10502" s="81"/>
      <c r="M10502" s="81"/>
      <c r="N10502" s="81"/>
    </row>
    <row r="10503" spans="1:14" ht="14.25" customHeight="1" x14ac:dyDescent="0.25">
      <c r="A10503" s="475" t="s">
        <v>1429</v>
      </c>
      <c r="B10503" s="476" t="s">
        <v>99</v>
      </c>
      <c r="C10503" s="477">
        <v>3857000</v>
      </c>
      <c r="D10503" s="478">
        <v>1</v>
      </c>
      <c r="E10503" s="479"/>
      <c r="F10503" s="477">
        <f t="shared" si="522"/>
        <v>3857000</v>
      </c>
      <c r="G10503" s="81"/>
      <c r="H10503" s="81"/>
      <c r="I10503" s="81"/>
      <c r="J10503" s="81"/>
      <c r="K10503" s="81"/>
      <c r="L10503" s="81"/>
      <c r="M10503" s="81"/>
      <c r="N10503" s="81"/>
    </row>
    <row r="10504" spans="1:14" ht="14.25" customHeight="1" x14ac:dyDescent="0.25">
      <c r="A10504" s="475"/>
      <c r="B10504" s="476"/>
      <c r="C10504" s="477"/>
      <c r="D10504" s="478"/>
      <c r="E10504" s="479"/>
      <c r="F10504" s="477"/>
      <c r="G10504" s="81"/>
      <c r="H10504" s="81"/>
      <c r="I10504" s="81"/>
      <c r="J10504" s="81"/>
      <c r="K10504" s="81"/>
      <c r="L10504" s="81"/>
      <c r="M10504" s="81"/>
      <c r="N10504" s="81"/>
    </row>
    <row r="10505" spans="1:14" ht="14.25" customHeight="1" x14ac:dyDescent="0.25">
      <c r="A10505" s="475"/>
      <c r="B10505" s="476"/>
      <c r="C10505" s="477"/>
      <c r="D10505" s="478"/>
      <c r="E10505" s="479"/>
      <c r="F10505" s="477"/>
      <c r="G10505" s="81"/>
      <c r="H10505" s="81"/>
      <c r="I10505" s="81"/>
      <c r="J10505" s="81"/>
      <c r="K10505" s="81"/>
      <c r="L10505" s="81"/>
      <c r="M10505" s="81"/>
      <c r="N10505" s="81"/>
    </row>
    <row r="10506" spans="1:14" ht="14.25" customHeight="1" x14ac:dyDescent="0.25">
      <c r="A10506" s="475"/>
      <c r="B10506" s="476"/>
      <c r="C10506" s="477"/>
      <c r="D10506" s="478"/>
      <c r="E10506" s="479"/>
      <c r="F10506" s="477"/>
      <c r="G10506" s="81"/>
      <c r="H10506" s="81"/>
      <c r="I10506" s="81"/>
      <c r="J10506" s="81"/>
      <c r="K10506" s="81"/>
      <c r="L10506" s="81"/>
      <c r="M10506" s="81"/>
      <c r="N10506" s="81"/>
    </row>
    <row r="10507" spans="1:14" ht="14.25" customHeight="1" x14ac:dyDescent="0.25">
      <c r="A10507" s="475"/>
      <c r="B10507" s="476"/>
      <c r="C10507" s="477"/>
      <c r="D10507" s="478"/>
      <c r="E10507" s="479"/>
      <c r="F10507" s="477"/>
      <c r="G10507" s="81"/>
      <c r="H10507" s="81"/>
      <c r="I10507" s="81"/>
      <c r="J10507" s="81"/>
      <c r="K10507" s="81"/>
      <c r="L10507" s="81"/>
      <c r="M10507" s="81"/>
      <c r="N10507" s="81"/>
    </row>
    <row r="10508" spans="1:14" ht="14.25" customHeight="1" x14ac:dyDescent="0.25">
      <c r="A10508" s="475"/>
      <c r="B10508" s="476"/>
      <c r="C10508" s="483"/>
      <c r="D10508" s="484"/>
      <c r="E10508" s="485"/>
      <c r="F10508" s="483"/>
      <c r="G10508" s="81"/>
      <c r="H10508" s="81"/>
      <c r="I10508" s="81"/>
      <c r="J10508" s="81"/>
      <c r="K10508" s="81"/>
      <c r="L10508" s="81"/>
      <c r="M10508" s="81"/>
      <c r="N10508" s="81"/>
    </row>
    <row r="10509" spans="1:14" ht="14.25" customHeight="1" x14ac:dyDescent="0.25">
      <c r="A10509" s="199" t="s">
        <v>548</v>
      </c>
      <c r="B10509" s="199"/>
      <c r="C10509" s="486"/>
      <c r="D10509" s="487"/>
      <c r="E10509" s="488"/>
      <c r="F10509" s="489">
        <f>SUM(F10502:F10508)</f>
        <v>14143100</v>
      </c>
      <c r="G10509" s="81"/>
      <c r="H10509" s="81"/>
      <c r="I10509" s="81"/>
      <c r="J10509" s="81"/>
      <c r="K10509" s="81"/>
      <c r="L10509" s="81"/>
      <c r="M10509" s="81"/>
      <c r="N10509" s="81"/>
    </row>
    <row r="10510" spans="1:14" ht="14.25" customHeight="1" x14ac:dyDescent="0.25">
      <c r="A10510" s="192"/>
      <c r="B10510" s="192"/>
      <c r="C10510" s="215"/>
      <c r="D10510" s="215"/>
      <c r="E10510" s="216"/>
      <c r="F10510" s="215"/>
      <c r="G10510" s="81"/>
      <c r="H10510" s="81"/>
      <c r="I10510" s="81"/>
      <c r="J10510" s="81"/>
      <c r="K10510" s="81"/>
      <c r="L10510" s="81"/>
      <c r="M10510" s="81"/>
      <c r="N10510" s="81"/>
    </row>
    <row r="10511" spans="1:14" ht="14.25" customHeight="1" x14ac:dyDescent="0.25">
      <c r="A10511" s="198" t="s">
        <v>573</v>
      </c>
      <c r="B10511" s="198"/>
      <c r="C10511" s="193"/>
      <c r="D10511" s="193"/>
      <c r="E10511" s="193"/>
      <c r="F10511" s="193"/>
      <c r="G10511" s="81"/>
      <c r="H10511" s="81"/>
      <c r="I10511" s="81"/>
      <c r="J10511" s="81"/>
      <c r="K10511" s="81"/>
      <c r="L10511" s="81"/>
      <c r="M10511" s="81"/>
      <c r="N10511" s="81"/>
    </row>
    <row r="10512" spans="1:14" ht="14.25" customHeight="1" x14ac:dyDescent="0.25">
      <c r="A10512" s="585" t="s">
        <v>563</v>
      </c>
      <c r="B10512" s="586"/>
      <c r="C10512" s="587"/>
      <c r="D10512" s="474" t="s">
        <v>574</v>
      </c>
      <c r="E10512" s="474" t="s">
        <v>575</v>
      </c>
      <c r="F10512" s="474" t="s">
        <v>568</v>
      </c>
      <c r="G10512" s="81"/>
      <c r="H10512" s="81"/>
      <c r="I10512" s="81"/>
      <c r="J10512" s="81"/>
      <c r="K10512" s="81"/>
      <c r="L10512" s="81"/>
      <c r="M10512" s="81"/>
      <c r="N10512" s="81"/>
    </row>
    <row r="10513" spans="1:14" ht="14.25" customHeight="1" x14ac:dyDescent="0.25">
      <c r="A10513" s="588" t="s">
        <v>577</v>
      </c>
      <c r="B10513" s="586"/>
      <c r="C10513" s="587"/>
      <c r="D10513" s="490"/>
      <c r="E10513" s="484"/>
      <c r="F10513" s="483">
        <f>+F10526*5%</f>
        <v>155215.5744001845</v>
      </c>
      <c r="G10513" s="81"/>
      <c r="H10513" s="81"/>
      <c r="I10513" s="81"/>
      <c r="J10513" s="81"/>
      <c r="K10513" s="81"/>
      <c r="L10513" s="81"/>
      <c r="M10513" s="81"/>
      <c r="N10513" s="81"/>
    </row>
    <row r="10514" spans="1:14" ht="14.25" customHeight="1" x14ac:dyDescent="0.25">
      <c r="A10514" s="588"/>
      <c r="B10514" s="586"/>
      <c r="C10514" s="587"/>
      <c r="D10514" s="505"/>
      <c r="E10514" s="484"/>
      <c r="F10514" s="483"/>
      <c r="G10514" s="81"/>
      <c r="H10514" s="81"/>
      <c r="I10514" s="81"/>
      <c r="J10514" s="81"/>
      <c r="K10514" s="81"/>
      <c r="L10514" s="81"/>
      <c r="M10514" s="81"/>
      <c r="N10514" s="81"/>
    </row>
    <row r="10515" spans="1:14" ht="14.25" customHeight="1" x14ac:dyDescent="0.25">
      <c r="A10515" s="588"/>
      <c r="B10515" s="586"/>
      <c r="C10515" s="587"/>
      <c r="D10515" s="505"/>
      <c r="E10515" s="484"/>
      <c r="F10515" s="483"/>
      <c r="G10515" s="81"/>
      <c r="H10515" s="81"/>
      <c r="I10515" s="81"/>
      <c r="J10515" s="81"/>
      <c r="K10515" s="81"/>
      <c r="L10515" s="81"/>
      <c r="M10515" s="81"/>
      <c r="N10515" s="81"/>
    </row>
    <row r="10516" spans="1:14" ht="14.25" customHeight="1" x14ac:dyDescent="0.25">
      <c r="A10516" s="588"/>
      <c r="B10516" s="586"/>
      <c r="C10516" s="587"/>
      <c r="D10516" s="505"/>
      <c r="E10516" s="484"/>
      <c r="F10516" s="483"/>
      <c r="G10516" s="81"/>
      <c r="H10516" s="81"/>
      <c r="I10516" s="81"/>
      <c r="J10516" s="81"/>
      <c r="K10516" s="81"/>
      <c r="L10516" s="81"/>
      <c r="M10516" s="81"/>
      <c r="N10516" s="81"/>
    </row>
    <row r="10517" spans="1:14" ht="14.25" customHeight="1" x14ac:dyDescent="0.25">
      <c r="A10517" s="589"/>
      <c r="B10517" s="586"/>
      <c r="C10517" s="587"/>
      <c r="D10517" s="491"/>
      <c r="E10517" s="484"/>
      <c r="F10517" s="483"/>
      <c r="G10517" s="81"/>
      <c r="H10517" s="81"/>
      <c r="I10517" s="81"/>
      <c r="J10517" s="81"/>
      <c r="K10517" s="81"/>
      <c r="L10517" s="81"/>
      <c r="M10517" s="81"/>
      <c r="N10517" s="81"/>
    </row>
    <row r="10518" spans="1:14" ht="14.25" customHeight="1" x14ac:dyDescent="0.25">
      <c r="A10518" s="585" t="s">
        <v>548</v>
      </c>
      <c r="B10518" s="586"/>
      <c r="C10518" s="587"/>
      <c r="D10518" s="487"/>
      <c r="E10518" s="487"/>
      <c r="F10518" s="489">
        <f>SUM(F10513:F10517)</f>
        <v>155215.5744001845</v>
      </c>
      <c r="G10518" s="81"/>
      <c r="H10518" s="81"/>
      <c r="I10518" s="81"/>
      <c r="J10518" s="81"/>
      <c r="K10518" s="81"/>
      <c r="L10518" s="81"/>
      <c r="M10518" s="81"/>
      <c r="N10518" s="81"/>
    </row>
    <row r="10519" spans="1:14" ht="14.25" customHeight="1" x14ac:dyDescent="0.25">
      <c r="A10519" s="192"/>
      <c r="B10519" s="192"/>
      <c r="C10519" s="194"/>
      <c r="D10519" s="215"/>
      <c r="E10519" s="215"/>
      <c r="F10519" s="215"/>
      <c r="G10519" s="81"/>
      <c r="H10519" s="81"/>
      <c r="I10519" s="81"/>
      <c r="J10519" s="81"/>
      <c r="K10519" s="81"/>
      <c r="L10519" s="81"/>
      <c r="M10519" s="81"/>
      <c r="N10519" s="81"/>
    </row>
    <row r="10520" spans="1:14" ht="14.25" customHeight="1" x14ac:dyDescent="0.25">
      <c r="A10520" s="198" t="s">
        <v>578</v>
      </c>
      <c r="B10520" s="198"/>
      <c r="C10520" s="193"/>
      <c r="D10520" s="223"/>
      <c r="E10520" s="223"/>
      <c r="F10520" s="223"/>
      <c r="G10520" s="81"/>
      <c r="H10520" s="81"/>
      <c r="I10520" s="81"/>
      <c r="J10520" s="81"/>
      <c r="K10520" s="81"/>
      <c r="L10520" s="81"/>
      <c r="M10520" s="81"/>
      <c r="N10520" s="81"/>
    </row>
    <row r="10521" spans="1:14" ht="14.25" customHeight="1" x14ac:dyDescent="0.25">
      <c r="A10521" s="224" t="s">
        <v>563</v>
      </c>
      <c r="B10521" s="492" t="s">
        <v>579</v>
      </c>
      <c r="C10521" s="492" t="s">
        <v>580</v>
      </c>
      <c r="D10521" s="493" t="s">
        <v>581</v>
      </c>
      <c r="E10521" s="493" t="s">
        <v>575</v>
      </c>
      <c r="F10521" s="493" t="s">
        <v>568</v>
      </c>
      <c r="G10521" s="81"/>
      <c r="H10521" s="81"/>
      <c r="I10521" s="81"/>
      <c r="J10521" s="81"/>
      <c r="K10521" s="81"/>
      <c r="L10521" s="81"/>
      <c r="M10521" s="81"/>
      <c r="N10521" s="81"/>
    </row>
    <row r="10522" spans="1:14" ht="14.25" customHeight="1" x14ac:dyDescent="0.25">
      <c r="A10522" s="494" t="s">
        <v>916</v>
      </c>
      <c r="B10522" s="495">
        <v>1</v>
      </c>
      <c r="C10522" s="477">
        <v>35956.800000000003</v>
      </c>
      <c r="D10522" s="477">
        <f t="shared" ref="D10522:D10523" si="523">+C10522*1.7</f>
        <v>61126.560000000005</v>
      </c>
      <c r="E10522" s="484">
        <v>5.1339120000000002E-2</v>
      </c>
      <c r="F10522" s="483">
        <f t="shared" ref="F10522:F10523" si="524">+B10522*(D10522)/E10522</f>
        <v>1190642.9249274237</v>
      </c>
      <c r="G10522" s="81"/>
      <c r="H10522" s="81"/>
      <c r="I10522" s="81"/>
      <c r="J10522" s="81"/>
      <c r="K10522" s="81"/>
      <c r="L10522" s="81"/>
      <c r="M10522" s="81"/>
      <c r="N10522" s="81"/>
    </row>
    <row r="10523" spans="1:14" ht="14.25" customHeight="1" x14ac:dyDescent="0.25">
      <c r="A10523" s="494" t="s">
        <v>917</v>
      </c>
      <c r="B10523" s="495">
        <v>1</v>
      </c>
      <c r="C10523" s="477">
        <v>57791.8</v>
      </c>
      <c r="D10523" s="477">
        <f t="shared" si="523"/>
        <v>98246.06</v>
      </c>
      <c r="E10523" s="484">
        <f>E10522</f>
        <v>5.1339120000000002E-2</v>
      </c>
      <c r="F10523" s="483">
        <f t="shared" si="524"/>
        <v>1913668.5630762661</v>
      </c>
      <c r="G10523" s="81"/>
      <c r="H10523" s="81"/>
      <c r="I10523" s="81"/>
      <c r="J10523" s="81"/>
      <c r="K10523" s="81"/>
      <c r="L10523" s="81"/>
      <c r="M10523" s="81"/>
      <c r="N10523" s="81"/>
    </row>
    <row r="10524" spans="1:14" ht="14.25" customHeight="1" x14ac:dyDescent="0.25">
      <c r="A10524" s="494"/>
      <c r="B10524" s="495"/>
      <c r="C10524" s="477"/>
      <c r="D10524" s="477"/>
      <c r="E10524" s="484"/>
      <c r="F10524" s="483"/>
      <c r="G10524" s="81"/>
      <c r="H10524" s="81"/>
      <c r="I10524" s="81"/>
      <c r="J10524" s="81"/>
      <c r="K10524" s="81"/>
      <c r="L10524" s="81"/>
      <c r="M10524" s="81"/>
      <c r="N10524" s="81"/>
    </row>
    <row r="10525" spans="1:14" ht="14.25" customHeight="1" x14ac:dyDescent="0.25">
      <c r="A10525" s="494"/>
      <c r="B10525" s="495"/>
      <c r="C10525" s="477"/>
      <c r="D10525" s="477"/>
      <c r="E10525" s="496"/>
      <c r="F10525" s="483"/>
      <c r="G10525" s="81"/>
      <c r="H10525" s="81"/>
      <c r="I10525" s="81"/>
      <c r="J10525" s="81"/>
      <c r="K10525" s="81"/>
      <c r="L10525" s="81"/>
      <c r="M10525" s="81"/>
      <c r="N10525" s="81"/>
    </row>
    <row r="10526" spans="1:14" ht="14.25" customHeight="1" x14ac:dyDescent="0.25">
      <c r="A10526" s="199" t="s">
        <v>548</v>
      </c>
      <c r="B10526" s="497"/>
      <c r="C10526" s="487"/>
      <c r="D10526" s="487"/>
      <c r="E10526" s="487"/>
      <c r="F10526" s="489">
        <f>SUM(F10522:F10525)</f>
        <v>3104311.4880036898</v>
      </c>
      <c r="G10526" s="81"/>
      <c r="H10526" s="81"/>
      <c r="I10526" s="81"/>
      <c r="J10526" s="81"/>
      <c r="K10526" s="81"/>
      <c r="L10526" s="81"/>
      <c r="M10526" s="81"/>
      <c r="N10526" s="81"/>
    </row>
    <row r="10527" spans="1:14" ht="14.25" customHeight="1" x14ac:dyDescent="0.25">
      <c r="A10527" s="198"/>
      <c r="B10527" s="231"/>
      <c r="C10527" s="223"/>
      <c r="D10527" s="223"/>
      <c r="E10527" s="223"/>
      <c r="F10527" s="223"/>
      <c r="G10527" s="81"/>
      <c r="H10527" s="81"/>
      <c r="I10527" s="81"/>
      <c r="J10527" s="81"/>
      <c r="K10527" s="81"/>
      <c r="L10527" s="81"/>
      <c r="M10527" s="81"/>
      <c r="N10527" s="81"/>
    </row>
    <row r="10528" spans="1:14" ht="14.25" customHeight="1" x14ac:dyDescent="0.25">
      <c r="A10528" s="197" t="s">
        <v>583</v>
      </c>
      <c r="B10528" s="198"/>
      <c r="C10528" s="193"/>
      <c r="D10528" s="193"/>
      <c r="E10528" s="193" t="s">
        <v>584</v>
      </c>
      <c r="F10528" s="193"/>
      <c r="G10528" s="81"/>
      <c r="H10528" s="81"/>
      <c r="I10528" s="81"/>
      <c r="J10528" s="81"/>
      <c r="K10528" s="81"/>
      <c r="L10528" s="81"/>
      <c r="M10528" s="81"/>
      <c r="N10528" s="81"/>
    </row>
    <row r="10529" spans="1:14" ht="14.25" customHeight="1" x14ac:dyDescent="0.25">
      <c r="A10529" s="199" t="s">
        <v>563</v>
      </c>
      <c r="B10529" s="474" t="s">
        <v>564</v>
      </c>
      <c r="C10529" s="474" t="s">
        <v>585</v>
      </c>
      <c r="D10529" s="474" t="s">
        <v>586</v>
      </c>
      <c r="E10529" s="492" t="s">
        <v>587</v>
      </c>
      <c r="F10529" s="474" t="s">
        <v>568</v>
      </c>
      <c r="G10529" s="81"/>
      <c r="H10529" s="81"/>
      <c r="I10529" s="81"/>
      <c r="J10529" s="81"/>
      <c r="K10529" s="81"/>
      <c r="L10529" s="81"/>
      <c r="M10529" s="81"/>
      <c r="N10529" s="81"/>
    </row>
    <row r="10530" spans="1:14" ht="14.25" customHeight="1" x14ac:dyDescent="0.25">
      <c r="A10530" s="480"/>
      <c r="B10530" s="476"/>
      <c r="C10530" s="477"/>
      <c r="D10530" s="498"/>
      <c r="E10530" s="484"/>
      <c r="F10530" s="486">
        <f>+C10530*D10530*E10530</f>
        <v>0</v>
      </c>
      <c r="G10530" s="81"/>
      <c r="H10530" s="117"/>
      <c r="I10530" s="81"/>
      <c r="J10530" s="81"/>
      <c r="K10530" s="81"/>
      <c r="L10530" s="81"/>
      <c r="M10530" s="81"/>
      <c r="N10530" s="81"/>
    </row>
    <row r="10531" spans="1:14" ht="14.25" customHeight="1" x14ac:dyDescent="0.25">
      <c r="A10531" s="480"/>
      <c r="B10531" s="476"/>
      <c r="C10531" s="484"/>
      <c r="D10531" s="484"/>
      <c r="E10531" s="485"/>
      <c r="F10531" s="486"/>
      <c r="G10531" s="81"/>
      <c r="H10531" s="81"/>
      <c r="I10531" s="81"/>
      <c r="J10531" s="81"/>
      <c r="K10531" s="81"/>
      <c r="L10531" s="81"/>
      <c r="M10531" s="81"/>
      <c r="N10531" s="81"/>
    </row>
    <row r="10532" spans="1:14" ht="14.25" customHeight="1" x14ac:dyDescent="0.25">
      <c r="A10532" s="199" t="s">
        <v>548</v>
      </c>
      <c r="B10532" s="474"/>
      <c r="C10532" s="487"/>
      <c r="D10532" s="487"/>
      <c r="E10532" s="488"/>
      <c r="F10532" s="489">
        <f>SUM(F10530:F10531)</f>
        <v>0</v>
      </c>
      <c r="G10532" s="81"/>
      <c r="H10532" s="81"/>
      <c r="I10532" s="81"/>
      <c r="J10532" s="81"/>
      <c r="K10532" s="81"/>
      <c r="L10532" s="81"/>
      <c r="M10532" s="81"/>
      <c r="N10532" s="81"/>
    </row>
    <row r="10533" spans="1:14" ht="14.25" customHeight="1" x14ac:dyDescent="0.25">
      <c r="A10533" s="192"/>
      <c r="B10533" s="194"/>
      <c r="C10533" s="215"/>
      <c r="D10533" s="215"/>
      <c r="E10533" s="216"/>
      <c r="F10533" s="215"/>
      <c r="G10533" s="81"/>
      <c r="H10533" s="81"/>
      <c r="I10533" s="81"/>
      <c r="J10533" s="81"/>
      <c r="K10533" s="81"/>
      <c r="L10533" s="81"/>
      <c r="M10533" s="81"/>
      <c r="N10533" s="81"/>
    </row>
    <row r="10534" spans="1:14" ht="14.25" customHeight="1" x14ac:dyDescent="0.25">
      <c r="A10534" s="192"/>
      <c r="B10534" s="194"/>
      <c r="C10534" s="215"/>
      <c r="D10534" s="215"/>
      <c r="E10534" s="216"/>
      <c r="F10534" s="215"/>
      <c r="G10534" s="81"/>
      <c r="H10534" s="81"/>
      <c r="I10534" s="81"/>
      <c r="J10534" s="81"/>
      <c r="K10534" s="81"/>
      <c r="L10534" s="81"/>
      <c r="M10534" s="81"/>
      <c r="N10534" s="81"/>
    </row>
    <row r="10535" spans="1:14" ht="14.25" customHeight="1" x14ac:dyDescent="0.25">
      <c r="A10535" s="590" t="s">
        <v>588</v>
      </c>
      <c r="B10535" s="586"/>
      <c r="C10535" s="586"/>
      <c r="D10535" s="586"/>
      <c r="E10535" s="587"/>
      <c r="F10535" s="499">
        <f>ROUND(F10509+F10518+F10526+F10532,0)</f>
        <v>17402627</v>
      </c>
      <c r="G10535" s="81"/>
      <c r="H10535" s="81"/>
      <c r="I10535" s="81"/>
      <c r="J10535" s="81"/>
      <c r="K10535" s="81"/>
      <c r="L10535" s="81"/>
      <c r="M10535" s="81"/>
      <c r="N10535" s="81"/>
    </row>
    <row r="10536" spans="1:14" ht="14.25" customHeight="1" x14ac:dyDescent="0.25">
      <c r="A10536" s="590" t="s">
        <v>589</v>
      </c>
      <c r="B10536" s="586"/>
      <c r="C10536" s="586"/>
      <c r="D10536" s="586"/>
      <c r="E10536" s="587"/>
      <c r="F10536" s="500"/>
      <c r="G10536" s="81"/>
      <c r="H10536" s="81"/>
      <c r="I10536" s="81"/>
      <c r="J10536" s="81"/>
      <c r="K10536" s="81"/>
      <c r="L10536" s="81"/>
      <c r="M10536" s="81"/>
      <c r="N10536" s="81"/>
    </row>
    <row r="10537" spans="1:14" ht="14.25" customHeight="1" x14ac:dyDescent="0.25">
      <c r="A10537" s="300" t="s">
        <v>556</v>
      </c>
      <c r="B10537" s="506"/>
      <c r="C10537" s="506"/>
      <c r="D10537" s="506"/>
      <c r="E10537" s="507"/>
      <c r="F10537" s="501"/>
      <c r="G10537" s="81"/>
      <c r="H10537" s="81"/>
      <c r="I10537" s="81"/>
      <c r="J10537" s="81"/>
      <c r="K10537" s="81"/>
      <c r="L10537" s="81"/>
      <c r="M10537" s="81"/>
      <c r="N10537" s="81"/>
    </row>
    <row r="10538" spans="1:14" ht="14.25" customHeight="1" x14ac:dyDescent="0.25">
      <c r="A10538" s="301"/>
      <c r="B10538" s="502"/>
      <c r="C10538" s="502"/>
      <c r="D10538" s="502"/>
      <c r="E10538" s="502"/>
      <c r="F10538" s="503"/>
      <c r="G10538" s="81"/>
      <c r="H10538" s="81"/>
      <c r="I10538" s="81"/>
      <c r="J10538" s="81"/>
      <c r="K10538" s="81"/>
      <c r="L10538" s="81"/>
      <c r="M10538" s="81"/>
      <c r="N10538" s="81"/>
    </row>
    <row r="10539" spans="1:14" ht="14.25" customHeight="1" x14ac:dyDescent="0.25">
      <c r="A10539" s="301"/>
      <c r="B10539" s="502"/>
      <c r="C10539" s="502"/>
      <c r="D10539" s="502"/>
      <c r="E10539" s="502"/>
      <c r="F10539" s="503"/>
      <c r="G10539" s="81"/>
      <c r="H10539" s="81"/>
      <c r="I10539" s="81"/>
      <c r="J10539" s="81"/>
      <c r="K10539" s="81"/>
      <c r="L10539" s="81"/>
      <c r="M10539" s="81"/>
      <c r="N10539" s="81"/>
    </row>
    <row r="10540" spans="1:14" ht="14.25" customHeight="1" x14ac:dyDescent="0.25">
      <c r="A10540" s="301"/>
      <c r="B10540" s="502"/>
      <c r="C10540" s="502"/>
      <c r="D10540" s="502"/>
      <c r="E10540" s="502"/>
      <c r="F10540" s="503"/>
      <c r="G10540" s="81"/>
      <c r="H10540" s="81"/>
      <c r="I10540" s="81"/>
      <c r="J10540" s="81"/>
      <c r="K10540" s="81"/>
      <c r="L10540" s="81"/>
      <c r="M10540" s="81"/>
      <c r="N10540" s="81"/>
    </row>
    <row r="10541" spans="1:14" ht="14.25" customHeight="1" x14ac:dyDescent="0.25">
      <c r="A10541" s="243"/>
      <c r="B10541" s="243"/>
      <c r="C10541" s="504"/>
      <c r="D10541" s="243"/>
      <c r="E10541" s="243"/>
      <c r="F10541" s="243"/>
      <c r="G10541" s="81"/>
      <c r="H10541" s="81"/>
      <c r="I10541" s="81"/>
      <c r="J10541" s="81"/>
      <c r="K10541" s="81"/>
      <c r="L10541" s="81"/>
      <c r="M10541" s="81"/>
      <c r="N10541" s="81"/>
    </row>
    <row r="10542" spans="1:14" ht="14.25" customHeight="1" x14ac:dyDescent="0.25">
      <c r="A10542" s="243"/>
      <c r="B10542" s="243"/>
      <c r="C10542" s="504"/>
      <c r="D10542" s="243"/>
      <c r="E10542" s="243"/>
      <c r="F10542" s="243"/>
      <c r="G10542" s="81"/>
      <c r="H10542" s="81"/>
      <c r="I10542" s="81"/>
      <c r="J10542" s="81"/>
      <c r="K10542" s="81"/>
      <c r="L10542" s="81"/>
      <c r="M10542" s="81"/>
      <c r="N10542" s="81"/>
    </row>
    <row r="10543" spans="1:14" ht="14.25" customHeight="1" x14ac:dyDescent="0.25">
      <c r="A10543" s="243"/>
      <c r="B10543" s="243"/>
      <c r="C10543" s="504"/>
      <c r="D10543" s="243"/>
      <c r="E10543" s="243"/>
      <c r="F10543" s="243"/>
      <c r="G10543" s="81"/>
      <c r="H10543" s="81"/>
      <c r="I10543" s="81"/>
      <c r="J10543" s="81"/>
      <c r="K10543" s="81"/>
      <c r="L10543" s="81"/>
      <c r="M10543" s="81"/>
      <c r="N10543" s="81"/>
    </row>
    <row r="10544" spans="1:14" ht="14.25" customHeight="1" x14ac:dyDescent="0.25">
      <c r="A10544" s="243"/>
      <c r="B10544" s="243"/>
      <c r="C10544" s="504"/>
      <c r="D10544" s="243"/>
      <c r="E10544" s="243"/>
      <c r="F10544" s="243"/>
      <c r="G10544" s="81"/>
      <c r="H10544" s="81"/>
      <c r="I10544" s="81"/>
      <c r="J10544" s="81"/>
      <c r="K10544" s="81"/>
      <c r="L10544" s="81"/>
      <c r="M10544" s="81"/>
      <c r="N10544" s="81"/>
    </row>
    <row r="10545" spans="1:14" ht="14.25" customHeight="1" x14ac:dyDescent="0.25">
      <c r="A10545" s="243"/>
      <c r="B10545" s="243"/>
      <c r="C10545" s="504"/>
      <c r="D10545" s="243"/>
      <c r="E10545" s="243"/>
      <c r="F10545" s="243"/>
      <c r="G10545" s="81"/>
      <c r="H10545" s="81"/>
      <c r="I10545" s="81"/>
      <c r="J10545" s="81"/>
      <c r="K10545" s="81"/>
      <c r="L10545" s="81"/>
      <c r="M10545" s="81"/>
      <c r="N10545" s="81"/>
    </row>
    <row r="10546" spans="1:14" ht="14.25" customHeight="1" x14ac:dyDescent="0.25">
      <c r="A10546" s="243"/>
      <c r="B10546" s="243"/>
      <c r="C10546" s="504"/>
      <c r="D10546" s="243"/>
      <c r="E10546" s="243"/>
      <c r="F10546" s="243"/>
      <c r="G10546" s="81"/>
      <c r="H10546" s="81"/>
      <c r="I10546" s="81"/>
      <c r="J10546" s="81"/>
      <c r="K10546" s="81"/>
      <c r="L10546" s="81"/>
      <c r="M10546" s="81"/>
      <c r="N10546" s="81"/>
    </row>
    <row r="10547" spans="1:14" ht="14.25" customHeight="1" x14ac:dyDescent="0.25">
      <c r="A10547" s="243"/>
      <c r="B10547" s="243"/>
      <c r="C10547" s="504"/>
      <c r="D10547" s="243"/>
      <c r="E10547" s="243"/>
      <c r="F10547" s="243"/>
      <c r="G10547" s="81"/>
      <c r="H10547" s="81"/>
      <c r="I10547" s="81"/>
      <c r="J10547" s="81"/>
      <c r="K10547" s="81"/>
      <c r="L10547" s="81"/>
      <c r="M10547" s="81"/>
      <c r="N10547" s="81"/>
    </row>
    <row r="10548" spans="1:14" ht="14.25" customHeight="1" x14ac:dyDescent="0.25">
      <c r="A10548" s="243"/>
      <c r="B10548" s="243"/>
      <c r="C10548" s="504"/>
      <c r="D10548" s="243"/>
      <c r="E10548" s="243"/>
      <c r="F10548" s="243"/>
      <c r="G10548" s="81"/>
      <c r="H10548" s="81"/>
      <c r="I10548" s="81"/>
      <c r="J10548" s="81"/>
      <c r="K10548" s="81"/>
      <c r="L10548" s="81"/>
      <c r="M10548" s="81"/>
      <c r="N10548" s="81"/>
    </row>
    <row r="10549" spans="1:14" ht="14.25" customHeight="1" x14ac:dyDescent="0.25">
      <c r="A10549" s="243"/>
      <c r="B10549" s="243"/>
      <c r="C10549" s="504"/>
      <c r="D10549" s="243"/>
      <c r="E10549" s="243"/>
      <c r="F10549" s="243"/>
      <c r="G10549" s="81"/>
      <c r="H10549" s="81"/>
      <c r="I10549" s="81"/>
      <c r="J10549" s="81"/>
      <c r="K10549" s="81"/>
      <c r="L10549" s="81"/>
      <c r="M10549" s="81"/>
      <c r="N10549" s="81"/>
    </row>
    <row r="10550" spans="1:14" ht="14.25" customHeight="1" x14ac:dyDescent="0.25">
      <c r="A10550" s="243"/>
      <c r="B10550" s="243"/>
      <c r="C10550" s="504"/>
      <c r="D10550" s="243"/>
      <c r="E10550" s="243"/>
      <c r="F10550" s="243"/>
      <c r="G10550" s="81"/>
      <c r="H10550" s="81"/>
      <c r="I10550" s="81"/>
      <c r="J10550" s="81"/>
      <c r="K10550" s="81"/>
      <c r="L10550" s="81"/>
      <c r="M10550" s="81"/>
      <c r="N10550" s="81"/>
    </row>
    <row r="10551" spans="1:14" ht="14.25" customHeight="1" x14ac:dyDescent="0.25">
      <c r="A10551" s="243"/>
      <c r="B10551" s="243"/>
      <c r="C10551" s="504"/>
      <c r="D10551" s="243"/>
      <c r="E10551" s="243"/>
      <c r="F10551" s="243"/>
      <c r="G10551" s="81"/>
      <c r="H10551" s="81"/>
      <c r="I10551" s="81"/>
      <c r="J10551" s="81"/>
      <c r="K10551" s="81"/>
      <c r="L10551" s="81"/>
      <c r="M10551" s="81"/>
      <c r="N10551" s="81"/>
    </row>
    <row r="10552" spans="1:14" ht="14.25" customHeight="1" x14ac:dyDescent="0.25">
      <c r="A10552" s="301"/>
      <c r="B10552" s="502"/>
      <c r="C10552" s="502"/>
      <c r="D10552" s="502"/>
      <c r="E10552" s="502"/>
      <c r="F10552" s="503"/>
      <c r="G10552" s="81"/>
      <c r="H10552" s="81"/>
      <c r="I10552" s="81"/>
      <c r="J10552" s="81"/>
      <c r="K10552" s="81"/>
      <c r="L10552" s="81"/>
      <c r="M10552" s="81"/>
      <c r="N10552" s="81"/>
    </row>
    <row r="10553" spans="1:14" ht="14.25" customHeight="1" thickBot="1" x14ac:dyDescent="0.3">
      <c r="A10553" s="243"/>
      <c r="B10553" s="243"/>
      <c r="C10553" s="243"/>
      <c r="D10553" s="243"/>
      <c r="E10553" s="243"/>
      <c r="F10553" s="243"/>
      <c r="G10553" s="81"/>
      <c r="H10553" s="81"/>
      <c r="I10553" s="81"/>
      <c r="J10553" s="81"/>
      <c r="K10553" s="81"/>
      <c r="L10553" s="81"/>
      <c r="M10553" s="81"/>
      <c r="N10553" s="81"/>
    </row>
    <row r="10554" spans="1:14" ht="14.25" customHeight="1" x14ac:dyDescent="0.25">
      <c r="A10554" s="258"/>
      <c r="B10554" s="259"/>
      <c r="C10554" s="260"/>
      <c r="D10554" s="261"/>
      <c r="E10554" s="261"/>
      <c r="F10554" s="262"/>
      <c r="G10554" s="81"/>
      <c r="H10554" s="81"/>
      <c r="I10554" s="81"/>
      <c r="J10554" s="81"/>
      <c r="K10554" s="81"/>
      <c r="L10554" s="81"/>
      <c r="M10554" s="81"/>
      <c r="N10554" s="81"/>
    </row>
    <row r="10555" spans="1:14" ht="14.25" customHeight="1" x14ac:dyDescent="0.25">
      <c r="A10555" s="621"/>
      <c r="B10555" s="629"/>
      <c r="C10555" s="629"/>
      <c r="D10555" s="629"/>
      <c r="E10555" s="629"/>
      <c r="F10555" s="630"/>
      <c r="G10555" s="81"/>
      <c r="H10555" s="81"/>
      <c r="I10555" s="81"/>
      <c r="J10555" s="81"/>
      <c r="K10555" s="81"/>
      <c r="L10555" s="81"/>
      <c r="M10555" s="81"/>
      <c r="N10555" s="81"/>
    </row>
    <row r="10556" spans="1:14" ht="14.25" customHeight="1" x14ac:dyDescent="0.25">
      <c r="A10556" s="614" t="s">
        <v>561</v>
      </c>
      <c r="B10556" s="629"/>
      <c r="C10556" s="629"/>
      <c r="D10556" s="629"/>
      <c r="E10556" s="629"/>
      <c r="F10556" s="630"/>
      <c r="G10556" s="81"/>
      <c r="H10556" s="81"/>
      <c r="I10556" s="81"/>
      <c r="J10556" s="81"/>
      <c r="K10556" s="81"/>
      <c r="L10556" s="81"/>
      <c r="M10556" s="81"/>
      <c r="N10556" s="81"/>
    </row>
    <row r="10557" spans="1:14" ht="14.25" customHeight="1" thickBot="1" x14ac:dyDescent="0.3">
      <c r="A10557" s="617"/>
      <c r="B10557" s="631"/>
      <c r="C10557" s="631"/>
      <c r="D10557" s="631"/>
      <c r="E10557" s="631"/>
      <c r="F10557" s="632"/>
      <c r="G10557" s="81"/>
      <c r="H10557" s="81"/>
      <c r="I10557" s="81"/>
      <c r="J10557" s="81"/>
      <c r="K10557" s="81"/>
      <c r="L10557" s="81"/>
      <c r="M10557" s="81"/>
      <c r="N10557" s="81"/>
    </row>
    <row r="10558" spans="1:14" ht="14.25" customHeight="1" x14ac:dyDescent="0.25">
      <c r="A10558" s="192"/>
      <c r="B10558" s="192"/>
      <c r="C10558" s="194"/>
      <c r="D10558" s="194"/>
      <c r="E10558" s="194"/>
      <c r="F10558" s="194"/>
      <c r="G10558" s="81"/>
      <c r="H10558" s="81"/>
      <c r="I10558" s="81"/>
      <c r="J10558" s="81"/>
      <c r="K10558" s="81"/>
      <c r="L10558" s="81"/>
      <c r="M10558" s="81"/>
      <c r="N10558" s="81"/>
    </row>
    <row r="10559" spans="1:14" ht="14.25" customHeight="1" x14ac:dyDescent="0.25">
      <c r="A10559" s="473" t="s">
        <v>47</v>
      </c>
      <c r="B10559" s="620" t="s">
        <v>1411</v>
      </c>
      <c r="C10559" s="629"/>
      <c r="D10559" s="629"/>
      <c r="E10559" s="629"/>
      <c r="F10559" s="629"/>
      <c r="G10559" s="81"/>
      <c r="H10559" s="81"/>
      <c r="I10559" s="81"/>
      <c r="J10559" s="81"/>
      <c r="K10559" s="81"/>
      <c r="L10559" s="81"/>
      <c r="M10559" s="81"/>
      <c r="N10559" s="81"/>
    </row>
    <row r="10560" spans="1:14" ht="14.25" customHeight="1" x14ac:dyDescent="0.25">
      <c r="A10560" s="191"/>
      <c r="B10560" s="191"/>
      <c r="C10560" s="191"/>
      <c r="D10560" s="191"/>
      <c r="E10560" s="191"/>
      <c r="F10560" s="191"/>
      <c r="G10560" s="81"/>
      <c r="H10560" s="81"/>
      <c r="I10560" s="81"/>
      <c r="J10560" s="81"/>
      <c r="K10560" s="81"/>
      <c r="L10560" s="81"/>
      <c r="M10560" s="81"/>
      <c r="N10560" s="81"/>
    </row>
    <row r="10561" spans="1:14" ht="14.25" customHeight="1" x14ac:dyDescent="0.25">
      <c r="A10561" s="192" t="s">
        <v>49</v>
      </c>
      <c r="B10561" s="193" t="s">
        <v>99</v>
      </c>
      <c r="C10561" s="194"/>
      <c r="D10561" s="194"/>
      <c r="E10561" s="194"/>
      <c r="F10561" s="195"/>
      <c r="G10561" s="81"/>
      <c r="H10561" s="81"/>
      <c r="I10561" s="81"/>
      <c r="J10561" s="81"/>
      <c r="K10561" s="81"/>
      <c r="L10561" s="81"/>
      <c r="M10561" s="81"/>
      <c r="N10561" s="81"/>
    </row>
    <row r="10562" spans="1:14" ht="14.25" customHeight="1" x14ac:dyDescent="0.25">
      <c r="A10562" s="192"/>
      <c r="B10562" s="196"/>
      <c r="C10562" s="194"/>
      <c r="D10562" s="194"/>
      <c r="E10562" s="194"/>
      <c r="F10562" s="195"/>
      <c r="G10562" s="81"/>
      <c r="H10562" s="81"/>
      <c r="I10562" s="81"/>
      <c r="J10562" s="81"/>
      <c r="K10562" s="81"/>
      <c r="L10562" s="81"/>
      <c r="M10562" s="81"/>
      <c r="N10562" s="81"/>
    </row>
    <row r="10563" spans="1:14" ht="14.25" customHeight="1" x14ac:dyDescent="0.25">
      <c r="A10563" s="197" t="s">
        <v>562</v>
      </c>
      <c r="B10563" s="198"/>
      <c r="C10563" s="193"/>
      <c r="D10563" s="193"/>
      <c r="E10563" s="193"/>
      <c r="F10563" s="193"/>
      <c r="G10563" s="81"/>
      <c r="H10563" s="81"/>
      <c r="I10563" s="81"/>
      <c r="J10563" s="81"/>
      <c r="K10563" s="81"/>
      <c r="L10563" s="81"/>
      <c r="M10563" s="81"/>
      <c r="N10563" s="81"/>
    </row>
    <row r="10564" spans="1:14" ht="14.25" customHeight="1" x14ac:dyDescent="0.25">
      <c r="A10564" s="199" t="s">
        <v>563</v>
      </c>
      <c r="B10564" s="474" t="s">
        <v>564</v>
      </c>
      <c r="C10564" s="474" t="s">
        <v>565</v>
      </c>
      <c r="D10564" s="474" t="s">
        <v>566</v>
      </c>
      <c r="E10564" s="474" t="s">
        <v>567</v>
      </c>
      <c r="F10564" s="474" t="s">
        <v>568</v>
      </c>
      <c r="G10564" s="81"/>
      <c r="H10564" s="81"/>
      <c r="I10564" s="81"/>
      <c r="J10564" s="81"/>
      <c r="K10564" s="81"/>
      <c r="L10564" s="81"/>
      <c r="M10564" s="81"/>
      <c r="N10564" s="81"/>
    </row>
    <row r="10565" spans="1:14" ht="25.5" x14ac:dyDescent="0.25">
      <c r="A10565" s="475" t="s">
        <v>1219</v>
      </c>
      <c r="B10565" s="476" t="s">
        <v>99</v>
      </c>
      <c r="C10565" s="477">
        <v>29990844</v>
      </c>
      <c r="D10565" s="478">
        <v>1</v>
      </c>
      <c r="E10565" s="479"/>
      <c r="F10565" s="477">
        <f>C10565*(D10565+(D10565*E10565))</f>
        <v>29990844</v>
      </c>
      <c r="G10565" s="81"/>
      <c r="H10565" s="81"/>
      <c r="I10565" s="81"/>
      <c r="J10565" s="81"/>
      <c r="K10565" s="81"/>
      <c r="L10565" s="81"/>
      <c r="M10565" s="81"/>
      <c r="N10565" s="81"/>
    </row>
    <row r="10566" spans="1:14" ht="14.25" customHeight="1" x14ac:dyDescent="0.25">
      <c r="A10566" s="475"/>
      <c r="B10566" s="476"/>
      <c r="C10566" s="477"/>
      <c r="D10566" s="478"/>
      <c r="E10566" s="479"/>
      <c r="F10566" s="477"/>
      <c r="G10566" s="81"/>
      <c r="H10566" s="81"/>
      <c r="I10566" s="81"/>
      <c r="J10566" s="81"/>
      <c r="K10566" s="81"/>
      <c r="L10566" s="81"/>
      <c r="M10566" s="81"/>
      <c r="N10566" s="81"/>
    </row>
    <row r="10567" spans="1:14" ht="14.25" customHeight="1" x14ac:dyDescent="0.25">
      <c r="A10567" s="475"/>
      <c r="B10567" s="476"/>
      <c r="C10567" s="477"/>
      <c r="D10567" s="478"/>
      <c r="E10567" s="479"/>
      <c r="F10567" s="477"/>
      <c r="G10567" s="81"/>
      <c r="H10567" s="81"/>
      <c r="I10567" s="81"/>
      <c r="J10567" s="81"/>
      <c r="K10567" s="81"/>
      <c r="L10567" s="81"/>
      <c r="M10567" s="81"/>
      <c r="N10567" s="81"/>
    </row>
    <row r="10568" spans="1:14" ht="14.25" customHeight="1" x14ac:dyDescent="0.25">
      <c r="A10568" s="475"/>
      <c r="B10568" s="476"/>
      <c r="C10568" s="477"/>
      <c r="D10568" s="478"/>
      <c r="E10568" s="479"/>
      <c r="F10568" s="477"/>
      <c r="G10568" s="81"/>
      <c r="H10568" s="81"/>
      <c r="I10568" s="81"/>
      <c r="J10568" s="81"/>
      <c r="K10568" s="81"/>
      <c r="L10568" s="81"/>
      <c r="M10568" s="81"/>
      <c r="N10568" s="81"/>
    </row>
    <row r="10569" spans="1:14" ht="14.25" customHeight="1" x14ac:dyDescent="0.25">
      <c r="A10569" s="475"/>
      <c r="B10569" s="476"/>
      <c r="C10569" s="477"/>
      <c r="D10569" s="478"/>
      <c r="E10569" s="479"/>
      <c r="F10569" s="477"/>
      <c r="G10569" s="81"/>
      <c r="H10569" s="81"/>
      <c r="I10569" s="81"/>
      <c r="J10569" s="81"/>
      <c r="K10569" s="81"/>
      <c r="L10569" s="81"/>
      <c r="M10569" s="81"/>
      <c r="N10569" s="81"/>
    </row>
    <row r="10570" spans="1:14" ht="14.25" customHeight="1" x14ac:dyDescent="0.25">
      <c r="A10570" s="475"/>
      <c r="B10570" s="476"/>
      <c r="C10570" s="477"/>
      <c r="D10570" s="478"/>
      <c r="E10570" s="479"/>
      <c r="F10570" s="477"/>
      <c r="G10570" s="81"/>
      <c r="H10570" s="81"/>
      <c r="I10570" s="81"/>
      <c r="J10570" s="81"/>
      <c r="K10570" s="81"/>
      <c r="L10570" s="81"/>
      <c r="M10570" s="81"/>
      <c r="N10570" s="81"/>
    </row>
    <row r="10571" spans="1:14" ht="14.25" customHeight="1" x14ac:dyDescent="0.25">
      <c r="A10571" s="475"/>
      <c r="B10571" s="476"/>
      <c r="C10571" s="483"/>
      <c r="D10571" s="484"/>
      <c r="E10571" s="485"/>
      <c r="F10571" s="483"/>
      <c r="G10571" s="81"/>
      <c r="H10571" s="81"/>
      <c r="I10571" s="81"/>
      <c r="J10571" s="81"/>
      <c r="K10571" s="81"/>
      <c r="L10571" s="81"/>
      <c r="M10571" s="81"/>
      <c r="N10571" s="81"/>
    </row>
    <row r="10572" spans="1:14" ht="14.25" customHeight="1" x14ac:dyDescent="0.25">
      <c r="A10572" s="199" t="s">
        <v>548</v>
      </c>
      <c r="B10572" s="199"/>
      <c r="C10572" s="486"/>
      <c r="D10572" s="487"/>
      <c r="E10572" s="488"/>
      <c r="F10572" s="489">
        <f>SUM(F10565:F10571)</f>
        <v>29990844</v>
      </c>
      <c r="G10572" s="81"/>
      <c r="H10572" s="81"/>
      <c r="I10572" s="81"/>
      <c r="J10572" s="81"/>
      <c r="K10572" s="81"/>
      <c r="L10572" s="81"/>
      <c r="M10572" s="81"/>
      <c r="N10572" s="81"/>
    </row>
    <row r="10573" spans="1:14" ht="14.25" customHeight="1" x14ac:dyDescent="0.25">
      <c r="A10573" s="192"/>
      <c r="B10573" s="192"/>
      <c r="C10573" s="215"/>
      <c r="D10573" s="215"/>
      <c r="E10573" s="216"/>
      <c r="F10573" s="215"/>
      <c r="G10573" s="81"/>
      <c r="H10573" s="81"/>
      <c r="I10573" s="81"/>
      <c r="J10573" s="81"/>
      <c r="K10573" s="81"/>
      <c r="L10573" s="81"/>
      <c r="M10573" s="81"/>
      <c r="N10573" s="81"/>
    </row>
    <row r="10574" spans="1:14" ht="14.25" customHeight="1" x14ac:dyDescent="0.25">
      <c r="A10574" s="198" t="s">
        <v>573</v>
      </c>
      <c r="B10574" s="198"/>
      <c r="C10574" s="193"/>
      <c r="D10574" s="193"/>
      <c r="E10574" s="193"/>
      <c r="F10574" s="193"/>
      <c r="G10574" s="81"/>
      <c r="H10574" s="81"/>
      <c r="I10574" s="81"/>
      <c r="J10574" s="81"/>
      <c r="K10574" s="81"/>
      <c r="L10574" s="81"/>
      <c r="M10574" s="81"/>
      <c r="N10574" s="81"/>
    </row>
    <row r="10575" spans="1:14" ht="14.25" customHeight="1" x14ac:dyDescent="0.25">
      <c r="A10575" s="585" t="s">
        <v>563</v>
      </c>
      <c r="B10575" s="586"/>
      <c r="C10575" s="587"/>
      <c r="D10575" s="474" t="s">
        <v>574</v>
      </c>
      <c r="E10575" s="474" t="s">
        <v>575</v>
      </c>
      <c r="F10575" s="474" t="s">
        <v>568</v>
      </c>
      <c r="G10575" s="81"/>
      <c r="H10575" s="81"/>
      <c r="I10575" s="81"/>
      <c r="J10575" s="81"/>
      <c r="K10575" s="81"/>
      <c r="L10575" s="81"/>
      <c r="M10575" s="81"/>
      <c r="N10575" s="81"/>
    </row>
    <row r="10576" spans="1:14" ht="14.25" customHeight="1" x14ac:dyDescent="0.25">
      <c r="A10576" s="588" t="s">
        <v>577</v>
      </c>
      <c r="B10576" s="586"/>
      <c r="C10576" s="587"/>
      <c r="D10576" s="490"/>
      <c r="E10576" s="484"/>
      <c r="F10576" s="483">
        <f>+F10589*5%</f>
        <v>177080.68888888892</v>
      </c>
      <c r="G10576" s="81"/>
      <c r="H10576" s="81"/>
      <c r="I10576" s="81"/>
      <c r="J10576" s="81"/>
      <c r="K10576" s="81"/>
      <c r="L10576" s="81"/>
      <c r="M10576" s="81"/>
      <c r="N10576" s="81"/>
    </row>
    <row r="10577" spans="1:14" ht="14.25" customHeight="1" x14ac:dyDescent="0.25">
      <c r="A10577" s="588"/>
      <c r="B10577" s="586"/>
      <c r="C10577" s="587"/>
      <c r="D10577" s="505"/>
      <c r="E10577" s="484"/>
      <c r="F10577" s="483"/>
      <c r="G10577" s="81"/>
      <c r="H10577" s="81"/>
      <c r="I10577" s="81"/>
      <c r="J10577" s="81"/>
      <c r="K10577" s="81"/>
      <c r="L10577" s="81"/>
      <c r="M10577" s="81"/>
      <c r="N10577" s="81"/>
    </row>
    <row r="10578" spans="1:14" ht="14.25" customHeight="1" x14ac:dyDescent="0.25">
      <c r="A10578" s="588"/>
      <c r="B10578" s="586"/>
      <c r="C10578" s="587"/>
      <c r="D10578" s="505"/>
      <c r="E10578" s="484"/>
      <c r="F10578" s="483"/>
      <c r="G10578" s="81"/>
      <c r="H10578" s="81"/>
      <c r="I10578" s="81"/>
      <c r="J10578" s="81"/>
      <c r="K10578" s="81"/>
      <c r="L10578" s="81"/>
      <c r="M10578" s="81"/>
      <c r="N10578" s="81"/>
    </row>
    <row r="10579" spans="1:14" ht="14.25" customHeight="1" x14ac:dyDescent="0.25">
      <c r="A10579" s="588"/>
      <c r="B10579" s="586"/>
      <c r="C10579" s="587"/>
      <c r="D10579" s="505"/>
      <c r="E10579" s="484"/>
      <c r="F10579" s="483"/>
      <c r="G10579" s="81"/>
      <c r="H10579" s="81"/>
      <c r="I10579" s="81"/>
      <c r="J10579" s="81"/>
      <c r="K10579" s="81"/>
      <c r="L10579" s="81"/>
      <c r="M10579" s="81"/>
      <c r="N10579" s="81"/>
    </row>
    <row r="10580" spans="1:14" ht="14.25" customHeight="1" x14ac:dyDescent="0.25">
      <c r="A10580" s="589"/>
      <c r="B10580" s="586"/>
      <c r="C10580" s="587"/>
      <c r="D10580" s="491"/>
      <c r="E10580" s="484"/>
      <c r="F10580" s="483"/>
      <c r="G10580" s="81"/>
      <c r="H10580" s="81"/>
      <c r="I10580" s="81"/>
      <c r="J10580" s="81"/>
      <c r="K10580" s="81"/>
      <c r="L10580" s="81"/>
      <c r="M10580" s="81"/>
      <c r="N10580" s="81"/>
    </row>
    <row r="10581" spans="1:14" ht="14.25" customHeight="1" x14ac:dyDescent="0.25">
      <c r="A10581" s="585" t="s">
        <v>548</v>
      </c>
      <c r="B10581" s="586"/>
      <c r="C10581" s="587"/>
      <c r="D10581" s="487"/>
      <c r="E10581" s="487"/>
      <c r="F10581" s="489">
        <f>SUM(F10576:F10580)</f>
        <v>177080.68888888892</v>
      </c>
      <c r="G10581" s="81"/>
      <c r="H10581" s="81"/>
      <c r="I10581" s="81"/>
      <c r="J10581" s="81"/>
      <c r="K10581" s="81"/>
      <c r="L10581" s="81"/>
      <c r="M10581" s="81"/>
      <c r="N10581" s="81"/>
    </row>
    <row r="10582" spans="1:14" ht="14.25" customHeight="1" x14ac:dyDescent="0.25">
      <c r="A10582" s="192"/>
      <c r="B10582" s="192"/>
      <c r="C10582" s="194"/>
      <c r="D10582" s="215"/>
      <c r="E10582" s="215"/>
      <c r="F10582" s="215"/>
      <c r="G10582" s="81"/>
      <c r="H10582" s="81"/>
      <c r="I10582" s="81"/>
      <c r="J10582" s="81"/>
      <c r="K10582" s="81"/>
      <c r="L10582" s="81"/>
      <c r="M10582" s="81"/>
      <c r="N10582" s="81"/>
    </row>
    <row r="10583" spans="1:14" ht="14.25" customHeight="1" x14ac:dyDescent="0.25">
      <c r="A10583" s="198" t="s">
        <v>578</v>
      </c>
      <c r="B10583" s="198"/>
      <c r="C10583" s="193"/>
      <c r="D10583" s="223"/>
      <c r="E10583" s="223"/>
      <c r="F10583" s="223"/>
      <c r="G10583" s="81"/>
      <c r="H10583" s="81"/>
      <c r="I10583" s="81"/>
      <c r="J10583" s="81"/>
      <c r="K10583" s="81"/>
      <c r="L10583" s="81"/>
      <c r="M10583" s="81"/>
      <c r="N10583" s="81"/>
    </row>
    <row r="10584" spans="1:14" ht="14.25" customHeight="1" x14ac:dyDescent="0.25">
      <c r="A10584" s="224" t="s">
        <v>563</v>
      </c>
      <c r="B10584" s="492" t="s">
        <v>579</v>
      </c>
      <c r="C10584" s="492" t="s">
        <v>580</v>
      </c>
      <c r="D10584" s="493" t="s">
        <v>581</v>
      </c>
      <c r="E10584" s="493" t="s">
        <v>575</v>
      </c>
      <c r="F10584" s="493" t="s">
        <v>568</v>
      </c>
      <c r="G10584" s="81"/>
      <c r="H10584" s="81"/>
      <c r="I10584" s="81"/>
      <c r="J10584" s="81"/>
      <c r="K10584" s="81"/>
      <c r="L10584" s="81"/>
      <c r="M10584" s="81"/>
      <c r="N10584" s="81"/>
    </row>
    <row r="10585" spans="1:14" ht="14.25" customHeight="1" x14ac:dyDescent="0.25">
      <c r="A10585" s="494" t="s">
        <v>916</v>
      </c>
      <c r="B10585" s="495">
        <v>1</v>
      </c>
      <c r="C10585" s="477">
        <v>35956.800000000003</v>
      </c>
      <c r="D10585" s="477">
        <f t="shared" ref="D10585:D10586" si="525">+C10585*1.7</f>
        <v>61126.560000000005</v>
      </c>
      <c r="E10585" s="484">
        <v>4.4999999999999998E-2</v>
      </c>
      <c r="F10585" s="483">
        <f t="shared" ref="F10585:F10586" si="526">+B10585*(D10585)/E10585</f>
        <v>1358368.0000000002</v>
      </c>
      <c r="G10585" s="81"/>
      <c r="H10585" s="81"/>
      <c r="I10585" s="81"/>
      <c r="J10585" s="81"/>
      <c r="K10585" s="81"/>
      <c r="L10585" s="81"/>
      <c r="M10585" s="81"/>
      <c r="N10585" s="81"/>
    </row>
    <row r="10586" spans="1:14" ht="14.25" customHeight="1" x14ac:dyDescent="0.25">
      <c r="A10586" s="494" t="s">
        <v>917</v>
      </c>
      <c r="B10586" s="495">
        <v>1</v>
      </c>
      <c r="C10586" s="477">
        <v>57791.8</v>
      </c>
      <c r="D10586" s="477">
        <f t="shared" si="525"/>
        <v>98246.06</v>
      </c>
      <c r="E10586" s="484">
        <f>E10585</f>
        <v>4.4999999999999998E-2</v>
      </c>
      <c r="F10586" s="483">
        <f t="shared" si="526"/>
        <v>2183245.777777778</v>
      </c>
      <c r="G10586" s="81"/>
      <c r="H10586" s="81"/>
      <c r="I10586" s="81"/>
      <c r="J10586" s="81"/>
      <c r="K10586" s="81"/>
      <c r="L10586" s="81"/>
      <c r="M10586" s="81"/>
      <c r="N10586" s="81"/>
    </row>
    <row r="10587" spans="1:14" ht="14.25" customHeight="1" x14ac:dyDescent="0.25">
      <c r="A10587" s="494"/>
      <c r="B10587" s="495"/>
      <c r="C10587" s="477"/>
      <c r="D10587" s="477"/>
      <c r="E10587" s="484"/>
      <c r="F10587" s="483"/>
      <c r="G10587" s="81"/>
      <c r="H10587" s="81"/>
      <c r="I10587" s="81"/>
      <c r="J10587" s="81"/>
      <c r="K10587" s="81"/>
      <c r="L10587" s="81"/>
      <c r="M10587" s="81"/>
      <c r="N10587" s="81"/>
    </row>
    <row r="10588" spans="1:14" ht="14.25" customHeight="1" x14ac:dyDescent="0.25">
      <c r="A10588" s="494"/>
      <c r="B10588" s="495"/>
      <c r="C10588" s="477"/>
      <c r="D10588" s="477"/>
      <c r="E10588" s="496"/>
      <c r="F10588" s="483"/>
      <c r="G10588" s="81"/>
      <c r="H10588" s="81"/>
      <c r="I10588" s="81"/>
      <c r="J10588" s="81"/>
      <c r="K10588" s="81"/>
      <c r="L10588" s="81"/>
      <c r="M10588" s="81"/>
      <c r="N10588" s="81"/>
    </row>
    <row r="10589" spans="1:14" ht="14.25" customHeight="1" x14ac:dyDescent="0.25">
      <c r="A10589" s="199" t="s">
        <v>548</v>
      </c>
      <c r="B10589" s="497"/>
      <c r="C10589" s="487"/>
      <c r="D10589" s="487"/>
      <c r="E10589" s="487"/>
      <c r="F10589" s="489">
        <f>SUM(F10585:F10588)</f>
        <v>3541613.777777778</v>
      </c>
      <c r="G10589" s="81"/>
      <c r="H10589" s="81"/>
      <c r="I10589" s="81"/>
      <c r="J10589" s="81"/>
      <c r="K10589" s="81"/>
      <c r="L10589" s="81"/>
      <c r="M10589" s="81"/>
      <c r="N10589" s="81"/>
    </row>
    <row r="10590" spans="1:14" ht="14.25" customHeight="1" x14ac:dyDescent="0.25">
      <c r="A10590" s="198"/>
      <c r="B10590" s="231"/>
      <c r="C10590" s="223"/>
      <c r="D10590" s="223"/>
      <c r="E10590" s="223"/>
      <c r="F10590" s="223"/>
      <c r="G10590" s="81"/>
      <c r="H10590" s="117"/>
      <c r="I10590" s="81"/>
      <c r="J10590" s="81"/>
      <c r="K10590" s="81"/>
      <c r="L10590" s="81"/>
      <c r="M10590" s="81"/>
      <c r="N10590" s="81"/>
    </row>
    <row r="10591" spans="1:14" ht="14.25" customHeight="1" x14ac:dyDescent="0.25">
      <c r="A10591" s="197" t="s">
        <v>583</v>
      </c>
      <c r="B10591" s="198"/>
      <c r="C10591" s="193"/>
      <c r="D10591" s="193"/>
      <c r="E10591" s="193" t="s">
        <v>584</v>
      </c>
      <c r="F10591" s="193"/>
      <c r="G10591" s="81"/>
      <c r="H10591" s="81"/>
      <c r="I10591" s="81"/>
      <c r="J10591" s="81"/>
      <c r="K10591" s="81"/>
      <c r="L10591" s="81"/>
      <c r="M10591" s="81"/>
      <c r="N10591" s="81"/>
    </row>
    <row r="10592" spans="1:14" ht="14.25" customHeight="1" x14ac:dyDescent="0.25">
      <c r="A10592" s="199" t="s">
        <v>563</v>
      </c>
      <c r="B10592" s="474" t="s">
        <v>564</v>
      </c>
      <c r="C10592" s="474" t="s">
        <v>585</v>
      </c>
      <c r="D10592" s="474" t="s">
        <v>586</v>
      </c>
      <c r="E10592" s="492" t="s">
        <v>587</v>
      </c>
      <c r="F10592" s="474" t="s">
        <v>568</v>
      </c>
      <c r="G10592" s="81"/>
      <c r="H10592" s="81"/>
      <c r="I10592" s="81"/>
      <c r="J10592" s="81"/>
      <c r="K10592" s="81"/>
      <c r="L10592" s="81"/>
      <c r="M10592" s="81"/>
      <c r="N10592" s="81"/>
    </row>
    <row r="10593" spans="1:14" ht="14.25" customHeight="1" x14ac:dyDescent="0.25">
      <c r="A10593" s="480"/>
      <c r="B10593" s="476"/>
      <c r="C10593" s="477"/>
      <c r="D10593" s="498"/>
      <c r="E10593" s="484"/>
      <c r="F10593" s="486">
        <f>+C10593*D10593*E10593</f>
        <v>0</v>
      </c>
      <c r="G10593" s="81"/>
      <c r="H10593" s="81"/>
      <c r="I10593" s="81"/>
      <c r="J10593" s="81"/>
      <c r="K10593" s="81"/>
      <c r="L10593" s="81"/>
      <c r="M10593" s="81"/>
      <c r="N10593" s="81"/>
    </row>
    <row r="10594" spans="1:14" ht="14.25" customHeight="1" x14ac:dyDescent="0.25">
      <c r="A10594" s="480"/>
      <c r="B10594" s="476"/>
      <c r="C10594" s="484"/>
      <c r="D10594" s="484"/>
      <c r="E10594" s="485"/>
      <c r="F10594" s="486"/>
      <c r="G10594" s="81"/>
      <c r="H10594" s="81"/>
      <c r="I10594" s="81"/>
      <c r="J10594" s="81"/>
      <c r="K10594" s="81"/>
      <c r="L10594" s="81"/>
      <c r="M10594" s="81"/>
      <c r="N10594" s="81"/>
    </row>
    <row r="10595" spans="1:14" ht="14.25" customHeight="1" x14ac:dyDescent="0.25">
      <c r="A10595" s="199" t="s">
        <v>548</v>
      </c>
      <c r="B10595" s="474"/>
      <c r="C10595" s="487"/>
      <c r="D10595" s="487"/>
      <c r="E10595" s="488"/>
      <c r="F10595" s="489">
        <f>SUM(F10593:F10594)</f>
        <v>0</v>
      </c>
      <c r="G10595" s="81"/>
      <c r="H10595" s="81"/>
      <c r="I10595" s="81"/>
      <c r="J10595" s="81"/>
      <c r="K10595" s="81"/>
      <c r="L10595" s="81"/>
      <c r="M10595" s="81"/>
      <c r="N10595" s="81"/>
    </row>
    <row r="10596" spans="1:14" ht="14.25" customHeight="1" x14ac:dyDescent="0.25">
      <c r="A10596" s="192"/>
      <c r="B10596" s="194"/>
      <c r="C10596" s="215"/>
      <c r="D10596" s="215"/>
      <c r="E10596" s="216"/>
      <c r="F10596" s="215"/>
      <c r="G10596" s="81"/>
      <c r="H10596" s="81"/>
      <c r="I10596" s="81"/>
      <c r="J10596" s="81"/>
      <c r="K10596" s="81"/>
      <c r="L10596" s="81"/>
      <c r="M10596" s="81"/>
      <c r="N10596" s="81"/>
    </row>
    <row r="10597" spans="1:14" ht="14.25" customHeight="1" x14ac:dyDescent="0.25">
      <c r="A10597" s="192"/>
      <c r="B10597" s="194"/>
      <c r="C10597" s="215"/>
      <c r="D10597" s="215"/>
      <c r="E10597" s="216"/>
      <c r="F10597" s="215"/>
      <c r="G10597" s="81"/>
      <c r="H10597" s="81"/>
      <c r="I10597" s="81"/>
      <c r="J10597" s="81"/>
      <c r="K10597" s="81"/>
      <c r="L10597" s="81"/>
      <c r="M10597" s="81"/>
      <c r="N10597" s="81"/>
    </row>
    <row r="10598" spans="1:14" ht="14.25" customHeight="1" x14ac:dyDescent="0.25">
      <c r="A10598" s="590" t="s">
        <v>588</v>
      </c>
      <c r="B10598" s="586"/>
      <c r="C10598" s="586"/>
      <c r="D10598" s="586"/>
      <c r="E10598" s="587"/>
      <c r="F10598" s="499">
        <f>ROUND(F10572+F10581+F10589+F10595,0)</f>
        <v>33709538</v>
      </c>
      <c r="G10598" s="81"/>
      <c r="H10598" s="81"/>
      <c r="I10598" s="81"/>
      <c r="J10598" s="81"/>
      <c r="K10598" s="81"/>
      <c r="L10598" s="81"/>
      <c r="M10598" s="81"/>
      <c r="N10598" s="81"/>
    </row>
    <row r="10599" spans="1:14" ht="14.25" customHeight="1" x14ac:dyDescent="0.25">
      <c r="A10599" s="590" t="s">
        <v>589</v>
      </c>
      <c r="B10599" s="586"/>
      <c r="C10599" s="586"/>
      <c r="D10599" s="586"/>
      <c r="E10599" s="587"/>
      <c r="F10599" s="500"/>
      <c r="G10599" s="81"/>
      <c r="H10599" s="81"/>
      <c r="I10599" s="81"/>
      <c r="J10599" s="81"/>
      <c r="K10599" s="81"/>
      <c r="L10599" s="81"/>
      <c r="M10599" s="81"/>
      <c r="N10599" s="81"/>
    </row>
    <row r="10600" spans="1:14" ht="14.25" customHeight="1" x14ac:dyDescent="0.25">
      <c r="A10600" s="300" t="s">
        <v>556</v>
      </c>
      <c r="B10600" s="506"/>
      <c r="C10600" s="506"/>
      <c r="D10600" s="506"/>
      <c r="E10600" s="507"/>
      <c r="F10600" s="501"/>
      <c r="G10600" s="81"/>
      <c r="H10600" s="81"/>
      <c r="I10600" s="81"/>
      <c r="J10600" s="81"/>
      <c r="K10600" s="81"/>
      <c r="L10600" s="81"/>
      <c r="M10600" s="81"/>
      <c r="N10600" s="81"/>
    </row>
    <row r="10601" spans="1:14" ht="14.25" customHeight="1" x14ac:dyDescent="0.25">
      <c r="A10601" s="301"/>
      <c r="B10601" s="502"/>
      <c r="C10601" s="502"/>
      <c r="D10601" s="502"/>
      <c r="E10601" s="502"/>
      <c r="F10601" s="503"/>
      <c r="G10601" s="81"/>
      <c r="H10601" s="81"/>
      <c r="I10601" s="81"/>
      <c r="J10601" s="81"/>
      <c r="K10601" s="81"/>
      <c r="L10601" s="81"/>
      <c r="M10601" s="81"/>
      <c r="N10601" s="81"/>
    </row>
    <row r="10602" spans="1:14" ht="14.25" customHeight="1" x14ac:dyDescent="0.25">
      <c r="A10602" s="301"/>
      <c r="B10602" s="502"/>
      <c r="C10602" s="502"/>
      <c r="D10602" s="502"/>
      <c r="E10602" s="502"/>
      <c r="F10602" s="503"/>
      <c r="G10602" s="81"/>
      <c r="H10602" s="81"/>
      <c r="I10602" s="81"/>
      <c r="J10602" s="81"/>
      <c r="K10602" s="81"/>
      <c r="L10602" s="81"/>
      <c r="M10602" s="81"/>
      <c r="N10602" s="81"/>
    </row>
    <row r="10603" spans="1:14" ht="14.25" customHeight="1" x14ac:dyDescent="0.25">
      <c r="A10603" s="301"/>
      <c r="B10603" s="502"/>
      <c r="C10603" s="502"/>
      <c r="D10603" s="502"/>
      <c r="E10603" s="502"/>
      <c r="F10603" s="503"/>
      <c r="G10603" s="81"/>
      <c r="H10603" s="81"/>
      <c r="I10603" s="81"/>
      <c r="J10603" s="81"/>
      <c r="K10603" s="81"/>
      <c r="L10603" s="81"/>
      <c r="M10603" s="81"/>
      <c r="N10603" s="81"/>
    </row>
    <row r="10604" spans="1:14" ht="14.25" customHeight="1" x14ac:dyDescent="0.25">
      <c r="A10604" s="243"/>
      <c r="B10604" s="243"/>
      <c r="C10604" s="504"/>
      <c r="D10604" s="243"/>
      <c r="E10604" s="243"/>
      <c r="F10604" s="243"/>
      <c r="G10604" s="81"/>
      <c r="H10604" s="81"/>
      <c r="I10604" s="81"/>
      <c r="J10604" s="81"/>
      <c r="K10604" s="81"/>
      <c r="L10604" s="81"/>
      <c r="M10604" s="81"/>
      <c r="N10604" s="81"/>
    </row>
    <row r="10605" spans="1:14" ht="14.25" customHeight="1" x14ac:dyDescent="0.25">
      <c r="A10605" s="243"/>
      <c r="B10605" s="243"/>
      <c r="C10605" s="504"/>
      <c r="D10605" s="243"/>
      <c r="E10605" s="243"/>
      <c r="F10605" s="243"/>
      <c r="G10605" s="81"/>
      <c r="H10605" s="81"/>
      <c r="I10605" s="81"/>
      <c r="J10605" s="81"/>
      <c r="K10605" s="81"/>
      <c r="L10605" s="81"/>
      <c r="M10605" s="81"/>
      <c r="N10605" s="81"/>
    </row>
    <row r="10606" spans="1:14" ht="14.25" customHeight="1" x14ac:dyDescent="0.25">
      <c r="A10606" s="243"/>
      <c r="B10606" s="243"/>
      <c r="C10606" s="504"/>
      <c r="D10606" s="243"/>
      <c r="E10606" s="243"/>
      <c r="F10606" s="243"/>
      <c r="G10606" s="81"/>
      <c r="H10606" s="81"/>
      <c r="I10606" s="81"/>
      <c r="J10606" s="81"/>
      <c r="K10606" s="81"/>
      <c r="L10606" s="81"/>
      <c r="M10606" s="81"/>
      <c r="N10606" s="81"/>
    </row>
    <row r="10607" spans="1:14" ht="14.25" customHeight="1" x14ac:dyDescent="0.25">
      <c r="A10607" s="243"/>
      <c r="B10607" s="243"/>
      <c r="C10607" s="504"/>
      <c r="D10607" s="243"/>
      <c r="E10607" s="243"/>
      <c r="F10607" s="243"/>
      <c r="G10607" s="81"/>
      <c r="H10607" s="81"/>
      <c r="I10607" s="81"/>
      <c r="J10607" s="81"/>
      <c r="K10607" s="81"/>
      <c r="L10607" s="81"/>
      <c r="M10607" s="81"/>
      <c r="N10607" s="81"/>
    </row>
    <row r="10608" spans="1:14" ht="14.25" customHeight="1" x14ac:dyDescent="0.25">
      <c r="A10608" s="243"/>
      <c r="B10608" s="243"/>
      <c r="C10608" s="504"/>
      <c r="D10608" s="243"/>
      <c r="E10608" s="243"/>
      <c r="F10608" s="243"/>
      <c r="G10608" s="81"/>
      <c r="H10608" s="81"/>
      <c r="I10608" s="81"/>
      <c r="J10608" s="81"/>
      <c r="K10608" s="81"/>
      <c r="L10608" s="81"/>
      <c r="M10608" s="81"/>
      <c r="N10608" s="81"/>
    </row>
    <row r="10609" spans="1:14" ht="14.25" customHeight="1" x14ac:dyDescent="0.25">
      <c r="A10609" s="243"/>
      <c r="B10609" s="243"/>
      <c r="C10609" s="504"/>
      <c r="D10609" s="243"/>
      <c r="E10609" s="243"/>
      <c r="F10609" s="243"/>
      <c r="G10609" s="81"/>
      <c r="H10609" s="81"/>
      <c r="I10609" s="81"/>
      <c r="J10609" s="81"/>
      <c r="K10609" s="81"/>
      <c r="L10609" s="81"/>
      <c r="M10609" s="81"/>
      <c r="N10609" s="81"/>
    </row>
    <row r="10610" spans="1:14" ht="14.25" customHeight="1" x14ac:dyDescent="0.25">
      <c r="A10610" s="243"/>
      <c r="B10610" s="243"/>
      <c r="C10610" s="504"/>
      <c r="D10610" s="243"/>
      <c r="E10610" s="243"/>
      <c r="F10610" s="243"/>
      <c r="G10610" s="81"/>
      <c r="H10610" s="81"/>
      <c r="I10610" s="81"/>
      <c r="J10610" s="81"/>
      <c r="K10610" s="81"/>
      <c r="L10610" s="81"/>
      <c r="M10610" s="81"/>
      <c r="N10610" s="81"/>
    </row>
    <row r="10611" spans="1:14" ht="14.25" customHeight="1" x14ac:dyDescent="0.25">
      <c r="A10611" s="243"/>
      <c r="B10611" s="243"/>
      <c r="C10611" s="504"/>
      <c r="D10611" s="243"/>
      <c r="E10611" s="243"/>
      <c r="F10611" s="243"/>
      <c r="G10611" s="81"/>
      <c r="H10611" s="81"/>
      <c r="I10611" s="81"/>
      <c r="J10611" s="81"/>
      <c r="K10611" s="81"/>
      <c r="L10611" s="81"/>
      <c r="M10611" s="81"/>
      <c r="N10611" s="81"/>
    </row>
    <row r="10612" spans="1:14" ht="14.25" customHeight="1" x14ac:dyDescent="0.25">
      <c r="A10612" s="243"/>
      <c r="B10612" s="243"/>
      <c r="C10612" s="504"/>
      <c r="D10612" s="243"/>
      <c r="E10612" s="243"/>
      <c r="F10612" s="243"/>
      <c r="G10612" s="81"/>
      <c r="H10612" s="81"/>
      <c r="I10612" s="81"/>
      <c r="J10612" s="81"/>
      <c r="K10612" s="81"/>
      <c r="L10612" s="81"/>
      <c r="M10612" s="81"/>
      <c r="N10612" s="81"/>
    </row>
    <row r="10613" spans="1:14" ht="14.25" customHeight="1" x14ac:dyDescent="0.25">
      <c r="A10613" s="243"/>
      <c r="B10613" s="243"/>
      <c r="C10613" s="504"/>
      <c r="D10613" s="243"/>
      <c r="E10613" s="243"/>
      <c r="F10613" s="243"/>
      <c r="G10613" s="81"/>
      <c r="H10613" s="81"/>
      <c r="I10613" s="81"/>
      <c r="J10613" s="81"/>
      <c r="K10613" s="81"/>
      <c r="L10613" s="81"/>
      <c r="M10613" s="81"/>
      <c r="N10613" s="81"/>
    </row>
    <row r="10614" spans="1:14" ht="14.25" customHeight="1" x14ac:dyDescent="0.25">
      <c r="A10614" s="243"/>
      <c r="B10614" s="243"/>
      <c r="C10614" s="504"/>
      <c r="D10614" s="243"/>
      <c r="E10614" s="243"/>
      <c r="F10614" s="243"/>
      <c r="G10614" s="81"/>
      <c r="H10614" s="81"/>
      <c r="I10614" s="81"/>
      <c r="J10614" s="81"/>
      <c r="K10614" s="81"/>
      <c r="L10614" s="81"/>
      <c r="M10614" s="81"/>
      <c r="N10614" s="81"/>
    </row>
    <row r="10615" spans="1:14" ht="14.25" customHeight="1" x14ac:dyDescent="0.25">
      <c r="A10615" s="301"/>
      <c r="B10615" s="502"/>
      <c r="C10615" s="502"/>
      <c r="D10615" s="502"/>
      <c r="E10615" s="502"/>
      <c r="F10615" s="503"/>
      <c r="G10615" s="81"/>
      <c r="H10615" s="81"/>
      <c r="I10615" s="81"/>
      <c r="J10615" s="81"/>
      <c r="K10615" s="81"/>
      <c r="L10615" s="81"/>
      <c r="M10615" s="81"/>
      <c r="N10615" s="81"/>
    </row>
    <row r="10616" spans="1:14" ht="14.25" customHeight="1" thickBot="1" x14ac:dyDescent="0.3">
      <c r="A10616" s="243"/>
      <c r="B10616" s="243"/>
      <c r="C10616" s="243"/>
      <c r="D10616" s="243"/>
      <c r="E10616" s="243"/>
      <c r="F10616" s="243"/>
      <c r="G10616" s="81"/>
      <c r="H10616" s="81"/>
      <c r="I10616" s="81"/>
      <c r="J10616" s="81"/>
      <c r="K10616" s="81"/>
      <c r="L10616" s="81"/>
      <c r="M10616" s="81"/>
      <c r="N10616" s="81"/>
    </row>
    <row r="10617" spans="1:14" ht="14.25" customHeight="1" x14ac:dyDescent="0.25">
      <c r="A10617" s="258"/>
      <c r="B10617" s="259"/>
      <c r="C10617" s="260"/>
      <c r="D10617" s="261"/>
      <c r="E10617" s="261"/>
      <c r="F10617" s="262"/>
      <c r="G10617" s="81"/>
      <c r="H10617" s="81"/>
      <c r="I10617" s="81"/>
      <c r="J10617" s="81"/>
      <c r="K10617" s="81"/>
      <c r="L10617" s="81"/>
      <c r="M10617" s="81"/>
      <c r="N10617" s="81"/>
    </row>
    <row r="10618" spans="1:14" ht="14.25" customHeight="1" x14ac:dyDescent="0.25">
      <c r="A10618" s="621"/>
      <c r="B10618" s="629"/>
      <c r="C10618" s="629"/>
      <c r="D10618" s="629"/>
      <c r="E10618" s="629"/>
      <c r="F10618" s="630"/>
      <c r="G10618" s="81"/>
      <c r="H10618" s="81"/>
      <c r="I10618" s="81"/>
      <c r="J10618" s="81"/>
      <c r="K10618" s="81"/>
      <c r="L10618" s="81"/>
      <c r="M10618" s="81"/>
      <c r="N10618" s="81"/>
    </row>
    <row r="10619" spans="1:14" ht="14.25" customHeight="1" x14ac:dyDescent="0.25">
      <c r="A10619" s="614" t="s">
        <v>561</v>
      </c>
      <c r="B10619" s="629"/>
      <c r="C10619" s="629"/>
      <c r="D10619" s="629"/>
      <c r="E10619" s="629"/>
      <c r="F10619" s="630"/>
      <c r="G10619" s="81"/>
      <c r="H10619" s="81"/>
      <c r="I10619" s="81"/>
      <c r="J10619" s="81"/>
      <c r="K10619" s="81"/>
      <c r="L10619" s="81"/>
      <c r="M10619" s="81"/>
      <c r="N10619" s="81"/>
    </row>
    <row r="10620" spans="1:14" ht="14.25" customHeight="1" thickBot="1" x14ac:dyDescent="0.3">
      <c r="A10620" s="617"/>
      <c r="B10620" s="631"/>
      <c r="C10620" s="631"/>
      <c r="D10620" s="631"/>
      <c r="E10620" s="631"/>
      <c r="F10620" s="632"/>
      <c r="G10620" s="81"/>
      <c r="H10620" s="81"/>
      <c r="I10620" s="81"/>
      <c r="J10620" s="81"/>
      <c r="K10620" s="81"/>
      <c r="L10620" s="81"/>
      <c r="M10620" s="81"/>
      <c r="N10620" s="81"/>
    </row>
    <row r="10621" spans="1:14" ht="14.25" customHeight="1" x14ac:dyDescent="0.25">
      <c r="A10621" s="192"/>
      <c r="B10621" s="192"/>
      <c r="C10621" s="194"/>
      <c r="D10621" s="194"/>
      <c r="E10621" s="194"/>
      <c r="F10621" s="194"/>
      <c r="G10621" s="81"/>
      <c r="H10621" s="81"/>
      <c r="I10621" s="81"/>
      <c r="J10621" s="81"/>
      <c r="K10621" s="81"/>
      <c r="L10621" s="81"/>
      <c r="M10621" s="81"/>
      <c r="N10621" s="81"/>
    </row>
    <row r="10622" spans="1:14" ht="14.25" customHeight="1" x14ac:dyDescent="0.25">
      <c r="A10622" s="473" t="s">
        <v>47</v>
      </c>
      <c r="B10622" s="620" t="s">
        <v>1430</v>
      </c>
      <c r="C10622" s="629"/>
      <c r="D10622" s="629"/>
      <c r="E10622" s="629"/>
      <c r="F10622" s="629"/>
      <c r="G10622" s="81"/>
      <c r="H10622" s="81"/>
      <c r="I10622" s="81"/>
      <c r="J10622" s="81"/>
      <c r="K10622" s="81"/>
      <c r="L10622" s="81"/>
      <c r="M10622" s="81"/>
      <c r="N10622" s="81"/>
    </row>
    <row r="10623" spans="1:14" ht="14.25" customHeight="1" x14ac:dyDescent="0.25">
      <c r="A10623" s="191"/>
      <c r="B10623" s="191"/>
      <c r="C10623" s="191"/>
      <c r="D10623" s="191"/>
      <c r="E10623" s="191"/>
      <c r="F10623" s="191"/>
      <c r="G10623" s="81"/>
      <c r="H10623" s="81"/>
      <c r="I10623" s="81"/>
      <c r="J10623" s="81"/>
      <c r="K10623" s="81"/>
      <c r="L10623" s="81"/>
      <c r="M10623" s="81"/>
      <c r="N10623" s="81"/>
    </row>
    <row r="10624" spans="1:14" ht="14.25" customHeight="1" x14ac:dyDescent="0.25">
      <c r="A10624" s="192" t="s">
        <v>49</v>
      </c>
      <c r="B10624" s="193" t="s">
        <v>99</v>
      </c>
      <c r="C10624" s="194"/>
      <c r="D10624" s="194"/>
      <c r="E10624" s="194"/>
      <c r="F10624" s="195"/>
      <c r="G10624" s="81"/>
      <c r="H10624" s="81"/>
      <c r="I10624" s="81"/>
      <c r="J10624" s="81"/>
      <c r="K10624" s="81"/>
      <c r="L10624" s="81"/>
      <c r="M10624" s="81"/>
      <c r="N10624" s="81"/>
    </row>
    <row r="10625" spans="1:14" ht="14.25" customHeight="1" x14ac:dyDescent="0.25">
      <c r="A10625" s="192"/>
      <c r="B10625" s="196"/>
      <c r="C10625" s="194"/>
      <c r="D10625" s="194"/>
      <c r="E10625" s="194"/>
      <c r="F10625" s="195"/>
      <c r="G10625" s="81"/>
      <c r="H10625" s="81"/>
      <c r="I10625" s="81"/>
      <c r="J10625" s="81"/>
      <c r="K10625" s="81"/>
      <c r="L10625" s="81"/>
      <c r="M10625" s="81"/>
      <c r="N10625" s="81"/>
    </row>
    <row r="10626" spans="1:14" ht="14.25" customHeight="1" x14ac:dyDescent="0.25">
      <c r="A10626" s="197" t="s">
        <v>562</v>
      </c>
      <c r="B10626" s="198"/>
      <c r="C10626" s="193"/>
      <c r="D10626" s="193"/>
      <c r="E10626" s="193"/>
      <c r="F10626" s="193"/>
      <c r="G10626" s="81"/>
      <c r="H10626" s="81"/>
      <c r="I10626" s="81"/>
      <c r="J10626" s="81"/>
      <c r="K10626" s="81"/>
      <c r="L10626" s="81"/>
      <c r="M10626" s="81"/>
      <c r="N10626" s="81"/>
    </row>
    <row r="10627" spans="1:14" ht="14.25" customHeight="1" x14ac:dyDescent="0.25">
      <c r="A10627" s="199" t="s">
        <v>563</v>
      </c>
      <c r="B10627" s="474" t="s">
        <v>564</v>
      </c>
      <c r="C10627" s="474" t="s">
        <v>565</v>
      </c>
      <c r="D10627" s="474" t="s">
        <v>566</v>
      </c>
      <c r="E10627" s="474" t="s">
        <v>567</v>
      </c>
      <c r="F10627" s="474" t="s">
        <v>568</v>
      </c>
      <c r="G10627" s="81"/>
      <c r="H10627" s="81"/>
      <c r="I10627" s="81"/>
      <c r="J10627" s="81"/>
      <c r="K10627" s="81"/>
      <c r="L10627" s="81"/>
      <c r="M10627" s="81"/>
      <c r="N10627" s="81"/>
    </row>
    <row r="10628" spans="1:14" ht="14.25" customHeight="1" x14ac:dyDescent="0.25">
      <c r="A10628" s="475" t="s">
        <v>1431</v>
      </c>
      <c r="B10628" s="476" t="s">
        <v>99</v>
      </c>
      <c r="C10628" s="477">
        <v>11282477</v>
      </c>
      <c r="D10628" s="478">
        <v>1</v>
      </c>
      <c r="E10628" s="479"/>
      <c r="F10628" s="477">
        <f>C10628*(D10628+(D10628*E10628))</f>
        <v>11282477</v>
      </c>
      <c r="G10628" s="81"/>
      <c r="H10628" s="81"/>
      <c r="I10628" s="81"/>
      <c r="J10628" s="81"/>
      <c r="K10628" s="81"/>
      <c r="L10628" s="81"/>
      <c r="M10628" s="81"/>
      <c r="N10628" s="81"/>
    </row>
    <row r="10629" spans="1:14" ht="14.25" customHeight="1" x14ac:dyDescent="0.25">
      <c r="A10629" s="475"/>
      <c r="B10629" s="476"/>
      <c r="C10629" s="477"/>
      <c r="D10629" s="478"/>
      <c r="E10629" s="479"/>
      <c r="F10629" s="477"/>
      <c r="G10629" s="81"/>
      <c r="H10629" s="81"/>
      <c r="I10629" s="81"/>
      <c r="J10629" s="81"/>
      <c r="K10629" s="81"/>
      <c r="L10629" s="81"/>
      <c r="M10629" s="81"/>
      <c r="N10629" s="81"/>
    </row>
    <row r="10630" spans="1:14" ht="14.25" customHeight="1" x14ac:dyDescent="0.25">
      <c r="A10630" s="475"/>
      <c r="B10630" s="476"/>
      <c r="C10630" s="477"/>
      <c r="D10630" s="478"/>
      <c r="E10630" s="479"/>
      <c r="F10630" s="477"/>
      <c r="G10630" s="81"/>
      <c r="H10630" s="81"/>
      <c r="I10630" s="81"/>
      <c r="J10630" s="81"/>
      <c r="K10630" s="81"/>
      <c r="L10630" s="81"/>
      <c r="M10630" s="81"/>
      <c r="N10630" s="81"/>
    </row>
    <row r="10631" spans="1:14" ht="14.25" customHeight="1" x14ac:dyDescent="0.25">
      <c r="A10631" s="475"/>
      <c r="B10631" s="476"/>
      <c r="C10631" s="477"/>
      <c r="D10631" s="478"/>
      <c r="E10631" s="479"/>
      <c r="F10631" s="477"/>
      <c r="G10631" s="81"/>
      <c r="H10631" s="81"/>
      <c r="I10631" s="81"/>
      <c r="J10631" s="81"/>
      <c r="K10631" s="81"/>
      <c r="L10631" s="81"/>
      <c r="M10631" s="81"/>
      <c r="N10631" s="81"/>
    </row>
    <row r="10632" spans="1:14" ht="14.25" customHeight="1" x14ac:dyDescent="0.25">
      <c r="A10632" s="475"/>
      <c r="B10632" s="476"/>
      <c r="C10632" s="477"/>
      <c r="D10632" s="478"/>
      <c r="E10632" s="479"/>
      <c r="F10632" s="477"/>
      <c r="G10632" s="81"/>
      <c r="H10632" s="81"/>
      <c r="I10632" s="81"/>
      <c r="J10632" s="81"/>
      <c r="K10632" s="81"/>
      <c r="L10632" s="81"/>
      <c r="M10632" s="81"/>
      <c r="N10632" s="81"/>
    </row>
    <row r="10633" spans="1:14" ht="14.25" customHeight="1" x14ac:dyDescent="0.25">
      <c r="A10633" s="475"/>
      <c r="B10633" s="476"/>
      <c r="C10633" s="477"/>
      <c r="D10633" s="478"/>
      <c r="E10633" s="479"/>
      <c r="F10633" s="477"/>
      <c r="G10633" s="81"/>
      <c r="H10633" s="81"/>
      <c r="I10633" s="81"/>
      <c r="J10633" s="81"/>
      <c r="K10633" s="81"/>
      <c r="L10633" s="81"/>
      <c r="M10633" s="81"/>
      <c r="N10633" s="81"/>
    </row>
    <row r="10634" spans="1:14" ht="14.25" customHeight="1" x14ac:dyDescent="0.25">
      <c r="A10634" s="475"/>
      <c r="B10634" s="476"/>
      <c r="C10634" s="483"/>
      <c r="D10634" s="484"/>
      <c r="E10634" s="485"/>
      <c r="F10634" s="483"/>
      <c r="G10634" s="81"/>
      <c r="H10634" s="81"/>
      <c r="I10634" s="81"/>
      <c r="J10634" s="81"/>
      <c r="K10634" s="81"/>
      <c r="L10634" s="81"/>
      <c r="M10634" s="81"/>
      <c r="N10634" s="81"/>
    </row>
    <row r="10635" spans="1:14" ht="14.25" customHeight="1" x14ac:dyDescent="0.25">
      <c r="A10635" s="199" t="s">
        <v>548</v>
      </c>
      <c r="B10635" s="199"/>
      <c r="C10635" s="486"/>
      <c r="D10635" s="487"/>
      <c r="E10635" s="488"/>
      <c r="F10635" s="489">
        <f>SUM(F10628:F10634)</f>
        <v>11282477</v>
      </c>
      <c r="G10635" s="81"/>
      <c r="H10635" s="81"/>
      <c r="I10635" s="81"/>
      <c r="J10635" s="81"/>
      <c r="K10635" s="81"/>
      <c r="L10635" s="81"/>
      <c r="M10635" s="81"/>
      <c r="N10635" s="81"/>
    </row>
    <row r="10636" spans="1:14" ht="14.25" customHeight="1" x14ac:dyDescent="0.25">
      <c r="A10636" s="192"/>
      <c r="B10636" s="192"/>
      <c r="C10636" s="215"/>
      <c r="D10636" s="215"/>
      <c r="E10636" s="216"/>
      <c r="F10636" s="215"/>
      <c r="G10636" s="81"/>
      <c r="H10636" s="81"/>
      <c r="I10636" s="81"/>
      <c r="J10636" s="81"/>
      <c r="K10636" s="81"/>
      <c r="L10636" s="81"/>
      <c r="M10636" s="81"/>
      <c r="N10636" s="81"/>
    </row>
    <row r="10637" spans="1:14" ht="14.25" customHeight="1" x14ac:dyDescent="0.25">
      <c r="A10637" s="198" t="s">
        <v>573</v>
      </c>
      <c r="B10637" s="198"/>
      <c r="C10637" s="193"/>
      <c r="D10637" s="193"/>
      <c r="E10637" s="193"/>
      <c r="F10637" s="193"/>
      <c r="G10637" s="81"/>
      <c r="H10637" s="81"/>
      <c r="I10637" s="81"/>
      <c r="J10637" s="81"/>
      <c r="K10637" s="81"/>
      <c r="L10637" s="81"/>
      <c r="M10637" s="81"/>
      <c r="N10637" s="81"/>
    </row>
    <row r="10638" spans="1:14" ht="14.25" customHeight="1" x14ac:dyDescent="0.25">
      <c r="A10638" s="585" t="s">
        <v>563</v>
      </c>
      <c r="B10638" s="586"/>
      <c r="C10638" s="587"/>
      <c r="D10638" s="474" t="s">
        <v>574</v>
      </c>
      <c r="E10638" s="474" t="s">
        <v>575</v>
      </c>
      <c r="F10638" s="474" t="s">
        <v>568</v>
      </c>
      <c r="G10638" s="81"/>
      <c r="H10638" s="81"/>
      <c r="I10638" s="81"/>
      <c r="J10638" s="81"/>
      <c r="K10638" s="81"/>
      <c r="L10638" s="81"/>
      <c r="M10638" s="81"/>
      <c r="N10638" s="81"/>
    </row>
    <row r="10639" spans="1:14" ht="14.25" customHeight="1" x14ac:dyDescent="0.25">
      <c r="A10639" s="588" t="s">
        <v>577</v>
      </c>
      <c r="B10639" s="586"/>
      <c r="C10639" s="587"/>
      <c r="D10639" s="490"/>
      <c r="E10639" s="484"/>
      <c r="F10639" s="483">
        <f>+F10652*5%</f>
        <v>99607.887500000012</v>
      </c>
      <c r="G10639" s="81"/>
      <c r="H10639" s="81"/>
      <c r="I10639" s="81"/>
      <c r="J10639" s="81"/>
      <c r="K10639" s="81"/>
      <c r="L10639" s="81"/>
      <c r="M10639" s="81"/>
      <c r="N10639" s="81"/>
    </row>
    <row r="10640" spans="1:14" ht="14.25" customHeight="1" x14ac:dyDescent="0.25">
      <c r="A10640" s="588"/>
      <c r="B10640" s="586"/>
      <c r="C10640" s="587"/>
      <c r="D10640" s="505"/>
      <c r="E10640" s="484"/>
      <c r="F10640" s="483"/>
      <c r="G10640" s="81"/>
      <c r="H10640" s="81"/>
      <c r="I10640" s="81"/>
      <c r="J10640" s="81"/>
      <c r="K10640" s="81"/>
      <c r="L10640" s="81"/>
      <c r="M10640" s="81"/>
      <c r="N10640" s="81"/>
    </row>
    <row r="10641" spans="1:14" ht="14.25" customHeight="1" x14ac:dyDescent="0.25">
      <c r="A10641" s="588"/>
      <c r="B10641" s="586"/>
      <c r="C10641" s="587"/>
      <c r="D10641" s="505"/>
      <c r="E10641" s="484"/>
      <c r="F10641" s="483"/>
      <c r="G10641" s="81"/>
      <c r="H10641" s="81"/>
      <c r="I10641" s="81"/>
      <c r="J10641" s="81"/>
      <c r="K10641" s="81"/>
      <c r="L10641" s="81"/>
      <c r="M10641" s="81"/>
      <c r="N10641" s="81"/>
    </row>
    <row r="10642" spans="1:14" ht="14.25" customHeight="1" x14ac:dyDescent="0.25">
      <c r="A10642" s="588"/>
      <c r="B10642" s="586"/>
      <c r="C10642" s="587"/>
      <c r="D10642" s="505"/>
      <c r="E10642" s="484"/>
      <c r="F10642" s="483"/>
      <c r="G10642" s="81"/>
      <c r="H10642" s="81"/>
      <c r="I10642" s="81"/>
      <c r="J10642" s="81"/>
      <c r="K10642" s="81"/>
      <c r="L10642" s="81"/>
      <c r="M10642" s="81"/>
      <c r="N10642" s="81"/>
    </row>
    <row r="10643" spans="1:14" ht="14.25" customHeight="1" x14ac:dyDescent="0.25">
      <c r="A10643" s="589"/>
      <c r="B10643" s="586"/>
      <c r="C10643" s="587"/>
      <c r="D10643" s="491"/>
      <c r="E10643" s="484"/>
      <c r="F10643" s="483"/>
      <c r="G10643" s="81"/>
      <c r="H10643" s="81"/>
      <c r="I10643" s="81"/>
      <c r="J10643" s="81"/>
      <c r="K10643" s="81"/>
      <c r="L10643" s="81"/>
      <c r="M10643" s="81"/>
      <c r="N10643" s="81"/>
    </row>
    <row r="10644" spans="1:14" ht="14.25" customHeight="1" x14ac:dyDescent="0.25">
      <c r="A10644" s="585" t="s">
        <v>548</v>
      </c>
      <c r="B10644" s="586"/>
      <c r="C10644" s="587"/>
      <c r="D10644" s="487"/>
      <c r="E10644" s="487"/>
      <c r="F10644" s="489">
        <f>SUM(F10639:F10643)</f>
        <v>99607.887500000012</v>
      </c>
      <c r="G10644" s="81"/>
      <c r="H10644" s="81"/>
      <c r="I10644" s="81"/>
      <c r="J10644" s="81"/>
      <c r="K10644" s="81"/>
      <c r="L10644" s="81"/>
      <c r="M10644" s="81"/>
      <c r="N10644" s="81"/>
    </row>
    <row r="10645" spans="1:14" ht="14.25" customHeight="1" x14ac:dyDescent="0.25">
      <c r="A10645" s="192"/>
      <c r="B10645" s="192"/>
      <c r="C10645" s="194"/>
      <c r="D10645" s="215"/>
      <c r="E10645" s="215"/>
      <c r="F10645" s="215"/>
      <c r="G10645" s="81"/>
      <c r="H10645" s="81"/>
      <c r="I10645" s="81"/>
      <c r="J10645" s="81"/>
      <c r="K10645" s="81"/>
      <c r="L10645" s="81"/>
      <c r="M10645" s="81"/>
      <c r="N10645" s="81"/>
    </row>
    <row r="10646" spans="1:14" ht="14.25" customHeight="1" x14ac:dyDescent="0.25">
      <c r="A10646" s="198" t="s">
        <v>578</v>
      </c>
      <c r="B10646" s="198"/>
      <c r="C10646" s="193"/>
      <c r="D10646" s="223"/>
      <c r="E10646" s="223"/>
      <c r="F10646" s="223"/>
      <c r="G10646" s="81"/>
      <c r="H10646" s="81"/>
      <c r="I10646" s="81"/>
      <c r="J10646" s="81"/>
      <c r="K10646" s="81"/>
      <c r="L10646" s="81"/>
      <c r="M10646" s="81"/>
      <c r="N10646" s="81"/>
    </row>
    <row r="10647" spans="1:14" ht="14.25" customHeight="1" x14ac:dyDescent="0.25">
      <c r="A10647" s="224" t="s">
        <v>563</v>
      </c>
      <c r="B10647" s="492" t="s">
        <v>579</v>
      </c>
      <c r="C10647" s="492" t="s">
        <v>580</v>
      </c>
      <c r="D10647" s="493" t="s">
        <v>581</v>
      </c>
      <c r="E10647" s="493" t="s">
        <v>575</v>
      </c>
      <c r="F10647" s="493" t="s">
        <v>568</v>
      </c>
      <c r="G10647" s="81"/>
      <c r="H10647" s="81"/>
      <c r="I10647" s="81"/>
      <c r="J10647" s="81"/>
      <c r="K10647" s="81"/>
      <c r="L10647" s="81"/>
      <c r="M10647" s="81"/>
      <c r="N10647" s="81"/>
    </row>
    <row r="10648" spans="1:14" ht="14.25" customHeight="1" x14ac:dyDescent="0.25">
      <c r="A10648" s="494" t="s">
        <v>916</v>
      </c>
      <c r="B10648" s="495">
        <v>1</v>
      </c>
      <c r="C10648" s="477">
        <v>35956.800000000003</v>
      </c>
      <c r="D10648" s="477">
        <f t="shared" ref="D10648:D10649" si="527">+C10648*1.7</f>
        <v>61126.560000000005</v>
      </c>
      <c r="E10648" s="484">
        <v>0.08</v>
      </c>
      <c r="F10648" s="483">
        <f t="shared" ref="F10648:F10649" si="528">+B10648*(D10648)/E10648</f>
        <v>764082</v>
      </c>
      <c r="G10648" s="81"/>
      <c r="H10648" s="81"/>
      <c r="I10648" s="81"/>
      <c r="J10648" s="81"/>
      <c r="K10648" s="81"/>
      <c r="L10648" s="81"/>
      <c r="M10648" s="81"/>
      <c r="N10648" s="81"/>
    </row>
    <row r="10649" spans="1:14" ht="14.25" customHeight="1" x14ac:dyDescent="0.25">
      <c r="A10649" s="494" t="s">
        <v>917</v>
      </c>
      <c r="B10649" s="495">
        <v>1</v>
      </c>
      <c r="C10649" s="477">
        <v>57791.8</v>
      </c>
      <c r="D10649" s="477">
        <f t="shared" si="527"/>
        <v>98246.06</v>
      </c>
      <c r="E10649" s="484">
        <f>E10648</f>
        <v>0.08</v>
      </c>
      <c r="F10649" s="483">
        <f t="shared" si="528"/>
        <v>1228075.75</v>
      </c>
      <c r="G10649" s="81"/>
      <c r="H10649" s="81"/>
      <c r="I10649" s="81"/>
      <c r="J10649" s="81"/>
      <c r="K10649" s="81"/>
      <c r="L10649" s="81"/>
      <c r="M10649" s="81"/>
      <c r="N10649" s="81"/>
    </row>
    <row r="10650" spans="1:14" ht="14.25" customHeight="1" x14ac:dyDescent="0.25">
      <c r="A10650" s="494"/>
      <c r="B10650" s="495"/>
      <c r="C10650" s="477"/>
      <c r="D10650" s="477"/>
      <c r="E10650" s="484"/>
      <c r="F10650" s="483"/>
      <c r="G10650" s="81"/>
      <c r="H10650" s="81"/>
      <c r="I10650" s="81"/>
      <c r="J10650" s="81"/>
      <c r="K10650" s="81"/>
      <c r="L10650" s="81"/>
      <c r="M10650" s="81"/>
      <c r="N10650" s="81"/>
    </row>
    <row r="10651" spans="1:14" ht="14.25" customHeight="1" x14ac:dyDescent="0.25">
      <c r="A10651" s="494"/>
      <c r="B10651" s="495"/>
      <c r="C10651" s="477"/>
      <c r="D10651" s="477"/>
      <c r="E10651" s="496"/>
      <c r="F10651" s="483"/>
      <c r="G10651" s="81"/>
      <c r="H10651" s="117"/>
      <c r="I10651" s="81"/>
      <c r="J10651" s="81"/>
      <c r="K10651" s="81"/>
      <c r="L10651" s="81"/>
      <c r="M10651" s="81"/>
      <c r="N10651" s="81"/>
    </row>
    <row r="10652" spans="1:14" ht="14.25" customHeight="1" x14ac:dyDescent="0.25">
      <c r="A10652" s="199" t="s">
        <v>548</v>
      </c>
      <c r="B10652" s="497"/>
      <c r="C10652" s="487"/>
      <c r="D10652" s="487"/>
      <c r="E10652" s="487"/>
      <c r="F10652" s="489">
        <f>SUM(F10648:F10651)</f>
        <v>1992157.75</v>
      </c>
      <c r="G10652" s="81"/>
      <c r="H10652" s="81"/>
      <c r="I10652" s="81"/>
      <c r="J10652" s="81"/>
      <c r="K10652" s="81"/>
      <c r="L10652" s="81"/>
      <c r="M10652" s="81"/>
      <c r="N10652" s="81"/>
    </row>
    <row r="10653" spans="1:14" ht="14.25" customHeight="1" x14ac:dyDescent="0.25">
      <c r="A10653" s="198"/>
      <c r="B10653" s="231"/>
      <c r="C10653" s="223"/>
      <c r="D10653" s="223"/>
      <c r="E10653" s="223"/>
      <c r="F10653" s="223"/>
      <c r="G10653" s="81"/>
      <c r="H10653" s="143"/>
      <c r="I10653" s="81"/>
      <c r="J10653" s="81"/>
      <c r="K10653" s="81"/>
      <c r="L10653" s="81"/>
      <c r="M10653" s="81"/>
      <c r="N10653" s="81"/>
    </row>
    <row r="10654" spans="1:14" ht="14.25" customHeight="1" x14ac:dyDescent="0.25">
      <c r="A10654" s="197" t="s">
        <v>583</v>
      </c>
      <c r="B10654" s="198"/>
      <c r="C10654" s="193"/>
      <c r="D10654" s="193"/>
      <c r="E10654" s="193" t="s">
        <v>584</v>
      </c>
      <c r="F10654" s="193"/>
      <c r="G10654" s="81"/>
      <c r="H10654" s="81"/>
      <c r="I10654" s="81"/>
      <c r="J10654" s="81"/>
      <c r="K10654" s="81"/>
      <c r="L10654" s="81"/>
      <c r="M10654" s="81"/>
      <c r="N10654" s="81"/>
    </row>
    <row r="10655" spans="1:14" ht="14.25" customHeight="1" x14ac:dyDescent="0.25">
      <c r="A10655" s="199" t="s">
        <v>563</v>
      </c>
      <c r="B10655" s="474" t="s">
        <v>564</v>
      </c>
      <c r="C10655" s="474" t="s">
        <v>585</v>
      </c>
      <c r="D10655" s="474" t="s">
        <v>586</v>
      </c>
      <c r="E10655" s="492" t="s">
        <v>587</v>
      </c>
      <c r="F10655" s="474" t="s">
        <v>568</v>
      </c>
      <c r="G10655" s="81"/>
      <c r="H10655" s="81"/>
      <c r="I10655" s="81"/>
      <c r="J10655" s="81"/>
      <c r="K10655" s="81"/>
      <c r="L10655" s="81"/>
      <c r="M10655" s="81"/>
      <c r="N10655" s="81"/>
    </row>
    <row r="10656" spans="1:14" ht="14.25" customHeight="1" x14ac:dyDescent="0.25">
      <c r="A10656" s="480"/>
      <c r="B10656" s="476"/>
      <c r="C10656" s="477"/>
      <c r="D10656" s="498"/>
      <c r="E10656" s="484"/>
      <c r="F10656" s="486">
        <f>+C10656*D10656*E10656</f>
        <v>0</v>
      </c>
      <c r="G10656" s="81"/>
      <c r="H10656" s="81"/>
      <c r="I10656" s="81"/>
      <c r="J10656" s="81"/>
      <c r="K10656" s="81"/>
      <c r="L10656" s="81"/>
      <c r="M10656" s="81"/>
      <c r="N10656" s="81"/>
    </row>
    <row r="10657" spans="1:14" ht="14.25" customHeight="1" x14ac:dyDescent="0.25">
      <c r="A10657" s="480"/>
      <c r="B10657" s="476"/>
      <c r="C10657" s="484"/>
      <c r="D10657" s="484"/>
      <c r="E10657" s="485"/>
      <c r="F10657" s="486"/>
      <c r="G10657" s="81"/>
      <c r="H10657" s="81"/>
      <c r="I10657" s="81"/>
      <c r="J10657" s="81"/>
      <c r="K10657" s="81"/>
      <c r="L10657" s="81"/>
      <c r="M10657" s="81"/>
      <c r="N10657" s="81"/>
    </row>
    <row r="10658" spans="1:14" ht="14.25" customHeight="1" x14ac:dyDescent="0.25">
      <c r="A10658" s="199" t="s">
        <v>548</v>
      </c>
      <c r="B10658" s="474"/>
      <c r="C10658" s="487"/>
      <c r="D10658" s="487"/>
      <c r="E10658" s="488"/>
      <c r="F10658" s="489">
        <f>SUM(F10656:F10657)</f>
        <v>0</v>
      </c>
      <c r="G10658" s="81"/>
      <c r="H10658" s="81"/>
      <c r="I10658" s="81"/>
      <c r="J10658" s="81"/>
      <c r="K10658" s="81"/>
      <c r="L10658" s="81"/>
      <c r="M10658" s="81"/>
      <c r="N10658" s="81"/>
    </row>
    <row r="10659" spans="1:14" ht="14.25" customHeight="1" x14ac:dyDescent="0.25">
      <c r="A10659" s="192"/>
      <c r="B10659" s="194"/>
      <c r="C10659" s="215"/>
      <c r="D10659" s="215"/>
      <c r="E10659" s="216"/>
      <c r="F10659" s="215"/>
      <c r="G10659" s="81"/>
      <c r="H10659" s="81"/>
      <c r="I10659" s="81"/>
      <c r="J10659" s="81"/>
      <c r="K10659" s="81"/>
      <c r="L10659" s="81"/>
      <c r="M10659" s="81"/>
      <c r="N10659" s="81"/>
    </row>
    <row r="10660" spans="1:14" ht="14.25" customHeight="1" x14ac:dyDescent="0.25">
      <c r="A10660" s="192"/>
      <c r="B10660" s="194"/>
      <c r="C10660" s="215"/>
      <c r="D10660" s="215"/>
      <c r="E10660" s="216"/>
      <c r="F10660" s="215"/>
      <c r="G10660" s="81"/>
      <c r="H10660" s="81"/>
      <c r="I10660" s="81"/>
      <c r="J10660" s="81"/>
      <c r="K10660" s="81"/>
      <c r="L10660" s="81"/>
      <c r="M10660" s="81"/>
      <c r="N10660" s="81"/>
    </row>
    <row r="10661" spans="1:14" ht="14.25" customHeight="1" x14ac:dyDescent="0.25">
      <c r="A10661" s="590" t="s">
        <v>588</v>
      </c>
      <c r="B10661" s="586"/>
      <c r="C10661" s="586"/>
      <c r="D10661" s="586"/>
      <c r="E10661" s="587"/>
      <c r="F10661" s="499">
        <f>ROUND(F10635+F10644+F10652+F10658,0)</f>
        <v>13374243</v>
      </c>
      <c r="G10661" s="81"/>
      <c r="H10661" s="81"/>
      <c r="I10661" s="81"/>
      <c r="J10661" s="81"/>
      <c r="K10661" s="81"/>
      <c r="L10661" s="81"/>
      <c r="M10661" s="81"/>
      <c r="N10661" s="81"/>
    </row>
    <row r="10662" spans="1:14" ht="14.25" customHeight="1" x14ac:dyDescent="0.25">
      <c r="A10662" s="590" t="s">
        <v>589</v>
      </c>
      <c r="B10662" s="586"/>
      <c r="C10662" s="586"/>
      <c r="D10662" s="586"/>
      <c r="E10662" s="587"/>
      <c r="F10662" s="500"/>
      <c r="G10662" s="81"/>
      <c r="H10662" s="81"/>
      <c r="I10662" s="81"/>
      <c r="J10662" s="81"/>
      <c r="K10662" s="81"/>
      <c r="L10662" s="81"/>
      <c r="M10662" s="81"/>
      <c r="N10662" s="81"/>
    </row>
    <row r="10663" spans="1:14" ht="14.25" customHeight="1" x14ac:dyDescent="0.25">
      <c r="A10663" s="300" t="s">
        <v>556</v>
      </c>
      <c r="B10663" s="506"/>
      <c r="C10663" s="506"/>
      <c r="D10663" s="506"/>
      <c r="E10663" s="507"/>
      <c r="F10663" s="501"/>
      <c r="G10663" s="81"/>
      <c r="H10663" s="81"/>
      <c r="I10663" s="81"/>
      <c r="J10663" s="81"/>
      <c r="K10663" s="81"/>
      <c r="L10663" s="81"/>
      <c r="M10663" s="81"/>
      <c r="N10663" s="81"/>
    </row>
    <row r="10664" spans="1:14" ht="14.25" customHeight="1" x14ac:dyDescent="0.25">
      <c r="A10664" s="301"/>
      <c r="B10664" s="502"/>
      <c r="C10664" s="502"/>
      <c r="D10664" s="502"/>
      <c r="E10664" s="502"/>
      <c r="F10664" s="503"/>
      <c r="G10664" s="81"/>
      <c r="H10664" s="81"/>
      <c r="I10664" s="81"/>
      <c r="J10664" s="81"/>
      <c r="K10664" s="81"/>
      <c r="L10664" s="81"/>
      <c r="M10664" s="81"/>
      <c r="N10664" s="81"/>
    </row>
    <row r="10665" spans="1:14" ht="14.25" customHeight="1" x14ac:dyDescent="0.25">
      <c r="A10665" s="301"/>
      <c r="B10665" s="502"/>
      <c r="C10665" s="502"/>
      <c r="D10665" s="502"/>
      <c r="E10665" s="502"/>
      <c r="F10665" s="503"/>
      <c r="G10665" s="81"/>
      <c r="H10665" s="81"/>
      <c r="I10665" s="81"/>
      <c r="J10665" s="81"/>
      <c r="K10665" s="81"/>
      <c r="L10665" s="81"/>
      <c r="M10665" s="81"/>
      <c r="N10665" s="81"/>
    </row>
    <row r="10666" spans="1:14" ht="14.25" customHeight="1" x14ac:dyDescent="0.25">
      <c r="A10666" s="301"/>
      <c r="B10666" s="502"/>
      <c r="C10666" s="502"/>
      <c r="D10666" s="502"/>
      <c r="E10666" s="502"/>
      <c r="F10666" s="503"/>
      <c r="G10666" s="81"/>
      <c r="H10666" s="81"/>
      <c r="I10666" s="81"/>
      <c r="J10666" s="81"/>
      <c r="K10666" s="81"/>
      <c r="L10666" s="81"/>
      <c r="M10666" s="81"/>
      <c r="N10666" s="81"/>
    </row>
    <row r="10667" spans="1:14" ht="14.25" customHeight="1" x14ac:dyDescent="0.25">
      <c r="A10667" s="243"/>
      <c r="B10667" s="243"/>
      <c r="C10667" s="504"/>
      <c r="D10667" s="243"/>
      <c r="E10667" s="243"/>
      <c r="F10667" s="243"/>
      <c r="G10667" s="81"/>
      <c r="H10667" s="81"/>
      <c r="I10667" s="81"/>
      <c r="J10667" s="81"/>
      <c r="K10667" s="81"/>
      <c r="L10667" s="81"/>
      <c r="M10667" s="81"/>
      <c r="N10667" s="81"/>
    </row>
    <row r="10668" spans="1:14" ht="14.25" customHeight="1" x14ac:dyDescent="0.25">
      <c r="A10668" s="243"/>
      <c r="B10668" s="243"/>
      <c r="C10668" s="504"/>
      <c r="D10668" s="243"/>
      <c r="E10668" s="243"/>
      <c r="F10668" s="243"/>
      <c r="G10668" s="81"/>
      <c r="H10668" s="81"/>
      <c r="I10668" s="81"/>
      <c r="J10668" s="81"/>
      <c r="K10668" s="81"/>
      <c r="L10668" s="81"/>
      <c r="M10668" s="81"/>
      <c r="N10668" s="81"/>
    </row>
    <row r="10669" spans="1:14" ht="14.25" customHeight="1" x14ac:dyDescent="0.25">
      <c r="A10669" s="243"/>
      <c r="B10669" s="243"/>
      <c r="C10669" s="504"/>
      <c r="D10669" s="243"/>
      <c r="E10669" s="243"/>
      <c r="F10669" s="243"/>
      <c r="G10669" s="81"/>
      <c r="H10669" s="81"/>
      <c r="I10669" s="81"/>
      <c r="J10669" s="81"/>
      <c r="K10669" s="81"/>
      <c r="L10669" s="81"/>
      <c r="M10669" s="81"/>
      <c r="N10669" s="81"/>
    </row>
    <row r="10670" spans="1:14" ht="14.25" customHeight="1" x14ac:dyDescent="0.25">
      <c r="A10670" s="243"/>
      <c r="B10670" s="243"/>
      <c r="C10670" s="504"/>
      <c r="D10670" s="243"/>
      <c r="E10670" s="243"/>
      <c r="F10670" s="243"/>
      <c r="G10670" s="81"/>
      <c r="H10670" s="81"/>
      <c r="I10670" s="81"/>
      <c r="J10670" s="81"/>
      <c r="K10670" s="81"/>
      <c r="L10670" s="81"/>
      <c r="M10670" s="81"/>
      <c r="N10670" s="81"/>
    </row>
    <row r="10671" spans="1:14" ht="14.25" customHeight="1" x14ac:dyDescent="0.25">
      <c r="A10671" s="243"/>
      <c r="B10671" s="243"/>
      <c r="C10671" s="504"/>
      <c r="D10671" s="243"/>
      <c r="E10671" s="243"/>
      <c r="F10671" s="243"/>
      <c r="G10671" s="81"/>
      <c r="H10671" s="81"/>
      <c r="I10671" s="81"/>
      <c r="J10671" s="81"/>
      <c r="K10671" s="81"/>
      <c r="L10671" s="81"/>
      <c r="M10671" s="81"/>
      <c r="N10671" s="81"/>
    </row>
    <row r="10672" spans="1:14" ht="14.25" customHeight="1" x14ac:dyDescent="0.25">
      <c r="A10672" s="243"/>
      <c r="B10672" s="243"/>
      <c r="C10672" s="504"/>
      <c r="D10672" s="243"/>
      <c r="E10672" s="243"/>
      <c r="F10672" s="243"/>
      <c r="G10672" s="81"/>
      <c r="H10672" s="81"/>
      <c r="I10672" s="81"/>
      <c r="J10672" s="81"/>
      <c r="K10672" s="81"/>
      <c r="L10672" s="81"/>
      <c r="M10672" s="81"/>
      <c r="N10672" s="81"/>
    </row>
    <row r="10673" spans="1:14" ht="14.25" customHeight="1" x14ac:dyDescent="0.25">
      <c r="A10673" s="243"/>
      <c r="B10673" s="243"/>
      <c r="C10673" s="504"/>
      <c r="D10673" s="243"/>
      <c r="E10673" s="243"/>
      <c r="F10673" s="243"/>
      <c r="G10673" s="81"/>
      <c r="H10673" s="81"/>
      <c r="I10673" s="81"/>
      <c r="J10673" s="81"/>
      <c r="K10673" s="81"/>
      <c r="L10673" s="81"/>
      <c r="M10673" s="81"/>
      <c r="N10673" s="81"/>
    </row>
    <row r="10674" spans="1:14" ht="14.25" customHeight="1" x14ac:dyDescent="0.25">
      <c r="A10674" s="243"/>
      <c r="B10674" s="243"/>
      <c r="C10674" s="504"/>
      <c r="D10674" s="243"/>
      <c r="E10674" s="243"/>
      <c r="F10674" s="243"/>
      <c r="G10674" s="81"/>
      <c r="H10674" s="81"/>
      <c r="I10674" s="81"/>
      <c r="J10674" s="81"/>
      <c r="K10674" s="81"/>
      <c r="L10674" s="81"/>
      <c r="M10674" s="81"/>
      <c r="N10674" s="81"/>
    </row>
    <row r="10675" spans="1:14" ht="14.25" customHeight="1" x14ac:dyDescent="0.25">
      <c r="A10675" s="243"/>
      <c r="B10675" s="243"/>
      <c r="C10675" s="504"/>
      <c r="D10675" s="243"/>
      <c r="E10675" s="243"/>
      <c r="F10675" s="243"/>
      <c r="G10675" s="81"/>
      <c r="H10675" s="81"/>
      <c r="I10675" s="81"/>
      <c r="J10675" s="81"/>
      <c r="K10675" s="81"/>
      <c r="L10675" s="81"/>
      <c r="M10675" s="81"/>
      <c r="N10675" s="81"/>
    </row>
    <row r="10676" spans="1:14" ht="14.25" customHeight="1" x14ac:dyDescent="0.25">
      <c r="A10676" s="243"/>
      <c r="B10676" s="243"/>
      <c r="C10676" s="504"/>
      <c r="D10676" s="243"/>
      <c r="E10676" s="243"/>
      <c r="F10676" s="243"/>
      <c r="G10676" s="81"/>
      <c r="H10676" s="81"/>
      <c r="I10676" s="81"/>
      <c r="J10676" s="81"/>
      <c r="K10676" s="81"/>
      <c r="L10676" s="81"/>
      <c r="M10676" s="81"/>
      <c r="N10676" s="81"/>
    </row>
    <row r="10677" spans="1:14" ht="14.25" customHeight="1" x14ac:dyDescent="0.25">
      <c r="A10677" s="243"/>
      <c r="B10677" s="243"/>
      <c r="C10677" s="504"/>
      <c r="D10677" s="243"/>
      <c r="E10677" s="243"/>
      <c r="F10677" s="243"/>
      <c r="G10677" s="81"/>
      <c r="H10677" s="81"/>
      <c r="I10677" s="81"/>
      <c r="J10677" s="81"/>
      <c r="K10677" s="81"/>
      <c r="L10677" s="81"/>
      <c r="M10677" s="81"/>
      <c r="N10677" s="81"/>
    </row>
    <row r="10678" spans="1:14" ht="14.25" customHeight="1" x14ac:dyDescent="0.25">
      <c r="A10678" s="243"/>
      <c r="B10678" s="243"/>
      <c r="C10678" s="504"/>
      <c r="D10678" s="243"/>
      <c r="E10678" s="243"/>
      <c r="F10678" s="243"/>
      <c r="G10678" s="81"/>
      <c r="H10678" s="81"/>
      <c r="I10678" s="81"/>
      <c r="J10678" s="81"/>
      <c r="K10678" s="81"/>
      <c r="L10678" s="81"/>
      <c r="M10678" s="81"/>
      <c r="N10678" s="81"/>
    </row>
    <row r="10679" spans="1:14" ht="14.25" customHeight="1" x14ac:dyDescent="0.25">
      <c r="A10679" s="243"/>
      <c r="B10679" s="243"/>
      <c r="C10679" s="504"/>
      <c r="D10679" s="243"/>
      <c r="E10679" s="243"/>
      <c r="F10679" s="243"/>
      <c r="G10679" s="81"/>
      <c r="H10679" s="81"/>
      <c r="I10679" s="81"/>
      <c r="J10679" s="81"/>
      <c r="K10679" s="81"/>
      <c r="L10679" s="81"/>
      <c r="M10679" s="81"/>
      <c r="N10679" s="81"/>
    </row>
    <row r="10680" spans="1:14" ht="14.25" customHeight="1" x14ac:dyDescent="0.25">
      <c r="A10680" s="301"/>
      <c r="B10680" s="502"/>
      <c r="C10680" s="502"/>
      <c r="D10680" s="502"/>
      <c r="E10680" s="502"/>
      <c r="F10680" s="503"/>
      <c r="G10680" s="81"/>
      <c r="H10680" s="81"/>
      <c r="I10680" s="81"/>
      <c r="J10680" s="81"/>
      <c r="K10680" s="81"/>
      <c r="L10680" s="81"/>
      <c r="M10680" s="81"/>
      <c r="N10680" s="81"/>
    </row>
    <row r="10681" spans="1:14" ht="14.25" customHeight="1" thickBot="1" x14ac:dyDescent="0.3">
      <c r="A10681" s="243"/>
      <c r="B10681" s="243"/>
      <c r="C10681" s="243"/>
      <c r="D10681" s="243"/>
      <c r="E10681" s="243"/>
      <c r="F10681" s="243"/>
      <c r="G10681" s="81"/>
      <c r="H10681" s="81"/>
      <c r="I10681" s="81"/>
      <c r="J10681" s="81"/>
      <c r="K10681" s="81"/>
      <c r="L10681" s="81"/>
      <c r="M10681" s="81"/>
      <c r="N10681" s="81"/>
    </row>
    <row r="10682" spans="1:14" ht="14.25" customHeight="1" x14ac:dyDescent="0.25">
      <c r="A10682" s="258"/>
      <c r="B10682" s="259"/>
      <c r="C10682" s="260"/>
      <c r="D10682" s="261"/>
      <c r="E10682" s="261"/>
      <c r="F10682" s="262"/>
      <c r="G10682" s="81"/>
      <c r="H10682" s="81"/>
      <c r="I10682" s="81"/>
      <c r="J10682" s="81"/>
      <c r="K10682" s="81"/>
      <c r="L10682" s="81"/>
      <c r="M10682" s="81"/>
      <c r="N10682" s="81"/>
    </row>
    <row r="10683" spans="1:14" ht="14.25" customHeight="1" x14ac:dyDescent="0.25">
      <c r="A10683" s="621"/>
      <c r="B10683" s="629"/>
      <c r="C10683" s="629"/>
      <c r="D10683" s="629"/>
      <c r="E10683" s="629"/>
      <c r="F10683" s="630"/>
      <c r="G10683" s="81"/>
      <c r="H10683" s="81"/>
      <c r="I10683" s="81"/>
      <c r="J10683" s="81"/>
      <c r="K10683" s="81"/>
      <c r="L10683" s="81"/>
      <c r="M10683" s="81"/>
      <c r="N10683" s="81"/>
    </row>
    <row r="10684" spans="1:14" ht="14.25" customHeight="1" x14ac:dyDescent="0.25">
      <c r="A10684" s="614" t="s">
        <v>561</v>
      </c>
      <c r="B10684" s="629"/>
      <c r="C10684" s="629"/>
      <c r="D10684" s="629"/>
      <c r="E10684" s="629"/>
      <c r="F10684" s="630"/>
      <c r="G10684" s="81"/>
      <c r="H10684" s="81"/>
      <c r="I10684" s="81"/>
      <c r="J10684" s="81"/>
      <c r="K10684" s="81"/>
      <c r="L10684" s="81"/>
      <c r="M10684" s="81"/>
      <c r="N10684" s="81"/>
    </row>
    <row r="10685" spans="1:14" ht="14.25" customHeight="1" thickBot="1" x14ac:dyDescent="0.3">
      <c r="A10685" s="617"/>
      <c r="B10685" s="631"/>
      <c r="C10685" s="631"/>
      <c r="D10685" s="631"/>
      <c r="E10685" s="631"/>
      <c r="F10685" s="632"/>
      <c r="G10685" s="81"/>
      <c r="H10685" s="81"/>
      <c r="I10685" s="81"/>
      <c r="J10685" s="81"/>
      <c r="K10685" s="81"/>
      <c r="L10685" s="81"/>
      <c r="M10685" s="81"/>
      <c r="N10685" s="81"/>
    </row>
    <row r="10686" spans="1:14" ht="14.25" customHeight="1" x14ac:dyDescent="0.25">
      <c r="A10686" s="192"/>
      <c r="B10686" s="192"/>
      <c r="C10686" s="194"/>
      <c r="D10686" s="194"/>
      <c r="E10686" s="194"/>
      <c r="F10686" s="194"/>
      <c r="G10686" s="81"/>
      <c r="H10686" s="81"/>
      <c r="I10686" s="81"/>
      <c r="J10686" s="81"/>
      <c r="K10686" s="81"/>
      <c r="L10686" s="81"/>
      <c r="M10686" s="81"/>
      <c r="N10686" s="81"/>
    </row>
    <row r="10687" spans="1:14" ht="14.25" customHeight="1" x14ac:dyDescent="0.25">
      <c r="A10687" s="473" t="s">
        <v>47</v>
      </c>
      <c r="B10687" s="620" t="s">
        <v>1432</v>
      </c>
      <c r="C10687" s="629"/>
      <c r="D10687" s="629"/>
      <c r="E10687" s="629"/>
      <c r="F10687" s="629"/>
      <c r="G10687" s="81"/>
      <c r="H10687" s="81"/>
      <c r="I10687" s="81"/>
      <c r="J10687" s="81"/>
      <c r="K10687" s="81"/>
      <c r="L10687" s="81"/>
      <c r="M10687" s="81"/>
      <c r="N10687" s="81"/>
    </row>
    <row r="10688" spans="1:14" ht="14.25" customHeight="1" x14ac:dyDescent="0.25">
      <c r="A10688" s="191"/>
      <c r="B10688" s="191"/>
      <c r="C10688" s="191"/>
      <c r="D10688" s="191"/>
      <c r="E10688" s="191"/>
      <c r="F10688" s="191"/>
      <c r="G10688" s="81"/>
      <c r="H10688" s="81"/>
      <c r="I10688" s="81"/>
      <c r="J10688" s="81"/>
      <c r="K10688" s="81"/>
      <c r="L10688" s="81"/>
      <c r="M10688" s="81"/>
      <c r="N10688" s="81"/>
    </row>
    <row r="10689" spans="1:14" ht="14.25" customHeight="1" x14ac:dyDescent="0.25">
      <c r="A10689" s="192" t="s">
        <v>49</v>
      </c>
      <c r="B10689" s="193" t="s">
        <v>99</v>
      </c>
      <c r="C10689" s="194"/>
      <c r="D10689" s="194"/>
      <c r="E10689" s="194"/>
      <c r="F10689" s="195"/>
      <c r="G10689" s="81"/>
      <c r="H10689" s="81"/>
      <c r="I10689" s="81"/>
      <c r="J10689" s="81"/>
      <c r="K10689" s="81"/>
      <c r="L10689" s="81"/>
      <c r="M10689" s="81"/>
      <c r="N10689" s="81"/>
    </row>
    <row r="10690" spans="1:14" ht="14.25" customHeight="1" x14ac:dyDescent="0.25">
      <c r="A10690" s="192"/>
      <c r="B10690" s="196"/>
      <c r="C10690" s="194"/>
      <c r="D10690" s="194"/>
      <c r="E10690" s="194"/>
      <c r="F10690" s="195"/>
      <c r="G10690" s="81"/>
      <c r="H10690" s="81"/>
      <c r="I10690" s="81"/>
      <c r="J10690" s="81"/>
      <c r="K10690" s="81"/>
      <c r="L10690" s="81"/>
      <c r="M10690" s="81"/>
      <c r="N10690" s="81"/>
    </row>
    <row r="10691" spans="1:14" ht="14.25" customHeight="1" x14ac:dyDescent="0.25">
      <c r="A10691" s="197" t="s">
        <v>562</v>
      </c>
      <c r="B10691" s="198"/>
      <c r="C10691" s="193"/>
      <c r="D10691" s="193"/>
      <c r="E10691" s="193"/>
      <c r="F10691" s="193"/>
      <c r="G10691" s="81"/>
      <c r="H10691" s="81"/>
      <c r="I10691" s="81"/>
      <c r="J10691" s="81"/>
      <c r="K10691" s="81"/>
      <c r="L10691" s="81"/>
      <c r="M10691" s="81"/>
      <c r="N10691" s="81"/>
    </row>
    <row r="10692" spans="1:14" ht="14.25" customHeight="1" x14ac:dyDescent="0.25">
      <c r="A10692" s="199" t="s">
        <v>563</v>
      </c>
      <c r="B10692" s="474" t="s">
        <v>564</v>
      </c>
      <c r="C10692" s="474" t="s">
        <v>565</v>
      </c>
      <c r="D10692" s="474" t="s">
        <v>566</v>
      </c>
      <c r="E10692" s="474" t="s">
        <v>567</v>
      </c>
      <c r="F10692" s="474" t="s">
        <v>568</v>
      </c>
      <c r="G10692" s="81"/>
      <c r="H10692" s="81"/>
      <c r="I10692" s="81"/>
      <c r="J10692" s="81"/>
      <c r="K10692" s="81"/>
      <c r="L10692" s="81"/>
      <c r="M10692" s="81"/>
      <c r="N10692" s="81"/>
    </row>
    <row r="10693" spans="1:14" ht="14.25" customHeight="1" x14ac:dyDescent="0.25">
      <c r="A10693" s="475" t="s">
        <v>1433</v>
      </c>
      <c r="B10693" s="476" t="s">
        <v>99</v>
      </c>
      <c r="C10693" s="477">
        <v>7339033</v>
      </c>
      <c r="D10693" s="478">
        <v>1</v>
      </c>
      <c r="E10693" s="479"/>
      <c r="F10693" s="477">
        <f>C10693*(D10693+(D10693*E10693))</f>
        <v>7339033</v>
      </c>
      <c r="G10693" s="81"/>
      <c r="H10693" s="81"/>
      <c r="I10693" s="81"/>
      <c r="J10693" s="81"/>
      <c r="K10693" s="81"/>
      <c r="L10693" s="81"/>
      <c r="M10693" s="81"/>
      <c r="N10693" s="81"/>
    </row>
    <row r="10694" spans="1:14" ht="14.25" customHeight="1" x14ac:dyDescent="0.25">
      <c r="A10694" s="475"/>
      <c r="B10694" s="476"/>
      <c r="C10694" s="477"/>
      <c r="D10694" s="478"/>
      <c r="E10694" s="479"/>
      <c r="F10694" s="477"/>
      <c r="G10694" s="81"/>
      <c r="H10694" s="81"/>
      <c r="I10694" s="81"/>
      <c r="J10694" s="81"/>
      <c r="K10694" s="81"/>
      <c r="L10694" s="81"/>
      <c r="M10694" s="81"/>
      <c r="N10694" s="81"/>
    </row>
    <row r="10695" spans="1:14" ht="14.25" customHeight="1" x14ac:dyDescent="0.25">
      <c r="A10695" s="475"/>
      <c r="B10695" s="476"/>
      <c r="C10695" s="477"/>
      <c r="D10695" s="478"/>
      <c r="E10695" s="479"/>
      <c r="F10695" s="477"/>
      <c r="G10695" s="81"/>
      <c r="H10695" s="81"/>
      <c r="I10695" s="81"/>
      <c r="J10695" s="81"/>
      <c r="K10695" s="81"/>
      <c r="L10695" s="81"/>
      <c r="M10695" s="81"/>
      <c r="N10695" s="81"/>
    </row>
    <row r="10696" spans="1:14" ht="14.25" customHeight="1" x14ac:dyDescent="0.25">
      <c r="A10696" s="475"/>
      <c r="B10696" s="476"/>
      <c r="C10696" s="477"/>
      <c r="D10696" s="478"/>
      <c r="E10696" s="479"/>
      <c r="F10696" s="477"/>
      <c r="G10696" s="81"/>
      <c r="H10696" s="81"/>
      <c r="I10696" s="81"/>
      <c r="J10696" s="81"/>
      <c r="K10696" s="81"/>
      <c r="L10696" s="81"/>
      <c r="M10696" s="81"/>
      <c r="N10696" s="81"/>
    </row>
    <row r="10697" spans="1:14" ht="14.25" customHeight="1" x14ac:dyDescent="0.25">
      <c r="A10697" s="475"/>
      <c r="B10697" s="476"/>
      <c r="C10697" s="477"/>
      <c r="D10697" s="478"/>
      <c r="E10697" s="479"/>
      <c r="F10697" s="477"/>
      <c r="G10697" s="81"/>
      <c r="H10697" s="81"/>
      <c r="I10697" s="81"/>
      <c r="J10697" s="81"/>
      <c r="K10697" s="81"/>
      <c r="L10697" s="81"/>
      <c r="M10697" s="81"/>
      <c r="N10697" s="81"/>
    </row>
    <row r="10698" spans="1:14" ht="14.25" customHeight="1" x14ac:dyDescent="0.25">
      <c r="A10698" s="475"/>
      <c r="B10698" s="476"/>
      <c r="C10698" s="477"/>
      <c r="D10698" s="478"/>
      <c r="E10698" s="479"/>
      <c r="F10698" s="477"/>
      <c r="G10698" s="81"/>
      <c r="H10698" s="81"/>
      <c r="I10698" s="81"/>
      <c r="J10698" s="81"/>
      <c r="K10698" s="81"/>
      <c r="L10698" s="81"/>
      <c r="M10698" s="81"/>
      <c r="N10698" s="81"/>
    </row>
    <row r="10699" spans="1:14" ht="14.25" customHeight="1" x14ac:dyDescent="0.25">
      <c r="A10699" s="475"/>
      <c r="B10699" s="476"/>
      <c r="C10699" s="483"/>
      <c r="D10699" s="484"/>
      <c r="E10699" s="485"/>
      <c r="F10699" s="483"/>
      <c r="G10699" s="81"/>
      <c r="H10699" s="81"/>
      <c r="I10699" s="81"/>
      <c r="J10699" s="81"/>
      <c r="K10699" s="81"/>
      <c r="L10699" s="81"/>
      <c r="M10699" s="81"/>
      <c r="N10699" s="81"/>
    </row>
    <row r="10700" spans="1:14" ht="14.25" customHeight="1" x14ac:dyDescent="0.25">
      <c r="A10700" s="199" t="s">
        <v>548</v>
      </c>
      <c r="B10700" s="199"/>
      <c r="C10700" s="486"/>
      <c r="D10700" s="487"/>
      <c r="E10700" s="488"/>
      <c r="F10700" s="489">
        <f>SUM(F10693:F10699)</f>
        <v>7339033</v>
      </c>
      <c r="G10700" s="81"/>
      <c r="H10700" s="81"/>
      <c r="I10700" s="81"/>
      <c r="J10700" s="81"/>
      <c r="K10700" s="81"/>
      <c r="L10700" s="81"/>
      <c r="M10700" s="81"/>
      <c r="N10700" s="81"/>
    </row>
    <row r="10701" spans="1:14" ht="14.25" customHeight="1" x14ac:dyDescent="0.25">
      <c r="A10701" s="192"/>
      <c r="B10701" s="192"/>
      <c r="C10701" s="215"/>
      <c r="D10701" s="215"/>
      <c r="E10701" s="216"/>
      <c r="F10701" s="215"/>
      <c r="G10701" s="81"/>
      <c r="H10701" s="81"/>
      <c r="I10701" s="81"/>
      <c r="J10701" s="81"/>
      <c r="K10701" s="81"/>
      <c r="L10701" s="81"/>
      <c r="M10701" s="81"/>
      <c r="N10701" s="81"/>
    </row>
    <row r="10702" spans="1:14" ht="14.25" customHeight="1" x14ac:dyDescent="0.25">
      <c r="A10702" s="198" t="s">
        <v>573</v>
      </c>
      <c r="B10702" s="198"/>
      <c r="C10702" s="193"/>
      <c r="D10702" s="193"/>
      <c r="E10702" s="193"/>
      <c r="F10702" s="193"/>
      <c r="G10702" s="81"/>
      <c r="H10702" s="81"/>
      <c r="I10702" s="81"/>
      <c r="J10702" s="81"/>
      <c r="K10702" s="81"/>
      <c r="L10702" s="81"/>
      <c r="M10702" s="81"/>
      <c r="N10702" s="81"/>
    </row>
    <row r="10703" spans="1:14" ht="14.25" customHeight="1" x14ac:dyDescent="0.25">
      <c r="A10703" s="585" t="s">
        <v>563</v>
      </c>
      <c r="B10703" s="586"/>
      <c r="C10703" s="587"/>
      <c r="D10703" s="474" t="s">
        <v>574</v>
      </c>
      <c r="E10703" s="474" t="s">
        <v>575</v>
      </c>
      <c r="F10703" s="474" t="s">
        <v>568</v>
      </c>
      <c r="G10703" s="81"/>
      <c r="H10703" s="81"/>
      <c r="I10703" s="81"/>
      <c r="J10703" s="81"/>
      <c r="K10703" s="81"/>
      <c r="L10703" s="81"/>
      <c r="M10703" s="81"/>
      <c r="N10703" s="81"/>
    </row>
    <row r="10704" spans="1:14" ht="14.25" customHeight="1" x14ac:dyDescent="0.25">
      <c r="A10704" s="588" t="s">
        <v>577</v>
      </c>
      <c r="B10704" s="586"/>
      <c r="C10704" s="587"/>
      <c r="D10704" s="490"/>
      <c r="E10704" s="484"/>
      <c r="F10704" s="483">
        <f>+F10717*5%</f>
        <v>66405.258333333346</v>
      </c>
      <c r="G10704" s="81"/>
      <c r="H10704" s="81"/>
      <c r="I10704" s="81"/>
      <c r="J10704" s="81"/>
      <c r="K10704" s="81"/>
      <c r="L10704" s="81"/>
      <c r="M10704" s="81"/>
      <c r="N10704" s="81"/>
    </row>
    <row r="10705" spans="1:14" ht="14.25" customHeight="1" x14ac:dyDescent="0.25">
      <c r="A10705" s="588"/>
      <c r="B10705" s="586"/>
      <c r="C10705" s="587"/>
      <c r="D10705" s="505"/>
      <c r="E10705" s="484"/>
      <c r="F10705" s="483"/>
      <c r="G10705" s="81"/>
      <c r="H10705" s="81"/>
      <c r="I10705" s="81"/>
      <c r="J10705" s="81"/>
      <c r="K10705" s="81"/>
      <c r="L10705" s="81"/>
      <c r="M10705" s="81"/>
      <c r="N10705" s="81"/>
    </row>
    <row r="10706" spans="1:14" ht="14.25" customHeight="1" x14ac:dyDescent="0.25">
      <c r="A10706" s="588"/>
      <c r="B10706" s="586"/>
      <c r="C10706" s="587"/>
      <c r="D10706" s="505"/>
      <c r="E10706" s="484"/>
      <c r="F10706" s="483"/>
      <c r="G10706" s="81"/>
      <c r="H10706" s="81"/>
      <c r="I10706" s="81"/>
      <c r="J10706" s="81"/>
      <c r="K10706" s="81"/>
      <c r="L10706" s="81"/>
      <c r="M10706" s="81"/>
      <c r="N10706" s="81"/>
    </row>
    <row r="10707" spans="1:14" ht="14.25" customHeight="1" x14ac:dyDescent="0.25">
      <c r="A10707" s="588"/>
      <c r="B10707" s="586"/>
      <c r="C10707" s="587"/>
      <c r="D10707" s="505"/>
      <c r="E10707" s="484"/>
      <c r="F10707" s="483"/>
      <c r="G10707" s="81"/>
      <c r="H10707" s="81"/>
      <c r="I10707" s="81"/>
      <c r="J10707" s="81"/>
      <c r="K10707" s="81"/>
      <c r="L10707" s="81"/>
      <c r="M10707" s="81"/>
      <c r="N10707" s="81"/>
    </row>
    <row r="10708" spans="1:14" ht="14.25" customHeight="1" x14ac:dyDescent="0.25">
      <c r="A10708" s="589"/>
      <c r="B10708" s="586"/>
      <c r="C10708" s="587"/>
      <c r="D10708" s="491"/>
      <c r="E10708" s="484"/>
      <c r="F10708" s="483"/>
      <c r="G10708" s="81"/>
      <c r="H10708" s="81"/>
      <c r="I10708" s="81"/>
      <c r="J10708" s="81"/>
      <c r="K10708" s="81"/>
      <c r="L10708" s="81"/>
      <c r="M10708" s="81"/>
      <c r="N10708" s="81"/>
    </row>
    <row r="10709" spans="1:14" ht="14.25" customHeight="1" x14ac:dyDescent="0.25">
      <c r="A10709" s="585" t="s">
        <v>548</v>
      </c>
      <c r="B10709" s="586"/>
      <c r="C10709" s="587"/>
      <c r="D10709" s="487"/>
      <c r="E10709" s="487"/>
      <c r="F10709" s="489">
        <f>SUM(F10704:F10708)</f>
        <v>66405.258333333346</v>
      </c>
      <c r="G10709" s="81"/>
      <c r="H10709" s="81"/>
      <c r="I10709" s="81"/>
      <c r="J10709" s="81"/>
      <c r="K10709" s="81"/>
      <c r="L10709" s="81"/>
      <c r="M10709" s="81"/>
      <c r="N10709" s="81"/>
    </row>
    <row r="10710" spans="1:14" ht="14.25" customHeight="1" x14ac:dyDescent="0.25">
      <c r="A10710" s="192"/>
      <c r="B10710" s="192"/>
      <c r="C10710" s="194"/>
      <c r="D10710" s="215"/>
      <c r="E10710" s="215"/>
      <c r="F10710" s="215"/>
      <c r="G10710" s="81"/>
      <c r="H10710" s="81"/>
      <c r="I10710" s="81"/>
      <c r="J10710" s="81"/>
      <c r="K10710" s="81"/>
      <c r="L10710" s="81"/>
      <c r="M10710" s="81"/>
      <c r="N10710" s="81"/>
    </row>
    <row r="10711" spans="1:14" ht="14.25" customHeight="1" x14ac:dyDescent="0.25">
      <c r="A10711" s="198" t="s">
        <v>578</v>
      </c>
      <c r="B10711" s="198"/>
      <c r="C10711" s="193"/>
      <c r="D10711" s="223"/>
      <c r="E10711" s="223"/>
      <c r="F10711" s="223"/>
      <c r="G10711" s="81"/>
      <c r="H10711" s="81"/>
      <c r="I10711" s="81"/>
      <c r="J10711" s="81"/>
      <c r="K10711" s="81"/>
      <c r="L10711" s="81"/>
      <c r="M10711" s="81"/>
      <c r="N10711" s="81"/>
    </row>
    <row r="10712" spans="1:14" ht="14.25" customHeight="1" x14ac:dyDescent="0.25">
      <c r="A10712" s="224" t="s">
        <v>563</v>
      </c>
      <c r="B10712" s="492" t="s">
        <v>579</v>
      </c>
      <c r="C10712" s="492" t="s">
        <v>580</v>
      </c>
      <c r="D10712" s="493" t="s">
        <v>581</v>
      </c>
      <c r="E10712" s="493" t="s">
        <v>575</v>
      </c>
      <c r="F10712" s="493" t="s">
        <v>568</v>
      </c>
      <c r="G10712" s="81"/>
      <c r="H10712" s="117"/>
      <c r="I10712" s="81"/>
      <c r="J10712" s="81"/>
      <c r="K10712" s="81"/>
      <c r="L10712" s="81"/>
      <c r="M10712" s="81"/>
      <c r="N10712" s="81"/>
    </row>
    <row r="10713" spans="1:14" ht="14.25" customHeight="1" x14ac:dyDescent="0.25">
      <c r="A10713" s="494" t="s">
        <v>916</v>
      </c>
      <c r="B10713" s="495">
        <v>1</v>
      </c>
      <c r="C10713" s="477">
        <v>35956.800000000003</v>
      </c>
      <c r="D10713" s="477">
        <f t="shared" ref="D10713:D10714" si="529">+C10713*1.7</f>
        <v>61126.560000000005</v>
      </c>
      <c r="E10713" s="484">
        <v>0.12</v>
      </c>
      <c r="F10713" s="483">
        <f t="shared" ref="F10713:F10714" si="530">+B10713*(D10713)/E10713</f>
        <v>509388.00000000006</v>
      </c>
      <c r="G10713" s="81"/>
      <c r="H10713" s="81"/>
      <c r="I10713" s="81"/>
      <c r="J10713" s="81"/>
      <c r="K10713" s="81"/>
      <c r="L10713" s="81"/>
      <c r="M10713" s="81"/>
      <c r="N10713" s="81"/>
    </row>
    <row r="10714" spans="1:14" ht="14.25" customHeight="1" x14ac:dyDescent="0.25">
      <c r="A10714" s="494" t="s">
        <v>917</v>
      </c>
      <c r="B10714" s="495">
        <v>1</v>
      </c>
      <c r="C10714" s="477">
        <v>57791.8</v>
      </c>
      <c r="D10714" s="477">
        <f t="shared" si="529"/>
        <v>98246.06</v>
      </c>
      <c r="E10714" s="484">
        <f>E10713</f>
        <v>0.12</v>
      </c>
      <c r="F10714" s="483">
        <f t="shared" si="530"/>
        <v>818717.16666666663</v>
      </c>
      <c r="G10714" s="81"/>
      <c r="H10714" s="81"/>
      <c r="I10714" s="81"/>
      <c r="J10714" s="81"/>
      <c r="K10714" s="81"/>
      <c r="L10714" s="81"/>
      <c r="M10714" s="81"/>
      <c r="N10714" s="81"/>
    </row>
    <row r="10715" spans="1:14" ht="14.25" customHeight="1" x14ac:dyDescent="0.25">
      <c r="A10715" s="494"/>
      <c r="B10715" s="495"/>
      <c r="C10715" s="477"/>
      <c r="D10715" s="477"/>
      <c r="E10715" s="484"/>
      <c r="F10715" s="483"/>
      <c r="G10715" s="81"/>
      <c r="H10715" s="81"/>
      <c r="I10715" s="81"/>
      <c r="J10715" s="81"/>
      <c r="K10715" s="81"/>
      <c r="L10715" s="81"/>
      <c r="M10715" s="81"/>
      <c r="N10715" s="81"/>
    </row>
    <row r="10716" spans="1:14" ht="14.25" customHeight="1" x14ac:dyDescent="0.25">
      <c r="A10716" s="494"/>
      <c r="B10716" s="495"/>
      <c r="C10716" s="477"/>
      <c r="D10716" s="477"/>
      <c r="E10716" s="496"/>
      <c r="F10716" s="483"/>
      <c r="G10716" s="81"/>
      <c r="H10716" s="143"/>
      <c r="I10716" s="81"/>
      <c r="J10716" s="81"/>
      <c r="K10716" s="81"/>
      <c r="L10716" s="81"/>
      <c r="M10716" s="81"/>
      <c r="N10716" s="81"/>
    </row>
    <row r="10717" spans="1:14" ht="14.25" customHeight="1" x14ac:dyDescent="0.25">
      <c r="A10717" s="199" t="s">
        <v>548</v>
      </c>
      <c r="B10717" s="497"/>
      <c r="C10717" s="487"/>
      <c r="D10717" s="487"/>
      <c r="E10717" s="487"/>
      <c r="F10717" s="489">
        <f>SUM(F10713:F10716)</f>
        <v>1328105.1666666667</v>
      </c>
      <c r="G10717" s="81"/>
      <c r="H10717" s="81"/>
      <c r="I10717" s="81"/>
      <c r="J10717" s="81"/>
      <c r="K10717" s="81"/>
      <c r="L10717" s="81"/>
      <c r="M10717" s="81"/>
      <c r="N10717" s="81"/>
    </row>
    <row r="10718" spans="1:14" ht="14.25" customHeight="1" x14ac:dyDescent="0.25">
      <c r="A10718" s="198"/>
      <c r="B10718" s="231"/>
      <c r="C10718" s="223"/>
      <c r="D10718" s="223"/>
      <c r="E10718" s="223"/>
      <c r="F10718" s="223"/>
      <c r="G10718" s="81"/>
      <c r="H10718" s="81"/>
      <c r="I10718" s="81"/>
      <c r="J10718" s="81"/>
      <c r="K10718" s="81"/>
      <c r="L10718" s="81"/>
      <c r="M10718" s="81"/>
      <c r="N10718" s="81"/>
    </row>
    <row r="10719" spans="1:14" ht="14.25" customHeight="1" x14ac:dyDescent="0.25">
      <c r="A10719" s="197" t="s">
        <v>583</v>
      </c>
      <c r="B10719" s="198"/>
      <c r="C10719" s="193"/>
      <c r="D10719" s="193"/>
      <c r="E10719" s="193" t="s">
        <v>584</v>
      </c>
      <c r="F10719" s="193"/>
      <c r="G10719" s="81"/>
      <c r="H10719" s="81"/>
      <c r="I10719" s="81"/>
      <c r="J10719" s="81"/>
      <c r="K10719" s="81"/>
      <c r="L10719" s="81"/>
      <c r="M10719" s="81"/>
      <c r="N10719" s="81"/>
    </row>
    <row r="10720" spans="1:14" ht="14.25" customHeight="1" x14ac:dyDescent="0.25">
      <c r="A10720" s="199" t="s">
        <v>563</v>
      </c>
      <c r="B10720" s="474" t="s">
        <v>564</v>
      </c>
      <c r="C10720" s="474" t="s">
        <v>585</v>
      </c>
      <c r="D10720" s="474" t="s">
        <v>586</v>
      </c>
      <c r="E10720" s="492" t="s">
        <v>587</v>
      </c>
      <c r="F10720" s="474" t="s">
        <v>568</v>
      </c>
      <c r="G10720" s="81"/>
      <c r="H10720" s="81"/>
      <c r="I10720" s="81"/>
      <c r="J10720" s="81"/>
      <c r="K10720" s="81"/>
      <c r="L10720" s="81"/>
      <c r="M10720" s="81"/>
      <c r="N10720" s="81"/>
    </row>
    <row r="10721" spans="1:14" ht="14.25" customHeight="1" x14ac:dyDescent="0.25">
      <c r="A10721" s="480"/>
      <c r="B10721" s="476"/>
      <c r="C10721" s="477"/>
      <c r="D10721" s="498"/>
      <c r="E10721" s="484"/>
      <c r="F10721" s="486">
        <f>+C10721*D10721*E10721</f>
        <v>0</v>
      </c>
      <c r="G10721" s="81"/>
      <c r="H10721" s="81"/>
      <c r="I10721" s="81"/>
      <c r="J10721" s="81"/>
      <c r="K10721" s="81"/>
      <c r="L10721" s="81"/>
      <c r="M10721" s="81"/>
      <c r="N10721" s="81"/>
    </row>
    <row r="10722" spans="1:14" ht="14.25" customHeight="1" x14ac:dyDescent="0.25">
      <c r="A10722" s="480"/>
      <c r="B10722" s="476"/>
      <c r="C10722" s="484"/>
      <c r="D10722" s="484"/>
      <c r="E10722" s="485"/>
      <c r="F10722" s="486"/>
      <c r="G10722" s="81"/>
      <c r="H10722" s="81"/>
      <c r="I10722" s="81"/>
      <c r="J10722" s="81"/>
      <c r="K10722" s="81"/>
      <c r="L10722" s="81"/>
      <c r="M10722" s="81"/>
      <c r="N10722" s="81"/>
    </row>
    <row r="10723" spans="1:14" ht="14.25" customHeight="1" x14ac:dyDescent="0.25">
      <c r="A10723" s="199" t="s">
        <v>548</v>
      </c>
      <c r="B10723" s="474"/>
      <c r="C10723" s="487"/>
      <c r="D10723" s="487"/>
      <c r="E10723" s="488"/>
      <c r="F10723" s="489">
        <f>SUM(F10721:F10722)</f>
        <v>0</v>
      </c>
      <c r="G10723" s="81"/>
      <c r="H10723" s="81"/>
      <c r="I10723" s="81"/>
      <c r="J10723" s="81"/>
      <c r="K10723" s="81"/>
      <c r="L10723" s="81"/>
      <c r="M10723" s="81"/>
      <c r="N10723" s="81"/>
    </row>
    <row r="10724" spans="1:14" ht="14.25" customHeight="1" x14ac:dyDescent="0.25">
      <c r="A10724" s="192"/>
      <c r="B10724" s="194"/>
      <c r="C10724" s="215"/>
      <c r="D10724" s="215"/>
      <c r="E10724" s="216"/>
      <c r="F10724" s="215"/>
      <c r="G10724" s="81"/>
      <c r="H10724" s="81"/>
      <c r="I10724" s="81"/>
      <c r="J10724" s="81"/>
      <c r="K10724" s="81"/>
      <c r="L10724" s="81"/>
      <c r="M10724" s="81"/>
      <c r="N10724" s="81"/>
    </row>
    <row r="10725" spans="1:14" ht="14.25" customHeight="1" x14ac:dyDescent="0.25">
      <c r="A10725" s="192"/>
      <c r="B10725" s="194"/>
      <c r="C10725" s="215"/>
      <c r="D10725" s="215"/>
      <c r="E10725" s="216"/>
      <c r="F10725" s="215"/>
      <c r="G10725" s="81"/>
      <c r="H10725" s="81"/>
      <c r="I10725" s="81"/>
      <c r="J10725" s="81"/>
      <c r="K10725" s="81"/>
      <c r="L10725" s="81"/>
      <c r="M10725" s="81"/>
      <c r="N10725" s="81"/>
    </row>
    <row r="10726" spans="1:14" ht="14.25" customHeight="1" x14ac:dyDescent="0.25">
      <c r="A10726" s="590" t="s">
        <v>588</v>
      </c>
      <c r="B10726" s="586"/>
      <c r="C10726" s="586"/>
      <c r="D10726" s="586"/>
      <c r="E10726" s="587"/>
      <c r="F10726" s="499">
        <f>ROUND(F10700+F10709+F10717+F10723,0)</f>
        <v>8733543</v>
      </c>
      <c r="G10726" s="81"/>
      <c r="H10726" s="81"/>
      <c r="I10726" s="81"/>
      <c r="J10726" s="81"/>
      <c r="K10726" s="81"/>
      <c r="L10726" s="81"/>
      <c r="M10726" s="81"/>
      <c r="N10726" s="81"/>
    </row>
    <row r="10727" spans="1:14" ht="14.25" customHeight="1" x14ac:dyDescent="0.25">
      <c r="A10727" s="590" t="s">
        <v>589</v>
      </c>
      <c r="B10727" s="586"/>
      <c r="C10727" s="586"/>
      <c r="D10727" s="586"/>
      <c r="E10727" s="587"/>
      <c r="F10727" s="500"/>
      <c r="G10727" s="81"/>
      <c r="H10727" s="81"/>
      <c r="I10727" s="81"/>
      <c r="J10727" s="81"/>
      <c r="K10727" s="81"/>
      <c r="L10727" s="81"/>
      <c r="M10727" s="81"/>
      <c r="N10727" s="81"/>
    </row>
    <row r="10728" spans="1:14" ht="14.25" customHeight="1" x14ac:dyDescent="0.25">
      <c r="A10728" s="300" t="s">
        <v>556</v>
      </c>
      <c r="B10728" s="506"/>
      <c r="C10728" s="506"/>
      <c r="D10728" s="506"/>
      <c r="E10728" s="507"/>
      <c r="F10728" s="501"/>
      <c r="G10728" s="81"/>
      <c r="H10728" s="81"/>
      <c r="I10728" s="81"/>
      <c r="J10728" s="81"/>
      <c r="K10728" s="81"/>
      <c r="L10728" s="81"/>
      <c r="M10728" s="81"/>
      <c r="N10728" s="81"/>
    </row>
    <row r="10729" spans="1:14" ht="14.25" customHeight="1" x14ac:dyDescent="0.25">
      <c r="A10729" s="301"/>
      <c r="B10729" s="502"/>
      <c r="C10729" s="502"/>
      <c r="D10729" s="502"/>
      <c r="E10729" s="502"/>
      <c r="F10729" s="503"/>
      <c r="G10729" s="81"/>
      <c r="H10729" s="81"/>
      <c r="I10729" s="81"/>
      <c r="J10729" s="81"/>
      <c r="K10729" s="81"/>
      <c r="L10729" s="81"/>
      <c r="M10729" s="81"/>
      <c r="N10729" s="81"/>
    </row>
    <row r="10730" spans="1:14" ht="14.25" customHeight="1" x14ac:dyDescent="0.25">
      <c r="A10730" s="301"/>
      <c r="B10730" s="502"/>
      <c r="C10730" s="502"/>
      <c r="D10730" s="502"/>
      <c r="E10730" s="502"/>
      <c r="F10730" s="503"/>
      <c r="G10730" s="81"/>
      <c r="H10730" s="81"/>
      <c r="I10730" s="81"/>
      <c r="J10730" s="81"/>
      <c r="K10730" s="81"/>
      <c r="L10730" s="81"/>
      <c r="M10730" s="81"/>
      <c r="N10730" s="81"/>
    </row>
    <row r="10731" spans="1:14" ht="14.25" customHeight="1" x14ac:dyDescent="0.25">
      <c r="A10731" s="301"/>
      <c r="B10731" s="502"/>
      <c r="C10731" s="502"/>
      <c r="D10731" s="502"/>
      <c r="E10731" s="502"/>
      <c r="F10731" s="503"/>
      <c r="G10731" s="81"/>
      <c r="H10731" s="81"/>
      <c r="I10731" s="81"/>
      <c r="J10731" s="81"/>
      <c r="K10731" s="81"/>
      <c r="L10731" s="81"/>
      <c r="M10731" s="81"/>
      <c r="N10731" s="81"/>
    </row>
    <row r="10732" spans="1:14" ht="14.25" customHeight="1" x14ac:dyDescent="0.25">
      <c r="A10732" s="243"/>
      <c r="B10732" s="243"/>
      <c r="C10732" s="504"/>
      <c r="D10732" s="243"/>
      <c r="E10732" s="243"/>
      <c r="F10732" s="243"/>
      <c r="G10732" s="81"/>
      <c r="H10732" s="81"/>
      <c r="I10732" s="81"/>
      <c r="J10732" s="81"/>
      <c r="K10732" s="81"/>
      <c r="L10732" s="81"/>
      <c r="M10732" s="81"/>
      <c r="N10732" s="81"/>
    </row>
    <row r="10733" spans="1:14" ht="14.25" customHeight="1" x14ac:dyDescent="0.25">
      <c r="A10733" s="243"/>
      <c r="B10733" s="243"/>
      <c r="C10733" s="504"/>
      <c r="D10733" s="243"/>
      <c r="E10733" s="243"/>
      <c r="F10733" s="243"/>
      <c r="G10733" s="81"/>
      <c r="H10733" s="81"/>
      <c r="I10733" s="81"/>
      <c r="J10733" s="81"/>
      <c r="K10733" s="81"/>
      <c r="L10733" s="81"/>
      <c r="M10733" s="81"/>
      <c r="N10733" s="81"/>
    </row>
    <row r="10734" spans="1:14" ht="14.25" customHeight="1" x14ac:dyDescent="0.25">
      <c r="A10734" s="243"/>
      <c r="B10734" s="243"/>
      <c r="C10734" s="504"/>
      <c r="D10734" s="243"/>
      <c r="E10734" s="243"/>
      <c r="F10734" s="243"/>
      <c r="G10734" s="81"/>
      <c r="H10734" s="81"/>
      <c r="I10734" s="81"/>
      <c r="J10734" s="81"/>
      <c r="K10734" s="81"/>
      <c r="L10734" s="81"/>
      <c r="M10734" s="81"/>
      <c r="N10734" s="81"/>
    </row>
    <row r="10735" spans="1:14" ht="14.25" customHeight="1" x14ac:dyDescent="0.25">
      <c r="A10735" s="243"/>
      <c r="B10735" s="243"/>
      <c r="C10735" s="504"/>
      <c r="D10735" s="243"/>
      <c r="E10735" s="243"/>
      <c r="F10735" s="243"/>
      <c r="G10735" s="81"/>
      <c r="H10735" s="81"/>
      <c r="I10735" s="81"/>
      <c r="J10735" s="81"/>
      <c r="K10735" s="81"/>
      <c r="L10735" s="81"/>
      <c r="M10735" s="81"/>
      <c r="N10735" s="81"/>
    </row>
    <row r="10736" spans="1:14" ht="14.25" customHeight="1" x14ac:dyDescent="0.25">
      <c r="A10736" s="243"/>
      <c r="B10736" s="243"/>
      <c r="C10736" s="504"/>
      <c r="D10736" s="243"/>
      <c r="E10736" s="243"/>
      <c r="F10736" s="243"/>
      <c r="G10736" s="81"/>
      <c r="H10736" s="81"/>
      <c r="I10736" s="81"/>
      <c r="J10736" s="81"/>
      <c r="K10736" s="81"/>
      <c r="L10736" s="81"/>
      <c r="M10736" s="81"/>
      <c r="N10736" s="81"/>
    </row>
    <row r="10737" spans="1:14" ht="14.25" customHeight="1" x14ac:dyDescent="0.25">
      <c r="A10737" s="243"/>
      <c r="B10737" s="243"/>
      <c r="C10737" s="504"/>
      <c r="D10737" s="243"/>
      <c r="E10737" s="243"/>
      <c r="F10737" s="243"/>
      <c r="G10737" s="81"/>
      <c r="H10737" s="81"/>
      <c r="I10737" s="81"/>
      <c r="J10737" s="81"/>
      <c r="K10737" s="81"/>
      <c r="L10737" s="81"/>
      <c r="M10737" s="81"/>
      <c r="N10737" s="81"/>
    </row>
    <row r="10738" spans="1:14" ht="14.25" customHeight="1" x14ac:dyDescent="0.25">
      <c r="A10738" s="243"/>
      <c r="B10738" s="243"/>
      <c r="C10738" s="504"/>
      <c r="D10738" s="243"/>
      <c r="E10738" s="243"/>
      <c r="F10738" s="243"/>
      <c r="G10738" s="81"/>
      <c r="H10738" s="81"/>
      <c r="I10738" s="81"/>
      <c r="J10738" s="81"/>
      <c r="K10738" s="81"/>
      <c r="L10738" s="81"/>
      <c r="M10738" s="81"/>
      <c r="N10738" s="81"/>
    </row>
    <row r="10739" spans="1:14" ht="14.25" customHeight="1" x14ac:dyDescent="0.25">
      <c r="A10739" s="243"/>
      <c r="B10739" s="243"/>
      <c r="C10739" s="504"/>
      <c r="D10739" s="243"/>
      <c r="E10739" s="243"/>
      <c r="F10739" s="243"/>
      <c r="G10739" s="81"/>
      <c r="H10739" s="81"/>
      <c r="I10739" s="81"/>
      <c r="J10739" s="81"/>
      <c r="K10739" s="81"/>
      <c r="L10739" s="81"/>
      <c r="M10739" s="81"/>
      <c r="N10739" s="81"/>
    </row>
    <row r="10740" spans="1:14" ht="14.25" customHeight="1" x14ac:dyDescent="0.25">
      <c r="A10740" s="243"/>
      <c r="B10740" s="243"/>
      <c r="C10740" s="504"/>
      <c r="D10740" s="243"/>
      <c r="E10740" s="243"/>
      <c r="F10740" s="243"/>
      <c r="G10740" s="81"/>
      <c r="H10740" s="81"/>
      <c r="I10740" s="81"/>
      <c r="J10740" s="81"/>
      <c r="K10740" s="81"/>
      <c r="L10740" s="81"/>
      <c r="M10740" s="81"/>
      <c r="N10740" s="81"/>
    </row>
    <row r="10741" spans="1:14" ht="14.25" customHeight="1" x14ac:dyDescent="0.25">
      <c r="A10741" s="243"/>
      <c r="B10741" s="243"/>
      <c r="C10741" s="504"/>
      <c r="D10741" s="243"/>
      <c r="E10741" s="243"/>
      <c r="F10741" s="243"/>
      <c r="G10741" s="81"/>
      <c r="H10741" s="81"/>
      <c r="I10741" s="81"/>
      <c r="J10741" s="81"/>
      <c r="K10741" s="81"/>
      <c r="L10741" s="81"/>
      <c r="M10741" s="81"/>
      <c r="N10741" s="81"/>
    </row>
    <row r="10742" spans="1:14" ht="14.25" customHeight="1" x14ac:dyDescent="0.25">
      <c r="A10742" s="243"/>
      <c r="B10742" s="243"/>
      <c r="C10742" s="504"/>
      <c r="D10742" s="243"/>
      <c r="E10742" s="243"/>
      <c r="F10742" s="243"/>
      <c r="G10742" s="81"/>
      <c r="H10742" s="81"/>
      <c r="I10742" s="81"/>
      <c r="J10742" s="81"/>
      <c r="K10742" s="81"/>
      <c r="L10742" s="81"/>
      <c r="M10742" s="81"/>
      <c r="N10742" s="81"/>
    </row>
    <row r="10743" spans="1:14" ht="14.25" customHeight="1" x14ac:dyDescent="0.25">
      <c r="A10743" s="243"/>
      <c r="B10743" s="243"/>
      <c r="C10743" s="504"/>
      <c r="D10743" s="243"/>
      <c r="E10743" s="243"/>
      <c r="F10743" s="243"/>
      <c r="G10743" s="81"/>
      <c r="H10743" s="81"/>
      <c r="I10743" s="81"/>
      <c r="J10743" s="81"/>
      <c r="K10743" s="81"/>
      <c r="L10743" s="81"/>
      <c r="M10743" s="81"/>
      <c r="N10743" s="81"/>
    </row>
    <row r="10744" spans="1:14" ht="14.25" customHeight="1" x14ac:dyDescent="0.25">
      <c r="A10744" s="243"/>
      <c r="B10744" s="243"/>
      <c r="C10744" s="504"/>
      <c r="D10744" s="243"/>
      <c r="E10744" s="243"/>
      <c r="F10744" s="243"/>
      <c r="G10744" s="81"/>
      <c r="H10744" s="81"/>
      <c r="I10744" s="81"/>
      <c r="J10744" s="81"/>
      <c r="K10744" s="81"/>
      <c r="L10744" s="81"/>
      <c r="M10744" s="81"/>
      <c r="N10744" s="81"/>
    </row>
    <row r="10745" spans="1:14" ht="14.25" customHeight="1" x14ac:dyDescent="0.25">
      <c r="A10745" s="301"/>
      <c r="B10745" s="502"/>
      <c r="C10745" s="502"/>
      <c r="D10745" s="502"/>
      <c r="E10745" s="502"/>
      <c r="F10745" s="503"/>
      <c r="G10745" s="81"/>
      <c r="H10745" s="81"/>
      <c r="I10745" s="81"/>
      <c r="J10745" s="81"/>
      <c r="K10745" s="81"/>
      <c r="L10745" s="81"/>
      <c r="M10745" s="81"/>
      <c r="N10745" s="81"/>
    </row>
    <row r="10746" spans="1:14" ht="14.25" customHeight="1" thickBot="1" x14ac:dyDescent="0.3">
      <c r="A10746" s="243"/>
      <c r="B10746" s="243"/>
      <c r="C10746" s="243"/>
      <c r="D10746" s="243"/>
      <c r="E10746" s="243"/>
      <c r="F10746" s="243"/>
      <c r="G10746" s="81"/>
      <c r="H10746" s="81"/>
      <c r="I10746" s="81"/>
      <c r="J10746" s="81"/>
      <c r="K10746" s="81"/>
      <c r="L10746" s="81"/>
      <c r="M10746" s="81"/>
      <c r="N10746" s="81"/>
    </row>
    <row r="10747" spans="1:14" ht="14.25" customHeight="1" x14ac:dyDescent="0.25">
      <c r="A10747" s="258"/>
      <c r="B10747" s="259"/>
      <c r="C10747" s="260"/>
      <c r="D10747" s="261"/>
      <c r="E10747" s="261"/>
      <c r="F10747" s="262"/>
      <c r="G10747" s="81"/>
      <c r="H10747" s="81"/>
      <c r="I10747" s="81"/>
      <c r="J10747" s="81"/>
      <c r="K10747" s="81"/>
      <c r="L10747" s="81"/>
      <c r="M10747" s="81"/>
      <c r="N10747" s="81"/>
    </row>
    <row r="10748" spans="1:14" ht="14.25" customHeight="1" x14ac:dyDescent="0.25">
      <c r="A10748" s="621"/>
      <c r="B10748" s="629"/>
      <c r="C10748" s="629"/>
      <c r="D10748" s="629"/>
      <c r="E10748" s="629"/>
      <c r="F10748" s="630"/>
      <c r="G10748" s="81"/>
      <c r="H10748" s="81"/>
      <c r="I10748" s="81"/>
      <c r="J10748" s="81"/>
      <c r="K10748" s="81"/>
      <c r="L10748" s="81"/>
      <c r="M10748" s="81"/>
      <c r="N10748" s="81"/>
    </row>
    <row r="10749" spans="1:14" ht="14.25" customHeight="1" x14ac:dyDescent="0.25">
      <c r="A10749" s="614" t="s">
        <v>561</v>
      </c>
      <c r="B10749" s="629"/>
      <c r="C10749" s="629"/>
      <c r="D10749" s="629"/>
      <c r="E10749" s="629"/>
      <c r="F10749" s="630"/>
      <c r="G10749" s="81"/>
      <c r="H10749" s="81"/>
      <c r="I10749" s="81"/>
      <c r="J10749" s="81"/>
      <c r="K10749" s="81"/>
      <c r="L10749" s="81"/>
      <c r="M10749" s="81"/>
      <c r="N10749" s="81"/>
    </row>
    <row r="10750" spans="1:14" ht="14.25" customHeight="1" thickBot="1" x14ac:dyDescent="0.3">
      <c r="A10750" s="617"/>
      <c r="B10750" s="631"/>
      <c r="C10750" s="631"/>
      <c r="D10750" s="631"/>
      <c r="E10750" s="631"/>
      <c r="F10750" s="632"/>
      <c r="G10750" s="81"/>
      <c r="H10750" s="81"/>
      <c r="I10750" s="81"/>
      <c r="J10750" s="81"/>
      <c r="K10750" s="81"/>
      <c r="L10750" s="81"/>
      <c r="M10750" s="81"/>
      <c r="N10750" s="81"/>
    </row>
    <row r="10751" spans="1:14" ht="14.25" customHeight="1" x14ac:dyDescent="0.25">
      <c r="A10751" s="192"/>
      <c r="B10751" s="192"/>
      <c r="C10751" s="194"/>
      <c r="D10751" s="194"/>
      <c r="E10751" s="194"/>
      <c r="F10751" s="194"/>
      <c r="G10751" s="81"/>
      <c r="H10751" s="81"/>
      <c r="I10751" s="81"/>
      <c r="J10751" s="81"/>
      <c r="K10751" s="81"/>
      <c r="L10751" s="81"/>
      <c r="M10751" s="81"/>
      <c r="N10751" s="81"/>
    </row>
    <row r="10752" spans="1:14" ht="14.25" customHeight="1" x14ac:dyDescent="0.25">
      <c r="A10752" s="473" t="s">
        <v>47</v>
      </c>
      <c r="B10752" s="620" t="s">
        <v>1220</v>
      </c>
      <c r="C10752" s="629"/>
      <c r="D10752" s="629"/>
      <c r="E10752" s="629"/>
      <c r="F10752" s="629"/>
      <c r="G10752" s="81"/>
      <c r="H10752" s="81"/>
      <c r="I10752" s="81"/>
      <c r="J10752" s="81"/>
      <c r="K10752" s="81"/>
      <c r="L10752" s="81"/>
      <c r="M10752" s="81"/>
      <c r="N10752" s="81"/>
    </row>
    <row r="10753" spans="1:14" ht="14.25" customHeight="1" x14ac:dyDescent="0.25">
      <c r="A10753" s="191"/>
      <c r="B10753" s="191"/>
      <c r="C10753" s="191"/>
      <c r="D10753" s="191"/>
      <c r="E10753" s="191"/>
      <c r="F10753" s="191"/>
      <c r="G10753" s="81"/>
      <c r="H10753" s="81"/>
      <c r="I10753" s="81"/>
      <c r="J10753" s="81"/>
      <c r="K10753" s="81"/>
      <c r="L10753" s="81"/>
      <c r="M10753" s="81"/>
      <c r="N10753" s="81"/>
    </row>
    <row r="10754" spans="1:14" ht="14.25" customHeight="1" x14ac:dyDescent="0.25">
      <c r="A10754" s="192" t="s">
        <v>49</v>
      </c>
      <c r="B10754" s="193" t="s">
        <v>99</v>
      </c>
      <c r="C10754" s="194"/>
      <c r="D10754" s="194"/>
      <c r="E10754" s="194"/>
      <c r="F10754" s="195"/>
      <c r="G10754" s="81"/>
      <c r="H10754" s="81"/>
      <c r="I10754" s="81"/>
      <c r="J10754" s="81"/>
      <c r="K10754" s="81"/>
      <c r="L10754" s="81"/>
      <c r="M10754" s="81"/>
      <c r="N10754" s="81"/>
    </row>
    <row r="10755" spans="1:14" ht="14.25" customHeight="1" x14ac:dyDescent="0.25">
      <c r="A10755" s="192"/>
      <c r="B10755" s="196"/>
      <c r="C10755" s="194"/>
      <c r="D10755" s="194"/>
      <c r="E10755" s="194"/>
      <c r="F10755" s="195"/>
      <c r="G10755" s="81"/>
      <c r="H10755" s="81"/>
      <c r="I10755" s="81"/>
      <c r="J10755" s="81"/>
      <c r="K10755" s="81"/>
      <c r="L10755" s="81"/>
      <c r="M10755" s="81"/>
      <c r="N10755" s="81"/>
    </row>
    <row r="10756" spans="1:14" ht="14.25" customHeight="1" x14ac:dyDescent="0.25">
      <c r="A10756" s="197" t="s">
        <v>562</v>
      </c>
      <c r="B10756" s="198"/>
      <c r="C10756" s="193"/>
      <c r="D10756" s="193"/>
      <c r="E10756" s="193"/>
      <c r="F10756" s="193"/>
      <c r="G10756" s="81"/>
      <c r="H10756" s="81"/>
      <c r="I10756" s="81"/>
      <c r="J10756" s="81"/>
      <c r="K10756" s="81"/>
      <c r="L10756" s="81"/>
      <c r="M10756" s="81"/>
      <c r="N10756" s="81"/>
    </row>
    <row r="10757" spans="1:14" ht="14.25" customHeight="1" x14ac:dyDescent="0.25">
      <c r="A10757" s="199" t="s">
        <v>563</v>
      </c>
      <c r="B10757" s="474" t="s">
        <v>564</v>
      </c>
      <c r="C10757" s="474" t="s">
        <v>565</v>
      </c>
      <c r="D10757" s="474" t="s">
        <v>566</v>
      </c>
      <c r="E10757" s="474" t="s">
        <v>567</v>
      </c>
      <c r="F10757" s="474" t="s">
        <v>568</v>
      </c>
      <c r="G10757" s="81"/>
      <c r="H10757" s="81"/>
      <c r="I10757" s="81"/>
      <c r="J10757" s="81"/>
      <c r="K10757" s="81"/>
      <c r="L10757" s="81"/>
      <c r="M10757" s="81"/>
      <c r="N10757" s="81"/>
    </row>
    <row r="10758" spans="1:14" ht="25.5" x14ac:dyDescent="0.25">
      <c r="A10758" s="475" t="s">
        <v>644</v>
      </c>
      <c r="B10758" s="476" t="s">
        <v>64</v>
      </c>
      <c r="C10758" s="477">
        <v>408050</v>
      </c>
      <c r="D10758" s="478">
        <v>2.5</v>
      </c>
      <c r="E10758" s="479">
        <v>0.05</v>
      </c>
      <c r="F10758" s="477">
        <f t="shared" ref="F10758:F10760" si="531">C10758*(D10758+(D10758*E10758))</f>
        <v>1071131.25</v>
      </c>
      <c r="G10758" s="81"/>
      <c r="H10758" s="81"/>
      <c r="I10758" s="81"/>
      <c r="J10758" s="81"/>
      <c r="K10758" s="81"/>
      <c r="L10758" s="81"/>
      <c r="M10758" s="81"/>
      <c r="N10758" s="81"/>
    </row>
    <row r="10759" spans="1:14" ht="25.5" x14ac:dyDescent="0.25">
      <c r="A10759" s="475" t="s">
        <v>119</v>
      </c>
      <c r="B10759" s="476" t="s">
        <v>117</v>
      </c>
      <c r="C10759" s="477">
        <v>4300</v>
      </c>
      <c r="D10759" s="481">
        <v>80</v>
      </c>
      <c r="E10759" s="479">
        <v>0.05</v>
      </c>
      <c r="F10759" s="477">
        <f t="shared" si="531"/>
        <v>361200</v>
      </c>
      <c r="G10759" s="81"/>
      <c r="H10759" s="81"/>
      <c r="I10759" s="81"/>
      <c r="J10759" s="81"/>
      <c r="K10759" s="81"/>
      <c r="L10759" s="81"/>
      <c r="M10759" s="81"/>
      <c r="N10759" s="81"/>
    </row>
    <row r="10760" spans="1:14" ht="14.25" customHeight="1" x14ac:dyDescent="0.25">
      <c r="A10760" s="475" t="s">
        <v>645</v>
      </c>
      <c r="B10760" s="476" t="s">
        <v>117</v>
      </c>
      <c r="C10760" s="477">
        <v>4700</v>
      </c>
      <c r="D10760" s="481">
        <v>15</v>
      </c>
      <c r="E10760" s="479">
        <v>0.05</v>
      </c>
      <c r="F10760" s="477">
        <f t="shared" si="531"/>
        <v>74025</v>
      </c>
      <c r="G10760" s="81"/>
      <c r="H10760" s="81"/>
      <c r="I10760" s="81"/>
      <c r="J10760" s="81"/>
      <c r="K10760" s="81"/>
      <c r="L10760" s="81"/>
      <c r="M10760" s="81"/>
      <c r="N10760" s="81"/>
    </row>
    <row r="10761" spans="1:14" ht="14.25" customHeight="1" x14ac:dyDescent="0.25">
      <c r="A10761" s="475"/>
      <c r="B10761" s="476"/>
      <c r="C10761" s="477"/>
      <c r="D10761" s="478"/>
      <c r="E10761" s="479"/>
      <c r="F10761" s="477"/>
      <c r="G10761" s="81"/>
      <c r="H10761" s="81"/>
      <c r="I10761" s="81"/>
      <c r="J10761" s="81"/>
      <c r="K10761" s="81"/>
      <c r="L10761" s="81"/>
      <c r="M10761" s="81"/>
      <c r="N10761" s="81"/>
    </row>
    <row r="10762" spans="1:14" ht="14.25" customHeight="1" x14ac:dyDescent="0.25">
      <c r="A10762" s="475"/>
      <c r="B10762" s="476"/>
      <c r="C10762" s="477"/>
      <c r="D10762" s="478"/>
      <c r="E10762" s="479"/>
      <c r="F10762" s="477"/>
      <c r="G10762" s="81"/>
      <c r="H10762" s="81"/>
      <c r="I10762" s="81"/>
      <c r="J10762" s="81"/>
      <c r="K10762" s="81"/>
      <c r="L10762" s="81"/>
      <c r="M10762" s="81"/>
      <c r="N10762" s="81"/>
    </row>
    <row r="10763" spans="1:14" ht="14.25" customHeight="1" x14ac:dyDescent="0.25">
      <c r="A10763" s="475"/>
      <c r="B10763" s="476"/>
      <c r="C10763" s="477"/>
      <c r="D10763" s="478"/>
      <c r="E10763" s="479"/>
      <c r="F10763" s="477"/>
      <c r="G10763" s="81"/>
      <c r="H10763" s="81"/>
      <c r="I10763" s="81"/>
      <c r="J10763" s="81"/>
      <c r="K10763" s="81"/>
      <c r="L10763" s="81"/>
      <c r="M10763" s="81"/>
      <c r="N10763" s="81"/>
    </row>
    <row r="10764" spans="1:14" ht="14.25" customHeight="1" x14ac:dyDescent="0.25">
      <c r="A10764" s="475"/>
      <c r="B10764" s="476"/>
      <c r="C10764" s="483"/>
      <c r="D10764" s="484"/>
      <c r="E10764" s="485"/>
      <c r="F10764" s="483"/>
      <c r="G10764" s="81"/>
      <c r="H10764" s="81"/>
      <c r="I10764" s="81"/>
      <c r="J10764" s="81"/>
      <c r="K10764" s="81"/>
      <c r="L10764" s="81"/>
      <c r="M10764" s="81"/>
      <c r="N10764" s="81"/>
    </row>
    <row r="10765" spans="1:14" ht="14.25" customHeight="1" x14ac:dyDescent="0.25">
      <c r="A10765" s="199" t="s">
        <v>548</v>
      </c>
      <c r="B10765" s="199"/>
      <c r="C10765" s="486"/>
      <c r="D10765" s="487"/>
      <c r="E10765" s="488"/>
      <c r="F10765" s="489">
        <f>SUM(F10758:F10764)</f>
        <v>1506356.25</v>
      </c>
      <c r="G10765" s="81"/>
      <c r="H10765" s="81"/>
      <c r="I10765" s="81"/>
      <c r="J10765" s="81"/>
      <c r="K10765" s="81"/>
      <c r="L10765" s="81"/>
      <c r="M10765" s="81"/>
      <c r="N10765" s="81"/>
    </row>
    <row r="10766" spans="1:14" ht="14.25" customHeight="1" x14ac:dyDescent="0.25">
      <c r="A10766" s="192"/>
      <c r="B10766" s="192"/>
      <c r="C10766" s="215"/>
      <c r="D10766" s="215"/>
      <c r="E10766" s="216"/>
      <c r="F10766" s="215"/>
      <c r="G10766" s="81"/>
      <c r="H10766" s="81"/>
      <c r="I10766" s="81"/>
      <c r="J10766" s="81"/>
      <c r="K10766" s="81"/>
      <c r="L10766" s="81"/>
      <c r="M10766" s="81"/>
      <c r="N10766" s="81"/>
    </row>
    <row r="10767" spans="1:14" ht="14.25" customHeight="1" x14ac:dyDescent="0.25">
      <c r="A10767" s="198" t="s">
        <v>573</v>
      </c>
      <c r="B10767" s="198"/>
      <c r="C10767" s="193"/>
      <c r="D10767" s="193"/>
      <c r="E10767" s="193"/>
      <c r="F10767" s="193"/>
      <c r="G10767" s="81"/>
      <c r="H10767" s="81"/>
      <c r="I10767" s="81"/>
      <c r="J10767" s="81"/>
      <c r="K10767" s="81"/>
      <c r="L10767" s="81"/>
      <c r="M10767" s="81"/>
      <c r="N10767" s="81"/>
    </row>
    <row r="10768" spans="1:14" ht="14.25" customHeight="1" x14ac:dyDescent="0.25">
      <c r="A10768" s="585" t="s">
        <v>563</v>
      </c>
      <c r="B10768" s="586"/>
      <c r="C10768" s="587"/>
      <c r="D10768" s="474" t="s">
        <v>574</v>
      </c>
      <c r="E10768" s="474" t="s">
        <v>575</v>
      </c>
      <c r="F10768" s="474" t="s">
        <v>568</v>
      </c>
      <c r="G10768" s="81"/>
      <c r="H10768" s="81"/>
      <c r="I10768" s="81"/>
      <c r="J10768" s="81"/>
      <c r="K10768" s="81"/>
      <c r="L10768" s="81"/>
      <c r="M10768" s="81"/>
      <c r="N10768" s="81"/>
    </row>
    <row r="10769" spans="1:14" ht="14.25" customHeight="1" x14ac:dyDescent="0.25">
      <c r="A10769" s="588" t="s">
        <v>577</v>
      </c>
      <c r="B10769" s="586"/>
      <c r="C10769" s="587"/>
      <c r="D10769" s="490"/>
      <c r="E10769" s="484"/>
      <c r="F10769" s="483">
        <f>+F10782*5%</f>
        <v>15742.278142921772</v>
      </c>
      <c r="G10769" s="81"/>
      <c r="H10769" s="81"/>
      <c r="I10769" s="81"/>
      <c r="J10769" s="81"/>
      <c r="K10769" s="81"/>
      <c r="L10769" s="81"/>
      <c r="M10769" s="81"/>
      <c r="N10769" s="81"/>
    </row>
    <row r="10770" spans="1:14" ht="14.25" customHeight="1" x14ac:dyDescent="0.25">
      <c r="A10770" s="588"/>
      <c r="B10770" s="586"/>
      <c r="C10770" s="587"/>
      <c r="D10770" s="505"/>
      <c r="E10770" s="484"/>
      <c r="F10770" s="483"/>
      <c r="G10770" s="81"/>
      <c r="H10770" s="81"/>
      <c r="I10770" s="81"/>
      <c r="J10770" s="81"/>
      <c r="K10770" s="81"/>
      <c r="L10770" s="81"/>
      <c r="M10770" s="81"/>
      <c r="N10770" s="81"/>
    </row>
    <row r="10771" spans="1:14" ht="14.25" customHeight="1" x14ac:dyDescent="0.25">
      <c r="A10771" s="588"/>
      <c r="B10771" s="586"/>
      <c r="C10771" s="587"/>
      <c r="D10771" s="505"/>
      <c r="E10771" s="484"/>
      <c r="F10771" s="483"/>
      <c r="G10771" s="81"/>
      <c r="H10771" s="81"/>
      <c r="I10771" s="81"/>
      <c r="J10771" s="81"/>
      <c r="K10771" s="81"/>
      <c r="L10771" s="81"/>
      <c r="M10771" s="81"/>
      <c r="N10771" s="81"/>
    </row>
    <row r="10772" spans="1:14" ht="14.25" customHeight="1" x14ac:dyDescent="0.25">
      <c r="A10772" s="588"/>
      <c r="B10772" s="586"/>
      <c r="C10772" s="587"/>
      <c r="D10772" s="505"/>
      <c r="E10772" s="484"/>
      <c r="F10772" s="483"/>
      <c r="G10772" s="81"/>
      <c r="H10772" s="81"/>
      <c r="I10772" s="81"/>
      <c r="J10772" s="81"/>
      <c r="K10772" s="81"/>
      <c r="L10772" s="81"/>
      <c r="M10772" s="81"/>
      <c r="N10772" s="81"/>
    </row>
    <row r="10773" spans="1:14" ht="14.25" customHeight="1" x14ac:dyDescent="0.25">
      <c r="A10773" s="589"/>
      <c r="B10773" s="586"/>
      <c r="C10773" s="587"/>
      <c r="D10773" s="491"/>
      <c r="E10773" s="484"/>
      <c r="F10773" s="483"/>
      <c r="G10773" s="81"/>
      <c r="H10773" s="117"/>
      <c r="I10773" s="81"/>
      <c r="J10773" s="81"/>
      <c r="K10773" s="81"/>
      <c r="L10773" s="81"/>
      <c r="M10773" s="81"/>
      <c r="N10773" s="81"/>
    </row>
    <row r="10774" spans="1:14" ht="14.25" customHeight="1" x14ac:dyDescent="0.25">
      <c r="A10774" s="585" t="s">
        <v>548</v>
      </c>
      <c r="B10774" s="586"/>
      <c r="C10774" s="587"/>
      <c r="D10774" s="487"/>
      <c r="E10774" s="487"/>
      <c r="F10774" s="489">
        <f>SUM(F10769:F10773)</f>
        <v>15742.278142921772</v>
      </c>
      <c r="G10774" s="81"/>
      <c r="H10774" s="81"/>
      <c r="I10774" s="81"/>
      <c r="J10774" s="81"/>
      <c r="K10774" s="81"/>
      <c r="L10774" s="81"/>
      <c r="M10774" s="81"/>
      <c r="N10774" s="81"/>
    </row>
    <row r="10775" spans="1:14" ht="14.25" customHeight="1" x14ac:dyDescent="0.25">
      <c r="A10775" s="192"/>
      <c r="B10775" s="192"/>
      <c r="C10775" s="194"/>
      <c r="D10775" s="215"/>
      <c r="E10775" s="215"/>
      <c r="F10775" s="215"/>
      <c r="G10775" s="81"/>
      <c r="H10775" s="81"/>
      <c r="I10775" s="81"/>
      <c r="J10775" s="81"/>
      <c r="K10775" s="81"/>
      <c r="L10775" s="81"/>
      <c r="M10775" s="81"/>
      <c r="N10775" s="81"/>
    </row>
    <row r="10776" spans="1:14" ht="14.25" customHeight="1" x14ac:dyDescent="0.25">
      <c r="A10776" s="198" t="s">
        <v>578</v>
      </c>
      <c r="B10776" s="198"/>
      <c r="C10776" s="193"/>
      <c r="D10776" s="223"/>
      <c r="E10776" s="223"/>
      <c r="F10776" s="223"/>
      <c r="G10776" s="81"/>
      <c r="H10776" s="81"/>
      <c r="I10776" s="81"/>
      <c r="J10776" s="81"/>
      <c r="K10776" s="81"/>
      <c r="L10776" s="81"/>
      <c r="M10776" s="81"/>
      <c r="N10776" s="81"/>
    </row>
    <row r="10777" spans="1:14" ht="14.25" customHeight="1" x14ac:dyDescent="0.25">
      <c r="A10777" s="224" t="s">
        <v>563</v>
      </c>
      <c r="B10777" s="492" t="s">
        <v>579</v>
      </c>
      <c r="C10777" s="492" t="s">
        <v>580</v>
      </c>
      <c r="D10777" s="493" t="s">
        <v>581</v>
      </c>
      <c r="E10777" s="493" t="s">
        <v>575</v>
      </c>
      <c r="F10777" s="493" t="s">
        <v>568</v>
      </c>
      <c r="G10777" s="81"/>
      <c r="H10777" s="143"/>
      <c r="I10777" s="81"/>
      <c r="J10777" s="81"/>
      <c r="K10777" s="81"/>
      <c r="L10777" s="81"/>
      <c r="M10777" s="81"/>
      <c r="N10777" s="81"/>
    </row>
    <row r="10778" spans="1:14" ht="14.25" customHeight="1" x14ac:dyDescent="0.25">
      <c r="A10778" s="494" t="s">
        <v>916</v>
      </c>
      <c r="B10778" s="495">
        <v>1</v>
      </c>
      <c r="C10778" s="477">
        <v>35956.800000000003</v>
      </c>
      <c r="D10778" s="477">
        <f t="shared" ref="D10778:D10779" si="532">+C10778*1.7</f>
        <v>61126.560000000005</v>
      </c>
      <c r="E10778" s="484">
        <v>0.506193</v>
      </c>
      <c r="F10778" s="483">
        <f t="shared" ref="F10778:F10779" si="533">+B10778*(D10778)/E10778</f>
        <v>120757.41861305866</v>
      </c>
      <c r="G10778" s="81"/>
      <c r="H10778" s="81"/>
      <c r="I10778" s="81"/>
      <c r="J10778" s="81"/>
      <c r="K10778" s="81"/>
      <c r="L10778" s="81"/>
      <c r="M10778" s="81"/>
      <c r="N10778" s="81"/>
    </row>
    <row r="10779" spans="1:14" ht="14.25" customHeight="1" x14ac:dyDescent="0.25">
      <c r="A10779" s="494" t="s">
        <v>917</v>
      </c>
      <c r="B10779" s="495">
        <v>1</v>
      </c>
      <c r="C10779" s="477">
        <v>57791.8</v>
      </c>
      <c r="D10779" s="477">
        <f t="shared" si="532"/>
        <v>98246.06</v>
      </c>
      <c r="E10779" s="484">
        <f>E10778</f>
        <v>0.506193</v>
      </c>
      <c r="F10779" s="483">
        <f t="shared" si="533"/>
        <v>194088.14424537675</v>
      </c>
      <c r="G10779" s="81"/>
      <c r="H10779" s="81"/>
      <c r="I10779" s="81"/>
      <c r="J10779" s="81"/>
      <c r="K10779" s="81"/>
      <c r="L10779" s="81"/>
      <c r="M10779" s="81"/>
      <c r="N10779" s="81"/>
    </row>
    <row r="10780" spans="1:14" ht="14.25" customHeight="1" x14ac:dyDescent="0.25">
      <c r="A10780" s="494"/>
      <c r="B10780" s="495"/>
      <c r="C10780" s="477"/>
      <c r="D10780" s="477"/>
      <c r="E10780" s="484"/>
      <c r="F10780" s="483"/>
      <c r="G10780" s="81"/>
      <c r="H10780" s="81"/>
      <c r="I10780" s="81"/>
      <c r="J10780" s="81"/>
      <c r="K10780" s="81"/>
      <c r="L10780" s="81"/>
      <c r="M10780" s="81"/>
      <c r="N10780" s="81"/>
    </row>
    <row r="10781" spans="1:14" ht="14.25" customHeight="1" x14ac:dyDescent="0.25">
      <c r="A10781" s="494"/>
      <c r="B10781" s="495"/>
      <c r="C10781" s="477"/>
      <c r="D10781" s="477"/>
      <c r="E10781" s="496"/>
      <c r="F10781" s="483"/>
      <c r="G10781" s="81"/>
      <c r="H10781" s="81"/>
      <c r="I10781" s="81"/>
      <c r="J10781" s="81"/>
      <c r="K10781" s="81"/>
      <c r="L10781" s="81"/>
      <c r="M10781" s="81"/>
      <c r="N10781" s="81"/>
    </row>
    <row r="10782" spans="1:14" ht="14.25" customHeight="1" x14ac:dyDescent="0.25">
      <c r="A10782" s="199" t="s">
        <v>548</v>
      </c>
      <c r="B10782" s="497"/>
      <c r="C10782" s="487"/>
      <c r="D10782" s="487"/>
      <c r="E10782" s="487"/>
      <c r="F10782" s="489">
        <f>SUM(F10778:F10781)</f>
        <v>314845.56285843544</v>
      </c>
      <c r="G10782" s="81"/>
      <c r="H10782" s="81"/>
      <c r="I10782" s="81"/>
      <c r="J10782" s="81"/>
      <c r="K10782" s="81"/>
      <c r="L10782" s="81"/>
      <c r="M10782" s="81"/>
      <c r="N10782" s="81"/>
    </row>
    <row r="10783" spans="1:14" ht="14.25" customHeight="1" x14ac:dyDescent="0.25">
      <c r="A10783" s="198"/>
      <c r="B10783" s="231"/>
      <c r="C10783" s="223"/>
      <c r="D10783" s="223"/>
      <c r="E10783" s="223"/>
      <c r="F10783" s="223"/>
      <c r="G10783" s="81"/>
      <c r="H10783" s="81"/>
      <c r="I10783" s="81"/>
      <c r="J10783" s="81"/>
      <c r="K10783" s="81"/>
      <c r="L10783" s="81"/>
      <c r="M10783" s="81"/>
      <c r="N10783" s="81"/>
    </row>
    <row r="10784" spans="1:14" ht="14.25" customHeight="1" x14ac:dyDescent="0.25">
      <c r="A10784" s="197" t="s">
        <v>583</v>
      </c>
      <c r="B10784" s="198"/>
      <c r="C10784" s="193"/>
      <c r="D10784" s="193"/>
      <c r="E10784" s="193" t="s">
        <v>584</v>
      </c>
      <c r="F10784" s="193"/>
      <c r="G10784" s="81"/>
      <c r="H10784" s="81"/>
      <c r="I10784" s="81"/>
      <c r="J10784" s="81"/>
      <c r="K10784" s="81"/>
      <c r="L10784" s="81"/>
      <c r="M10784" s="81"/>
      <c r="N10784" s="81"/>
    </row>
    <row r="10785" spans="1:14" ht="14.25" customHeight="1" x14ac:dyDescent="0.25">
      <c r="A10785" s="199" t="s">
        <v>563</v>
      </c>
      <c r="B10785" s="474" t="s">
        <v>564</v>
      </c>
      <c r="C10785" s="474" t="s">
        <v>585</v>
      </c>
      <c r="D10785" s="474" t="s">
        <v>586</v>
      </c>
      <c r="E10785" s="492" t="s">
        <v>587</v>
      </c>
      <c r="F10785" s="474" t="s">
        <v>568</v>
      </c>
      <c r="G10785" s="81"/>
      <c r="H10785" s="81"/>
      <c r="I10785" s="81"/>
      <c r="J10785" s="81"/>
      <c r="K10785" s="81"/>
      <c r="L10785" s="81"/>
      <c r="M10785" s="81"/>
      <c r="N10785" s="81"/>
    </row>
    <row r="10786" spans="1:14" ht="14.25" customHeight="1" x14ac:dyDescent="0.25">
      <c r="A10786" s="480"/>
      <c r="B10786" s="476"/>
      <c r="C10786" s="477"/>
      <c r="D10786" s="498"/>
      <c r="E10786" s="484"/>
      <c r="F10786" s="486">
        <f>+C10786*D10786*E10786</f>
        <v>0</v>
      </c>
      <c r="G10786" s="81"/>
      <c r="H10786" s="81"/>
      <c r="I10786" s="81"/>
      <c r="J10786" s="81"/>
      <c r="K10786" s="81"/>
      <c r="L10786" s="81"/>
      <c r="M10786" s="81"/>
      <c r="N10786" s="81"/>
    </row>
    <row r="10787" spans="1:14" ht="14.25" customHeight="1" x14ac:dyDescent="0.25">
      <c r="A10787" s="480"/>
      <c r="B10787" s="476"/>
      <c r="C10787" s="484"/>
      <c r="D10787" s="484"/>
      <c r="E10787" s="485"/>
      <c r="F10787" s="486"/>
      <c r="G10787" s="81"/>
      <c r="H10787" s="81"/>
      <c r="I10787" s="81"/>
      <c r="J10787" s="81"/>
      <c r="K10787" s="81"/>
      <c r="L10787" s="81"/>
      <c r="M10787" s="81"/>
      <c r="N10787" s="81"/>
    </row>
    <row r="10788" spans="1:14" ht="14.25" customHeight="1" x14ac:dyDescent="0.25">
      <c r="A10788" s="199" t="s">
        <v>548</v>
      </c>
      <c r="B10788" s="474"/>
      <c r="C10788" s="487"/>
      <c r="D10788" s="487"/>
      <c r="E10788" s="488"/>
      <c r="F10788" s="489">
        <f>SUM(F10786:F10787)</f>
        <v>0</v>
      </c>
      <c r="G10788" s="81"/>
      <c r="H10788" s="81"/>
      <c r="I10788" s="81"/>
      <c r="J10788" s="81"/>
      <c r="K10788" s="81"/>
      <c r="L10788" s="81"/>
      <c r="M10788" s="81"/>
      <c r="N10788" s="81"/>
    </row>
    <row r="10789" spans="1:14" ht="14.25" customHeight="1" x14ac:dyDescent="0.25">
      <c r="A10789" s="192"/>
      <c r="B10789" s="194"/>
      <c r="C10789" s="215"/>
      <c r="D10789" s="215"/>
      <c r="E10789" s="216"/>
      <c r="F10789" s="215"/>
      <c r="G10789" s="81"/>
      <c r="H10789" s="81"/>
      <c r="I10789" s="81"/>
      <c r="J10789" s="81"/>
      <c r="K10789" s="81"/>
      <c r="L10789" s="81"/>
      <c r="M10789" s="81"/>
      <c r="N10789" s="81"/>
    </row>
    <row r="10790" spans="1:14" ht="14.25" customHeight="1" x14ac:dyDescent="0.25">
      <c r="A10790" s="192"/>
      <c r="B10790" s="194"/>
      <c r="C10790" s="215"/>
      <c r="D10790" s="215"/>
      <c r="E10790" s="216"/>
      <c r="F10790" s="215"/>
      <c r="G10790" s="81"/>
      <c r="H10790" s="81"/>
      <c r="I10790" s="81"/>
      <c r="J10790" s="81"/>
      <c r="K10790" s="81"/>
      <c r="L10790" s="81"/>
      <c r="M10790" s="81"/>
      <c r="N10790" s="81"/>
    </row>
    <row r="10791" spans="1:14" ht="14.25" customHeight="1" x14ac:dyDescent="0.25">
      <c r="A10791" s="590" t="s">
        <v>588</v>
      </c>
      <c r="B10791" s="586"/>
      <c r="C10791" s="586"/>
      <c r="D10791" s="586"/>
      <c r="E10791" s="587"/>
      <c r="F10791" s="499">
        <f>ROUND(F10765+F10774+F10782+F10788,0)</f>
        <v>1836944</v>
      </c>
      <c r="G10791" s="81"/>
      <c r="H10791" s="81"/>
      <c r="I10791" s="81"/>
      <c r="J10791" s="81"/>
      <c r="K10791" s="81"/>
      <c r="L10791" s="81"/>
      <c r="M10791" s="81"/>
      <c r="N10791" s="81"/>
    </row>
    <row r="10792" spans="1:14" ht="14.25" customHeight="1" x14ac:dyDescent="0.25">
      <c r="A10792" s="590" t="s">
        <v>589</v>
      </c>
      <c r="B10792" s="586"/>
      <c r="C10792" s="586"/>
      <c r="D10792" s="586"/>
      <c r="E10792" s="587"/>
      <c r="F10792" s="500"/>
      <c r="G10792" s="81"/>
      <c r="H10792" s="81"/>
      <c r="I10792" s="81"/>
      <c r="J10792" s="81"/>
      <c r="K10792" s="81"/>
      <c r="L10792" s="81"/>
      <c r="M10792" s="81"/>
      <c r="N10792" s="81"/>
    </row>
    <row r="10793" spans="1:14" ht="14.25" customHeight="1" x14ac:dyDescent="0.25">
      <c r="A10793" s="300" t="s">
        <v>556</v>
      </c>
      <c r="B10793" s="506"/>
      <c r="C10793" s="506"/>
      <c r="D10793" s="506"/>
      <c r="E10793" s="507"/>
      <c r="F10793" s="501"/>
      <c r="G10793" s="81"/>
      <c r="H10793" s="81"/>
      <c r="I10793" s="81"/>
      <c r="J10793" s="81"/>
      <c r="K10793" s="81"/>
      <c r="L10793" s="81"/>
      <c r="M10793" s="81"/>
      <c r="N10793" s="81"/>
    </row>
    <row r="10794" spans="1:14" ht="14.25" customHeight="1" x14ac:dyDescent="0.25">
      <c r="A10794" s="301"/>
      <c r="B10794" s="502"/>
      <c r="C10794" s="502"/>
      <c r="D10794" s="502"/>
      <c r="E10794" s="502"/>
      <c r="F10794" s="503"/>
      <c r="G10794" s="81"/>
      <c r="H10794" s="81"/>
      <c r="I10794" s="81"/>
      <c r="J10794" s="81"/>
      <c r="K10794" s="81"/>
      <c r="L10794" s="81"/>
      <c r="M10794" s="81"/>
      <c r="N10794" s="81"/>
    </row>
    <row r="10795" spans="1:14" ht="14.25" customHeight="1" x14ac:dyDescent="0.25">
      <c r="A10795" s="301"/>
      <c r="B10795" s="502"/>
      <c r="C10795" s="502"/>
      <c r="D10795" s="502"/>
      <c r="E10795" s="502"/>
      <c r="F10795" s="503"/>
      <c r="G10795" s="81"/>
      <c r="H10795" s="81"/>
      <c r="I10795" s="81"/>
      <c r="J10795" s="81"/>
      <c r="K10795" s="81"/>
      <c r="L10795" s="81"/>
      <c r="M10795" s="81"/>
      <c r="N10795" s="81"/>
    </row>
    <row r="10796" spans="1:14" ht="14.25" customHeight="1" x14ac:dyDescent="0.25">
      <c r="A10796" s="301"/>
      <c r="B10796" s="502"/>
      <c r="C10796" s="502"/>
      <c r="D10796" s="502"/>
      <c r="E10796" s="502"/>
      <c r="F10796" s="503"/>
      <c r="G10796" s="81"/>
      <c r="H10796" s="81"/>
      <c r="I10796" s="81"/>
      <c r="J10796" s="81"/>
      <c r="K10796" s="81"/>
      <c r="L10796" s="81"/>
      <c r="M10796" s="81"/>
      <c r="N10796" s="81"/>
    </row>
    <row r="10797" spans="1:14" ht="14.25" customHeight="1" x14ac:dyDescent="0.25">
      <c r="A10797" s="301"/>
      <c r="B10797" s="502"/>
      <c r="C10797" s="502"/>
      <c r="D10797" s="502"/>
      <c r="E10797" s="502"/>
      <c r="F10797" s="503"/>
      <c r="G10797" s="81"/>
      <c r="H10797" s="81"/>
      <c r="I10797" s="81"/>
      <c r="J10797" s="81"/>
      <c r="K10797" s="81"/>
      <c r="L10797" s="81"/>
      <c r="M10797" s="81"/>
      <c r="N10797" s="81"/>
    </row>
    <row r="10798" spans="1:14" ht="14.25" customHeight="1" x14ac:dyDescent="0.25">
      <c r="A10798" s="301"/>
      <c r="B10798" s="502"/>
      <c r="C10798" s="502"/>
      <c r="D10798" s="502"/>
      <c r="E10798" s="502"/>
      <c r="F10798" s="503"/>
      <c r="G10798" s="81"/>
      <c r="H10798" s="81"/>
      <c r="I10798" s="81"/>
      <c r="J10798" s="81"/>
      <c r="K10798" s="81"/>
      <c r="L10798" s="81"/>
      <c r="M10798" s="81"/>
      <c r="N10798" s="81"/>
    </row>
    <row r="10799" spans="1:14" ht="14.25" customHeight="1" x14ac:dyDescent="0.25">
      <c r="A10799" s="243"/>
      <c r="B10799" s="243"/>
      <c r="C10799" s="504"/>
      <c r="D10799" s="243"/>
      <c r="E10799" s="243"/>
      <c r="F10799" s="243"/>
      <c r="G10799" s="81"/>
      <c r="H10799" s="81"/>
      <c r="I10799" s="81"/>
      <c r="J10799" s="81"/>
      <c r="K10799" s="81"/>
      <c r="L10799" s="81"/>
      <c r="M10799" s="81"/>
      <c r="N10799" s="81"/>
    </row>
    <row r="10800" spans="1:14" ht="14.25" customHeight="1" x14ac:dyDescent="0.25">
      <c r="A10800" s="243"/>
      <c r="B10800" s="243"/>
      <c r="C10800" s="504"/>
      <c r="D10800" s="243"/>
      <c r="E10800" s="243"/>
      <c r="F10800" s="243"/>
      <c r="G10800" s="81"/>
      <c r="H10800" s="81"/>
      <c r="I10800" s="81"/>
      <c r="J10800" s="81"/>
      <c r="K10800" s="81"/>
      <c r="L10800" s="81"/>
      <c r="M10800" s="81"/>
      <c r="N10800" s="81"/>
    </row>
    <row r="10801" spans="1:14" ht="14.25" customHeight="1" x14ac:dyDescent="0.25">
      <c r="A10801" s="243"/>
      <c r="B10801" s="243"/>
      <c r="C10801" s="504"/>
      <c r="D10801" s="243"/>
      <c r="E10801" s="243"/>
      <c r="F10801" s="243"/>
      <c r="G10801" s="81"/>
      <c r="H10801" s="81"/>
      <c r="I10801" s="81"/>
      <c r="J10801" s="81"/>
      <c r="K10801" s="81"/>
      <c r="L10801" s="81"/>
      <c r="M10801" s="81"/>
      <c r="N10801" s="81"/>
    </row>
    <row r="10802" spans="1:14" ht="14.25" customHeight="1" x14ac:dyDescent="0.25">
      <c r="A10802" s="243"/>
      <c r="B10802" s="243"/>
      <c r="C10802" s="504"/>
      <c r="D10802" s="243"/>
      <c r="E10802" s="243"/>
      <c r="F10802" s="243"/>
      <c r="G10802" s="81"/>
      <c r="H10802" s="81"/>
      <c r="I10802" s="81"/>
      <c r="J10802" s="81"/>
      <c r="K10802" s="81"/>
      <c r="L10802" s="81"/>
      <c r="M10802" s="81"/>
      <c r="N10802" s="81"/>
    </row>
    <row r="10803" spans="1:14" ht="14.25" customHeight="1" x14ac:dyDescent="0.25">
      <c r="A10803" s="243"/>
      <c r="B10803" s="243"/>
      <c r="C10803" s="504"/>
      <c r="D10803" s="243"/>
      <c r="E10803" s="243"/>
      <c r="F10803" s="243"/>
      <c r="G10803" s="81"/>
      <c r="H10803" s="81"/>
      <c r="I10803" s="81"/>
      <c r="J10803" s="81"/>
      <c r="K10803" s="81"/>
      <c r="L10803" s="81"/>
      <c r="M10803" s="81"/>
      <c r="N10803" s="81"/>
    </row>
    <row r="10804" spans="1:14" ht="14.25" customHeight="1" x14ac:dyDescent="0.25">
      <c r="A10804" s="243"/>
      <c r="B10804" s="243"/>
      <c r="C10804" s="504"/>
      <c r="D10804" s="243"/>
      <c r="E10804" s="243"/>
      <c r="F10804" s="243"/>
      <c r="G10804" s="81"/>
      <c r="H10804" s="81"/>
      <c r="I10804" s="81"/>
      <c r="J10804" s="81"/>
      <c r="K10804" s="81"/>
      <c r="L10804" s="81"/>
      <c r="M10804" s="81"/>
      <c r="N10804" s="81"/>
    </row>
    <row r="10805" spans="1:14" ht="14.25" customHeight="1" thickBot="1" x14ac:dyDescent="0.3">
      <c r="A10805" s="243"/>
      <c r="B10805" s="243"/>
      <c r="C10805" s="504"/>
      <c r="D10805" s="243"/>
      <c r="E10805" s="243"/>
      <c r="F10805" s="243"/>
      <c r="G10805" s="81"/>
      <c r="H10805" s="81"/>
      <c r="I10805" s="81"/>
      <c r="J10805" s="81"/>
      <c r="K10805" s="81"/>
      <c r="L10805" s="81"/>
      <c r="M10805" s="81"/>
      <c r="N10805" s="81"/>
    </row>
    <row r="10806" spans="1:14" ht="14.25" customHeight="1" x14ac:dyDescent="0.25">
      <c r="A10806" s="258"/>
      <c r="B10806" s="259"/>
      <c r="C10806" s="260"/>
      <c r="D10806" s="261"/>
      <c r="E10806" s="261"/>
      <c r="F10806" s="262"/>
      <c r="G10806" s="81"/>
      <c r="H10806" s="81"/>
      <c r="I10806" s="81"/>
      <c r="J10806" s="81"/>
      <c r="K10806" s="81"/>
      <c r="L10806" s="81"/>
      <c r="M10806" s="81"/>
      <c r="N10806" s="81"/>
    </row>
    <row r="10807" spans="1:14" ht="14.25" customHeight="1" x14ac:dyDescent="0.25">
      <c r="A10807" s="621"/>
      <c r="B10807" s="629"/>
      <c r="C10807" s="629"/>
      <c r="D10807" s="629"/>
      <c r="E10807" s="629"/>
      <c r="F10807" s="630"/>
      <c r="G10807" s="81"/>
      <c r="H10807" s="81"/>
      <c r="I10807" s="81"/>
      <c r="J10807" s="81"/>
      <c r="K10807" s="81"/>
      <c r="L10807" s="81"/>
      <c r="M10807" s="81"/>
      <c r="N10807" s="81"/>
    </row>
    <row r="10808" spans="1:14" ht="14.25" customHeight="1" x14ac:dyDescent="0.25">
      <c r="A10808" s="614" t="s">
        <v>561</v>
      </c>
      <c r="B10808" s="629"/>
      <c r="C10808" s="629"/>
      <c r="D10808" s="629"/>
      <c r="E10808" s="629"/>
      <c r="F10808" s="630"/>
      <c r="G10808" s="81"/>
      <c r="H10808" s="81"/>
      <c r="I10808" s="81"/>
      <c r="J10808" s="81"/>
      <c r="K10808" s="81"/>
      <c r="L10808" s="81"/>
      <c r="M10808" s="81"/>
      <c r="N10808" s="81"/>
    </row>
    <row r="10809" spans="1:14" ht="14.25" customHeight="1" thickBot="1" x14ac:dyDescent="0.3">
      <c r="A10809" s="617"/>
      <c r="B10809" s="631"/>
      <c r="C10809" s="631"/>
      <c r="D10809" s="631"/>
      <c r="E10809" s="631"/>
      <c r="F10809" s="632"/>
      <c r="G10809" s="81"/>
      <c r="H10809" s="81"/>
      <c r="I10809" s="81"/>
      <c r="J10809" s="81"/>
      <c r="K10809" s="81"/>
      <c r="L10809" s="81"/>
      <c r="M10809" s="81"/>
      <c r="N10809" s="81"/>
    </row>
    <row r="10810" spans="1:14" ht="14.25" customHeight="1" x14ac:dyDescent="0.25">
      <c r="A10810" s="192"/>
      <c r="B10810" s="192"/>
      <c r="C10810" s="194"/>
      <c r="D10810" s="194"/>
      <c r="E10810" s="194"/>
      <c r="F10810" s="194"/>
      <c r="G10810" s="81"/>
      <c r="H10810" s="81"/>
      <c r="I10810" s="81"/>
      <c r="J10810" s="81"/>
      <c r="K10810" s="81"/>
      <c r="L10810" s="81"/>
      <c r="M10810" s="81"/>
      <c r="N10810" s="81"/>
    </row>
    <row r="10811" spans="1:14" ht="14.25" customHeight="1" x14ac:dyDescent="0.25">
      <c r="A10811" s="473" t="s">
        <v>47</v>
      </c>
      <c r="B10811" s="620" t="s">
        <v>1214</v>
      </c>
      <c r="C10811" s="629"/>
      <c r="D10811" s="629"/>
      <c r="E10811" s="629"/>
      <c r="F10811" s="629"/>
      <c r="G10811" s="81"/>
      <c r="H10811" s="81"/>
      <c r="I10811" s="81"/>
      <c r="J10811" s="81"/>
      <c r="K10811" s="81"/>
      <c r="L10811" s="81"/>
      <c r="M10811" s="81"/>
      <c r="N10811" s="81"/>
    </row>
    <row r="10812" spans="1:14" ht="14.25" customHeight="1" x14ac:dyDescent="0.25">
      <c r="A10812" s="191"/>
      <c r="B10812" s="191"/>
      <c r="C10812" s="191"/>
      <c r="D10812" s="191"/>
      <c r="E10812" s="191"/>
      <c r="F10812" s="191"/>
      <c r="G10812" s="81"/>
      <c r="H10812" s="81"/>
      <c r="I10812" s="81"/>
      <c r="J10812" s="81"/>
      <c r="K10812" s="81"/>
      <c r="L10812" s="81"/>
      <c r="M10812" s="81"/>
      <c r="N10812" s="81"/>
    </row>
    <row r="10813" spans="1:14" ht="14.25" customHeight="1" x14ac:dyDescent="0.25">
      <c r="A10813" s="192" t="s">
        <v>49</v>
      </c>
      <c r="B10813" s="193" t="s">
        <v>99</v>
      </c>
      <c r="C10813" s="194"/>
      <c r="D10813" s="194"/>
      <c r="E10813" s="194"/>
      <c r="F10813" s="195"/>
      <c r="G10813" s="81"/>
      <c r="H10813" s="81"/>
      <c r="I10813" s="81"/>
      <c r="J10813" s="81"/>
      <c r="K10813" s="81"/>
      <c r="L10813" s="81"/>
      <c r="M10813" s="81"/>
      <c r="N10813" s="81"/>
    </row>
    <row r="10814" spans="1:14" ht="14.25" customHeight="1" x14ac:dyDescent="0.25">
      <c r="A10814" s="192"/>
      <c r="B10814" s="196"/>
      <c r="C10814" s="194"/>
      <c r="D10814" s="194"/>
      <c r="E10814" s="194"/>
      <c r="F10814" s="195"/>
      <c r="G10814" s="81"/>
      <c r="H10814" s="81"/>
      <c r="I10814" s="81"/>
      <c r="J10814" s="81"/>
      <c r="K10814" s="81"/>
      <c r="L10814" s="81"/>
      <c r="M10814" s="81"/>
      <c r="N10814" s="81"/>
    </row>
    <row r="10815" spans="1:14" ht="14.25" customHeight="1" x14ac:dyDescent="0.25">
      <c r="A10815" s="197" t="s">
        <v>562</v>
      </c>
      <c r="B10815" s="198"/>
      <c r="C10815" s="193"/>
      <c r="D10815" s="193"/>
      <c r="E10815" s="193"/>
      <c r="F10815" s="193"/>
      <c r="G10815" s="81"/>
      <c r="H10815" s="81"/>
      <c r="I10815" s="81"/>
      <c r="J10815" s="81"/>
      <c r="K10815" s="81"/>
      <c r="L10815" s="81"/>
      <c r="M10815" s="81"/>
      <c r="N10815" s="81"/>
    </row>
    <row r="10816" spans="1:14" ht="14.25" customHeight="1" x14ac:dyDescent="0.25">
      <c r="A10816" s="199" t="s">
        <v>563</v>
      </c>
      <c r="B10816" s="474" t="s">
        <v>564</v>
      </c>
      <c r="C10816" s="474" t="s">
        <v>565</v>
      </c>
      <c r="D10816" s="474" t="s">
        <v>566</v>
      </c>
      <c r="E10816" s="474" t="s">
        <v>567</v>
      </c>
      <c r="F10816" s="474" t="s">
        <v>568</v>
      </c>
      <c r="G10816" s="81"/>
      <c r="H10816" s="81"/>
      <c r="I10816" s="81"/>
      <c r="J10816" s="81"/>
      <c r="K10816" s="81"/>
      <c r="L10816" s="81"/>
      <c r="M10816" s="81"/>
      <c r="N10816" s="81"/>
    </row>
    <row r="10817" spans="1:14" ht="14.25" customHeight="1" x14ac:dyDescent="0.25">
      <c r="A10817" s="475" t="s">
        <v>1214</v>
      </c>
      <c r="B10817" s="476" t="s">
        <v>99</v>
      </c>
      <c r="C10817" s="477">
        <v>41111085</v>
      </c>
      <c r="D10817" s="478">
        <v>1</v>
      </c>
      <c r="E10817" s="479"/>
      <c r="F10817" s="477">
        <f t="shared" ref="F10817:F10819" si="534">C10817*(D10817+(D10817*E10817))</f>
        <v>41111085</v>
      </c>
      <c r="G10817" s="81"/>
      <c r="H10817" s="81"/>
      <c r="I10817" s="81"/>
      <c r="J10817" s="81"/>
      <c r="K10817" s="81"/>
      <c r="L10817" s="81"/>
      <c r="M10817" s="81"/>
      <c r="N10817" s="81"/>
    </row>
    <row r="10818" spans="1:14" ht="14.25" customHeight="1" x14ac:dyDescent="0.25">
      <c r="A10818" s="475"/>
      <c r="B10818" s="476"/>
      <c r="C10818" s="477"/>
      <c r="D10818" s="481"/>
      <c r="E10818" s="479"/>
      <c r="F10818" s="477">
        <f t="shared" si="534"/>
        <v>0</v>
      </c>
      <c r="G10818" s="81"/>
      <c r="H10818" s="81"/>
      <c r="I10818" s="81"/>
      <c r="J10818" s="81"/>
      <c r="K10818" s="81"/>
      <c r="L10818" s="81"/>
      <c r="M10818" s="81"/>
      <c r="N10818" s="81"/>
    </row>
    <row r="10819" spans="1:14" ht="14.25" customHeight="1" x14ac:dyDescent="0.25">
      <c r="A10819" s="475"/>
      <c r="B10819" s="476"/>
      <c r="C10819" s="477"/>
      <c r="D10819" s="481"/>
      <c r="E10819" s="479"/>
      <c r="F10819" s="477">
        <f t="shared" si="534"/>
        <v>0</v>
      </c>
      <c r="G10819" s="81"/>
      <c r="H10819" s="81"/>
      <c r="I10819" s="81"/>
      <c r="J10819" s="81"/>
      <c r="K10819" s="81"/>
      <c r="L10819" s="81"/>
      <c r="M10819" s="81"/>
      <c r="N10819" s="81"/>
    </row>
    <row r="10820" spans="1:14" ht="14.25" customHeight="1" x14ac:dyDescent="0.25">
      <c r="A10820" s="475"/>
      <c r="B10820" s="476"/>
      <c r="C10820" s="477"/>
      <c r="D10820" s="478"/>
      <c r="E10820" s="479"/>
      <c r="F10820" s="477"/>
      <c r="G10820" s="81"/>
      <c r="H10820" s="81"/>
      <c r="I10820" s="81"/>
      <c r="J10820" s="81"/>
      <c r="K10820" s="81"/>
      <c r="L10820" s="81"/>
      <c r="M10820" s="81"/>
      <c r="N10820" s="81"/>
    </row>
    <row r="10821" spans="1:14" ht="14.25" customHeight="1" x14ac:dyDescent="0.25">
      <c r="A10821" s="475"/>
      <c r="B10821" s="476"/>
      <c r="C10821" s="477"/>
      <c r="D10821" s="478"/>
      <c r="E10821" s="479"/>
      <c r="F10821" s="477"/>
      <c r="G10821" s="81"/>
      <c r="H10821" s="81"/>
      <c r="I10821" s="81"/>
      <c r="J10821" s="81"/>
      <c r="K10821" s="81"/>
      <c r="L10821" s="81"/>
      <c r="M10821" s="81"/>
      <c r="N10821" s="81"/>
    </row>
    <row r="10822" spans="1:14" ht="14.25" customHeight="1" x14ac:dyDescent="0.25">
      <c r="A10822" s="475"/>
      <c r="B10822" s="476"/>
      <c r="C10822" s="477"/>
      <c r="D10822" s="478"/>
      <c r="E10822" s="479"/>
      <c r="F10822" s="477"/>
      <c r="G10822" s="81"/>
      <c r="H10822" s="81"/>
      <c r="I10822" s="81"/>
      <c r="J10822" s="81"/>
      <c r="K10822" s="81"/>
      <c r="L10822" s="81"/>
      <c r="M10822" s="81"/>
      <c r="N10822" s="81"/>
    </row>
    <row r="10823" spans="1:14" ht="14.25" customHeight="1" x14ac:dyDescent="0.25">
      <c r="A10823" s="475"/>
      <c r="B10823" s="476"/>
      <c r="C10823" s="483"/>
      <c r="D10823" s="484"/>
      <c r="E10823" s="485"/>
      <c r="F10823" s="483"/>
      <c r="G10823" s="81"/>
      <c r="H10823" s="81"/>
      <c r="I10823" s="81"/>
      <c r="J10823" s="81"/>
      <c r="K10823" s="81"/>
      <c r="L10823" s="81"/>
      <c r="M10823" s="81"/>
      <c r="N10823" s="81"/>
    </row>
    <row r="10824" spans="1:14" ht="14.25" customHeight="1" x14ac:dyDescent="0.25">
      <c r="A10824" s="199" t="s">
        <v>548</v>
      </c>
      <c r="B10824" s="199"/>
      <c r="C10824" s="486"/>
      <c r="D10824" s="487"/>
      <c r="E10824" s="488"/>
      <c r="F10824" s="489">
        <f>SUM(F10817:F10823)</f>
        <v>41111085</v>
      </c>
      <c r="G10824" s="81"/>
      <c r="H10824" s="81"/>
      <c r="I10824" s="81"/>
      <c r="J10824" s="81"/>
      <c r="K10824" s="81"/>
      <c r="L10824" s="81"/>
      <c r="M10824" s="81"/>
      <c r="N10824" s="81"/>
    </row>
    <row r="10825" spans="1:14" ht="14.25" customHeight="1" x14ac:dyDescent="0.25">
      <c r="A10825" s="192"/>
      <c r="B10825" s="192"/>
      <c r="C10825" s="215"/>
      <c r="D10825" s="215"/>
      <c r="E10825" s="216"/>
      <c r="F10825" s="215"/>
      <c r="G10825" s="81"/>
      <c r="H10825" s="81"/>
      <c r="I10825" s="81"/>
      <c r="J10825" s="81"/>
      <c r="K10825" s="81"/>
      <c r="L10825" s="81"/>
      <c r="M10825" s="81"/>
      <c r="N10825" s="81"/>
    </row>
    <row r="10826" spans="1:14" ht="14.25" customHeight="1" x14ac:dyDescent="0.25">
      <c r="A10826" s="198" t="s">
        <v>573</v>
      </c>
      <c r="B10826" s="198"/>
      <c r="C10826" s="193"/>
      <c r="D10826" s="193"/>
      <c r="E10826" s="193"/>
      <c r="F10826" s="193"/>
      <c r="G10826" s="81"/>
      <c r="H10826" s="81"/>
      <c r="I10826" s="81"/>
      <c r="J10826" s="81"/>
      <c r="K10826" s="81"/>
      <c r="L10826" s="81"/>
      <c r="M10826" s="81"/>
      <c r="N10826" s="81"/>
    </row>
    <row r="10827" spans="1:14" ht="14.25" customHeight="1" x14ac:dyDescent="0.25">
      <c r="A10827" s="585" t="s">
        <v>563</v>
      </c>
      <c r="B10827" s="586"/>
      <c r="C10827" s="587"/>
      <c r="D10827" s="474" t="s">
        <v>574</v>
      </c>
      <c r="E10827" s="474" t="s">
        <v>575</v>
      </c>
      <c r="F10827" s="474" t="s">
        <v>568</v>
      </c>
      <c r="G10827" s="81"/>
      <c r="H10827" s="81"/>
      <c r="I10827" s="81"/>
      <c r="J10827" s="81"/>
      <c r="K10827" s="81"/>
      <c r="L10827" s="81"/>
      <c r="M10827" s="81"/>
      <c r="N10827" s="81"/>
    </row>
    <row r="10828" spans="1:14" ht="14.25" customHeight="1" x14ac:dyDescent="0.25">
      <c r="A10828" s="588" t="s">
        <v>577</v>
      </c>
      <c r="B10828" s="586"/>
      <c r="C10828" s="587"/>
      <c r="D10828" s="490"/>
      <c r="E10828" s="484"/>
      <c r="F10828" s="483">
        <f>+F10841*5%</f>
        <v>159372.62</v>
      </c>
      <c r="G10828" s="81"/>
      <c r="H10828" s="81"/>
      <c r="I10828" s="81"/>
      <c r="J10828" s="81"/>
      <c r="K10828" s="81"/>
      <c r="L10828" s="81"/>
      <c r="M10828" s="81"/>
      <c r="N10828" s="81"/>
    </row>
    <row r="10829" spans="1:14" ht="14.25" customHeight="1" x14ac:dyDescent="0.25">
      <c r="A10829" s="588"/>
      <c r="B10829" s="586"/>
      <c r="C10829" s="587"/>
      <c r="D10829" s="505"/>
      <c r="E10829" s="484"/>
      <c r="F10829" s="483"/>
      <c r="G10829" s="81"/>
      <c r="H10829" s="81"/>
      <c r="I10829" s="81"/>
      <c r="J10829" s="81"/>
      <c r="K10829" s="81"/>
      <c r="L10829" s="81"/>
      <c r="M10829" s="81"/>
      <c r="N10829" s="81"/>
    </row>
    <row r="10830" spans="1:14" ht="14.25" customHeight="1" x14ac:dyDescent="0.25">
      <c r="A10830" s="588"/>
      <c r="B10830" s="586"/>
      <c r="C10830" s="587"/>
      <c r="D10830" s="505"/>
      <c r="E10830" s="484"/>
      <c r="F10830" s="483"/>
      <c r="G10830" s="81"/>
      <c r="H10830" s="81"/>
      <c r="I10830" s="81"/>
      <c r="J10830" s="81"/>
      <c r="K10830" s="81"/>
      <c r="L10830" s="81"/>
      <c r="M10830" s="81"/>
      <c r="N10830" s="81"/>
    </row>
    <row r="10831" spans="1:14" ht="14.25" customHeight="1" x14ac:dyDescent="0.25">
      <c r="A10831" s="588"/>
      <c r="B10831" s="586"/>
      <c r="C10831" s="587"/>
      <c r="D10831" s="505"/>
      <c r="E10831" s="484"/>
      <c r="F10831" s="483"/>
      <c r="G10831" s="81"/>
      <c r="H10831" s="81"/>
      <c r="I10831" s="81"/>
      <c r="J10831" s="81"/>
      <c r="K10831" s="81"/>
      <c r="L10831" s="81"/>
      <c r="M10831" s="81"/>
      <c r="N10831" s="81"/>
    </row>
    <row r="10832" spans="1:14" ht="14.25" customHeight="1" x14ac:dyDescent="0.25">
      <c r="A10832" s="589"/>
      <c r="B10832" s="586"/>
      <c r="C10832" s="587"/>
      <c r="D10832" s="491"/>
      <c r="E10832" s="484"/>
      <c r="F10832" s="483"/>
      <c r="G10832" s="81"/>
      <c r="H10832" s="81"/>
      <c r="I10832" s="81"/>
      <c r="J10832" s="81"/>
      <c r="K10832" s="81"/>
      <c r="L10832" s="81"/>
      <c r="M10832" s="81"/>
      <c r="N10832" s="81"/>
    </row>
    <row r="10833" spans="1:14" ht="14.25" customHeight="1" x14ac:dyDescent="0.25">
      <c r="A10833" s="585" t="s">
        <v>548</v>
      </c>
      <c r="B10833" s="586"/>
      <c r="C10833" s="587"/>
      <c r="D10833" s="487"/>
      <c r="E10833" s="487"/>
      <c r="F10833" s="489">
        <f>SUM(F10828:F10832)</f>
        <v>159372.62</v>
      </c>
      <c r="G10833" s="81"/>
      <c r="H10833" s="81"/>
      <c r="I10833" s="81"/>
      <c r="J10833" s="81"/>
      <c r="K10833" s="81"/>
      <c r="L10833" s="81"/>
      <c r="M10833" s="81"/>
      <c r="N10833" s="81"/>
    </row>
    <row r="10834" spans="1:14" ht="14.25" customHeight="1" x14ac:dyDescent="0.25">
      <c r="A10834" s="192"/>
      <c r="B10834" s="192"/>
      <c r="C10834" s="194"/>
      <c r="D10834" s="215"/>
      <c r="E10834" s="215"/>
      <c r="F10834" s="215"/>
      <c r="G10834" s="81"/>
      <c r="H10834" s="117"/>
      <c r="I10834" s="81"/>
      <c r="J10834" s="81"/>
      <c r="K10834" s="81"/>
      <c r="L10834" s="81"/>
      <c r="M10834" s="81"/>
      <c r="N10834" s="81"/>
    </row>
    <row r="10835" spans="1:14" ht="14.25" customHeight="1" x14ac:dyDescent="0.25">
      <c r="A10835" s="198" t="s">
        <v>578</v>
      </c>
      <c r="B10835" s="198"/>
      <c r="C10835" s="193"/>
      <c r="D10835" s="223"/>
      <c r="E10835" s="223"/>
      <c r="F10835" s="223"/>
      <c r="G10835" s="81"/>
      <c r="H10835" s="81"/>
      <c r="I10835" s="81"/>
      <c r="J10835" s="81"/>
      <c r="K10835" s="81"/>
      <c r="L10835" s="81"/>
      <c r="M10835" s="81"/>
      <c r="N10835" s="81"/>
    </row>
    <row r="10836" spans="1:14" ht="14.25" customHeight="1" x14ac:dyDescent="0.25">
      <c r="A10836" s="224" t="s">
        <v>563</v>
      </c>
      <c r="B10836" s="492" t="s">
        <v>579</v>
      </c>
      <c r="C10836" s="492" t="s">
        <v>580</v>
      </c>
      <c r="D10836" s="493" t="s">
        <v>581</v>
      </c>
      <c r="E10836" s="493" t="s">
        <v>575</v>
      </c>
      <c r="F10836" s="493" t="s">
        <v>568</v>
      </c>
      <c r="G10836" s="81"/>
      <c r="H10836" s="81"/>
      <c r="I10836" s="81"/>
      <c r="J10836" s="81"/>
      <c r="K10836" s="81"/>
      <c r="L10836" s="81"/>
      <c r="M10836" s="81"/>
      <c r="N10836" s="81"/>
    </row>
    <row r="10837" spans="1:14" ht="14.25" customHeight="1" x14ac:dyDescent="0.25">
      <c r="A10837" s="494" t="s">
        <v>916</v>
      </c>
      <c r="B10837" s="495">
        <v>1</v>
      </c>
      <c r="C10837" s="477">
        <v>35956.800000000003</v>
      </c>
      <c r="D10837" s="477">
        <f t="shared" ref="D10837:D10838" si="535">+C10837*1.7</f>
        <v>61126.560000000005</v>
      </c>
      <c r="E10837" s="484">
        <v>0.05</v>
      </c>
      <c r="F10837" s="483">
        <f t="shared" ref="F10837:F10838" si="536">+B10837*(D10837)/E10837</f>
        <v>1222531.2</v>
      </c>
      <c r="G10837" s="81"/>
      <c r="H10837" s="81"/>
      <c r="I10837" s="81"/>
      <c r="J10837" s="81"/>
      <c r="K10837" s="81"/>
      <c r="L10837" s="81"/>
      <c r="M10837" s="81"/>
      <c r="N10837" s="81"/>
    </row>
    <row r="10838" spans="1:14" ht="14.25" customHeight="1" x14ac:dyDescent="0.25">
      <c r="A10838" s="494" t="s">
        <v>917</v>
      </c>
      <c r="B10838" s="495">
        <v>1</v>
      </c>
      <c r="C10838" s="477">
        <v>57791.8</v>
      </c>
      <c r="D10838" s="477">
        <f t="shared" si="535"/>
        <v>98246.06</v>
      </c>
      <c r="E10838" s="484">
        <f>E10837</f>
        <v>0.05</v>
      </c>
      <c r="F10838" s="483">
        <f t="shared" si="536"/>
        <v>1964921.2</v>
      </c>
      <c r="G10838" s="81"/>
      <c r="H10838" s="143"/>
      <c r="I10838" s="81"/>
      <c r="J10838" s="81"/>
      <c r="K10838" s="81"/>
      <c r="L10838" s="81"/>
      <c r="M10838" s="81"/>
      <c r="N10838" s="81"/>
    </row>
    <row r="10839" spans="1:14" ht="14.25" customHeight="1" x14ac:dyDescent="0.25">
      <c r="A10839" s="494"/>
      <c r="B10839" s="495"/>
      <c r="C10839" s="477"/>
      <c r="D10839" s="477"/>
      <c r="E10839" s="484"/>
      <c r="F10839" s="483"/>
      <c r="G10839" s="81"/>
      <c r="H10839" s="81"/>
      <c r="I10839" s="81"/>
      <c r="J10839" s="81"/>
      <c r="K10839" s="81"/>
      <c r="L10839" s="81"/>
      <c r="M10839" s="81"/>
      <c r="N10839" s="81"/>
    </row>
    <row r="10840" spans="1:14" ht="14.25" customHeight="1" x14ac:dyDescent="0.25">
      <c r="A10840" s="494"/>
      <c r="B10840" s="495"/>
      <c r="C10840" s="477"/>
      <c r="D10840" s="477"/>
      <c r="E10840" s="496"/>
      <c r="F10840" s="483"/>
      <c r="G10840" s="81"/>
      <c r="H10840" s="81"/>
      <c r="I10840" s="81"/>
      <c r="J10840" s="81"/>
      <c r="K10840" s="81"/>
      <c r="L10840" s="81"/>
      <c r="M10840" s="81"/>
      <c r="N10840" s="81"/>
    </row>
    <row r="10841" spans="1:14" ht="14.25" customHeight="1" x14ac:dyDescent="0.25">
      <c r="A10841" s="199" t="s">
        <v>548</v>
      </c>
      <c r="B10841" s="497"/>
      <c r="C10841" s="487"/>
      <c r="D10841" s="487"/>
      <c r="E10841" s="487"/>
      <c r="F10841" s="489">
        <f>SUM(F10837:F10840)</f>
        <v>3187452.4</v>
      </c>
      <c r="G10841" s="81"/>
      <c r="H10841" s="81"/>
      <c r="I10841" s="81"/>
      <c r="J10841" s="81"/>
      <c r="K10841" s="81"/>
      <c r="L10841" s="81"/>
      <c r="M10841" s="81"/>
      <c r="N10841" s="81"/>
    </row>
    <row r="10842" spans="1:14" ht="14.25" customHeight="1" x14ac:dyDescent="0.25">
      <c r="A10842" s="198"/>
      <c r="B10842" s="231"/>
      <c r="C10842" s="223"/>
      <c r="D10842" s="223"/>
      <c r="E10842" s="223"/>
      <c r="F10842" s="223"/>
      <c r="G10842" s="81"/>
      <c r="H10842" s="81"/>
      <c r="I10842" s="81"/>
      <c r="J10842" s="81"/>
      <c r="K10842" s="81"/>
      <c r="L10842" s="81"/>
      <c r="M10842" s="81"/>
      <c r="N10842" s="81"/>
    </row>
    <row r="10843" spans="1:14" ht="14.25" customHeight="1" x14ac:dyDescent="0.25">
      <c r="A10843" s="197" t="s">
        <v>583</v>
      </c>
      <c r="B10843" s="198"/>
      <c r="C10843" s="193"/>
      <c r="D10843" s="193"/>
      <c r="E10843" s="193" t="s">
        <v>584</v>
      </c>
      <c r="F10843" s="193"/>
      <c r="G10843" s="81"/>
      <c r="H10843" s="81"/>
      <c r="I10843" s="81"/>
      <c r="J10843" s="81"/>
      <c r="K10843" s="81"/>
      <c r="L10843" s="81"/>
      <c r="M10843" s="81"/>
      <c r="N10843" s="81"/>
    </row>
    <row r="10844" spans="1:14" ht="14.25" customHeight="1" x14ac:dyDescent="0.25">
      <c r="A10844" s="199" t="s">
        <v>563</v>
      </c>
      <c r="B10844" s="474" t="s">
        <v>564</v>
      </c>
      <c r="C10844" s="474" t="s">
        <v>585</v>
      </c>
      <c r="D10844" s="474" t="s">
        <v>586</v>
      </c>
      <c r="E10844" s="492" t="s">
        <v>587</v>
      </c>
      <c r="F10844" s="474" t="s">
        <v>568</v>
      </c>
      <c r="G10844" s="81"/>
      <c r="H10844" s="81"/>
      <c r="I10844" s="81"/>
      <c r="J10844" s="81"/>
      <c r="K10844" s="81"/>
      <c r="L10844" s="81"/>
      <c r="M10844" s="81"/>
      <c r="N10844" s="81"/>
    </row>
    <row r="10845" spans="1:14" ht="14.25" customHeight="1" x14ac:dyDescent="0.25">
      <c r="A10845" s="480"/>
      <c r="B10845" s="476"/>
      <c r="C10845" s="477"/>
      <c r="D10845" s="498"/>
      <c r="E10845" s="484"/>
      <c r="F10845" s="486">
        <f>+C10845*D10845*E10845</f>
        <v>0</v>
      </c>
      <c r="G10845" s="81"/>
      <c r="H10845" s="81"/>
      <c r="I10845" s="81"/>
      <c r="J10845" s="81"/>
      <c r="K10845" s="81"/>
      <c r="L10845" s="81"/>
      <c r="M10845" s="81"/>
      <c r="N10845" s="81"/>
    </row>
    <row r="10846" spans="1:14" ht="14.25" customHeight="1" x14ac:dyDescent="0.25">
      <c r="A10846" s="480"/>
      <c r="B10846" s="476"/>
      <c r="C10846" s="484"/>
      <c r="D10846" s="484"/>
      <c r="E10846" s="485"/>
      <c r="F10846" s="486"/>
      <c r="G10846" s="81"/>
      <c r="H10846" s="81"/>
      <c r="I10846" s="81"/>
      <c r="J10846" s="81"/>
      <c r="K10846" s="81"/>
      <c r="L10846" s="81"/>
      <c r="M10846" s="81"/>
      <c r="N10846" s="81"/>
    </row>
    <row r="10847" spans="1:14" ht="14.25" customHeight="1" x14ac:dyDescent="0.25">
      <c r="A10847" s="199" t="s">
        <v>548</v>
      </c>
      <c r="B10847" s="474"/>
      <c r="C10847" s="487"/>
      <c r="D10847" s="487"/>
      <c r="E10847" s="488"/>
      <c r="F10847" s="489">
        <f>SUM(F10845:F10846)</f>
        <v>0</v>
      </c>
      <c r="G10847" s="81"/>
      <c r="H10847" s="81"/>
      <c r="I10847" s="81"/>
      <c r="J10847" s="81"/>
      <c r="K10847" s="81"/>
      <c r="L10847" s="81"/>
      <c r="M10847" s="81"/>
      <c r="N10847" s="81"/>
    </row>
    <row r="10848" spans="1:14" ht="14.25" customHeight="1" x14ac:dyDescent="0.25">
      <c r="A10848" s="192"/>
      <c r="B10848" s="194"/>
      <c r="C10848" s="215"/>
      <c r="D10848" s="215"/>
      <c r="E10848" s="216"/>
      <c r="F10848" s="215"/>
      <c r="G10848" s="81"/>
      <c r="H10848" s="81"/>
      <c r="I10848" s="81"/>
      <c r="J10848" s="81"/>
      <c r="K10848" s="81"/>
      <c r="L10848" s="81"/>
      <c r="M10848" s="81"/>
      <c r="N10848" s="81"/>
    </row>
    <row r="10849" spans="1:14" ht="14.25" customHeight="1" x14ac:dyDescent="0.25">
      <c r="A10849" s="192"/>
      <c r="B10849" s="194"/>
      <c r="C10849" s="215"/>
      <c r="D10849" s="215"/>
      <c r="E10849" s="216"/>
      <c r="F10849" s="215"/>
      <c r="G10849" s="81"/>
      <c r="H10849" s="81"/>
      <c r="I10849" s="81"/>
      <c r="J10849" s="81"/>
      <c r="K10849" s="81"/>
      <c r="L10849" s="81"/>
      <c r="M10849" s="81"/>
      <c r="N10849" s="81"/>
    </row>
    <row r="10850" spans="1:14" ht="14.25" customHeight="1" x14ac:dyDescent="0.25">
      <c r="A10850" s="590" t="s">
        <v>588</v>
      </c>
      <c r="B10850" s="586"/>
      <c r="C10850" s="586"/>
      <c r="D10850" s="586"/>
      <c r="E10850" s="587"/>
      <c r="F10850" s="499">
        <f>ROUND(F10824+F10833+F10841+F10847,0)</f>
        <v>44457910</v>
      </c>
      <c r="G10850" s="81"/>
      <c r="H10850" s="81"/>
      <c r="I10850" s="81"/>
      <c r="J10850" s="81"/>
      <c r="K10850" s="81"/>
      <c r="L10850" s="81"/>
      <c r="M10850" s="81"/>
      <c r="N10850" s="81"/>
    </row>
    <row r="10851" spans="1:14" ht="30" customHeight="1" x14ac:dyDescent="0.25">
      <c r="A10851" s="590" t="s">
        <v>589</v>
      </c>
      <c r="B10851" s="586"/>
      <c r="C10851" s="586"/>
      <c r="D10851" s="586"/>
      <c r="E10851" s="587"/>
      <c r="F10851" s="500"/>
      <c r="G10851" s="81"/>
      <c r="H10851" s="81"/>
      <c r="I10851" s="81"/>
      <c r="J10851" s="81"/>
      <c r="K10851" s="81"/>
      <c r="L10851" s="81"/>
      <c r="M10851" s="81"/>
      <c r="N10851" s="81"/>
    </row>
    <row r="10852" spans="1:14" ht="14.25" customHeight="1" x14ac:dyDescent="0.25">
      <c r="A10852" s="300" t="s">
        <v>556</v>
      </c>
      <c r="B10852" s="506"/>
      <c r="C10852" s="506"/>
      <c r="D10852" s="506"/>
      <c r="E10852" s="507"/>
      <c r="F10852" s="501"/>
      <c r="G10852" s="81"/>
      <c r="H10852" s="81"/>
      <c r="I10852" s="81"/>
      <c r="J10852" s="81"/>
      <c r="K10852" s="81"/>
      <c r="L10852" s="81"/>
      <c r="M10852" s="81"/>
      <c r="N10852" s="81"/>
    </row>
    <row r="10853" spans="1:14" ht="14.25" customHeight="1" x14ac:dyDescent="0.25">
      <c r="A10853" s="301"/>
      <c r="B10853" s="502"/>
      <c r="C10853" s="502"/>
      <c r="D10853" s="502"/>
      <c r="E10853" s="502"/>
      <c r="F10853" s="503"/>
      <c r="G10853" s="81"/>
      <c r="H10853" s="81"/>
      <c r="I10853" s="81"/>
      <c r="J10853" s="81"/>
      <c r="K10853" s="81"/>
      <c r="L10853" s="81"/>
      <c r="M10853" s="81"/>
      <c r="N10853" s="81"/>
    </row>
    <row r="10854" spans="1:14" ht="14.25" customHeight="1" x14ac:dyDescent="0.25">
      <c r="A10854" s="301"/>
      <c r="B10854" s="502"/>
      <c r="C10854" s="502"/>
      <c r="D10854" s="502"/>
      <c r="E10854" s="502"/>
      <c r="F10854" s="503"/>
      <c r="G10854" s="81"/>
      <c r="H10854" s="81"/>
      <c r="I10854" s="81"/>
      <c r="J10854" s="81"/>
      <c r="K10854" s="81"/>
      <c r="L10854" s="81"/>
      <c r="M10854" s="81"/>
      <c r="N10854" s="81"/>
    </row>
    <row r="10855" spans="1:14" ht="14.25" customHeight="1" x14ac:dyDescent="0.25">
      <c r="A10855" s="301"/>
      <c r="B10855" s="502"/>
      <c r="C10855" s="502"/>
      <c r="D10855" s="502"/>
      <c r="E10855" s="502"/>
      <c r="F10855" s="503"/>
      <c r="G10855" s="81"/>
      <c r="H10855" s="81"/>
      <c r="I10855" s="81"/>
      <c r="J10855" s="81"/>
      <c r="K10855" s="81"/>
      <c r="L10855" s="81"/>
      <c r="M10855" s="81"/>
      <c r="N10855" s="81"/>
    </row>
    <row r="10856" spans="1:14" ht="14.25" customHeight="1" x14ac:dyDescent="0.25">
      <c r="A10856" s="243"/>
      <c r="B10856" s="243"/>
      <c r="C10856" s="504"/>
      <c r="D10856" s="243"/>
      <c r="E10856" s="243"/>
      <c r="F10856" s="243"/>
      <c r="G10856" s="81"/>
      <c r="H10856" s="81"/>
      <c r="I10856" s="81"/>
      <c r="J10856" s="81"/>
      <c r="K10856" s="81"/>
      <c r="L10856" s="81"/>
      <c r="M10856" s="81"/>
      <c r="N10856" s="81"/>
    </row>
    <row r="10857" spans="1:14" ht="14.25" customHeight="1" x14ac:dyDescent="0.25">
      <c r="A10857" s="243"/>
      <c r="B10857" s="243"/>
      <c r="C10857" s="504"/>
      <c r="D10857" s="243"/>
      <c r="E10857" s="243"/>
      <c r="F10857" s="243"/>
      <c r="G10857" s="81"/>
      <c r="H10857" s="81"/>
      <c r="I10857" s="81"/>
      <c r="J10857" s="81"/>
      <c r="K10857" s="81"/>
      <c r="L10857" s="81"/>
      <c r="M10857" s="81"/>
      <c r="N10857" s="81"/>
    </row>
    <row r="10858" spans="1:14" ht="14.25" customHeight="1" x14ac:dyDescent="0.25">
      <c r="A10858" s="243"/>
      <c r="B10858" s="243"/>
      <c r="C10858" s="504"/>
      <c r="D10858" s="243"/>
      <c r="E10858" s="243"/>
      <c r="F10858" s="243"/>
      <c r="G10858" s="81"/>
      <c r="H10858" s="81"/>
      <c r="I10858" s="81"/>
      <c r="J10858" s="81"/>
      <c r="K10858" s="81"/>
      <c r="L10858" s="81"/>
      <c r="M10858" s="81"/>
      <c r="N10858" s="81"/>
    </row>
    <row r="10859" spans="1:14" ht="14.25" customHeight="1" x14ac:dyDescent="0.25">
      <c r="A10859" s="243"/>
      <c r="B10859" s="243"/>
      <c r="C10859" s="504"/>
      <c r="D10859" s="243"/>
      <c r="E10859" s="243"/>
      <c r="F10859" s="243"/>
      <c r="G10859" s="81"/>
      <c r="H10859" s="81"/>
      <c r="I10859" s="81"/>
      <c r="J10859" s="81"/>
      <c r="K10859" s="81"/>
      <c r="L10859" s="81"/>
      <c r="M10859" s="81"/>
      <c r="N10859" s="81"/>
    </row>
    <row r="10860" spans="1:14" ht="14.25" customHeight="1" x14ac:dyDescent="0.25">
      <c r="A10860" s="243"/>
      <c r="B10860" s="243"/>
      <c r="C10860" s="504"/>
      <c r="D10860" s="243"/>
      <c r="E10860" s="243"/>
      <c r="F10860" s="243"/>
      <c r="G10860" s="81"/>
      <c r="H10860" s="81"/>
      <c r="I10860" s="81"/>
      <c r="J10860" s="81"/>
      <c r="K10860" s="81"/>
      <c r="L10860" s="81"/>
      <c r="M10860" s="81"/>
      <c r="N10860" s="81"/>
    </row>
    <row r="10861" spans="1:14" ht="14.25" customHeight="1" x14ac:dyDescent="0.25">
      <c r="A10861" s="243"/>
      <c r="B10861" s="243"/>
      <c r="C10861" s="504"/>
      <c r="D10861" s="243"/>
      <c r="E10861" s="243"/>
      <c r="F10861" s="243"/>
      <c r="G10861" s="81"/>
      <c r="H10861" s="81"/>
      <c r="I10861" s="81"/>
      <c r="J10861" s="81"/>
      <c r="K10861" s="81"/>
      <c r="L10861" s="81"/>
      <c r="M10861" s="81"/>
      <c r="N10861" s="81"/>
    </row>
    <row r="10862" spans="1:14" ht="14.25" customHeight="1" x14ac:dyDescent="0.25">
      <c r="A10862" s="243"/>
      <c r="B10862" s="243"/>
      <c r="C10862" s="504"/>
      <c r="D10862" s="243"/>
      <c r="E10862" s="243"/>
      <c r="F10862" s="243"/>
      <c r="G10862" s="81"/>
      <c r="H10862" s="81"/>
      <c r="I10862" s="81"/>
      <c r="J10862" s="81"/>
      <c r="K10862" s="81"/>
      <c r="L10862" s="81"/>
      <c r="M10862" s="81"/>
      <c r="N10862" s="81"/>
    </row>
    <row r="10863" spans="1:14" ht="14.25" customHeight="1" x14ac:dyDescent="0.25">
      <c r="A10863" s="243"/>
      <c r="B10863" s="243"/>
      <c r="C10863" s="504"/>
      <c r="D10863" s="243"/>
      <c r="E10863" s="243"/>
      <c r="F10863" s="243"/>
      <c r="G10863" s="81"/>
      <c r="H10863" s="81"/>
      <c r="I10863" s="81"/>
      <c r="J10863" s="81"/>
      <c r="K10863" s="81"/>
      <c r="L10863" s="81"/>
      <c r="M10863" s="81"/>
      <c r="N10863" s="81"/>
    </row>
    <row r="10864" spans="1:14" ht="14.25" customHeight="1" x14ac:dyDescent="0.25">
      <c r="A10864" s="243"/>
      <c r="B10864" s="243"/>
      <c r="C10864" s="504"/>
      <c r="D10864" s="243"/>
      <c r="E10864" s="243"/>
      <c r="F10864" s="243"/>
      <c r="G10864" s="81"/>
      <c r="H10864" s="81"/>
      <c r="I10864" s="81"/>
      <c r="J10864" s="81"/>
      <c r="K10864" s="81"/>
      <c r="L10864" s="81"/>
      <c r="M10864" s="81"/>
      <c r="N10864" s="81"/>
    </row>
    <row r="10865" spans="1:14" ht="14.25" customHeight="1" thickBot="1" x14ac:dyDescent="0.3">
      <c r="A10865" s="243"/>
      <c r="B10865" s="243"/>
      <c r="C10865" s="504"/>
      <c r="D10865" s="243"/>
      <c r="E10865" s="243"/>
      <c r="F10865" s="243"/>
      <c r="G10865" s="81"/>
      <c r="H10865" s="81"/>
      <c r="I10865" s="81"/>
      <c r="J10865" s="81"/>
      <c r="K10865" s="81"/>
      <c r="L10865" s="81"/>
      <c r="M10865" s="81"/>
      <c r="N10865" s="81"/>
    </row>
    <row r="10866" spans="1:14" ht="14.25" customHeight="1" x14ac:dyDescent="0.25">
      <c r="A10866" s="258"/>
      <c r="B10866" s="259"/>
      <c r="C10866" s="260"/>
      <c r="D10866" s="261"/>
      <c r="E10866" s="261"/>
      <c r="F10866" s="262"/>
      <c r="G10866" s="81"/>
      <c r="H10866" s="81"/>
      <c r="I10866" s="81"/>
      <c r="J10866" s="81"/>
      <c r="K10866" s="81"/>
      <c r="L10866" s="81"/>
      <c r="M10866" s="81"/>
      <c r="N10866" s="81"/>
    </row>
    <row r="10867" spans="1:14" ht="14.25" customHeight="1" x14ac:dyDescent="0.25">
      <c r="A10867" s="621"/>
      <c r="B10867" s="629"/>
      <c r="C10867" s="629"/>
      <c r="D10867" s="629"/>
      <c r="E10867" s="629"/>
      <c r="F10867" s="630"/>
      <c r="G10867" s="81"/>
      <c r="H10867" s="81"/>
      <c r="I10867" s="81"/>
      <c r="J10867" s="81"/>
      <c r="K10867" s="81"/>
      <c r="L10867" s="81"/>
      <c r="M10867" s="81"/>
      <c r="N10867" s="81"/>
    </row>
    <row r="10868" spans="1:14" ht="14.25" customHeight="1" x14ac:dyDescent="0.25">
      <c r="A10868" s="614" t="s">
        <v>561</v>
      </c>
      <c r="B10868" s="629"/>
      <c r="C10868" s="629"/>
      <c r="D10868" s="629"/>
      <c r="E10868" s="629"/>
      <c r="F10868" s="630"/>
      <c r="G10868" s="81"/>
      <c r="H10868" s="81"/>
      <c r="I10868" s="81"/>
      <c r="J10868" s="81"/>
      <c r="K10868" s="81"/>
      <c r="L10868" s="81"/>
      <c r="M10868" s="81"/>
      <c r="N10868" s="81"/>
    </row>
    <row r="10869" spans="1:14" ht="14.25" customHeight="1" thickBot="1" x14ac:dyDescent="0.3">
      <c r="A10869" s="617"/>
      <c r="B10869" s="631"/>
      <c r="C10869" s="631"/>
      <c r="D10869" s="631"/>
      <c r="E10869" s="631"/>
      <c r="F10869" s="632"/>
      <c r="G10869" s="81"/>
      <c r="H10869" s="81"/>
      <c r="I10869" s="81"/>
      <c r="J10869" s="81"/>
      <c r="K10869" s="81"/>
      <c r="L10869" s="81"/>
      <c r="M10869" s="81"/>
      <c r="N10869" s="81"/>
    </row>
    <row r="10870" spans="1:14" ht="14.25" customHeight="1" x14ac:dyDescent="0.25">
      <c r="A10870" s="192"/>
      <c r="B10870" s="192"/>
      <c r="C10870" s="194"/>
      <c r="D10870" s="194"/>
      <c r="E10870" s="194"/>
      <c r="F10870" s="194"/>
      <c r="G10870" s="81"/>
      <c r="H10870" s="81"/>
      <c r="I10870" s="81"/>
      <c r="J10870" s="81"/>
      <c r="K10870" s="81"/>
      <c r="L10870" s="81"/>
      <c r="M10870" s="81"/>
      <c r="N10870" s="81"/>
    </row>
    <row r="10871" spans="1:14" ht="14.25" customHeight="1" x14ac:dyDescent="0.25">
      <c r="A10871" s="473" t="s">
        <v>47</v>
      </c>
      <c r="B10871" s="620" t="s">
        <v>1214</v>
      </c>
      <c r="C10871" s="629"/>
      <c r="D10871" s="629"/>
      <c r="E10871" s="629"/>
      <c r="F10871" s="629"/>
      <c r="G10871" s="81"/>
      <c r="H10871" s="81"/>
      <c r="I10871" s="81"/>
      <c r="J10871" s="81"/>
      <c r="K10871" s="81"/>
      <c r="L10871" s="81"/>
      <c r="M10871" s="81"/>
      <c r="N10871" s="81"/>
    </row>
    <row r="10872" spans="1:14" ht="14.25" customHeight="1" x14ac:dyDescent="0.25">
      <c r="A10872" s="191"/>
      <c r="B10872" s="191"/>
      <c r="C10872" s="191"/>
      <c r="D10872" s="191"/>
      <c r="E10872" s="191"/>
      <c r="F10872" s="191"/>
      <c r="G10872" s="81"/>
      <c r="H10872" s="81"/>
      <c r="I10872" s="81"/>
      <c r="J10872" s="81"/>
      <c r="K10872" s="81"/>
      <c r="L10872" s="81"/>
      <c r="M10872" s="81"/>
      <c r="N10872" s="81"/>
    </row>
    <row r="10873" spans="1:14" ht="14.25" customHeight="1" x14ac:dyDescent="0.25">
      <c r="A10873" s="192" t="s">
        <v>49</v>
      </c>
      <c r="B10873" s="193" t="s">
        <v>99</v>
      </c>
      <c r="C10873" s="194"/>
      <c r="D10873" s="194"/>
      <c r="E10873" s="194"/>
      <c r="F10873" s="195"/>
      <c r="G10873" s="81"/>
      <c r="H10873" s="81"/>
      <c r="I10873" s="81"/>
      <c r="J10873" s="81"/>
      <c r="K10873" s="81"/>
      <c r="L10873" s="81"/>
      <c r="M10873" s="81"/>
      <c r="N10873" s="81"/>
    </row>
    <row r="10874" spans="1:14" ht="14.25" customHeight="1" x14ac:dyDescent="0.25">
      <c r="A10874" s="192"/>
      <c r="B10874" s="196"/>
      <c r="C10874" s="194"/>
      <c r="D10874" s="194"/>
      <c r="E10874" s="194"/>
      <c r="F10874" s="195"/>
      <c r="G10874" s="81"/>
      <c r="H10874" s="81"/>
      <c r="I10874" s="81"/>
      <c r="J10874" s="81"/>
      <c r="K10874" s="81"/>
      <c r="L10874" s="81"/>
      <c r="M10874" s="81"/>
      <c r="N10874" s="81"/>
    </row>
    <row r="10875" spans="1:14" ht="14.25" customHeight="1" x14ac:dyDescent="0.25">
      <c r="A10875" s="197" t="s">
        <v>562</v>
      </c>
      <c r="B10875" s="198"/>
      <c r="C10875" s="193"/>
      <c r="D10875" s="193"/>
      <c r="E10875" s="193"/>
      <c r="F10875" s="193"/>
      <c r="G10875" s="81"/>
      <c r="H10875" s="81"/>
      <c r="I10875" s="81"/>
      <c r="J10875" s="81"/>
      <c r="K10875" s="81"/>
      <c r="L10875" s="81"/>
      <c r="M10875" s="81"/>
      <c r="N10875" s="81"/>
    </row>
    <row r="10876" spans="1:14" ht="14.25" customHeight="1" x14ac:dyDescent="0.25">
      <c r="A10876" s="199" t="s">
        <v>563</v>
      </c>
      <c r="B10876" s="474" t="s">
        <v>564</v>
      </c>
      <c r="C10876" s="474" t="s">
        <v>565</v>
      </c>
      <c r="D10876" s="474" t="s">
        <v>566</v>
      </c>
      <c r="E10876" s="474" t="s">
        <v>567</v>
      </c>
      <c r="F10876" s="474" t="s">
        <v>568</v>
      </c>
      <c r="G10876" s="81"/>
      <c r="H10876" s="81"/>
      <c r="I10876" s="81"/>
      <c r="J10876" s="81"/>
      <c r="K10876" s="81"/>
      <c r="L10876" s="81"/>
      <c r="M10876" s="81"/>
      <c r="N10876" s="81"/>
    </row>
    <row r="10877" spans="1:14" ht="14.25" customHeight="1" x14ac:dyDescent="0.25">
      <c r="A10877" s="475" t="s">
        <v>1214</v>
      </c>
      <c r="B10877" s="476" t="s">
        <v>99</v>
      </c>
      <c r="C10877" s="477">
        <v>41111085</v>
      </c>
      <c r="D10877" s="478">
        <v>1</v>
      </c>
      <c r="E10877" s="479"/>
      <c r="F10877" s="477">
        <f t="shared" ref="F10877:F10879" si="537">C10877*(D10877+(D10877*E10877))</f>
        <v>41111085</v>
      </c>
      <c r="G10877" s="81"/>
      <c r="H10877" s="81"/>
      <c r="I10877" s="81"/>
      <c r="J10877" s="81"/>
      <c r="K10877" s="81"/>
      <c r="L10877" s="81"/>
      <c r="M10877" s="81"/>
      <c r="N10877" s="81"/>
    </row>
    <row r="10878" spans="1:14" ht="14.25" customHeight="1" x14ac:dyDescent="0.25">
      <c r="A10878" s="475"/>
      <c r="B10878" s="476"/>
      <c r="C10878" s="477"/>
      <c r="D10878" s="481"/>
      <c r="E10878" s="479"/>
      <c r="F10878" s="477">
        <f t="shared" si="537"/>
        <v>0</v>
      </c>
      <c r="G10878" s="81"/>
      <c r="H10878" s="81"/>
      <c r="I10878" s="81"/>
      <c r="J10878" s="81"/>
      <c r="K10878" s="81"/>
      <c r="L10878" s="81"/>
      <c r="M10878" s="81"/>
      <c r="N10878" s="81"/>
    </row>
    <row r="10879" spans="1:14" ht="14.25" customHeight="1" x14ac:dyDescent="0.25">
      <c r="A10879" s="475"/>
      <c r="B10879" s="476"/>
      <c r="C10879" s="477"/>
      <c r="D10879" s="481"/>
      <c r="E10879" s="479"/>
      <c r="F10879" s="477">
        <f t="shared" si="537"/>
        <v>0</v>
      </c>
      <c r="G10879" s="81"/>
      <c r="H10879" s="81"/>
      <c r="I10879" s="81"/>
      <c r="J10879" s="81"/>
      <c r="K10879" s="81"/>
      <c r="L10879" s="81"/>
      <c r="M10879" s="81"/>
      <c r="N10879" s="81"/>
    </row>
    <row r="10880" spans="1:14" ht="14.25" customHeight="1" x14ac:dyDescent="0.25">
      <c r="A10880" s="475"/>
      <c r="B10880" s="476"/>
      <c r="C10880" s="477"/>
      <c r="D10880" s="478"/>
      <c r="E10880" s="479"/>
      <c r="F10880" s="477"/>
      <c r="G10880" s="81"/>
      <c r="H10880" s="81"/>
      <c r="I10880" s="81"/>
      <c r="J10880" s="81"/>
      <c r="K10880" s="81"/>
      <c r="L10880" s="81"/>
      <c r="M10880" s="81"/>
      <c r="N10880" s="81"/>
    </row>
    <row r="10881" spans="1:14" ht="14.25" customHeight="1" x14ac:dyDescent="0.25">
      <c r="A10881" s="475"/>
      <c r="B10881" s="476"/>
      <c r="C10881" s="477"/>
      <c r="D10881" s="478"/>
      <c r="E10881" s="479"/>
      <c r="F10881" s="477"/>
      <c r="G10881" s="81"/>
      <c r="H10881" s="81"/>
      <c r="I10881" s="81"/>
      <c r="J10881" s="81"/>
      <c r="K10881" s="81"/>
      <c r="L10881" s="81"/>
      <c r="M10881" s="81"/>
      <c r="N10881" s="81"/>
    </row>
    <row r="10882" spans="1:14" ht="14.25" customHeight="1" x14ac:dyDescent="0.25">
      <c r="A10882" s="475"/>
      <c r="B10882" s="476"/>
      <c r="C10882" s="477"/>
      <c r="D10882" s="478"/>
      <c r="E10882" s="479"/>
      <c r="F10882" s="477"/>
      <c r="G10882" s="81"/>
      <c r="H10882" s="81"/>
      <c r="I10882" s="81"/>
      <c r="J10882" s="81"/>
      <c r="K10882" s="81"/>
      <c r="L10882" s="81"/>
      <c r="M10882" s="81"/>
      <c r="N10882" s="81"/>
    </row>
    <row r="10883" spans="1:14" ht="14.25" customHeight="1" x14ac:dyDescent="0.25">
      <c r="A10883" s="475"/>
      <c r="B10883" s="476"/>
      <c r="C10883" s="483"/>
      <c r="D10883" s="484"/>
      <c r="E10883" s="485"/>
      <c r="F10883" s="483"/>
      <c r="G10883" s="81"/>
      <c r="H10883" s="81"/>
      <c r="I10883" s="81"/>
      <c r="J10883" s="81"/>
      <c r="K10883" s="81"/>
      <c r="L10883" s="81"/>
      <c r="M10883" s="81"/>
      <c r="N10883" s="81"/>
    </row>
    <row r="10884" spans="1:14" ht="14.25" customHeight="1" x14ac:dyDescent="0.25">
      <c r="A10884" s="199" t="s">
        <v>548</v>
      </c>
      <c r="B10884" s="199"/>
      <c r="C10884" s="486"/>
      <c r="D10884" s="487"/>
      <c r="E10884" s="488"/>
      <c r="F10884" s="489">
        <f>SUM(F10877:F10883)</f>
        <v>41111085</v>
      </c>
      <c r="G10884" s="81"/>
      <c r="H10884" s="81"/>
      <c r="I10884" s="81"/>
      <c r="J10884" s="81"/>
      <c r="K10884" s="81"/>
      <c r="L10884" s="81"/>
      <c r="M10884" s="81"/>
      <c r="N10884" s="81"/>
    </row>
    <row r="10885" spans="1:14" ht="14.25" customHeight="1" x14ac:dyDescent="0.25">
      <c r="A10885" s="192"/>
      <c r="B10885" s="192"/>
      <c r="C10885" s="215"/>
      <c r="D10885" s="215"/>
      <c r="E10885" s="216"/>
      <c r="F10885" s="215"/>
      <c r="G10885" s="81"/>
      <c r="H10885" s="81"/>
      <c r="I10885" s="81"/>
      <c r="J10885" s="81"/>
      <c r="K10885" s="81"/>
      <c r="L10885" s="81"/>
      <c r="M10885" s="81"/>
      <c r="N10885" s="81"/>
    </row>
    <row r="10886" spans="1:14" ht="14.25" customHeight="1" x14ac:dyDescent="0.25">
      <c r="A10886" s="198" t="s">
        <v>573</v>
      </c>
      <c r="B10886" s="198"/>
      <c r="C10886" s="193"/>
      <c r="D10886" s="193"/>
      <c r="E10886" s="193"/>
      <c r="F10886" s="193"/>
      <c r="G10886" s="81"/>
      <c r="H10886" s="81"/>
      <c r="I10886" s="81"/>
      <c r="J10886" s="81"/>
      <c r="K10886" s="81"/>
      <c r="L10886" s="81"/>
      <c r="M10886" s="81"/>
      <c r="N10886" s="81"/>
    </row>
    <row r="10887" spans="1:14" ht="14.25" customHeight="1" x14ac:dyDescent="0.25">
      <c r="A10887" s="585" t="s">
        <v>563</v>
      </c>
      <c r="B10887" s="586"/>
      <c r="C10887" s="587"/>
      <c r="D10887" s="474" t="s">
        <v>574</v>
      </c>
      <c r="E10887" s="474" t="s">
        <v>575</v>
      </c>
      <c r="F10887" s="474" t="s">
        <v>568</v>
      </c>
      <c r="G10887" s="81"/>
      <c r="H10887" s="81"/>
      <c r="I10887" s="81"/>
      <c r="J10887" s="81"/>
      <c r="K10887" s="81"/>
      <c r="L10887" s="81"/>
      <c r="M10887" s="81"/>
      <c r="N10887" s="81"/>
    </row>
    <row r="10888" spans="1:14" ht="14.25" customHeight="1" x14ac:dyDescent="0.25">
      <c r="A10888" s="588" t="s">
        <v>577</v>
      </c>
      <c r="B10888" s="586"/>
      <c r="C10888" s="587"/>
      <c r="D10888" s="490"/>
      <c r="E10888" s="484"/>
      <c r="F10888" s="483">
        <f>+F10901*5%</f>
        <v>159372.62</v>
      </c>
      <c r="G10888" s="81"/>
      <c r="H10888" s="81"/>
      <c r="I10888" s="81"/>
      <c r="J10888" s="81"/>
      <c r="K10888" s="81"/>
      <c r="L10888" s="81"/>
      <c r="M10888" s="81"/>
      <c r="N10888" s="81"/>
    </row>
    <row r="10889" spans="1:14" ht="14.25" customHeight="1" x14ac:dyDescent="0.25">
      <c r="A10889" s="588"/>
      <c r="B10889" s="586"/>
      <c r="C10889" s="587"/>
      <c r="D10889" s="505"/>
      <c r="E10889" s="484"/>
      <c r="F10889" s="483"/>
      <c r="G10889" s="81"/>
      <c r="H10889" s="81"/>
      <c r="I10889" s="81"/>
      <c r="J10889" s="81"/>
      <c r="K10889" s="81"/>
      <c r="L10889" s="81"/>
      <c r="M10889" s="81"/>
      <c r="N10889" s="81"/>
    </row>
    <row r="10890" spans="1:14" ht="14.25" customHeight="1" x14ac:dyDescent="0.25">
      <c r="A10890" s="588"/>
      <c r="B10890" s="586"/>
      <c r="C10890" s="587"/>
      <c r="D10890" s="505"/>
      <c r="E10890" s="484"/>
      <c r="F10890" s="483"/>
      <c r="G10890" s="81"/>
      <c r="H10890" s="81"/>
      <c r="I10890" s="81"/>
      <c r="J10890" s="81"/>
      <c r="K10890" s="81"/>
      <c r="L10890" s="81"/>
      <c r="M10890" s="81"/>
      <c r="N10890" s="81"/>
    </row>
    <row r="10891" spans="1:14" ht="14.25" customHeight="1" x14ac:dyDescent="0.25">
      <c r="A10891" s="588"/>
      <c r="B10891" s="586"/>
      <c r="C10891" s="587"/>
      <c r="D10891" s="505"/>
      <c r="E10891" s="484"/>
      <c r="F10891" s="483"/>
      <c r="G10891" s="81"/>
      <c r="H10891" s="81"/>
      <c r="I10891" s="81"/>
      <c r="J10891" s="81"/>
      <c r="K10891" s="81"/>
      <c r="L10891" s="81"/>
      <c r="M10891" s="81"/>
      <c r="N10891" s="81"/>
    </row>
    <row r="10892" spans="1:14" ht="14.25" customHeight="1" x14ac:dyDescent="0.25">
      <c r="A10892" s="589"/>
      <c r="B10892" s="586"/>
      <c r="C10892" s="587"/>
      <c r="D10892" s="491"/>
      <c r="E10892" s="484"/>
      <c r="F10892" s="483"/>
      <c r="G10892" s="81"/>
      <c r="H10892" s="81"/>
      <c r="I10892" s="81"/>
      <c r="J10892" s="81"/>
      <c r="K10892" s="81"/>
      <c r="L10892" s="81"/>
      <c r="M10892" s="81"/>
      <c r="N10892" s="81"/>
    </row>
    <row r="10893" spans="1:14" ht="14.25" customHeight="1" x14ac:dyDescent="0.25">
      <c r="A10893" s="585" t="s">
        <v>548</v>
      </c>
      <c r="B10893" s="586"/>
      <c r="C10893" s="587"/>
      <c r="D10893" s="487"/>
      <c r="E10893" s="487"/>
      <c r="F10893" s="489">
        <f>SUM(F10888:F10892)</f>
        <v>159372.62</v>
      </c>
      <c r="G10893" s="81"/>
      <c r="H10893" s="81"/>
      <c r="I10893" s="81"/>
      <c r="J10893" s="81"/>
      <c r="K10893" s="81"/>
      <c r="L10893" s="81"/>
      <c r="M10893" s="81"/>
      <c r="N10893" s="81"/>
    </row>
    <row r="10894" spans="1:14" ht="14.25" customHeight="1" x14ac:dyDescent="0.25">
      <c r="A10894" s="192"/>
      <c r="B10894" s="192"/>
      <c r="C10894" s="194"/>
      <c r="D10894" s="215"/>
      <c r="E10894" s="215"/>
      <c r="F10894" s="215"/>
      <c r="G10894" s="81"/>
      <c r="H10894" s="81"/>
      <c r="I10894" s="81"/>
      <c r="J10894" s="81"/>
      <c r="K10894" s="81"/>
      <c r="L10894" s="81"/>
      <c r="M10894" s="81"/>
      <c r="N10894" s="81"/>
    </row>
    <row r="10895" spans="1:14" ht="14.25" customHeight="1" x14ac:dyDescent="0.25">
      <c r="A10895" s="198" t="s">
        <v>578</v>
      </c>
      <c r="B10895" s="198"/>
      <c r="C10895" s="193"/>
      <c r="D10895" s="223"/>
      <c r="E10895" s="223"/>
      <c r="F10895" s="223"/>
      <c r="G10895" s="81"/>
      <c r="H10895" s="117"/>
      <c r="I10895" s="81"/>
      <c r="J10895" s="81"/>
      <c r="K10895" s="81"/>
      <c r="L10895" s="81"/>
      <c r="M10895" s="81"/>
      <c r="N10895" s="81"/>
    </row>
    <row r="10896" spans="1:14" ht="14.25" customHeight="1" x14ac:dyDescent="0.25">
      <c r="A10896" s="224" t="s">
        <v>563</v>
      </c>
      <c r="B10896" s="492" t="s">
        <v>579</v>
      </c>
      <c r="C10896" s="492" t="s">
        <v>580</v>
      </c>
      <c r="D10896" s="493" t="s">
        <v>581</v>
      </c>
      <c r="E10896" s="493" t="s">
        <v>575</v>
      </c>
      <c r="F10896" s="493" t="s">
        <v>568</v>
      </c>
      <c r="G10896" s="81"/>
      <c r="H10896" s="81"/>
      <c r="I10896" s="81"/>
      <c r="J10896" s="81"/>
      <c r="K10896" s="81"/>
      <c r="L10896" s="81"/>
      <c r="M10896" s="81"/>
      <c r="N10896" s="81"/>
    </row>
    <row r="10897" spans="1:14" ht="14.25" customHeight="1" x14ac:dyDescent="0.25">
      <c r="A10897" s="494" t="s">
        <v>916</v>
      </c>
      <c r="B10897" s="495">
        <v>1</v>
      </c>
      <c r="C10897" s="477">
        <v>35956.800000000003</v>
      </c>
      <c r="D10897" s="477">
        <f t="shared" ref="D10897:D10898" si="538">+C10897*1.7</f>
        <v>61126.560000000005</v>
      </c>
      <c r="E10897" s="484">
        <v>0.05</v>
      </c>
      <c r="F10897" s="483">
        <f t="shared" ref="F10897:F10898" si="539">+B10897*(D10897)/E10897</f>
        <v>1222531.2</v>
      </c>
      <c r="G10897" s="81"/>
      <c r="H10897" s="81"/>
      <c r="I10897" s="81"/>
      <c r="J10897" s="81"/>
      <c r="K10897" s="81"/>
      <c r="L10897" s="81"/>
      <c r="M10897" s="81"/>
      <c r="N10897" s="81"/>
    </row>
    <row r="10898" spans="1:14" ht="14.25" customHeight="1" x14ac:dyDescent="0.25">
      <c r="A10898" s="494" t="s">
        <v>917</v>
      </c>
      <c r="B10898" s="495">
        <v>1</v>
      </c>
      <c r="C10898" s="477">
        <v>57791.8</v>
      </c>
      <c r="D10898" s="477">
        <f t="shared" si="538"/>
        <v>98246.06</v>
      </c>
      <c r="E10898" s="484">
        <f>E10897</f>
        <v>0.05</v>
      </c>
      <c r="F10898" s="483">
        <f t="shared" si="539"/>
        <v>1964921.2</v>
      </c>
      <c r="G10898" s="81"/>
      <c r="H10898" s="81"/>
      <c r="I10898" s="81"/>
      <c r="J10898" s="81"/>
      <c r="K10898" s="81"/>
      <c r="L10898" s="81"/>
      <c r="M10898" s="81"/>
      <c r="N10898" s="81"/>
    </row>
    <row r="10899" spans="1:14" ht="14.25" customHeight="1" x14ac:dyDescent="0.25">
      <c r="A10899" s="494"/>
      <c r="B10899" s="495"/>
      <c r="C10899" s="477"/>
      <c r="D10899" s="477"/>
      <c r="E10899" s="484"/>
      <c r="F10899" s="483"/>
      <c r="G10899" s="81"/>
      <c r="H10899" s="143"/>
      <c r="I10899" s="81"/>
      <c r="J10899" s="81"/>
      <c r="K10899" s="81"/>
      <c r="L10899" s="81"/>
      <c r="M10899" s="81"/>
      <c r="N10899" s="81"/>
    </row>
    <row r="10900" spans="1:14" ht="14.25" customHeight="1" x14ac:dyDescent="0.25">
      <c r="A10900" s="494"/>
      <c r="B10900" s="495"/>
      <c r="C10900" s="477"/>
      <c r="D10900" s="477"/>
      <c r="E10900" s="496"/>
      <c r="F10900" s="483"/>
      <c r="G10900" s="81"/>
      <c r="H10900" s="81"/>
      <c r="I10900" s="81"/>
      <c r="J10900" s="81"/>
      <c r="K10900" s="81"/>
      <c r="L10900" s="81"/>
      <c r="M10900" s="81"/>
      <c r="N10900" s="81"/>
    </row>
    <row r="10901" spans="1:14" ht="14.25" customHeight="1" x14ac:dyDescent="0.25">
      <c r="A10901" s="199" t="s">
        <v>548</v>
      </c>
      <c r="B10901" s="497"/>
      <c r="C10901" s="487"/>
      <c r="D10901" s="487"/>
      <c r="E10901" s="487"/>
      <c r="F10901" s="489">
        <f>SUM(F10897:F10900)</f>
        <v>3187452.4</v>
      </c>
      <c r="G10901" s="81"/>
      <c r="H10901" s="81"/>
      <c r="I10901" s="81"/>
      <c r="J10901" s="81"/>
      <c r="K10901" s="81"/>
      <c r="L10901" s="81"/>
      <c r="M10901" s="81"/>
      <c r="N10901" s="81"/>
    </row>
    <row r="10902" spans="1:14" ht="14.25" customHeight="1" x14ac:dyDescent="0.25">
      <c r="A10902" s="198"/>
      <c r="B10902" s="231"/>
      <c r="C10902" s="223"/>
      <c r="D10902" s="223"/>
      <c r="E10902" s="223"/>
      <c r="F10902" s="223"/>
      <c r="G10902" s="81"/>
      <c r="H10902" s="81"/>
      <c r="I10902" s="81"/>
      <c r="J10902" s="81"/>
      <c r="K10902" s="81"/>
      <c r="L10902" s="81"/>
      <c r="M10902" s="81"/>
      <c r="N10902" s="81"/>
    </row>
    <row r="10903" spans="1:14" ht="14.25" customHeight="1" x14ac:dyDescent="0.25">
      <c r="A10903" s="197" t="s">
        <v>583</v>
      </c>
      <c r="B10903" s="198"/>
      <c r="C10903" s="193"/>
      <c r="D10903" s="193"/>
      <c r="E10903" s="193" t="s">
        <v>584</v>
      </c>
      <c r="F10903" s="193"/>
      <c r="G10903" s="81"/>
      <c r="H10903" s="81"/>
      <c r="I10903" s="81"/>
      <c r="J10903" s="81"/>
      <c r="K10903" s="81"/>
      <c r="L10903" s="81"/>
      <c r="M10903" s="81"/>
      <c r="N10903" s="81"/>
    </row>
    <row r="10904" spans="1:14" ht="14.25" customHeight="1" x14ac:dyDescent="0.25">
      <c r="A10904" s="199" t="s">
        <v>563</v>
      </c>
      <c r="B10904" s="474" t="s">
        <v>564</v>
      </c>
      <c r="C10904" s="474" t="s">
        <v>585</v>
      </c>
      <c r="D10904" s="474" t="s">
        <v>586</v>
      </c>
      <c r="E10904" s="492" t="s">
        <v>587</v>
      </c>
      <c r="F10904" s="474" t="s">
        <v>568</v>
      </c>
      <c r="G10904" s="81"/>
      <c r="H10904" s="81"/>
      <c r="I10904" s="81"/>
      <c r="J10904" s="81"/>
      <c r="K10904" s="81"/>
      <c r="L10904" s="81"/>
      <c r="M10904" s="81"/>
      <c r="N10904" s="81"/>
    </row>
    <row r="10905" spans="1:14" ht="14.25" customHeight="1" x14ac:dyDescent="0.25">
      <c r="A10905" s="480"/>
      <c r="B10905" s="476"/>
      <c r="C10905" s="477"/>
      <c r="D10905" s="498"/>
      <c r="E10905" s="484"/>
      <c r="F10905" s="486">
        <f>+C10905*D10905*E10905</f>
        <v>0</v>
      </c>
      <c r="G10905" s="81"/>
      <c r="H10905" s="81"/>
      <c r="I10905" s="81"/>
      <c r="J10905" s="81"/>
      <c r="K10905" s="81"/>
      <c r="L10905" s="81"/>
      <c r="M10905" s="81"/>
      <c r="N10905" s="81"/>
    </row>
    <row r="10906" spans="1:14" ht="14.25" customHeight="1" x14ac:dyDescent="0.25">
      <c r="A10906" s="480"/>
      <c r="B10906" s="476"/>
      <c r="C10906" s="484"/>
      <c r="D10906" s="484"/>
      <c r="E10906" s="485"/>
      <c r="F10906" s="486"/>
      <c r="G10906" s="81"/>
      <c r="H10906" s="81"/>
      <c r="I10906" s="81"/>
      <c r="J10906" s="81"/>
      <c r="K10906" s="81"/>
      <c r="L10906" s="81"/>
      <c r="M10906" s="81"/>
      <c r="N10906" s="81"/>
    </row>
    <row r="10907" spans="1:14" ht="14.25" customHeight="1" x14ac:dyDescent="0.25">
      <c r="A10907" s="199" t="s">
        <v>548</v>
      </c>
      <c r="B10907" s="474"/>
      <c r="C10907" s="487"/>
      <c r="D10907" s="487"/>
      <c r="E10907" s="488"/>
      <c r="F10907" s="489">
        <f>SUM(F10905:F10906)</f>
        <v>0</v>
      </c>
      <c r="G10907" s="81"/>
      <c r="H10907" s="81"/>
      <c r="I10907" s="81"/>
      <c r="J10907" s="81"/>
      <c r="K10907" s="81"/>
      <c r="L10907" s="81"/>
      <c r="M10907" s="81"/>
      <c r="N10907" s="81"/>
    </row>
    <row r="10908" spans="1:14" ht="14.25" customHeight="1" x14ac:dyDescent="0.25">
      <c r="A10908" s="192"/>
      <c r="B10908" s="194"/>
      <c r="C10908" s="215"/>
      <c r="D10908" s="215"/>
      <c r="E10908" s="216"/>
      <c r="F10908" s="215"/>
      <c r="G10908" s="81"/>
      <c r="H10908" s="81"/>
      <c r="I10908" s="81"/>
      <c r="J10908" s="81"/>
      <c r="K10908" s="81"/>
      <c r="L10908" s="81"/>
      <c r="M10908" s="81"/>
      <c r="N10908" s="81"/>
    </row>
    <row r="10909" spans="1:14" ht="14.25" customHeight="1" x14ac:dyDescent="0.25">
      <c r="A10909" s="192"/>
      <c r="B10909" s="194"/>
      <c r="C10909" s="215"/>
      <c r="D10909" s="215"/>
      <c r="E10909" s="216"/>
      <c r="F10909" s="215"/>
      <c r="G10909" s="81"/>
      <c r="H10909" s="81"/>
      <c r="I10909" s="81"/>
      <c r="J10909" s="81"/>
      <c r="K10909" s="81"/>
      <c r="L10909" s="81"/>
      <c r="M10909" s="81"/>
      <c r="N10909" s="81"/>
    </row>
    <row r="10910" spans="1:14" ht="14.25" customHeight="1" x14ac:dyDescent="0.25">
      <c r="A10910" s="590" t="s">
        <v>588</v>
      </c>
      <c r="B10910" s="586"/>
      <c r="C10910" s="586"/>
      <c r="D10910" s="586"/>
      <c r="E10910" s="587"/>
      <c r="F10910" s="499">
        <f>ROUND(F10884+F10893+F10901+F10907,0)</f>
        <v>44457910</v>
      </c>
      <c r="G10910" s="81"/>
      <c r="H10910" s="81"/>
      <c r="I10910" s="81"/>
      <c r="J10910" s="81"/>
      <c r="K10910" s="81"/>
      <c r="L10910" s="81"/>
      <c r="M10910" s="81"/>
      <c r="N10910" s="81"/>
    </row>
    <row r="10911" spans="1:14" ht="14.25" customHeight="1" x14ac:dyDescent="0.25">
      <c r="A10911" s="590" t="s">
        <v>589</v>
      </c>
      <c r="B10911" s="586"/>
      <c r="C10911" s="586"/>
      <c r="D10911" s="586"/>
      <c r="E10911" s="587"/>
      <c r="F10911" s="500"/>
      <c r="G10911" s="81"/>
      <c r="H10911" s="81"/>
      <c r="I10911" s="81"/>
      <c r="J10911" s="81"/>
      <c r="K10911" s="81"/>
      <c r="L10911" s="81"/>
      <c r="M10911" s="81"/>
      <c r="N10911" s="81"/>
    </row>
    <row r="10912" spans="1:14" ht="35.25" customHeight="1" x14ac:dyDescent="0.25">
      <c r="A10912" s="300" t="s">
        <v>556</v>
      </c>
      <c r="B10912" s="506"/>
      <c r="C10912" s="506"/>
      <c r="D10912" s="506"/>
      <c r="E10912" s="507"/>
      <c r="F10912" s="501"/>
      <c r="G10912" s="81"/>
      <c r="H10912" s="81"/>
      <c r="I10912" s="81"/>
      <c r="J10912" s="81"/>
      <c r="K10912" s="81"/>
      <c r="L10912" s="81"/>
      <c r="M10912" s="81"/>
      <c r="N10912" s="81"/>
    </row>
    <row r="10913" spans="1:14" ht="14.25" customHeight="1" x14ac:dyDescent="0.25">
      <c r="A10913" s="301"/>
      <c r="B10913" s="502"/>
      <c r="C10913" s="502"/>
      <c r="D10913" s="502"/>
      <c r="E10913" s="502"/>
      <c r="F10913" s="503"/>
      <c r="G10913" s="81"/>
      <c r="H10913" s="81"/>
      <c r="I10913" s="81"/>
      <c r="J10913" s="81"/>
      <c r="K10913" s="81"/>
      <c r="L10913" s="81"/>
      <c r="M10913" s="81"/>
      <c r="N10913" s="81"/>
    </row>
    <row r="10914" spans="1:14" ht="14.25" customHeight="1" x14ac:dyDescent="0.25">
      <c r="A10914" s="301"/>
      <c r="B10914" s="502"/>
      <c r="C10914" s="502"/>
      <c r="D10914" s="502"/>
      <c r="E10914" s="502"/>
      <c r="F10914" s="503"/>
      <c r="G10914" s="81"/>
      <c r="H10914" s="81"/>
      <c r="I10914" s="81"/>
      <c r="J10914" s="81"/>
      <c r="K10914" s="81"/>
      <c r="L10914" s="81"/>
      <c r="M10914" s="81"/>
      <c r="N10914" s="81"/>
    </row>
    <row r="10915" spans="1:14" ht="14.25" customHeight="1" x14ac:dyDescent="0.25">
      <c r="A10915" s="301"/>
      <c r="B10915" s="502"/>
      <c r="C10915" s="502"/>
      <c r="D10915" s="502"/>
      <c r="E10915" s="502"/>
      <c r="F10915" s="503"/>
      <c r="G10915" s="81"/>
      <c r="H10915" s="81"/>
      <c r="I10915" s="81"/>
      <c r="J10915" s="81"/>
      <c r="K10915" s="81"/>
      <c r="L10915" s="81"/>
      <c r="M10915" s="81"/>
      <c r="N10915" s="81"/>
    </row>
    <row r="10916" spans="1:14" ht="14.25" customHeight="1" x14ac:dyDescent="0.25">
      <c r="A10916" s="243"/>
      <c r="B10916" s="243"/>
      <c r="C10916" s="504"/>
      <c r="D10916" s="243"/>
      <c r="E10916" s="243"/>
      <c r="F10916" s="243"/>
      <c r="G10916" s="81"/>
      <c r="H10916" s="81"/>
      <c r="I10916" s="81"/>
      <c r="J10916" s="81"/>
      <c r="K10916" s="81"/>
      <c r="L10916" s="81"/>
      <c r="M10916" s="81"/>
      <c r="N10916" s="81"/>
    </row>
    <row r="10917" spans="1:14" ht="14.25" customHeight="1" x14ac:dyDescent="0.25">
      <c r="A10917" s="243"/>
      <c r="B10917" s="243"/>
      <c r="C10917" s="504"/>
      <c r="D10917" s="243"/>
      <c r="E10917" s="243"/>
      <c r="F10917" s="243"/>
      <c r="G10917" s="81"/>
      <c r="H10917" s="81"/>
      <c r="I10917" s="81"/>
      <c r="J10917" s="81"/>
      <c r="K10917" s="81"/>
      <c r="L10917" s="81"/>
      <c r="M10917" s="81"/>
      <c r="N10917" s="81"/>
    </row>
    <row r="10918" spans="1:14" ht="15.75" x14ac:dyDescent="0.25">
      <c r="A10918" s="243"/>
      <c r="B10918" s="243"/>
      <c r="C10918" s="504"/>
      <c r="D10918" s="243"/>
      <c r="E10918" s="243"/>
      <c r="F10918" s="243"/>
      <c r="G10918" s="81"/>
      <c r="H10918" s="81"/>
      <c r="I10918" s="81"/>
      <c r="J10918" s="81"/>
      <c r="K10918" s="81"/>
      <c r="L10918" s="81"/>
      <c r="M10918" s="81"/>
      <c r="N10918" s="81"/>
    </row>
    <row r="10919" spans="1:14" ht="15.75" x14ac:dyDescent="0.25">
      <c r="A10919" s="243"/>
      <c r="B10919" s="243"/>
      <c r="C10919" s="504"/>
      <c r="D10919" s="243"/>
      <c r="E10919" s="243"/>
      <c r="F10919" s="243"/>
      <c r="G10919" s="81"/>
      <c r="H10919" s="81"/>
      <c r="I10919" s="81"/>
      <c r="J10919" s="81"/>
      <c r="K10919" s="81"/>
      <c r="L10919" s="81"/>
      <c r="M10919" s="81"/>
      <c r="N10919" s="81"/>
    </row>
    <row r="10920" spans="1:14" ht="15.75" x14ac:dyDescent="0.25">
      <c r="A10920" s="243"/>
      <c r="B10920" s="243"/>
      <c r="C10920" s="504"/>
      <c r="D10920" s="243"/>
      <c r="E10920" s="243"/>
      <c r="F10920" s="243"/>
      <c r="G10920" s="81"/>
      <c r="H10920" s="81"/>
      <c r="I10920" s="81"/>
      <c r="J10920" s="81"/>
      <c r="K10920" s="81"/>
      <c r="L10920" s="81"/>
      <c r="M10920" s="81"/>
      <c r="N10920" s="81"/>
    </row>
    <row r="10921" spans="1:14" ht="15.75" x14ac:dyDescent="0.25">
      <c r="A10921" s="243"/>
      <c r="B10921" s="243"/>
      <c r="C10921" s="504"/>
      <c r="D10921" s="243"/>
      <c r="E10921" s="243"/>
      <c r="F10921" s="243"/>
      <c r="G10921" s="81"/>
      <c r="H10921" s="81"/>
      <c r="I10921" s="81"/>
      <c r="J10921" s="81"/>
      <c r="K10921" s="81"/>
      <c r="L10921" s="81"/>
      <c r="M10921" s="81"/>
      <c r="N10921" s="81"/>
    </row>
    <row r="10922" spans="1:14" ht="15.75" x14ac:dyDescent="0.25">
      <c r="A10922" s="243"/>
      <c r="B10922" s="243"/>
      <c r="C10922" s="504"/>
      <c r="D10922" s="243"/>
      <c r="E10922" s="243"/>
      <c r="F10922" s="243"/>
      <c r="G10922" s="81"/>
      <c r="H10922" s="81"/>
      <c r="I10922" s="81"/>
      <c r="J10922" s="81"/>
      <c r="K10922" s="81"/>
      <c r="L10922" s="81"/>
      <c r="M10922" s="81"/>
      <c r="N10922" s="81"/>
    </row>
    <row r="10923" spans="1:14" ht="15.75" x14ac:dyDescent="0.25">
      <c r="A10923" s="243"/>
      <c r="B10923" s="243"/>
      <c r="C10923" s="504"/>
      <c r="D10923" s="243"/>
      <c r="E10923" s="243"/>
      <c r="F10923" s="243"/>
      <c r="G10923" s="81"/>
      <c r="H10923" s="81"/>
      <c r="I10923" s="81"/>
      <c r="J10923" s="81"/>
      <c r="K10923" s="81"/>
      <c r="L10923" s="81"/>
      <c r="M10923" s="81"/>
      <c r="N10923" s="81"/>
    </row>
    <row r="10924" spans="1:14" ht="15.75" x14ac:dyDescent="0.25">
      <c r="A10924" s="243"/>
      <c r="B10924" s="243"/>
      <c r="C10924" s="504"/>
      <c r="D10924" s="243"/>
      <c r="E10924" s="243"/>
      <c r="F10924" s="243"/>
      <c r="G10924" s="81"/>
      <c r="H10924" s="81"/>
      <c r="I10924" s="81"/>
      <c r="J10924" s="81"/>
      <c r="K10924" s="81"/>
      <c r="L10924" s="81"/>
      <c r="M10924" s="81"/>
      <c r="N10924" s="81"/>
    </row>
    <row r="10925" spans="1:14" ht="16.5" thickBot="1" x14ac:dyDescent="0.3">
      <c r="A10925" s="243"/>
      <c r="B10925" s="243"/>
      <c r="C10925" s="504"/>
      <c r="D10925" s="243"/>
      <c r="E10925" s="243"/>
      <c r="F10925" s="243"/>
      <c r="G10925" s="81"/>
      <c r="H10925" s="81"/>
      <c r="I10925" s="81"/>
      <c r="J10925" s="81"/>
      <c r="K10925" s="81"/>
      <c r="L10925" s="81"/>
      <c r="M10925" s="81"/>
      <c r="N10925" s="81"/>
    </row>
    <row r="10926" spans="1:14" ht="15.75" x14ac:dyDescent="0.25">
      <c r="A10926" s="258"/>
      <c r="B10926" s="259"/>
      <c r="C10926" s="260"/>
      <c r="D10926" s="261"/>
      <c r="E10926" s="261"/>
      <c r="F10926" s="262"/>
      <c r="G10926" s="81"/>
      <c r="H10926" s="81"/>
      <c r="I10926" s="81"/>
      <c r="J10926" s="81"/>
      <c r="K10926" s="81"/>
      <c r="L10926" s="81"/>
      <c r="M10926" s="81"/>
      <c r="N10926" s="81"/>
    </row>
    <row r="10927" spans="1:14" ht="15.75" x14ac:dyDescent="0.25">
      <c r="A10927" s="621"/>
      <c r="B10927" s="629"/>
      <c r="C10927" s="629"/>
      <c r="D10927" s="629"/>
      <c r="E10927" s="629"/>
      <c r="F10927" s="630"/>
      <c r="G10927" s="81"/>
      <c r="H10927" s="81"/>
      <c r="I10927" s="81"/>
      <c r="J10927" s="81"/>
      <c r="K10927" s="81"/>
      <c r="L10927" s="81"/>
      <c r="M10927" s="81"/>
      <c r="N10927" s="81"/>
    </row>
    <row r="10928" spans="1:14" ht="15.75" x14ac:dyDescent="0.25">
      <c r="A10928" s="614" t="s">
        <v>561</v>
      </c>
      <c r="B10928" s="629"/>
      <c r="C10928" s="629"/>
      <c r="D10928" s="629"/>
      <c r="E10928" s="629"/>
      <c r="F10928" s="630"/>
      <c r="G10928" s="81"/>
      <c r="H10928" s="81"/>
      <c r="I10928" s="81"/>
      <c r="J10928" s="81"/>
      <c r="K10928" s="81"/>
      <c r="L10928" s="81"/>
      <c r="M10928" s="81"/>
      <c r="N10928" s="81"/>
    </row>
    <row r="10929" spans="1:14" ht="16.5" thickBot="1" x14ac:dyDescent="0.3">
      <c r="A10929" s="617"/>
      <c r="B10929" s="631"/>
      <c r="C10929" s="631"/>
      <c r="D10929" s="631"/>
      <c r="E10929" s="631"/>
      <c r="F10929" s="632"/>
      <c r="G10929" s="81"/>
      <c r="H10929" s="81"/>
      <c r="I10929" s="81"/>
      <c r="J10929" s="81"/>
      <c r="K10929" s="81"/>
      <c r="L10929" s="81"/>
      <c r="M10929" s="81"/>
      <c r="N10929" s="81"/>
    </row>
    <row r="10930" spans="1:14" ht="15.75" x14ac:dyDescent="0.25">
      <c r="A10930" s="192"/>
      <c r="B10930" s="192"/>
      <c r="C10930" s="194"/>
      <c r="D10930" s="194"/>
      <c r="E10930" s="194"/>
      <c r="F10930" s="194"/>
      <c r="G10930" s="81"/>
      <c r="H10930" s="81"/>
      <c r="I10930" s="81"/>
      <c r="J10930" s="81"/>
      <c r="K10930" s="81"/>
      <c r="L10930" s="81"/>
      <c r="M10930" s="81"/>
      <c r="N10930" s="81"/>
    </row>
    <row r="10931" spans="1:14" ht="14.25" customHeight="1" x14ac:dyDescent="0.25">
      <c r="A10931" s="473" t="s">
        <v>47</v>
      </c>
      <c r="B10931" s="620" t="s">
        <v>1207</v>
      </c>
      <c r="C10931" s="629"/>
      <c r="D10931" s="629"/>
      <c r="E10931" s="629"/>
      <c r="F10931" s="629"/>
      <c r="G10931" s="81"/>
      <c r="H10931" s="81"/>
      <c r="I10931" s="81"/>
      <c r="J10931" s="81"/>
      <c r="K10931" s="81"/>
      <c r="L10931" s="81"/>
      <c r="M10931" s="81"/>
      <c r="N10931" s="81"/>
    </row>
    <row r="10932" spans="1:14" ht="14.25" customHeight="1" x14ac:dyDescent="0.25">
      <c r="A10932" s="191"/>
      <c r="B10932" s="191"/>
      <c r="C10932" s="191"/>
      <c r="D10932" s="191"/>
      <c r="E10932" s="191"/>
      <c r="F10932" s="191"/>
      <c r="G10932" s="81"/>
      <c r="H10932" s="81"/>
      <c r="I10932" s="81"/>
      <c r="J10932" s="81"/>
      <c r="K10932" s="81"/>
      <c r="L10932" s="81"/>
      <c r="M10932" s="81"/>
      <c r="N10932" s="81"/>
    </row>
    <row r="10933" spans="1:14" ht="14.25" customHeight="1" x14ac:dyDescent="0.25">
      <c r="A10933" s="192" t="s">
        <v>49</v>
      </c>
      <c r="B10933" s="193" t="s">
        <v>99</v>
      </c>
      <c r="C10933" s="194"/>
      <c r="D10933" s="194"/>
      <c r="E10933" s="194"/>
      <c r="F10933" s="195"/>
      <c r="G10933" s="81"/>
      <c r="H10933" s="81"/>
      <c r="I10933" s="81"/>
      <c r="J10933" s="81"/>
      <c r="K10933" s="81"/>
      <c r="L10933" s="81"/>
      <c r="M10933" s="81"/>
      <c r="N10933" s="81"/>
    </row>
    <row r="10934" spans="1:14" ht="14.25" customHeight="1" x14ac:dyDescent="0.25">
      <c r="A10934" s="192"/>
      <c r="B10934" s="196"/>
      <c r="C10934" s="194"/>
      <c r="D10934" s="194"/>
      <c r="E10934" s="194"/>
      <c r="F10934" s="195"/>
      <c r="G10934" s="81"/>
      <c r="H10934" s="81"/>
      <c r="I10934" s="81"/>
      <c r="J10934" s="81"/>
      <c r="K10934" s="81"/>
      <c r="L10934" s="81"/>
      <c r="M10934" s="81"/>
      <c r="N10934" s="81"/>
    </row>
    <row r="10935" spans="1:14" ht="14.25" customHeight="1" x14ac:dyDescent="0.25">
      <c r="A10935" s="197" t="s">
        <v>562</v>
      </c>
      <c r="B10935" s="198"/>
      <c r="C10935" s="193"/>
      <c r="D10935" s="193"/>
      <c r="E10935" s="193"/>
      <c r="F10935" s="193"/>
      <c r="G10935" s="81"/>
      <c r="H10935" s="81"/>
      <c r="I10935" s="81"/>
      <c r="J10935" s="81"/>
      <c r="K10935" s="81"/>
      <c r="L10935" s="81"/>
      <c r="M10935" s="81"/>
      <c r="N10935" s="81"/>
    </row>
    <row r="10936" spans="1:14" ht="14.25" customHeight="1" x14ac:dyDescent="0.25">
      <c r="A10936" s="199" t="s">
        <v>563</v>
      </c>
      <c r="B10936" s="474" t="s">
        <v>564</v>
      </c>
      <c r="C10936" s="474" t="s">
        <v>565</v>
      </c>
      <c r="D10936" s="474" t="s">
        <v>566</v>
      </c>
      <c r="E10936" s="474" t="s">
        <v>567</v>
      </c>
      <c r="F10936" s="474" t="s">
        <v>568</v>
      </c>
      <c r="G10936" s="81"/>
      <c r="H10936" s="81"/>
      <c r="I10936" s="81"/>
      <c r="J10936" s="81"/>
      <c r="K10936" s="81"/>
      <c r="L10936" s="81"/>
      <c r="M10936" s="81"/>
      <c r="N10936" s="81"/>
    </row>
    <row r="10937" spans="1:14" ht="14.25" customHeight="1" x14ac:dyDescent="0.25">
      <c r="A10937" s="475" t="s">
        <v>1207</v>
      </c>
      <c r="B10937" s="476" t="s">
        <v>99</v>
      </c>
      <c r="C10937" s="477">
        <v>4082897</v>
      </c>
      <c r="D10937" s="478">
        <v>1</v>
      </c>
      <c r="E10937" s="479"/>
      <c r="F10937" s="477">
        <f t="shared" ref="F10937:F10939" si="540">C10937*(D10937+(D10937*E10937))</f>
        <v>4082897</v>
      </c>
      <c r="G10937" s="81"/>
      <c r="H10937" s="81"/>
      <c r="I10937" s="81"/>
      <c r="J10937" s="81"/>
      <c r="K10937" s="81"/>
      <c r="L10937" s="81"/>
      <c r="M10937" s="81"/>
      <c r="N10937" s="81"/>
    </row>
    <row r="10938" spans="1:14" ht="14.25" customHeight="1" x14ac:dyDescent="0.25">
      <c r="A10938" s="475"/>
      <c r="B10938" s="476"/>
      <c r="C10938" s="477"/>
      <c r="D10938" s="481"/>
      <c r="E10938" s="479"/>
      <c r="F10938" s="477">
        <f t="shared" si="540"/>
        <v>0</v>
      </c>
      <c r="G10938" s="81"/>
      <c r="H10938" s="81"/>
      <c r="I10938" s="81"/>
      <c r="J10938" s="81"/>
      <c r="K10938" s="81"/>
      <c r="L10938" s="81"/>
      <c r="M10938" s="81"/>
      <c r="N10938" s="81"/>
    </row>
    <row r="10939" spans="1:14" ht="14.25" customHeight="1" x14ac:dyDescent="0.25">
      <c r="A10939" s="475"/>
      <c r="B10939" s="476"/>
      <c r="C10939" s="477"/>
      <c r="D10939" s="481"/>
      <c r="E10939" s="479"/>
      <c r="F10939" s="477">
        <f t="shared" si="540"/>
        <v>0</v>
      </c>
      <c r="G10939" s="81"/>
      <c r="H10939" s="81"/>
      <c r="I10939" s="81"/>
      <c r="J10939" s="81"/>
      <c r="K10939" s="81"/>
      <c r="L10939" s="81"/>
      <c r="M10939" s="81"/>
      <c r="N10939" s="81"/>
    </row>
    <row r="10940" spans="1:14" ht="14.25" customHeight="1" x14ac:dyDescent="0.25">
      <c r="A10940" s="475"/>
      <c r="B10940" s="476"/>
      <c r="C10940" s="477"/>
      <c r="D10940" s="478"/>
      <c r="E10940" s="479"/>
      <c r="F10940" s="477"/>
      <c r="G10940" s="81"/>
      <c r="H10940" s="81"/>
      <c r="I10940" s="81"/>
      <c r="J10940" s="81"/>
      <c r="K10940" s="81"/>
      <c r="L10940" s="81"/>
      <c r="M10940" s="81"/>
      <c r="N10940" s="81"/>
    </row>
    <row r="10941" spans="1:14" ht="14.25" customHeight="1" x14ac:dyDescent="0.25">
      <c r="A10941" s="475"/>
      <c r="B10941" s="476"/>
      <c r="C10941" s="477"/>
      <c r="D10941" s="478"/>
      <c r="E10941" s="479"/>
      <c r="F10941" s="477"/>
      <c r="G10941" s="81"/>
      <c r="H10941" s="81"/>
      <c r="I10941" s="81"/>
      <c r="J10941" s="81"/>
      <c r="K10941" s="81"/>
      <c r="L10941" s="81"/>
      <c r="M10941" s="81"/>
      <c r="N10941" s="81"/>
    </row>
    <row r="10942" spans="1:14" ht="15.75" x14ac:dyDescent="0.25">
      <c r="A10942" s="475"/>
      <c r="B10942" s="476"/>
      <c r="C10942" s="477"/>
      <c r="D10942" s="478"/>
      <c r="E10942" s="479"/>
      <c r="F10942" s="477"/>
      <c r="G10942" s="81"/>
      <c r="H10942" s="81"/>
      <c r="I10942" s="81"/>
      <c r="J10942" s="81"/>
      <c r="K10942" s="81"/>
      <c r="L10942" s="81"/>
      <c r="M10942" s="81"/>
      <c r="N10942" s="81"/>
    </row>
    <row r="10943" spans="1:14" ht="14.25" customHeight="1" x14ac:dyDescent="0.25">
      <c r="A10943" s="475"/>
      <c r="B10943" s="476"/>
      <c r="C10943" s="483"/>
      <c r="D10943" s="484"/>
      <c r="E10943" s="485"/>
      <c r="F10943" s="483"/>
      <c r="G10943" s="81"/>
      <c r="H10943" s="81"/>
      <c r="I10943" s="81"/>
      <c r="J10943" s="81"/>
      <c r="K10943" s="81"/>
      <c r="L10943" s="81"/>
      <c r="M10943" s="81"/>
      <c r="N10943" s="81"/>
    </row>
    <row r="10944" spans="1:14" ht="14.25" customHeight="1" x14ac:dyDescent="0.25">
      <c r="A10944" s="199" t="s">
        <v>548</v>
      </c>
      <c r="B10944" s="199"/>
      <c r="C10944" s="486"/>
      <c r="D10944" s="487"/>
      <c r="E10944" s="488"/>
      <c r="F10944" s="489">
        <f>SUM(F10937:F10943)</f>
        <v>4082897</v>
      </c>
      <c r="G10944" s="81"/>
      <c r="H10944" s="81"/>
      <c r="I10944" s="81"/>
      <c r="J10944" s="81"/>
      <c r="K10944" s="81"/>
      <c r="L10944" s="81"/>
      <c r="M10944" s="81"/>
      <c r="N10944" s="81"/>
    </row>
    <row r="10945" spans="1:14" ht="14.25" customHeight="1" x14ac:dyDescent="0.25">
      <c r="A10945" s="192"/>
      <c r="B10945" s="192"/>
      <c r="C10945" s="215"/>
      <c r="D10945" s="215"/>
      <c r="E10945" s="216"/>
      <c r="F10945" s="215"/>
      <c r="G10945" s="81"/>
      <c r="H10945" s="81"/>
      <c r="I10945" s="81"/>
      <c r="J10945" s="81"/>
      <c r="K10945" s="81"/>
      <c r="L10945" s="81"/>
      <c r="M10945" s="81"/>
      <c r="N10945" s="81"/>
    </row>
    <row r="10946" spans="1:14" ht="14.25" customHeight="1" x14ac:dyDescent="0.25">
      <c r="A10946" s="198" t="s">
        <v>573</v>
      </c>
      <c r="B10946" s="198"/>
      <c r="C10946" s="193"/>
      <c r="D10946" s="193"/>
      <c r="E10946" s="193"/>
      <c r="F10946" s="193"/>
      <c r="G10946" s="81"/>
      <c r="H10946" s="81"/>
      <c r="I10946" s="81"/>
      <c r="J10946" s="81"/>
      <c r="K10946" s="81"/>
      <c r="L10946" s="81"/>
      <c r="M10946" s="81"/>
      <c r="N10946" s="81"/>
    </row>
    <row r="10947" spans="1:14" ht="14.25" customHeight="1" x14ac:dyDescent="0.25">
      <c r="A10947" s="585" t="s">
        <v>563</v>
      </c>
      <c r="B10947" s="586"/>
      <c r="C10947" s="587"/>
      <c r="D10947" s="474" t="s">
        <v>574</v>
      </c>
      <c r="E10947" s="474" t="s">
        <v>575</v>
      </c>
      <c r="F10947" s="474" t="s">
        <v>568</v>
      </c>
      <c r="G10947" s="81"/>
      <c r="H10947" s="81"/>
      <c r="I10947" s="81"/>
      <c r="J10947" s="81"/>
      <c r="K10947" s="81"/>
      <c r="L10947" s="81"/>
      <c r="M10947" s="81"/>
      <c r="N10947" s="81"/>
    </row>
    <row r="10948" spans="1:14" ht="14.25" customHeight="1" x14ac:dyDescent="0.25">
      <c r="A10948" s="588" t="s">
        <v>577</v>
      </c>
      <c r="B10948" s="586"/>
      <c r="C10948" s="587"/>
      <c r="D10948" s="490"/>
      <c r="E10948" s="484"/>
      <c r="F10948" s="483">
        <f>+F10961*5%</f>
        <v>26562.103333333333</v>
      </c>
      <c r="G10948" s="81"/>
      <c r="H10948" s="81"/>
      <c r="I10948" s="81"/>
      <c r="J10948" s="81"/>
      <c r="K10948" s="81"/>
      <c r="L10948" s="81"/>
      <c r="M10948" s="81"/>
      <c r="N10948" s="81"/>
    </row>
    <row r="10949" spans="1:14" ht="14.25" customHeight="1" x14ac:dyDescent="0.25">
      <c r="A10949" s="588"/>
      <c r="B10949" s="586"/>
      <c r="C10949" s="587"/>
      <c r="D10949" s="505"/>
      <c r="E10949" s="484"/>
      <c r="F10949" s="483"/>
      <c r="G10949" s="81"/>
      <c r="H10949" s="81"/>
      <c r="I10949" s="81"/>
      <c r="J10949" s="81"/>
      <c r="K10949" s="81"/>
      <c r="L10949" s="81"/>
      <c r="M10949" s="81"/>
      <c r="N10949" s="81"/>
    </row>
    <row r="10950" spans="1:14" ht="14.25" customHeight="1" x14ac:dyDescent="0.25">
      <c r="A10950" s="588"/>
      <c r="B10950" s="586"/>
      <c r="C10950" s="587"/>
      <c r="D10950" s="505"/>
      <c r="E10950" s="484"/>
      <c r="F10950" s="483"/>
      <c r="G10950" s="81"/>
      <c r="H10950" s="81"/>
      <c r="I10950" s="81"/>
      <c r="J10950" s="81"/>
      <c r="K10950" s="81"/>
      <c r="L10950" s="81"/>
      <c r="M10950" s="81"/>
      <c r="N10950" s="81"/>
    </row>
    <row r="10951" spans="1:14" ht="14.25" customHeight="1" x14ac:dyDescent="0.25">
      <c r="A10951" s="588"/>
      <c r="B10951" s="586"/>
      <c r="C10951" s="587"/>
      <c r="D10951" s="505"/>
      <c r="E10951" s="484"/>
      <c r="F10951" s="483"/>
      <c r="G10951" s="81"/>
      <c r="H10951" s="81"/>
      <c r="I10951" s="81"/>
      <c r="J10951" s="81"/>
      <c r="K10951" s="81"/>
      <c r="L10951" s="81"/>
      <c r="M10951" s="81"/>
      <c r="N10951" s="81"/>
    </row>
    <row r="10952" spans="1:14" ht="14.25" customHeight="1" x14ac:dyDescent="0.25">
      <c r="A10952" s="589"/>
      <c r="B10952" s="586"/>
      <c r="C10952" s="587"/>
      <c r="D10952" s="491"/>
      <c r="E10952" s="484"/>
      <c r="F10952" s="483"/>
      <c r="G10952" s="81"/>
      <c r="H10952" s="81"/>
      <c r="I10952" s="81"/>
      <c r="J10952" s="81"/>
      <c r="K10952" s="81"/>
      <c r="L10952" s="81"/>
      <c r="M10952" s="81"/>
      <c r="N10952" s="81"/>
    </row>
    <row r="10953" spans="1:14" ht="14.25" customHeight="1" x14ac:dyDescent="0.25">
      <c r="A10953" s="585" t="s">
        <v>548</v>
      </c>
      <c r="B10953" s="586"/>
      <c r="C10953" s="587"/>
      <c r="D10953" s="487"/>
      <c r="E10953" s="487"/>
      <c r="F10953" s="489">
        <f>SUM(F10948:F10952)</f>
        <v>26562.103333333333</v>
      </c>
      <c r="G10953" s="81"/>
      <c r="H10953" s="81"/>
      <c r="I10953" s="81"/>
      <c r="J10953" s="81"/>
      <c r="K10953" s="81"/>
      <c r="L10953" s="81"/>
      <c r="M10953" s="81"/>
      <c r="N10953" s="81"/>
    </row>
    <row r="10954" spans="1:14" ht="14.25" customHeight="1" x14ac:dyDescent="0.25">
      <c r="A10954" s="192"/>
      <c r="B10954" s="192"/>
      <c r="C10954" s="194"/>
      <c r="D10954" s="215"/>
      <c r="E10954" s="215"/>
      <c r="F10954" s="215"/>
      <c r="G10954" s="81"/>
      <c r="H10954" s="81"/>
      <c r="I10954" s="81"/>
      <c r="J10954" s="81"/>
      <c r="K10954" s="81"/>
      <c r="L10954" s="81"/>
      <c r="M10954" s="81"/>
      <c r="N10954" s="81"/>
    </row>
    <row r="10955" spans="1:14" ht="14.25" customHeight="1" x14ac:dyDescent="0.25">
      <c r="A10955" s="198" t="s">
        <v>578</v>
      </c>
      <c r="B10955" s="198"/>
      <c r="C10955" s="193"/>
      <c r="D10955" s="223"/>
      <c r="E10955" s="223"/>
      <c r="F10955" s="223"/>
      <c r="G10955" s="81"/>
      <c r="H10955" s="81"/>
      <c r="I10955" s="81"/>
      <c r="J10955" s="81"/>
      <c r="K10955" s="81"/>
      <c r="L10955" s="81"/>
      <c r="M10955" s="81"/>
      <c r="N10955" s="81"/>
    </row>
    <row r="10956" spans="1:14" ht="14.25" customHeight="1" x14ac:dyDescent="0.25">
      <c r="A10956" s="224" t="s">
        <v>563</v>
      </c>
      <c r="B10956" s="492" t="s">
        <v>579</v>
      </c>
      <c r="C10956" s="492" t="s">
        <v>580</v>
      </c>
      <c r="D10956" s="493" t="s">
        <v>581</v>
      </c>
      <c r="E10956" s="493" t="s">
        <v>575</v>
      </c>
      <c r="F10956" s="493" t="s">
        <v>568</v>
      </c>
      <c r="G10956" s="81"/>
      <c r="H10956" s="117"/>
      <c r="I10956" s="81"/>
      <c r="J10956" s="81"/>
      <c r="K10956" s="81"/>
      <c r="L10956" s="81"/>
      <c r="M10956" s="81"/>
      <c r="N10956" s="81"/>
    </row>
    <row r="10957" spans="1:14" ht="14.25" customHeight="1" x14ac:dyDescent="0.25">
      <c r="A10957" s="494" t="s">
        <v>916</v>
      </c>
      <c r="B10957" s="495">
        <v>1</v>
      </c>
      <c r="C10957" s="477">
        <v>35956.800000000003</v>
      </c>
      <c r="D10957" s="477">
        <f t="shared" ref="D10957:D10958" si="541">+C10957*1.7</f>
        <v>61126.560000000005</v>
      </c>
      <c r="E10957" s="484">
        <v>0.3</v>
      </c>
      <c r="F10957" s="483">
        <f t="shared" ref="F10957:F10958" si="542">+B10957*(D10957)/E10957</f>
        <v>203755.2</v>
      </c>
      <c r="G10957" s="81"/>
      <c r="H10957" s="81"/>
      <c r="I10957" s="81"/>
      <c r="J10957" s="81"/>
      <c r="K10957" s="81"/>
      <c r="L10957" s="81"/>
      <c r="M10957" s="81"/>
      <c r="N10957" s="81"/>
    </row>
    <row r="10958" spans="1:14" ht="14.25" customHeight="1" x14ac:dyDescent="0.25">
      <c r="A10958" s="494" t="s">
        <v>917</v>
      </c>
      <c r="B10958" s="495">
        <v>1</v>
      </c>
      <c r="C10958" s="477">
        <v>57791.8</v>
      </c>
      <c r="D10958" s="477">
        <f t="shared" si="541"/>
        <v>98246.06</v>
      </c>
      <c r="E10958" s="484">
        <f>E10957</f>
        <v>0.3</v>
      </c>
      <c r="F10958" s="483">
        <f t="shared" si="542"/>
        <v>327486.8666666667</v>
      </c>
      <c r="G10958" s="81"/>
      <c r="H10958" s="81"/>
      <c r="I10958" s="81"/>
      <c r="J10958" s="81"/>
      <c r="K10958" s="81"/>
      <c r="L10958" s="81"/>
      <c r="M10958" s="81"/>
      <c r="N10958" s="81"/>
    </row>
    <row r="10959" spans="1:14" ht="14.25" customHeight="1" x14ac:dyDescent="0.25">
      <c r="A10959" s="494"/>
      <c r="B10959" s="495"/>
      <c r="C10959" s="477"/>
      <c r="D10959" s="477"/>
      <c r="E10959" s="484"/>
      <c r="F10959" s="483"/>
      <c r="G10959" s="81"/>
      <c r="H10959" s="81"/>
      <c r="I10959" s="81"/>
      <c r="J10959" s="81"/>
      <c r="K10959" s="81"/>
      <c r="L10959" s="81"/>
      <c r="M10959" s="81"/>
      <c r="N10959" s="81"/>
    </row>
    <row r="10960" spans="1:14" ht="14.25" customHeight="1" x14ac:dyDescent="0.25">
      <c r="A10960" s="494"/>
      <c r="B10960" s="495"/>
      <c r="C10960" s="477"/>
      <c r="D10960" s="477"/>
      <c r="E10960" s="496"/>
      <c r="F10960" s="483"/>
      <c r="G10960" s="81"/>
      <c r="H10960" s="81"/>
      <c r="I10960" s="81"/>
      <c r="J10960" s="81"/>
      <c r="K10960" s="81"/>
      <c r="L10960" s="81"/>
      <c r="M10960" s="81"/>
      <c r="N10960" s="81"/>
    </row>
    <row r="10961" spans="1:14" ht="14.25" customHeight="1" x14ac:dyDescent="0.25">
      <c r="A10961" s="199" t="s">
        <v>548</v>
      </c>
      <c r="B10961" s="497"/>
      <c r="C10961" s="487"/>
      <c r="D10961" s="487"/>
      <c r="E10961" s="487"/>
      <c r="F10961" s="489">
        <f>SUM(F10957:F10960)</f>
        <v>531242.06666666665</v>
      </c>
      <c r="G10961" s="81"/>
      <c r="H10961" s="81"/>
      <c r="I10961" s="81"/>
      <c r="J10961" s="81"/>
      <c r="K10961" s="81"/>
      <c r="L10961" s="81"/>
      <c r="M10961" s="81"/>
      <c r="N10961" s="81"/>
    </row>
    <row r="10962" spans="1:14" ht="14.25" customHeight="1" x14ac:dyDescent="0.25">
      <c r="A10962" s="198"/>
      <c r="B10962" s="231"/>
      <c r="C10962" s="223"/>
      <c r="D10962" s="223"/>
      <c r="E10962" s="223"/>
      <c r="F10962" s="223"/>
      <c r="G10962" s="81"/>
      <c r="H10962" s="81"/>
      <c r="I10962" s="81"/>
      <c r="J10962" s="81"/>
      <c r="K10962" s="81"/>
      <c r="L10962" s="81"/>
      <c r="M10962" s="81"/>
      <c r="N10962" s="81"/>
    </row>
    <row r="10963" spans="1:14" ht="14.25" customHeight="1" x14ac:dyDescent="0.25">
      <c r="A10963" s="197" t="s">
        <v>583</v>
      </c>
      <c r="B10963" s="198"/>
      <c r="C10963" s="193"/>
      <c r="D10963" s="193"/>
      <c r="E10963" s="193" t="s">
        <v>584</v>
      </c>
      <c r="F10963" s="193"/>
      <c r="G10963" s="81"/>
      <c r="H10963" s="81"/>
      <c r="I10963" s="81"/>
      <c r="J10963" s="81"/>
      <c r="K10963" s="81"/>
      <c r="L10963" s="81"/>
      <c r="M10963" s="81"/>
      <c r="N10963" s="81"/>
    </row>
    <row r="10964" spans="1:14" ht="14.25" customHeight="1" x14ac:dyDescent="0.25">
      <c r="A10964" s="199" t="s">
        <v>563</v>
      </c>
      <c r="B10964" s="474" t="s">
        <v>564</v>
      </c>
      <c r="C10964" s="474" t="s">
        <v>585</v>
      </c>
      <c r="D10964" s="474" t="s">
        <v>586</v>
      </c>
      <c r="E10964" s="492" t="s">
        <v>587</v>
      </c>
      <c r="F10964" s="474" t="s">
        <v>568</v>
      </c>
      <c r="G10964" s="81"/>
      <c r="H10964" s="81"/>
      <c r="I10964" s="81"/>
      <c r="J10964" s="81"/>
      <c r="K10964" s="81"/>
      <c r="L10964" s="81"/>
      <c r="M10964" s="81"/>
      <c r="N10964" s="81"/>
    </row>
    <row r="10965" spans="1:14" ht="14.25" customHeight="1" x14ac:dyDescent="0.25">
      <c r="A10965" s="480"/>
      <c r="B10965" s="476"/>
      <c r="C10965" s="477"/>
      <c r="D10965" s="498"/>
      <c r="E10965" s="484"/>
      <c r="F10965" s="486">
        <f>+C10965*D10965*E10965</f>
        <v>0</v>
      </c>
      <c r="G10965" s="81"/>
      <c r="H10965" s="81"/>
      <c r="I10965" s="81"/>
      <c r="J10965" s="81"/>
      <c r="K10965" s="81"/>
      <c r="L10965" s="81"/>
      <c r="M10965" s="81"/>
      <c r="N10965" s="81"/>
    </row>
    <row r="10966" spans="1:14" ht="14.25" customHeight="1" x14ac:dyDescent="0.25">
      <c r="A10966" s="480"/>
      <c r="B10966" s="476"/>
      <c r="C10966" s="484"/>
      <c r="D10966" s="484"/>
      <c r="E10966" s="485"/>
      <c r="F10966" s="486"/>
      <c r="G10966" s="81"/>
      <c r="H10966" s="81"/>
      <c r="I10966" s="81"/>
      <c r="J10966" s="81"/>
      <c r="K10966" s="81"/>
      <c r="L10966" s="81"/>
      <c r="M10966" s="81"/>
      <c r="N10966" s="81"/>
    </row>
    <row r="10967" spans="1:14" ht="14.25" customHeight="1" x14ac:dyDescent="0.25">
      <c r="A10967" s="199" t="s">
        <v>548</v>
      </c>
      <c r="B10967" s="474"/>
      <c r="C10967" s="487"/>
      <c r="D10967" s="487"/>
      <c r="E10967" s="488"/>
      <c r="F10967" s="489">
        <f>SUM(F10965:F10966)</f>
        <v>0</v>
      </c>
      <c r="G10967" s="81"/>
      <c r="H10967" s="81"/>
      <c r="I10967" s="81"/>
      <c r="J10967" s="81"/>
      <c r="K10967" s="81"/>
      <c r="L10967" s="81"/>
      <c r="M10967" s="81"/>
      <c r="N10967" s="81"/>
    </row>
    <row r="10968" spans="1:14" ht="14.25" customHeight="1" x14ac:dyDescent="0.25">
      <c r="A10968" s="192"/>
      <c r="B10968" s="194"/>
      <c r="C10968" s="215"/>
      <c r="D10968" s="215"/>
      <c r="E10968" s="216"/>
      <c r="F10968" s="215"/>
      <c r="G10968" s="81"/>
      <c r="H10968" s="81"/>
      <c r="I10968" s="81"/>
      <c r="J10968" s="81"/>
      <c r="K10968" s="81"/>
      <c r="L10968" s="81"/>
      <c r="M10968" s="81"/>
      <c r="N10968" s="81"/>
    </row>
    <row r="10969" spans="1:14" ht="14.25" customHeight="1" x14ac:dyDescent="0.25">
      <c r="A10969" s="192"/>
      <c r="B10969" s="194"/>
      <c r="C10969" s="215"/>
      <c r="D10969" s="215"/>
      <c r="E10969" s="216"/>
      <c r="F10969" s="215"/>
      <c r="G10969" s="81"/>
      <c r="H10969" s="81"/>
      <c r="I10969" s="81"/>
      <c r="J10969" s="81"/>
      <c r="K10969" s="81"/>
      <c r="L10969" s="81"/>
      <c r="M10969" s="81"/>
      <c r="N10969" s="81"/>
    </row>
    <row r="10970" spans="1:14" ht="14.25" customHeight="1" x14ac:dyDescent="0.25">
      <c r="A10970" s="590" t="s">
        <v>588</v>
      </c>
      <c r="B10970" s="586"/>
      <c r="C10970" s="586"/>
      <c r="D10970" s="586"/>
      <c r="E10970" s="587"/>
      <c r="F10970" s="499">
        <f>ROUND(F10944+F10953+F10961+F10967,0)</f>
        <v>4640701</v>
      </c>
      <c r="G10970" s="81"/>
      <c r="H10970" s="81"/>
      <c r="I10970" s="81"/>
      <c r="J10970" s="81"/>
      <c r="K10970" s="81"/>
      <c r="L10970" s="81"/>
      <c r="M10970" s="81"/>
      <c r="N10970" s="81"/>
    </row>
    <row r="10971" spans="1:14" ht="14.25" customHeight="1" x14ac:dyDescent="0.25">
      <c r="A10971" s="590" t="s">
        <v>589</v>
      </c>
      <c r="B10971" s="586"/>
      <c r="C10971" s="586"/>
      <c r="D10971" s="586"/>
      <c r="E10971" s="587"/>
      <c r="F10971" s="500"/>
      <c r="G10971" s="81"/>
      <c r="H10971" s="81"/>
      <c r="I10971" s="81"/>
      <c r="J10971" s="81"/>
      <c r="K10971" s="81"/>
      <c r="L10971" s="81"/>
      <c r="M10971" s="81"/>
      <c r="N10971" s="81"/>
    </row>
    <row r="10972" spans="1:14" ht="14.25" customHeight="1" x14ac:dyDescent="0.25">
      <c r="A10972" s="300" t="s">
        <v>556</v>
      </c>
      <c r="B10972" s="506"/>
      <c r="C10972" s="506"/>
      <c r="D10972" s="506"/>
      <c r="E10972" s="507"/>
      <c r="F10972" s="501"/>
      <c r="G10972" s="81"/>
      <c r="H10972" s="81"/>
      <c r="I10972" s="81"/>
      <c r="J10972" s="81"/>
      <c r="K10972" s="81"/>
      <c r="L10972" s="81"/>
      <c r="M10972" s="81"/>
      <c r="N10972" s="81"/>
    </row>
    <row r="10973" spans="1:14" ht="14.25" customHeight="1" x14ac:dyDescent="0.25">
      <c r="A10973" s="301"/>
      <c r="B10973" s="502"/>
      <c r="C10973" s="502"/>
      <c r="D10973" s="502"/>
      <c r="E10973" s="502"/>
      <c r="F10973" s="503"/>
      <c r="G10973" s="81"/>
      <c r="H10973" s="81"/>
      <c r="I10973" s="81"/>
      <c r="J10973" s="81"/>
      <c r="K10973" s="81"/>
      <c r="L10973" s="81"/>
      <c r="M10973" s="81"/>
      <c r="N10973" s="81"/>
    </row>
    <row r="10974" spans="1:14" ht="63" customHeight="1" x14ac:dyDescent="0.25">
      <c r="A10974" s="301"/>
      <c r="B10974" s="502"/>
      <c r="C10974" s="502"/>
      <c r="D10974" s="502"/>
      <c r="E10974" s="502"/>
      <c r="F10974" s="503"/>
      <c r="G10974" s="81"/>
      <c r="H10974" s="81"/>
      <c r="I10974" s="81"/>
      <c r="J10974" s="81"/>
      <c r="K10974" s="81"/>
      <c r="L10974" s="81"/>
      <c r="M10974" s="81"/>
      <c r="N10974" s="81"/>
    </row>
    <row r="10975" spans="1:14" ht="14.25" customHeight="1" x14ac:dyDescent="0.25">
      <c r="A10975" s="301"/>
      <c r="B10975" s="502"/>
      <c r="C10975" s="502"/>
      <c r="D10975" s="502"/>
      <c r="E10975" s="502"/>
      <c r="F10975" s="503"/>
      <c r="G10975" s="81"/>
      <c r="H10975" s="81"/>
      <c r="I10975" s="81"/>
      <c r="J10975" s="81"/>
      <c r="K10975" s="81"/>
      <c r="L10975" s="81"/>
      <c r="M10975" s="81"/>
      <c r="N10975" s="81"/>
    </row>
    <row r="10976" spans="1:14" ht="14.25" customHeight="1" x14ac:dyDescent="0.25">
      <c r="A10976" s="243"/>
      <c r="B10976" s="243"/>
      <c r="C10976" s="504"/>
      <c r="D10976" s="243"/>
      <c r="E10976" s="243"/>
      <c r="F10976" s="243"/>
      <c r="G10976" s="81"/>
      <c r="H10976" s="81"/>
      <c r="I10976" s="81"/>
      <c r="J10976" s="81"/>
      <c r="K10976" s="81"/>
      <c r="L10976" s="81"/>
      <c r="M10976" s="81"/>
      <c r="N10976" s="81"/>
    </row>
    <row r="10977" spans="1:14" ht="14.25" customHeight="1" x14ac:dyDescent="0.25">
      <c r="A10977" s="243"/>
      <c r="B10977" s="243"/>
      <c r="C10977" s="504"/>
      <c r="D10977" s="243"/>
      <c r="E10977" s="243"/>
      <c r="F10977" s="243"/>
      <c r="G10977" s="81"/>
      <c r="H10977" s="81"/>
      <c r="I10977" s="81"/>
      <c r="J10977" s="81"/>
      <c r="K10977" s="81"/>
      <c r="L10977" s="81"/>
      <c r="M10977" s="81"/>
      <c r="N10977" s="81"/>
    </row>
    <row r="10978" spans="1:14" ht="14.25" customHeight="1" x14ac:dyDescent="0.25">
      <c r="A10978" s="243"/>
      <c r="B10978" s="243"/>
      <c r="C10978" s="504"/>
      <c r="D10978" s="243"/>
      <c r="E10978" s="243"/>
      <c r="F10978" s="243"/>
      <c r="G10978" s="81"/>
      <c r="H10978" s="81"/>
      <c r="I10978" s="81"/>
      <c r="J10978" s="81"/>
      <c r="K10978" s="81"/>
      <c r="L10978" s="81"/>
      <c r="M10978" s="81"/>
      <c r="N10978" s="81"/>
    </row>
    <row r="10979" spans="1:14" ht="14.25" customHeight="1" x14ac:dyDescent="0.25">
      <c r="A10979" s="243"/>
      <c r="B10979" s="243"/>
      <c r="C10979" s="504"/>
      <c r="D10979" s="243"/>
      <c r="E10979" s="243"/>
      <c r="F10979" s="243"/>
      <c r="G10979" s="81"/>
      <c r="H10979" s="81"/>
      <c r="I10979" s="81"/>
      <c r="J10979" s="81"/>
      <c r="K10979" s="81"/>
      <c r="L10979" s="81"/>
      <c r="M10979" s="81"/>
      <c r="N10979" s="81"/>
    </row>
    <row r="10980" spans="1:14" ht="15.75" x14ac:dyDescent="0.25">
      <c r="A10980" s="243"/>
      <c r="B10980" s="243"/>
      <c r="C10980" s="504"/>
      <c r="D10980" s="243"/>
      <c r="E10980" s="243"/>
      <c r="F10980" s="243"/>
      <c r="G10980" s="81"/>
      <c r="H10980" s="81"/>
      <c r="I10980" s="81"/>
      <c r="J10980" s="81"/>
      <c r="K10980" s="81"/>
      <c r="L10980" s="81"/>
      <c r="M10980" s="81"/>
      <c r="N10980" s="81"/>
    </row>
    <row r="10981" spans="1:14" ht="15.75" x14ac:dyDescent="0.25">
      <c r="A10981" s="243"/>
      <c r="B10981" s="243"/>
      <c r="C10981" s="504"/>
      <c r="D10981" s="243"/>
      <c r="E10981" s="243"/>
      <c r="F10981" s="243"/>
      <c r="G10981" s="81"/>
      <c r="H10981" s="81"/>
      <c r="I10981" s="81"/>
      <c r="J10981" s="81"/>
      <c r="K10981" s="81"/>
      <c r="L10981" s="81"/>
      <c r="M10981" s="81"/>
      <c r="N10981" s="81"/>
    </row>
    <row r="10982" spans="1:14" ht="15.75" x14ac:dyDescent="0.25">
      <c r="A10982" s="243"/>
      <c r="B10982" s="243"/>
      <c r="C10982" s="504"/>
      <c r="D10982" s="243"/>
      <c r="E10982" s="243"/>
      <c r="F10982" s="243"/>
      <c r="G10982" s="81"/>
      <c r="H10982" s="81"/>
      <c r="I10982" s="81"/>
      <c r="J10982" s="81"/>
      <c r="K10982" s="81"/>
      <c r="L10982" s="81"/>
      <c r="M10982" s="81"/>
      <c r="N10982" s="81"/>
    </row>
    <row r="10983" spans="1:14" ht="15.75" x14ac:dyDescent="0.25">
      <c r="A10983" s="243"/>
      <c r="B10983" s="243"/>
      <c r="C10983" s="504"/>
      <c r="D10983" s="243"/>
      <c r="E10983" s="243"/>
      <c r="F10983" s="243"/>
      <c r="G10983" s="81"/>
      <c r="H10983" s="81"/>
      <c r="I10983" s="81"/>
      <c r="J10983" s="81"/>
      <c r="K10983" s="81"/>
      <c r="L10983" s="81"/>
      <c r="M10983" s="81"/>
      <c r="N10983" s="81"/>
    </row>
    <row r="10984" spans="1:14" ht="15.75" x14ac:dyDescent="0.25">
      <c r="A10984" s="243"/>
      <c r="B10984" s="243"/>
      <c r="C10984" s="504"/>
      <c r="D10984" s="243"/>
      <c r="E10984" s="243"/>
      <c r="F10984" s="243"/>
      <c r="G10984" s="81"/>
      <c r="H10984" s="81"/>
      <c r="I10984" s="81"/>
      <c r="J10984" s="81"/>
      <c r="K10984" s="81"/>
      <c r="L10984" s="81"/>
      <c r="M10984" s="81"/>
      <c r="N10984" s="81"/>
    </row>
    <row r="10985" spans="1:14" ht="15.75" x14ac:dyDescent="0.25">
      <c r="A10985" s="243"/>
      <c r="B10985" s="243"/>
      <c r="C10985" s="504"/>
      <c r="D10985" s="243"/>
      <c r="E10985" s="243"/>
      <c r="F10985" s="243"/>
      <c r="G10985" s="81"/>
      <c r="H10985" s="81"/>
      <c r="I10985" s="81"/>
      <c r="J10985" s="81"/>
      <c r="K10985" s="81"/>
      <c r="L10985" s="81"/>
      <c r="M10985" s="81"/>
      <c r="N10985" s="81"/>
    </row>
    <row r="10986" spans="1:14" ht="16.5" thickBot="1" x14ac:dyDescent="0.3">
      <c r="A10986" s="243"/>
      <c r="B10986" s="243"/>
      <c r="C10986" s="504"/>
      <c r="D10986" s="243"/>
      <c r="E10986" s="243"/>
      <c r="F10986" s="243"/>
      <c r="G10986" s="81"/>
      <c r="H10986" s="81"/>
      <c r="I10986" s="81"/>
      <c r="J10986" s="81"/>
      <c r="K10986" s="81"/>
      <c r="L10986" s="81"/>
      <c r="M10986" s="81"/>
      <c r="N10986" s="81"/>
    </row>
    <row r="10987" spans="1:14" ht="14.25" customHeight="1" x14ac:dyDescent="0.25">
      <c r="A10987" s="258"/>
      <c r="B10987" s="259"/>
      <c r="C10987" s="260"/>
      <c r="D10987" s="261"/>
      <c r="E10987" s="261"/>
      <c r="F10987" s="262"/>
      <c r="G10987" s="81"/>
      <c r="H10987" s="81"/>
      <c r="I10987" s="81"/>
      <c r="J10987" s="81"/>
      <c r="K10987" s="81"/>
      <c r="L10987" s="81"/>
      <c r="M10987" s="81"/>
      <c r="N10987" s="81"/>
    </row>
    <row r="10988" spans="1:14" ht="14.25" customHeight="1" x14ac:dyDescent="0.25">
      <c r="A10988" s="621"/>
      <c r="B10988" s="629"/>
      <c r="C10988" s="629"/>
      <c r="D10988" s="629"/>
      <c r="E10988" s="629"/>
      <c r="F10988" s="630"/>
      <c r="G10988" s="81"/>
      <c r="H10988" s="81"/>
      <c r="I10988" s="81"/>
      <c r="J10988" s="81"/>
      <c r="K10988" s="81"/>
      <c r="L10988" s="81"/>
      <c r="M10988" s="81"/>
      <c r="N10988" s="81"/>
    </row>
    <row r="10989" spans="1:14" ht="14.25" customHeight="1" x14ac:dyDescent="0.25">
      <c r="A10989" s="614" t="s">
        <v>561</v>
      </c>
      <c r="B10989" s="629"/>
      <c r="C10989" s="629"/>
      <c r="D10989" s="629"/>
      <c r="E10989" s="629"/>
      <c r="F10989" s="630"/>
      <c r="G10989" s="81"/>
      <c r="H10989" s="81"/>
      <c r="I10989" s="81"/>
      <c r="J10989" s="81"/>
      <c r="K10989" s="81"/>
      <c r="L10989" s="81"/>
      <c r="M10989" s="81"/>
      <c r="N10989" s="81"/>
    </row>
    <row r="10990" spans="1:14" ht="14.25" customHeight="1" thickBot="1" x14ac:dyDescent="0.3">
      <c r="A10990" s="617"/>
      <c r="B10990" s="631"/>
      <c r="C10990" s="631"/>
      <c r="D10990" s="631"/>
      <c r="E10990" s="631"/>
      <c r="F10990" s="632"/>
      <c r="G10990" s="81"/>
      <c r="H10990" s="81"/>
      <c r="I10990" s="81"/>
      <c r="J10990" s="81"/>
      <c r="K10990" s="81"/>
      <c r="L10990" s="81"/>
      <c r="M10990" s="81"/>
      <c r="N10990" s="81"/>
    </row>
    <row r="10991" spans="1:14" ht="14.25" customHeight="1" x14ac:dyDescent="0.25">
      <c r="A10991" s="192"/>
      <c r="B10991" s="192"/>
      <c r="C10991" s="194"/>
      <c r="D10991" s="194"/>
      <c r="E10991" s="194"/>
      <c r="F10991" s="194"/>
      <c r="G10991" s="81"/>
      <c r="H10991" s="81"/>
      <c r="I10991" s="81"/>
      <c r="J10991" s="81"/>
      <c r="K10991" s="81"/>
      <c r="L10991" s="81"/>
      <c r="M10991" s="81"/>
      <c r="N10991" s="81"/>
    </row>
    <row r="10992" spans="1:14" ht="14.25" customHeight="1" x14ac:dyDescent="0.25">
      <c r="A10992" s="473" t="s">
        <v>47</v>
      </c>
      <c r="B10992" s="620" t="s">
        <v>1208</v>
      </c>
      <c r="C10992" s="629"/>
      <c r="D10992" s="629"/>
      <c r="E10992" s="629"/>
      <c r="F10992" s="629"/>
      <c r="G10992" s="81"/>
      <c r="H10992" s="81"/>
      <c r="I10992" s="81"/>
      <c r="J10992" s="81"/>
      <c r="K10992" s="81"/>
      <c r="L10992" s="81"/>
      <c r="M10992" s="81"/>
      <c r="N10992" s="81"/>
    </row>
    <row r="10993" spans="1:14" ht="14.25" customHeight="1" x14ac:dyDescent="0.25">
      <c r="A10993" s="191"/>
      <c r="B10993" s="191"/>
      <c r="C10993" s="191"/>
      <c r="D10993" s="191"/>
      <c r="E10993" s="191"/>
      <c r="F10993" s="191"/>
      <c r="G10993" s="81"/>
      <c r="H10993" s="81"/>
      <c r="I10993" s="81"/>
      <c r="J10993" s="81"/>
      <c r="K10993" s="81"/>
      <c r="L10993" s="81"/>
      <c r="M10993" s="81"/>
      <c r="N10993" s="81"/>
    </row>
    <row r="10994" spans="1:14" ht="14.25" customHeight="1" x14ac:dyDescent="0.25">
      <c r="A10994" s="192" t="s">
        <v>49</v>
      </c>
      <c r="B10994" s="193" t="s">
        <v>99</v>
      </c>
      <c r="C10994" s="194"/>
      <c r="D10994" s="194"/>
      <c r="E10994" s="194"/>
      <c r="F10994" s="195"/>
      <c r="G10994" s="81"/>
      <c r="H10994" s="81"/>
      <c r="I10994" s="81"/>
      <c r="J10994" s="81"/>
      <c r="K10994" s="81"/>
      <c r="L10994" s="81"/>
      <c r="M10994" s="81"/>
      <c r="N10994" s="81"/>
    </row>
    <row r="10995" spans="1:14" ht="14.25" customHeight="1" x14ac:dyDescent="0.25">
      <c r="A10995" s="192"/>
      <c r="B10995" s="196"/>
      <c r="C10995" s="194"/>
      <c r="D10995" s="194"/>
      <c r="E10995" s="194"/>
      <c r="F10995" s="195"/>
      <c r="G10995" s="81"/>
      <c r="H10995" s="81"/>
      <c r="I10995" s="81"/>
      <c r="J10995" s="81"/>
      <c r="K10995" s="81"/>
      <c r="L10995" s="81"/>
      <c r="M10995" s="81"/>
      <c r="N10995" s="81"/>
    </row>
    <row r="10996" spans="1:14" ht="14.25" customHeight="1" x14ac:dyDescent="0.25">
      <c r="A10996" s="197" t="s">
        <v>562</v>
      </c>
      <c r="B10996" s="198"/>
      <c r="C10996" s="193"/>
      <c r="D10996" s="193"/>
      <c r="E10996" s="193"/>
      <c r="F10996" s="193"/>
      <c r="G10996" s="81"/>
      <c r="H10996" s="81"/>
      <c r="I10996" s="81"/>
      <c r="J10996" s="81"/>
      <c r="K10996" s="81"/>
      <c r="L10996" s="81"/>
      <c r="M10996" s="81"/>
      <c r="N10996" s="81"/>
    </row>
    <row r="10997" spans="1:14" ht="14.25" customHeight="1" x14ac:dyDescent="0.25">
      <c r="A10997" s="199" t="s">
        <v>563</v>
      </c>
      <c r="B10997" s="474" t="s">
        <v>564</v>
      </c>
      <c r="C10997" s="474" t="s">
        <v>565</v>
      </c>
      <c r="D10997" s="474" t="s">
        <v>566</v>
      </c>
      <c r="E10997" s="474" t="s">
        <v>567</v>
      </c>
      <c r="F10997" s="474" t="s">
        <v>568</v>
      </c>
      <c r="G10997" s="81"/>
      <c r="H10997" s="81"/>
      <c r="I10997" s="81"/>
      <c r="J10997" s="81"/>
      <c r="K10997" s="81"/>
      <c r="L10997" s="81"/>
      <c r="M10997" s="81"/>
      <c r="N10997" s="81"/>
    </row>
    <row r="10998" spans="1:14" ht="14.25" customHeight="1" x14ac:dyDescent="0.25">
      <c r="A10998" s="475" t="s">
        <v>1208</v>
      </c>
      <c r="B10998" s="476" t="s">
        <v>99</v>
      </c>
      <c r="C10998" s="477">
        <v>919787</v>
      </c>
      <c r="D10998" s="478">
        <v>1</v>
      </c>
      <c r="E10998" s="479"/>
      <c r="F10998" s="477">
        <f t="shared" ref="F10998:F11000" si="543">C10998*(D10998+(D10998*E10998))</f>
        <v>919787</v>
      </c>
      <c r="G10998" s="81"/>
      <c r="H10998" s="81"/>
      <c r="I10998" s="81"/>
      <c r="J10998" s="81"/>
      <c r="K10998" s="81"/>
      <c r="L10998" s="81"/>
      <c r="M10998" s="81"/>
      <c r="N10998" s="81"/>
    </row>
    <row r="10999" spans="1:14" ht="14.25" customHeight="1" x14ac:dyDescent="0.25">
      <c r="A10999" s="475"/>
      <c r="B10999" s="476"/>
      <c r="C10999" s="477"/>
      <c r="D10999" s="481"/>
      <c r="E10999" s="479"/>
      <c r="F10999" s="477">
        <f t="shared" si="543"/>
        <v>0</v>
      </c>
      <c r="G10999" s="81"/>
      <c r="H10999" s="81"/>
      <c r="I10999" s="81"/>
      <c r="J10999" s="81"/>
      <c r="K10999" s="81"/>
      <c r="L10999" s="81"/>
      <c r="M10999" s="81"/>
      <c r="N10999" s="81"/>
    </row>
    <row r="11000" spans="1:14" ht="14.25" customHeight="1" x14ac:dyDescent="0.25">
      <c r="A11000" s="475"/>
      <c r="B11000" s="476"/>
      <c r="C11000" s="477"/>
      <c r="D11000" s="481"/>
      <c r="E11000" s="479"/>
      <c r="F11000" s="477">
        <f t="shared" si="543"/>
        <v>0</v>
      </c>
      <c r="G11000" s="81"/>
      <c r="H11000" s="81"/>
      <c r="I11000" s="81"/>
      <c r="J11000" s="81"/>
      <c r="K11000" s="81"/>
      <c r="L11000" s="81"/>
      <c r="M11000" s="81"/>
      <c r="N11000" s="81"/>
    </row>
    <row r="11001" spans="1:14" ht="14.25" customHeight="1" x14ac:dyDescent="0.25">
      <c r="A11001" s="475"/>
      <c r="B11001" s="476"/>
      <c r="C11001" s="477"/>
      <c r="D11001" s="478"/>
      <c r="E11001" s="479"/>
      <c r="F11001" s="477"/>
      <c r="G11001" s="81"/>
      <c r="H11001" s="81"/>
      <c r="I11001" s="81"/>
      <c r="J11001" s="81"/>
      <c r="K11001" s="81"/>
      <c r="L11001" s="81"/>
      <c r="M11001" s="81"/>
      <c r="N11001" s="81"/>
    </row>
    <row r="11002" spans="1:14" ht="14.25" customHeight="1" x14ac:dyDescent="0.25">
      <c r="A11002" s="475"/>
      <c r="B11002" s="476"/>
      <c r="C11002" s="477"/>
      <c r="D11002" s="478"/>
      <c r="E11002" s="479"/>
      <c r="F11002" s="477"/>
      <c r="G11002" s="81"/>
      <c r="H11002" s="81"/>
      <c r="I11002" s="81"/>
      <c r="J11002" s="81"/>
      <c r="K11002" s="81"/>
      <c r="L11002" s="81"/>
      <c r="M11002" s="81"/>
      <c r="N11002" s="81"/>
    </row>
    <row r="11003" spans="1:14" ht="14.25" customHeight="1" x14ac:dyDescent="0.25">
      <c r="A11003" s="475"/>
      <c r="B11003" s="476"/>
      <c r="C11003" s="477"/>
      <c r="D11003" s="478"/>
      <c r="E11003" s="479"/>
      <c r="F11003" s="477"/>
      <c r="G11003" s="81"/>
      <c r="H11003" s="81"/>
      <c r="I11003" s="81"/>
      <c r="J11003" s="81"/>
      <c r="K11003" s="81"/>
      <c r="L11003" s="81"/>
      <c r="M11003" s="81"/>
      <c r="N11003" s="81"/>
    </row>
    <row r="11004" spans="1:14" ht="14.25" customHeight="1" x14ac:dyDescent="0.25">
      <c r="A11004" s="475"/>
      <c r="B11004" s="476"/>
      <c r="C11004" s="483"/>
      <c r="D11004" s="484"/>
      <c r="E11004" s="485"/>
      <c r="F11004" s="483"/>
      <c r="G11004" s="81"/>
      <c r="H11004" s="81"/>
      <c r="I11004" s="81"/>
      <c r="J11004" s="81"/>
      <c r="K11004" s="81"/>
      <c r="L11004" s="81"/>
      <c r="M11004" s="81"/>
      <c r="N11004" s="81"/>
    </row>
    <row r="11005" spans="1:14" ht="14.25" customHeight="1" x14ac:dyDescent="0.25">
      <c r="A11005" s="199" t="s">
        <v>548</v>
      </c>
      <c r="B11005" s="199"/>
      <c r="C11005" s="486"/>
      <c r="D11005" s="487"/>
      <c r="E11005" s="488"/>
      <c r="F11005" s="489">
        <f>SUM(F10998:F11004)</f>
        <v>919787</v>
      </c>
      <c r="G11005" s="81"/>
      <c r="H11005" s="81"/>
      <c r="I11005" s="81"/>
      <c r="J11005" s="81"/>
      <c r="K11005" s="81"/>
      <c r="L11005" s="81"/>
      <c r="M11005" s="81"/>
      <c r="N11005" s="81"/>
    </row>
    <row r="11006" spans="1:14" ht="14.25" customHeight="1" x14ac:dyDescent="0.25">
      <c r="A11006" s="192"/>
      <c r="B11006" s="192"/>
      <c r="C11006" s="215"/>
      <c r="D11006" s="215"/>
      <c r="E11006" s="216"/>
      <c r="F11006" s="215"/>
      <c r="G11006" s="81"/>
      <c r="H11006" s="81"/>
      <c r="I11006" s="81"/>
      <c r="J11006" s="81"/>
      <c r="K11006" s="81"/>
      <c r="L11006" s="81"/>
      <c r="M11006" s="81"/>
      <c r="N11006" s="81"/>
    </row>
    <row r="11007" spans="1:14" ht="14.25" customHeight="1" x14ac:dyDescent="0.25">
      <c r="A11007" s="198" t="s">
        <v>573</v>
      </c>
      <c r="B11007" s="198"/>
      <c r="C11007" s="193"/>
      <c r="D11007" s="193"/>
      <c r="E11007" s="193"/>
      <c r="F11007" s="193"/>
      <c r="G11007" s="81"/>
      <c r="H11007" s="81"/>
      <c r="I11007" s="81"/>
      <c r="J11007" s="81"/>
      <c r="K11007" s="81"/>
      <c r="L11007" s="81"/>
      <c r="M11007" s="81"/>
      <c r="N11007" s="81"/>
    </row>
    <row r="11008" spans="1:14" ht="14.25" customHeight="1" x14ac:dyDescent="0.25">
      <c r="A11008" s="585" t="s">
        <v>563</v>
      </c>
      <c r="B11008" s="586"/>
      <c r="C11008" s="587"/>
      <c r="D11008" s="474" t="s">
        <v>574</v>
      </c>
      <c r="E11008" s="474" t="s">
        <v>575</v>
      </c>
      <c r="F11008" s="474" t="s">
        <v>568</v>
      </c>
      <c r="G11008" s="81"/>
      <c r="H11008" s="81"/>
      <c r="I11008" s="81"/>
      <c r="J11008" s="81"/>
      <c r="K11008" s="81"/>
      <c r="L11008" s="81"/>
      <c r="M11008" s="81"/>
      <c r="N11008" s="81"/>
    </row>
    <row r="11009" spans="1:14" ht="14.25" customHeight="1" x14ac:dyDescent="0.25">
      <c r="A11009" s="588" t="s">
        <v>577</v>
      </c>
      <c r="B11009" s="586"/>
      <c r="C11009" s="587"/>
      <c r="D11009" s="490"/>
      <c r="E11009" s="484"/>
      <c r="F11009" s="483">
        <f>+F11022*5%</f>
        <v>17708.333333333336</v>
      </c>
      <c r="G11009" s="81"/>
      <c r="H11009" s="81"/>
      <c r="I11009" s="81"/>
      <c r="J11009" s="81"/>
      <c r="K11009" s="81"/>
      <c r="L11009" s="81"/>
      <c r="M11009" s="81"/>
      <c r="N11009" s="81"/>
    </row>
    <row r="11010" spans="1:14" ht="14.25" customHeight="1" x14ac:dyDescent="0.25">
      <c r="A11010" s="588"/>
      <c r="B11010" s="586"/>
      <c r="C11010" s="587"/>
      <c r="D11010" s="505"/>
      <c r="E11010" s="484"/>
      <c r="F11010" s="483"/>
      <c r="G11010" s="81"/>
      <c r="H11010" s="81"/>
      <c r="I11010" s="81"/>
      <c r="J11010" s="81"/>
      <c r="K11010" s="81"/>
      <c r="L11010" s="81"/>
      <c r="M11010" s="81"/>
      <c r="N11010" s="81"/>
    </row>
    <row r="11011" spans="1:14" ht="14.25" customHeight="1" x14ac:dyDescent="0.25">
      <c r="A11011" s="588"/>
      <c r="B11011" s="586"/>
      <c r="C11011" s="587"/>
      <c r="D11011" s="505"/>
      <c r="E11011" s="484"/>
      <c r="F11011" s="483"/>
      <c r="G11011" s="81"/>
      <c r="H11011" s="81"/>
      <c r="I11011" s="81"/>
      <c r="J11011" s="81"/>
      <c r="K11011" s="81"/>
      <c r="L11011" s="81"/>
      <c r="M11011" s="81"/>
      <c r="N11011" s="81"/>
    </row>
    <row r="11012" spans="1:14" ht="14.25" customHeight="1" x14ac:dyDescent="0.25">
      <c r="A11012" s="588"/>
      <c r="B11012" s="586"/>
      <c r="C11012" s="587"/>
      <c r="D11012" s="505"/>
      <c r="E11012" s="484"/>
      <c r="F11012" s="483"/>
      <c r="G11012" s="81"/>
      <c r="H11012" s="81"/>
      <c r="I11012" s="81"/>
      <c r="J11012" s="81"/>
      <c r="K11012" s="81"/>
      <c r="L11012" s="81"/>
      <c r="M11012" s="81"/>
      <c r="N11012" s="81"/>
    </row>
    <row r="11013" spans="1:14" ht="14.25" customHeight="1" x14ac:dyDescent="0.25">
      <c r="A11013" s="589"/>
      <c r="B11013" s="586"/>
      <c r="C11013" s="587"/>
      <c r="D11013" s="491"/>
      <c r="E11013" s="484"/>
      <c r="F11013" s="483"/>
      <c r="G11013" s="81"/>
      <c r="H11013" s="81"/>
      <c r="I11013" s="81"/>
      <c r="J11013" s="81"/>
      <c r="K11013" s="81"/>
      <c r="L11013" s="81"/>
      <c r="M11013" s="81"/>
      <c r="N11013" s="81"/>
    </row>
    <row r="11014" spans="1:14" ht="14.25" customHeight="1" x14ac:dyDescent="0.25">
      <c r="A11014" s="585" t="s">
        <v>548</v>
      </c>
      <c r="B11014" s="586"/>
      <c r="C11014" s="587"/>
      <c r="D11014" s="487"/>
      <c r="E11014" s="487"/>
      <c r="F11014" s="489">
        <f>SUM(F11009:F11013)</f>
        <v>17708.333333333336</v>
      </c>
      <c r="G11014" s="81"/>
      <c r="H11014" s="81"/>
      <c r="I11014" s="81"/>
      <c r="J11014" s="81"/>
      <c r="K11014" s="81"/>
      <c r="L11014" s="81"/>
      <c r="M11014" s="81"/>
      <c r="N11014" s="81"/>
    </row>
    <row r="11015" spans="1:14" ht="14.25" customHeight="1" x14ac:dyDescent="0.25">
      <c r="A11015" s="192"/>
      <c r="B11015" s="192"/>
      <c r="C11015" s="194"/>
      <c r="D11015" s="215"/>
      <c r="E11015" s="215"/>
      <c r="F11015" s="215"/>
      <c r="G11015" s="81"/>
      <c r="H11015" s="81"/>
      <c r="I11015" s="81"/>
      <c r="J11015" s="81"/>
      <c r="K11015" s="81"/>
      <c r="L11015" s="81"/>
      <c r="M11015" s="81"/>
      <c r="N11015" s="81"/>
    </row>
    <row r="11016" spans="1:14" ht="14.25" customHeight="1" x14ac:dyDescent="0.25">
      <c r="A11016" s="198" t="s">
        <v>578</v>
      </c>
      <c r="B11016" s="198"/>
      <c r="C11016" s="193"/>
      <c r="D11016" s="223"/>
      <c r="E11016" s="223"/>
      <c r="F11016" s="223"/>
      <c r="G11016" s="81"/>
      <c r="H11016" s="81"/>
      <c r="I11016" s="81"/>
      <c r="J11016" s="81"/>
      <c r="K11016" s="81"/>
      <c r="L11016" s="81"/>
      <c r="M11016" s="81"/>
      <c r="N11016" s="81"/>
    </row>
    <row r="11017" spans="1:14" ht="14.25" customHeight="1" x14ac:dyDescent="0.25">
      <c r="A11017" s="224" t="s">
        <v>563</v>
      </c>
      <c r="B11017" s="492" t="s">
        <v>579</v>
      </c>
      <c r="C11017" s="492" t="s">
        <v>580</v>
      </c>
      <c r="D11017" s="493" t="s">
        <v>581</v>
      </c>
      <c r="E11017" s="493" t="s">
        <v>575</v>
      </c>
      <c r="F11017" s="493" t="s">
        <v>568</v>
      </c>
      <c r="G11017" s="81"/>
      <c r="H11017" s="117"/>
      <c r="I11017" s="81"/>
      <c r="J11017" s="81"/>
      <c r="K11017" s="81"/>
      <c r="L11017" s="81"/>
      <c r="M11017" s="81"/>
      <c r="N11017" s="81"/>
    </row>
    <row r="11018" spans="1:14" ht="14.25" customHeight="1" x14ac:dyDescent="0.25">
      <c r="A11018" s="494" t="s">
        <v>936</v>
      </c>
      <c r="B11018" s="495">
        <v>1</v>
      </c>
      <c r="C11018" s="477">
        <v>165000</v>
      </c>
      <c r="D11018" s="477">
        <f t="shared" ref="D11018:D11019" si="544">+C11018*1.7</f>
        <v>280500</v>
      </c>
      <c r="E11018" s="484">
        <v>1.2</v>
      </c>
      <c r="F11018" s="483">
        <f t="shared" ref="F11018:F11019" si="545">+B11018*(D11018)/E11018</f>
        <v>233750</v>
      </c>
      <c r="G11018" s="81"/>
      <c r="H11018" s="81"/>
      <c r="I11018" s="81"/>
      <c r="J11018" s="81"/>
      <c r="K11018" s="81"/>
      <c r="L11018" s="81"/>
      <c r="M11018" s="81"/>
      <c r="N11018" s="81"/>
    </row>
    <row r="11019" spans="1:14" ht="14.25" customHeight="1" x14ac:dyDescent="0.25">
      <c r="A11019" s="494" t="s">
        <v>937</v>
      </c>
      <c r="B11019" s="495">
        <v>1</v>
      </c>
      <c r="C11019" s="477">
        <v>85000</v>
      </c>
      <c r="D11019" s="477">
        <f t="shared" si="544"/>
        <v>144500</v>
      </c>
      <c r="E11019" s="484">
        <f>E11018</f>
        <v>1.2</v>
      </c>
      <c r="F11019" s="483">
        <f t="shared" si="545"/>
        <v>120416.66666666667</v>
      </c>
      <c r="G11019" s="81"/>
      <c r="H11019" s="81"/>
      <c r="I11019" s="81"/>
      <c r="J11019" s="81"/>
      <c r="K11019" s="81"/>
      <c r="L11019" s="81"/>
      <c r="M11019" s="81"/>
      <c r="N11019" s="81"/>
    </row>
    <row r="11020" spans="1:14" ht="14.25" customHeight="1" x14ac:dyDescent="0.25">
      <c r="A11020" s="494"/>
      <c r="B11020" s="495"/>
      <c r="C11020" s="477"/>
      <c r="D11020" s="477"/>
      <c r="E11020" s="484"/>
      <c r="F11020" s="483"/>
      <c r="G11020" s="81"/>
      <c r="H11020" s="81"/>
      <c r="I11020" s="81"/>
      <c r="J11020" s="81"/>
      <c r="K11020" s="81"/>
      <c r="L11020" s="81"/>
      <c r="M11020" s="81"/>
      <c r="N11020" s="81"/>
    </row>
    <row r="11021" spans="1:14" ht="14.25" customHeight="1" x14ac:dyDescent="0.25">
      <c r="A11021" s="494"/>
      <c r="B11021" s="495"/>
      <c r="C11021" s="477"/>
      <c r="D11021" s="477"/>
      <c r="E11021" s="496"/>
      <c r="F11021" s="483"/>
      <c r="G11021" s="81"/>
      <c r="H11021" s="81"/>
      <c r="I11021" s="81"/>
      <c r="J11021" s="81"/>
      <c r="K11021" s="81"/>
      <c r="L11021" s="81"/>
      <c r="M11021" s="81"/>
      <c r="N11021" s="81"/>
    </row>
    <row r="11022" spans="1:14" ht="14.25" customHeight="1" x14ac:dyDescent="0.25">
      <c r="A11022" s="199" t="s">
        <v>548</v>
      </c>
      <c r="B11022" s="497"/>
      <c r="C11022" s="487"/>
      <c r="D11022" s="487"/>
      <c r="E11022" s="487"/>
      <c r="F11022" s="489">
        <f>SUM(F11018:F11021)</f>
        <v>354166.66666666669</v>
      </c>
      <c r="G11022" s="81"/>
      <c r="H11022" s="81"/>
      <c r="I11022" s="81"/>
      <c r="J11022" s="81"/>
      <c r="K11022" s="81"/>
      <c r="L11022" s="81"/>
      <c r="M11022" s="81"/>
      <c r="N11022" s="81"/>
    </row>
    <row r="11023" spans="1:14" ht="14.25" customHeight="1" x14ac:dyDescent="0.25">
      <c r="A11023" s="198"/>
      <c r="B11023" s="231"/>
      <c r="C11023" s="223"/>
      <c r="D11023" s="223"/>
      <c r="E11023" s="223"/>
      <c r="F11023" s="223"/>
      <c r="G11023" s="81"/>
      <c r="H11023" s="81"/>
      <c r="I11023" s="81"/>
      <c r="J11023" s="81"/>
      <c r="K11023" s="81"/>
      <c r="L11023" s="81"/>
      <c r="M11023" s="81"/>
      <c r="N11023" s="81"/>
    </row>
    <row r="11024" spans="1:14" ht="14.25" customHeight="1" x14ac:dyDescent="0.25">
      <c r="A11024" s="197" t="s">
        <v>583</v>
      </c>
      <c r="B11024" s="198"/>
      <c r="C11024" s="193"/>
      <c r="D11024" s="193"/>
      <c r="E11024" s="193" t="s">
        <v>584</v>
      </c>
      <c r="F11024" s="193"/>
      <c r="G11024" s="81"/>
      <c r="H11024" s="81"/>
      <c r="I11024" s="81"/>
      <c r="J11024" s="81"/>
      <c r="K11024" s="81"/>
      <c r="L11024" s="81"/>
      <c r="M11024" s="81"/>
      <c r="N11024" s="81"/>
    </row>
    <row r="11025" spans="1:14" ht="14.25" customHeight="1" x14ac:dyDescent="0.25">
      <c r="A11025" s="199" t="s">
        <v>563</v>
      </c>
      <c r="B11025" s="474" t="s">
        <v>564</v>
      </c>
      <c r="C11025" s="474" t="s">
        <v>585</v>
      </c>
      <c r="D11025" s="474" t="s">
        <v>586</v>
      </c>
      <c r="E11025" s="492" t="s">
        <v>587</v>
      </c>
      <c r="F11025" s="474" t="s">
        <v>568</v>
      </c>
      <c r="G11025" s="81"/>
      <c r="H11025" s="81"/>
      <c r="I11025" s="81"/>
      <c r="J11025" s="81"/>
      <c r="K11025" s="81"/>
      <c r="L11025" s="81"/>
      <c r="M11025" s="81"/>
      <c r="N11025" s="81"/>
    </row>
    <row r="11026" spans="1:14" ht="14.25" customHeight="1" x14ac:dyDescent="0.25">
      <c r="A11026" s="480"/>
      <c r="B11026" s="476"/>
      <c r="C11026" s="477"/>
      <c r="D11026" s="498"/>
      <c r="E11026" s="484"/>
      <c r="F11026" s="486">
        <f>+C11026*D11026*E11026</f>
        <v>0</v>
      </c>
      <c r="G11026" s="81"/>
      <c r="H11026" s="81"/>
      <c r="I11026" s="81"/>
      <c r="J11026" s="81"/>
      <c r="K11026" s="81"/>
      <c r="L11026" s="81"/>
      <c r="M11026" s="81"/>
      <c r="N11026" s="81"/>
    </row>
    <row r="11027" spans="1:14" ht="14.25" customHeight="1" x14ac:dyDescent="0.25">
      <c r="A11027" s="480"/>
      <c r="B11027" s="476"/>
      <c r="C11027" s="484"/>
      <c r="D11027" s="484"/>
      <c r="E11027" s="485"/>
      <c r="F11027" s="486"/>
      <c r="G11027" s="81"/>
      <c r="H11027" s="81"/>
      <c r="I11027" s="81"/>
      <c r="J11027" s="81"/>
      <c r="K11027" s="81"/>
      <c r="L11027" s="81"/>
      <c r="M11027" s="81"/>
      <c r="N11027" s="81"/>
    </row>
    <row r="11028" spans="1:14" ht="14.25" customHeight="1" x14ac:dyDescent="0.25">
      <c r="A11028" s="199" t="s">
        <v>548</v>
      </c>
      <c r="B11028" s="474"/>
      <c r="C11028" s="487"/>
      <c r="D11028" s="487"/>
      <c r="E11028" s="488"/>
      <c r="F11028" s="489">
        <f>SUM(F11026:F11027)</f>
        <v>0</v>
      </c>
      <c r="G11028" s="81"/>
      <c r="H11028" s="81"/>
      <c r="I11028" s="81"/>
      <c r="J11028" s="81"/>
      <c r="K11028" s="81"/>
      <c r="L11028" s="81"/>
      <c r="M11028" s="81"/>
      <c r="N11028" s="81"/>
    </row>
    <row r="11029" spans="1:14" ht="14.25" customHeight="1" x14ac:dyDescent="0.25">
      <c r="A11029" s="192"/>
      <c r="B11029" s="194"/>
      <c r="C11029" s="215"/>
      <c r="D11029" s="215"/>
      <c r="E11029" s="216"/>
      <c r="F11029" s="215"/>
      <c r="G11029" s="81"/>
      <c r="H11029" s="81"/>
      <c r="I11029" s="81"/>
      <c r="J11029" s="81"/>
      <c r="K11029" s="81"/>
      <c r="L11029" s="81"/>
      <c r="M11029" s="81"/>
      <c r="N11029" s="81"/>
    </row>
    <row r="11030" spans="1:14" ht="14.25" customHeight="1" x14ac:dyDescent="0.25">
      <c r="A11030" s="192"/>
      <c r="B11030" s="194"/>
      <c r="C11030" s="215"/>
      <c r="D11030" s="215"/>
      <c r="E11030" s="216"/>
      <c r="F11030" s="215"/>
      <c r="G11030" s="81"/>
      <c r="H11030" s="81"/>
      <c r="I11030" s="81"/>
      <c r="J11030" s="81"/>
      <c r="K11030" s="81"/>
      <c r="L11030" s="81"/>
      <c r="M11030" s="81"/>
      <c r="N11030" s="81"/>
    </row>
    <row r="11031" spans="1:14" ht="14.25" customHeight="1" x14ac:dyDescent="0.25">
      <c r="A11031" s="590" t="s">
        <v>588</v>
      </c>
      <c r="B11031" s="586"/>
      <c r="C11031" s="586"/>
      <c r="D11031" s="586"/>
      <c r="E11031" s="587"/>
      <c r="F11031" s="499">
        <f>ROUND(F11005+F11014+F11022+F11028,0)</f>
        <v>1291662</v>
      </c>
      <c r="G11031" s="81"/>
      <c r="H11031" s="81"/>
      <c r="I11031" s="81"/>
      <c r="J11031" s="81"/>
      <c r="K11031" s="81"/>
      <c r="L11031" s="81"/>
      <c r="M11031" s="81"/>
      <c r="N11031" s="81"/>
    </row>
    <row r="11032" spans="1:14" ht="14.25" customHeight="1" x14ac:dyDescent="0.25">
      <c r="A11032" s="590" t="s">
        <v>589</v>
      </c>
      <c r="B11032" s="586"/>
      <c r="C11032" s="586"/>
      <c r="D11032" s="586"/>
      <c r="E11032" s="587"/>
      <c r="F11032" s="500"/>
      <c r="G11032" s="81"/>
      <c r="H11032" s="81"/>
      <c r="I11032" s="81"/>
      <c r="J11032" s="81"/>
      <c r="K11032" s="81"/>
      <c r="L11032" s="81"/>
      <c r="M11032" s="81"/>
      <c r="N11032" s="81"/>
    </row>
    <row r="11033" spans="1:14" ht="14.25" customHeight="1" x14ac:dyDescent="0.25">
      <c r="A11033" s="300" t="s">
        <v>556</v>
      </c>
      <c r="B11033" s="506"/>
      <c r="C11033" s="506"/>
      <c r="D11033" s="506"/>
      <c r="E11033" s="507"/>
      <c r="F11033" s="501"/>
      <c r="G11033" s="81"/>
      <c r="H11033" s="81"/>
      <c r="I11033" s="81"/>
      <c r="J11033" s="81"/>
      <c r="K11033" s="81"/>
      <c r="L11033" s="81"/>
      <c r="M11033" s="81"/>
      <c r="N11033" s="81"/>
    </row>
    <row r="11034" spans="1:14" ht="57" customHeight="1" x14ac:dyDescent="0.25">
      <c r="A11034" s="301"/>
      <c r="B11034" s="502"/>
      <c r="C11034" s="502"/>
      <c r="D11034" s="502"/>
      <c r="E11034" s="502"/>
      <c r="F11034" s="503"/>
      <c r="G11034" s="81"/>
      <c r="H11034" s="81"/>
      <c r="I11034" s="81"/>
      <c r="J11034" s="81"/>
      <c r="K11034" s="81"/>
      <c r="L11034" s="81"/>
      <c r="M11034" s="81"/>
      <c r="N11034" s="81"/>
    </row>
    <row r="11035" spans="1:14" ht="14.25" customHeight="1" x14ac:dyDescent="0.25">
      <c r="A11035" s="301"/>
      <c r="B11035" s="502"/>
      <c r="C11035" s="502"/>
      <c r="D11035" s="502"/>
      <c r="E11035" s="502"/>
      <c r="F11035" s="503"/>
      <c r="G11035" s="81"/>
      <c r="H11035" s="81"/>
      <c r="I11035" s="81"/>
      <c r="J11035" s="81"/>
      <c r="K11035" s="81"/>
      <c r="L11035" s="81"/>
      <c r="M11035" s="81"/>
      <c r="N11035" s="81"/>
    </row>
    <row r="11036" spans="1:14" ht="14.25" customHeight="1" x14ac:dyDescent="0.25">
      <c r="A11036" s="301"/>
      <c r="B11036" s="502"/>
      <c r="C11036" s="502"/>
      <c r="D11036" s="502"/>
      <c r="E11036" s="502"/>
      <c r="F11036" s="503"/>
      <c r="G11036" s="81"/>
      <c r="H11036" s="81"/>
      <c r="I11036" s="81"/>
      <c r="J11036" s="81"/>
      <c r="K11036" s="81"/>
      <c r="L11036" s="81"/>
      <c r="M11036" s="81"/>
      <c r="N11036" s="81"/>
    </row>
    <row r="11037" spans="1:14" ht="14.25" customHeight="1" x14ac:dyDescent="0.25">
      <c r="A11037" s="243"/>
      <c r="B11037" s="243"/>
      <c r="C11037" s="504"/>
      <c r="D11037" s="243"/>
      <c r="E11037" s="243"/>
      <c r="F11037" s="243"/>
      <c r="G11037" s="81"/>
      <c r="H11037" s="81"/>
      <c r="I11037" s="81"/>
      <c r="J11037" s="81"/>
      <c r="K11037" s="81"/>
      <c r="L11037" s="81"/>
      <c r="M11037" s="81"/>
      <c r="N11037" s="81"/>
    </row>
    <row r="11038" spans="1:14" ht="14.25" customHeight="1" x14ac:dyDescent="0.25">
      <c r="A11038" s="243"/>
      <c r="B11038" s="243"/>
      <c r="C11038" s="504"/>
      <c r="D11038" s="243"/>
      <c r="E11038" s="243"/>
      <c r="F11038" s="243"/>
      <c r="G11038" s="81"/>
      <c r="H11038" s="81"/>
      <c r="I11038" s="81"/>
      <c r="J11038" s="81"/>
      <c r="K11038" s="81"/>
      <c r="L11038" s="81"/>
      <c r="M11038" s="81"/>
      <c r="N11038" s="81"/>
    </row>
    <row r="11039" spans="1:14" ht="14.25" customHeight="1" x14ac:dyDescent="0.25">
      <c r="A11039" s="243"/>
      <c r="B11039" s="243"/>
      <c r="C11039" s="504"/>
      <c r="D11039" s="243"/>
      <c r="E11039" s="243"/>
      <c r="F11039" s="243"/>
      <c r="G11039" s="81"/>
      <c r="H11039" s="81"/>
      <c r="I11039" s="81"/>
      <c r="J11039" s="81"/>
      <c r="K11039" s="81"/>
      <c r="L11039" s="81"/>
      <c r="M11039" s="81"/>
      <c r="N11039" s="81"/>
    </row>
    <row r="11040" spans="1:14" ht="15.75" x14ac:dyDescent="0.25">
      <c r="A11040" s="243"/>
      <c r="B11040" s="243"/>
      <c r="C11040" s="504"/>
      <c r="D11040" s="243"/>
      <c r="E11040" s="243"/>
      <c r="F11040" s="243"/>
      <c r="G11040" s="81"/>
      <c r="H11040" s="81"/>
      <c r="I11040" s="81"/>
      <c r="J11040" s="81"/>
      <c r="K11040" s="81"/>
      <c r="L11040" s="81"/>
      <c r="M11040" s="81"/>
      <c r="N11040" s="81"/>
    </row>
    <row r="11041" spans="1:14" ht="15.75" x14ac:dyDescent="0.25">
      <c r="A11041" s="243"/>
      <c r="B11041" s="243"/>
      <c r="C11041" s="504"/>
      <c r="D11041" s="243"/>
      <c r="E11041" s="243"/>
      <c r="F11041" s="243"/>
      <c r="G11041" s="81"/>
      <c r="H11041" s="81"/>
      <c r="I11041" s="81"/>
      <c r="J11041" s="81"/>
      <c r="K11041" s="81"/>
      <c r="L11041" s="81"/>
      <c r="M11041" s="81"/>
      <c r="N11041" s="81"/>
    </row>
    <row r="11042" spans="1:14" ht="15.75" x14ac:dyDescent="0.25">
      <c r="A11042" s="243"/>
      <c r="B11042" s="243"/>
      <c r="C11042" s="504"/>
      <c r="D11042" s="243"/>
      <c r="E11042" s="243"/>
      <c r="F11042" s="243"/>
      <c r="G11042" s="81"/>
      <c r="H11042" s="81"/>
      <c r="I11042" s="81"/>
      <c r="J11042" s="81"/>
      <c r="K11042" s="81"/>
      <c r="L11042" s="81"/>
      <c r="M11042" s="81"/>
      <c r="N11042" s="81"/>
    </row>
    <row r="11043" spans="1:14" ht="15.75" x14ac:dyDescent="0.25">
      <c r="A11043" s="243"/>
      <c r="B11043" s="243"/>
      <c r="C11043" s="504"/>
      <c r="D11043" s="243"/>
      <c r="E11043" s="243"/>
      <c r="F11043" s="243"/>
      <c r="G11043" s="81"/>
      <c r="H11043" s="81"/>
      <c r="I11043" s="81"/>
      <c r="J11043" s="81"/>
      <c r="K11043" s="81"/>
      <c r="L11043" s="81"/>
      <c r="M11043" s="81"/>
      <c r="N11043" s="81"/>
    </row>
    <row r="11044" spans="1:14" ht="15.75" x14ac:dyDescent="0.25">
      <c r="A11044" s="243"/>
      <c r="B11044" s="243"/>
      <c r="C11044" s="504"/>
      <c r="D11044" s="243"/>
      <c r="E11044" s="243"/>
      <c r="F11044" s="243"/>
      <c r="G11044" s="81"/>
      <c r="H11044" s="81"/>
      <c r="I11044" s="81"/>
      <c r="J11044" s="81"/>
      <c r="K11044" s="81"/>
      <c r="L11044" s="81"/>
      <c r="M11044" s="81"/>
      <c r="N11044" s="81"/>
    </row>
    <row r="11045" spans="1:14" ht="14.25" customHeight="1" x14ac:dyDescent="0.25">
      <c r="A11045" s="243"/>
      <c r="B11045" s="243"/>
      <c r="C11045" s="504"/>
      <c r="D11045" s="243"/>
      <c r="E11045" s="243"/>
      <c r="F11045" s="243"/>
      <c r="G11045" s="81"/>
      <c r="H11045" s="81"/>
      <c r="I11045" s="81"/>
      <c r="J11045" s="81"/>
      <c r="K11045" s="81"/>
      <c r="L11045" s="81"/>
      <c r="M11045" s="81"/>
      <c r="N11045" s="81"/>
    </row>
    <row r="11046" spans="1:14" ht="14.25" customHeight="1" x14ac:dyDescent="0.25">
      <c r="A11046" s="243"/>
      <c r="B11046" s="243"/>
      <c r="C11046" s="504"/>
      <c r="D11046" s="243"/>
      <c r="E11046" s="243"/>
      <c r="F11046" s="243"/>
      <c r="G11046" s="81"/>
      <c r="H11046" s="81"/>
      <c r="I11046" s="81"/>
      <c r="J11046" s="81"/>
      <c r="K11046" s="81"/>
      <c r="L11046" s="81"/>
      <c r="M11046" s="81"/>
      <c r="N11046" s="81"/>
    </row>
    <row r="11047" spans="1:14" ht="14.25" customHeight="1" x14ac:dyDescent="0.25">
      <c r="A11047" s="243"/>
      <c r="B11047" s="243"/>
      <c r="C11047" s="504"/>
      <c r="D11047" s="243"/>
      <c r="E11047" s="243"/>
      <c r="F11047" s="243"/>
      <c r="G11047" s="81"/>
      <c r="H11047" s="81"/>
      <c r="I11047" s="81"/>
      <c r="J11047" s="81"/>
      <c r="K11047" s="81"/>
      <c r="L11047" s="81"/>
      <c r="M11047" s="81"/>
      <c r="N11047" s="81"/>
    </row>
    <row r="11048" spans="1:14" ht="14.25" customHeight="1" thickBot="1" x14ac:dyDescent="0.3">
      <c r="A11048" s="243"/>
      <c r="B11048" s="243"/>
      <c r="C11048" s="504"/>
      <c r="D11048" s="243"/>
      <c r="E11048" s="243"/>
      <c r="F11048" s="243"/>
      <c r="G11048" s="81"/>
      <c r="H11048" s="81"/>
      <c r="I11048" s="81"/>
      <c r="J11048" s="81"/>
      <c r="K11048" s="81"/>
      <c r="L11048" s="81"/>
      <c r="M11048" s="81"/>
      <c r="N11048" s="81"/>
    </row>
    <row r="11049" spans="1:14" ht="14.25" customHeight="1" x14ac:dyDescent="0.25">
      <c r="A11049" s="258"/>
      <c r="B11049" s="259"/>
      <c r="C11049" s="260"/>
      <c r="D11049" s="261"/>
      <c r="E11049" s="261"/>
      <c r="F11049" s="262"/>
      <c r="G11049" s="81"/>
      <c r="H11049" s="81"/>
      <c r="I11049" s="81"/>
      <c r="J11049" s="81"/>
      <c r="K11049" s="81"/>
      <c r="L11049" s="81"/>
      <c r="M11049" s="81"/>
      <c r="N11049" s="81"/>
    </row>
    <row r="11050" spans="1:14" ht="14.25" customHeight="1" x14ac:dyDescent="0.25">
      <c r="A11050" s="621"/>
      <c r="B11050" s="629"/>
      <c r="C11050" s="629"/>
      <c r="D11050" s="629"/>
      <c r="E11050" s="629"/>
      <c r="F11050" s="630"/>
      <c r="G11050" s="81"/>
      <c r="H11050" s="81"/>
      <c r="I11050" s="81"/>
      <c r="J11050" s="81"/>
      <c r="K11050" s="81"/>
      <c r="L11050" s="81"/>
      <c r="M11050" s="81"/>
      <c r="N11050" s="81"/>
    </row>
    <row r="11051" spans="1:14" ht="14.25" customHeight="1" x14ac:dyDescent="0.25">
      <c r="A11051" s="614" t="s">
        <v>561</v>
      </c>
      <c r="B11051" s="629"/>
      <c r="C11051" s="629"/>
      <c r="D11051" s="629"/>
      <c r="E11051" s="629"/>
      <c r="F11051" s="630"/>
      <c r="G11051" s="81"/>
      <c r="H11051" s="81"/>
      <c r="I11051" s="81"/>
      <c r="J11051" s="81"/>
      <c r="K11051" s="81"/>
      <c r="L11051" s="81"/>
      <c r="M11051" s="81"/>
      <c r="N11051" s="81"/>
    </row>
    <row r="11052" spans="1:14" ht="14.25" customHeight="1" thickBot="1" x14ac:dyDescent="0.3">
      <c r="A11052" s="617"/>
      <c r="B11052" s="631"/>
      <c r="C11052" s="631"/>
      <c r="D11052" s="631"/>
      <c r="E11052" s="631"/>
      <c r="F11052" s="632"/>
      <c r="G11052" s="81"/>
      <c r="H11052" s="81"/>
      <c r="I11052" s="81"/>
      <c r="J11052" s="81"/>
      <c r="K11052" s="81"/>
      <c r="L11052" s="81"/>
      <c r="M11052" s="81"/>
      <c r="N11052" s="81"/>
    </row>
    <row r="11053" spans="1:14" ht="14.25" customHeight="1" x14ac:dyDescent="0.25">
      <c r="A11053" s="192"/>
      <c r="B11053" s="192"/>
      <c r="C11053" s="194"/>
      <c r="D11053" s="194"/>
      <c r="E11053" s="194"/>
      <c r="F11053" s="194"/>
      <c r="G11053" s="81"/>
      <c r="H11053" s="81"/>
      <c r="I11053" s="81"/>
      <c r="J11053" s="81"/>
      <c r="K11053" s="81"/>
      <c r="L11053" s="81"/>
      <c r="M11053" s="81"/>
      <c r="N11053" s="81"/>
    </row>
    <row r="11054" spans="1:14" ht="14.25" customHeight="1" x14ac:dyDescent="0.25">
      <c r="A11054" s="473" t="s">
        <v>47</v>
      </c>
      <c r="B11054" s="620" t="s">
        <v>1209</v>
      </c>
      <c r="C11054" s="629"/>
      <c r="D11054" s="629"/>
      <c r="E11054" s="629"/>
      <c r="F11054" s="629"/>
      <c r="G11054" s="81"/>
      <c r="H11054" s="81"/>
      <c r="I11054" s="81"/>
      <c r="J11054" s="81"/>
      <c r="K11054" s="81"/>
      <c r="L11054" s="81"/>
      <c r="M11054" s="81"/>
      <c r="N11054" s="81"/>
    </row>
    <row r="11055" spans="1:14" ht="14.25" customHeight="1" x14ac:dyDescent="0.25">
      <c r="A11055" s="191"/>
      <c r="B11055" s="191"/>
      <c r="C11055" s="191"/>
      <c r="D11055" s="191"/>
      <c r="E11055" s="191"/>
      <c r="F11055" s="191"/>
      <c r="G11055" s="81"/>
      <c r="H11055" s="81"/>
      <c r="I11055" s="81"/>
      <c r="J11055" s="81"/>
      <c r="K11055" s="81"/>
      <c r="L11055" s="81"/>
      <c r="M11055" s="81"/>
      <c r="N11055" s="81"/>
    </row>
    <row r="11056" spans="1:14" ht="14.25" customHeight="1" x14ac:dyDescent="0.25">
      <c r="A11056" s="192" t="s">
        <v>49</v>
      </c>
      <c r="B11056" s="193" t="s">
        <v>99</v>
      </c>
      <c r="C11056" s="194"/>
      <c r="D11056" s="194"/>
      <c r="E11056" s="194"/>
      <c r="F11056" s="195"/>
      <c r="G11056" s="81"/>
      <c r="H11056" s="81"/>
      <c r="I11056" s="81"/>
      <c r="J11056" s="81"/>
      <c r="K11056" s="81"/>
      <c r="L11056" s="81"/>
      <c r="M11056" s="81"/>
      <c r="N11056" s="81"/>
    </row>
    <row r="11057" spans="1:14" ht="14.25" customHeight="1" x14ac:dyDescent="0.25">
      <c r="A11057" s="192"/>
      <c r="B11057" s="196"/>
      <c r="C11057" s="194"/>
      <c r="D11057" s="194"/>
      <c r="E11057" s="194"/>
      <c r="F11057" s="195"/>
      <c r="G11057" s="81"/>
      <c r="H11057" s="81"/>
      <c r="I11057" s="81"/>
      <c r="J11057" s="81"/>
      <c r="K11057" s="81"/>
      <c r="L11057" s="81"/>
      <c r="M11057" s="81"/>
      <c r="N11057" s="81"/>
    </row>
    <row r="11058" spans="1:14" ht="14.25" customHeight="1" x14ac:dyDescent="0.25">
      <c r="A11058" s="197" t="s">
        <v>562</v>
      </c>
      <c r="B11058" s="198"/>
      <c r="C11058" s="193"/>
      <c r="D11058" s="193"/>
      <c r="E11058" s="193"/>
      <c r="F11058" s="193"/>
      <c r="G11058" s="81"/>
      <c r="H11058" s="81"/>
      <c r="I11058" s="81"/>
      <c r="J11058" s="81"/>
      <c r="K11058" s="81"/>
      <c r="L11058" s="81"/>
      <c r="M11058" s="81"/>
      <c r="N11058" s="81"/>
    </row>
    <row r="11059" spans="1:14" ht="14.25" customHeight="1" x14ac:dyDescent="0.25">
      <c r="A11059" s="199" t="s">
        <v>563</v>
      </c>
      <c r="B11059" s="474" t="s">
        <v>564</v>
      </c>
      <c r="C11059" s="474" t="s">
        <v>565</v>
      </c>
      <c r="D11059" s="474" t="s">
        <v>566</v>
      </c>
      <c r="E11059" s="474" t="s">
        <v>567</v>
      </c>
      <c r="F11059" s="474" t="s">
        <v>568</v>
      </c>
      <c r="G11059" s="81"/>
      <c r="H11059" s="81"/>
      <c r="I11059" s="81"/>
      <c r="J11059" s="81"/>
      <c r="K11059" s="81"/>
      <c r="L11059" s="81"/>
      <c r="M11059" s="81"/>
      <c r="N11059" s="81"/>
    </row>
    <row r="11060" spans="1:14" ht="14.25" customHeight="1" x14ac:dyDescent="0.25">
      <c r="A11060" s="475" t="s">
        <v>1209</v>
      </c>
      <c r="B11060" s="476" t="s">
        <v>99</v>
      </c>
      <c r="C11060" s="477">
        <v>11750252</v>
      </c>
      <c r="D11060" s="478">
        <v>1</v>
      </c>
      <c r="E11060" s="479"/>
      <c r="F11060" s="477">
        <f t="shared" ref="F11060:F11062" si="546">C11060*(D11060+(D11060*E11060))</f>
        <v>11750252</v>
      </c>
      <c r="G11060" s="81"/>
      <c r="H11060" s="81"/>
      <c r="I11060" s="81"/>
      <c r="J11060" s="81"/>
      <c r="K11060" s="81"/>
      <c r="L11060" s="81"/>
      <c r="M11060" s="81"/>
      <c r="N11060" s="81"/>
    </row>
    <row r="11061" spans="1:14" ht="14.25" customHeight="1" x14ac:dyDescent="0.25">
      <c r="A11061" s="475"/>
      <c r="B11061" s="476"/>
      <c r="C11061" s="477"/>
      <c r="D11061" s="481"/>
      <c r="E11061" s="479"/>
      <c r="F11061" s="477">
        <f t="shared" si="546"/>
        <v>0</v>
      </c>
      <c r="G11061" s="81"/>
      <c r="H11061" s="81"/>
      <c r="I11061" s="81"/>
      <c r="J11061" s="81"/>
      <c r="K11061" s="81"/>
      <c r="L11061" s="81"/>
      <c r="M11061" s="81"/>
      <c r="N11061" s="81"/>
    </row>
    <row r="11062" spans="1:14" ht="14.25" customHeight="1" x14ac:dyDescent="0.25">
      <c r="A11062" s="475"/>
      <c r="B11062" s="476"/>
      <c r="C11062" s="477"/>
      <c r="D11062" s="481"/>
      <c r="E11062" s="479"/>
      <c r="F11062" s="477">
        <f t="shared" si="546"/>
        <v>0</v>
      </c>
      <c r="G11062" s="81"/>
      <c r="H11062" s="81"/>
      <c r="I11062" s="81"/>
      <c r="J11062" s="81"/>
      <c r="K11062" s="81"/>
      <c r="L11062" s="81"/>
      <c r="M11062" s="81"/>
      <c r="N11062" s="81"/>
    </row>
    <row r="11063" spans="1:14" ht="14.25" customHeight="1" x14ac:dyDescent="0.25">
      <c r="A11063" s="475"/>
      <c r="B11063" s="476"/>
      <c r="C11063" s="477"/>
      <c r="D11063" s="478"/>
      <c r="E11063" s="479"/>
      <c r="F11063" s="477"/>
      <c r="G11063" s="81"/>
      <c r="H11063" s="81"/>
      <c r="I11063" s="81"/>
      <c r="J11063" s="81"/>
      <c r="K11063" s="81"/>
      <c r="L11063" s="81"/>
      <c r="M11063" s="81"/>
      <c r="N11063" s="81"/>
    </row>
    <row r="11064" spans="1:14" ht="14.25" customHeight="1" x14ac:dyDescent="0.25">
      <c r="A11064" s="475"/>
      <c r="B11064" s="476"/>
      <c r="C11064" s="477"/>
      <c r="D11064" s="478"/>
      <c r="E11064" s="479"/>
      <c r="F11064" s="477"/>
      <c r="G11064" s="81"/>
      <c r="H11064" s="81"/>
      <c r="I11064" s="81"/>
      <c r="J11064" s="81"/>
      <c r="K11064" s="81"/>
      <c r="L11064" s="81"/>
      <c r="M11064" s="81"/>
      <c r="N11064" s="81"/>
    </row>
    <row r="11065" spans="1:14" ht="14.25" customHeight="1" x14ac:dyDescent="0.25">
      <c r="A11065" s="475"/>
      <c r="B11065" s="476"/>
      <c r="C11065" s="477"/>
      <c r="D11065" s="478"/>
      <c r="E11065" s="479"/>
      <c r="F11065" s="477"/>
      <c r="G11065" s="81"/>
      <c r="H11065" s="81"/>
      <c r="I11065" s="81"/>
      <c r="J11065" s="81"/>
      <c r="K11065" s="81"/>
      <c r="L11065" s="81"/>
      <c r="M11065" s="81"/>
      <c r="N11065" s="81"/>
    </row>
    <row r="11066" spans="1:14" ht="14.25" customHeight="1" x14ac:dyDescent="0.25">
      <c r="A11066" s="475"/>
      <c r="B11066" s="476"/>
      <c r="C11066" s="483"/>
      <c r="D11066" s="484"/>
      <c r="E11066" s="485"/>
      <c r="F11066" s="483"/>
      <c r="G11066" s="81"/>
      <c r="H11066" s="81"/>
      <c r="I11066" s="81"/>
      <c r="J11066" s="81"/>
      <c r="K11066" s="81"/>
      <c r="L11066" s="81"/>
      <c r="M11066" s="81"/>
      <c r="N11066" s="81"/>
    </row>
    <row r="11067" spans="1:14" ht="14.25" customHeight="1" x14ac:dyDescent="0.25">
      <c r="A11067" s="199" t="s">
        <v>548</v>
      </c>
      <c r="B11067" s="199"/>
      <c r="C11067" s="486"/>
      <c r="D11067" s="487"/>
      <c r="E11067" s="488"/>
      <c r="F11067" s="489">
        <f>SUM(F11060:F11066)</f>
        <v>11750252</v>
      </c>
      <c r="G11067" s="81"/>
      <c r="H11067" s="81"/>
      <c r="I11067" s="81"/>
      <c r="J11067" s="81"/>
      <c r="K11067" s="81"/>
      <c r="L11067" s="81"/>
      <c r="M11067" s="81"/>
      <c r="N11067" s="81"/>
    </row>
    <row r="11068" spans="1:14" ht="14.25" customHeight="1" x14ac:dyDescent="0.25">
      <c r="A11068" s="192"/>
      <c r="B11068" s="192"/>
      <c r="C11068" s="215"/>
      <c r="D11068" s="215"/>
      <c r="E11068" s="216"/>
      <c r="F11068" s="215"/>
      <c r="G11068" s="81"/>
      <c r="H11068" s="81"/>
      <c r="I11068" s="81"/>
      <c r="J11068" s="81"/>
      <c r="K11068" s="81"/>
      <c r="L11068" s="81"/>
      <c r="M11068" s="81"/>
      <c r="N11068" s="81"/>
    </row>
    <row r="11069" spans="1:14" ht="14.25" customHeight="1" x14ac:dyDescent="0.25">
      <c r="A11069" s="198" t="s">
        <v>573</v>
      </c>
      <c r="B11069" s="198"/>
      <c r="C11069" s="193"/>
      <c r="D11069" s="193"/>
      <c r="E11069" s="193"/>
      <c r="F11069" s="193"/>
      <c r="G11069" s="81"/>
      <c r="H11069" s="81"/>
      <c r="I11069" s="81"/>
      <c r="J11069" s="81"/>
      <c r="K11069" s="81"/>
      <c r="L11069" s="81"/>
      <c r="M11069" s="81"/>
      <c r="N11069" s="81"/>
    </row>
    <row r="11070" spans="1:14" ht="14.25" customHeight="1" x14ac:dyDescent="0.25">
      <c r="A11070" s="585" t="s">
        <v>563</v>
      </c>
      <c r="B11070" s="586"/>
      <c r="C11070" s="587"/>
      <c r="D11070" s="474" t="s">
        <v>574</v>
      </c>
      <c r="E11070" s="474" t="s">
        <v>575</v>
      </c>
      <c r="F11070" s="474" t="s">
        <v>568</v>
      </c>
      <c r="G11070" s="81"/>
      <c r="H11070" s="81"/>
      <c r="I11070" s="81"/>
      <c r="J11070" s="81"/>
      <c r="K11070" s="81"/>
      <c r="L11070" s="81"/>
      <c r="M11070" s="81"/>
      <c r="N11070" s="81"/>
    </row>
    <row r="11071" spans="1:14" ht="14.25" customHeight="1" x14ac:dyDescent="0.25">
      <c r="A11071" s="588" t="s">
        <v>577</v>
      </c>
      <c r="B11071" s="586"/>
      <c r="C11071" s="587"/>
      <c r="D11071" s="490"/>
      <c r="E11071" s="484"/>
      <c r="F11071" s="483">
        <f>+F11084*5%</f>
        <v>177083.33333333337</v>
      </c>
      <c r="G11071" s="81"/>
      <c r="H11071" s="81"/>
      <c r="I11071" s="81"/>
      <c r="J11071" s="81"/>
      <c r="K11071" s="81"/>
      <c r="L11071" s="81"/>
      <c r="M11071" s="81"/>
      <c r="N11071" s="81"/>
    </row>
    <row r="11072" spans="1:14" ht="14.25" customHeight="1" x14ac:dyDescent="0.25">
      <c r="A11072" s="588"/>
      <c r="B11072" s="586"/>
      <c r="C11072" s="587"/>
      <c r="D11072" s="505"/>
      <c r="E11072" s="484"/>
      <c r="F11072" s="483"/>
      <c r="G11072" s="81"/>
      <c r="H11072" s="81"/>
      <c r="I11072" s="81"/>
      <c r="J11072" s="81"/>
      <c r="K11072" s="81"/>
      <c r="L11072" s="81"/>
      <c r="M11072" s="81"/>
      <c r="N11072" s="81"/>
    </row>
    <row r="11073" spans="1:14" ht="14.25" customHeight="1" x14ac:dyDescent="0.25">
      <c r="A11073" s="588"/>
      <c r="B11073" s="586"/>
      <c r="C11073" s="587"/>
      <c r="D11073" s="505"/>
      <c r="E11073" s="484"/>
      <c r="F11073" s="483"/>
      <c r="G11073" s="81"/>
      <c r="H11073" s="81"/>
      <c r="I11073" s="81"/>
      <c r="J11073" s="81"/>
      <c r="K11073" s="81"/>
      <c r="L11073" s="81"/>
      <c r="M11073" s="81"/>
      <c r="N11073" s="81"/>
    </row>
    <row r="11074" spans="1:14" ht="14.25" customHeight="1" x14ac:dyDescent="0.25">
      <c r="A11074" s="588"/>
      <c r="B11074" s="586"/>
      <c r="C11074" s="587"/>
      <c r="D11074" s="505"/>
      <c r="E11074" s="484"/>
      <c r="F11074" s="483"/>
      <c r="G11074" s="81"/>
      <c r="H11074" s="81"/>
      <c r="I11074" s="81"/>
      <c r="J11074" s="81"/>
      <c r="K11074" s="81"/>
      <c r="L11074" s="81"/>
      <c r="M11074" s="81"/>
      <c r="N11074" s="81"/>
    </row>
    <row r="11075" spans="1:14" ht="14.25" customHeight="1" x14ac:dyDescent="0.25">
      <c r="A11075" s="589"/>
      <c r="B11075" s="586"/>
      <c r="C11075" s="587"/>
      <c r="D11075" s="491"/>
      <c r="E11075" s="484"/>
      <c r="F11075" s="483"/>
      <c r="G11075" s="81"/>
      <c r="H11075" s="81"/>
      <c r="I11075" s="81"/>
      <c r="J11075" s="81"/>
      <c r="K11075" s="81"/>
      <c r="L11075" s="81"/>
      <c r="M11075" s="81"/>
      <c r="N11075" s="81"/>
    </row>
    <row r="11076" spans="1:14" ht="14.25" customHeight="1" x14ac:dyDescent="0.25">
      <c r="A11076" s="585" t="s">
        <v>548</v>
      </c>
      <c r="B11076" s="586"/>
      <c r="C11076" s="587"/>
      <c r="D11076" s="487"/>
      <c r="E11076" s="487"/>
      <c r="F11076" s="489">
        <f>SUM(F11071:F11075)</f>
        <v>177083.33333333337</v>
      </c>
      <c r="G11076" s="81"/>
      <c r="H11076" s="81"/>
      <c r="I11076" s="81"/>
      <c r="J11076" s="81"/>
      <c r="K11076" s="81"/>
      <c r="L11076" s="81"/>
      <c r="M11076" s="81"/>
      <c r="N11076" s="81"/>
    </row>
    <row r="11077" spans="1:14" ht="14.25" customHeight="1" x14ac:dyDescent="0.25">
      <c r="A11077" s="192"/>
      <c r="B11077" s="192"/>
      <c r="C11077" s="194"/>
      <c r="D11077" s="215"/>
      <c r="E11077" s="215"/>
      <c r="F11077" s="215"/>
      <c r="G11077" s="81"/>
      <c r="H11077" s="81"/>
      <c r="I11077" s="81"/>
      <c r="J11077" s="81"/>
      <c r="K11077" s="81"/>
      <c r="L11077" s="81"/>
      <c r="M11077" s="81"/>
      <c r="N11077" s="81"/>
    </row>
    <row r="11078" spans="1:14" ht="14.25" customHeight="1" x14ac:dyDescent="0.25">
      <c r="A11078" s="198" t="s">
        <v>578</v>
      </c>
      <c r="B11078" s="198"/>
      <c r="C11078" s="193"/>
      <c r="D11078" s="223"/>
      <c r="E11078" s="223"/>
      <c r="F11078" s="223"/>
      <c r="G11078" s="81"/>
      <c r="H11078" s="81"/>
      <c r="I11078" s="81"/>
      <c r="J11078" s="81"/>
      <c r="K11078" s="81"/>
      <c r="L11078" s="81"/>
      <c r="M11078" s="81"/>
      <c r="N11078" s="81"/>
    </row>
    <row r="11079" spans="1:14" ht="14.25" customHeight="1" x14ac:dyDescent="0.25">
      <c r="A11079" s="224" t="s">
        <v>563</v>
      </c>
      <c r="B11079" s="492" t="s">
        <v>579</v>
      </c>
      <c r="C11079" s="492" t="s">
        <v>580</v>
      </c>
      <c r="D11079" s="493" t="s">
        <v>581</v>
      </c>
      <c r="E11079" s="493" t="s">
        <v>575</v>
      </c>
      <c r="F11079" s="493" t="s">
        <v>568</v>
      </c>
      <c r="G11079" s="81"/>
      <c r="H11079" s="81"/>
      <c r="I11079" s="81"/>
      <c r="J11079" s="81"/>
      <c r="K11079" s="81"/>
      <c r="L11079" s="81"/>
      <c r="M11079" s="81"/>
      <c r="N11079" s="81"/>
    </row>
    <row r="11080" spans="1:14" ht="14.25" customHeight="1" x14ac:dyDescent="0.25">
      <c r="A11080" s="494" t="s">
        <v>936</v>
      </c>
      <c r="B11080" s="495">
        <v>1</v>
      </c>
      <c r="C11080" s="477">
        <v>165000</v>
      </c>
      <c r="D11080" s="477">
        <f t="shared" ref="D11080:D11081" si="547">+C11080*1.7</f>
        <v>280500</v>
      </c>
      <c r="E11080" s="484">
        <v>0.12</v>
      </c>
      <c r="F11080" s="483">
        <f t="shared" ref="F11080:F11081" si="548">+B11080*(D11080)/E11080</f>
        <v>2337500</v>
      </c>
      <c r="G11080" s="81"/>
      <c r="H11080" s="81"/>
      <c r="I11080" s="81"/>
      <c r="J11080" s="81"/>
      <c r="K11080" s="81"/>
      <c r="L11080" s="81"/>
      <c r="M11080" s="81"/>
      <c r="N11080" s="81"/>
    </row>
    <row r="11081" spans="1:14" ht="14.25" customHeight="1" x14ac:dyDescent="0.25">
      <c r="A11081" s="494" t="s">
        <v>937</v>
      </c>
      <c r="B11081" s="495">
        <v>1</v>
      </c>
      <c r="C11081" s="477">
        <v>85000</v>
      </c>
      <c r="D11081" s="477">
        <f t="shared" si="547"/>
        <v>144500</v>
      </c>
      <c r="E11081" s="484">
        <f>E11080</f>
        <v>0.12</v>
      </c>
      <c r="F11081" s="483">
        <f t="shared" si="548"/>
        <v>1204166.6666666667</v>
      </c>
      <c r="G11081" s="81"/>
      <c r="H11081" s="81"/>
      <c r="I11081" s="81"/>
      <c r="J11081" s="81"/>
      <c r="K11081" s="81"/>
      <c r="L11081" s="81"/>
      <c r="M11081" s="81"/>
      <c r="N11081" s="81"/>
    </row>
    <row r="11082" spans="1:14" ht="14.25" customHeight="1" x14ac:dyDescent="0.25">
      <c r="A11082" s="494"/>
      <c r="B11082" s="495"/>
      <c r="C11082" s="477"/>
      <c r="D11082" s="477"/>
      <c r="E11082" s="484"/>
      <c r="F11082" s="483"/>
      <c r="G11082" s="81"/>
      <c r="H11082" s="81"/>
      <c r="I11082" s="81"/>
      <c r="J11082" s="81"/>
      <c r="K11082" s="81"/>
      <c r="L11082" s="81"/>
      <c r="M11082" s="81"/>
      <c r="N11082" s="81"/>
    </row>
    <row r="11083" spans="1:14" ht="14.25" customHeight="1" x14ac:dyDescent="0.25">
      <c r="A11083" s="494"/>
      <c r="B11083" s="495"/>
      <c r="C11083" s="477"/>
      <c r="D11083" s="477"/>
      <c r="E11083" s="496"/>
      <c r="F11083" s="483"/>
      <c r="G11083" s="81"/>
      <c r="H11083" s="81"/>
      <c r="I11083" s="81"/>
      <c r="J11083" s="81"/>
      <c r="K11083" s="81"/>
      <c r="L11083" s="81"/>
      <c r="M11083" s="81"/>
      <c r="N11083" s="81"/>
    </row>
    <row r="11084" spans="1:14" ht="14.25" customHeight="1" x14ac:dyDescent="0.25">
      <c r="A11084" s="199" t="s">
        <v>548</v>
      </c>
      <c r="B11084" s="497"/>
      <c r="C11084" s="487"/>
      <c r="D11084" s="487"/>
      <c r="E11084" s="487"/>
      <c r="F11084" s="489">
        <f>SUM(F11080:F11083)</f>
        <v>3541666.666666667</v>
      </c>
      <c r="G11084" s="81"/>
      <c r="H11084" s="81"/>
      <c r="I11084" s="81"/>
      <c r="J11084" s="81"/>
      <c r="K11084" s="81"/>
      <c r="L11084" s="81"/>
      <c r="M11084" s="81"/>
      <c r="N11084" s="81"/>
    </row>
    <row r="11085" spans="1:14" ht="14.25" customHeight="1" x14ac:dyDescent="0.25">
      <c r="A11085" s="198"/>
      <c r="B11085" s="231"/>
      <c r="C11085" s="223"/>
      <c r="D11085" s="223"/>
      <c r="E11085" s="223"/>
      <c r="F11085" s="223"/>
      <c r="G11085" s="81"/>
      <c r="H11085" s="81"/>
      <c r="I11085" s="81"/>
      <c r="J11085" s="81"/>
      <c r="K11085" s="81"/>
      <c r="L11085" s="81"/>
      <c r="M11085" s="81"/>
      <c r="N11085" s="81"/>
    </row>
    <row r="11086" spans="1:14" ht="14.25" customHeight="1" x14ac:dyDescent="0.25">
      <c r="A11086" s="197" t="s">
        <v>583</v>
      </c>
      <c r="B11086" s="198"/>
      <c r="C11086" s="193"/>
      <c r="D11086" s="193"/>
      <c r="E11086" s="193" t="s">
        <v>584</v>
      </c>
      <c r="F11086" s="193"/>
      <c r="G11086" s="81"/>
      <c r="H11086" s="81"/>
      <c r="I11086" s="81"/>
      <c r="J11086" s="81"/>
      <c r="K11086" s="81"/>
      <c r="L11086" s="81"/>
      <c r="M11086" s="81"/>
      <c r="N11086" s="81"/>
    </row>
    <row r="11087" spans="1:14" ht="14.25" customHeight="1" x14ac:dyDescent="0.25">
      <c r="A11087" s="199" t="s">
        <v>563</v>
      </c>
      <c r="B11087" s="474" t="s">
        <v>564</v>
      </c>
      <c r="C11087" s="474" t="s">
        <v>585</v>
      </c>
      <c r="D11087" s="474" t="s">
        <v>586</v>
      </c>
      <c r="E11087" s="492" t="s">
        <v>587</v>
      </c>
      <c r="F11087" s="474" t="s">
        <v>568</v>
      </c>
      <c r="G11087" s="81"/>
      <c r="H11087" s="81"/>
      <c r="I11087" s="81"/>
      <c r="J11087" s="81"/>
      <c r="K11087" s="81"/>
      <c r="L11087" s="81"/>
      <c r="M11087" s="81"/>
      <c r="N11087" s="81"/>
    </row>
    <row r="11088" spans="1:14" ht="66" customHeight="1" x14ac:dyDescent="0.25">
      <c r="A11088" s="480"/>
      <c r="B11088" s="476"/>
      <c r="C11088" s="477"/>
      <c r="D11088" s="498"/>
      <c r="E11088" s="484"/>
      <c r="F11088" s="486">
        <f>+C11088*D11088*E11088</f>
        <v>0</v>
      </c>
      <c r="G11088" s="81"/>
      <c r="H11088" s="81"/>
      <c r="I11088" s="81"/>
      <c r="J11088" s="81"/>
      <c r="K11088" s="81"/>
      <c r="L11088" s="81"/>
      <c r="M11088" s="81"/>
      <c r="N11088" s="81"/>
    </row>
    <row r="11089" spans="1:14" ht="14.25" customHeight="1" x14ac:dyDescent="0.25">
      <c r="A11089" s="480"/>
      <c r="B11089" s="476"/>
      <c r="C11089" s="484"/>
      <c r="D11089" s="484"/>
      <c r="E11089" s="485"/>
      <c r="F11089" s="486"/>
      <c r="G11089" s="81"/>
      <c r="H11089" s="81"/>
      <c r="I11089" s="81"/>
      <c r="J11089" s="81"/>
      <c r="K11089" s="81"/>
      <c r="L11089" s="81"/>
      <c r="M11089" s="81"/>
      <c r="N11089" s="81"/>
    </row>
    <row r="11090" spans="1:14" ht="14.25" customHeight="1" x14ac:dyDescent="0.25">
      <c r="A11090" s="199" t="s">
        <v>548</v>
      </c>
      <c r="B11090" s="474"/>
      <c r="C11090" s="487"/>
      <c r="D11090" s="487"/>
      <c r="E11090" s="488"/>
      <c r="F11090" s="489">
        <f>SUM(F11088:F11089)</f>
        <v>0</v>
      </c>
      <c r="G11090" s="81"/>
      <c r="H11090" s="81"/>
      <c r="I11090" s="81"/>
      <c r="J11090" s="81"/>
      <c r="K11090" s="81"/>
      <c r="L11090" s="81"/>
      <c r="M11090" s="81"/>
      <c r="N11090" s="81"/>
    </row>
    <row r="11091" spans="1:14" ht="14.25" customHeight="1" x14ac:dyDescent="0.25">
      <c r="A11091" s="192"/>
      <c r="B11091" s="194"/>
      <c r="C11091" s="215"/>
      <c r="D11091" s="215"/>
      <c r="E11091" s="216"/>
      <c r="F11091" s="215"/>
      <c r="G11091" s="81"/>
      <c r="H11091" s="81"/>
      <c r="I11091" s="81"/>
      <c r="J11091" s="81"/>
      <c r="K11091" s="81"/>
      <c r="L11091" s="81"/>
      <c r="M11091" s="81"/>
      <c r="N11091" s="81"/>
    </row>
    <row r="11092" spans="1:14" ht="14.25" customHeight="1" x14ac:dyDescent="0.25">
      <c r="A11092" s="192"/>
      <c r="B11092" s="194"/>
      <c r="C11092" s="215"/>
      <c r="D11092" s="215"/>
      <c r="E11092" s="216"/>
      <c r="F11092" s="215"/>
      <c r="G11092" s="81"/>
      <c r="H11092" s="81"/>
      <c r="I11092" s="81"/>
      <c r="J11092" s="81"/>
      <c r="K11092" s="81"/>
      <c r="L11092" s="81"/>
      <c r="M11092" s="81"/>
      <c r="N11092" s="81"/>
    </row>
    <row r="11093" spans="1:14" ht="14.25" customHeight="1" x14ac:dyDescent="0.25">
      <c r="A11093" s="590" t="s">
        <v>588</v>
      </c>
      <c r="B11093" s="586"/>
      <c r="C11093" s="586"/>
      <c r="D11093" s="586"/>
      <c r="E11093" s="587"/>
      <c r="F11093" s="499">
        <f>ROUND(F11067+F11076+F11084+F11090,0)</f>
        <v>15469002</v>
      </c>
      <c r="G11093" s="81"/>
      <c r="H11093" s="81"/>
      <c r="I11093" s="81"/>
      <c r="J11093" s="81"/>
      <c r="K11093" s="81"/>
      <c r="L11093" s="81"/>
      <c r="M11093" s="81"/>
      <c r="N11093" s="81"/>
    </row>
    <row r="11094" spans="1:14" ht="15.75" x14ac:dyDescent="0.25">
      <c r="A11094" s="590" t="s">
        <v>589</v>
      </c>
      <c r="B11094" s="586"/>
      <c r="C11094" s="586"/>
      <c r="D11094" s="586"/>
      <c r="E11094" s="587"/>
      <c r="F11094" s="500"/>
      <c r="G11094" s="81"/>
      <c r="H11094" s="81"/>
      <c r="I11094" s="81"/>
      <c r="J11094" s="81"/>
      <c r="K11094" s="81"/>
      <c r="L11094" s="81"/>
      <c r="M11094" s="81"/>
      <c r="N11094" s="81"/>
    </row>
    <row r="11095" spans="1:14" ht="15.75" x14ac:dyDescent="0.25">
      <c r="A11095" s="300" t="s">
        <v>556</v>
      </c>
      <c r="B11095" s="506"/>
      <c r="C11095" s="506"/>
      <c r="D11095" s="506"/>
      <c r="E11095" s="507"/>
      <c r="F11095" s="501"/>
      <c r="G11095" s="81"/>
      <c r="H11095" s="81"/>
      <c r="I11095" s="81"/>
      <c r="J11095" s="81"/>
      <c r="K11095" s="81"/>
      <c r="L11095" s="81"/>
      <c r="M11095" s="81"/>
      <c r="N11095" s="81"/>
    </row>
    <row r="11096" spans="1:14" ht="15.75" x14ac:dyDescent="0.25">
      <c r="A11096" s="301"/>
      <c r="B11096" s="502"/>
      <c r="C11096" s="502"/>
      <c r="D11096" s="502"/>
      <c r="E11096" s="502"/>
      <c r="F11096" s="503"/>
      <c r="G11096" s="81"/>
      <c r="H11096" s="81"/>
      <c r="I11096" s="81"/>
      <c r="J11096" s="81"/>
      <c r="K11096" s="81"/>
      <c r="L11096" s="81"/>
      <c r="M11096" s="81"/>
      <c r="N11096" s="81"/>
    </row>
    <row r="11097" spans="1:14" s="187" customFormat="1" ht="15.75" x14ac:dyDescent="0.25">
      <c r="A11097" s="301"/>
      <c r="B11097" s="502"/>
      <c r="C11097" s="502"/>
      <c r="D11097" s="502"/>
      <c r="E11097" s="502"/>
      <c r="F11097" s="503"/>
      <c r="G11097" s="81"/>
      <c r="H11097" s="81"/>
      <c r="I11097" s="81"/>
      <c r="J11097" s="81"/>
      <c r="K11097" s="81"/>
      <c r="L11097" s="81"/>
      <c r="M11097" s="81"/>
      <c r="N11097" s="81"/>
    </row>
    <row r="11098" spans="1:14" s="187" customFormat="1" ht="15.75" x14ac:dyDescent="0.25">
      <c r="A11098" s="301"/>
      <c r="B11098" s="502"/>
      <c r="C11098" s="502"/>
      <c r="D11098" s="502"/>
      <c r="E11098" s="502"/>
      <c r="F11098" s="503"/>
      <c r="G11098" s="81"/>
      <c r="H11098" s="81"/>
      <c r="I11098" s="81"/>
      <c r="J11098" s="81"/>
      <c r="K11098" s="81"/>
      <c r="L11098" s="81"/>
      <c r="M11098" s="81"/>
      <c r="N11098" s="81"/>
    </row>
    <row r="11099" spans="1:14" s="187" customFormat="1" ht="15.75" x14ac:dyDescent="0.25">
      <c r="A11099" s="243"/>
      <c r="B11099" s="243"/>
      <c r="C11099" s="504"/>
      <c r="D11099" s="243"/>
      <c r="E11099" s="243"/>
      <c r="F11099" s="243"/>
      <c r="G11099" s="81"/>
      <c r="H11099" s="81"/>
      <c r="I11099" s="81"/>
      <c r="J11099" s="81"/>
      <c r="K11099" s="81"/>
      <c r="L11099" s="81"/>
      <c r="M11099" s="81"/>
      <c r="N11099" s="81"/>
    </row>
    <row r="11100" spans="1:14" s="187" customFormat="1" ht="15.75" x14ac:dyDescent="0.25">
      <c r="A11100" s="243"/>
      <c r="B11100" s="243"/>
      <c r="C11100" s="504"/>
      <c r="D11100" s="243"/>
      <c r="E11100" s="243"/>
      <c r="F11100" s="243"/>
      <c r="G11100" s="81"/>
      <c r="H11100" s="81"/>
      <c r="I11100" s="81"/>
      <c r="J11100" s="81"/>
      <c r="K11100" s="81"/>
      <c r="L11100" s="81"/>
      <c r="M11100" s="81"/>
      <c r="N11100" s="81"/>
    </row>
    <row r="11101" spans="1:14" ht="15.75" x14ac:dyDescent="0.25">
      <c r="A11101" s="243"/>
      <c r="B11101" s="243"/>
      <c r="C11101" s="504"/>
      <c r="D11101" s="243"/>
      <c r="E11101" s="243"/>
      <c r="F11101" s="243"/>
      <c r="G11101" s="81"/>
      <c r="H11101" s="81"/>
      <c r="I11101" s="81"/>
      <c r="J11101" s="81"/>
      <c r="K11101" s="81"/>
      <c r="L11101" s="81"/>
      <c r="M11101" s="81"/>
      <c r="N11101" s="81"/>
    </row>
    <row r="11102" spans="1:14" ht="14.25" customHeight="1" x14ac:dyDescent="0.25">
      <c r="A11102" s="243"/>
      <c r="B11102" s="243"/>
      <c r="C11102" s="504"/>
      <c r="D11102" s="243"/>
      <c r="E11102" s="243"/>
      <c r="F11102" s="243"/>
      <c r="G11102" s="81"/>
      <c r="H11102" s="81"/>
      <c r="I11102" s="81"/>
      <c r="J11102" s="81"/>
      <c r="K11102" s="81"/>
      <c r="L11102" s="81"/>
      <c r="M11102" s="81"/>
      <c r="N11102" s="81"/>
    </row>
    <row r="11103" spans="1:14" ht="14.25" customHeight="1" x14ac:dyDescent="0.25">
      <c r="A11103" s="243"/>
      <c r="B11103" s="243"/>
      <c r="C11103" s="504"/>
      <c r="D11103" s="243"/>
      <c r="E11103" s="243"/>
      <c r="F11103" s="243"/>
      <c r="G11103" s="81"/>
      <c r="H11103" s="81"/>
      <c r="I11103" s="81"/>
      <c r="J11103" s="81"/>
      <c r="K11103" s="81"/>
      <c r="L11103" s="81"/>
      <c r="M11103" s="81"/>
      <c r="N11103" s="81"/>
    </row>
    <row r="11104" spans="1:14" ht="14.25" customHeight="1" x14ac:dyDescent="0.25">
      <c r="A11104" s="243"/>
      <c r="B11104" s="243"/>
      <c r="C11104" s="504"/>
      <c r="D11104" s="243"/>
      <c r="E11104" s="243"/>
      <c r="F11104" s="243"/>
      <c r="G11104" s="81"/>
      <c r="H11104" s="81"/>
      <c r="I11104" s="81"/>
      <c r="J11104" s="81"/>
      <c r="K11104" s="81"/>
      <c r="L11104" s="81"/>
      <c r="M11104" s="81"/>
      <c r="N11104" s="81"/>
    </row>
    <row r="11105" spans="1:14" ht="14.25" customHeight="1" x14ac:dyDescent="0.25">
      <c r="A11105" s="243"/>
      <c r="B11105" s="243"/>
      <c r="C11105" s="504"/>
      <c r="D11105" s="243"/>
      <c r="E11105" s="243"/>
      <c r="F11105" s="243"/>
      <c r="G11105" s="81"/>
      <c r="H11105" s="81"/>
      <c r="I11105" s="81"/>
      <c r="J11105" s="81"/>
      <c r="K11105" s="81"/>
      <c r="L11105" s="81"/>
      <c r="M11105" s="81"/>
      <c r="N11105" s="81"/>
    </row>
    <row r="11106" spans="1:14" ht="14.25" customHeight="1" x14ac:dyDescent="0.25">
      <c r="A11106" s="243"/>
      <c r="B11106" s="243"/>
      <c r="C11106" s="504"/>
      <c r="D11106" s="243"/>
      <c r="E11106" s="243"/>
      <c r="F11106" s="243"/>
      <c r="G11106" s="81"/>
      <c r="H11106" s="81"/>
      <c r="I11106" s="81"/>
      <c r="J11106" s="81"/>
      <c r="K11106" s="81"/>
      <c r="L11106" s="81"/>
      <c r="M11106" s="81"/>
      <c r="N11106" s="81"/>
    </row>
    <row r="11107" spans="1:14" ht="14.25" customHeight="1" x14ac:dyDescent="0.25">
      <c r="A11107" s="243"/>
      <c r="B11107" s="243"/>
      <c r="C11107" s="504"/>
      <c r="D11107" s="243"/>
      <c r="E11107" s="243"/>
      <c r="F11107" s="243"/>
      <c r="G11107" s="81"/>
      <c r="H11107" s="81"/>
      <c r="I11107" s="81"/>
      <c r="J11107" s="81"/>
      <c r="K11107" s="81"/>
      <c r="L11107" s="81"/>
      <c r="M11107" s="81"/>
      <c r="N11107" s="81"/>
    </row>
    <row r="11108" spans="1:14" ht="14.25" customHeight="1" x14ac:dyDescent="0.25">
      <c r="A11108" s="243"/>
      <c r="B11108" s="243"/>
      <c r="C11108" s="504"/>
      <c r="D11108" s="243"/>
      <c r="E11108" s="243"/>
      <c r="F11108" s="243"/>
      <c r="G11108" s="81"/>
      <c r="H11108" s="81"/>
      <c r="I11108" s="81"/>
      <c r="J11108" s="81"/>
      <c r="K11108" s="81"/>
      <c r="L11108" s="81"/>
      <c r="M11108" s="81"/>
      <c r="N11108" s="81"/>
    </row>
    <row r="11109" spans="1:14" ht="14.25" customHeight="1" thickBot="1" x14ac:dyDescent="0.3">
      <c r="A11109" s="243"/>
      <c r="B11109" s="243"/>
      <c r="C11109" s="504"/>
      <c r="D11109" s="243"/>
      <c r="E11109" s="243"/>
      <c r="F11109" s="243"/>
      <c r="G11109" s="81"/>
      <c r="H11109" s="81"/>
      <c r="I11109" s="81"/>
      <c r="J11109" s="81"/>
      <c r="K11109" s="81"/>
      <c r="L11109" s="81"/>
      <c r="M11109" s="81"/>
      <c r="N11109" s="81"/>
    </row>
    <row r="11110" spans="1:14" ht="14.25" customHeight="1" x14ac:dyDescent="0.25">
      <c r="A11110" s="258"/>
      <c r="B11110" s="259"/>
      <c r="C11110" s="260"/>
      <c r="D11110" s="261"/>
      <c r="E11110" s="261"/>
      <c r="F11110" s="262"/>
      <c r="G11110" s="81"/>
      <c r="H11110" s="81"/>
      <c r="I11110" s="81"/>
      <c r="J11110" s="81"/>
      <c r="K11110" s="81"/>
      <c r="L11110" s="81"/>
      <c r="M11110" s="81"/>
      <c r="N11110" s="81"/>
    </row>
    <row r="11111" spans="1:14" ht="14.25" customHeight="1" x14ac:dyDescent="0.25">
      <c r="A11111" s="621"/>
      <c r="B11111" s="629"/>
      <c r="C11111" s="629"/>
      <c r="D11111" s="629"/>
      <c r="E11111" s="629"/>
      <c r="F11111" s="630"/>
      <c r="G11111" s="81"/>
      <c r="H11111" s="81"/>
      <c r="I11111" s="81"/>
      <c r="J11111" s="81"/>
      <c r="K11111" s="81"/>
      <c r="L11111" s="81"/>
      <c r="M11111" s="81"/>
      <c r="N11111" s="81"/>
    </row>
    <row r="11112" spans="1:14" ht="14.25" customHeight="1" x14ac:dyDescent="0.25">
      <c r="A11112" s="614" t="s">
        <v>561</v>
      </c>
      <c r="B11112" s="629"/>
      <c r="C11112" s="629"/>
      <c r="D11112" s="629"/>
      <c r="E11112" s="629"/>
      <c r="F11112" s="630"/>
      <c r="G11112" s="81"/>
      <c r="H11112" s="81"/>
      <c r="I11112" s="81"/>
      <c r="J11112" s="81"/>
      <c r="K11112" s="81"/>
      <c r="L11112" s="81"/>
      <c r="M11112" s="81"/>
      <c r="N11112" s="81"/>
    </row>
    <row r="11113" spans="1:14" ht="14.25" customHeight="1" thickBot="1" x14ac:dyDescent="0.3">
      <c r="A11113" s="617"/>
      <c r="B11113" s="631"/>
      <c r="C11113" s="631"/>
      <c r="D11113" s="631"/>
      <c r="E11113" s="631"/>
      <c r="F11113" s="632"/>
      <c r="G11113" s="81"/>
      <c r="H11113" s="81"/>
      <c r="I11113" s="81"/>
      <c r="J11113" s="81"/>
      <c r="K11113" s="81"/>
      <c r="L11113" s="81"/>
      <c r="M11113" s="81"/>
      <c r="N11113" s="81"/>
    </row>
    <row r="11114" spans="1:14" ht="14.25" customHeight="1" x14ac:dyDescent="0.25">
      <c r="A11114" s="192"/>
      <c r="B11114" s="192"/>
      <c r="C11114" s="194"/>
      <c r="D11114" s="194"/>
      <c r="E11114" s="194"/>
      <c r="F11114" s="194"/>
      <c r="G11114" s="81"/>
      <c r="H11114" s="81"/>
      <c r="I11114" s="81"/>
      <c r="J11114" s="81"/>
      <c r="K11114" s="81"/>
      <c r="L11114" s="81"/>
      <c r="M11114" s="81"/>
      <c r="N11114" s="81"/>
    </row>
    <row r="11115" spans="1:14" ht="14.25" customHeight="1" x14ac:dyDescent="0.25">
      <c r="A11115" s="473" t="s">
        <v>47</v>
      </c>
      <c r="B11115" s="620" t="s">
        <v>1210</v>
      </c>
      <c r="C11115" s="629"/>
      <c r="D11115" s="629"/>
      <c r="E11115" s="629"/>
      <c r="F11115" s="629"/>
      <c r="G11115" s="81"/>
      <c r="H11115" s="81"/>
      <c r="I11115" s="81"/>
      <c r="J11115" s="81"/>
      <c r="K11115" s="81"/>
      <c r="L11115" s="81"/>
      <c r="M11115" s="81"/>
      <c r="N11115" s="81"/>
    </row>
    <row r="11116" spans="1:14" ht="14.25" customHeight="1" x14ac:dyDescent="0.25">
      <c r="A11116" s="191"/>
      <c r="B11116" s="191"/>
      <c r="C11116" s="191"/>
      <c r="D11116" s="191"/>
      <c r="E11116" s="191"/>
      <c r="F11116" s="191"/>
      <c r="G11116" s="81"/>
      <c r="H11116" s="81"/>
      <c r="I11116" s="81"/>
      <c r="J11116" s="81"/>
      <c r="K11116" s="81"/>
      <c r="L11116" s="81"/>
      <c r="M11116" s="81"/>
      <c r="N11116" s="81"/>
    </row>
    <row r="11117" spans="1:14" ht="14.25" customHeight="1" x14ac:dyDescent="0.25">
      <c r="A11117" s="192" t="s">
        <v>49</v>
      </c>
      <c r="B11117" s="193" t="s">
        <v>99</v>
      </c>
      <c r="C11117" s="194"/>
      <c r="D11117" s="194"/>
      <c r="E11117" s="194"/>
      <c r="F11117" s="195"/>
      <c r="G11117" s="81"/>
      <c r="H11117" s="81"/>
      <c r="I11117" s="81"/>
      <c r="J11117" s="81"/>
      <c r="K11117" s="81"/>
      <c r="L11117" s="81"/>
      <c r="M11117" s="81"/>
      <c r="N11117" s="81"/>
    </row>
    <row r="11118" spans="1:14" ht="14.25" customHeight="1" x14ac:dyDescent="0.25">
      <c r="A11118" s="192"/>
      <c r="B11118" s="196"/>
      <c r="C11118" s="194"/>
      <c r="D11118" s="194"/>
      <c r="E11118" s="194"/>
      <c r="F11118" s="195"/>
      <c r="G11118" s="81"/>
      <c r="H11118" s="81"/>
      <c r="I11118" s="81"/>
      <c r="J11118" s="81"/>
      <c r="K11118" s="81"/>
      <c r="L11118" s="81"/>
      <c r="M11118" s="81"/>
      <c r="N11118" s="81"/>
    </row>
    <row r="11119" spans="1:14" ht="14.25" customHeight="1" x14ac:dyDescent="0.25">
      <c r="A11119" s="197" t="s">
        <v>562</v>
      </c>
      <c r="B11119" s="198"/>
      <c r="C11119" s="193"/>
      <c r="D11119" s="193"/>
      <c r="E11119" s="193"/>
      <c r="F11119" s="193"/>
      <c r="G11119" s="81"/>
      <c r="H11119" s="81"/>
      <c r="I11119" s="81"/>
      <c r="J11119" s="81"/>
      <c r="K11119" s="81"/>
      <c r="L11119" s="81"/>
      <c r="M11119" s="81"/>
      <c r="N11119" s="81"/>
    </row>
    <row r="11120" spans="1:14" ht="14.25" customHeight="1" x14ac:dyDescent="0.25">
      <c r="A11120" s="199" t="s">
        <v>563</v>
      </c>
      <c r="B11120" s="474" t="s">
        <v>564</v>
      </c>
      <c r="C11120" s="474" t="s">
        <v>565</v>
      </c>
      <c r="D11120" s="474" t="s">
        <v>566</v>
      </c>
      <c r="E11120" s="474" t="s">
        <v>567</v>
      </c>
      <c r="F11120" s="474" t="s">
        <v>568</v>
      </c>
      <c r="G11120" s="81"/>
      <c r="H11120" s="81"/>
      <c r="I11120" s="81"/>
      <c r="J11120" s="81"/>
      <c r="K11120" s="81"/>
      <c r="L11120" s="81"/>
      <c r="M11120" s="81"/>
      <c r="N11120" s="81"/>
    </row>
    <row r="11121" spans="1:14" ht="14.25" customHeight="1" x14ac:dyDescent="0.25">
      <c r="A11121" s="475" t="s">
        <v>1210</v>
      </c>
      <c r="B11121" s="476" t="s">
        <v>99</v>
      </c>
      <c r="C11121" s="477">
        <v>11531512</v>
      </c>
      <c r="D11121" s="478">
        <v>1</v>
      </c>
      <c r="E11121" s="479"/>
      <c r="F11121" s="477">
        <f t="shared" ref="F11121:F11123" si="549">C11121*(D11121+(D11121*E11121))</f>
        <v>11531512</v>
      </c>
      <c r="G11121" s="81"/>
      <c r="H11121" s="81"/>
      <c r="I11121" s="81"/>
      <c r="J11121" s="81"/>
      <c r="K11121" s="81"/>
      <c r="L11121" s="81"/>
      <c r="M11121" s="81"/>
      <c r="N11121" s="81"/>
    </row>
    <row r="11122" spans="1:14" ht="14.25" customHeight="1" x14ac:dyDescent="0.25">
      <c r="A11122" s="475"/>
      <c r="B11122" s="476"/>
      <c r="C11122" s="477"/>
      <c r="D11122" s="481"/>
      <c r="E11122" s="479"/>
      <c r="F11122" s="477">
        <f t="shared" si="549"/>
        <v>0</v>
      </c>
      <c r="G11122" s="81"/>
      <c r="H11122" s="81"/>
      <c r="I11122" s="81"/>
      <c r="J11122" s="81"/>
      <c r="K11122" s="81"/>
      <c r="L11122" s="81"/>
      <c r="M11122" s="81"/>
      <c r="N11122" s="81"/>
    </row>
    <row r="11123" spans="1:14" ht="14.25" customHeight="1" x14ac:dyDescent="0.25">
      <c r="A11123" s="475"/>
      <c r="B11123" s="476"/>
      <c r="C11123" s="477"/>
      <c r="D11123" s="481"/>
      <c r="E11123" s="479"/>
      <c r="F11123" s="477">
        <f t="shared" si="549"/>
        <v>0</v>
      </c>
      <c r="G11123" s="81"/>
      <c r="H11123" s="81"/>
      <c r="I11123" s="81"/>
      <c r="J11123" s="81"/>
      <c r="K11123" s="81"/>
      <c r="L11123" s="81"/>
      <c r="M11123" s="81"/>
      <c r="N11123" s="81"/>
    </row>
    <row r="11124" spans="1:14" ht="14.25" customHeight="1" x14ac:dyDescent="0.25">
      <c r="A11124" s="475"/>
      <c r="B11124" s="476"/>
      <c r="C11124" s="477"/>
      <c r="D11124" s="478"/>
      <c r="E11124" s="479"/>
      <c r="F11124" s="477"/>
      <c r="G11124" s="81"/>
      <c r="H11124" s="81"/>
      <c r="I11124" s="81"/>
      <c r="J11124" s="81"/>
      <c r="K11124" s="81"/>
      <c r="L11124" s="81"/>
      <c r="M11124" s="81"/>
      <c r="N11124" s="81"/>
    </row>
    <row r="11125" spans="1:14" ht="14.25" customHeight="1" x14ac:dyDescent="0.25">
      <c r="A11125" s="475"/>
      <c r="B11125" s="476"/>
      <c r="C11125" s="477"/>
      <c r="D11125" s="478"/>
      <c r="E11125" s="479"/>
      <c r="F11125" s="477"/>
      <c r="G11125" s="81"/>
      <c r="H11125" s="81"/>
      <c r="I11125" s="81"/>
      <c r="J11125" s="81"/>
      <c r="K11125" s="81"/>
      <c r="L11125" s="81"/>
      <c r="M11125" s="81"/>
      <c r="N11125" s="81"/>
    </row>
    <row r="11126" spans="1:14" ht="14.25" customHeight="1" x14ac:dyDescent="0.25">
      <c r="A11126" s="475"/>
      <c r="B11126" s="476"/>
      <c r="C11126" s="477"/>
      <c r="D11126" s="478"/>
      <c r="E11126" s="479"/>
      <c r="F11126" s="477"/>
      <c r="G11126" s="81"/>
      <c r="H11126" s="81"/>
      <c r="I11126" s="81"/>
      <c r="J11126" s="81"/>
      <c r="K11126" s="81"/>
      <c r="L11126" s="81"/>
      <c r="M11126" s="81"/>
      <c r="N11126" s="81"/>
    </row>
    <row r="11127" spans="1:14" ht="14.25" customHeight="1" x14ac:dyDescent="0.25">
      <c r="A11127" s="475"/>
      <c r="B11127" s="476"/>
      <c r="C11127" s="483"/>
      <c r="D11127" s="484"/>
      <c r="E11127" s="485"/>
      <c r="F11127" s="483"/>
      <c r="G11127" s="81"/>
      <c r="H11127" s="81"/>
      <c r="I11127" s="81"/>
      <c r="J11127" s="81"/>
      <c r="K11127" s="81"/>
      <c r="L11127" s="81"/>
      <c r="M11127" s="81"/>
      <c r="N11127" s="81"/>
    </row>
    <row r="11128" spans="1:14" ht="14.25" customHeight="1" x14ac:dyDescent="0.25">
      <c r="A11128" s="199" t="s">
        <v>548</v>
      </c>
      <c r="B11128" s="199"/>
      <c r="C11128" s="486"/>
      <c r="D11128" s="487"/>
      <c r="E11128" s="488"/>
      <c r="F11128" s="489">
        <f>SUM(F11121:F11127)</f>
        <v>11531512</v>
      </c>
      <c r="G11128" s="81"/>
      <c r="H11128" s="81"/>
      <c r="I11128" s="81"/>
      <c r="J11128" s="81"/>
      <c r="K11128" s="81"/>
      <c r="L11128" s="81"/>
      <c r="M11128" s="81"/>
      <c r="N11128" s="81"/>
    </row>
    <row r="11129" spans="1:14" ht="14.25" customHeight="1" x14ac:dyDescent="0.25">
      <c r="A11129" s="192"/>
      <c r="B11129" s="192"/>
      <c r="C11129" s="215"/>
      <c r="D11129" s="215"/>
      <c r="E11129" s="216"/>
      <c r="F11129" s="215"/>
      <c r="G11129" s="81"/>
      <c r="H11129" s="81"/>
      <c r="I11129" s="81"/>
      <c r="J11129" s="81"/>
      <c r="K11129" s="81"/>
      <c r="L11129" s="81"/>
      <c r="M11129" s="81"/>
      <c r="N11129" s="81"/>
    </row>
    <row r="11130" spans="1:14" ht="14.25" customHeight="1" x14ac:dyDescent="0.25">
      <c r="A11130" s="198" t="s">
        <v>573</v>
      </c>
      <c r="B11130" s="198"/>
      <c r="C11130" s="193"/>
      <c r="D11130" s="193"/>
      <c r="E11130" s="193"/>
      <c r="F11130" s="193"/>
      <c r="G11130" s="81"/>
      <c r="H11130" s="81"/>
      <c r="I11130" s="81"/>
      <c r="J11130" s="81"/>
      <c r="K11130" s="81"/>
      <c r="L11130" s="81"/>
      <c r="M11130" s="81"/>
      <c r="N11130" s="81"/>
    </row>
    <row r="11131" spans="1:14" ht="14.25" customHeight="1" x14ac:dyDescent="0.25">
      <c r="A11131" s="585" t="s">
        <v>563</v>
      </c>
      <c r="B11131" s="586"/>
      <c r="C11131" s="587"/>
      <c r="D11131" s="474" t="s">
        <v>574</v>
      </c>
      <c r="E11131" s="474" t="s">
        <v>575</v>
      </c>
      <c r="F11131" s="474" t="s">
        <v>568</v>
      </c>
      <c r="G11131" s="81"/>
      <c r="H11131" s="81"/>
      <c r="I11131" s="81"/>
      <c r="J11131" s="81"/>
      <c r="K11131" s="81"/>
      <c r="L11131" s="81"/>
      <c r="M11131" s="81"/>
      <c r="N11131" s="81"/>
    </row>
    <row r="11132" spans="1:14" ht="14.25" customHeight="1" x14ac:dyDescent="0.25">
      <c r="A11132" s="588" t="s">
        <v>577</v>
      </c>
      <c r="B11132" s="586"/>
      <c r="C11132" s="587"/>
      <c r="D11132" s="490"/>
      <c r="E11132" s="484"/>
      <c r="F11132" s="483">
        <f>+F11145*5%</f>
        <v>113837.58571428571</v>
      </c>
      <c r="G11132" s="81"/>
      <c r="H11132" s="81"/>
      <c r="I11132" s="81"/>
      <c r="J11132" s="81"/>
      <c r="K11132" s="81"/>
      <c r="L11132" s="81"/>
      <c r="M11132" s="81"/>
      <c r="N11132" s="81"/>
    </row>
    <row r="11133" spans="1:14" ht="14.25" customHeight="1" x14ac:dyDescent="0.25">
      <c r="A11133" s="588"/>
      <c r="B11133" s="586"/>
      <c r="C11133" s="587"/>
      <c r="D11133" s="505"/>
      <c r="E11133" s="484"/>
      <c r="F11133" s="483"/>
      <c r="G11133" s="81"/>
      <c r="H11133" s="81"/>
      <c r="I11133" s="81"/>
      <c r="J11133" s="81"/>
      <c r="K11133" s="81"/>
      <c r="L11133" s="81"/>
      <c r="M11133" s="81"/>
      <c r="N11133" s="81"/>
    </row>
    <row r="11134" spans="1:14" ht="14.25" customHeight="1" x14ac:dyDescent="0.25">
      <c r="A11134" s="588"/>
      <c r="B11134" s="586"/>
      <c r="C11134" s="587"/>
      <c r="D11134" s="505"/>
      <c r="E11134" s="484"/>
      <c r="F11134" s="483"/>
      <c r="G11134" s="81"/>
      <c r="H11134" s="117"/>
      <c r="I11134" s="81"/>
      <c r="J11134" s="81"/>
      <c r="K11134" s="81"/>
      <c r="L11134" s="81"/>
      <c r="M11134" s="81"/>
      <c r="N11134" s="81"/>
    </row>
    <row r="11135" spans="1:14" ht="14.25" customHeight="1" x14ac:dyDescent="0.25">
      <c r="A11135" s="588"/>
      <c r="B11135" s="586"/>
      <c r="C11135" s="587"/>
      <c r="D11135" s="505"/>
      <c r="E11135" s="484"/>
      <c r="F11135" s="483"/>
      <c r="G11135" s="81"/>
      <c r="H11135" s="81"/>
      <c r="I11135" s="81"/>
      <c r="J11135" s="81"/>
      <c r="K11135" s="81"/>
      <c r="L11135" s="81"/>
      <c r="M11135" s="81"/>
      <c r="N11135" s="81"/>
    </row>
    <row r="11136" spans="1:14" ht="14.25" customHeight="1" x14ac:dyDescent="0.25">
      <c r="A11136" s="589"/>
      <c r="B11136" s="586"/>
      <c r="C11136" s="587"/>
      <c r="D11136" s="491"/>
      <c r="E11136" s="484"/>
      <c r="F11136" s="483"/>
      <c r="G11136" s="81"/>
      <c r="H11136" s="81"/>
      <c r="I11136" s="81"/>
      <c r="J11136" s="81"/>
      <c r="K11136" s="81"/>
      <c r="L11136" s="81"/>
      <c r="M11136" s="81"/>
      <c r="N11136" s="81"/>
    </row>
    <row r="11137" spans="1:14" ht="14.25" customHeight="1" x14ac:dyDescent="0.25">
      <c r="A11137" s="585" t="s">
        <v>548</v>
      </c>
      <c r="B11137" s="586"/>
      <c r="C11137" s="587"/>
      <c r="D11137" s="487"/>
      <c r="E11137" s="487"/>
      <c r="F11137" s="489">
        <f>SUM(F11132:F11136)</f>
        <v>113837.58571428571</v>
      </c>
      <c r="G11137" s="81"/>
      <c r="H11137" s="81"/>
      <c r="I11137" s="81"/>
      <c r="J11137" s="81"/>
      <c r="K11137" s="81"/>
      <c r="L11137" s="81"/>
      <c r="M11137" s="81"/>
      <c r="N11137" s="81"/>
    </row>
    <row r="11138" spans="1:14" ht="14.25" customHeight="1" x14ac:dyDescent="0.25">
      <c r="A11138" s="192"/>
      <c r="B11138" s="192"/>
      <c r="C11138" s="194"/>
      <c r="D11138" s="215"/>
      <c r="E11138" s="215"/>
      <c r="F11138" s="215"/>
      <c r="G11138" s="81"/>
      <c r="H11138" s="81"/>
      <c r="I11138" s="81"/>
      <c r="J11138" s="81"/>
      <c r="K11138" s="81"/>
      <c r="L11138" s="81"/>
      <c r="M11138" s="81"/>
      <c r="N11138" s="81"/>
    </row>
    <row r="11139" spans="1:14" ht="14.25" customHeight="1" x14ac:dyDescent="0.25">
      <c r="A11139" s="198" t="s">
        <v>578</v>
      </c>
      <c r="B11139" s="198"/>
      <c r="C11139" s="193"/>
      <c r="D11139" s="223"/>
      <c r="E11139" s="223"/>
      <c r="F11139" s="223"/>
      <c r="G11139" s="81"/>
      <c r="H11139" s="81"/>
      <c r="I11139" s="81"/>
      <c r="J11139" s="81"/>
      <c r="K11139" s="81"/>
      <c r="L11139" s="81"/>
      <c r="M11139" s="81"/>
      <c r="N11139" s="81"/>
    </row>
    <row r="11140" spans="1:14" ht="14.25" customHeight="1" x14ac:dyDescent="0.25">
      <c r="A11140" s="224" t="s">
        <v>563</v>
      </c>
      <c r="B11140" s="492" t="s">
        <v>579</v>
      </c>
      <c r="C11140" s="492" t="s">
        <v>580</v>
      </c>
      <c r="D11140" s="493" t="s">
        <v>581</v>
      </c>
      <c r="E11140" s="493" t="s">
        <v>575</v>
      </c>
      <c r="F11140" s="493" t="s">
        <v>568</v>
      </c>
      <c r="G11140" s="81"/>
      <c r="H11140" s="81"/>
      <c r="I11140" s="81"/>
      <c r="J11140" s="81"/>
      <c r="K11140" s="81"/>
      <c r="L11140" s="81"/>
      <c r="M11140" s="81"/>
      <c r="N11140" s="81"/>
    </row>
    <row r="11141" spans="1:14" ht="14.25" customHeight="1" x14ac:dyDescent="0.25">
      <c r="A11141" s="494" t="s">
        <v>916</v>
      </c>
      <c r="B11141" s="495">
        <v>1</v>
      </c>
      <c r="C11141" s="477">
        <v>35956.800000000003</v>
      </c>
      <c r="D11141" s="477">
        <f t="shared" ref="D11141:D11142" si="550">+C11141*1.7</f>
        <v>61126.560000000005</v>
      </c>
      <c r="E11141" s="484">
        <v>7.0000000000000007E-2</v>
      </c>
      <c r="F11141" s="483">
        <f t="shared" ref="F11141:F11142" si="551">+B11141*(D11141)/E11141</f>
        <v>873236.57142857136</v>
      </c>
      <c r="G11141" s="81"/>
      <c r="H11141" s="81"/>
      <c r="I11141" s="81"/>
      <c r="J11141" s="81"/>
      <c r="K11141" s="81"/>
      <c r="L11141" s="81"/>
      <c r="M11141" s="81"/>
      <c r="N11141" s="81"/>
    </row>
    <row r="11142" spans="1:14" ht="14.25" customHeight="1" x14ac:dyDescent="0.25">
      <c r="A11142" s="494" t="s">
        <v>917</v>
      </c>
      <c r="B11142" s="495">
        <v>1</v>
      </c>
      <c r="C11142" s="477">
        <v>57791.8</v>
      </c>
      <c r="D11142" s="477">
        <f t="shared" si="550"/>
        <v>98246.06</v>
      </c>
      <c r="E11142" s="484">
        <f>E11141</f>
        <v>7.0000000000000007E-2</v>
      </c>
      <c r="F11142" s="483">
        <f t="shared" si="551"/>
        <v>1403515.1428571427</v>
      </c>
      <c r="G11142" s="81"/>
      <c r="H11142" s="81"/>
      <c r="I11142" s="81"/>
      <c r="J11142" s="81"/>
      <c r="K11142" s="81"/>
      <c r="L11142" s="81"/>
      <c r="M11142" s="81"/>
      <c r="N11142" s="81"/>
    </row>
    <row r="11143" spans="1:14" ht="14.25" customHeight="1" x14ac:dyDescent="0.25">
      <c r="A11143" s="494"/>
      <c r="B11143" s="495"/>
      <c r="C11143" s="477"/>
      <c r="D11143" s="477"/>
      <c r="E11143" s="484"/>
      <c r="F11143" s="483"/>
      <c r="G11143" s="81"/>
      <c r="H11143" s="81"/>
      <c r="I11143" s="81"/>
      <c r="J11143" s="81"/>
      <c r="K11143" s="81"/>
      <c r="L11143" s="81"/>
      <c r="M11143" s="81"/>
      <c r="N11143" s="81"/>
    </row>
    <row r="11144" spans="1:14" ht="14.25" customHeight="1" x14ac:dyDescent="0.25">
      <c r="A11144" s="494"/>
      <c r="B11144" s="495"/>
      <c r="C11144" s="477"/>
      <c r="D11144" s="477"/>
      <c r="E11144" s="496"/>
      <c r="F11144" s="483"/>
      <c r="G11144" s="81"/>
      <c r="H11144" s="81"/>
      <c r="I11144" s="81"/>
      <c r="J11144" s="81"/>
      <c r="K11144" s="81"/>
      <c r="L11144" s="81"/>
      <c r="M11144" s="81"/>
      <c r="N11144" s="81"/>
    </row>
    <row r="11145" spans="1:14" ht="14.25" customHeight="1" x14ac:dyDescent="0.25">
      <c r="A11145" s="199" t="s">
        <v>548</v>
      </c>
      <c r="B11145" s="497"/>
      <c r="C11145" s="487"/>
      <c r="D11145" s="487"/>
      <c r="E11145" s="487"/>
      <c r="F11145" s="489">
        <f>SUM(F11141:F11144)</f>
        <v>2276751.7142857141</v>
      </c>
      <c r="G11145" s="81"/>
      <c r="H11145" s="81"/>
      <c r="I11145" s="81"/>
      <c r="J11145" s="81"/>
      <c r="K11145" s="81"/>
      <c r="L11145" s="81"/>
      <c r="M11145" s="81"/>
      <c r="N11145" s="81"/>
    </row>
    <row r="11146" spans="1:14" ht="14.25" customHeight="1" x14ac:dyDescent="0.25">
      <c r="A11146" s="198"/>
      <c r="B11146" s="231"/>
      <c r="C11146" s="223"/>
      <c r="D11146" s="223"/>
      <c r="E11146" s="223"/>
      <c r="F11146" s="223"/>
      <c r="G11146" s="81"/>
      <c r="H11146" s="81"/>
      <c r="I11146" s="81"/>
      <c r="J11146" s="81"/>
      <c r="K11146" s="81"/>
      <c r="L11146" s="81"/>
      <c r="M11146" s="81"/>
      <c r="N11146" s="81"/>
    </row>
    <row r="11147" spans="1:14" ht="14.25" customHeight="1" x14ac:dyDescent="0.25">
      <c r="A11147" s="197" t="s">
        <v>583</v>
      </c>
      <c r="B11147" s="198"/>
      <c r="C11147" s="193"/>
      <c r="D11147" s="193"/>
      <c r="E11147" s="193" t="s">
        <v>584</v>
      </c>
      <c r="F11147" s="193"/>
      <c r="G11147" s="81"/>
      <c r="H11147" s="81"/>
      <c r="I11147" s="81"/>
      <c r="J11147" s="81"/>
      <c r="K11147" s="81"/>
      <c r="L11147" s="81"/>
      <c r="M11147" s="81"/>
      <c r="N11147" s="81"/>
    </row>
    <row r="11148" spans="1:14" ht="14.25" customHeight="1" x14ac:dyDescent="0.25">
      <c r="A11148" s="199" t="s">
        <v>563</v>
      </c>
      <c r="B11148" s="474" t="s">
        <v>564</v>
      </c>
      <c r="C11148" s="474" t="s">
        <v>585</v>
      </c>
      <c r="D11148" s="474" t="s">
        <v>586</v>
      </c>
      <c r="E11148" s="492" t="s">
        <v>587</v>
      </c>
      <c r="F11148" s="474" t="s">
        <v>568</v>
      </c>
      <c r="G11148" s="81"/>
      <c r="H11148" s="81"/>
      <c r="I11148" s="81"/>
      <c r="J11148" s="81"/>
      <c r="K11148" s="81"/>
      <c r="L11148" s="81"/>
      <c r="M11148" s="81"/>
      <c r="N11148" s="81"/>
    </row>
    <row r="11149" spans="1:14" ht="14.25" customHeight="1" x14ac:dyDescent="0.25">
      <c r="A11149" s="480"/>
      <c r="B11149" s="476"/>
      <c r="C11149" s="477"/>
      <c r="D11149" s="498"/>
      <c r="E11149" s="484"/>
      <c r="F11149" s="486">
        <f>+C11149*D11149*E11149</f>
        <v>0</v>
      </c>
      <c r="G11149" s="81"/>
      <c r="H11149" s="81"/>
      <c r="I11149" s="81"/>
      <c r="J11149" s="81"/>
      <c r="K11149" s="81"/>
      <c r="L11149" s="81"/>
      <c r="M11149" s="81"/>
      <c r="N11149" s="81"/>
    </row>
    <row r="11150" spans="1:14" ht="14.25" customHeight="1" x14ac:dyDescent="0.25">
      <c r="A11150" s="480"/>
      <c r="B11150" s="476"/>
      <c r="C11150" s="484"/>
      <c r="D11150" s="484"/>
      <c r="E11150" s="485"/>
      <c r="F11150" s="486"/>
      <c r="G11150" s="81"/>
      <c r="H11150" s="81"/>
      <c r="I11150" s="81"/>
      <c r="J11150" s="81"/>
      <c r="K11150" s="81"/>
      <c r="L11150" s="81"/>
      <c r="M11150" s="81"/>
      <c r="N11150" s="81"/>
    </row>
    <row r="11151" spans="1:14" ht="24" customHeight="1" x14ac:dyDescent="0.25">
      <c r="A11151" s="199" t="s">
        <v>548</v>
      </c>
      <c r="B11151" s="474"/>
      <c r="C11151" s="487"/>
      <c r="D11151" s="487"/>
      <c r="E11151" s="488"/>
      <c r="F11151" s="489">
        <f>SUM(F11149:F11150)</f>
        <v>0</v>
      </c>
      <c r="G11151" s="81"/>
      <c r="H11151" s="81"/>
      <c r="I11151" s="81"/>
      <c r="J11151" s="81"/>
      <c r="K11151" s="81"/>
      <c r="L11151" s="81"/>
      <c r="M11151" s="81"/>
      <c r="N11151" s="81"/>
    </row>
    <row r="11152" spans="1:14" ht="14.25" customHeight="1" x14ac:dyDescent="0.25">
      <c r="A11152" s="192"/>
      <c r="B11152" s="194"/>
      <c r="C11152" s="215"/>
      <c r="D11152" s="215"/>
      <c r="E11152" s="216"/>
      <c r="F11152" s="215"/>
      <c r="G11152" s="81"/>
      <c r="H11152" s="81"/>
      <c r="I11152" s="81"/>
      <c r="J11152" s="81"/>
      <c r="K11152" s="81"/>
      <c r="L11152" s="81"/>
      <c r="M11152" s="81"/>
      <c r="N11152" s="81"/>
    </row>
    <row r="11153" spans="1:14" ht="14.25" customHeight="1" x14ac:dyDescent="0.25">
      <c r="A11153" s="192"/>
      <c r="B11153" s="194"/>
      <c r="C11153" s="215"/>
      <c r="D11153" s="215"/>
      <c r="E11153" s="216"/>
      <c r="F11153" s="215"/>
      <c r="G11153" s="81"/>
      <c r="H11153" s="81"/>
      <c r="I11153" s="81"/>
      <c r="J11153" s="81"/>
      <c r="K11153" s="81"/>
      <c r="L11153" s="81"/>
      <c r="M11153" s="81"/>
      <c r="N11153" s="81"/>
    </row>
    <row r="11154" spans="1:14" ht="14.25" customHeight="1" x14ac:dyDescent="0.25">
      <c r="A11154" s="590" t="s">
        <v>588</v>
      </c>
      <c r="B11154" s="586"/>
      <c r="C11154" s="586"/>
      <c r="D11154" s="586"/>
      <c r="E11154" s="587"/>
      <c r="F11154" s="499">
        <f>ROUND(F11128+F11137+F11145+F11151,0)</f>
        <v>13922101</v>
      </c>
      <c r="G11154" s="81"/>
      <c r="H11154" s="81"/>
      <c r="I11154" s="81"/>
      <c r="J11154" s="81"/>
      <c r="K11154" s="81"/>
      <c r="L11154" s="81"/>
      <c r="M11154" s="81"/>
      <c r="N11154" s="81"/>
    </row>
    <row r="11155" spans="1:14" ht="14.25" customHeight="1" x14ac:dyDescent="0.25">
      <c r="A11155" s="590" t="s">
        <v>589</v>
      </c>
      <c r="B11155" s="586"/>
      <c r="C11155" s="586"/>
      <c r="D11155" s="586"/>
      <c r="E11155" s="587"/>
      <c r="F11155" s="500"/>
      <c r="G11155" s="81"/>
      <c r="H11155" s="81"/>
      <c r="I11155" s="81"/>
      <c r="J11155" s="81"/>
      <c r="K11155" s="81"/>
      <c r="L11155" s="81"/>
      <c r="M11155" s="81"/>
      <c r="N11155" s="81"/>
    </row>
    <row r="11156" spans="1:14" ht="14.25" customHeight="1" x14ac:dyDescent="0.25">
      <c r="A11156" s="300" t="s">
        <v>556</v>
      </c>
      <c r="B11156" s="506"/>
      <c r="C11156" s="506"/>
      <c r="D11156" s="506"/>
      <c r="E11156" s="507"/>
      <c r="F11156" s="501"/>
      <c r="G11156" s="81"/>
      <c r="H11156" s="81"/>
      <c r="I11156" s="81"/>
      <c r="J11156" s="81"/>
      <c r="K11156" s="81"/>
      <c r="L11156" s="81"/>
      <c r="M11156" s="81"/>
      <c r="N11156" s="81"/>
    </row>
    <row r="11157" spans="1:14" ht="15.75" x14ac:dyDescent="0.25">
      <c r="A11157" s="301"/>
      <c r="B11157" s="502"/>
      <c r="C11157" s="502"/>
      <c r="D11157" s="502"/>
      <c r="E11157" s="502"/>
      <c r="F11157" s="503"/>
      <c r="G11157" s="81"/>
      <c r="H11157" s="81"/>
      <c r="I11157" s="81"/>
      <c r="J11157" s="81"/>
      <c r="K11157" s="81"/>
      <c r="L11157" s="81"/>
      <c r="M11157" s="81"/>
      <c r="N11157" s="81"/>
    </row>
    <row r="11158" spans="1:14" ht="15.75" x14ac:dyDescent="0.25">
      <c r="A11158" s="301"/>
      <c r="B11158" s="502"/>
      <c r="C11158" s="502"/>
      <c r="D11158" s="502"/>
      <c r="E11158" s="502"/>
      <c r="F11158" s="503"/>
      <c r="G11158" s="81"/>
      <c r="H11158" s="81"/>
      <c r="I11158" s="81"/>
      <c r="J11158" s="81"/>
      <c r="K11158" s="81"/>
      <c r="L11158" s="81"/>
      <c r="M11158" s="81"/>
      <c r="N11158" s="81"/>
    </row>
    <row r="11159" spans="1:14" ht="15.75" x14ac:dyDescent="0.25">
      <c r="A11159" s="301"/>
      <c r="B11159" s="502"/>
      <c r="C11159" s="502"/>
      <c r="D11159" s="502"/>
      <c r="E11159" s="502"/>
      <c r="F11159" s="503"/>
      <c r="G11159" s="81"/>
      <c r="H11159" s="81"/>
      <c r="I11159" s="81"/>
      <c r="J11159" s="81"/>
      <c r="K11159" s="81"/>
      <c r="L11159" s="81"/>
      <c r="M11159" s="81"/>
      <c r="N11159" s="81"/>
    </row>
    <row r="11160" spans="1:14" ht="15.75" x14ac:dyDescent="0.25">
      <c r="A11160" s="243"/>
      <c r="B11160" s="243"/>
      <c r="C11160" s="504"/>
      <c r="D11160" s="243"/>
      <c r="E11160" s="243"/>
      <c r="F11160" s="243"/>
      <c r="G11160" s="81"/>
      <c r="H11160" s="81"/>
      <c r="I11160" s="81"/>
      <c r="J11160" s="81"/>
      <c r="K11160" s="81"/>
      <c r="L11160" s="81"/>
      <c r="M11160" s="81"/>
      <c r="N11160" s="81"/>
    </row>
    <row r="11161" spans="1:14" ht="15.75" x14ac:dyDescent="0.25">
      <c r="A11161" s="243"/>
      <c r="B11161" s="243"/>
      <c r="C11161" s="504"/>
      <c r="D11161" s="243"/>
      <c r="E11161" s="243"/>
      <c r="F11161" s="243"/>
      <c r="G11161" s="81"/>
      <c r="H11161" s="81"/>
      <c r="I11161" s="81"/>
      <c r="J11161" s="81"/>
      <c r="K11161" s="81"/>
      <c r="L11161" s="81"/>
      <c r="M11161" s="81"/>
      <c r="N11161" s="81"/>
    </row>
    <row r="11162" spans="1:14" ht="15.75" x14ac:dyDescent="0.25">
      <c r="A11162" s="243"/>
      <c r="B11162" s="243"/>
      <c r="C11162" s="504"/>
      <c r="D11162" s="243"/>
      <c r="E11162" s="243"/>
      <c r="F11162" s="243"/>
      <c r="G11162" s="81"/>
      <c r="H11162" s="81"/>
      <c r="I11162" s="81"/>
      <c r="J11162" s="81"/>
      <c r="K11162" s="81"/>
      <c r="L11162" s="81"/>
      <c r="M11162" s="81"/>
      <c r="N11162" s="81"/>
    </row>
    <row r="11163" spans="1:14" ht="15.75" x14ac:dyDescent="0.25">
      <c r="A11163" s="243"/>
      <c r="B11163" s="243"/>
      <c r="C11163" s="504"/>
      <c r="D11163" s="243"/>
      <c r="E11163" s="243"/>
      <c r="F11163" s="243"/>
      <c r="G11163" s="81"/>
      <c r="H11163" s="81"/>
      <c r="I11163" s="81"/>
      <c r="J11163" s="81"/>
      <c r="K11163" s="81"/>
      <c r="L11163" s="81"/>
      <c r="M11163" s="81"/>
      <c r="N11163" s="81"/>
    </row>
    <row r="11164" spans="1:14" ht="15.75" x14ac:dyDescent="0.25">
      <c r="A11164" s="243"/>
      <c r="B11164" s="243"/>
      <c r="C11164" s="504"/>
      <c r="D11164" s="243"/>
      <c r="E11164" s="243"/>
      <c r="F11164" s="243"/>
      <c r="G11164" s="81"/>
      <c r="H11164" s="81"/>
      <c r="I11164" s="81"/>
      <c r="J11164" s="81"/>
      <c r="K11164" s="81"/>
      <c r="L11164" s="81"/>
      <c r="M11164" s="81"/>
      <c r="N11164" s="81"/>
    </row>
    <row r="11165" spans="1:14" ht="14.25" customHeight="1" x14ac:dyDescent="0.25">
      <c r="A11165" s="243"/>
      <c r="B11165" s="243"/>
      <c r="C11165" s="504"/>
      <c r="D11165" s="243"/>
      <c r="E11165" s="243"/>
      <c r="F11165" s="243"/>
      <c r="G11165" s="81"/>
      <c r="H11165" s="81"/>
      <c r="I11165" s="81"/>
      <c r="J11165" s="81"/>
      <c r="K11165" s="81"/>
      <c r="L11165" s="81"/>
      <c r="M11165" s="81"/>
      <c r="N11165" s="81"/>
    </row>
    <row r="11166" spans="1:14" ht="14.25" customHeight="1" x14ac:dyDescent="0.25">
      <c r="A11166" s="243"/>
      <c r="B11166" s="243"/>
      <c r="C11166" s="504"/>
      <c r="D11166" s="243"/>
      <c r="E11166" s="243"/>
      <c r="F11166" s="243"/>
      <c r="G11166" s="81"/>
      <c r="H11166" s="81"/>
      <c r="I11166" s="81"/>
      <c r="J11166" s="81"/>
      <c r="K11166" s="81"/>
      <c r="L11166" s="81"/>
      <c r="M11166" s="81"/>
      <c r="N11166" s="81"/>
    </row>
    <row r="11167" spans="1:14" ht="14.25" customHeight="1" x14ac:dyDescent="0.25">
      <c r="A11167" s="243"/>
      <c r="B11167" s="243"/>
      <c r="C11167" s="504"/>
      <c r="D11167" s="243"/>
      <c r="E11167" s="243"/>
      <c r="F11167" s="243"/>
      <c r="G11167" s="81"/>
      <c r="H11167" s="81"/>
      <c r="I11167" s="81"/>
      <c r="J11167" s="81"/>
      <c r="K11167" s="81"/>
      <c r="L11167" s="81"/>
      <c r="M11167" s="81"/>
      <c r="N11167" s="81"/>
    </row>
    <row r="11168" spans="1:14" ht="14.25" customHeight="1" x14ac:dyDescent="0.25">
      <c r="A11168" s="243"/>
      <c r="B11168" s="243"/>
      <c r="C11168" s="504"/>
      <c r="D11168" s="243"/>
      <c r="E11168" s="243"/>
      <c r="F11168" s="243"/>
      <c r="G11168" s="81"/>
      <c r="H11168" s="81"/>
      <c r="I11168" s="81"/>
      <c r="J11168" s="81"/>
      <c r="K11168" s="81"/>
      <c r="L11168" s="81"/>
      <c r="M11168" s="81"/>
      <c r="N11168" s="81"/>
    </row>
    <row r="11169" spans="1:14" ht="14.25" customHeight="1" x14ac:dyDescent="0.25">
      <c r="A11169" s="243"/>
      <c r="B11169" s="243"/>
      <c r="C11169" s="504"/>
      <c r="D11169" s="243"/>
      <c r="E11169" s="243"/>
      <c r="F11169" s="243"/>
      <c r="G11169" s="81"/>
      <c r="H11169" s="81"/>
      <c r="I11169" s="81"/>
      <c r="J11169" s="81"/>
      <c r="K11169" s="81"/>
      <c r="L11169" s="81"/>
      <c r="M11169" s="81"/>
      <c r="N11169" s="81"/>
    </row>
    <row r="11170" spans="1:14" ht="14.25" customHeight="1" x14ac:dyDescent="0.25">
      <c r="A11170" s="243"/>
      <c r="B11170" s="243"/>
      <c r="C11170" s="504"/>
      <c r="D11170" s="243"/>
      <c r="E11170" s="243"/>
      <c r="F11170" s="243"/>
      <c r="G11170" s="81"/>
      <c r="H11170" s="81"/>
      <c r="I11170" s="81"/>
      <c r="J11170" s="81"/>
      <c r="K11170" s="81"/>
      <c r="L11170" s="81"/>
      <c r="M11170" s="81"/>
      <c r="N11170" s="81"/>
    </row>
    <row r="11171" spans="1:14" ht="14.25" customHeight="1" thickBot="1" x14ac:dyDescent="0.3">
      <c r="A11171" s="243"/>
      <c r="B11171" s="243"/>
      <c r="C11171" s="504"/>
      <c r="D11171" s="243"/>
      <c r="E11171" s="243"/>
      <c r="F11171" s="243"/>
      <c r="G11171" s="81"/>
      <c r="H11171" s="81"/>
      <c r="I11171" s="81"/>
      <c r="J11171" s="81"/>
      <c r="K11171" s="81"/>
      <c r="L11171" s="81"/>
      <c r="M11171" s="81"/>
      <c r="N11171" s="81"/>
    </row>
    <row r="11172" spans="1:14" ht="14.25" customHeight="1" x14ac:dyDescent="0.25">
      <c r="A11172" s="258"/>
      <c r="B11172" s="259"/>
      <c r="C11172" s="260"/>
      <c r="D11172" s="261"/>
      <c r="E11172" s="261"/>
      <c r="F11172" s="262"/>
      <c r="G11172" s="81"/>
      <c r="H11172" s="81"/>
      <c r="I11172" s="81"/>
      <c r="J11172" s="81"/>
      <c r="K11172" s="81"/>
      <c r="L11172" s="81"/>
      <c r="M11172" s="81"/>
      <c r="N11172" s="81"/>
    </row>
    <row r="11173" spans="1:14" ht="14.25" customHeight="1" x14ac:dyDescent="0.25">
      <c r="A11173" s="621"/>
      <c r="B11173" s="629"/>
      <c r="C11173" s="629"/>
      <c r="D11173" s="629"/>
      <c r="E11173" s="629"/>
      <c r="F11173" s="630"/>
      <c r="G11173" s="81"/>
      <c r="H11173" s="81"/>
      <c r="I11173" s="81"/>
      <c r="J11173" s="81"/>
      <c r="K11173" s="81"/>
      <c r="L11173" s="81"/>
      <c r="M11173" s="81"/>
      <c r="N11173" s="81"/>
    </row>
    <row r="11174" spans="1:14" ht="14.25" customHeight="1" x14ac:dyDescent="0.25">
      <c r="A11174" s="614" t="s">
        <v>561</v>
      </c>
      <c r="B11174" s="629"/>
      <c r="C11174" s="629"/>
      <c r="D11174" s="629"/>
      <c r="E11174" s="629"/>
      <c r="F11174" s="630"/>
      <c r="G11174" s="81"/>
      <c r="H11174" s="81"/>
      <c r="I11174" s="81"/>
      <c r="J11174" s="81"/>
      <c r="K11174" s="81"/>
      <c r="L11174" s="81"/>
      <c r="M11174" s="81"/>
      <c r="N11174" s="81"/>
    </row>
    <row r="11175" spans="1:14" ht="14.25" customHeight="1" thickBot="1" x14ac:dyDescent="0.3">
      <c r="A11175" s="617"/>
      <c r="B11175" s="631"/>
      <c r="C11175" s="631"/>
      <c r="D11175" s="631"/>
      <c r="E11175" s="631"/>
      <c r="F11175" s="632"/>
      <c r="G11175" s="81"/>
      <c r="H11175" s="81"/>
      <c r="I11175" s="81"/>
      <c r="J11175" s="81"/>
      <c r="K11175" s="81"/>
      <c r="L11175" s="81"/>
      <c r="M11175" s="81"/>
      <c r="N11175" s="81"/>
    </row>
    <row r="11176" spans="1:14" ht="14.25" customHeight="1" x14ac:dyDescent="0.25">
      <c r="A11176" s="192"/>
      <c r="B11176" s="192"/>
      <c r="C11176" s="194"/>
      <c r="D11176" s="194"/>
      <c r="E11176" s="194"/>
      <c r="F11176" s="194"/>
      <c r="G11176" s="81"/>
      <c r="H11176" s="81"/>
      <c r="I11176" s="81"/>
      <c r="J11176" s="81"/>
      <c r="K11176" s="81"/>
      <c r="L11176" s="81"/>
      <c r="M11176" s="81"/>
      <c r="N11176" s="81"/>
    </row>
    <row r="11177" spans="1:14" ht="14.25" customHeight="1" x14ac:dyDescent="0.25">
      <c r="A11177" s="473" t="s">
        <v>47</v>
      </c>
      <c r="B11177" s="620" t="s">
        <v>1211</v>
      </c>
      <c r="C11177" s="629"/>
      <c r="D11177" s="629"/>
      <c r="E11177" s="629"/>
      <c r="F11177" s="629"/>
      <c r="G11177" s="81"/>
      <c r="H11177" s="81"/>
      <c r="I11177" s="81"/>
      <c r="J11177" s="81"/>
      <c r="K11177" s="81"/>
      <c r="L11177" s="81"/>
      <c r="M11177" s="81"/>
      <c r="N11177" s="81"/>
    </row>
    <row r="11178" spans="1:14" ht="14.25" customHeight="1" x14ac:dyDescent="0.25">
      <c r="A11178" s="191"/>
      <c r="B11178" s="191"/>
      <c r="C11178" s="191"/>
      <c r="D11178" s="191"/>
      <c r="E11178" s="191"/>
      <c r="F11178" s="191"/>
      <c r="G11178" s="81"/>
      <c r="H11178" s="81"/>
      <c r="I11178" s="81"/>
      <c r="J11178" s="81"/>
      <c r="K11178" s="81"/>
      <c r="L11178" s="81"/>
      <c r="M11178" s="81"/>
      <c r="N11178" s="81"/>
    </row>
    <row r="11179" spans="1:14" ht="14.25" customHeight="1" x14ac:dyDescent="0.25">
      <c r="A11179" s="192" t="s">
        <v>49</v>
      </c>
      <c r="B11179" s="193" t="s">
        <v>99</v>
      </c>
      <c r="C11179" s="194"/>
      <c r="D11179" s="194"/>
      <c r="E11179" s="194"/>
      <c r="F11179" s="195"/>
      <c r="G11179" s="81"/>
      <c r="H11179" s="81"/>
      <c r="I11179" s="81"/>
      <c r="J11179" s="81"/>
      <c r="K11179" s="81"/>
      <c r="L11179" s="81"/>
      <c r="M11179" s="81"/>
      <c r="N11179" s="81"/>
    </row>
    <row r="11180" spans="1:14" ht="14.25" customHeight="1" x14ac:dyDescent="0.25">
      <c r="A11180" s="192"/>
      <c r="B11180" s="196"/>
      <c r="C11180" s="194"/>
      <c r="D11180" s="194"/>
      <c r="E11180" s="194"/>
      <c r="F11180" s="195"/>
      <c r="G11180" s="81"/>
      <c r="H11180" s="81"/>
      <c r="I11180" s="81"/>
      <c r="J11180" s="81"/>
      <c r="K11180" s="81"/>
      <c r="L11180" s="81"/>
      <c r="M11180" s="81"/>
      <c r="N11180" s="81"/>
    </row>
    <row r="11181" spans="1:14" ht="14.25" customHeight="1" x14ac:dyDescent="0.25">
      <c r="A11181" s="197" t="s">
        <v>562</v>
      </c>
      <c r="B11181" s="198"/>
      <c r="C11181" s="193"/>
      <c r="D11181" s="193"/>
      <c r="E11181" s="193"/>
      <c r="F11181" s="193"/>
      <c r="G11181" s="81"/>
      <c r="H11181" s="81"/>
      <c r="I11181" s="81"/>
      <c r="J11181" s="81"/>
      <c r="K11181" s="81"/>
      <c r="L11181" s="81"/>
      <c r="M11181" s="81"/>
      <c r="N11181" s="81"/>
    </row>
    <row r="11182" spans="1:14" ht="14.25" customHeight="1" x14ac:dyDescent="0.25">
      <c r="A11182" s="199" t="s">
        <v>563</v>
      </c>
      <c r="B11182" s="474" t="s">
        <v>564</v>
      </c>
      <c r="C11182" s="474" t="s">
        <v>565</v>
      </c>
      <c r="D11182" s="474" t="s">
        <v>566</v>
      </c>
      <c r="E11182" s="474" t="s">
        <v>567</v>
      </c>
      <c r="F11182" s="474" t="s">
        <v>568</v>
      </c>
      <c r="G11182" s="81"/>
      <c r="H11182" s="81"/>
      <c r="I11182" s="81"/>
      <c r="J11182" s="81"/>
      <c r="K11182" s="81"/>
      <c r="L11182" s="81"/>
      <c r="M11182" s="81"/>
      <c r="N11182" s="81"/>
    </row>
    <row r="11183" spans="1:14" ht="14.25" customHeight="1" x14ac:dyDescent="0.25">
      <c r="A11183" s="475" t="s">
        <v>1211</v>
      </c>
      <c r="B11183" s="476" t="s">
        <v>99</v>
      </c>
      <c r="C11183" s="477">
        <v>1554328</v>
      </c>
      <c r="D11183" s="478">
        <v>1</v>
      </c>
      <c r="E11183" s="479"/>
      <c r="F11183" s="477">
        <f t="shared" ref="F11183:F11185" si="552">C11183*(D11183+(D11183*E11183))</f>
        <v>1554328</v>
      </c>
      <c r="G11183" s="81"/>
      <c r="H11183" s="81"/>
      <c r="I11183" s="81"/>
      <c r="J11183" s="81"/>
      <c r="K11183" s="81"/>
      <c r="L11183" s="81"/>
      <c r="M11183" s="81"/>
      <c r="N11183" s="81"/>
    </row>
    <row r="11184" spans="1:14" ht="14.25" customHeight="1" x14ac:dyDescent="0.25">
      <c r="A11184" s="475"/>
      <c r="B11184" s="476"/>
      <c r="C11184" s="477"/>
      <c r="D11184" s="481"/>
      <c r="E11184" s="479"/>
      <c r="F11184" s="477">
        <f t="shared" si="552"/>
        <v>0</v>
      </c>
      <c r="G11184" s="81"/>
      <c r="H11184" s="81"/>
      <c r="I11184" s="81"/>
      <c r="J11184" s="81"/>
      <c r="K11184" s="81"/>
      <c r="L11184" s="81"/>
      <c r="M11184" s="81"/>
      <c r="N11184" s="81"/>
    </row>
    <row r="11185" spans="1:14" ht="14.25" customHeight="1" x14ac:dyDescent="0.25">
      <c r="A11185" s="475"/>
      <c r="B11185" s="476"/>
      <c r="C11185" s="477"/>
      <c r="D11185" s="481"/>
      <c r="E11185" s="479"/>
      <c r="F11185" s="477">
        <f t="shared" si="552"/>
        <v>0</v>
      </c>
      <c r="G11185" s="81"/>
      <c r="H11185" s="81"/>
      <c r="I11185" s="81"/>
      <c r="J11185" s="81"/>
      <c r="K11185" s="81"/>
      <c r="L11185" s="81"/>
      <c r="M11185" s="81"/>
      <c r="N11185" s="81"/>
    </row>
    <row r="11186" spans="1:14" ht="14.25" customHeight="1" x14ac:dyDescent="0.25">
      <c r="A11186" s="475"/>
      <c r="B11186" s="476"/>
      <c r="C11186" s="477"/>
      <c r="D11186" s="478"/>
      <c r="E11186" s="479"/>
      <c r="F11186" s="477"/>
      <c r="G11186" s="81"/>
      <c r="H11186" s="81"/>
      <c r="I11186" s="81"/>
      <c r="J11186" s="81"/>
      <c r="K11186" s="81"/>
      <c r="L11186" s="81"/>
      <c r="M11186" s="81"/>
      <c r="N11186" s="81"/>
    </row>
    <row r="11187" spans="1:14" ht="14.25" customHeight="1" x14ac:dyDescent="0.25">
      <c r="A11187" s="475"/>
      <c r="B11187" s="476"/>
      <c r="C11187" s="477"/>
      <c r="D11187" s="478"/>
      <c r="E11187" s="479"/>
      <c r="F11187" s="477"/>
      <c r="G11187" s="81"/>
      <c r="H11187" s="81"/>
      <c r="I11187" s="81"/>
      <c r="J11187" s="81"/>
      <c r="K11187" s="81"/>
      <c r="L11187" s="81"/>
      <c r="M11187" s="81"/>
      <c r="N11187" s="81"/>
    </row>
    <row r="11188" spans="1:14" ht="14.25" customHeight="1" x14ac:dyDescent="0.25">
      <c r="A11188" s="475"/>
      <c r="B11188" s="476"/>
      <c r="C11188" s="477"/>
      <c r="D11188" s="478"/>
      <c r="E11188" s="479"/>
      <c r="F11188" s="477"/>
      <c r="G11188" s="81"/>
      <c r="H11188" s="81"/>
      <c r="I11188" s="81"/>
      <c r="J11188" s="81"/>
      <c r="K11188" s="81"/>
      <c r="L11188" s="81"/>
      <c r="M11188" s="81"/>
      <c r="N11188" s="81"/>
    </row>
    <row r="11189" spans="1:14" ht="14.25" customHeight="1" x14ac:dyDescent="0.25">
      <c r="A11189" s="475"/>
      <c r="B11189" s="476"/>
      <c r="C11189" s="483"/>
      <c r="D11189" s="484"/>
      <c r="E11189" s="485"/>
      <c r="F11189" s="483"/>
      <c r="G11189" s="81"/>
      <c r="H11189" s="81"/>
      <c r="I11189" s="81"/>
      <c r="J11189" s="81"/>
      <c r="K11189" s="81"/>
      <c r="L11189" s="81"/>
      <c r="M11189" s="81"/>
      <c r="N11189" s="81"/>
    </row>
    <row r="11190" spans="1:14" ht="14.25" customHeight="1" x14ac:dyDescent="0.25">
      <c r="A11190" s="199" t="s">
        <v>548</v>
      </c>
      <c r="B11190" s="199"/>
      <c r="C11190" s="486"/>
      <c r="D11190" s="487"/>
      <c r="E11190" s="488"/>
      <c r="F11190" s="489">
        <f>SUM(F11183:F11189)</f>
        <v>1554328</v>
      </c>
      <c r="G11190" s="81"/>
      <c r="H11190" s="81"/>
      <c r="I11190" s="81"/>
      <c r="J11190" s="81"/>
      <c r="K11190" s="81"/>
      <c r="L11190" s="81"/>
      <c r="M11190" s="81"/>
      <c r="N11190" s="81"/>
    </row>
    <row r="11191" spans="1:14" ht="14.25" customHeight="1" x14ac:dyDescent="0.25">
      <c r="A11191" s="192"/>
      <c r="B11191" s="192"/>
      <c r="C11191" s="215"/>
      <c r="D11191" s="215"/>
      <c r="E11191" s="216"/>
      <c r="F11191" s="215"/>
      <c r="G11191" s="81"/>
      <c r="H11191" s="81"/>
      <c r="I11191" s="81"/>
      <c r="J11191" s="81"/>
      <c r="K11191" s="81"/>
      <c r="L11191" s="81"/>
      <c r="M11191" s="81"/>
      <c r="N11191" s="81"/>
    </row>
    <row r="11192" spans="1:14" ht="14.25" customHeight="1" x14ac:dyDescent="0.25">
      <c r="A11192" s="198" t="s">
        <v>573</v>
      </c>
      <c r="B11192" s="198"/>
      <c r="C11192" s="193"/>
      <c r="D11192" s="193"/>
      <c r="E11192" s="193"/>
      <c r="F11192" s="193"/>
      <c r="G11192" s="81"/>
      <c r="H11192" s="81"/>
      <c r="I11192" s="81"/>
      <c r="J11192" s="81"/>
      <c r="K11192" s="81"/>
      <c r="L11192" s="81"/>
      <c r="M11192" s="81"/>
      <c r="N11192" s="81"/>
    </row>
    <row r="11193" spans="1:14" ht="14.25" customHeight="1" x14ac:dyDescent="0.25">
      <c r="A11193" s="585" t="s">
        <v>563</v>
      </c>
      <c r="B11193" s="586"/>
      <c r="C11193" s="587"/>
      <c r="D11193" s="474" t="s">
        <v>574</v>
      </c>
      <c r="E11193" s="474" t="s">
        <v>575</v>
      </c>
      <c r="F11193" s="474" t="s">
        <v>568</v>
      </c>
      <c r="G11193" s="81"/>
      <c r="H11193" s="117"/>
      <c r="I11193" s="81"/>
      <c r="J11193" s="81"/>
      <c r="K11193" s="81"/>
      <c r="L11193" s="81"/>
      <c r="M11193" s="81"/>
      <c r="N11193" s="81"/>
    </row>
    <row r="11194" spans="1:14" ht="14.25" customHeight="1" x14ac:dyDescent="0.25">
      <c r="A11194" s="588" t="s">
        <v>577</v>
      </c>
      <c r="B11194" s="586"/>
      <c r="C11194" s="587"/>
      <c r="D11194" s="490"/>
      <c r="E11194" s="484"/>
      <c r="F11194" s="483">
        <f>+F11207*5%</f>
        <v>8854.0344444444454</v>
      </c>
      <c r="G11194" s="81"/>
      <c r="H11194" s="81"/>
      <c r="I11194" s="81"/>
      <c r="J11194" s="81"/>
      <c r="K11194" s="81"/>
      <c r="L11194" s="81"/>
      <c r="M11194" s="81"/>
      <c r="N11194" s="81"/>
    </row>
    <row r="11195" spans="1:14" ht="14.25" customHeight="1" x14ac:dyDescent="0.25">
      <c r="A11195" s="588"/>
      <c r="B11195" s="586"/>
      <c r="C11195" s="587"/>
      <c r="D11195" s="505"/>
      <c r="E11195" s="484"/>
      <c r="F11195" s="483"/>
      <c r="G11195" s="81"/>
      <c r="H11195" s="81"/>
      <c r="I11195" s="81"/>
      <c r="J11195" s="81"/>
      <c r="K11195" s="81"/>
      <c r="L11195" s="81"/>
      <c r="M11195" s="81"/>
      <c r="N11195" s="81"/>
    </row>
    <row r="11196" spans="1:14" ht="14.25" customHeight="1" x14ac:dyDescent="0.25">
      <c r="A11196" s="588"/>
      <c r="B11196" s="586"/>
      <c r="C11196" s="587"/>
      <c r="D11196" s="505"/>
      <c r="E11196" s="484"/>
      <c r="F11196" s="483"/>
      <c r="G11196" s="81"/>
      <c r="H11196" s="81"/>
      <c r="I11196" s="81"/>
      <c r="J11196" s="81"/>
      <c r="K11196" s="81"/>
      <c r="L11196" s="81"/>
      <c r="M11196" s="81"/>
      <c r="N11196" s="81"/>
    </row>
    <row r="11197" spans="1:14" ht="14.25" customHeight="1" x14ac:dyDescent="0.25">
      <c r="A11197" s="588"/>
      <c r="B11197" s="586"/>
      <c r="C11197" s="587"/>
      <c r="D11197" s="505"/>
      <c r="E11197" s="484"/>
      <c r="F11197" s="483"/>
      <c r="G11197" s="81"/>
      <c r="H11197" s="81"/>
      <c r="I11197" s="81"/>
      <c r="J11197" s="81"/>
      <c r="K11197" s="81"/>
      <c r="L11197" s="81"/>
      <c r="M11197" s="81"/>
      <c r="N11197" s="81"/>
    </row>
    <row r="11198" spans="1:14" ht="14.25" customHeight="1" x14ac:dyDescent="0.25">
      <c r="A11198" s="589"/>
      <c r="B11198" s="586"/>
      <c r="C11198" s="587"/>
      <c r="D11198" s="491"/>
      <c r="E11198" s="484"/>
      <c r="F11198" s="483"/>
      <c r="G11198" s="81"/>
      <c r="H11198" s="81"/>
      <c r="I11198" s="81"/>
      <c r="J11198" s="81"/>
      <c r="K11198" s="81"/>
      <c r="L11198" s="81"/>
      <c r="M11198" s="81"/>
      <c r="N11198" s="81"/>
    </row>
    <row r="11199" spans="1:14" ht="14.25" customHeight="1" x14ac:dyDescent="0.25">
      <c r="A11199" s="585" t="s">
        <v>548</v>
      </c>
      <c r="B11199" s="586"/>
      <c r="C11199" s="587"/>
      <c r="D11199" s="487"/>
      <c r="E11199" s="487"/>
      <c r="F11199" s="489">
        <f>SUM(F11194:F11198)</f>
        <v>8854.0344444444454</v>
      </c>
      <c r="G11199" s="81"/>
      <c r="H11199" s="81"/>
      <c r="I11199" s="81"/>
      <c r="J11199" s="81"/>
      <c r="K11199" s="81"/>
      <c r="L11199" s="81"/>
      <c r="M11199" s="81"/>
      <c r="N11199" s="81"/>
    </row>
    <row r="11200" spans="1:14" ht="14.25" customHeight="1" x14ac:dyDescent="0.25">
      <c r="A11200" s="192"/>
      <c r="B11200" s="192"/>
      <c r="C11200" s="194"/>
      <c r="D11200" s="215"/>
      <c r="E11200" s="215"/>
      <c r="F11200" s="215"/>
      <c r="G11200" s="81"/>
      <c r="H11200" s="81"/>
      <c r="I11200" s="81"/>
      <c r="J11200" s="81"/>
      <c r="K11200" s="81"/>
      <c r="L11200" s="81"/>
      <c r="M11200" s="81"/>
      <c r="N11200" s="81"/>
    </row>
    <row r="11201" spans="1:14" ht="14.25" customHeight="1" x14ac:dyDescent="0.25">
      <c r="A11201" s="198" t="s">
        <v>578</v>
      </c>
      <c r="B11201" s="198"/>
      <c r="C11201" s="193"/>
      <c r="D11201" s="223"/>
      <c r="E11201" s="223"/>
      <c r="F11201" s="223"/>
      <c r="G11201" s="81"/>
      <c r="H11201" s="81"/>
      <c r="I11201" s="81"/>
      <c r="J11201" s="81"/>
      <c r="K11201" s="81"/>
      <c r="L11201" s="81"/>
      <c r="M11201" s="81"/>
      <c r="N11201" s="81"/>
    </row>
    <row r="11202" spans="1:14" ht="14.25" customHeight="1" x14ac:dyDescent="0.25">
      <c r="A11202" s="224" t="s">
        <v>563</v>
      </c>
      <c r="B11202" s="492" t="s">
        <v>579</v>
      </c>
      <c r="C11202" s="492" t="s">
        <v>580</v>
      </c>
      <c r="D11202" s="493" t="s">
        <v>581</v>
      </c>
      <c r="E11202" s="493" t="s">
        <v>575</v>
      </c>
      <c r="F11202" s="493" t="s">
        <v>568</v>
      </c>
      <c r="G11202" s="81"/>
      <c r="H11202" s="81"/>
      <c r="I11202" s="81"/>
      <c r="J11202" s="81"/>
      <c r="K11202" s="81"/>
      <c r="L11202" s="81"/>
      <c r="M11202" s="81"/>
      <c r="N11202" s="81"/>
    </row>
    <row r="11203" spans="1:14" ht="14.25" customHeight="1" x14ac:dyDescent="0.25">
      <c r="A11203" s="494" t="s">
        <v>916</v>
      </c>
      <c r="B11203" s="495">
        <v>1</v>
      </c>
      <c r="C11203" s="477">
        <v>35956.800000000003</v>
      </c>
      <c r="D11203" s="477">
        <f t="shared" ref="D11203:D11204" si="553">+C11203*1.7</f>
        <v>61126.560000000005</v>
      </c>
      <c r="E11203" s="484">
        <v>0.9</v>
      </c>
      <c r="F11203" s="483">
        <f t="shared" ref="F11203:F11204" si="554">+B11203*(D11203)/E11203</f>
        <v>67918.400000000009</v>
      </c>
      <c r="G11203" s="81"/>
      <c r="H11203" s="81"/>
      <c r="I11203" s="81"/>
      <c r="J11203" s="81"/>
      <c r="K11203" s="81"/>
      <c r="L11203" s="81"/>
      <c r="M11203" s="81"/>
      <c r="N11203" s="81"/>
    </row>
    <row r="11204" spans="1:14" ht="14.25" customHeight="1" x14ac:dyDescent="0.25">
      <c r="A11204" s="494" t="s">
        <v>917</v>
      </c>
      <c r="B11204" s="495">
        <v>1</v>
      </c>
      <c r="C11204" s="477">
        <v>57791.8</v>
      </c>
      <c r="D11204" s="477">
        <f t="shared" si="553"/>
        <v>98246.06</v>
      </c>
      <c r="E11204" s="484">
        <f>E11203</f>
        <v>0.9</v>
      </c>
      <c r="F11204" s="483">
        <f t="shared" si="554"/>
        <v>109162.28888888888</v>
      </c>
      <c r="G11204" s="81"/>
      <c r="H11204" s="81"/>
      <c r="I11204" s="81"/>
      <c r="J11204" s="81"/>
      <c r="K11204" s="81"/>
      <c r="L11204" s="81"/>
      <c r="M11204" s="81"/>
      <c r="N11204" s="81"/>
    </row>
    <row r="11205" spans="1:14" ht="14.25" customHeight="1" x14ac:dyDescent="0.25">
      <c r="A11205" s="494"/>
      <c r="B11205" s="495"/>
      <c r="C11205" s="477"/>
      <c r="D11205" s="477"/>
      <c r="E11205" s="484"/>
      <c r="F11205" s="483"/>
      <c r="G11205" s="81"/>
      <c r="H11205" s="81"/>
      <c r="I11205" s="81"/>
      <c r="J11205" s="81"/>
      <c r="K11205" s="81"/>
      <c r="L11205" s="81"/>
      <c r="M11205" s="81"/>
      <c r="N11205" s="81"/>
    </row>
    <row r="11206" spans="1:14" ht="14.25" customHeight="1" x14ac:dyDescent="0.25">
      <c r="A11206" s="494"/>
      <c r="B11206" s="495"/>
      <c r="C11206" s="477"/>
      <c r="D11206" s="477"/>
      <c r="E11206" s="496"/>
      <c r="F11206" s="483"/>
      <c r="G11206" s="81"/>
      <c r="H11206" s="81"/>
      <c r="I11206" s="81"/>
      <c r="J11206" s="81"/>
      <c r="K11206" s="81"/>
      <c r="L11206" s="81"/>
      <c r="M11206" s="81"/>
      <c r="N11206" s="81"/>
    </row>
    <row r="11207" spans="1:14" ht="14.25" customHeight="1" x14ac:dyDescent="0.25">
      <c r="A11207" s="199" t="s">
        <v>548</v>
      </c>
      <c r="B11207" s="497"/>
      <c r="C11207" s="487"/>
      <c r="D11207" s="487"/>
      <c r="E11207" s="487"/>
      <c r="F11207" s="489">
        <f>SUM(F11203:F11206)</f>
        <v>177080.68888888889</v>
      </c>
      <c r="G11207" s="81"/>
      <c r="H11207" s="81"/>
      <c r="I11207" s="81"/>
      <c r="J11207" s="81"/>
      <c r="K11207" s="81"/>
      <c r="L11207" s="81"/>
      <c r="M11207" s="81"/>
      <c r="N11207" s="81"/>
    </row>
    <row r="11208" spans="1:14" ht="14.25" customHeight="1" x14ac:dyDescent="0.25">
      <c r="A11208" s="198"/>
      <c r="B11208" s="231"/>
      <c r="C11208" s="223"/>
      <c r="D11208" s="223"/>
      <c r="E11208" s="223"/>
      <c r="F11208" s="223"/>
      <c r="G11208" s="81"/>
      <c r="H11208" s="81"/>
      <c r="I11208" s="81"/>
      <c r="J11208" s="81"/>
      <c r="K11208" s="81"/>
      <c r="L11208" s="81"/>
      <c r="M11208" s="81"/>
      <c r="N11208" s="81"/>
    </row>
    <row r="11209" spans="1:14" ht="14.25" customHeight="1" x14ac:dyDescent="0.25">
      <c r="A11209" s="197" t="s">
        <v>583</v>
      </c>
      <c r="B11209" s="198"/>
      <c r="C11209" s="193"/>
      <c r="D11209" s="193"/>
      <c r="E11209" s="193" t="s">
        <v>584</v>
      </c>
      <c r="F11209" s="193"/>
      <c r="G11209" s="81"/>
      <c r="H11209" s="81"/>
      <c r="I11209" s="81"/>
      <c r="J11209" s="81"/>
      <c r="K11209" s="81"/>
      <c r="L11209" s="81"/>
      <c r="M11209" s="81"/>
      <c r="N11209" s="81"/>
    </row>
    <row r="11210" spans="1:14" ht="33.950000000000003" customHeight="1" x14ac:dyDescent="0.25">
      <c r="A11210" s="199" t="s">
        <v>563</v>
      </c>
      <c r="B11210" s="474" t="s">
        <v>564</v>
      </c>
      <c r="C11210" s="474" t="s">
        <v>585</v>
      </c>
      <c r="D11210" s="474" t="s">
        <v>586</v>
      </c>
      <c r="E11210" s="492" t="s">
        <v>587</v>
      </c>
      <c r="F11210" s="474" t="s">
        <v>568</v>
      </c>
      <c r="G11210" s="81"/>
      <c r="H11210" s="81"/>
      <c r="I11210" s="81"/>
      <c r="J11210" s="81"/>
      <c r="K11210" s="81"/>
      <c r="L11210" s="81"/>
      <c r="M11210" s="81"/>
      <c r="N11210" s="81"/>
    </row>
    <row r="11211" spans="1:14" ht="14.25" customHeight="1" x14ac:dyDescent="0.25">
      <c r="A11211" s="480"/>
      <c r="B11211" s="476"/>
      <c r="C11211" s="477"/>
      <c r="D11211" s="498"/>
      <c r="E11211" s="484"/>
      <c r="F11211" s="486">
        <f>+C11211*D11211*E11211</f>
        <v>0</v>
      </c>
      <c r="G11211" s="81"/>
      <c r="H11211" s="81"/>
      <c r="I11211" s="81"/>
      <c r="J11211" s="81"/>
      <c r="K11211" s="81"/>
      <c r="L11211" s="81"/>
      <c r="M11211" s="81"/>
      <c r="N11211" s="81"/>
    </row>
    <row r="11212" spans="1:14" ht="14.25" customHeight="1" x14ac:dyDescent="0.25">
      <c r="A11212" s="480"/>
      <c r="B11212" s="476"/>
      <c r="C11212" s="484"/>
      <c r="D11212" s="484"/>
      <c r="E11212" s="485"/>
      <c r="F11212" s="486"/>
      <c r="G11212" s="81"/>
      <c r="H11212" s="81"/>
      <c r="I11212" s="81"/>
      <c r="J11212" s="81"/>
      <c r="K11212" s="81"/>
      <c r="L11212" s="81"/>
      <c r="M11212" s="81"/>
      <c r="N11212" s="81"/>
    </row>
    <row r="11213" spans="1:14" ht="14.25" customHeight="1" x14ac:dyDescent="0.25">
      <c r="A11213" s="199" t="s">
        <v>548</v>
      </c>
      <c r="B11213" s="474"/>
      <c r="C11213" s="487"/>
      <c r="D11213" s="487"/>
      <c r="E11213" s="488"/>
      <c r="F11213" s="489">
        <f>SUM(F11211:F11212)</f>
        <v>0</v>
      </c>
      <c r="G11213" s="81"/>
      <c r="H11213" s="81"/>
      <c r="I11213" s="81"/>
      <c r="J11213" s="81"/>
      <c r="K11213" s="81"/>
      <c r="L11213" s="81"/>
      <c r="M11213" s="81"/>
      <c r="N11213" s="81"/>
    </row>
    <row r="11214" spans="1:14" ht="14.25" customHeight="1" x14ac:dyDescent="0.25">
      <c r="A11214" s="192"/>
      <c r="B11214" s="194"/>
      <c r="C11214" s="215"/>
      <c r="D11214" s="215"/>
      <c r="E11214" s="216"/>
      <c r="F11214" s="215"/>
      <c r="G11214" s="81"/>
      <c r="H11214" s="81"/>
      <c r="I11214" s="81"/>
      <c r="J11214" s="81"/>
      <c r="K11214" s="81"/>
      <c r="L11214" s="81"/>
      <c r="M11214" s="81"/>
      <c r="N11214" s="81"/>
    </row>
    <row r="11215" spans="1:14" ht="14.25" customHeight="1" x14ac:dyDescent="0.25">
      <c r="A11215" s="192"/>
      <c r="B11215" s="194"/>
      <c r="C11215" s="215"/>
      <c r="D11215" s="215"/>
      <c r="E11215" s="216"/>
      <c r="F11215" s="215"/>
      <c r="G11215" s="81"/>
      <c r="H11215" s="81"/>
      <c r="I11215" s="81"/>
      <c r="J11215" s="81"/>
      <c r="K11215" s="81"/>
      <c r="L11215" s="81"/>
      <c r="M11215" s="81"/>
      <c r="N11215" s="81"/>
    </row>
    <row r="11216" spans="1:14" ht="14.25" customHeight="1" x14ac:dyDescent="0.25">
      <c r="A11216" s="590" t="s">
        <v>588</v>
      </c>
      <c r="B11216" s="586"/>
      <c r="C11216" s="586"/>
      <c r="D11216" s="586"/>
      <c r="E11216" s="587"/>
      <c r="F11216" s="499">
        <f>ROUND(F11190+F11199+F11207+F11213,0)</f>
        <v>1740263</v>
      </c>
      <c r="G11216" s="81"/>
      <c r="H11216" s="81"/>
      <c r="I11216" s="81"/>
      <c r="J11216" s="81"/>
      <c r="K11216" s="81"/>
      <c r="L11216" s="81"/>
      <c r="M11216" s="81"/>
      <c r="N11216" s="81"/>
    </row>
    <row r="11217" spans="1:14" ht="14.25" customHeight="1" x14ac:dyDescent="0.25">
      <c r="A11217" s="590" t="s">
        <v>589</v>
      </c>
      <c r="B11217" s="586"/>
      <c r="C11217" s="586"/>
      <c r="D11217" s="586"/>
      <c r="E11217" s="587"/>
      <c r="F11217" s="500"/>
      <c r="G11217" s="81"/>
      <c r="H11217" s="81"/>
      <c r="I11217" s="81"/>
      <c r="J11217" s="81"/>
      <c r="K11217" s="81"/>
      <c r="L11217" s="81"/>
      <c r="M11217" s="81"/>
      <c r="N11217" s="81"/>
    </row>
    <row r="11218" spans="1:14" ht="14.25" customHeight="1" x14ac:dyDescent="0.25">
      <c r="A11218" s="300" t="s">
        <v>556</v>
      </c>
      <c r="B11218" s="506"/>
      <c r="C11218" s="506"/>
      <c r="D11218" s="506"/>
      <c r="E11218" s="507"/>
      <c r="F11218" s="501"/>
      <c r="G11218" s="81"/>
      <c r="H11218" s="81"/>
      <c r="I11218" s="81"/>
      <c r="J11218" s="81"/>
      <c r="K11218" s="81"/>
      <c r="L11218" s="81"/>
      <c r="M11218" s="81"/>
      <c r="N11218" s="81"/>
    </row>
    <row r="11219" spans="1:14" ht="14.25" customHeight="1" x14ac:dyDescent="0.25">
      <c r="A11219" s="301"/>
      <c r="B11219" s="502"/>
      <c r="C11219" s="502"/>
      <c r="D11219" s="502"/>
      <c r="E11219" s="502"/>
      <c r="F11219" s="503"/>
      <c r="G11219" s="81"/>
      <c r="H11219" s="81"/>
      <c r="I11219" s="81"/>
      <c r="J11219" s="81"/>
      <c r="K11219" s="81"/>
      <c r="L11219" s="81"/>
      <c r="M11219" s="81"/>
      <c r="N11219" s="81"/>
    </row>
    <row r="11220" spans="1:14" ht="14.25" customHeight="1" x14ac:dyDescent="0.25">
      <c r="A11220" s="301"/>
      <c r="B11220" s="502"/>
      <c r="C11220" s="502"/>
      <c r="D11220" s="502"/>
      <c r="E11220" s="502"/>
      <c r="F11220" s="503"/>
      <c r="G11220" s="81"/>
      <c r="H11220" s="81"/>
      <c r="I11220" s="81"/>
      <c r="J11220" s="81"/>
      <c r="K11220" s="81"/>
      <c r="L11220" s="81"/>
      <c r="M11220" s="81"/>
      <c r="N11220" s="81"/>
    </row>
    <row r="11221" spans="1:14" ht="14.25" customHeight="1" x14ac:dyDescent="0.25">
      <c r="A11221" s="301"/>
      <c r="B11221" s="502"/>
      <c r="C11221" s="502"/>
      <c r="D11221" s="502"/>
      <c r="E11221" s="502"/>
      <c r="F11221" s="503"/>
      <c r="G11221" s="81"/>
      <c r="H11221" s="81"/>
      <c r="I11221" s="81"/>
      <c r="J11221" s="81"/>
      <c r="K11221" s="81"/>
      <c r="L11221" s="81"/>
      <c r="M11221" s="81"/>
      <c r="N11221" s="81"/>
    </row>
    <row r="11222" spans="1:14" ht="14.25" customHeight="1" x14ac:dyDescent="0.25">
      <c r="A11222" s="243"/>
      <c r="B11222" s="243"/>
      <c r="C11222" s="504"/>
      <c r="D11222" s="243"/>
      <c r="E11222" s="243"/>
      <c r="F11222" s="243"/>
      <c r="G11222" s="81"/>
      <c r="H11222" s="81"/>
      <c r="I11222" s="81"/>
      <c r="J11222" s="81"/>
      <c r="K11222" s="81"/>
      <c r="L11222" s="81"/>
      <c r="M11222" s="81"/>
      <c r="N11222" s="81"/>
    </row>
    <row r="11223" spans="1:14" ht="14.25" customHeight="1" x14ac:dyDescent="0.25">
      <c r="A11223" s="243"/>
      <c r="B11223" s="243"/>
      <c r="C11223" s="504"/>
      <c r="D11223" s="243"/>
      <c r="E11223" s="243"/>
      <c r="F11223" s="243"/>
      <c r="G11223" s="81"/>
      <c r="H11223" s="81"/>
      <c r="I11223" s="81"/>
      <c r="J11223" s="81"/>
      <c r="K11223" s="81"/>
      <c r="L11223" s="81"/>
      <c r="M11223" s="81"/>
      <c r="N11223" s="81"/>
    </row>
    <row r="11224" spans="1:14" ht="14.25" customHeight="1" x14ac:dyDescent="0.25">
      <c r="A11224" s="243"/>
      <c r="B11224" s="243"/>
      <c r="C11224" s="504"/>
      <c r="D11224" s="243"/>
      <c r="E11224" s="243"/>
      <c r="F11224" s="243"/>
      <c r="G11224" s="81"/>
      <c r="H11224" s="81"/>
      <c r="I11224" s="81"/>
      <c r="J11224" s="81"/>
      <c r="K11224" s="81"/>
      <c r="L11224" s="81"/>
      <c r="M11224" s="81"/>
      <c r="N11224" s="81"/>
    </row>
    <row r="11225" spans="1:14" ht="14.25" customHeight="1" x14ac:dyDescent="0.25">
      <c r="A11225" s="243"/>
      <c r="B11225" s="243"/>
      <c r="C11225" s="504"/>
      <c r="D11225" s="243"/>
      <c r="E11225" s="243"/>
      <c r="F11225" s="243"/>
      <c r="G11225" s="81"/>
      <c r="H11225" s="81"/>
      <c r="I11225" s="81"/>
      <c r="J11225" s="81"/>
      <c r="K11225" s="81"/>
      <c r="L11225" s="81"/>
      <c r="M11225" s="81"/>
      <c r="N11225" s="81"/>
    </row>
    <row r="11226" spans="1:14" ht="14.25" customHeight="1" x14ac:dyDescent="0.25">
      <c r="A11226" s="243"/>
      <c r="B11226" s="243"/>
      <c r="C11226" s="504"/>
      <c r="D11226" s="243"/>
      <c r="E11226" s="243"/>
      <c r="F11226" s="243"/>
      <c r="G11226" s="81"/>
      <c r="H11226" s="81"/>
      <c r="I11226" s="81"/>
      <c r="J11226" s="81"/>
      <c r="K11226" s="81"/>
      <c r="L11226" s="81"/>
      <c r="M11226" s="81"/>
      <c r="N11226" s="81"/>
    </row>
    <row r="11227" spans="1:14" ht="14.25" customHeight="1" x14ac:dyDescent="0.25">
      <c r="A11227" s="243"/>
      <c r="B11227" s="243"/>
      <c r="C11227" s="504"/>
      <c r="D11227" s="243"/>
      <c r="E11227" s="243"/>
      <c r="F11227" s="243"/>
      <c r="G11227" s="81"/>
      <c r="H11227" s="81"/>
      <c r="I11227" s="81"/>
      <c r="J11227" s="81"/>
      <c r="K11227" s="81"/>
      <c r="L11227" s="81"/>
      <c r="M11227" s="81"/>
      <c r="N11227" s="81"/>
    </row>
    <row r="11228" spans="1:14" ht="14.25" customHeight="1" x14ac:dyDescent="0.25">
      <c r="A11228" s="243"/>
      <c r="B11228" s="243"/>
      <c r="C11228" s="504"/>
      <c r="D11228" s="243"/>
      <c r="E11228" s="243"/>
      <c r="F11228" s="243"/>
      <c r="G11228" s="81"/>
      <c r="H11228" s="81"/>
      <c r="I11228" s="81"/>
      <c r="J11228" s="81"/>
      <c r="K11228" s="81"/>
      <c r="L11228" s="81"/>
      <c r="M11228" s="81"/>
      <c r="N11228" s="81"/>
    </row>
    <row r="11229" spans="1:14" ht="14.25" customHeight="1" x14ac:dyDescent="0.25">
      <c r="A11229" s="243"/>
      <c r="B11229" s="243"/>
      <c r="C11229" s="504"/>
      <c r="D11229" s="243"/>
      <c r="E11229" s="243"/>
      <c r="F11229" s="243"/>
      <c r="G11229" s="81"/>
      <c r="H11229" s="81"/>
      <c r="I11229" s="81"/>
      <c r="J11229" s="81"/>
      <c r="K11229" s="81"/>
      <c r="L11229" s="81"/>
      <c r="M11229" s="81"/>
      <c r="N11229" s="81"/>
    </row>
    <row r="11230" spans="1:14" ht="14.25" customHeight="1" x14ac:dyDescent="0.25">
      <c r="A11230" s="243"/>
      <c r="B11230" s="243"/>
      <c r="C11230" s="504"/>
      <c r="D11230" s="243"/>
      <c r="E11230" s="243"/>
      <c r="F11230" s="243"/>
      <c r="G11230" s="81"/>
      <c r="H11230" s="81"/>
      <c r="I11230" s="81"/>
      <c r="J11230" s="81"/>
      <c r="K11230" s="81"/>
      <c r="L11230" s="81"/>
      <c r="M11230" s="81"/>
      <c r="N11230" s="81"/>
    </row>
    <row r="11231" spans="1:14" ht="14.25" customHeight="1" x14ac:dyDescent="0.25">
      <c r="A11231" s="243"/>
      <c r="B11231" s="243"/>
      <c r="C11231" s="504"/>
      <c r="D11231" s="243"/>
      <c r="E11231" s="243"/>
      <c r="F11231" s="243"/>
      <c r="G11231" s="81"/>
      <c r="H11231" s="81"/>
      <c r="I11231" s="81"/>
      <c r="J11231" s="81"/>
      <c r="K11231" s="81"/>
      <c r="L11231" s="81"/>
      <c r="M11231" s="81"/>
      <c r="N11231" s="81"/>
    </row>
    <row r="11232" spans="1:14" ht="14.25" customHeight="1" x14ac:dyDescent="0.25">
      <c r="A11232" s="243"/>
      <c r="B11232" s="243"/>
      <c r="C11232" s="504"/>
      <c r="D11232" s="243"/>
      <c r="E11232" s="243"/>
      <c r="F11232" s="243"/>
      <c r="G11232" s="81"/>
      <c r="H11232" s="81"/>
      <c r="I11232" s="81"/>
      <c r="J11232" s="81"/>
      <c r="K11232" s="81"/>
      <c r="L11232" s="81"/>
      <c r="M11232" s="81"/>
      <c r="N11232" s="81"/>
    </row>
    <row r="11233" spans="1:14" ht="14.25" customHeight="1" x14ac:dyDescent="0.25">
      <c r="A11233" s="243"/>
      <c r="B11233" s="243"/>
      <c r="C11233" s="504"/>
      <c r="D11233" s="243"/>
      <c r="E11233" s="243"/>
      <c r="F11233" s="243"/>
      <c r="G11233" s="81"/>
      <c r="H11233" s="81"/>
      <c r="I11233" s="81"/>
      <c r="J11233" s="81"/>
      <c r="K11233" s="81"/>
      <c r="L11233" s="81"/>
      <c r="M11233" s="81"/>
      <c r="N11233" s="81"/>
    </row>
    <row r="11234" spans="1:14" ht="14.25" customHeight="1" thickBot="1" x14ac:dyDescent="0.3">
      <c r="A11234" s="243"/>
      <c r="B11234" s="243"/>
      <c r="C11234" s="504"/>
      <c r="D11234" s="243"/>
      <c r="E11234" s="243"/>
      <c r="F11234" s="243"/>
      <c r="G11234" s="81"/>
      <c r="H11234" s="81"/>
      <c r="I11234" s="81"/>
      <c r="J11234" s="81"/>
      <c r="K11234" s="81"/>
      <c r="L11234" s="81"/>
      <c r="M11234" s="81"/>
      <c r="N11234" s="81"/>
    </row>
    <row r="11235" spans="1:14" ht="14.25" customHeight="1" x14ac:dyDescent="0.25">
      <c r="A11235" s="258"/>
      <c r="B11235" s="259"/>
      <c r="C11235" s="260"/>
      <c r="D11235" s="261"/>
      <c r="E11235" s="261"/>
      <c r="F11235" s="262"/>
      <c r="G11235" s="81"/>
      <c r="H11235" s="81"/>
      <c r="I11235" s="81"/>
      <c r="J11235" s="81"/>
      <c r="K11235" s="81"/>
      <c r="L11235" s="81"/>
      <c r="M11235" s="81"/>
      <c r="N11235" s="81"/>
    </row>
    <row r="11236" spans="1:14" ht="14.25" customHeight="1" x14ac:dyDescent="0.25">
      <c r="A11236" s="621"/>
      <c r="B11236" s="629"/>
      <c r="C11236" s="629"/>
      <c r="D11236" s="629"/>
      <c r="E11236" s="629"/>
      <c r="F11236" s="630"/>
      <c r="G11236" s="81"/>
      <c r="H11236" s="81"/>
      <c r="I11236" s="81"/>
      <c r="J11236" s="81"/>
      <c r="K11236" s="81"/>
      <c r="L11236" s="81"/>
      <c r="M11236" s="81"/>
      <c r="N11236" s="81"/>
    </row>
    <row r="11237" spans="1:14" ht="14.25" customHeight="1" x14ac:dyDescent="0.25">
      <c r="A11237" s="614" t="s">
        <v>561</v>
      </c>
      <c r="B11237" s="629"/>
      <c r="C11237" s="629"/>
      <c r="D11237" s="629"/>
      <c r="E11237" s="629"/>
      <c r="F11237" s="630"/>
      <c r="G11237" s="81"/>
      <c r="H11237" s="81"/>
      <c r="I11237" s="81"/>
      <c r="J11237" s="81"/>
      <c r="K11237" s="81"/>
      <c r="L11237" s="81"/>
      <c r="M11237" s="81"/>
      <c r="N11237" s="81"/>
    </row>
    <row r="11238" spans="1:14" ht="14.25" customHeight="1" thickBot="1" x14ac:dyDescent="0.3">
      <c r="A11238" s="617"/>
      <c r="B11238" s="631"/>
      <c r="C11238" s="631"/>
      <c r="D11238" s="631"/>
      <c r="E11238" s="631"/>
      <c r="F11238" s="632"/>
      <c r="G11238" s="81"/>
      <c r="H11238" s="81"/>
      <c r="I11238" s="81"/>
      <c r="J11238" s="81"/>
      <c r="K11238" s="81"/>
      <c r="L11238" s="81"/>
      <c r="M11238" s="81"/>
      <c r="N11238" s="81"/>
    </row>
    <row r="11239" spans="1:14" ht="14.25" customHeight="1" x14ac:dyDescent="0.25">
      <c r="A11239" s="192"/>
      <c r="B11239" s="192"/>
      <c r="C11239" s="194"/>
      <c r="D11239" s="194"/>
      <c r="E11239" s="194"/>
      <c r="F11239" s="194"/>
      <c r="G11239" s="81"/>
      <c r="H11239" s="81"/>
      <c r="I11239" s="81"/>
      <c r="J11239" s="81"/>
      <c r="K11239" s="81"/>
      <c r="L11239" s="81"/>
      <c r="M11239" s="81"/>
      <c r="N11239" s="81"/>
    </row>
    <row r="11240" spans="1:14" s="187" customFormat="1" ht="14.25" customHeight="1" x14ac:dyDescent="0.25">
      <c r="A11240" s="473" t="s">
        <v>47</v>
      </c>
      <c r="B11240" s="620" t="s">
        <v>1212</v>
      </c>
      <c r="C11240" s="629"/>
      <c r="D11240" s="629"/>
      <c r="E11240" s="629"/>
      <c r="F11240" s="629"/>
      <c r="G11240" s="81"/>
      <c r="H11240" s="81"/>
      <c r="I11240" s="81"/>
      <c r="J11240" s="81"/>
      <c r="K11240" s="81"/>
      <c r="L11240" s="81"/>
      <c r="M11240" s="81"/>
      <c r="N11240" s="81"/>
    </row>
    <row r="11241" spans="1:14" s="187" customFormat="1" ht="14.25" customHeight="1" x14ac:dyDescent="0.25">
      <c r="A11241" s="191"/>
      <c r="B11241" s="191"/>
      <c r="C11241" s="191"/>
      <c r="D11241" s="191"/>
      <c r="E11241" s="191"/>
      <c r="F11241" s="191"/>
      <c r="G11241" s="81"/>
      <c r="H11241" s="81"/>
      <c r="I11241" s="81"/>
      <c r="J11241" s="81"/>
      <c r="K11241" s="81"/>
      <c r="L11241" s="81"/>
      <c r="M11241" s="81"/>
      <c r="N11241" s="81"/>
    </row>
    <row r="11242" spans="1:14" ht="14.25" customHeight="1" x14ac:dyDescent="0.25">
      <c r="A11242" s="192" t="s">
        <v>49</v>
      </c>
      <c r="B11242" s="193" t="s">
        <v>99</v>
      </c>
      <c r="C11242" s="194"/>
      <c r="D11242" s="194"/>
      <c r="E11242" s="194"/>
      <c r="F11242" s="195"/>
      <c r="G11242" s="81"/>
      <c r="H11242" s="81"/>
      <c r="I11242" s="81"/>
      <c r="J11242" s="81"/>
      <c r="K11242" s="81"/>
      <c r="L11242" s="81"/>
      <c r="M11242" s="81"/>
      <c r="N11242" s="81"/>
    </row>
    <row r="11243" spans="1:14" ht="14.25" customHeight="1" x14ac:dyDescent="0.25">
      <c r="A11243" s="192"/>
      <c r="B11243" s="196"/>
      <c r="C11243" s="194"/>
      <c r="D11243" s="194"/>
      <c r="E11243" s="194"/>
      <c r="F11243" s="195"/>
      <c r="G11243" s="81"/>
      <c r="H11243" s="81"/>
      <c r="I11243" s="81"/>
      <c r="J11243" s="81"/>
      <c r="K11243" s="81"/>
      <c r="L11243" s="81"/>
      <c r="M11243" s="81"/>
      <c r="N11243" s="81"/>
    </row>
    <row r="11244" spans="1:14" ht="14.25" customHeight="1" x14ac:dyDescent="0.25">
      <c r="A11244" s="197" t="s">
        <v>562</v>
      </c>
      <c r="B11244" s="198"/>
      <c r="C11244" s="193"/>
      <c r="D11244" s="193"/>
      <c r="E11244" s="193"/>
      <c r="F11244" s="193"/>
      <c r="G11244" s="81"/>
      <c r="H11244" s="81"/>
      <c r="I11244" s="81"/>
      <c r="J11244" s="81"/>
      <c r="K11244" s="81"/>
      <c r="L11244" s="81"/>
      <c r="M11244" s="81"/>
      <c r="N11244" s="81"/>
    </row>
    <row r="11245" spans="1:14" ht="14.25" customHeight="1" x14ac:dyDescent="0.25">
      <c r="A11245" s="199" t="s">
        <v>563</v>
      </c>
      <c r="B11245" s="474" t="s">
        <v>564</v>
      </c>
      <c r="C11245" s="474" t="s">
        <v>565</v>
      </c>
      <c r="D11245" s="474" t="s">
        <v>566</v>
      </c>
      <c r="E11245" s="474" t="s">
        <v>567</v>
      </c>
      <c r="F11245" s="474" t="s">
        <v>568</v>
      </c>
      <c r="G11245" s="81"/>
      <c r="H11245" s="81"/>
      <c r="I11245" s="81"/>
      <c r="J11245" s="81"/>
      <c r="K11245" s="81"/>
      <c r="L11245" s="81"/>
      <c r="M11245" s="81"/>
      <c r="N11245" s="81"/>
    </row>
    <row r="11246" spans="1:14" ht="14.25" customHeight="1" x14ac:dyDescent="0.25">
      <c r="A11246" s="475"/>
      <c r="B11246" s="476"/>
      <c r="C11246" s="477"/>
      <c r="D11246" s="478"/>
      <c r="E11246" s="479"/>
      <c r="F11246" s="477">
        <f t="shared" ref="F11246:F11248" si="555">C11246*(D11246+(D11246*E11246))</f>
        <v>0</v>
      </c>
      <c r="G11246" s="81"/>
      <c r="H11246" s="81"/>
      <c r="I11246" s="81"/>
      <c r="J11246" s="81"/>
      <c r="K11246" s="81"/>
      <c r="L11246" s="81"/>
      <c r="M11246" s="81"/>
      <c r="N11246" s="81"/>
    </row>
    <row r="11247" spans="1:14" ht="14.25" customHeight="1" x14ac:dyDescent="0.25">
      <c r="A11247" s="475"/>
      <c r="B11247" s="476"/>
      <c r="C11247" s="477"/>
      <c r="D11247" s="481"/>
      <c r="E11247" s="479"/>
      <c r="F11247" s="477">
        <f t="shared" si="555"/>
        <v>0</v>
      </c>
      <c r="G11247" s="81"/>
      <c r="H11247" s="81"/>
      <c r="I11247" s="81"/>
      <c r="J11247" s="81"/>
      <c r="K11247" s="81"/>
      <c r="L11247" s="81"/>
      <c r="M11247" s="81"/>
      <c r="N11247" s="81"/>
    </row>
    <row r="11248" spans="1:14" ht="14.25" customHeight="1" x14ac:dyDescent="0.25">
      <c r="A11248" s="475"/>
      <c r="B11248" s="476"/>
      <c r="C11248" s="477"/>
      <c r="D11248" s="481"/>
      <c r="E11248" s="479"/>
      <c r="F11248" s="477">
        <f t="shared" si="555"/>
        <v>0</v>
      </c>
      <c r="G11248" s="81"/>
      <c r="H11248" s="81"/>
      <c r="I11248" s="81"/>
      <c r="J11248" s="81"/>
      <c r="K11248" s="81"/>
      <c r="L11248" s="81"/>
      <c r="M11248" s="81"/>
      <c r="N11248" s="81"/>
    </row>
    <row r="11249" spans="1:14" ht="14.25" customHeight="1" x14ac:dyDescent="0.25">
      <c r="A11249" s="475"/>
      <c r="B11249" s="476"/>
      <c r="C11249" s="477"/>
      <c r="D11249" s="478"/>
      <c r="E11249" s="479"/>
      <c r="F11249" s="477"/>
      <c r="G11249" s="81"/>
      <c r="H11249" s="81"/>
      <c r="I11249" s="81"/>
      <c r="J11249" s="81"/>
      <c r="K11249" s="81"/>
      <c r="L11249" s="81"/>
      <c r="M11249" s="81"/>
      <c r="N11249" s="81"/>
    </row>
    <row r="11250" spans="1:14" ht="14.25" customHeight="1" x14ac:dyDescent="0.25">
      <c r="A11250" s="475"/>
      <c r="B11250" s="476"/>
      <c r="C11250" s="477"/>
      <c r="D11250" s="478"/>
      <c r="E11250" s="479"/>
      <c r="F11250" s="477"/>
      <c r="G11250" s="81"/>
      <c r="H11250" s="81"/>
      <c r="I11250" s="81"/>
      <c r="J11250" s="81"/>
      <c r="K11250" s="81"/>
      <c r="L11250" s="81"/>
      <c r="M11250" s="81"/>
      <c r="N11250" s="81"/>
    </row>
    <row r="11251" spans="1:14" ht="14.25" customHeight="1" x14ac:dyDescent="0.25">
      <c r="A11251" s="475"/>
      <c r="B11251" s="476"/>
      <c r="C11251" s="477"/>
      <c r="D11251" s="478"/>
      <c r="E11251" s="479"/>
      <c r="F11251" s="477"/>
      <c r="G11251" s="81"/>
      <c r="H11251" s="81"/>
      <c r="I11251" s="81"/>
      <c r="J11251" s="81"/>
      <c r="K11251" s="81"/>
      <c r="L11251" s="81"/>
      <c r="M11251" s="81"/>
      <c r="N11251" s="81"/>
    </row>
    <row r="11252" spans="1:14" ht="14.25" customHeight="1" x14ac:dyDescent="0.25">
      <c r="A11252" s="475"/>
      <c r="B11252" s="476"/>
      <c r="C11252" s="483"/>
      <c r="D11252" s="484"/>
      <c r="E11252" s="485"/>
      <c r="F11252" s="483"/>
      <c r="G11252" s="81"/>
      <c r="H11252" s="117"/>
      <c r="I11252" s="81"/>
      <c r="J11252" s="81"/>
      <c r="K11252" s="81"/>
      <c r="L11252" s="81"/>
      <c r="M11252" s="81"/>
      <c r="N11252" s="81"/>
    </row>
    <row r="11253" spans="1:14" ht="14.25" customHeight="1" x14ac:dyDescent="0.25">
      <c r="A11253" s="199" t="s">
        <v>548</v>
      </c>
      <c r="B11253" s="199"/>
      <c r="C11253" s="486"/>
      <c r="D11253" s="487"/>
      <c r="E11253" s="488"/>
      <c r="F11253" s="489">
        <f>SUM(F11246:F11252)</f>
        <v>0</v>
      </c>
      <c r="G11253" s="81"/>
      <c r="H11253" s="81"/>
      <c r="I11253" s="81"/>
      <c r="J11253" s="81"/>
      <c r="K11253" s="81"/>
      <c r="L11253" s="81"/>
      <c r="M11253" s="81"/>
      <c r="N11253" s="81"/>
    </row>
    <row r="11254" spans="1:14" ht="14.25" customHeight="1" x14ac:dyDescent="0.25">
      <c r="A11254" s="192"/>
      <c r="B11254" s="192"/>
      <c r="C11254" s="215"/>
      <c r="D11254" s="215"/>
      <c r="E11254" s="216"/>
      <c r="F11254" s="215"/>
      <c r="G11254" s="81"/>
      <c r="H11254" s="81"/>
      <c r="I11254" s="81"/>
      <c r="J11254" s="81"/>
      <c r="K11254" s="81"/>
      <c r="L11254" s="81"/>
      <c r="M11254" s="81"/>
      <c r="N11254" s="81"/>
    </row>
    <row r="11255" spans="1:14" ht="14.25" customHeight="1" x14ac:dyDescent="0.25">
      <c r="A11255" s="198" t="s">
        <v>573</v>
      </c>
      <c r="B11255" s="198"/>
      <c r="C11255" s="193"/>
      <c r="D11255" s="193"/>
      <c r="E11255" s="193"/>
      <c r="F11255" s="193"/>
      <c r="G11255" s="81"/>
      <c r="H11255" s="81"/>
      <c r="I11255" s="81"/>
      <c r="J11255" s="81"/>
      <c r="K11255" s="81"/>
      <c r="L11255" s="81"/>
      <c r="M11255" s="81"/>
      <c r="N11255" s="81"/>
    </row>
    <row r="11256" spans="1:14" ht="14.25" customHeight="1" x14ac:dyDescent="0.25">
      <c r="A11256" s="585" t="s">
        <v>563</v>
      </c>
      <c r="B11256" s="586"/>
      <c r="C11256" s="587"/>
      <c r="D11256" s="474" t="s">
        <v>574</v>
      </c>
      <c r="E11256" s="474" t="s">
        <v>575</v>
      </c>
      <c r="F11256" s="474" t="s">
        <v>568</v>
      </c>
      <c r="G11256" s="81"/>
      <c r="H11256" s="81"/>
      <c r="I11256" s="81"/>
      <c r="J11256" s="81"/>
      <c r="K11256" s="81"/>
      <c r="L11256" s="81"/>
      <c r="M11256" s="81"/>
      <c r="N11256" s="81"/>
    </row>
    <row r="11257" spans="1:14" ht="14.25" customHeight="1" x14ac:dyDescent="0.25">
      <c r="A11257" s="588" t="s">
        <v>577</v>
      </c>
      <c r="B11257" s="586"/>
      <c r="C11257" s="587"/>
      <c r="D11257" s="490"/>
      <c r="E11257" s="484"/>
      <c r="F11257" s="483">
        <f>+F11271*5%</f>
        <v>1749470.4517684036</v>
      </c>
      <c r="G11257" s="81"/>
      <c r="H11257" s="81"/>
      <c r="I11257" s="81"/>
      <c r="J11257" s="81"/>
      <c r="K11257" s="81"/>
      <c r="L11257" s="81"/>
      <c r="M11257" s="81"/>
      <c r="N11257" s="81"/>
    </row>
    <row r="11258" spans="1:14" ht="14.25" customHeight="1" x14ac:dyDescent="0.25">
      <c r="A11258" s="588"/>
      <c r="B11258" s="586"/>
      <c r="C11258" s="587"/>
      <c r="D11258" s="505"/>
      <c r="E11258" s="484"/>
      <c r="F11258" s="483"/>
      <c r="G11258" s="81"/>
      <c r="H11258" s="81"/>
      <c r="I11258" s="81"/>
      <c r="J11258" s="81"/>
      <c r="K11258" s="81"/>
      <c r="L11258" s="81"/>
      <c r="M11258" s="81"/>
      <c r="N11258" s="81"/>
    </row>
    <row r="11259" spans="1:14" ht="14.25" customHeight="1" x14ac:dyDescent="0.25">
      <c r="A11259" s="588"/>
      <c r="B11259" s="586"/>
      <c r="C11259" s="587"/>
      <c r="D11259" s="505"/>
      <c r="E11259" s="484"/>
      <c r="F11259" s="483"/>
      <c r="G11259" s="81"/>
      <c r="H11259" s="81"/>
      <c r="I11259" s="81"/>
      <c r="J11259" s="81"/>
      <c r="K11259" s="81"/>
      <c r="L11259" s="81"/>
      <c r="M11259" s="81"/>
      <c r="N11259" s="81"/>
    </row>
    <row r="11260" spans="1:14" ht="14.25" customHeight="1" x14ac:dyDescent="0.25">
      <c r="A11260" s="588"/>
      <c r="B11260" s="586"/>
      <c r="C11260" s="587"/>
      <c r="D11260" s="505"/>
      <c r="E11260" s="484"/>
      <c r="F11260" s="483"/>
      <c r="G11260" s="81"/>
      <c r="H11260" s="81"/>
      <c r="I11260" s="81"/>
      <c r="J11260" s="81"/>
      <c r="K11260" s="81"/>
      <c r="L11260" s="81"/>
      <c r="M11260" s="81"/>
      <c r="N11260" s="81"/>
    </row>
    <row r="11261" spans="1:14" ht="14.25" customHeight="1" x14ac:dyDescent="0.25">
      <c r="A11261" s="589"/>
      <c r="B11261" s="586"/>
      <c r="C11261" s="587"/>
      <c r="D11261" s="491"/>
      <c r="E11261" s="484"/>
      <c r="F11261" s="483"/>
      <c r="G11261" s="81"/>
      <c r="H11261" s="81"/>
      <c r="I11261" s="81"/>
      <c r="J11261" s="81"/>
      <c r="K11261" s="81"/>
      <c r="L11261" s="81"/>
      <c r="M11261" s="81"/>
      <c r="N11261" s="81"/>
    </row>
    <row r="11262" spans="1:14" ht="14.25" customHeight="1" x14ac:dyDescent="0.25">
      <c r="A11262" s="585" t="s">
        <v>548</v>
      </c>
      <c r="B11262" s="586"/>
      <c r="C11262" s="587"/>
      <c r="D11262" s="487"/>
      <c r="E11262" s="487"/>
      <c r="F11262" s="489">
        <f>SUM(F11257:F11261)</f>
        <v>1749470.4517684036</v>
      </c>
      <c r="G11262" s="81"/>
      <c r="H11262" s="81"/>
      <c r="I11262" s="81"/>
      <c r="J11262" s="81"/>
      <c r="K11262" s="81"/>
      <c r="L11262" s="81"/>
      <c r="M11262" s="81"/>
      <c r="N11262" s="81"/>
    </row>
    <row r="11263" spans="1:14" ht="14.25" customHeight="1" x14ac:dyDescent="0.25">
      <c r="A11263" s="192"/>
      <c r="B11263" s="192"/>
      <c r="C11263" s="194"/>
      <c r="D11263" s="215"/>
      <c r="E11263" s="215"/>
      <c r="F11263" s="215"/>
      <c r="G11263" s="81"/>
      <c r="H11263" s="81"/>
      <c r="I11263" s="81"/>
      <c r="J11263" s="81"/>
      <c r="K11263" s="81"/>
      <c r="L11263" s="81"/>
      <c r="M11263" s="81"/>
      <c r="N11263" s="81"/>
    </row>
    <row r="11264" spans="1:14" ht="14.25" customHeight="1" x14ac:dyDescent="0.25">
      <c r="A11264" s="198" t="s">
        <v>578</v>
      </c>
      <c r="B11264" s="198"/>
      <c r="C11264" s="193"/>
      <c r="D11264" s="223"/>
      <c r="E11264" s="223"/>
      <c r="F11264" s="223"/>
      <c r="G11264" s="81"/>
      <c r="H11264" s="81"/>
      <c r="I11264" s="81"/>
      <c r="J11264" s="81"/>
      <c r="K11264" s="81"/>
      <c r="L11264" s="81"/>
      <c r="M11264" s="81"/>
      <c r="N11264" s="81"/>
    </row>
    <row r="11265" spans="1:14" ht="14.25" customHeight="1" x14ac:dyDescent="0.25">
      <c r="A11265" s="224" t="s">
        <v>563</v>
      </c>
      <c r="B11265" s="492" t="s">
        <v>579</v>
      </c>
      <c r="C11265" s="492" t="s">
        <v>580</v>
      </c>
      <c r="D11265" s="493" t="s">
        <v>581</v>
      </c>
      <c r="E11265" s="493" t="s">
        <v>575</v>
      </c>
      <c r="F11265" s="493" t="s">
        <v>568</v>
      </c>
      <c r="G11265" s="81"/>
      <c r="H11265" s="81"/>
      <c r="I11265" s="81"/>
      <c r="J11265" s="81"/>
      <c r="K11265" s="81"/>
      <c r="L11265" s="81"/>
      <c r="M11265" s="81"/>
      <c r="N11265" s="81"/>
    </row>
    <row r="11266" spans="1:14" ht="14.25" customHeight="1" x14ac:dyDescent="0.25">
      <c r="A11266" s="494" t="s">
        <v>916</v>
      </c>
      <c r="B11266" s="495">
        <v>5</v>
      </c>
      <c r="C11266" s="477">
        <v>35956.800000000003</v>
      </c>
      <c r="D11266" s="477">
        <f t="shared" ref="D11266:D11269" si="556">+C11266*1.7</f>
        <v>61126.560000000005</v>
      </c>
      <c r="E11266" s="484">
        <v>1.8955685999999999E-2</v>
      </c>
      <c r="F11266" s="483">
        <f t="shared" ref="F11266:F11269" si="557">+B11266*(D11266)/E11266</f>
        <v>16123542.033772876</v>
      </c>
      <c r="G11266" s="81"/>
      <c r="H11266" s="81"/>
      <c r="I11266" s="81"/>
      <c r="J11266" s="81"/>
      <c r="K11266" s="81"/>
      <c r="L11266" s="81"/>
      <c r="M11266" s="81"/>
      <c r="N11266" s="81"/>
    </row>
    <row r="11267" spans="1:14" ht="14.25" customHeight="1" x14ac:dyDescent="0.25">
      <c r="A11267" s="494" t="s">
        <v>917</v>
      </c>
      <c r="B11267" s="495">
        <v>2</v>
      </c>
      <c r="C11267" s="477">
        <v>57791.8</v>
      </c>
      <c r="D11267" s="477">
        <f t="shared" si="556"/>
        <v>98246.06</v>
      </c>
      <c r="E11267" s="484">
        <f>E11266</f>
        <v>1.8955685999999999E-2</v>
      </c>
      <c r="F11267" s="483">
        <f t="shared" si="557"/>
        <v>10365867.001595194</v>
      </c>
      <c r="G11267" s="81"/>
      <c r="H11267" s="81"/>
      <c r="I11267" s="81"/>
      <c r="J11267" s="81"/>
      <c r="K11267" s="81"/>
      <c r="L11267" s="81"/>
      <c r="M11267" s="81"/>
      <c r="N11267" s="81"/>
    </row>
    <row r="11268" spans="1:14" ht="14.25" customHeight="1" x14ac:dyDescent="0.25">
      <c r="A11268" s="494" t="s">
        <v>936</v>
      </c>
      <c r="B11268" s="495">
        <v>1</v>
      </c>
      <c r="C11268" s="477">
        <v>165000</v>
      </c>
      <c r="D11268" s="477">
        <f t="shared" si="556"/>
        <v>280500</v>
      </c>
      <c r="E11268" s="484">
        <v>0.05</v>
      </c>
      <c r="F11268" s="483">
        <f t="shared" si="557"/>
        <v>5610000</v>
      </c>
      <c r="G11268" s="81"/>
      <c r="H11268" s="81"/>
      <c r="I11268" s="81"/>
      <c r="J11268" s="81"/>
      <c r="K11268" s="81"/>
      <c r="L11268" s="81"/>
      <c r="M11268" s="81"/>
      <c r="N11268" s="81"/>
    </row>
    <row r="11269" spans="1:14" ht="14.25" customHeight="1" x14ac:dyDescent="0.25">
      <c r="A11269" s="494" t="s">
        <v>937</v>
      </c>
      <c r="B11269" s="495">
        <v>1</v>
      </c>
      <c r="C11269" s="477">
        <v>85000</v>
      </c>
      <c r="D11269" s="477">
        <f t="shared" si="556"/>
        <v>144500</v>
      </c>
      <c r="E11269" s="484">
        <f>E11268</f>
        <v>0.05</v>
      </c>
      <c r="F11269" s="483">
        <f t="shared" si="557"/>
        <v>2890000</v>
      </c>
      <c r="G11269" s="81"/>
      <c r="H11269" s="81"/>
      <c r="I11269" s="81"/>
      <c r="J11269" s="81"/>
      <c r="K11269" s="81"/>
      <c r="L11269" s="81"/>
      <c r="M11269" s="81"/>
      <c r="N11269" s="81"/>
    </row>
    <row r="11270" spans="1:14" ht="26.25" customHeight="1" x14ac:dyDescent="0.25">
      <c r="A11270" s="494"/>
      <c r="B11270" s="495"/>
      <c r="C11270" s="477"/>
      <c r="D11270" s="477"/>
      <c r="E11270" s="484"/>
      <c r="F11270" s="483"/>
      <c r="G11270" s="81"/>
      <c r="H11270" s="81"/>
      <c r="I11270" s="81"/>
      <c r="J11270" s="81"/>
      <c r="K11270" s="81"/>
      <c r="L11270" s="81"/>
      <c r="M11270" s="81"/>
      <c r="N11270" s="81"/>
    </row>
    <row r="11271" spans="1:14" ht="14.25" customHeight="1" x14ac:dyDescent="0.25">
      <c r="A11271" s="199" t="s">
        <v>548</v>
      </c>
      <c r="B11271" s="497"/>
      <c r="C11271" s="487"/>
      <c r="D11271" s="487"/>
      <c r="E11271" s="487"/>
      <c r="F11271" s="489">
        <f>SUM(F11266:F11269)</f>
        <v>34989409.03536807</v>
      </c>
      <c r="G11271" s="81"/>
      <c r="H11271" s="81"/>
      <c r="I11271" s="81"/>
      <c r="J11271" s="81"/>
      <c r="K11271" s="81"/>
      <c r="L11271" s="81"/>
      <c r="M11271" s="81"/>
      <c r="N11271" s="81"/>
    </row>
    <row r="11272" spans="1:14" ht="14.25" customHeight="1" x14ac:dyDescent="0.25">
      <c r="A11272" s="198"/>
      <c r="B11272" s="231"/>
      <c r="C11272" s="223"/>
      <c r="D11272" s="223"/>
      <c r="E11272" s="223"/>
      <c r="F11272" s="223"/>
      <c r="G11272" s="81"/>
      <c r="H11272" s="81"/>
      <c r="I11272" s="81"/>
      <c r="J11272" s="81"/>
      <c r="K11272" s="81"/>
      <c r="L11272" s="81"/>
      <c r="M11272" s="81"/>
      <c r="N11272" s="81"/>
    </row>
    <row r="11273" spans="1:14" ht="14.25" customHeight="1" x14ac:dyDescent="0.25">
      <c r="A11273" s="197" t="s">
        <v>583</v>
      </c>
      <c r="B11273" s="198"/>
      <c r="C11273" s="193"/>
      <c r="D11273" s="193"/>
      <c r="E11273" s="193" t="s">
        <v>584</v>
      </c>
      <c r="F11273" s="193"/>
      <c r="G11273" s="81"/>
      <c r="H11273" s="81"/>
      <c r="I11273" s="81"/>
      <c r="J11273" s="81"/>
      <c r="K11273" s="81"/>
      <c r="L11273" s="81"/>
      <c r="M11273" s="81"/>
      <c r="N11273" s="81"/>
    </row>
    <row r="11274" spans="1:14" ht="14.25" customHeight="1" x14ac:dyDescent="0.25">
      <c r="A11274" s="199" t="s">
        <v>563</v>
      </c>
      <c r="B11274" s="474" t="s">
        <v>564</v>
      </c>
      <c r="C11274" s="474" t="s">
        <v>585</v>
      </c>
      <c r="D11274" s="474" t="s">
        <v>586</v>
      </c>
      <c r="E11274" s="492" t="s">
        <v>587</v>
      </c>
      <c r="F11274" s="474" t="s">
        <v>568</v>
      </c>
      <c r="G11274" s="81"/>
      <c r="H11274" s="81"/>
      <c r="I11274" s="81"/>
      <c r="J11274" s="81"/>
      <c r="K11274" s="81"/>
      <c r="L11274" s="81"/>
      <c r="M11274" s="81"/>
      <c r="N11274" s="81"/>
    </row>
    <row r="11275" spans="1:14" ht="14.25" customHeight="1" x14ac:dyDescent="0.25">
      <c r="A11275" s="480"/>
      <c r="B11275" s="476"/>
      <c r="C11275" s="477"/>
      <c r="D11275" s="498"/>
      <c r="E11275" s="484"/>
      <c r="F11275" s="486">
        <f>+C11275*D11275*E11275</f>
        <v>0</v>
      </c>
      <c r="G11275" s="81"/>
      <c r="H11275" s="81"/>
      <c r="I11275" s="81"/>
      <c r="J11275" s="81"/>
      <c r="K11275" s="81"/>
      <c r="L11275" s="81"/>
      <c r="M11275" s="81"/>
      <c r="N11275" s="81"/>
    </row>
    <row r="11276" spans="1:14" ht="15.75" x14ac:dyDescent="0.25">
      <c r="A11276" s="480"/>
      <c r="B11276" s="476"/>
      <c r="C11276" s="484"/>
      <c r="D11276" s="484"/>
      <c r="E11276" s="485"/>
      <c r="F11276" s="486"/>
      <c r="G11276" s="81"/>
      <c r="H11276" s="81"/>
      <c r="I11276" s="81"/>
      <c r="J11276" s="81"/>
      <c r="K11276" s="81"/>
      <c r="L11276" s="81"/>
      <c r="M11276" s="81"/>
      <c r="N11276" s="81"/>
    </row>
    <row r="11277" spans="1:14" ht="15.75" x14ac:dyDescent="0.25">
      <c r="A11277" s="199" t="s">
        <v>548</v>
      </c>
      <c r="B11277" s="474"/>
      <c r="C11277" s="487"/>
      <c r="D11277" s="487"/>
      <c r="E11277" s="488"/>
      <c r="F11277" s="489">
        <f>SUM(F11275:F11276)</f>
        <v>0</v>
      </c>
      <c r="G11277" s="81"/>
      <c r="H11277" s="81"/>
      <c r="I11277" s="81"/>
      <c r="J11277" s="81"/>
      <c r="K11277" s="81"/>
      <c r="L11277" s="81"/>
      <c r="M11277" s="81"/>
      <c r="N11277" s="81"/>
    </row>
    <row r="11278" spans="1:14" ht="14.25" customHeight="1" x14ac:dyDescent="0.25">
      <c r="A11278" s="192"/>
      <c r="B11278" s="194"/>
      <c r="C11278" s="215"/>
      <c r="D11278" s="215"/>
      <c r="E11278" s="216"/>
      <c r="F11278" s="215"/>
      <c r="G11278" s="81"/>
      <c r="H11278" s="81"/>
      <c r="I11278" s="81"/>
      <c r="J11278" s="81"/>
      <c r="K11278" s="81"/>
      <c r="L11278" s="81"/>
      <c r="M11278" s="81"/>
      <c r="N11278" s="81"/>
    </row>
    <row r="11279" spans="1:14" s="187" customFormat="1" ht="14.25" customHeight="1" x14ac:dyDescent="0.25">
      <c r="A11279" s="192"/>
      <c r="B11279" s="194"/>
      <c r="C11279" s="215"/>
      <c r="D11279" s="215"/>
      <c r="E11279" s="216"/>
      <c r="F11279" s="215"/>
      <c r="G11279" s="81"/>
      <c r="H11279" s="81"/>
      <c r="I11279" s="81"/>
      <c r="J11279" s="81"/>
      <c r="K11279" s="81"/>
      <c r="L11279" s="81"/>
      <c r="M11279" s="81"/>
      <c r="N11279" s="81"/>
    </row>
    <row r="11280" spans="1:14" s="187" customFormat="1" ht="15.75" x14ac:dyDescent="0.25">
      <c r="A11280" s="590" t="s">
        <v>588</v>
      </c>
      <c r="B11280" s="586"/>
      <c r="C11280" s="586"/>
      <c r="D11280" s="586"/>
      <c r="E11280" s="587"/>
      <c r="F11280" s="499">
        <f>ROUND(F11253+F11262+F11271+F11277,0)</f>
        <v>36738879</v>
      </c>
      <c r="G11280" s="81"/>
      <c r="H11280" s="81"/>
      <c r="I11280" s="81"/>
      <c r="J11280" s="81"/>
      <c r="K11280" s="81"/>
      <c r="L11280" s="81"/>
      <c r="M11280" s="81"/>
      <c r="N11280" s="81"/>
    </row>
    <row r="11281" spans="1:14" s="187" customFormat="1" ht="15.75" x14ac:dyDescent="0.25">
      <c r="A11281" s="590" t="s">
        <v>589</v>
      </c>
      <c r="B11281" s="586"/>
      <c r="C11281" s="586"/>
      <c r="D11281" s="586"/>
      <c r="E11281" s="587"/>
      <c r="F11281" s="500"/>
      <c r="G11281" s="81"/>
      <c r="H11281" s="81"/>
      <c r="I11281" s="81"/>
      <c r="J11281" s="81"/>
      <c r="K11281" s="81"/>
      <c r="L11281" s="81"/>
      <c r="M11281" s="81"/>
      <c r="N11281" s="81"/>
    </row>
    <row r="11282" spans="1:14" ht="14.25" customHeight="1" x14ac:dyDescent="0.25">
      <c r="A11282" s="300" t="s">
        <v>556</v>
      </c>
      <c r="B11282" s="506"/>
      <c r="C11282" s="506"/>
      <c r="D11282" s="506"/>
      <c r="E11282" s="507"/>
      <c r="F11282" s="501"/>
      <c r="G11282" s="81"/>
      <c r="H11282" s="81"/>
      <c r="I11282" s="81"/>
      <c r="J11282" s="81"/>
      <c r="K11282" s="81"/>
      <c r="L11282" s="81"/>
      <c r="M11282" s="81"/>
      <c r="N11282" s="81"/>
    </row>
    <row r="11283" spans="1:14" ht="15.75" x14ac:dyDescent="0.25">
      <c r="A11283" s="301"/>
      <c r="B11283" s="502"/>
      <c r="C11283" s="502"/>
      <c r="D11283" s="502"/>
      <c r="E11283" s="502"/>
      <c r="F11283" s="503"/>
      <c r="G11283" s="81"/>
      <c r="H11283" s="81"/>
      <c r="I11283" s="81"/>
      <c r="J11283" s="81"/>
      <c r="K11283" s="81"/>
      <c r="L11283" s="81"/>
      <c r="M11283" s="81"/>
      <c r="N11283" s="81"/>
    </row>
    <row r="11284" spans="1:14" ht="14.25" customHeight="1" x14ac:dyDescent="0.25">
      <c r="A11284" s="301"/>
      <c r="B11284" s="502"/>
      <c r="C11284" s="502"/>
      <c r="D11284" s="502"/>
      <c r="E11284" s="502"/>
      <c r="F11284" s="503"/>
      <c r="G11284" s="81"/>
      <c r="H11284" s="81"/>
      <c r="I11284" s="81"/>
      <c r="J11284" s="81"/>
      <c r="K11284" s="81"/>
      <c r="L11284" s="81"/>
      <c r="M11284" s="81"/>
      <c r="N11284" s="81"/>
    </row>
    <row r="11285" spans="1:14" ht="14.25" customHeight="1" x14ac:dyDescent="0.25">
      <c r="A11285" s="301"/>
      <c r="B11285" s="502"/>
      <c r="C11285" s="502"/>
      <c r="D11285" s="502"/>
      <c r="E11285" s="502"/>
      <c r="F11285" s="503"/>
      <c r="G11285" s="81"/>
      <c r="H11285" s="81"/>
      <c r="I11285" s="81"/>
      <c r="J11285" s="81"/>
      <c r="K11285" s="81"/>
      <c r="L11285" s="81"/>
      <c r="M11285" s="81"/>
      <c r="N11285" s="81"/>
    </row>
    <row r="11286" spans="1:14" ht="14.25" customHeight="1" x14ac:dyDescent="0.25">
      <c r="A11286" s="243"/>
      <c r="B11286" s="243"/>
      <c r="C11286" s="504"/>
      <c r="D11286" s="243"/>
      <c r="E11286" s="243"/>
      <c r="F11286" s="243"/>
      <c r="G11286" s="81"/>
      <c r="H11286" s="81"/>
      <c r="I11286" s="81"/>
      <c r="J11286" s="81"/>
      <c r="K11286" s="81"/>
      <c r="L11286" s="81"/>
      <c r="M11286" s="81"/>
      <c r="N11286" s="81"/>
    </row>
    <row r="11287" spans="1:14" ht="14.25" customHeight="1" x14ac:dyDescent="0.25">
      <c r="A11287" s="243"/>
      <c r="B11287" s="243"/>
      <c r="C11287" s="504"/>
      <c r="D11287" s="243"/>
      <c r="E11287" s="243"/>
      <c r="F11287" s="243"/>
      <c r="G11287" s="81"/>
      <c r="H11287" s="81"/>
      <c r="I11287" s="81"/>
      <c r="J11287" s="81"/>
      <c r="K11287" s="81"/>
      <c r="L11287" s="81"/>
      <c r="M11287" s="81"/>
      <c r="N11287" s="81"/>
    </row>
    <row r="11288" spans="1:14" ht="14.25" customHeight="1" x14ac:dyDescent="0.25">
      <c r="A11288" s="243"/>
      <c r="B11288" s="243"/>
      <c r="C11288" s="504"/>
      <c r="D11288" s="243"/>
      <c r="E11288" s="243"/>
      <c r="F11288" s="243"/>
      <c r="G11288" s="81"/>
      <c r="H11288" s="81"/>
      <c r="I11288" s="81"/>
      <c r="J11288" s="81"/>
      <c r="K11288" s="81"/>
      <c r="L11288" s="81"/>
      <c r="M11288" s="81"/>
      <c r="N11288" s="81"/>
    </row>
    <row r="11289" spans="1:14" ht="14.25" customHeight="1" x14ac:dyDescent="0.25">
      <c r="A11289" s="243"/>
      <c r="B11289" s="243"/>
      <c r="C11289" s="504"/>
      <c r="D11289" s="243"/>
      <c r="E11289" s="243"/>
      <c r="F11289" s="243"/>
      <c r="G11289" s="81"/>
      <c r="H11289" s="81"/>
      <c r="I11289" s="81"/>
      <c r="J11289" s="81"/>
      <c r="K11289" s="81"/>
      <c r="L11289" s="81"/>
      <c r="M11289" s="81"/>
      <c r="N11289" s="81"/>
    </row>
    <row r="11290" spans="1:14" ht="14.25" customHeight="1" x14ac:dyDescent="0.25">
      <c r="A11290" s="243"/>
      <c r="B11290" s="243"/>
      <c r="C11290" s="504"/>
      <c r="D11290" s="243"/>
      <c r="E11290" s="243"/>
      <c r="F11290" s="243"/>
      <c r="G11290" s="81"/>
      <c r="H11290" s="81"/>
      <c r="I11290" s="81"/>
      <c r="J11290" s="81"/>
      <c r="K11290" s="81"/>
      <c r="L11290" s="81"/>
      <c r="M11290" s="81"/>
      <c r="N11290" s="81"/>
    </row>
    <row r="11291" spans="1:14" ht="14.25" customHeight="1" x14ac:dyDescent="0.25">
      <c r="A11291" s="243"/>
      <c r="B11291" s="243"/>
      <c r="C11291" s="504"/>
      <c r="D11291" s="243"/>
      <c r="E11291" s="243"/>
      <c r="F11291" s="243"/>
      <c r="G11291" s="81"/>
      <c r="H11291" s="81"/>
      <c r="I11291" s="81"/>
      <c r="J11291" s="81"/>
      <c r="K11291" s="81"/>
      <c r="L11291" s="81"/>
      <c r="M11291" s="81"/>
      <c r="N11291" s="81"/>
    </row>
    <row r="11292" spans="1:14" ht="14.25" customHeight="1" x14ac:dyDescent="0.25">
      <c r="A11292" s="243"/>
      <c r="B11292" s="243"/>
      <c r="C11292" s="504"/>
      <c r="D11292" s="243"/>
      <c r="E11292" s="243"/>
      <c r="F11292" s="243"/>
      <c r="G11292" s="81"/>
      <c r="H11292" s="81"/>
      <c r="I11292" s="81"/>
      <c r="J11292" s="81"/>
      <c r="K11292" s="81"/>
      <c r="L11292" s="81"/>
      <c r="M11292" s="81"/>
      <c r="N11292" s="81"/>
    </row>
    <row r="11293" spans="1:14" ht="14.25" customHeight="1" x14ac:dyDescent="0.25">
      <c r="A11293" s="243"/>
      <c r="B11293" s="243"/>
      <c r="C11293" s="504"/>
      <c r="D11293" s="243"/>
      <c r="E11293" s="243"/>
      <c r="F11293" s="243"/>
      <c r="G11293" s="81"/>
      <c r="H11293" s="81"/>
      <c r="I11293" s="81"/>
      <c r="J11293" s="81"/>
      <c r="K11293" s="81"/>
      <c r="L11293" s="81"/>
      <c r="M11293" s="81"/>
      <c r="N11293" s="81"/>
    </row>
    <row r="11294" spans="1:14" ht="14.25" customHeight="1" x14ac:dyDescent="0.25">
      <c r="A11294" s="243"/>
      <c r="B11294" s="243"/>
      <c r="C11294" s="504"/>
      <c r="D11294" s="243"/>
      <c r="E11294" s="243"/>
      <c r="F11294" s="243"/>
      <c r="G11294" s="81"/>
      <c r="H11294" s="81"/>
      <c r="I11294" s="81"/>
      <c r="J11294" s="81"/>
      <c r="K11294" s="81"/>
      <c r="L11294" s="81"/>
      <c r="M11294" s="81"/>
      <c r="N11294" s="81"/>
    </row>
    <row r="11295" spans="1:14" ht="14.25" customHeight="1" x14ac:dyDescent="0.25">
      <c r="A11295" s="243"/>
      <c r="B11295" s="243"/>
      <c r="C11295" s="504"/>
      <c r="D11295" s="243"/>
      <c r="E11295" s="243"/>
      <c r="F11295" s="243"/>
      <c r="G11295" s="81"/>
      <c r="H11295" s="81"/>
      <c r="I11295" s="81"/>
      <c r="J11295" s="81"/>
      <c r="K11295" s="81"/>
      <c r="L11295" s="81"/>
      <c r="M11295" s="81"/>
      <c r="N11295" s="81"/>
    </row>
    <row r="11296" spans="1:14" ht="14.25" customHeight="1" x14ac:dyDescent="0.25">
      <c r="A11296" s="243"/>
      <c r="B11296" s="243"/>
      <c r="C11296" s="504"/>
      <c r="D11296" s="243"/>
      <c r="E11296" s="243"/>
      <c r="F11296" s="243"/>
      <c r="G11296" s="81"/>
      <c r="H11296" s="81"/>
      <c r="I11296" s="81"/>
      <c r="J11296" s="81"/>
      <c r="K11296" s="81"/>
      <c r="L11296" s="81"/>
      <c r="M11296" s="81"/>
      <c r="N11296" s="81"/>
    </row>
    <row r="11297" spans="1:14" ht="14.25" customHeight="1" x14ac:dyDescent="0.25">
      <c r="A11297" s="243"/>
      <c r="B11297" s="243"/>
      <c r="C11297" s="504"/>
      <c r="D11297" s="243"/>
      <c r="E11297" s="243"/>
      <c r="F11297" s="243"/>
      <c r="G11297" s="81"/>
      <c r="H11297" s="81"/>
      <c r="I11297" s="81"/>
      <c r="J11297" s="81"/>
      <c r="K11297" s="81"/>
      <c r="L11297" s="81"/>
      <c r="M11297" s="81"/>
      <c r="N11297" s="81"/>
    </row>
    <row r="11298" spans="1:14" ht="14.25" customHeight="1" x14ac:dyDescent="0.25">
      <c r="A11298" s="243"/>
      <c r="B11298" s="243"/>
      <c r="C11298" s="504"/>
      <c r="D11298" s="243"/>
      <c r="E11298" s="243"/>
      <c r="F11298" s="243"/>
      <c r="G11298" s="81"/>
      <c r="H11298" s="81"/>
      <c r="I11298" s="81"/>
      <c r="J11298" s="81"/>
      <c r="K11298" s="81"/>
      <c r="L11298" s="81"/>
      <c r="M11298" s="81"/>
      <c r="N11298" s="81"/>
    </row>
    <row r="11299" spans="1:14" ht="14.25" customHeight="1" thickBot="1" x14ac:dyDescent="0.3">
      <c r="A11299" s="243"/>
      <c r="B11299" s="243"/>
      <c r="C11299" s="504"/>
      <c r="D11299" s="243"/>
      <c r="E11299" s="243"/>
      <c r="F11299" s="243"/>
      <c r="G11299" s="81"/>
      <c r="H11299" s="81"/>
      <c r="I11299" s="81"/>
      <c r="J11299" s="81"/>
      <c r="K11299" s="81"/>
      <c r="L11299" s="81"/>
      <c r="M11299" s="81"/>
      <c r="N11299" s="81"/>
    </row>
    <row r="11300" spans="1:14" ht="14.25" customHeight="1" x14ac:dyDescent="0.25">
      <c r="A11300" s="258"/>
      <c r="B11300" s="259"/>
      <c r="C11300" s="260"/>
      <c r="D11300" s="261"/>
      <c r="E11300" s="261"/>
      <c r="F11300" s="262"/>
      <c r="G11300" s="81"/>
      <c r="H11300" s="81"/>
      <c r="I11300" s="81"/>
      <c r="J11300" s="81"/>
      <c r="K11300" s="81"/>
      <c r="L11300" s="81"/>
      <c r="M11300" s="81"/>
      <c r="N11300" s="81"/>
    </row>
    <row r="11301" spans="1:14" ht="14.25" customHeight="1" x14ac:dyDescent="0.25">
      <c r="A11301" s="621"/>
      <c r="B11301" s="629"/>
      <c r="C11301" s="629"/>
      <c r="D11301" s="629"/>
      <c r="E11301" s="629"/>
      <c r="F11301" s="630"/>
      <c r="G11301" s="81"/>
      <c r="H11301" s="81"/>
      <c r="I11301" s="81"/>
      <c r="J11301" s="81"/>
      <c r="K11301" s="81"/>
      <c r="L11301" s="81"/>
      <c r="M11301" s="81"/>
      <c r="N11301" s="81"/>
    </row>
    <row r="11302" spans="1:14" ht="14.25" customHeight="1" x14ac:dyDescent="0.25">
      <c r="A11302" s="614" t="s">
        <v>561</v>
      </c>
      <c r="B11302" s="629"/>
      <c r="C11302" s="629"/>
      <c r="D11302" s="629"/>
      <c r="E11302" s="629"/>
      <c r="F11302" s="630"/>
      <c r="G11302" s="81"/>
      <c r="H11302" s="81"/>
      <c r="I11302" s="81"/>
      <c r="J11302" s="81"/>
      <c r="K11302" s="81"/>
      <c r="L11302" s="81"/>
      <c r="M11302" s="81"/>
      <c r="N11302" s="81"/>
    </row>
    <row r="11303" spans="1:14" ht="14.25" customHeight="1" thickBot="1" x14ac:dyDescent="0.3">
      <c r="A11303" s="617"/>
      <c r="B11303" s="631"/>
      <c r="C11303" s="631"/>
      <c r="D11303" s="631"/>
      <c r="E11303" s="631"/>
      <c r="F11303" s="632"/>
      <c r="G11303" s="81"/>
      <c r="H11303" s="81"/>
      <c r="I11303" s="81"/>
      <c r="J11303" s="81"/>
      <c r="K11303" s="81"/>
      <c r="L11303" s="81"/>
      <c r="M11303" s="81"/>
      <c r="N11303" s="81"/>
    </row>
    <row r="11304" spans="1:14" ht="14.25" customHeight="1" x14ac:dyDescent="0.25">
      <c r="A11304" s="192"/>
      <c r="B11304" s="192"/>
      <c r="C11304" s="194"/>
      <c r="D11304" s="194"/>
      <c r="E11304" s="194"/>
      <c r="F11304" s="194"/>
      <c r="G11304" s="81"/>
      <c r="H11304" s="81"/>
      <c r="I11304" s="81"/>
      <c r="J11304" s="81"/>
      <c r="K11304" s="81"/>
      <c r="L11304" s="81"/>
      <c r="M11304" s="81"/>
      <c r="N11304" s="81"/>
    </row>
    <row r="11305" spans="1:14" ht="14.25" customHeight="1" x14ac:dyDescent="0.25">
      <c r="A11305" s="473" t="s">
        <v>47</v>
      </c>
      <c r="B11305" s="620" t="s">
        <v>1191</v>
      </c>
      <c r="C11305" s="629"/>
      <c r="D11305" s="629"/>
      <c r="E11305" s="629"/>
      <c r="F11305" s="629"/>
      <c r="G11305" s="81"/>
      <c r="H11305" s="81"/>
      <c r="I11305" s="81"/>
      <c r="J11305" s="81"/>
      <c r="K11305" s="81"/>
      <c r="L11305" s="81"/>
      <c r="M11305" s="81"/>
      <c r="N11305" s="81"/>
    </row>
    <row r="11306" spans="1:14" ht="14.25" customHeight="1" x14ac:dyDescent="0.25">
      <c r="A11306" s="191"/>
      <c r="B11306" s="191"/>
      <c r="C11306" s="191"/>
      <c r="D11306" s="191"/>
      <c r="E11306" s="191"/>
      <c r="F11306" s="191"/>
      <c r="G11306" s="81"/>
      <c r="H11306" s="81"/>
      <c r="I11306" s="81"/>
      <c r="J11306" s="81"/>
      <c r="K11306" s="81"/>
      <c r="L11306" s="81"/>
      <c r="M11306" s="81"/>
      <c r="N11306" s="81"/>
    </row>
    <row r="11307" spans="1:14" ht="14.25" customHeight="1" x14ac:dyDescent="0.25">
      <c r="A11307" s="192" t="s">
        <v>49</v>
      </c>
      <c r="B11307" s="193" t="s">
        <v>99</v>
      </c>
      <c r="C11307" s="194"/>
      <c r="D11307" s="194"/>
      <c r="E11307" s="194"/>
      <c r="F11307" s="195"/>
      <c r="G11307" s="81"/>
      <c r="H11307" s="81"/>
      <c r="I11307" s="81"/>
      <c r="J11307" s="81"/>
      <c r="K11307" s="81"/>
      <c r="L11307" s="81"/>
      <c r="M11307" s="81"/>
      <c r="N11307" s="81"/>
    </row>
    <row r="11308" spans="1:14" ht="14.25" customHeight="1" x14ac:dyDescent="0.25">
      <c r="A11308" s="192"/>
      <c r="B11308" s="196"/>
      <c r="C11308" s="194"/>
      <c r="D11308" s="194"/>
      <c r="E11308" s="194"/>
      <c r="F11308" s="195"/>
      <c r="G11308" s="81"/>
      <c r="H11308" s="81"/>
      <c r="I11308" s="81"/>
      <c r="J11308" s="81"/>
      <c r="K11308" s="81"/>
      <c r="L11308" s="81"/>
      <c r="M11308" s="81"/>
      <c r="N11308" s="81"/>
    </row>
    <row r="11309" spans="1:14" ht="14.25" customHeight="1" x14ac:dyDescent="0.25">
      <c r="A11309" s="197" t="s">
        <v>562</v>
      </c>
      <c r="B11309" s="198"/>
      <c r="C11309" s="193"/>
      <c r="D11309" s="193"/>
      <c r="E11309" s="193"/>
      <c r="F11309" s="193"/>
      <c r="G11309" s="81"/>
      <c r="H11309" s="81"/>
      <c r="I11309" s="81"/>
      <c r="J11309" s="81"/>
      <c r="K11309" s="81"/>
      <c r="L11309" s="81"/>
      <c r="M11309" s="81"/>
      <c r="N11309" s="81"/>
    </row>
    <row r="11310" spans="1:14" s="168" customFormat="1" ht="15.75" x14ac:dyDescent="0.25">
      <c r="A11310" s="199" t="s">
        <v>563</v>
      </c>
      <c r="B11310" s="474" t="s">
        <v>564</v>
      </c>
      <c r="C11310" s="474" t="s">
        <v>565</v>
      </c>
      <c r="D11310" s="474" t="s">
        <v>566</v>
      </c>
      <c r="E11310" s="474" t="s">
        <v>567</v>
      </c>
      <c r="F11310" s="474" t="s">
        <v>568</v>
      </c>
    </row>
    <row r="11311" spans="1:14" ht="14.25" customHeight="1" x14ac:dyDescent="0.25">
      <c r="A11311" s="475" t="s">
        <v>1191</v>
      </c>
      <c r="B11311" s="476" t="s">
        <v>99</v>
      </c>
      <c r="C11311" s="477">
        <v>8056780</v>
      </c>
      <c r="D11311" s="478">
        <v>1</v>
      </c>
      <c r="E11311" s="479"/>
      <c r="F11311" s="477">
        <f t="shared" ref="F11311:F11313" si="558">C11311*(D11311+(D11311*E11311))</f>
        <v>8056780</v>
      </c>
      <c r="G11311" s="81"/>
      <c r="H11311" s="81"/>
      <c r="I11311" s="81"/>
      <c r="J11311" s="81"/>
      <c r="K11311" s="81"/>
      <c r="L11311" s="81"/>
      <c r="M11311" s="81"/>
      <c r="N11311" s="81"/>
    </row>
    <row r="11312" spans="1:14" ht="14.25" customHeight="1" x14ac:dyDescent="0.25">
      <c r="A11312" s="475"/>
      <c r="B11312" s="476"/>
      <c r="C11312" s="477"/>
      <c r="D11312" s="481"/>
      <c r="E11312" s="479"/>
      <c r="F11312" s="477">
        <f t="shared" si="558"/>
        <v>0</v>
      </c>
      <c r="G11312" s="81"/>
      <c r="H11312" s="81"/>
      <c r="I11312" s="81"/>
      <c r="J11312" s="81"/>
      <c r="K11312" s="81"/>
      <c r="L11312" s="81"/>
      <c r="M11312" s="81"/>
      <c r="N11312" s="81"/>
    </row>
    <row r="11313" spans="1:14" ht="14.25" customHeight="1" x14ac:dyDescent="0.25">
      <c r="A11313" s="475"/>
      <c r="B11313" s="476"/>
      <c r="C11313" s="477"/>
      <c r="D11313" s="481"/>
      <c r="E11313" s="479"/>
      <c r="F11313" s="477">
        <f t="shared" si="558"/>
        <v>0</v>
      </c>
      <c r="G11313" s="81"/>
      <c r="H11313" s="81"/>
      <c r="I11313" s="81"/>
      <c r="J11313" s="81"/>
      <c r="K11313" s="81"/>
      <c r="L11313" s="81"/>
      <c r="M11313" s="81"/>
      <c r="N11313" s="81"/>
    </row>
    <row r="11314" spans="1:14" ht="14.25" customHeight="1" x14ac:dyDescent="0.25">
      <c r="A11314" s="475"/>
      <c r="B11314" s="476"/>
      <c r="C11314" s="477"/>
      <c r="D11314" s="478"/>
      <c r="E11314" s="479"/>
      <c r="F11314" s="477"/>
      <c r="G11314" s="81"/>
      <c r="H11314" s="81"/>
      <c r="I11314" s="81"/>
      <c r="J11314" s="81"/>
      <c r="K11314" s="81"/>
      <c r="L11314" s="81"/>
      <c r="M11314" s="81"/>
      <c r="N11314" s="81"/>
    </row>
    <row r="11315" spans="1:14" ht="14.25" customHeight="1" x14ac:dyDescent="0.25">
      <c r="A11315" s="475"/>
      <c r="B11315" s="476"/>
      <c r="C11315" s="477"/>
      <c r="D11315" s="478"/>
      <c r="E11315" s="479"/>
      <c r="F11315" s="477"/>
      <c r="G11315" s="81"/>
      <c r="H11315" s="117"/>
      <c r="I11315" s="81"/>
      <c r="J11315" s="81"/>
      <c r="K11315" s="81"/>
      <c r="L11315" s="81"/>
      <c r="M11315" s="81"/>
      <c r="N11315" s="81"/>
    </row>
    <row r="11316" spans="1:14" ht="14.25" customHeight="1" x14ac:dyDescent="0.25">
      <c r="A11316" s="475"/>
      <c r="B11316" s="476"/>
      <c r="C11316" s="477"/>
      <c r="D11316" s="478"/>
      <c r="E11316" s="479"/>
      <c r="F11316" s="477"/>
      <c r="G11316" s="81"/>
      <c r="H11316" s="81"/>
      <c r="I11316" s="81"/>
      <c r="J11316" s="81"/>
      <c r="K11316" s="81"/>
      <c r="L11316" s="81"/>
      <c r="M11316" s="81"/>
      <c r="N11316" s="81"/>
    </row>
    <row r="11317" spans="1:14" ht="14.25" customHeight="1" x14ac:dyDescent="0.25">
      <c r="A11317" s="475"/>
      <c r="B11317" s="476"/>
      <c r="C11317" s="483"/>
      <c r="D11317" s="484"/>
      <c r="E11317" s="485"/>
      <c r="F11317" s="483"/>
      <c r="G11317" s="81"/>
      <c r="H11317" s="81"/>
      <c r="I11317" s="81"/>
      <c r="J11317" s="81"/>
      <c r="K11317" s="81"/>
      <c r="L11317" s="81"/>
      <c r="M11317" s="81"/>
      <c r="N11317" s="81"/>
    </row>
    <row r="11318" spans="1:14" ht="14.25" customHeight="1" x14ac:dyDescent="0.25">
      <c r="A11318" s="199" t="s">
        <v>548</v>
      </c>
      <c r="B11318" s="199"/>
      <c r="C11318" s="486"/>
      <c r="D11318" s="487"/>
      <c r="E11318" s="488"/>
      <c r="F11318" s="489">
        <f>SUM(F11311:F11317)</f>
        <v>8056780</v>
      </c>
      <c r="G11318" s="81"/>
      <c r="H11318" s="81"/>
      <c r="I11318" s="81"/>
      <c r="J11318" s="81"/>
      <c r="K11318" s="81"/>
      <c r="L11318" s="81"/>
      <c r="M11318" s="81"/>
      <c r="N11318" s="81"/>
    </row>
    <row r="11319" spans="1:14" ht="14.25" customHeight="1" x14ac:dyDescent="0.25">
      <c r="A11319" s="192"/>
      <c r="B11319" s="192"/>
      <c r="C11319" s="215"/>
      <c r="D11319" s="215"/>
      <c r="E11319" s="216"/>
      <c r="F11319" s="215"/>
      <c r="G11319" s="81"/>
      <c r="H11319" s="81"/>
      <c r="I11319" s="81"/>
      <c r="J11319" s="81"/>
      <c r="K11319" s="81"/>
      <c r="L11319" s="81"/>
      <c r="M11319" s="81"/>
      <c r="N11319" s="81"/>
    </row>
    <row r="11320" spans="1:14" ht="14.25" customHeight="1" x14ac:dyDescent="0.25">
      <c r="A11320" s="198" t="s">
        <v>573</v>
      </c>
      <c r="B11320" s="198"/>
      <c r="C11320" s="193"/>
      <c r="D11320" s="193"/>
      <c r="E11320" s="193"/>
      <c r="F11320" s="193"/>
      <c r="G11320" s="81"/>
      <c r="H11320" s="81"/>
      <c r="I11320" s="81"/>
      <c r="J11320" s="81"/>
      <c r="K11320" s="81"/>
      <c r="L11320" s="81"/>
      <c r="M11320" s="81"/>
      <c r="N11320" s="81"/>
    </row>
    <row r="11321" spans="1:14" ht="14.25" customHeight="1" x14ac:dyDescent="0.25">
      <c r="A11321" s="585" t="s">
        <v>563</v>
      </c>
      <c r="B11321" s="586"/>
      <c r="C11321" s="587"/>
      <c r="D11321" s="474" t="s">
        <v>574</v>
      </c>
      <c r="E11321" s="474" t="s">
        <v>575</v>
      </c>
      <c r="F11321" s="474" t="s">
        <v>568</v>
      </c>
      <c r="G11321" s="81"/>
      <c r="H11321" s="81"/>
      <c r="I11321" s="81"/>
      <c r="J11321" s="81"/>
      <c r="K11321" s="81"/>
      <c r="L11321" s="81"/>
      <c r="M11321" s="81"/>
      <c r="N11321" s="81"/>
    </row>
    <row r="11322" spans="1:14" ht="14.25" customHeight="1" x14ac:dyDescent="0.25">
      <c r="A11322" s="588" t="s">
        <v>577</v>
      </c>
      <c r="B11322" s="586"/>
      <c r="C11322" s="587"/>
      <c r="D11322" s="490"/>
      <c r="E11322" s="484"/>
      <c r="F11322" s="483">
        <f>+F11336*5%</f>
        <v>50212.492000000006</v>
      </c>
      <c r="G11322" s="81"/>
      <c r="H11322" s="81"/>
      <c r="I11322" s="81"/>
      <c r="J11322" s="81"/>
      <c r="K11322" s="81"/>
      <c r="L11322" s="81"/>
      <c r="M11322" s="81"/>
      <c r="N11322" s="81"/>
    </row>
    <row r="11323" spans="1:14" ht="14.25" customHeight="1" x14ac:dyDescent="0.25">
      <c r="A11323" s="588"/>
      <c r="B11323" s="586"/>
      <c r="C11323" s="587"/>
      <c r="D11323" s="505"/>
      <c r="E11323" s="484"/>
      <c r="F11323" s="483"/>
      <c r="G11323" s="81"/>
      <c r="H11323" s="81"/>
      <c r="I11323" s="81"/>
      <c r="J11323" s="81"/>
      <c r="K11323" s="81"/>
      <c r="L11323" s="81"/>
      <c r="M11323" s="81"/>
      <c r="N11323" s="81"/>
    </row>
    <row r="11324" spans="1:14" ht="14.25" customHeight="1" x14ac:dyDescent="0.25">
      <c r="A11324" s="588"/>
      <c r="B11324" s="586"/>
      <c r="C11324" s="587"/>
      <c r="D11324" s="505"/>
      <c r="E11324" s="484"/>
      <c r="F11324" s="483"/>
      <c r="G11324" s="81"/>
      <c r="H11324" s="81"/>
      <c r="I11324" s="81"/>
      <c r="J11324" s="81"/>
      <c r="K11324" s="81"/>
      <c r="L11324" s="81"/>
      <c r="M11324" s="81"/>
      <c r="N11324" s="81"/>
    </row>
    <row r="11325" spans="1:14" ht="14.25" customHeight="1" x14ac:dyDescent="0.25">
      <c r="A11325" s="588"/>
      <c r="B11325" s="586"/>
      <c r="C11325" s="587"/>
      <c r="D11325" s="505"/>
      <c r="E11325" s="484"/>
      <c r="F11325" s="483"/>
      <c r="G11325" s="81"/>
      <c r="H11325" s="81"/>
      <c r="I11325" s="81"/>
      <c r="J11325" s="81"/>
      <c r="K11325" s="81"/>
      <c r="L11325" s="81"/>
      <c r="M11325" s="81"/>
      <c r="N11325" s="81"/>
    </row>
    <row r="11326" spans="1:14" ht="14.25" customHeight="1" x14ac:dyDescent="0.25">
      <c r="A11326" s="589"/>
      <c r="B11326" s="586"/>
      <c r="C11326" s="587"/>
      <c r="D11326" s="491"/>
      <c r="E11326" s="484"/>
      <c r="F11326" s="483"/>
      <c r="G11326" s="81"/>
      <c r="H11326" s="81"/>
      <c r="I11326" s="81"/>
      <c r="J11326" s="81"/>
      <c r="K11326" s="81"/>
      <c r="L11326" s="81"/>
      <c r="M11326" s="81"/>
      <c r="N11326" s="81"/>
    </row>
    <row r="11327" spans="1:14" ht="14.25" customHeight="1" x14ac:dyDescent="0.25">
      <c r="A11327" s="585" t="s">
        <v>548</v>
      </c>
      <c r="B11327" s="586"/>
      <c r="C11327" s="587"/>
      <c r="D11327" s="487"/>
      <c r="E11327" s="487"/>
      <c r="F11327" s="489">
        <f>SUM(F11322:F11326)</f>
        <v>50212.492000000006</v>
      </c>
      <c r="G11327" s="81"/>
      <c r="H11327" s="81"/>
      <c r="I11327" s="81"/>
      <c r="J11327" s="81"/>
      <c r="K11327" s="81"/>
      <c r="L11327" s="81"/>
      <c r="M11327" s="81"/>
      <c r="N11327" s="81"/>
    </row>
    <row r="11328" spans="1:14" ht="14.25" customHeight="1" x14ac:dyDescent="0.25">
      <c r="A11328" s="192"/>
      <c r="B11328" s="192"/>
      <c r="C11328" s="194"/>
      <c r="D11328" s="215"/>
      <c r="E11328" s="215"/>
      <c r="F11328" s="215"/>
      <c r="G11328" s="81"/>
      <c r="H11328" s="81"/>
      <c r="I11328" s="81"/>
      <c r="J11328" s="81"/>
      <c r="K11328" s="81"/>
      <c r="L11328" s="81"/>
      <c r="M11328" s="81"/>
      <c r="N11328" s="81"/>
    </row>
    <row r="11329" spans="1:14" ht="14.25" customHeight="1" x14ac:dyDescent="0.25">
      <c r="A11329" s="198" t="s">
        <v>578</v>
      </c>
      <c r="B11329" s="198"/>
      <c r="C11329" s="193"/>
      <c r="D11329" s="223"/>
      <c r="E11329" s="223"/>
      <c r="F11329" s="223"/>
      <c r="G11329" s="81"/>
      <c r="H11329" s="81"/>
      <c r="I11329" s="81"/>
      <c r="J11329" s="81"/>
      <c r="K11329" s="81"/>
      <c r="L11329" s="81"/>
      <c r="M11329" s="81"/>
      <c r="N11329" s="81"/>
    </row>
    <row r="11330" spans="1:14" ht="14.25" customHeight="1" x14ac:dyDescent="0.25">
      <c r="A11330" s="224" t="s">
        <v>563</v>
      </c>
      <c r="B11330" s="492" t="s">
        <v>579</v>
      </c>
      <c r="C11330" s="492" t="s">
        <v>580</v>
      </c>
      <c r="D11330" s="493" t="s">
        <v>581</v>
      </c>
      <c r="E11330" s="493" t="s">
        <v>575</v>
      </c>
      <c r="F11330" s="493" t="s">
        <v>568</v>
      </c>
      <c r="G11330" s="81"/>
      <c r="H11330" s="81"/>
      <c r="I11330" s="81"/>
      <c r="J11330" s="81"/>
      <c r="K11330" s="81"/>
      <c r="L11330" s="81"/>
      <c r="M11330" s="81"/>
      <c r="N11330" s="81"/>
    </row>
    <row r="11331" spans="1:14" ht="14.25" customHeight="1" x14ac:dyDescent="0.25">
      <c r="A11331" s="494" t="s">
        <v>916</v>
      </c>
      <c r="B11331" s="495">
        <v>5</v>
      </c>
      <c r="C11331" s="477">
        <v>35956.800000000003</v>
      </c>
      <c r="D11331" s="477">
        <f t="shared" ref="D11331:D11332" si="559">+C11331*1.7</f>
        <v>61126.560000000005</v>
      </c>
      <c r="E11331" s="484">
        <v>0.5</v>
      </c>
      <c r="F11331" s="483">
        <f t="shared" ref="F11331:F11332" si="560">+B11331*(D11331)/E11331</f>
        <v>611265.60000000009</v>
      </c>
      <c r="G11331" s="81"/>
      <c r="H11331" s="81"/>
      <c r="I11331" s="81"/>
      <c r="J11331" s="81"/>
      <c r="K11331" s="81"/>
      <c r="L11331" s="81"/>
      <c r="M11331" s="81"/>
      <c r="N11331" s="81"/>
    </row>
    <row r="11332" spans="1:14" ht="81" customHeight="1" x14ac:dyDescent="0.25">
      <c r="A11332" s="494" t="s">
        <v>917</v>
      </c>
      <c r="B11332" s="495">
        <v>2</v>
      </c>
      <c r="C11332" s="477">
        <v>57791.8</v>
      </c>
      <c r="D11332" s="477">
        <f t="shared" si="559"/>
        <v>98246.06</v>
      </c>
      <c r="E11332" s="484">
        <f>E11331</f>
        <v>0.5</v>
      </c>
      <c r="F11332" s="483">
        <f t="shared" si="560"/>
        <v>392984.24</v>
      </c>
      <c r="G11332" s="81"/>
      <c r="H11332" s="81"/>
      <c r="I11332" s="81"/>
      <c r="J11332" s="81"/>
      <c r="K11332" s="81"/>
      <c r="L11332" s="81"/>
      <c r="M11332" s="81"/>
      <c r="N11332" s="81"/>
    </row>
    <row r="11333" spans="1:14" ht="14.25" customHeight="1" x14ac:dyDescent="0.25">
      <c r="A11333" s="494"/>
      <c r="B11333" s="495"/>
      <c r="C11333" s="477"/>
      <c r="D11333" s="477"/>
      <c r="E11333" s="484"/>
      <c r="F11333" s="483"/>
      <c r="G11333" s="81"/>
      <c r="H11333" s="81"/>
      <c r="I11333" s="81"/>
      <c r="J11333" s="81"/>
      <c r="K11333" s="81"/>
      <c r="L11333" s="81"/>
      <c r="M11333" s="81"/>
      <c r="N11333" s="81"/>
    </row>
    <row r="11334" spans="1:14" ht="14.25" customHeight="1" x14ac:dyDescent="0.25">
      <c r="A11334" s="494"/>
      <c r="B11334" s="495"/>
      <c r="C11334" s="477"/>
      <c r="D11334" s="477"/>
      <c r="E11334" s="484"/>
      <c r="F11334" s="483"/>
      <c r="G11334" s="81"/>
      <c r="H11334" s="81"/>
      <c r="I11334" s="81"/>
      <c r="J11334" s="81"/>
      <c r="K11334" s="81"/>
      <c r="L11334" s="81"/>
      <c r="M11334" s="81"/>
      <c r="N11334" s="81"/>
    </row>
    <row r="11335" spans="1:14" ht="14.25" customHeight="1" x14ac:dyDescent="0.25">
      <c r="A11335" s="494"/>
      <c r="B11335" s="495"/>
      <c r="C11335" s="477"/>
      <c r="D11335" s="477"/>
      <c r="E11335" s="484"/>
      <c r="F11335" s="483"/>
      <c r="G11335" s="81"/>
      <c r="H11335" s="81"/>
      <c r="I11335" s="81"/>
      <c r="J11335" s="81"/>
      <c r="K11335" s="81"/>
      <c r="L11335" s="81"/>
      <c r="M11335" s="81"/>
      <c r="N11335" s="81"/>
    </row>
    <row r="11336" spans="1:14" ht="14.25" customHeight="1" x14ac:dyDescent="0.25">
      <c r="A11336" s="199" t="s">
        <v>548</v>
      </c>
      <c r="B11336" s="497"/>
      <c r="C11336" s="487"/>
      <c r="D11336" s="487"/>
      <c r="E11336" s="487"/>
      <c r="F11336" s="489">
        <f>SUM(F11331:F11334)</f>
        <v>1004249.8400000001</v>
      </c>
      <c r="G11336" s="81"/>
      <c r="H11336" s="81"/>
      <c r="I11336" s="81"/>
      <c r="J11336" s="81"/>
      <c r="K11336" s="81"/>
      <c r="L11336" s="81"/>
      <c r="M11336" s="81"/>
      <c r="N11336" s="81"/>
    </row>
    <row r="11337" spans="1:14" ht="14.25" customHeight="1" x14ac:dyDescent="0.25">
      <c r="A11337" s="198"/>
      <c r="B11337" s="231"/>
      <c r="C11337" s="223"/>
      <c r="D11337" s="223"/>
      <c r="E11337" s="223"/>
      <c r="F11337" s="223"/>
      <c r="G11337" s="81"/>
      <c r="H11337" s="81"/>
      <c r="I11337" s="81"/>
      <c r="J11337" s="81"/>
      <c r="K11337" s="81"/>
      <c r="L11337" s="81"/>
      <c r="M11337" s="81"/>
      <c r="N11337" s="81"/>
    </row>
    <row r="11338" spans="1:14" ht="15.75" x14ac:dyDescent="0.25">
      <c r="A11338" s="197" t="s">
        <v>583</v>
      </c>
      <c r="B11338" s="198"/>
      <c r="C11338" s="193"/>
      <c r="D11338" s="193"/>
      <c r="E11338" s="193" t="s">
        <v>584</v>
      </c>
      <c r="F11338" s="193"/>
      <c r="G11338" s="81"/>
      <c r="H11338" s="81"/>
      <c r="I11338" s="81"/>
      <c r="J11338" s="81"/>
      <c r="K11338" s="81"/>
      <c r="L11338" s="81"/>
      <c r="M11338" s="81"/>
      <c r="N11338" s="81"/>
    </row>
    <row r="11339" spans="1:14" ht="14.25" customHeight="1" x14ac:dyDescent="0.25">
      <c r="A11339" s="199" t="s">
        <v>563</v>
      </c>
      <c r="B11339" s="474" t="s">
        <v>564</v>
      </c>
      <c r="C11339" s="474" t="s">
        <v>585</v>
      </c>
      <c r="D11339" s="474" t="s">
        <v>586</v>
      </c>
      <c r="E11339" s="492" t="s">
        <v>587</v>
      </c>
      <c r="F11339" s="474" t="s">
        <v>568</v>
      </c>
      <c r="G11339" s="81"/>
      <c r="H11339" s="81"/>
      <c r="I11339" s="81"/>
      <c r="J11339" s="81"/>
      <c r="K11339" s="81"/>
      <c r="L11339" s="81"/>
      <c r="M11339" s="81"/>
      <c r="N11339" s="81"/>
    </row>
    <row r="11340" spans="1:14" ht="14.25" customHeight="1" x14ac:dyDescent="0.25">
      <c r="A11340" s="480"/>
      <c r="B11340" s="476"/>
      <c r="C11340" s="477"/>
      <c r="D11340" s="498"/>
      <c r="E11340" s="484"/>
      <c r="F11340" s="486">
        <f>+C11340*D11340*E11340</f>
        <v>0</v>
      </c>
      <c r="G11340" s="81"/>
      <c r="H11340" s="81"/>
      <c r="I11340" s="81"/>
      <c r="J11340" s="81"/>
      <c r="K11340" s="81"/>
      <c r="L11340" s="81"/>
      <c r="M11340" s="81"/>
      <c r="N11340" s="81"/>
    </row>
    <row r="11341" spans="1:14" ht="14.25" customHeight="1" x14ac:dyDescent="0.25">
      <c r="A11341" s="480"/>
      <c r="B11341" s="476"/>
      <c r="C11341" s="484"/>
      <c r="D11341" s="484"/>
      <c r="E11341" s="485"/>
      <c r="F11341" s="486"/>
      <c r="G11341" s="81"/>
      <c r="H11341" s="81"/>
      <c r="I11341" s="81"/>
      <c r="J11341" s="81"/>
      <c r="K11341" s="81"/>
      <c r="L11341" s="81"/>
      <c r="M11341" s="81"/>
      <c r="N11341" s="81"/>
    </row>
    <row r="11342" spans="1:14" ht="14.25" customHeight="1" x14ac:dyDescent="0.25">
      <c r="A11342" s="199" t="s">
        <v>548</v>
      </c>
      <c r="B11342" s="474"/>
      <c r="C11342" s="487"/>
      <c r="D11342" s="487"/>
      <c r="E11342" s="488"/>
      <c r="F11342" s="489">
        <f>SUM(F11340:F11341)</f>
        <v>0</v>
      </c>
      <c r="G11342" s="81"/>
      <c r="H11342" s="81"/>
      <c r="I11342" s="81"/>
      <c r="J11342" s="81"/>
      <c r="K11342" s="81"/>
      <c r="L11342" s="81"/>
      <c r="M11342" s="81"/>
      <c r="N11342" s="81"/>
    </row>
    <row r="11343" spans="1:14" ht="14.25" customHeight="1" x14ac:dyDescent="0.25">
      <c r="A11343" s="192"/>
      <c r="B11343" s="194"/>
      <c r="C11343" s="215"/>
      <c r="D11343" s="215"/>
      <c r="E11343" s="216"/>
      <c r="F11343" s="215"/>
      <c r="G11343" s="81"/>
      <c r="H11343" s="81"/>
      <c r="I11343" s="81"/>
      <c r="J11343" s="81"/>
      <c r="K11343" s="81"/>
      <c r="L11343" s="81"/>
      <c r="M11343" s="81"/>
      <c r="N11343" s="81"/>
    </row>
    <row r="11344" spans="1:14" ht="14.25" customHeight="1" x14ac:dyDescent="0.25">
      <c r="A11344" s="192"/>
      <c r="B11344" s="194"/>
      <c r="C11344" s="215"/>
      <c r="D11344" s="215"/>
      <c r="E11344" s="216"/>
      <c r="F11344" s="215"/>
      <c r="G11344" s="81"/>
      <c r="H11344" s="81"/>
      <c r="I11344" s="81"/>
      <c r="J11344" s="81"/>
      <c r="K11344" s="81"/>
      <c r="L11344" s="81"/>
      <c r="M11344" s="81"/>
      <c r="N11344" s="81"/>
    </row>
    <row r="11345" spans="1:14" ht="14.25" customHeight="1" x14ac:dyDescent="0.25">
      <c r="A11345" s="590" t="s">
        <v>588</v>
      </c>
      <c r="B11345" s="586"/>
      <c r="C11345" s="586"/>
      <c r="D11345" s="586"/>
      <c r="E11345" s="587"/>
      <c r="F11345" s="499">
        <f>ROUND(F11318+F11327+F11336+F11342,0)</f>
        <v>9111242</v>
      </c>
      <c r="G11345" s="81"/>
      <c r="H11345" s="81"/>
      <c r="I11345" s="81"/>
      <c r="J11345" s="81"/>
      <c r="K11345" s="81"/>
      <c r="L11345" s="81"/>
      <c r="M11345" s="81"/>
      <c r="N11345" s="81"/>
    </row>
    <row r="11346" spans="1:14" ht="14.25" customHeight="1" x14ac:dyDescent="0.25">
      <c r="A11346" s="590" t="s">
        <v>589</v>
      </c>
      <c r="B11346" s="586"/>
      <c r="C11346" s="586"/>
      <c r="D11346" s="586"/>
      <c r="E11346" s="587"/>
      <c r="F11346" s="500"/>
      <c r="G11346" s="81"/>
      <c r="H11346" s="81"/>
      <c r="I11346" s="81"/>
      <c r="J11346" s="81"/>
      <c r="K11346" s="81"/>
      <c r="L11346" s="81"/>
      <c r="M11346" s="81"/>
      <c r="N11346" s="81"/>
    </row>
    <row r="11347" spans="1:14" ht="14.25" customHeight="1" x14ac:dyDescent="0.25">
      <c r="A11347" s="300" t="s">
        <v>556</v>
      </c>
      <c r="B11347" s="506"/>
      <c r="C11347" s="506"/>
      <c r="D11347" s="506"/>
      <c r="E11347" s="507"/>
      <c r="F11347" s="501"/>
      <c r="G11347" s="81"/>
      <c r="H11347" s="81"/>
      <c r="I11347" s="81"/>
      <c r="J11347" s="81"/>
      <c r="K11347" s="81"/>
      <c r="L11347" s="81"/>
      <c r="M11347" s="81"/>
      <c r="N11347" s="81"/>
    </row>
    <row r="11348" spans="1:14" ht="14.25" customHeight="1" x14ac:dyDescent="0.25">
      <c r="A11348" s="301"/>
      <c r="B11348" s="502"/>
      <c r="C11348" s="502"/>
      <c r="D11348" s="502"/>
      <c r="E11348" s="502"/>
      <c r="F11348" s="503"/>
      <c r="G11348" s="81"/>
      <c r="H11348" s="81"/>
      <c r="I11348" s="81"/>
      <c r="J11348" s="81"/>
      <c r="K11348" s="81"/>
      <c r="L11348" s="81"/>
      <c r="M11348" s="81"/>
      <c r="N11348" s="81"/>
    </row>
    <row r="11349" spans="1:14" ht="14.25" customHeight="1" x14ac:dyDescent="0.25">
      <c r="A11349" s="301"/>
      <c r="B11349" s="502"/>
      <c r="C11349" s="502"/>
      <c r="D11349" s="502"/>
      <c r="E11349" s="502"/>
      <c r="F11349" s="503"/>
      <c r="G11349" s="81"/>
      <c r="H11349" s="81"/>
      <c r="I11349" s="81"/>
      <c r="J11349" s="81"/>
      <c r="K11349" s="81"/>
      <c r="L11349" s="81"/>
      <c r="M11349" s="81"/>
      <c r="N11349" s="81"/>
    </row>
    <row r="11350" spans="1:14" ht="14.25" customHeight="1" x14ac:dyDescent="0.25">
      <c r="A11350" s="301"/>
      <c r="B11350" s="502"/>
      <c r="C11350" s="502"/>
      <c r="D11350" s="502"/>
      <c r="E11350" s="502"/>
      <c r="F11350" s="503"/>
      <c r="G11350" s="81"/>
      <c r="H11350" s="81"/>
      <c r="I11350" s="81"/>
      <c r="J11350" s="81"/>
      <c r="K11350" s="81"/>
      <c r="L11350" s="81"/>
      <c r="M11350" s="81"/>
      <c r="N11350" s="81"/>
    </row>
    <row r="11351" spans="1:14" ht="14.25" customHeight="1" x14ac:dyDescent="0.25">
      <c r="A11351" s="243"/>
      <c r="B11351" s="243"/>
      <c r="C11351" s="504"/>
      <c r="D11351" s="243"/>
      <c r="E11351" s="243"/>
      <c r="F11351" s="243"/>
      <c r="G11351" s="81"/>
      <c r="H11351" s="81"/>
      <c r="I11351" s="81"/>
      <c r="J11351" s="81"/>
      <c r="K11351" s="81"/>
      <c r="L11351" s="81"/>
      <c r="M11351" s="81"/>
      <c r="N11351" s="81"/>
    </row>
    <row r="11352" spans="1:14" ht="14.25" customHeight="1" x14ac:dyDescent="0.25">
      <c r="A11352" s="243"/>
      <c r="B11352" s="243"/>
      <c r="C11352" s="504"/>
      <c r="D11352" s="243"/>
      <c r="E11352" s="243"/>
      <c r="F11352" s="243"/>
      <c r="G11352" s="81"/>
      <c r="H11352" s="81"/>
      <c r="I11352" s="81"/>
      <c r="J11352" s="81"/>
      <c r="K11352" s="81"/>
      <c r="L11352" s="81"/>
      <c r="M11352" s="81"/>
      <c r="N11352" s="81"/>
    </row>
    <row r="11353" spans="1:14" ht="14.25" customHeight="1" x14ac:dyDescent="0.25">
      <c r="A11353" s="243"/>
      <c r="B11353" s="243"/>
      <c r="C11353" s="504"/>
      <c r="D11353" s="243"/>
      <c r="E11353" s="243"/>
      <c r="F11353" s="243"/>
      <c r="G11353" s="81"/>
      <c r="H11353" s="81"/>
      <c r="I11353" s="81"/>
      <c r="J11353" s="81"/>
      <c r="K11353" s="81"/>
      <c r="L11353" s="81"/>
      <c r="M11353" s="81"/>
      <c r="N11353" s="81"/>
    </row>
    <row r="11354" spans="1:14" ht="14.25" customHeight="1" x14ac:dyDescent="0.25">
      <c r="A11354" s="243"/>
      <c r="B11354" s="243"/>
      <c r="C11354" s="504"/>
      <c r="D11354" s="243"/>
      <c r="E11354" s="243"/>
      <c r="F11354" s="243"/>
      <c r="G11354" s="81"/>
      <c r="H11354" s="81"/>
      <c r="I11354" s="81"/>
      <c r="J11354" s="81"/>
      <c r="K11354" s="81"/>
      <c r="L11354" s="81"/>
      <c r="M11354" s="81"/>
      <c r="N11354" s="81"/>
    </row>
    <row r="11355" spans="1:14" ht="14.25" customHeight="1" x14ac:dyDescent="0.25">
      <c r="A11355" s="243"/>
      <c r="B11355" s="243"/>
      <c r="C11355" s="504"/>
      <c r="D11355" s="243"/>
      <c r="E11355" s="243"/>
      <c r="F11355" s="243"/>
      <c r="G11355" s="81"/>
      <c r="H11355" s="81"/>
      <c r="I11355" s="81"/>
      <c r="J11355" s="81"/>
      <c r="K11355" s="81"/>
      <c r="L11355" s="81"/>
      <c r="M11355" s="81"/>
      <c r="N11355" s="81"/>
    </row>
    <row r="11356" spans="1:14" ht="14.25" customHeight="1" x14ac:dyDescent="0.25">
      <c r="A11356" s="243"/>
      <c r="B11356" s="243"/>
      <c r="C11356" s="504"/>
      <c r="D11356" s="243"/>
      <c r="E11356" s="243"/>
      <c r="F11356" s="243"/>
      <c r="G11356" s="81"/>
      <c r="H11356" s="81"/>
      <c r="I11356" s="81"/>
      <c r="J11356" s="81"/>
      <c r="K11356" s="81"/>
      <c r="L11356" s="81"/>
      <c r="M11356" s="81"/>
      <c r="N11356" s="81"/>
    </row>
    <row r="11357" spans="1:14" ht="14.25" customHeight="1" x14ac:dyDescent="0.25">
      <c r="A11357" s="243"/>
      <c r="B11357" s="243"/>
      <c r="C11357" s="504"/>
      <c r="D11357" s="243"/>
      <c r="E11357" s="243"/>
      <c r="F11357" s="243"/>
      <c r="G11357" s="81"/>
      <c r="H11357" s="81"/>
      <c r="I11357" s="81"/>
      <c r="J11357" s="81"/>
      <c r="K11357" s="81"/>
      <c r="L11357" s="81"/>
      <c r="M11357" s="81"/>
      <c r="N11357" s="81"/>
    </row>
    <row r="11358" spans="1:14" ht="14.25" customHeight="1" x14ac:dyDescent="0.25">
      <c r="A11358" s="243"/>
      <c r="B11358" s="243"/>
      <c r="C11358" s="504"/>
      <c r="D11358" s="243"/>
      <c r="E11358" s="243"/>
      <c r="F11358" s="243"/>
      <c r="G11358" s="81"/>
      <c r="H11358" s="81"/>
      <c r="I11358" s="81"/>
      <c r="J11358" s="81"/>
      <c r="K11358" s="81"/>
      <c r="L11358" s="81"/>
      <c r="M11358" s="81"/>
      <c r="N11358" s="81"/>
    </row>
    <row r="11359" spans="1:14" ht="14.25" customHeight="1" x14ac:dyDescent="0.25">
      <c r="A11359" s="243"/>
      <c r="B11359" s="243"/>
      <c r="C11359" s="504"/>
      <c r="D11359" s="243"/>
      <c r="E11359" s="243"/>
      <c r="F11359" s="243"/>
      <c r="G11359" s="81"/>
      <c r="H11359" s="81"/>
      <c r="I11359" s="81"/>
      <c r="J11359" s="81"/>
      <c r="K11359" s="81"/>
      <c r="L11359" s="81"/>
      <c r="M11359" s="81"/>
      <c r="N11359" s="81"/>
    </row>
    <row r="11360" spans="1:14" ht="14.25" customHeight="1" x14ac:dyDescent="0.25">
      <c r="A11360" s="243"/>
      <c r="B11360" s="243"/>
      <c r="C11360" s="504"/>
      <c r="D11360" s="243"/>
      <c r="E11360" s="243"/>
      <c r="F11360" s="243"/>
      <c r="G11360" s="81"/>
      <c r="H11360" s="81"/>
      <c r="I11360" s="81"/>
      <c r="J11360" s="81"/>
      <c r="K11360" s="81"/>
      <c r="L11360" s="81"/>
      <c r="M11360" s="81"/>
      <c r="N11360" s="81"/>
    </row>
    <row r="11361" spans="1:14" ht="14.25" customHeight="1" x14ac:dyDescent="0.25">
      <c r="A11361" s="243"/>
      <c r="B11361" s="243"/>
      <c r="C11361" s="504"/>
      <c r="D11361" s="243"/>
      <c r="E11361" s="243"/>
      <c r="F11361" s="243"/>
      <c r="G11361" s="81"/>
      <c r="H11361" s="81"/>
      <c r="I11361" s="81"/>
      <c r="J11361" s="81"/>
      <c r="K11361" s="81"/>
      <c r="L11361" s="81"/>
      <c r="M11361" s="81"/>
      <c r="N11361" s="81"/>
    </row>
    <row r="11362" spans="1:14" ht="14.25" customHeight="1" x14ac:dyDescent="0.25">
      <c r="A11362" s="243"/>
      <c r="B11362" s="243"/>
      <c r="C11362" s="504"/>
      <c r="D11362" s="243"/>
      <c r="E11362" s="243"/>
      <c r="F11362" s="243"/>
      <c r="G11362" s="81"/>
      <c r="H11362" s="81"/>
      <c r="I11362" s="81"/>
      <c r="J11362" s="81"/>
      <c r="K11362" s="81"/>
      <c r="L11362" s="81"/>
      <c r="M11362" s="81"/>
      <c r="N11362" s="81"/>
    </row>
    <row r="11363" spans="1:14" ht="14.25" customHeight="1" x14ac:dyDescent="0.25">
      <c r="A11363" s="243"/>
      <c r="B11363" s="243"/>
      <c r="C11363" s="504"/>
      <c r="D11363" s="243"/>
      <c r="E11363" s="243"/>
      <c r="F11363" s="243"/>
      <c r="G11363" s="81"/>
      <c r="H11363" s="81"/>
      <c r="I11363" s="81"/>
      <c r="J11363" s="81"/>
      <c r="K11363" s="81"/>
      <c r="L11363" s="81"/>
      <c r="M11363" s="81"/>
      <c r="N11363" s="81"/>
    </row>
    <row r="11364" spans="1:14" ht="14.25" customHeight="1" thickBot="1" x14ac:dyDescent="0.3">
      <c r="A11364" s="243"/>
      <c r="B11364" s="243"/>
      <c r="C11364" s="504"/>
      <c r="D11364" s="243"/>
      <c r="E11364" s="243"/>
      <c r="F11364" s="243"/>
      <c r="G11364" s="81"/>
      <c r="H11364" s="81"/>
      <c r="I11364" s="81"/>
      <c r="J11364" s="81"/>
      <c r="K11364" s="81"/>
      <c r="L11364" s="81"/>
      <c r="M11364" s="81"/>
      <c r="N11364" s="81"/>
    </row>
    <row r="11365" spans="1:14" ht="14.25" customHeight="1" x14ac:dyDescent="0.25">
      <c r="A11365" s="258"/>
      <c r="B11365" s="259"/>
      <c r="C11365" s="260"/>
      <c r="D11365" s="261"/>
      <c r="E11365" s="261"/>
      <c r="F11365" s="262"/>
      <c r="G11365" s="81"/>
      <c r="H11365" s="81"/>
      <c r="I11365" s="81"/>
      <c r="J11365" s="81"/>
      <c r="K11365" s="81"/>
      <c r="L11365" s="81"/>
      <c r="M11365" s="81"/>
      <c r="N11365" s="81"/>
    </row>
    <row r="11366" spans="1:14" ht="14.25" customHeight="1" x14ac:dyDescent="0.25">
      <c r="A11366" s="621"/>
      <c r="B11366" s="629"/>
      <c r="C11366" s="629"/>
      <c r="D11366" s="629"/>
      <c r="E11366" s="629"/>
      <c r="F11366" s="630"/>
      <c r="G11366" s="81"/>
      <c r="H11366" s="81"/>
      <c r="I11366" s="81"/>
      <c r="J11366" s="81"/>
      <c r="K11366" s="81"/>
      <c r="L11366" s="81"/>
      <c r="M11366" s="81"/>
      <c r="N11366" s="81"/>
    </row>
    <row r="11367" spans="1:14" ht="14.25" customHeight="1" x14ac:dyDescent="0.25">
      <c r="A11367" s="614" t="s">
        <v>561</v>
      </c>
      <c r="B11367" s="629"/>
      <c r="C11367" s="629"/>
      <c r="D11367" s="629"/>
      <c r="E11367" s="629"/>
      <c r="F11367" s="630"/>
      <c r="G11367" s="81"/>
      <c r="H11367" s="81"/>
      <c r="I11367" s="81"/>
      <c r="J11367" s="81"/>
      <c r="K11367" s="81"/>
      <c r="L11367" s="81"/>
      <c r="M11367" s="81"/>
      <c r="N11367" s="81"/>
    </row>
    <row r="11368" spans="1:14" ht="14.25" customHeight="1" thickBot="1" x14ac:dyDescent="0.3">
      <c r="A11368" s="617"/>
      <c r="B11368" s="631"/>
      <c r="C11368" s="631"/>
      <c r="D11368" s="631"/>
      <c r="E11368" s="631"/>
      <c r="F11368" s="632"/>
      <c r="G11368" s="81"/>
      <c r="H11368" s="81"/>
      <c r="I11368" s="81"/>
      <c r="J11368" s="81"/>
      <c r="K11368" s="81"/>
      <c r="L11368" s="81"/>
      <c r="M11368" s="81"/>
      <c r="N11368" s="81"/>
    </row>
    <row r="11369" spans="1:14" ht="14.25" customHeight="1" x14ac:dyDescent="0.25">
      <c r="A11369" s="192"/>
      <c r="B11369" s="192"/>
      <c r="C11369" s="194"/>
      <c r="D11369" s="194"/>
      <c r="E11369" s="194"/>
      <c r="F11369" s="194"/>
      <c r="G11369" s="81"/>
      <c r="H11369" s="81"/>
      <c r="I11369" s="81"/>
      <c r="J11369" s="81"/>
      <c r="K11369" s="81"/>
      <c r="L11369" s="81"/>
      <c r="M11369" s="81"/>
      <c r="N11369" s="81"/>
    </row>
    <row r="11370" spans="1:14" ht="14.25" customHeight="1" x14ac:dyDescent="0.25">
      <c r="A11370" s="473" t="s">
        <v>47</v>
      </c>
      <c r="B11370" s="620" t="s">
        <v>1192</v>
      </c>
      <c r="C11370" s="629"/>
      <c r="D11370" s="629"/>
      <c r="E11370" s="629"/>
      <c r="F11370" s="629"/>
      <c r="G11370" s="81"/>
      <c r="H11370" s="81"/>
      <c r="I11370" s="81"/>
      <c r="J11370" s="81"/>
      <c r="K11370" s="81"/>
      <c r="L11370" s="81"/>
      <c r="M11370" s="81"/>
      <c r="N11370" s="81"/>
    </row>
    <row r="11371" spans="1:14" ht="14.25" customHeight="1" x14ac:dyDescent="0.25">
      <c r="A11371" s="191"/>
      <c r="B11371" s="191"/>
      <c r="C11371" s="191"/>
      <c r="D11371" s="191"/>
      <c r="E11371" s="191"/>
      <c r="F11371" s="191"/>
      <c r="G11371" s="81"/>
      <c r="H11371" s="81"/>
      <c r="I11371" s="81"/>
      <c r="J11371" s="81"/>
      <c r="K11371" s="81"/>
      <c r="L11371" s="81"/>
      <c r="M11371" s="81"/>
      <c r="N11371" s="81"/>
    </row>
    <row r="11372" spans="1:14" ht="14.25" customHeight="1" x14ac:dyDescent="0.25">
      <c r="A11372" s="192" t="s">
        <v>49</v>
      </c>
      <c r="B11372" s="193" t="s">
        <v>99</v>
      </c>
      <c r="C11372" s="194"/>
      <c r="D11372" s="194"/>
      <c r="E11372" s="194"/>
      <c r="F11372" s="195"/>
      <c r="G11372" s="81"/>
      <c r="H11372" s="81"/>
      <c r="I11372" s="81"/>
      <c r="J11372" s="81"/>
      <c r="K11372" s="81"/>
      <c r="L11372" s="81"/>
      <c r="M11372" s="81"/>
      <c r="N11372" s="81"/>
    </row>
    <row r="11373" spans="1:14" ht="14.25" customHeight="1" x14ac:dyDescent="0.25">
      <c r="A11373" s="192"/>
      <c r="B11373" s="196"/>
      <c r="C11373" s="194"/>
      <c r="D11373" s="194"/>
      <c r="E11373" s="194"/>
      <c r="F11373" s="195"/>
      <c r="G11373" s="81"/>
      <c r="H11373" s="81"/>
      <c r="I11373" s="81"/>
      <c r="J11373" s="81"/>
      <c r="K11373" s="81"/>
      <c r="L11373" s="81"/>
      <c r="M11373" s="81"/>
      <c r="N11373" s="81"/>
    </row>
    <row r="11374" spans="1:14" ht="14.25" customHeight="1" x14ac:dyDescent="0.25">
      <c r="A11374" s="197" t="s">
        <v>562</v>
      </c>
      <c r="B11374" s="198"/>
      <c r="C11374" s="193"/>
      <c r="D11374" s="193"/>
      <c r="E11374" s="193"/>
      <c r="F11374" s="193"/>
      <c r="G11374" s="81"/>
      <c r="H11374" s="81"/>
      <c r="I11374" s="81"/>
      <c r="J11374" s="81"/>
      <c r="K11374" s="81"/>
      <c r="L11374" s="81"/>
      <c r="M11374" s="81"/>
      <c r="N11374" s="81"/>
    </row>
    <row r="11375" spans="1:14" s="168" customFormat="1" ht="15.75" x14ac:dyDescent="0.25">
      <c r="A11375" s="199" t="s">
        <v>563</v>
      </c>
      <c r="B11375" s="474" t="s">
        <v>564</v>
      </c>
      <c r="C11375" s="474" t="s">
        <v>565</v>
      </c>
      <c r="D11375" s="474" t="s">
        <v>566</v>
      </c>
      <c r="E11375" s="474" t="s">
        <v>567</v>
      </c>
      <c r="F11375" s="474" t="s">
        <v>568</v>
      </c>
    </row>
    <row r="11376" spans="1:14" ht="14.25" customHeight="1" x14ac:dyDescent="0.25">
      <c r="A11376" s="475" t="s">
        <v>1192</v>
      </c>
      <c r="B11376" s="476" t="s">
        <v>99</v>
      </c>
      <c r="C11376" s="477">
        <v>676869</v>
      </c>
      <c r="D11376" s="478">
        <v>1</v>
      </c>
      <c r="E11376" s="479"/>
      <c r="F11376" s="477">
        <f t="shared" ref="F11376:F11378" si="561">C11376*(D11376+(D11376*E11376))</f>
        <v>676869</v>
      </c>
      <c r="G11376" s="81"/>
      <c r="H11376" s="81"/>
      <c r="I11376" s="81"/>
      <c r="J11376" s="81"/>
      <c r="K11376" s="81"/>
      <c r="L11376" s="81"/>
      <c r="M11376" s="81"/>
      <c r="N11376" s="81"/>
    </row>
    <row r="11377" spans="1:14" ht="14.25" customHeight="1" x14ac:dyDescent="0.25">
      <c r="A11377" s="475"/>
      <c r="B11377" s="476"/>
      <c r="C11377" s="477"/>
      <c r="D11377" s="481"/>
      <c r="E11377" s="479"/>
      <c r="F11377" s="477">
        <f t="shared" si="561"/>
        <v>0</v>
      </c>
      <c r="G11377" s="81"/>
      <c r="H11377" s="81"/>
      <c r="I11377" s="81"/>
      <c r="J11377" s="81"/>
      <c r="K11377" s="81"/>
      <c r="L11377" s="81"/>
      <c r="M11377" s="81"/>
      <c r="N11377" s="81"/>
    </row>
    <row r="11378" spans="1:14" ht="14.25" customHeight="1" x14ac:dyDescent="0.25">
      <c r="A11378" s="475"/>
      <c r="B11378" s="476"/>
      <c r="C11378" s="477"/>
      <c r="D11378" s="481"/>
      <c r="E11378" s="479"/>
      <c r="F11378" s="477">
        <f t="shared" si="561"/>
        <v>0</v>
      </c>
      <c r="G11378" s="81"/>
      <c r="H11378" s="81"/>
      <c r="I11378" s="81"/>
      <c r="J11378" s="81"/>
      <c r="K11378" s="81"/>
      <c r="L11378" s="81"/>
      <c r="M11378" s="81"/>
      <c r="N11378" s="81"/>
    </row>
    <row r="11379" spans="1:14" ht="14.25" customHeight="1" x14ac:dyDescent="0.25">
      <c r="A11379" s="475"/>
      <c r="B11379" s="476"/>
      <c r="C11379" s="477"/>
      <c r="D11379" s="478"/>
      <c r="E11379" s="479"/>
      <c r="F11379" s="477"/>
      <c r="G11379" s="81"/>
      <c r="H11379" s="81"/>
      <c r="I11379" s="81"/>
      <c r="J11379" s="81"/>
      <c r="K11379" s="81"/>
      <c r="L11379" s="81"/>
      <c r="M11379" s="81"/>
      <c r="N11379" s="81"/>
    </row>
    <row r="11380" spans="1:14" ht="14.25" customHeight="1" x14ac:dyDescent="0.25">
      <c r="A11380" s="475"/>
      <c r="B11380" s="476"/>
      <c r="C11380" s="477"/>
      <c r="D11380" s="478"/>
      <c r="E11380" s="479"/>
      <c r="F11380" s="477"/>
      <c r="G11380" s="81"/>
      <c r="H11380" s="117"/>
      <c r="I11380" s="81"/>
      <c r="J11380" s="81"/>
      <c r="K11380" s="81"/>
      <c r="L11380" s="81"/>
      <c r="M11380" s="81"/>
      <c r="N11380" s="81"/>
    </row>
    <row r="11381" spans="1:14" ht="14.25" customHeight="1" x14ac:dyDescent="0.25">
      <c r="A11381" s="475"/>
      <c r="B11381" s="476"/>
      <c r="C11381" s="477"/>
      <c r="D11381" s="478"/>
      <c r="E11381" s="479"/>
      <c r="F11381" s="477"/>
      <c r="G11381" s="81"/>
      <c r="H11381" s="81"/>
      <c r="I11381" s="81"/>
      <c r="J11381" s="81"/>
      <c r="K11381" s="81"/>
      <c r="L11381" s="81"/>
      <c r="M11381" s="81"/>
      <c r="N11381" s="81"/>
    </row>
    <row r="11382" spans="1:14" ht="14.25" customHeight="1" x14ac:dyDescent="0.25">
      <c r="A11382" s="475"/>
      <c r="B11382" s="476"/>
      <c r="C11382" s="483"/>
      <c r="D11382" s="484"/>
      <c r="E11382" s="485"/>
      <c r="F11382" s="483"/>
      <c r="G11382" s="81"/>
      <c r="H11382" s="81"/>
      <c r="I11382" s="81"/>
      <c r="J11382" s="81"/>
      <c r="K11382" s="81"/>
      <c r="L11382" s="81"/>
      <c r="M11382" s="81"/>
      <c r="N11382" s="81"/>
    </row>
    <row r="11383" spans="1:14" ht="14.25" customHeight="1" x14ac:dyDescent="0.25">
      <c r="A11383" s="199" t="s">
        <v>548</v>
      </c>
      <c r="B11383" s="199"/>
      <c r="C11383" s="486"/>
      <c r="D11383" s="487"/>
      <c r="E11383" s="488"/>
      <c r="F11383" s="489">
        <f>SUM(F11376:F11382)</f>
        <v>676869</v>
      </c>
      <c r="G11383" s="81"/>
      <c r="H11383" s="81"/>
      <c r="I11383" s="81"/>
      <c r="J11383" s="81"/>
      <c r="K11383" s="81"/>
      <c r="L11383" s="81"/>
      <c r="M11383" s="81"/>
      <c r="N11383" s="81"/>
    </row>
    <row r="11384" spans="1:14" ht="14.25" customHeight="1" x14ac:dyDescent="0.25">
      <c r="A11384" s="192"/>
      <c r="B11384" s="192"/>
      <c r="C11384" s="215"/>
      <c r="D11384" s="215"/>
      <c r="E11384" s="216"/>
      <c r="F11384" s="215"/>
      <c r="G11384" s="81"/>
      <c r="H11384" s="81"/>
      <c r="I11384" s="81"/>
      <c r="J11384" s="81"/>
      <c r="K11384" s="81"/>
      <c r="L11384" s="81"/>
      <c r="M11384" s="81"/>
      <c r="N11384" s="81"/>
    </row>
    <row r="11385" spans="1:14" ht="14.25" customHeight="1" x14ac:dyDescent="0.25">
      <c r="A11385" s="198" t="s">
        <v>573</v>
      </c>
      <c r="B11385" s="198"/>
      <c r="C11385" s="193"/>
      <c r="D11385" s="193"/>
      <c r="E11385" s="193"/>
      <c r="F11385" s="193"/>
      <c r="G11385" s="81"/>
      <c r="H11385" s="81"/>
      <c r="I11385" s="81"/>
      <c r="J11385" s="81"/>
      <c r="K11385" s="81"/>
      <c r="L11385" s="81"/>
      <c r="M11385" s="81"/>
      <c r="N11385" s="81"/>
    </row>
    <row r="11386" spans="1:14" ht="14.25" customHeight="1" x14ac:dyDescent="0.25">
      <c r="A11386" s="585" t="s">
        <v>563</v>
      </c>
      <c r="B11386" s="586"/>
      <c r="C11386" s="587"/>
      <c r="D11386" s="474" t="s">
        <v>574</v>
      </c>
      <c r="E11386" s="474" t="s">
        <v>575</v>
      </c>
      <c r="F11386" s="474" t="s">
        <v>568</v>
      </c>
      <c r="G11386" s="81"/>
      <c r="H11386" s="81"/>
      <c r="I11386" s="81"/>
      <c r="J11386" s="81"/>
      <c r="K11386" s="81"/>
      <c r="L11386" s="81"/>
      <c r="M11386" s="81"/>
      <c r="N11386" s="81"/>
    </row>
    <row r="11387" spans="1:14" ht="14.25" customHeight="1" x14ac:dyDescent="0.25">
      <c r="A11387" s="588" t="s">
        <v>577</v>
      </c>
      <c r="B11387" s="586"/>
      <c r="C11387" s="587"/>
      <c r="D11387" s="490"/>
      <c r="E11387" s="484"/>
      <c r="F11387" s="483">
        <f>+F11401*5%</f>
        <v>3862.4993846153848</v>
      </c>
      <c r="G11387" s="81"/>
      <c r="H11387" s="81"/>
      <c r="I11387" s="81"/>
      <c r="J11387" s="81"/>
      <c r="K11387" s="81"/>
      <c r="L11387" s="81"/>
      <c r="M11387" s="81"/>
      <c r="N11387" s="81"/>
    </row>
    <row r="11388" spans="1:14" ht="14.25" customHeight="1" x14ac:dyDescent="0.25">
      <c r="A11388" s="588"/>
      <c r="B11388" s="586"/>
      <c r="C11388" s="587"/>
      <c r="D11388" s="505"/>
      <c r="E11388" s="484"/>
      <c r="F11388" s="483"/>
      <c r="G11388" s="81"/>
      <c r="H11388" s="81"/>
      <c r="I11388" s="81"/>
      <c r="J11388" s="81"/>
      <c r="K11388" s="81"/>
      <c r="L11388" s="81"/>
      <c r="M11388" s="81"/>
      <c r="N11388" s="81"/>
    </row>
    <row r="11389" spans="1:14" ht="14.25" customHeight="1" x14ac:dyDescent="0.25">
      <c r="A11389" s="588"/>
      <c r="B11389" s="586"/>
      <c r="C11389" s="587"/>
      <c r="D11389" s="505"/>
      <c r="E11389" s="484"/>
      <c r="F11389" s="483"/>
      <c r="G11389" s="81"/>
      <c r="H11389" s="81"/>
      <c r="I11389" s="81"/>
      <c r="J11389" s="81"/>
      <c r="K11389" s="81"/>
      <c r="L11389" s="81"/>
      <c r="M11389" s="81"/>
      <c r="N11389" s="81"/>
    </row>
    <row r="11390" spans="1:14" ht="14.25" customHeight="1" x14ac:dyDescent="0.25">
      <c r="A11390" s="588"/>
      <c r="B11390" s="586"/>
      <c r="C11390" s="587"/>
      <c r="D11390" s="505"/>
      <c r="E11390" s="484"/>
      <c r="F11390" s="483"/>
      <c r="G11390" s="81"/>
      <c r="H11390" s="81"/>
      <c r="I11390" s="81"/>
      <c r="J11390" s="81"/>
      <c r="K11390" s="81"/>
      <c r="L11390" s="81"/>
      <c r="M11390" s="81"/>
      <c r="N11390" s="81"/>
    </row>
    <row r="11391" spans="1:14" ht="14.25" customHeight="1" x14ac:dyDescent="0.25">
      <c r="A11391" s="589"/>
      <c r="B11391" s="586"/>
      <c r="C11391" s="587"/>
      <c r="D11391" s="491"/>
      <c r="E11391" s="484"/>
      <c r="F11391" s="483"/>
      <c r="G11391" s="81"/>
      <c r="H11391" s="81"/>
      <c r="I11391" s="81"/>
      <c r="J11391" s="81"/>
      <c r="K11391" s="81"/>
      <c r="L11391" s="81"/>
      <c r="M11391" s="81"/>
      <c r="N11391" s="81"/>
    </row>
    <row r="11392" spans="1:14" ht="14.25" customHeight="1" x14ac:dyDescent="0.25">
      <c r="A11392" s="585" t="s">
        <v>548</v>
      </c>
      <c r="B11392" s="586"/>
      <c r="C11392" s="587"/>
      <c r="D11392" s="487"/>
      <c r="E11392" s="487"/>
      <c r="F11392" s="489">
        <f>SUM(F11387:F11391)</f>
        <v>3862.4993846153848</v>
      </c>
      <c r="G11392" s="81"/>
      <c r="H11392" s="81"/>
      <c r="I11392" s="81"/>
      <c r="J11392" s="81"/>
      <c r="K11392" s="81"/>
      <c r="L11392" s="81"/>
      <c r="M11392" s="81"/>
      <c r="N11392" s="81"/>
    </row>
    <row r="11393" spans="1:14" ht="14.25" customHeight="1" x14ac:dyDescent="0.25">
      <c r="A11393" s="192"/>
      <c r="B11393" s="192"/>
      <c r="C11393" s="194"/>
      <c r="D11393" s="215"/>
      <c r="E11393" s="215"/>
      <c r="F11393" s="215"/>
      <c r="G11393" s="81"/>
      <c r="H11393" s="81"/>
      <c r="I11393" s="81"/>
      <c r="J11393" s="81"/>
      <c r="K11393" s="81"/>
      <c r="L11393" s="81"/>
      <c r="M11393" s="81"/>
      <c r="N11393" s="81"/>
    </row>
    <row r="11394" spans="1:14" ht="14.25" customHeight="1" x14ac:dyDescent="0.25">
      <c r="A11394" s="198" t="s">
        <v>578</v>
      </c>
      <c r="B11394" s="198"/>
      <c r="C11394" s="193"/>
      <c r="D11394" s="223"/>
      <c r="E11394" s="223"/>
      <c r="F11394" s="223"/>
      <c r="G11394" s="81"/>
      <c r="H11394" s="81"/>
      <c r="I11394" s="81"/>
      <c r="J11394" s="81"/>
      <c r="K11394" s="81"/>
      <c r="L11394" s="81"/>
      <c r="M11394" s="81"/>
      <c r="N11394" s="81"/>
    </row>
    <row r="11395" spans="1:14" ht="14.25" customHeight="1" x14ac:dyDescent="0.25">
      <c r="A11395" s="224" t="s">
        <v>563</v>
      </c>
      <c r="B11395" s="492" t="s">
        <v>579</v>
      </c>
      <c r="C11395" s="492" t="s">
        <v>580</v>
      </c>
      <c r="D11395" s="493" t="s">
        <v>581</v>
      </c>
      <c r="E11395" s="493" t="s">
        <v>575</v>
      </c>
      <c r="F11395" s="493" t="s">
        <v>568</v>
      </c>
      <c r="G11395" s="81"/>
      <c r="H11395" s="81"/>
      <c r="I11395" s="81"/>
      <c r="J11395" s="81"/>
      <c r="K11395" s="81"/>
      <c r="L11395" s="81"/>
      <c r="M11395" s="81"/>
      <c r="N11395" s="81"/>
    </row>
    <row r="11396" spans="1:14" ht="14.25" customHeight="1" x14ac:dyDescent="0.25">
      <c r="A11396" s="494" t="s">
        <v>916</v>
      </c>
      <c r="B11396" s="495">
        <v>5</v>
      </c>
      <c r="C11396" s="477">
        <v>35956.800000000003</v>
      </c>
      <c r="D11396" s="477">
        <f t="shared" ref="D11396:D11397" si="562">+C11396*1.7</f>
        <v>61126.560000000005</v>
      </c>
      <c r="E11396" s="484">
        <v>6.5</v>
      </c>
      <c r="F11396" s="483">
        <f t="shared" ref="F11396:F11397" si="563">+B11396*(D11396)/E11396</f>
        <v>47020.430769230778</v>
      </c>
      <c r="G11396" s="81"/>
      <c r="H11396" s="81"/>
      <c r="I11396" s="81"/>
      <c r="J11396" s="81"/>
      <c r="K11396" s="81"/>
      <c r="L11396" s="81"/>
      <c r="M11396" s="81"/>
      <c r="N11396" s="81"/>
    </row>
    <row r="11397" spans="1:14" ht="14.25" customHeight="1" x14ac:dyDescent="0.25">
      <c r="A11397" s="494" t="s">
        <v>917</v>
      </c>
      <c r="B11397" s="495">
        <v>2</v>
      </c>
      <c r="C11397" s="477">
        <v>57791.8</v>
      </c>
      <c r="D11397" s="477">
        <f t="shared" si="562"/>
        <v>98246.06</v>
      </c>
      <c r="E11397" s="484">
        <f>E11396</f>
        <v>6.5</v>
      </c>
      <c r="F11397" s="483">
        <f t="shared" si="563"/>
        <v>30229.556923076922</v>
      </c>
      <c r="G11397" s="81"/>
      <c r="H11397" s="81"/>
      <c r="I11397" s="81"/>
      <c r="J11397" s="81"/>
      <c r="K11397" s="81"/>
      <c r="L11397" s="81"/>
      <c r="M11397" s="81"/>
      <c r="N11397" s="81"/>
    </row>
    <row r="11398" spans="1:14" ht="37.5" customHeight="1" x14ac:dyDescent="0.25">
      <c r="A11398" s="494"/>
      <c r="B11398" s="495"/>
      <c r="C11398" s="477"/>
      <c r="D11398" s="477"/>
      <c r="E11398" s="484"/>
      <c r="F11398" s="483"/>
      <c r="G11398" s="81"/>
      <c r="H11398" s="81"/>
      <c r="I11398" s="81"/>
      <c r="J11398" s="81"/>
      <c r="K11398" s="81"/>
      <c r="L11398" s="81"/>
      <c r="M11398" s="81"/>
      <c r="N11398" s="81"/>
    </row>
    <row r="11399" spans="1:14" ht="14.25" customHeight="1" x14ac:dyDescent="0.25">
      <c r="A11399" s="494"/>
      <c r="B11399" s="495"/>
      <c r="C11399" s="477"/>
      <c r="D11399" s="477"/>
      <c r="E11399" s="484"/>
      <c r="F11399" s="483"/>
      <c r="G11399" s="81"/>
      <c r="H11399" s="81"/>
      <c r="I11399" s="81"/>
      <c r="J11399" s="81"/>
      <c r="K11399" s="81"/>
      <c r="L11399" s="81"/>
      <c r="M11399" s="81"/>
      <c r="N11399" s="81"/>
    </row>
    <row r="11400" spans="1:14" ht="14.25" customHeight="1" x14ac:dyDescent="0.25">
      <c r="A11400" s="494"/>
      <c r="B11400" s="495"/>
      <c r="C11400" s="477"/>
      <c r="D11400" s="477"/>
      <c r="E11400" s="484"/>
      <c r="F11400" s="483"/>
      <c r="G11400" s="81"/>
      <c r="H11400" s="81"/>
      <c r="I11400" s="81"/>
      <c r="J11400" s="81"/>
      <c r="K11400" s="81"/>
      <c r="L11400" s="81"/>
      <c r="M11400" s="81"/>
      <c r="N11400" s="81"/>
    </row>
    <row r="11401" spans="1:14" ht="14.25" customHeight="1" x14ac:dyDescent="0.25">
      <c r="A11401" s="199" t="s">
        <v>548</v>
      </c>
      <c r="B11401" s="497"/>
      <c r="C11401" s="487"/>
      <c r="D11401" s="487"/>
      <c r="E11401" s="487"/>
      <c r="F11401" s="489">
        <f>SUM(F11396:F11399)</f>
        <v>77249.987692307695</v>
      </c>
      <c r="G11401" s="81"/>
      <c r="H11401" s="81"/>
      <c r="I11401" s="81"/>
      <c r="J11401" s="81"/>
      <c r="K11401" s="81"/>
      <c r="L11401" s="81"/>
      <c r="M11401" s="81"/>
      <c r="N11401" s="81"/>
    </row>
    <row r="11402" spans="1:14" ht="14.25" customHeight="1" x14ac:dyDescent="0.25">
      <c r="A11402" s="198"/>
      <c r="B11402" s="231"/>
      <c r="C11402" s="223"/>
      <c r="D11402" s="223"/>
      <c r="E11402" s="223"/>
      <c r="F11402" s="223"/>
      <c r="G11402" s="81"/>
      <c r="H11402" s="81"/>
      <c r="I11402" s="81"/>
      <c r="J11402" s="81"/>
      <c r="K11402" s="81"/>
      <c r="L11402" s="81"/>
      <c r="M11402" s="81"/>
      <c r="N11402" s="81"/>
    </row>
    <row r="11403" spans="1:14" ht="14.25" customHeight="1" x14ac:dyDescent="0.25">
      <c r="A11403" s="197" t="s">
        <v>583</v>
      </c>
      <c r="B11403" s="198"/>
      <c r="C11403" s="193"/>
      <c r="D11403" s="193"/>
      <c r="E11403" s="193" t="s">
        <v>584</v>
      </c>
      <c r="F11403" s="193"/>
      <c r="G11403" s="81"/>
      <c r="H11403" s="81"/>
      <c r="I11403" s="81"/>
      <c r="J11403" s="81"/>
      <c r="K11403" s="81"/>
      <c r="L11403" s="81"/>
      <c r="M11403" s="81"/>
      <c r="N11403" s="81"/>
    </row>
    <row r="11404" spans="1:14" ht="25.5" x14ac:dyDescent="0.25">
      <c r="A11404" s="199" t="s">
        <v>563</v>
      </c>
      <c r="B11404" s="474" t="s">
        <v>564</v>
      </c>
      <c r="C11404" s="474" t="s">
        <v>585</v>
      </c>
      <c r="D11404" s="474" t="s">
        <v>586</v>
      </c>
      <c r="E11404" s="492" t="s">
        <v>587</v>
      </c>
      <c r="F11404" s="474" t="s">
        <v>568</v>
      </c>
      <c r="G11404" s="81"/>
      <c r="H11404" s="81"/>
      <c r="I11404" s="81"/>
      <c r="J11404" s="81"/>
      <c r="K11404" s="81"/>
      <c r="L11404" s="81"/>
      <c r="M11404" s="81"/>
      <c r="N11404" s="81"/>
    </row>
    <row r="11405" spans="1:14" ht="14.25" customHeight="1" x14ac:dyDescent="0.25">
      <c r="A11405" s="480"/>
      <c r="B11405" s="476"/>
      <c r="C11405" s="477"/>
      <c r="D11405" s="498"/>
      <c r="E11405" s="484"/>
      <c r="F11405" s="486">
        <f>+C11405*D11405*E11405</f>
        <v>0</v>
      </c>
      <c r="G11405" s="81"/>
      <c r="H11405" s="81"/>
      <c r="I11405" s="81"/>
      <c r="J11405" s="81"/>
      <c r="K11405" s="81"/>
      <c r="L11405" s="81"/>
      <c r="M11405" s="81"/>
      <c r="N11405" s="81"/>
    </row>
    <row r="11406" spans="1:14" ht="14.25" customHeight="1" x14ac:dyDescent="0.25">
      <c r="A11406" s="480"/>
      <c r="B11406" s="476"/>
      <c r="C11406" s="484"/>
      <c r="D11406" s="484"/>
      <c r="E11406" s="485"/>
      <c r="F11406" s="486"/>
      <c r="G11406" s="81"/>
      <c r="H11406" s="81"/>
      <c r="I11406" s="81"/>
      <c r="J11406" s="81"/>
      <c r="K11406" s="81"/>
      <c r="L11406" s="81"/>
      <c r="M11406" s="81"/>
      <c r="N11406" s="81"/>
    </row>
    <row r="11407" spans="1:14" ht="14.25" customHeight="1" x14ac:dyDescent="0.25">
      <c r="A11407" s="199" t="s">
        <v>548</v>
      </c>
      <c r="B11407" s="474"/>
      <c r="C11407" s="487"/>
      <c r="D11407" s="487"/>
      <c r="E11407" s="488"/>
      <c r="F11407" s="489">
        <f>SUM(F11405:F11406)</f>
        <v>0</v>
      </c>
      <c r="G11407" s="81"/>
      <c r="H11407" s="81"/>
      <c r="I11407" s="81"/>
      <c r="J11407" s="81"/>
      <c r="K11407" s="81"/>
      <c r="L11407" s="81"/>
      <c r="M11407" s="81"/>
      <c r="N11407" s="81"/>
    </row>
    <row r="11408" spans="1:14" ht="14.25" customHeight="1" x14ac:dyDescent="0.25">
      <c r="A11408" s="192"/>
      <c r="B11408" s="194"/>
      <c r="C11408" s="215"/>
      <c r="D11408" s="215"/>
      <c r="E11408" s="216"/>
      <c r="F11408" s="215"/>
      <c r="G11408" s="81"/>
      <c r="H11408" s="81"/>
      <c r="I11408" s="81"/>
      <c r="J11408" s="81"/>
      <c r="K11408" s="81"/>
      <c r="L11408" s="81"/>
      <c r="M11408" s="81"/>
      <c r="N11408" s="81"/>
    </row>
    <row r="11409" spans="1:14" ht="14.25" customHeight="1" x14ac:dyDescent="0.25">
      <c r="A11409" s="192"/>
      <c r="B11409" s="194"/>
      <c r="C11409" s="215"/>
      <c r="D11409" s="215"/>
      <c r="E11409" s="216"/>
      <c r="F11409" s="215"/>
      <c r="G11409" s="81"/>
      <c r="H11409" s="81"/>
      <c r="I11409" s="81"/>
      <c r="J11409" s="81"/>
      <c r="K11409" s="81"/>
      <c r="L11409" s="81"/>
      <c r="M11409" s="81"/>
      <c r="N11409" s="81"/>
    </row>
    <row r="11410" spans="1:14" ht="14.25" customHeight="1" x14ac:dyDescent="0.25">
      <c r="A11410" s="590" t="s">
        <v>588</v>
      </c>
      <c r="B11410" s="586"/>
      <c r="C11410" s="586"/>
      <c r="D11410" s="586"/>
      <c r="E11410" s="587"/>
      <c r="F11410" s="499">
        <f>ROUND(F11383+F11392+F11401+F11407,0)</f>
        <v>757981</v>
      </c>
      <c r="G11410" s="81"/>
      <c r="H11410" s="81"/>
      <c r="I11410" s="81"/>
      <c r="J11410" s="81"/>
      <c r="K11410" s="81"/>
      <c r="L11410" s="81"/>
      <c r="M11410" s="81"/>
      <c r="N11410" s="81"/>
    </row>
    <row r="11411" spans="1:14" ht="14.25" customHeight="1" x14ac:dyDescent="0.25">
      <c r="A11411" s="590" t="s">
        <v>589</v>
      </c>
      <c r="B11411" s="586"/>
      <c r="C11411" s="586"/>
      <c r="D11411" s="586"/>
      <c r="E11411" s="587"/>
      <c r="F11411" s="500"/>
      <c r="G11411" s="81"/>
      <c r="H11411" s="81"/>
      <c r="I11411" s="81"/>
      <c r="J11411" s="81"/>
      <c r="K11411" s="81"/>
      <c r="L11411" s="81"/>
      <c r="M11411" s="81"/>
      <c r="N11411" s="81"/>
    </row>
    <row r="11412" spans="1:14" ht="14.25" customHeight="1" x14ac:dyDescent="0.25">
      <c r="A11412" s="300" t="s">
        <v>556</v>
      </c>
      <c r="B11412" s="506"/>
      <c r="C11412" s="506"/>
      <c r="D11412" s="506"/>
      <c r="E11412" s="507"/>
      <c r="F11412" s="501"/>
      <c r="G11412" s="81"/>
      <c r="H11412" s="81"/>
      <c r="I11412" s="81"/>
      <c r="J11412" s="81"/>
      <c r="K11412" s="81"/>
      <c r="L11412" s="81"/>
      <c r="M11412" s="81"/>
      <c r="N11412" s="81"/>
    </row>
    <row r="11413" spans="1:14" ht="14.25" customHeight="1" x14ac:dyDescent="0.25">
      <c r="A11413" s="301"/>
      <c r="B11413" s="502"/>
      <c r="C11413" s="502"/>
      <c r="D11413" s="502"/>
      <c r="E11413" s="502"/>
      <c r="F11413" s="503"/>
      <c r="G11413" s="81"/>
      <c r="H11413" s="81"/>
      <c r="I11413" s="81"/>
      <c r="J11413" s="81"/>
      <c r="K11413" s="81"/>
      <c r="L11413" s="81"/>
      <c r="M11413" s="81"/>
      <c r="N11413" s="81"/>
    </row>
    <row r="11414" spans="1:14" ht="14.25" customHeight="1" x14ac:dyDescent="0.25">
      <c r="A11414" s="301"/>
      <c r="B11414" s="502"/>
      <c r="C11414" s="502"/>
      <c r="D11414" s="502"/>
      <c r="E11414" s="502"/>
      <c r="F11414" s="503"/>
      <c r="G11414" s="81"/>
      <c r="H11414" s="81"/>
      <c r="I11414" s="81"/>
      <c r="J11414" s="81"/>
      <c r="K11414" s="81"/>
      <c r="L11414" s="81"/>
      <c r="M11414" s="81"/>
      <c r="N11414" s="81"/>
    </row>
    <row r="11415" spans="1:14" ht="14.25" customHeight="1" x14ac:dyDescent="0.25">
      <c r="A11415" s="301"/>
      <c r="B11415" s="502"/>
      <c r="C11415" s="502"/>
      <c r="D11415" s="502"/>
      <c r="E11415" s="502"/>
      <c r="F11415" s="503"/>
      <c r="G11415" s="81"/>
      <c r="H11415" s="81"/>
      <c r="I11415" s="81"/>
      <c r="J11415" s="81"/>
      <c r="K11415" s="81"/>
      <c r="L11415" s="81"/>
      <c r="M11415" s="81"/>
      <c r="N11415" s="81"/>
    </row>
    <row r="11416" spans="1:14" ht="14.25" customHeight="1" x14ac:dyDescent="0.25">
      <c r="A11416" s="243"/>
      <c r="B11416" s="243"/>
      <c r="C11416" s="504"/>
      <c r="D11416" s="243"/>
      <c r="E11416" s="243"/>
      <c r="F11416" s="243"/>
      <c r="G11416" s="81"/>
      <c r="H11416" s="81"/>
      <c r="I11416" s="81"/>
      <c r="J11416" s="81"/>
      <c r="K11416" s="81"/>
      <c r="L11416" s="81"/>
      <c r="M11416" s="81"/>
      <c r="N11416" s="81"/>
    </row>
    <row r="11417" spans="1:14" ht="14.25" customHeight="1" x14ac:dyDescent="0.25">
      <c r="A11417" s="243"/>
      <c r="B11417" s="243"/>
      <c r="C11417" s="504"/>
      <c r="D11417" s="243"/>
      <c r="E11417" s="243"/>
      <c r="F11417" s="243"/>
      <c r="G11417" s="81"/>
      <c r="H11417" s="81"/>
      <c r="I11417" s="81"/>
      <c r="J11417" s="81"/>
      <c r="K11417" s="81"/>
      <c r="L11417" s="81"/>
      <c r="M11417" s="81"/>
      <c r="N11417" s="81"/>
    </row>
    <row r="11418" spans="1:14" ht="14.25" customHeight="1" x14ac:dyDescent="0.25">
      <c r="A11418" s="243"/>
      <c r="B11418" s="243"/>
      <c r="C11418" s="504"/>
      <c r="D11418" s="243"/>
      <c r="E11418" s="243"/>
      <c r="F11418" s="243"/>
      <c r="G11418" s="81"/>
      <c r="H11418" s="81"/>
      <c r="I11418" s="81"/>
      <c r="J11418" s="81"/>
      <c r="K11418" s="81"/>
      <c r="L11418" s="81"/>
      <c r="M11418" s="81"/>
      <c r="N11418" s="81"/>
    </row>
    <row r="11419" spans="1:14" ht="14.25" customHeight="1" x14ac:dyDescent="0.25">
      <c r="A11419" s="243"/>
      <c r="B11419" s="243"/>
      <c r="C11419" s="504"/>
      <c r="D11419" s="243"/>
      <c r="E11419" s="243"/>
      <c r="F11419" s="243"/>
      <c r="G11419" s="81"/>
      <c r="H11419" s="81"/>
      <c r="I11419" s="81"/>
      <c r="J11419" s="81"/>
      <c r="K11419" s="81"/>
      <c r="L11419" s="81"/>
      <c r="M11419" s="81"/>
      <c r="N11419" s="81"/>
    </row>
    <row r="11420" spans="1:14" ht="14.25" customHeight="1" x14ac:dyDescent="0.25">
      <c r="A11420" s="243"/>
      <c r="B11420" s="243"/>
      <c r="C11420" s="504"/>
      <c r="D11420" s="243"/>
      <c r="E11420" s="243"/>
      <c r="F11420" s="243"/>
      <c r="G11420" s="81"/>
      <c r="H11420" s="81"/>
      <c r="I11420" s="81"/>
      <c r="J11420" s="81"/>
      <c r="K11420" s="81"/>
      <c r="L11420" s="81"/>
      <c r="M11420" s="81"/>
      <c r="N11420" s="81"/>
    </row>
    <row r="11421" spans="1:14" ht="14.25" customHeight="1" x14ac:dyDescent="0.25">
      <c r="A11421" s="243"/>
      <c r="B11421" s="243"/>
      <c r="C11421" s="504"/>
      <c r="D11421" s="243"/>
      <c r="E11421" s="243"/>
      <c r="F11421" s="243"/>
      <c r="G11421" s="81"/>
      <c r="H11421" s="81"/>
      <c r="I11421" s="81"/>
      <c r="J11421" s="81"/>
      <c r="K11421" s="81"/>
      <c r="L11421" s="81"/>
      <c r="M11421" s="81"/>
      <c r="N11421" s="81"/>
    </row>
    <row r="11422" spans="1:14" ht="14.25" customHeight="1" x14ac:dyDescent="0.25">
      <c r="A11422" s="243"/>
      <c r="B11422" s="243"/>
      <c r="C11422" s="504"/>
      <c r="D11422" s="243"/>
      <c r="E11422" s="243"/>
      <c r="F11422" s="243"/>
      <c r="G11422" s="81"/>
      <c r="H11422" s="81"/>
      <c r="I11422" s="81"/>
      <c r="J11422" s="81"/>
      <c r="K11422" s="81"/>
      <c r="L11422" s="81"/>
      <c r="M11422" s="81"/>
      <c r="N11422" s="81"/>
    </row>
    <row r="11423" spans="1:14" ht="14.25" customHeight="1" x14ac:dyDescent="0.25">
      <c r="A11423" s="243"/>
      <c r="B11423" s="243"/>
      <c r="C11423" s="504"/>
      <c r="D11423" s="243"/>
      <c r="E11423" s="243"/>
      <c r="F11423" s="243"/>
      <c r="G11423" s="81"/>
      <c r="H11423" s="81"/>
      <c r="I11423" s="81"/>
      <c r="J11423" s="81"/>
      <c r="K11423" s="81"/>
      <c r="L11423" s="81"/>
      <c r="M11423" s="81"/>
      <c r="N11423" s="81"/>
    </row>
    <row r="11424" spans="1:14" ht="14.25" customHeight="1" x14ac:dyDescent="0.25">
      <c r="A11424" s="243"/>
      <c r="B11424" s="243"/>
      <c r="C11424" s="504"/>
      <c r="D11424" s="243"/>
      <c r="E11424" s="243"/>
      <c r="F11424" s="243"/>
      <c r="G11424" s="81"/>
      <c r="H11424" s="81"/>
      <c r="I11424" s="81"/>
      <c r="J11424" s="81"/>
      <c r="K11424" s="81"/>
      <c r="L11424" s="81"/>
      <c r="M11424" s="81"/>
      <c r="N11424" s="81"/>
    </row>
    <row r="11425" spans="1:14" ht="14.25" customHeight="1" x14ac:dyDescent="0.25">
      <c r="A11425" s="243"/>
      <c r="B11425" s="243"/>
      <c r="C11425" s="504"/>
      <c r="D11425" s="243"/>
      <c r="E11425" s="243"/>
      <c r="F11425" s="243"/>
      <c r="G11425" s="81"/>
      <c r="H11425" s="81"/>
      <c r="I11425" s="81"/>
      <c r="J11425" s="81"/>
      <c r="K11425" s="81"/>
      <c r="L11425" s="81"/>
      <c r="M11425" s="81"/>
      <c r="N11425" s="81"/>
    </row>
    <row r="11426" spans="1:14" ht="14.25" customHeight="1" x14ac:dyDescent="0.25">
      <c r="A11426" s="243"/>
      <c r="B11426" s="243"/>
      <c r="C11426" s="504"/>
      <c r="D11426" s="243"/>
      <c r="E11426" s="243"/>
      <c r="F11426" s="243"/>
      <c r="G11426" s="81"/>
      <c r="H11426" s="81"/>
      <c r="I11426" s="81"/>
      <c r="J11426" s="81"/>
      <c r="K11426" s="81"/>
      <c r="L11426" s="81"/>
      <c r="M11426" s="81"/>
      <c r="N11426" s="81"/>
    </row>
    <row r="11427" spans="1:14" ht="14.25" customHeight="1" x14ac:dyDescent="0.25">
      <c r="A11427" s="243"/>
      <c r="B11427" s="243"/>
      <c r="C11427" s="504"/>
      <c r="D11427" s="243"/>
      <c r="E11427" s="243"/>
      <c r="F11427" s="243"/>
      <c r="G11427" s="81"/>
      <c r="H11427" s="81"/>
      <c r="I11427" s="81"/>
      <c r="J11427" s="81"/>
      <c r="K11427" s="81"/>
      <c r="L11427" s="81"/>
      <c r="M11427" s="81"/>
      <c r="N11427" s="81"/>
    </row>
    <row r="11428" spans="1:14" ht="14.25" customHeight="1" x14ac:dyDescent="0.25">
      <c r="A11428" s="243"/>
      <c r="B11428" s="243"/>
      <c r="C11428" s="504"/>
      <c r="D11428" s="243"/>
      <c r="E11428" s="243"/>
      <c r="F11428" s="243"/>
      <c r="G11428" s="81"/>
      <c r="H11428" s="81"/>
      <c r="I11428" s="81"/>
      <c r="J11428" s="81"/>
      <c r="K11428" s="81"/>
      <c r="L11428" s="81"/>
      <c r="M11428" s="81"/>
      <c r="N11428" s="81"/>
    </row>
    <row r="11429" spans="1:14" ht="14.25" customHeight="1" x14ac:dyDescent="0.25">
      <c r="A11429" s="243"/>
      <c r="B11429" s="243"/>
      <c r="C11429" s="504"/>
      <c r="D11429" s="243"/>
      <c r="E11429" s="243"/>
      <c r="F11429" s="243"/>
      <c r="G11429" s="81"/>
      <c r="H11429" s="81"/>
      <c r="I11429" s="81"/>
      <c r="J11429" s="81"/>
      <c r="K11429" s="81"/>
      <c r="L11429" s="81"/>
      <c r="M11429" s="81"/>
      <c r="N11429" s="81"/>
    </row>
    <row r="11430" spans="1:14" s="168" customFormat="1" ht="16.5" thickBot="1" x14ac:dyDescent="0.3">
      <c r="A11430" s="243"/>
      <c r="B11430" s="243"/>
      <c r="C11430" s="504"/>
      <c r="D11430" s="243"/>
      <c r="E11430" s="243"/>
      <c r="F11430" s="243"/>
    </row>
    <row r="11431" spans="1:14" ht="14.25" customHeight="1" x14ac:dyDescent="0.25">
      <c r="A11431" s="258"/>
      <c r="B11431" s="259"/>
      <c r="C11431" s="260"/>
      <c r="D11431" s="261"/>
      <c r="E11431" s="261"/>
      <c r="F11431" s="262"/>
      <c r="G11431" s="81"/>
      <c r="H11431" s="81"/>
      <c r="I11431" s="81"/>
      <c r="J11431" s="81"/>
      <c r="K11431" s="81"/>
      <c r="L11431" s="81"/>
      <c r="M11431" s="81"/>
      <c r="N11431" s="81"/>
    </row>
    <row r="11432" spans="1:14" ht="14.25" customHeight="1" x14ac:dyDescent="0.25">
      <c r="A11432" s="621"/>
      <c r="B11432" s="629"/>
      <c r="C11432" s="629"/>
      <c r="D11432" s="629"/>
      <c r="E11432" s="629"/>
      <c r="F11432" s="630"/>
      <c r="G11432" s="81"/>
      <c r="H11432" s="81"/>
      <c r="I11432" s="81"/>
      <c r="J11432" s="81"/>
      <c r="K11432" s="81"/>
      <c r="L11432" s="81"/>
      <c r="M11432" s="81"/>
      <c r="N11432" s="81"/>
    </row>
    <row r="11433" spans="1:14" ht="14.25" customHeight="1" x14ac:dyDescent="0.25">
      <c r="A11433" s="614" t="s">
        <v>561</v>
      </c>
      <c r="B11433" s="629"/>
      <c r="C11433" s="629"/>
      <c r="D11433" s="629"/>
      <c r="E11433" s="629"/>
      <c r="F11433" s="630"/>
      <c r="G11433" s="81"/>
      <c r="H11433" s="81"/>
      <c r="I11433" s="81"/>
      <c r="J11433" s="81"/>
      <c r="K11433" s="81"/>
      <c r="L11433" s="81"/>
      <c r="M11433" s="81"/>
      <c r="N11433" s="81"/>
    </row>
    <row r="11434" spans="1:14" ht="14.25" customHeight="1" thickBot="1" x14ac:dyDescent="0.3">
      <c r="A11434" s="617"/>
      <c r="B11434" s="631"/>
      <c r="C11434" s="631"/>
      <c r="D11434" s="631"/>
      <c r="E11434" s="631"/>
      <c r="F11434" s="632"/>
      <c r="G11434" s="81"/>
      <c r="H11434" s="81"/>
      <c r="I11434" s="81"/>
      <c r="J11434" s="81"/>
      <c r="K11434" s="81"/>
      <c r="L11434" s="81"/>
      <c r="M11434" s="81"/>
      <c r="N11434" s="81"/>
    </row>
    <row r="11435" spans="1:14" ht="14.25" customHeight="1" x14ac:dyDescent="0.25">
      <c r="A11435" s="192"/>
      <c r="B11435" s="192"/>
      <c r="C11435" s="194"/>
      <c r="D11435" s="194"/>
      <c r="E11435" s="194"/>
      <c r="F11435" s="194"/>
      <c r="G11435" s="81"/>
      <c r="H11435" s="117"/>
      <c r="I11435" s="81"/>
      <c r="J11435" s="81"/>
      <c r="K11435" s="81"/>
      <c r="L11435" s="81"/>
      <c r="M11435" s="81"/>
      <c r="N11435" s="81"/>
    </row>
    <row r="11436" spans="1:14" ht="14.25" customHeight="1" x14ac:dyDescent="0.25">
      <c r="A11436" s="473" t="s">
        <v>47</v>
      </c>
      <c r="B11436" s="620" t="s">
        <v>1193</v>
      </c>
      <c r="C11436" s="629"/>
      <c r="D11436" s="629"/>
      <c r="E11436" s="629"/>
      <c r="F11436" s="629"/>
      <c r="G11436" s="81"/>
      <c r="H11436" s="81"/>
      <c r="I11436" s="81"/>
      <c r="J11436" s="81"/>
      <c r="K11436" s="81"/>
      <c r="L11436" s="81"/>
      <c r="M11436" s="81"/>
      <c r="N11436" s="81"/>
    </row>
    <row r="11437" spans="1:14" ht="14.25" customHeight="1" x14ac:dyDescent="0.25">
      <c r="A11437" s="191"/>
      <c r="B11437" s="191"/>
      <c r="C11437" s="191"/>
      <c r="D11437" s="191"/>
      <c r="E11437" s="191"/>
      <c r="F11437" s="191"/>
      <c r="G11437" s="81"/>
      <c r="H11437" s="81"/>
      <c r="I11437" s="81"/>
      <c r="J11437" s="81"/>
      <c r="K11437" s="81"/>
      <c r="L11437" s="81"/>
      <c r="M11437" s="81"/>
      <c r="N11437" s="81"/>
    </row>
    <row r="11438" spans="1:14" ht="14.25" customHeight="1" x14ac:dyDescent="0.25">
      <c r="A11438" s="192" t="s">
        <v>49</v>
      </c>
      <c r="B11438" s="193" t="s">
        <v>99</v>
      </c>
      <c r="C11438" s="194"/>
      <c r="D11438" s="194"/>
      <c r="E11438" s="194"/>
      <c r="F11438" s="195"/>
      <c r="G11438" s="81"/>
      <c r="H11438" s="81"/>
      <c r="I11438" s="81"/>
      <c r="J11438" s="81"/>
      <c r="K11438" s="81"/>
      <c r="L11438" s="81"/>
      <c r="M11438" s="81"/>
      <c r="N11438" s="81"/>
    </row>
    <row r="11439" spans="1:14" ht="14.25" customHeight="1" x14ac:dyDescent="0.25">
      <c r="A11439" s="192"/>
      <c r="B11439" s="196"/>
      <c r="C11439" s="194"/>
      <c r="D11439" s="194"/>
      <c r="E11439" s="194"/>
      <c r="F11439" s="195"/>
      <c r="G11439" s="81"/>
      <c r="H11439" s="81"/>
      <c r="I11439" s="81"/>
      <c r="J11439" s="81"/>
      <c r="K11439" s="81"/>
      <c r="L11439" s="81"/>
      <c r="M11439" s="81"/>
      <c r="N11439" s="81"/>
    </row>
    <row r="11440" spans="1:14" ht="14.25" customHeight="1" x14ac:dyDescent="0.25">
      <c r="A11440" s="197" t="s">
        <v>562</v>
      </c>
      <c r="B11440" s="198"/>
      <c r="C11440" s="193"/>
      <c r="D11440" s="193"/>
      <c r="E11440" s="193"/>
      <c r="F11440" s="193"/>
      <c r="G11440" s="81"/>
      <c r="H11440" s="81"/>
      <c r="I11440" s="81"/>
      <c r="J11440" s="81"/>
      <c r="K11440" s="81"/>
      <c r="L11440" s="81"/>
      <c r="M11440" s="81"/>
      <c r="N11440" s="81"/>
    </row>
    <row r="11441" spans="1:14" ht="14.25" customHeight="1" x14ac:dyDescent="0.25">
      <c r="A11441" s="199" t="s">
        <v>563</v>
      </c>
      <c r="B11441" s="474" t="s">
        <v>564</v>
      </c>
      <c r="C11441" s="474" t="s">
        <v>565</v>
      </c>
      <c r="D11441" s="474" t="s">
        <v>566</v>
      </c>
      <c r="E11441" s="474" t="s">
        <v>567</v>
      </c>
      <c r="F11441" s="474" t="s">
        <v>568</v>
      </c>
      <c r="G11441" s="81"/>
      <c r="H11441" s="81"/>
      <c r="I11441" s="81"/>
      <c r="J11441" s="81"/>
      <c r="K11441" s="81"/>
      <c r="L11441" s="81"/>
      <c r="M11441" s="81"/>
      <c r="N11441" s="81"/>
    </row>
    <row r="11442" spans="1:14" ht="14.25" customHeight="1" x14ac:dyDescent="0.25">
      <c r="A11442" s="475" t="s">
        <v>1193</v>
      </c>
      <c r="B11442" s="476" t="s">
        <v>99</v>
      </c>
      <c r="C11442" s="477">
        <v>20009</v>
      </c>
      <c r="D11442" s="478">
        <v>1</v>
      </c>
      <c r="E11442" s="479"/>
      <c r="F11442" s="477">
        <f t="shared" ref="F11442:F11444" si="564">C11442*(D11442+(D11442*E11442))</f>
        <v>20009</v>
      </c>
      <c r="G11442" s="81"/>
      <c r="H11442" s="81"/>
      <c r="I11442" s="81"/>
      <c r="J11442" s="81"/>
      <c r="K11442" s="81"/>
      <c r="L11442" s="81"/>
      <c r="M11442" s="81"/>
      <c r="N11442" s="81"/>
    </row>
    <row r="11443" spans="1:14" ht="14.25" customHeight="1" x14ac:dyDescent="0.25">
      <c r="A11443" s="475"/>
      <c r="B11443" s="476"/>
      <c r="C11443" s="477"/>
      <c r="D11443" s="481"/>
      <c r="E11443" s="479"/>
      <c r="F11443" s="477">
        <f t="shared" si="564"/>
        <v>0</v>
      </c>
      <c r="G11443" s="81"/>
      <c r="H11443" s="81"/>
      <c r="I11443" s="81"/>
      <c r="J11443" s="81"/>
      <c r="K11443" s="81"/>
      <c r="L11443" s="81"/>
      <c r="M11443" s="81"/>
      <c r="N11443" s="81"/>
    </row>
    <row r="11444" spans="1:14" ht="14.25" customHeight="1" x14ac:dyDescent="0.25">
      <c r="A11444" s="475"/>
      <c r="B11444" s="476"/>
      <c r="C11444" s="477"/>
      <c r="D11444" s="481"/>
      <c r="E11444" s="479"/>
      <c r="F11444" s="477">
        <f t="shared" si="564"/>
        <v>0</v>
      </c>
      <c r="G11444" s="81"/>
      <c r="H11444" s="81"/>
      <c r="I11444" s="81"/>
      <c r="J11444" s="81"/>
      <c r="K11444" s="81"/>
      <c r="L11444" s="81"/>
      <c r="M11444" s="81"/>
      <c r="N11444" s="81"/>
    </row>
    <row r="11445" spans="1:14" ht="14.25" customHeight="1" x14ac:dyDescent="0.25">
      <c r="A11445" s="475"/>
      <c r="B11445" s="476"/>
      <c r="C11445" s="477"/>
      <c r="D11445" s="478"/>
      <c r="E11445" s="479"/>
      <c r="F11445" s="477"/>
      <c r="G11445" s="81"/>
      <c r="H11445" s="81"/>
      <c r="I11445" s="81"/>
      <c r="J11445" s="81"/>
      <c r="K11445" s="81"/>
      <c r="L11445" s="81"/>
      <c r="M11445" s="81"/>
      <c r="N11445" s="81"/>
    </row>
    <row r="11446" spans="1:14" ht="14.25" customHeight="1" x14ac:dyDescent="0.25">
      <c r="A11446" s="475"/>
      <c r="B11446" s="476"/>
      <c r="C11446" s="477"/>
      <c r="D11446" s="478"/>
      <c r="E11446" s="479"/>
      <c r="F11446" s="477"/>
      <c r="G11446" s="81"/>
      <c r="H11446" s="81"/>
      <c r="I11446" s="81"/>
      <c r="J11446" s="81"/>
      <c r="K11446" s="81"/>
      <c r="L11446" s="81"/>
      <c r="M11446" s="81"/>
      <c r="N11446" s="81"/>
    </row>
    <row r="11447" spans="1:14" ht="14.25" customHeight="1" x14ac:dyDescent="0.25">
      <c r="A11447" s="475"/>
      <c r="B11447" s="476"/>
      <c r="C11447" s="477"/>
      <c r="D11447" s="478"/>
      <c r="E11447" s="479"/>
      <c r="F11447" s="477"/>
      <c r="G11447" s="81"/>
      <c r="H11447" s="81"/>
      <c r="I11447" s="81"/>
      <c r="J11447" s="81"/>
      <c r="K11447" s="81"/>
      <c r="L11447" s="81"/>
      <c r="M11447" s="81"/>
      <c r="N11447" s="81"/>
    </row>
    <row r="11448" spans="1:14" ht="14.25" customHeight="1" x14ac:dyDescent="0.25">
      <c r="A11448" s="475"/>
      <c r="B11448" s="476"/>
      <c r="C11448" s="483"/>
      <c r="D11448" s="484"/>
      <c r="E11448" s="485"/>
      <c r="F11448" s="483"/>
      <c r="G11448" s="81"/>
      <c r="H11448" s="81"/>
      <c r="I11448" s="81"/>
      <c r="J11448" s="81"/>
      <c r="K11448" s="81"/>
      <c r="L11448" s="81"/>
      <c r="M11448" s="81"/>
      <c r="N11448" s="81"/>
    </row>
    <row r="11449" spans="1:14" ht="14.25" customHeight="1" x14ac:dyDescent="0.25">
      <c r="A11449" s="199" t="s">
        <v>548</v>
      </c>
      <c r="B11449" s="199"/>
      <c r="C11449" s="486"/>
      <c r="D11449" s="487"/>
      <c r="E11449" s="488"/>
      <c r="F11449" s="489">
        <f>SUM(F11442:F11448)</f>
        <v>20009</v>
      </c>
      <c r="G11449" s="81"/>
      <c r="H11449" s="81"/>
      <c r="I11449" s="81"/>
      <c r="J11449" s="81"/>
      <c r="K11449" s="81"/>
      <c r="L11449" s="81"/>
      <c r="M11449" s="81"/>
      <c r="N11449" s="81"/>
    </row>
    <row r="11450" spans="1:14" ht="14.25" customHeight="1" x14ac:dyDescent="0.25">
      <c r="A11450" s="192"/>
      <c r="B11450" s="192"/>
      <c r="C11450" s="215"/>
      <c r="D11450" s="215"/>
      <c r="E11450" s="216"/>
      <c r="F11450" s="215"/>
      <c r="G11450" s="81"/>
      <c r="H11450" s="81"/>
      <c r="I11450" s="81"/>
      <c r="J11450" s="81"/>
      <c r="K11450" s="81"/>
      <c r="L11450" s="81"/>
      <c r="M11450" s="81"/>
      <c r="N11450" s="81"/>
    </row>
    <row r="11451" spans="1:14" ht="14.25" customHeight="1" x14ac:dyDescent="0.25">
      <c r="A11451" s="198" t="s">
        <v>573</v>
      </c>
      <c r="B11451" s="198"/>
      <c r="C11451" s="193"/>
      <c r="D11451" s="193"/>
      <c r="E11451" s="193"/>
      <c r="F11451" s="193"/>
      <c r="G11451" s="81"/>
      <c r="H11451" s="81"/>
      <c r="I11451" s="81"/>
      <c r="J11451" s="81"/>
      <c r="K11451" s="81"/>
      <c r="L11451" s="81"/>
      <c r="M11451" s="81"/>
      <c r="N11451" s="81"/>
    </row>
    <row r="11452" spans="1:14" ht="50.1" customHeight="1" x14ac:dyDescent="0.25">
      <c r="A11452" s="585" t="s">
        <v>563</v>
      </c>
      <c r="B11452" s="586"/>
      <c r="C11452" s="587"/>
      <c r="D11452" s="474" t="s">
        <v>574</v>
      </c>
      <c r="E11452" s="474" t="s">
        <v>575</v>
      </c>
      <c r="F11452" s="474" t="s">
        <v>568</v>
      </c>
      <c r="G11452" s="81"/>
      <c r="H11452" s="81"/>
      <c r="I11452" s="81"/>
      <c r="J11452" s="81"/>
      <c r="K11452" s="81"/>
      <c r="L11452" s="81"/>
      <c r="M11452" s="81"/>
      <c r="N11452" s="81"/>
    </row>
    <row r="11453" spans="1:14" ht="14.25" customHeight="1" x14ac:dyDescent="0.25">
      <c r="A11453" s="588" t="s">
        <v>577</v>
      </c>
      <c r="B11453" s="586"/>
      <c r="C11453" s="587"/>
      <c r="D11453" s="490"/>
      <c r="E11453" s="484"/>
      <c r="F11453" s="483">
        <f>+F11467*5%</f>
        <v>152.15906666666669</v>
      </c>
      <c r="G11453" s="81"/>
      <c r="H11453" s="81"/>
      <c r="I11453" s="81"/>
      <c r="J11453" s="81"/>
      <c r="K11453" s="81"/>
      <c r="L11453" s="81"/>
      <c r="M11453" s="81"/>
      <c r="N11453" s="81"/>
    </row>
    <row r="11454" spans="1:14" ht="14.25" customHeight="1" x14ac:dyDescent="0.25">
      <c r="A11454" s="588"/>
      <c r="B11454" s="586"/>
      <c r="C11454" s="587"/>
      <c r="D11454" s="505"/>
      <c r="E11454" s="484"/>
      <c r="F11454" s="483"/>
      <c r="G11454" s="81"/>
      <c r="H11454" s="81"/>
      <c r="I11454" s="81"/>
      <c r="J11454" s="81"/>
      <c r="K11454" s="81"/>
      <c r="L11454" s="81"/>
      <c r="M11454" s="81"/>
      <c r="N11454" s="81"/>
    </row>
    <row r="11455" spans="1:14" ht="14.25" customHeight="1" x14ac:dyDescent="0.25">
      <c r="A11455" s="588"/>
      <c r="B11455" s="586"/>
      <c r="C11455" s="587"/>
      <c r="D11455" s="505"/>
      <c r="E11455" s="484"/>
      <c r="F11455" s="483"/>
      <c r="G11455" s="81"/>
      <c r="H11455" s="81"/>
      <c r="I11455" s="81"/>
      <c r="J11455" s="81"/>
      <c r="K11455" s="81"/>
      <c r="L11455" s="81"/>
      <c r="M11455" s="81"/>
      <c r="N11455" s="81"/>
    </row>
    <row r="11456" spans="1:14" ht="14.25" customHeight="1" x14ac:dyDescent="0.25">
      <c r="A11456" s="588"/>
      <c r="B11456" s="586"/>
      <c r="C11456" s="587"/>
      <c r="D11456" s="505"/>
      <c r="E11456" s="484"/>
      <c r="F11456" s="483"/>
      <c r="G11456" s="81"/>
      <c r="H11456" s="81"/>
      <c r="I11456" s="81"/>
      <c r="J11456" s="81"/>
      <c r="K11456" s="81"/>
      <c r="L11456" s="81"/>
      <c r="M11456" s="81"/>
      <c r="N11456" s="81"/>
    </row>
    <row r="11457" spans="1:14" ht="14.25" customHeight="1" x14ac:dyDescent="0.25">
      <c r="A11457" s="589"/>
      <c r="B11457" s="586"/>
      <c r="C11457" s="587"/>
      <c r="D11457" s="491"/>
      <c r="E11457" s="484"/>
      <c r="F11457" s="483"/>
      <c r="G11457" s="81"/>
      <c r="H11457" s="81"/>
      <c r="I11457" s="81"/>
      <c r="J11457" s="81"/>
      <c r="K11457" s="81"/>
      <c r="L11457" s="81"/>
      <c r="M11457" s="81"/>
      <c r="N11457" s="81"/>
    </row>
    <row r="11458" spans="1:14" ht="15.75" x14ac:dyDescent="0.25">
      <c r="A11458" s="585" t="s">
        <v>548</v>
      </c>
      <c r="B11458" s="586"/>
      <c r="C11458" s="587"/>
      <c r="D11458" s="487"/>
      <c r="E11458" s="487"/>
      <c r="F11458" s="489">
        <f>SUM(F11453:F11457)</f>
        <v>152.15906666666669</v>
      </c>
      <c r="G11458" s="81"/>
      <c r="H11458" s="81"/>
      <c r="I11458" s="81"/>
      <c r="J11458" s="81"/>
      <c r="K11458" s="81"/>
      <c r="L11458" s="81"/>
      <c r="M11458" s="81"/>
      <c r="N11458" s="81"/>
    </row>
    <row r="11459" spans="1:14" ht="14.25" customHeight="1" x14ac:dyDescent="0.25">
      <c r="A11459" s="192"/>
      <c r="B11459" s="192"/>
      <c r="C11459" s="194"/>
      <c r="D11459" s="215"/>
      <c r="E11459" s="215"/>
      <c r="F11459" s="215"/>
      <c r="G11459" s="81"/>
      <c r="H11459" s="81"/>
      <c r="I11459" s="81"/>
      <c r="J11459" s="81"/>
      <c r="K11459" s="81"/>
      <c r="L11459" s="81"/>
      <c r="M11459" s="81"/>
      <c r="N11459" s="81"/>
    </row>
    <row r="11460" spans="1:14" ht="14.25" customHeight="1" x14ac:dyDescent="0.25">
      <c r="A11460" s="198" t="s">
        <v>578</v>
      </c>
      <c r="B11460" s="198"/>
      <c r="C11460" s="193"/>
      <c r="D11460" s="223"/>
      <c r="E11460" s="223"/>
      <c r="F11460" s="223"/>
      <c r="G11460" s="81"/>
      <c r="H11460" s="81"/>
      <c r="I11460" s="81"/>
      <c r="J11460" s="81"/>
      <c r="K11460" s="81"/>
      <c r="L11460" s="81"/>
      <c r="M11460" s="81"/>
      <c r="N11460" s="81"/>
    </row>
    <row r="11461" spans="1:14" ht="14.25" customHeight="1" x14ac:dyDescent="0.25">
      <c r="A11461" s="224" t="s">
        <v>563</v>
      </c>
      <c r="B11461" s="492" t="s">
        <v>579</v>
      </c>
      <c r="C11461" s="492" t="s">
        <v>580</v>
      </c>
      <c r="D11461" s="493" t="s">
        <v>581</v>
      </c>
      <c r="E11461" s="493" t="s">
        <v>575</v>
      </c>
      <c r="F11461" s="493" t="s">
        <v>568</v>
      </c>
      <c r="G11461" s="81"/>
      <c r="H11461" s="81"/>
      <c r="I11461" s="81"/>
      <c r="J11461" s="81"/>
      <c r="K11461" s="81"/>
      <c r="L11461" s="81"/>
      <c r="M11461" s="81"/>
      <c r="N11461" s="81"/>
    </row>
    <row r="11462" spans="1:14" ht="14.25" customHeight="1" x14ac:dyDescent="0.25">
      <c r="A11462" s="494" t="s">
        <v>916</v>
      </c>
      <c r="B11462" s="495">
        <v>5</v>
      </c>
      <c r="C11462" s="477">
        <v>35956.800000000003</v>
      </c>
      <c r="D11462" s="477">
        <f t="shared" ref="D11462:D11463" si="565">+C11462*1.7</f>
        <v>61126.560000000005</v>
      </c>
      <c r="E11462" s="484">
        <v>165</v>
      </c>
      <c r="F11462" s="483">
        <f t="shared" ref="F11462:F11463" si="566">+B11462*(D11462)/E11462</f>
        <v>1852.3200000000004</v>
      </c>
      <c r="G11462" s="81"/>
      <c r="H11462" s="81"/>
      <c r="I11462" s="81"/>
      <c r="J11462" s="81"/>
      <c r="K11462" s="81"/>
      <c r="L11462" s="81"/>
      <c r="M11462" s="81"/>
      <c r="N11462" s="81"/>
    </row>
    <row r="11463" spans="1:14" ht="14.25" customHeight="1" x14ac:dyDescent="0.25">
      <c r="A11463" s="494" t="s">
        <v>917</v>
      </c>
      <c r="B11463" s="495">
        <v>2</v>
      </c>
      <c r="C11463" s="477">
        <v>57791.8</v>
      </c>
      <c r="D11463" s="477">
        <f t="shared" si="565"/>
        <v>98246.06</v>
      </c>
      <c r="E11463" s="484">
        <f>E11462</f>
        <v>165</v>
      </c>
      <c r="F11463" s="483">
        <f t="shared" si="566"/>
        <v>1190.8613333333333</v>
      </c>
      <c r="G11463" s="81"/>
      <c r="H11463" s="81"/>
      <c r="I11463" s="81"/>
      <c r="J11463" s="81"/>
      <c r="K11463" s="81"/>
      <c r="L11463" s="81"/>
      <c r="M11463" s="81"/>
      <c r="N11463" s="81"/>
    </row>
    <row r="11464" spans="1:14" ht="14.25" customHeight="1" x14ac:dyDescent="0.25">
      <c r="A11464" s="494"/>
      <c r="B11464" s="495"/>
      <c r="C11464" s="477"/>
      <c r="D11464" s="477"/>
      <c r="E11464" s="484"/>
      <c r="F11464" s="483"/>
      <c r="G11464" s="81"/>
      <c r="H11464" s="81"/>
      <c r="I11464" s="81"/>
      <c r="J11464" s="81"/>
      <c r="K11464" s="81"/>
      <c r="L11464" s="81"/>
      <c r="M11464" s="81"/>
      <c r="N11464" s="81"/>
    </row>
    <row r="11465" spans="1:14" ht="14.25" customHeight="1" x14ac:dyDescent="0.25">
      <c r="A11465" s="494"/>
      <c r="B11465" s="495"/>
      <c r="C11465" s="477"/>
      <c r="D11465" s="477"/>
      <c r="E11465" s="484"/>
      <c r="F11465" s="483"/>
      <c r="G11465" s="81"/>
      <c r="H11465" s="81"/>
      <c r="I11465" s="81"/>
      <c r="J11465" s="81"/>
      <c r="K11465" s="81"/>
      <c r="L11465" s="81"/>
      <c r="M11465" s="81"/>
      <c r="N11465" s="81"/>
    </row>
    <row r="11466" spans="1:14" ht="14.25" customHeight="1" x14ac:dyDescent="0.25">
      <c r="A11466" s="494"/>
      <c r="B11466" s="495"/>
      <c r="C11466" s="477"/>
      <c r="D11466" s="477"/>
      <c r="E11466" s="484"/>
      <c r="F11466" s="483"/>
      <c r="G11466" s="81"/>
      <c r="H11466" s="81"/>
      <c r="I11466" s="81"/>
      <c r="J11466" s="81"/>
      <c r="K11466" s="81"/>
      <c r="L11466" s="81"/>
      <c r="M11466" s="81"/>
      <c r="N11466" s="81"/>
    </row>
    <row r="11467" spans="1:14" ht="14.25" customHeight="1" x14ac:dyDescent="0.25">
      <c r="A11467" s="199" t="s">
        <v>548</v>
      </c>
      <c r="B11467" s="497"/>
      <c r="C11467" s="487"/>
      <c r="D11467" s="487"/>
      <c r="E11467" s="487"/>
      <c r="F11467" s="489">
        <f>SUM(F11462:F11465)</f>
        <v>3043.1813333333339</v>
      </c>
      <c r="G11467" s="81"/>
      <c r="H11467" s="81"/>
      <c r="I11467" s="81"/>
      <c r="J11467" s="81"/>
      <c r="K11467" s="81"/>
      <c r="L11467" s="81"/>
      <c r="M11467" s="81"/>
      <c r="N11467" s="81"/>
    </row>
    <row r="11468" spans="1:14" ht="14.25" customHeight="1" x14ac:dyDescent="0.25">
      <c r="A11468" s="198"/>
      <c r="B11468" s="231"/>
      <c r="C11468" s="223"/>
      <c r="D11468" s="223"/>
      <c r="E11468" s="223"/>
      <c r="F11468" s="223"/>
      <c r="G11468" s="81"/>
      <c r="H11468" s="81"/>
      <c r="I11468" s="81"/>
      <c r="J11468" s="81"/>
      <c r="K11468" s="81"/>
      <c r="L11468" s="81"/>
      <c r="M11468" s="81"/>
      <c r="N11468" s="81"/>
    </row>
    <row r="11469" spans="1:14" ht="14.25" customHeight="1" x14ac:dyDescent="0.25">
      <c r="A11469" s="197" t="s">
        <v>583</v>
      </c>
      <c r="B11469" s="198"/>
      <c r="C11469" s="193"/>
      <c r="D11469" s="193"/>
      <c r="E11469" s="193" t="s">
        <v>584</v>
      </c>
      <c r="F11469" s="193"/>
      <c r="G11469" s="81"/>
      <c r="H11469" s="81"/>
      <c r="I11469" s="81"/>
      <c r="J11469" s="81"/>
      <c r="K11469" s="81"/>
      <c r="L11469" s="81"/>
      <c r="M11469" s="81"/>
      <c r="N11469" s="81"/>
    </row>
    <row r="11470" spans="1:14" ht="14.25" customHeight="1" x14ac:dyDescent="0.25">
      <c r="A11470" s="199" t="s">
        <v>563</v>
      </c>
      <c r="B11470" s="474" t="s">
        <v>564</v>
      </c>
      <c r="C11470" s="474" t="s">
        <v>585</v>
      </c>
      <c r="D11470" s="474" t="s">
        <v>586</v>
      </c>
      <c r="E11470" s="492" t="s">
        <v>587</v>
      </c>
      <c r="F11470" s="474" t="s">
        <v>568</v>
      </c>
      <c r="G11470" s="81"/>
      <c r="H11470" s="81"/>
      <c r="I11470" s="81"/>
      <c r="J11470" s="81"/>
      <c r="K11470" s="81"/>
      <c r="L11470" s="81"/>
      <c r="M11470" s="81"/>
      <c r="N11470" s="81"/>
    </row>
    <row r="11471" spans="1:14" ht="14.25" customHeight="1" x14ac:dyDescent="0.25">
      <c r="A11471" s="480"/>
      <c r="B11471" s="476"/>
      <c r="C11471" s="477"/>
      <c r="D11471" s="498"/>
      <c r="E11471" s="484"/>
      <c r="F11471" s="486">
        <f>+C11471*D11471*E11471</f>
        <v>0</v>
      </c>
      <c r="G11471" s="81"/>
      <c r="H11471" s="81"/>
      <c r="I11471" s="81"/>
      <c r="J11471" s="81"/>
      <c r="K11471" s="81"/>
      <c r="L11471" s="81"/>
      <c r="M11471" s="81"/>
      <c r="N11471" s="81"/>
    </row>
    <row r="11472" spans="1:14" ht="14.25" customHeight="1" x14ac:dyDescent="0.25">
      <c r="A11472" s="480"/>
      <c r="B11472" s="476"/>
      <c r="C11472" s="484"/>
      <c r="D11472" s="484"/>
      <c r="E11472" s="485"/>
      <c r="F11472" s="486"/>
      <c r="G11472" s="81"/>
      <c r="H11472" s="81"/>
      <c r="I11472" s="81"/>
      <c r="J11472" s="81"/>
      <c r="K11472" s="81"/>
      <c r="L11472" s="81"/>
      <c r="M11472" s="81"/>
      <c r="N11472" s="81"/>
    </row>
    <row r="11473" spans="1:14" ht="14.25" customHeight="1" x14ac:dyDescent="0.25">
      <c r="A11473" s="199" t="s">
        <v>548</v>
      </c>
      <c r="B11473" s="474"/>
      <c r="C11473" s="487"/>
      <c r="D11473" s="487"/>
      <c r="E11473" s="488"/>
      <c r="F11473" s="489">
        <f>SUM(F11471:F11472)</f>
        <v>0</v>
      </c>
      <c r="G11473" s="81"/>
      <c r="H11473" s="81"/>
      <c r="I11473" s="81"/>
      <c r="J11473" s="81"/>
      <c r="K11473" s="81"/>
      <c r="L11473" s="81"/>
      <c r="M11473" s="81"/>
      <c r="N11473" s="81"/>
    </row>
    <row r="11474" spans="1:14" ht="14.25" customHeight="1" x14ac:dyDescent="0.25">
      <c r="A11474" s="192"/>
      <c r="B11474" s="194"/>
      <c r="C11474" s="215"/>
      <c r="D11474" s="215"/>
      <c r="E11474" s="216"/>
      <c r="F11474" s="215"/>
      <c r="G11474" s="81"/>
      <c r="H11474" s="81"/>
      <c r="I11474" s="81"/>
      <c r="J11474" s="81"/>
      <c r="K11474" s="81"/>
      <c r="L11474" s="81"/>
      <c r="M11474" s="81"/>
      <c r="N11474" s="81"/>
    </row>
    <row r="11475" spans="1:14" ht="14.25" customHeight="1" x14ac:dyDescent="0.25">
      <c r="A11475" s="192"/>
      <c r="B11475" s="194"/>
      <c r="C11475" s="215"/>
      <c r="D11475" s="215"/>
      <c r="E11475" s="216"/>
      <c r="F11475" s="215"/>
      <c r="G11475" s="81"/>
      <c r="H11475" s="81"/>
      <c r="I11475" s="81"/>
      <c r="J11475" s="81"/>
      <c r="K11475" s="81"/>
      <c r="L11475" s="81"/>
      <c r="M11475" s="81"/>
      <c r="N11475" s="81"/>
    </row>
    <row r="11476" spans="1:14" ht="14.25" customHeight="1" x14ac:dyDescent="0.25">
      <c r="A11476" s="590" t="s">
        <v>588</v>
      </c>
      <c r="B11476" s="586"/>
      <c r="C11476" s="586"/>
      <c r="D11476" s="586"/>
      <c r="E11476" s="587"/>
      <c r="F11476" s="499">
        <f>ROUND(F11449+F11458+F11467+F11473,0)</f>
        <v>23204</v>
      </c>
      <c r="G11476" s="81"/>
      <c r="H11476" s="81"/>
      <c r="I11476" s="81"/>
      <c r="J11476" s="81"/>
      <c r="K11476" s="81"/>
      <c r="L11476" s="81"/>
      <c r="M11476" s="81"/>
      <c r="N11476" s="81"/>
    </row>
    <row r="11477" spans="1:14" ht="14.25" customHeight="1" x14ac:dyDescent="0.25">
      <c r="A11477" s="590" t="s">
        <v>589</v>
      </c>
      <c r="B11477" s="586"/>
      <c r="C11477" s="586"/>
      <c r="D11477" s="586"/>
      <c r="E11477" s="587"/>
      <c r="F11477" s="500"/>
      <c r="G11477" s="81"/>
      <c r="H11477" s="81"/>
      <c r="I11477" s="81"/>
      <c r="J11477" s="81"/>
      <c r="K11477" s="81"/>
      <c r="L11477" s="81"/>
      <c r="M11477" s="81"/>
      <c r="N11477" s="81"/>
    </row>
    <row r="11478" spans="1:14" ht="14.25" customHeight="1" x14ac:dyDescent="0.25">
      <c r="A11478" s="300" t="s">
        <v>556</v>
      </c>
      <c r="B11478" s="506"/>
      <c r="C11478" s="506"/>
      <c r="D11478" s="506"/>
      <c r="E11478" s="507"/>
      <c r="F11478" s="501"/>
      <c r="G11478" s="81"/>
      <c r="H11478" s="81"/>
      <c r="I11478" s="81"/>
      <c r="J11478" s="81"/>
      <c r="K11478" s="81"/>
      <c r="L11478" s="81"/>
      <c r="M11478" s="81"/>
      <c r="N11478" s="81"/>
    </row>
    <row r="11479" spans="1:14" ht="14.25" customHeight="1" x14ac:dyDescent="0.25">
      <c r="A11479" s="301"/>
      <c r="B11479" s="502"/>
      <c r="C11479" s="502"/>
      <c r="D11479" s="502"/>
      <c r="E11479" s="502"/>
      <c r="F11479" s="503"/>
      <c r="G11479" s="81"/>
      <c r="H11479" s="81"/>
      <c r="I11479" s="81"/>
      <c r="J11479" s="81"/>
      <c r="K11479" s="81"/>
      <c r="L11479" s="81"/>
      <c r="M11479" s="81"/>
      <c r="N11479" s="81"/>
    </row>
    <row r="11480" spans="1:14" ht="14.25" customHeight="1" x14ac:dyDescent="0.25">
      <c r="A11480" s="301"/>
      <c r="B11480" s="502"/>
      <c r="C11480" s="502"/>
      <c r="D11480" s="502"/>
      <c r="E11480" s="502"/>
      <c r="F11480" s="503"/>
      <c r="G11480" s="81"/>
      <c r="H11480" s="81"/>
      <c r="I11480" s="81"/>
      <c r="J11480" s="81"/>
      <c r="K11480" s="81"/>
      <c r="L11480" s="81"/>
      <c r="M11480" s="81"/>
      <c r="N11480" s="81"/>
    </row>
    <row r="11481" spans="1:14" ht="14.25" customHeight="1" x14ac:dyDescent="0.25">
      <c r="A11481" s="301"/>
      <c r="B11481" s="502"/>
      <c r="C11481" s="502"/>
      <c r="D11481" s="502"/>
      <c r="E11481" s="502"/>
      <c r="F11481" s="503"/>
      <c r="G11481" s="81"/>
      <c r="H11481" s="81"/>
      <c r="I11481" s="81"/>
      <c r="J11481" s="81"/>
      <c r="K11481" s="81"/>
      <c r="L11481" s="81"/>
      <c r="M11481" s="81"/>
      <c r="N11481" s="81"/>
    </row>
    <row r="11482" spans="1:14" ht="14.25" customHeight="1" x14ac:dyDescent="0.25">
      <c r="A11482" s="243"/>
      <c r="B11482" s="243"/>
      <c r="C11482" s="504"/>
      <c r="D11482" s="243"/>
      <c r="E11482" s="243"/>
      <c r="F11482" s="243"/>
      <c r="G11482" s="81"/>
      <c r="H11482" s="81"/>
      <c r="I11482" s="81"/>
      <c r="J11482" s="81"/>
      <c r="K11482" s="81"/>
      <c r="L11482" s="81"/>
      <c r="M11482" s="81"/>
      <c r="N11482" s="81"/>
    </row>
    <row r="11483" spans="1:14" ht="14.25" customHeight="1" x14ac:dyDescent="0.25">
      <c r="A11483" s="243"/>
      <c r="B11483" s="243"/>
      <c r="C11483" s="504"/>
      <c r="D11483" s="243"/>
      <c r="E11483" s="243"/>
      <c r="F11483" s="243"/>
      <c r="G11483" s="81"/>
      <c r="H11483" s="81"/>
      <c r="I11483" s="81"/>
      <c r="J11483" s="81"/>
      <c r="K11483" s="81"/>
      <c r="L11483" s="81"/>
      <c r="M11483" s="81"/>
      <c r="N11483" s="81"/>
    </row>
    <row r="11484" spans="1:14" s="168" customFormat="1" ht="15.75" x14ac:dyDescent="0.25">
      <c r="A11484" s="243"/>
      <c r="B11484" s="243"/>
      <c r="C11484" s="504"/>
      <c r="D11484" s="243"/>
      <c r="E11484" s="243"/>
      <c r="F11484" s="243"/>
    </row>
    <row r="11485" spans="1:14" ht="14.25" customHeight="1" x14ac:dyDescent="0.25">
      <c r="A11485" s="243"/>
      <c r="B11485" s="243"/>
      <c r="C11485" s="504"/>
      <c r="D11485" s="243"/>
      <c r="E11485" s="243"/>
      <c r="F11485" s="243"/>
      <c r="G11485" s="81"/>
      <c r="H11485" s="81"/>
      <c r="I11485" s="81"/>
      <c r="J11485" s="81"/>
      <c r="K11485" s="81"/>
      <c r="L11485" s="81"/>
      <c r="M11485" s="81"/>
      <c r="N11485" s="81"/>
    </row>
    <row r="11486" spans="1:14" ht="14.25" customHeight="1" x14ac:dyDescent="0.25">
      <c r="A11486" s="243"/>
      <c r="B11486" s="243"/>
      <c r="C11486" s="504"/>
      <c r="D11486" s="243"/>
      <c r="E11486" s="243"/>
      <c r="F11486" s="243"/>
      <c r="G11486" s="81"/>
      <c r="H11486" s="81"/>
      <c r="I11486" s="81"/>
      <c r="J11486" s="81"/>
      <c r="K11486" s="81"/>
      <c r="L11486" s="81"/>
      <c r="M11486" s="81"/>
      <c r="N11486" s="81"/>
    </row>
    <row r="11487" spans="1:14" ht="14.25" customHeight="1" x14ac:dyDescent="0.25">
      <c r="A11487" s="243"/>
      <c r="B11487" s="243"/>
      <c r="C11487" s="504"/>
      <c r="D11487" s="243"/>
      <c r="E11487" s="243"/>
      <c r="F11487" s="243"/>
      <c r="G11487" s="81"/>
      <c r="H11487" s="81"/>
      <c r="I11487" s="81"/>
      <c r="J11487" s="81"/>
      <c r="K11487" s="81"/>
      <c r="L11487" s="81"/>
      <c r="M11487" s="81"/>
      <c r="N11487" s="81"/>
    </row>
    <row r="11488" spans="1:14" ht="14.25" customHeight="1" x14ac:dyDescent="0.25">
      <c r="A11488" s="243"/>
      <c r="B11488" s="243"/>
      <c r="C11488" s="504"/>
      <c r="D11488" s="243"/>
      <c r="E11488" s="243"/>
      <c r="F11488" s="243"/>
      <c r="G11488" s="81"/>
      <c r="H11488" s="81"/>
      <c r="I11488" s="81"/>
      <c r="J11488" s="81"/>
      <c r="K11488" s="81"/>
      <c r="L11488" s="81"/>
      <c r="M11488" s="81"/>
      <c r="N11488" s="81"/>
    </row>
    <row r="11489" spans="1:14" ht="14.25" customHeight="1" x14ac:dyDescent="0.25">
      <c r="A11489" s="243"/>
      <c r="B11489" s="243"/>
      <c r="C11489" s="504"/>
      <c r="D11489" s="243"/>
      <c r="E11489" s="243"/>
      <c r="F11489" s="243"/>
      <c r="G11489" s="81"/>
      <c r="H11489" s="117"/>
      <c r="I11489" s="81"/>
      <c r="J11489" s="81"/>
      <c r="K11489" s="81"/>
      <c r="L11489" s="81"/>
      <c r="M11489" s="81"/>
      <c r="N11489" s="81"/>
    </row>
    <row r="11490" spans="1:14" ht="14.25" customHeight="1" x14ac:dyDescent="0.25">
      <c r="A11490" s="243"/>
      <c r="B11490" s="243"/>
      <c r="C11490" s="504"/>
      <c r="D11490" s="243"/>
      <c r="E11490" s="243"/>
      <c r="F11490" s="243"/>
      <c r="G11490" s="81"/>
      <c r="H11490" s="81"/>
      <c r="I11490" s="81"/>
      <c r="J11490" s="81"/>
      <c r="K11490" s="81"/>
      <c r="L11490" s="81"/>
      <c r="M11490" s="81"/>
      <c r="N11490" s="81"/>
    </row>
    <row r="11491" spans="1:14" ht="14.25" customHeight="1" x14ac:dyDescent="0.25">
      <c r="A11491" s="243"/>
      <c r="B11491" s="243"/>
      <c r="C11491" s="504"/>
      <c r="D11491" s="243"/>
      <c r="E11491" s="243"/>
      <c r="F11491" s="243"/>
      <c r="G11491" s="81"/>
      <c r="H11491" s="81"/>
      <c r="I11491" s="81"/>
      <c r="J11491" s="81"/>
      <c r="K11491" s="81"/>
      <c r="L11491" s="81"/>
      <c r="M11491" s="81"/>
      <c r="N11491" s="81"/>
    </row>
    <row r="11492" spans="1:14" ht="14.25" customHeight="1" x14ac:dyDescent="0.25">
      <c r="A11492" s="243"/>
      <c r="B11492" s="243"/>
      <c r="C11492" s="504"/>
      <c r="D11492" s="243"/>
      <c r="E11492" s="243"/>
      <c r="F11492" s="243"/>
      <c r="G11492" s="81"/>
      <c r="H11492" s="81"/>
      <c r="I11492" s="81"/>
      <c r="J11492" s="81"/>
      <c r="K11492" s="81"/>
      <c r="L11492" s="81"/>
      <c r="M11492" s="81"/>
      <c r="N11492" s="81"/>
    </row>
    <row r="11493" spans="1:14" ht="14.25" customHeight="1" x14ac:dyDescent="0.25">
      <c r="A11493" s="243"/>
      <c r="B11493" s="243"/>
      <c r="C11493" s="504"/>
      <c r="D11493" s="243"/>
      <c r="E11493" s="243"/>
      <c r="F11493" s="243"/>
      <c r="G11493" s="81"/>
      <c r="H11493" s="81"/>
      <c r="I11493" s="81"/>
      <c r="J11493" s="81"/>
      <c r="K11493" s="81"/>
      <c r="L11493" s="81"/>
      <c r="M11493" s="81"/>
      <c r="N11493" s="81"/>
    </row>
    <row r="11494" spans="1:14" ht="14.25" customHeight="1" thickBot="1" x14ac:dyDescent="0.3">
      <c r="A11494" s="243"/>
      <c r="B11494" s="243"/>
      <c r="C11494" s="504"/>
      <c r="D11494" s="243"/>
      <c r="E11494" s="243"/>
      <c r="F11494" s="243"/>
      <c r="G11494" s="81"/>
      <c r="H11494" s="81"/>
      <c r="I11494" s="81"/>
      <c r="J11494" s="81"/>
      <c r="K11494" s="81"/>
      <c r="L11494" s="81"/>
      <c r="M11494" s="81"/>
      <c r="N11494" s="81"/>
    </row>
    <row r="11495" spans="1:14" ht="14.25" customHeight="1" x14ac:dyDescent="0.25">
      <c r="A11495" s="258"/>
      <c r="B11495" s="259"/>
      <c r="C11495" s="260"/>
      <c r="D11495" s="261"/>
      <c r="E11495" s="261"/>
      <c r="F11495" s="262"/>
      <c r="G11495" s="81"/>
      <c r="H11495" s="81"/>
      <c r="I11495" s="81"/>
      <c r="J11495" s="81"/>
      <c r="K11495" s="81"/>
      <c r="L11495" s="81"/>
      <c r="M11495" s="81"/>
      <c r="N11495" s="81"/>
    </row>
    <row r="11496" spans="1:14" ht="14.25" customHeight="1" x14ac:dyDescent="0.25">
      <c r="A11496" s="621"/>
      <c r="B11496" s="629"/>
      <c r="C11496" s="629"/>
      <c r="D11496" s="629"/>
      <c r="E11496" s="629"/>
      <c r="F11496" s="630"/>
      <c r="G11496" s="81"/>
      <c r="H11496" s="81"/>
      <c r="I11496" s="81"/>
      <c r="J11496" s="81"/>
      <c r="K11496" s="81"/>
      <c r="L11496" s="81"/>
      <c r="M11496" s="81"/>
      <c r="N11496" s="81"/>
    </row>
    <row r="11497" spans="1:14" ht="14.25" customHeight="1" x14ac:dyDescent="0.25">
      <c r="A11497" s="614" t="s">
        <v>561</v>
      </c>
      <c r="B11497" s="629"/>
      <c r="C11497" s="629"/>
      <c r="D11497" s="629"/>
      <c r="E11497" s="629"/>
      <c r="F11497" s="630"/>
      <c r="G11497" s="81"/>
      <c r="H11497" s="81"/>
      <c r="I11497" s="81"/>
      <c r="J11497" s="81"/>
      <c r="K11497" s="81"/>
      <c r="L11497" s="81"/>
      <c r="M11497" s="81"/>
      <c r="N11497" s="81"/>
    </row>
    <row r="11498" spans="1:14" ht="14.25" customHeight="1" thickBot="1" x14ac:dyDescent="0.3">
      <c r="A11498" s="617"/>
      <c r="B11498" s="631"/>
      <c r="C11498" s="631"/>
      <c r="D11498" s="631"/>
      <c r="E11498" s="631"/>
      <c r="F11498" s="632"/>
      <c r="G11498" s="81"/>
      <c r="H11498" s="81"/>
      <c r="I11498" s="81"/>
      <c r="J11498" s="81"/>
      <c r="K11498" s="81"/>
      <c r="L11498" s="81"/>
      <c r="M11498" s="81"/>
      <c r="N11498" s="81"/>
    </row>
    <row r="11499" spans="1:14" ht="14.25" customHeight="1" x14ac:dyDescent="0.25">
      <c r="A11499" s="192"/>
      <c r="B11499" s="192"/>
      <c r="C11499" s="194"/>
      <c r="D11499" s="194"/>
      <c r="E11499" s="194"/>
      <c r="F11499" s="194"/>
      <c r="G11499" s="81"/>
      <c r="H11499" s="81"/>
      <c r="I11499" s="81"/>
      <c r="J11499" s="81"/>
      <c r="K11499" s="81"/>
      <c r="L11499" s="81"/>
      <c r="M11499" s="81"/>
      <c r="N11499" s="81"/>
    </row>
    <row r="11500" spans="1:14" ht="14.25" customHeight="1" x14ac:dyDescent="0.25">
      <c r="A11500" s="473" t="s">
        <v>47</v>
      </c>
      <c r="B11500" s="620" t="s">
        <v>1194</v>
      </c>
      <c r="C11500" s="629"/>
      <c r="D11500" s="629"/>
      <c r="E11500" s="629"/>
      <c r="F11500" s="629"/>
      <c r="G11500" s="81"/>
      <c r="H11500" s="81"/>
      <c r="I11500" s="81"/>
      <c r="J11500" s="81"/>
      <c r="K11500" s="81"/>
      <c r="L11500" s="81"/>
      <c r="M11500" s="81"/>
      <c r="N11500" s="81"/>
    </row>
    <row r="11501" spans="1:14" ht="14.25" customHeight="1" x14ac:dyDescent="0.25">
      <c r="A11501" s="191"/>
      <c r="B11501" s="191"/>
      <c r="C11501" s="191"/>
      <c r="D11501" s="191"/>
      <c r="E11501" s="191"/>
      <c r="F11501" s="191"/>
      <c r="G11501" s="81"/>
      <c r="H11501" s="81"/>
      <c r="I11501" s="81"/>
      <c r="J11501" s="81"/>
      <c r="K11501" s="81"/>
      <c r="L11501" s="81"/>
      <c r="M11501" s="81"/>
      <c r="N11501" s="81"/>
    </row>
    <row r="11502" spans="1:14" ht="14.25" customHeight="1" x14ac:dyDescent="0.25">
      <c r="A11502" s="192" t="s">
        <v>49</v>
      </c>
      <c r="B11502" s="193" t="s">
        <v>99</v>
      </c>
      <c r="C11502" s="194"/>
      <c r="D11502" s="194"/>
      <c r="E11502" s="194"/>
      <c r="F11502" s="195"/>
      <c r="G11502" s="81"/>
      <c r="H11502" s="81"/>
      <c r="I11502" s="81"/>
      <c r="J11502" s="81"/>
      <c r="K11502" s="81"/>
      <c r="L11502" s="81"/>
      <c r="M11502" s="81"/>
      <c r="N11502" s="81"/>
    </row>
    <row r="11503" spans="1:14" ht="14.25" customHeight="1" x14ac:dyDescent="0.25">
      <c r="A11503" s="192"/>
      <c r="B11503" s="196"/>
      <c r="C11503" s="194"/>
      <c r="D11503" s="194"/>
      <c r="E11503" s="194"/>
      <c r="F11503" s="195"/>
      <c r="G11503" s="81"/>
      <c r="H11503" s="81"/>
      <c r="I11503" s="81"/>
      <c r="J11503" s="81"/>
      <c r="K11503" s="81"/>
      <c r="L11503" s="81"/>
      <c r="M11503" s="81"/>
      <c r="N11503" s="81"/>
    </row>
    <row r="11504" spans="1:14" ht="14.25" customHeight="1" x14ac:dyDescent="0.25">
      <c r="A11504" s="197" t="s">
        <v>562</v>
      </c>
      <c r="B11504" s="198"/>
      <c r="C11504" s="193"/>
      <c r="D11504" s="193"/>
      <c r="E11504" s="193"/>
      <c r="F11504" s="193"/>
      <c r="G11504" s="81"/>
      <c r="H11504" s="81"/>
      <c r="I11504" s="81"/>
      <c r="J11504" s="81"/>
      <c r="K11504" s="81"/>
      <c r="L11504" s="81"/>
      <c r="M11504" s="81"/>
      <c r="N11504" s="81"/>
    </row>
    <row r="11505" spans="1:14" ht="14.25" customHeight="1" x14ac:dyDescent="0.25">
      <c r="A11505" s="199" t="s">
        <v>563</v>
      </c>
      <c r="B11505" s="474" t="s">
        <v>564</v>
      </c>
      <c r="C11505" s="474" t="s">
        <v>565</v>
      </c>
      <c r="D11505" s="474" t="s">
        <v>566</v>
      </c>
      <c r="E11505" s="474" t="s">
        <v>567</v>
      </c>
      <c r="F11505" s="474" t="s">
        <v>568</v>
      </c>
      <c r="G11505" s="81"/>
      <c r="H11505" s="81"/>
      <c r="I11505" s="81"/>
      <c r="J11505" s="81"/>
      <c r="K11505" s="81"/>
      <c r="L11505" s="81"/>
      <c r="M11505" s="81"/>
      <c r="N11505" s="81"/>
    </row>
    <row r="11506" spans="1:14" ht="45.95" customHeight="1" x14ac:dyDescent="0.25">
      <c r="A11506" s="475" t="s">
        <v>1194</v>
      </c>
      <c r="B11506" s="476" t="s">
        <v>99</v>
      </c>
      <c r="C11506" s="477">
        <v>58200346</v>
      </c>
      <c r="D11506" s="478">
        <v>1</v>
      </c>
      <c r="E11506" s="479"/>
      <c r="F11506" s="477">
        <f t="shared" ref="F11506:F11508" si="567">C11506*(D11506+(D11506*E11506))</f>
        <v>58200346</v>
      </c>
      <c r="G11506" s="81"/>
      <c r="H11506" s="81"/>
      <c r="I11506" s="81"/>
      <c r="J11506" s="81"/>
      <c r="K11506" s="81"/>
      <c r="L11506" s="81"/>
      <c r="M11506" s="81"/>
      <c r="N11506" s="81"/>
    </row>
    <row r="11507" spans="1:14" ht="14.25" customHeight="1" x14ac:dyDescent="0.25">
      <c r="A11507" s="475"/>
      <c r="B11507" s="476"/>
      <c r="C11507" s="477"/>
      <c r="D11507" s="481"/>
      <c r="E11507" s="479"/>
      <c r="F11507" s="477">
        <f t="shared" si="567"/>
        <v>0</v>
      </c>
      <c r="G11507" s="81"/>
      <c r="H11507" s="81"/>
      <c r="I11507" s="81"/>
      <c r="J11507" s="81"/>
      <c r="K11507" s="81"/>
      <c r="L11507" s="81"/>
      <c r="M11507" s="81"/>
      <c r="N11507" s="81"/>
    </row>
    <row r="11508" spans="1:14" ht="14.25" customHeight="1" x14ac:dyDescent="0.25">
      <c r="A11508" s="475"/>
      <c r="B11508" s="476"/>
      <c r="C11508" s="477"/>
      <c r="D11508" s="481"/>
      <c r="E11508" s="479"/>
      <c r="F11508" s="477">
        <f t="shared" si="567"/>
        <v>0</v>
      </c>
      <c r="G11508" s="81"/>
      <c r="H11508" s="81"/>
      <c r="I11508" s="81"/>
      <c r="J11508" s="81"/>
      <c r="K11508" s="81"/>
      <c r="L11508" s="81"/>
      <c r="M11508" s="81"/>
      <c r="N11508" s="81"/>
    </row>
    <row r="11509" spans="1:14" ht="14.25" customHeight="1" x14ac:dyDescent="0.25">
      <c r="A11509" s="475"/>
      <c r="B11509" s="476"/>
      <c r="C11509" s="477"/>
      <c r="D11509" s="478"/>
      <c r="E11509" s="479"/>
      <c r="F11509" s="477"/>
      <c r="G11509" s="81"/>
      <c r="H11509" s="81"/>
      <c r="I11509" s="81"/>
      <c r="J11509" s="81"/>
      <c r="K11509" s="81"/>
      <c r="L11509" s="81"/>
      <c r="M11509" s="81"/>
      <c r="N11509" s="81"/>
    </row>
    <row r="11510" spans="1:14" ht="14.25" customHeight="1" x14ac:dyDescent="0.25">
      <c r="A11510" s="475"/>
      <c r="B11510" s="476"/>
      <c r="C11510" s="477"/>
      <c r="D11510" s="478"/>
      <c r="E11510" s="479"/>
      <c r="F11510" s="477"/>
      <c r="G11510" s="81"/>
      <c r="H11510" s="81"/>
      <c r="I11510" s="81"/>
      <c r="J11510" s="81"/>
      <c r="K11510" s="81"/>
      <c r="L11510" s="81"/>
      <c r="M11510" s="81"/>
      <c r="N11510" s="81"/>
    </row>
    <row r="11511" spans="1:14" ht="14.25" customHeight="1" x14ac:dyDescent="0.25">
      <c r="A11511" s="475"/>
      <c r="B11511" s="476"/>
      <c r="C11511" s="477"/>
      <c r="D11511" s="478"/>
      <c r="E11511" s="479"/>
      <c r="F11511" s="477"/>
      <c r="G11511" s="81"/>
      <c r="H11511" s="81"/>
      <c r="I11511" s="81"/>
      <c r="J11511" s="81"/>
      <c r="K11511" s="81"/>
      <c r="L11511" s="81"/>
      <c r="M11511" s="81"/>
      <c r="N11511" s="81"/>
    </row>
    <row r="11512" spans="1:14" ht="33" customHeight="1" x14ac:dyDescent="0.25">
      <c r="A11512" s="475"/>
      <c r="B11512" s="476"/>
      <c r="C11512" s="483"/>
      <c r="D11512" s="484"/>
      <c r="E11512" s="485"/>
      <c r="F11512" s="483"/>
      <c r="G11512" s="81"/>
      <c r="H11512" s="81"/>
      <c r="I11512" s="81"/>
      <c r="J11512" s="81"/>
      <c r="K11512" s="81"/>
      <c r="L11512" s="81"/>
      <c r="M11512" s="81"/>
      <c r="N11512" s="81"/>
    </row>
    <row r="11513" spans="1:14" s="168" customFormat="1" ht="15.75" x14ac:dyDescent="0.25">
      <c r="A11513" s="199" t="s">
        <v>548</v>
      </c>
      <c r="B11513" s="199"/>
      <c r="C11513" s="486"/>
      <c r="D11513" s="487"/>
      <c r="E11513" s="488"/>
      <c r="F11513" s="489">
        <f>SUM(F11506:F11512)</f>
        <v>58200346</v>
      </c>
    </row>
    <row r="11514" spans="1:14" ht="14.25" customHeight="1" x14ac:dyDescent="0.25">
      <c r="A11514" s="192"/>
      <c r="B11514" s="192"/>
      <c r="C11514" s="215"/>
      <c r="D11514" s="215"/>
      <c r="E11514" s="216"/>
      <c r="F11514" s="215"/>
      <c r="G11514" s="81"/>
      <c r="H11514" s="81"/>
      <c r="I11514" s="81"/>
      <c r="J11514" s="81"/>
      <c r="K11514" s="81"/>
      <c r="L11514" s="81"/>
      <c r="M11514" s="81"/>
      <c r="N11514" s="81"/>
    </row>
    <row r="11515" spans="1:14" ht="14.25" customHeight="1" x14ac:dyDescent="0.25">
      <c r="A11515" s="198" t="s">
        <v>573</v>
      </c>
      <c r="B11515" s="198"/>
      <c r="C11515" s="193"/>
      <c r="D11515" s="193"/>
      <c r="E11515" s="193"/>
      <c r="F11515" s="193"/>
      <c r="G11515" s="81"/>
      <c r="H11515" s="81"/>
      <c r="I11515" s="81"/>
      <c r="J11515" s="81"/>
      <c r="K11515" s="81"/>
      <c r="L11515" s="81"/>
      <c r="M11515" s="81"/>
      <c r="N11515" s="81"/>
    </row>
    <row r="11516" spans="1:14" ht="14.25" customHeight="1" x14ac:dyDescent="0.25">
      <c r="A11516" s="585" t="s">
        <v>563</v>
      </c>
      <c r="B11516" s="586"/>
      <c r="C11516" s="587"/>
      <c r="D11516" s="474" t="s">
        <v>574</v>
      </c>
      <c r="E11516" s="474" t="s">
        <v>575</v>
      </c>
      <c r="F11516" s="474" t="s">
        <v>568</v>
      </c>
      <c r="G11516" s="81"/>
      <c r="H11516" s="81"/>
      <c r="I11516" s="81"/>
      <c r="J11516" s="81"/>
      <c r="K11516" s="81"/>
      <c r="L11516" s="81"/>
      <c r="M11516" s="81"/>
      <c r="N11516" s="81"/>
    </row>
    <row r="11517" spans="1:14" ht="14.25" customHeight="1" x14ac:dyDescent="0.25">
      <c r="A11517" s="588" t="s">
        <v>577</v>
      </c>
      <c r="B11517" s="586"/>
      <c r="C11517" s="587"/>
      <c r="D11517" s="490"/>
      <c r="E11517" s="484"/>
      <c r="F11517" s="483">
        <f>+F11530*5%</f>
        <v>303571.42857142858</v>
      </c>
      <c r="G11517" s="81"/>
      <c r="H11517" s="81"/>
      <c r="I11517" s="81"/>
      <c r="J11517" s="81"/>
      <c r="K11517" s="81"/>
      <c r="L11517" s="81"/>
      <c r="M11517" s="81"/>
      <c r="N11517" s="81"/>
    </row>
    <row r="11518" spans="1:14" ht="14.25" customHeight="1" x14ac:dyDescent="0.25">
      <c r="A11518" s="588"/>
      <c r="B11518" s="586"/>
      <c r="C11518" s="587"/>
      <c r="D11518" s="505"/>
      <c r="E11518" s="484"/>
      <c r="F11518" s="483"/>
      <c r="G11518" s="81"/>
      <c r="H11518" s="81"/>
      <c r="I11518" s="81"/>
      <c r="J11518" s="81"/>
      <c r="K11518" s="81"/>
      <c r="L11518" s="81"/>
      <c r="M11518" s="81"/>
      <c r="N11518" s="81"/>
    </row>
    <row r="11519" spans="1:14" ht="14.25" customHeight="1" x14ac:dyDescent="0.25">
      <c r="A11519" s="588"/>
      <c r="B11519" s="586"/>
      <c r="C11519" s="587"/>
      <c r="D11519" s="505"/>
      <c r="E11519" s="484"/>
      <c r="F11519" s="483"/>
      <c r="G11519" s="81"/>
      <c r="H11519" s="81"/>
      <c r="I11519" s="81"/>
      <c r="J11519" s="81"/>
      <c r="K11519" s="81"/>
      <c r="L11519" s="81"/>
      <c r="M11519" s="81"/>
      <c r="N11519" s="81"/>
    </row>
    <row r="11520" spans="1:14" ht="14.25" customHeight="1" x14ac:dyDescent="0.25">
      <c r="A11520" s="588"/>
      <c r="B11520" s="586"/>
      <c r="C11520" s="587"/>
      <c r="D11520" s="505"/>
      <c r="E11520" s="484"/>
      <c r="F11520" s="483"/>
      <c r="G11520" s="81"/>
      <c r="H11520" s="81"/>
      <c r="I11520" s="81"/>
      <c r="J11520" s="81"/>
      <c r="K11520" s="81"/>
      <c r="L11520" s="81"/>
      <c r="M11520" s="81"/>
      <c r="N11520" s="81"/>
    </row>
    <row r="11521" spans="1:14" ht="14.25" customHeight="1" x14ac:dyDescent="0.25">
      <c r="A11521" s="589"/>
      <c r="B11521" s="586"/>
      <c r="C11521" s="587"/>
      <c r="D11521" s="491"/>
      <c r="E11521" s="484"/>
      <c r="F11521" s="483"/>
      <c r="G11521" s="81"/>
      <c r="H11521" s="81"/>
      <c r="I11521" s="81"/>
      <c r="J11521" s="81"/>
      <c r="K11521" s="81"/>
      <c r="L11521" s="81"/>
      <c r="M11521" s="81"/>
      <c r="N11521" s="81"/>
    </row>
    <row r="11522" spans="1:14" ht="14.25" customHeight="1" x14ac:dyDescent="0.25">
      <c r="A11522" s="585" t="s">
        <v>548</v>
      </c>
      <c r="B11522" s="586"/>
      <c r="C11522" s="587"/>
      <c r="D11522" s="487"/>
      <c r="E11522" s="487"/>
      <c r="F11522" s="489">
        <f>SUM(F11517:F11521)</f>
        <v>303571.42857142858</v>
      </c>
      <c r="G11522" s="81"/>
      <c r="H11522" s="81"/>
      <c r="I11522" s="81"/>
      <c r="J11522" s="81"/>
      <c r="K11522" s="81"/>
      <c r="L11522" s="81"/>
      <c r="M11522" s="81"/>
      <c r="N11522" s="81"/>
    </row>
    <row r="11523" spans="1:14" ht="14.25" customHeight="1" x14ac:dyDescent="0.25">
      <c r="A11523" s="192"/>
      <c r="B11523" s="192"/>
      <c r="C11523" s="194"/>
      <c r="D11523" s="215"/>
      <c r="E11523" s="215"/>
      <c r="F11523" s="215"/>
      <c r="G11523" s="81"/>
      <c r="H11523" s="81"/>
      <c r="I11523" s="81"/>
      <c r="J11523" s="81"/>
      <c r="K11523" s="81"/>
      <c r="L11523" s="81"/>
      <c r="M11523" s="81"/>
      <c r="N11523" s="81"/>
    </row>
    <row r="11524" spans="1:14" ht="14.25" customHeight="1" x14ac:dyDescent="0.25">
      <c r="A11524" s="198" t="s">
        <v>578</v>
      </c>
      <c r="B11524" s="198"/>
      <c r="C11524" s="193"/>
      <c r="D11524" s="223"/>
      <c r="E11524" s="223"/>
      <c r="F11524" s="223"/>
      <c r="G11524" s="81"/>
      <c r="H11524" s="81"/>
      <c r="I11524" s="81"/>
      <c r="J11524" s="81"/>
      <c r="K11524" s="81"/>
      <c r="L11524" s="81"/>
      <c r="M11524" s="81"/>
      <c r="N11524" s="81"/>
    </row>
    <row r="11525" spans="1:14" ht="14.25" customHeight="1" x14ac:dyDescent="0.25">
      <c r="A11525" s="224" t="s">
        <v>563</v>
      </c>
      <c r="B11525" s="492" t="s">
        <v>579</v>
      </c>
      <c r="C11525" s="492" t="s">
        <v>580</v>
      </c>
      <c r="D11525" s="493" t="s">
        <v>581</v>
      </c>
      <c r="E11525" s="493" t="s">
        <v>575</v>
      </c>
      <c r="F11525" s="493" t="s">
        <v>568</v>
      </c>
      <c r="G11525" s="81"/>
      <c r="H11525" s="81"/>
      <c r="I11525" s="81"/>
      <c r="J11525" s="81"/>
      <c r="K11525" s="81"/>
      <c r="L11525" s="81"/>
      <c r="M11525" s="81"/>
      <c r="N11525" s="81"/>
    </row>
    <row r="11526" spans="1:14" ht="14.25" customHeight="1" x14ac:dyDescent="0.25">
      <c r="A11526" s="494" t="s">
        <v>936</v>
      </c>
      <c r="B11526" s="495">
        <v>1</v>
      </c>
      <c r="C11526" s="477">
        <v>165000</v>
      </c>
      <c r="D11526" s="477">
        <f t="shared" ref="D11526:D11527" si="568">+C11526*1.7</f>
        <v>280500</v>
      </c>
      <c r="E11526" s="484">
        <v>7.0000000000000007E-2</v>
      </c>
      <c r="F11526" s="483">
        <f t="shared" ref="F11526:F11527" si="569">+B11526*(D11526)/E11526</f>
        <v>4007142.8571428568</v>
      </c>
      <c r="G11526" s="81"/>
      <c r="H11526" s="81"/>
      <c r="I11526" s="81"/>
      <c r="J11526" s="81"/>
      <c r="K11526" s="81"/>
      <c r="L11526" s="81"/>
      <c r="M11526" s="81"/>
      <c r="N11526" s="81"/>
    </row>
    <row r="11527" spans="1:14" ht="14.25" customHeight="1" x14ac:dyDescent="0.25">
      <c r="A11527" s="494" t="s">
        <v>937</v>
      </c>
      <c r="B11527" s="495">
        <v>1</v>
      </c>
      <c r="C11527" s="477">
        <v>85000</v>
      </c>
      <c r="D11527" s="477">
        <f t="shared" si="568"/>
        <v>144500</v>
      </c>
      <c r="E11527" s="484">
        <f>E11526</f>
        <v>7.0000000000000007E-2</v>
      </c>
      <c r="F11527" s="483">
        <f t="shared" si="569"/>
        <v>2064285.7142857141</v>
      </c>
      <c r="G11527" s="81"/>
      <c r="H11527" s="81"/>
      <c r="I11527" s="81"/>
      <c r="J11527" s="81"/>
      <c r="K11527" s="81"/>
      <c r="L11527" s="81"/>
      <c r="M11527" s="81"/>
      <c r="N11527" s="81"/>
    </row>
    <row r="11528" spans="1:14" ht="14.25" customHeight="1" x14ac:dyDescent="0.25">
      <c r="A11528" s="494"/>
      <c r="B11528" s="495"/>
      <c r="C11528" s="477"/>
      <c r="D11528" s="477"/>
      <c r="E11528" s="484"/>
      <c r="F11528" s="483"/>
      <c r="G11528" s="81"/>
      <c r="H11528" s="81"/>
      <c r="I11528" s="81"/>
      <c r="J11528" s="81"/>
      <c r="K11528" s="81"/>
      <c r="L11528" s="81"/>
      <c r="M11528" s="81"/>
      <c r="N11528" s="81"/>
    </row>
    <row r="11529" spans="1:14" ht="14.25" customHeight="1" x14ac:dyDescent="0.25">
      <c r="A11529" s="494"/>
      <c r="B11529" s="495"/>
      <c r="C11529" s="477"/>
      <c r="D11529" s="477"/>
      <c r="E11529" s="496"/>
      <c r="F11529" s="483"/>
      <c r="G11529" s="81"/>
      <c r="H11529" s="81"/>
      <c r="I11529" s="81"/>
      <c r="J11529" s="81"/>
      <c r="K11529" s="81"/>
      <c r="L11529" s="81"/>
      <c r="M11529" s="81"/>
      <c r="N11529" s="81"/>
    </row>
    <row r="11530" spans="1:14" ht="14.25" customHeight="1" x14ac:dyDescent="0.25">
      <c r="A11530" s="199" t="s">
        <v>548</v>
      </c>
      <c r="B11530" s="497"/>
      <c r="C11530" s="487"/>
      <c r="D11530" s="487"/>
      <c r="E11530" s="487"/>
      <c r="F11530" s="489">
        <f>SUM(F11526:F11529)</f>
        <v>6071428.5714285709</v>
      </c>
      <c r="G11530" s="81"/>
      <c r="H11530" s="81"/>
      <c r="I11530" s="81"/>
      <c r="J11530" s="81"/>
      <c r="K11530" s="81"/>
      <c r="L11530" s="81"/>
      <c r="M11530" s="81"/>
      <c r="N11530" s="81"/>
    </row>
    <row r="11531" spans="1:14" ht="14.25" customHeight="1" x14ac:dyDescent="0.25">
      <c r="A11531" s="198"/>
      <c r="B11531" s="231"/>
      <c r="C11531" s="223"/>
      <c r="D11531" s="223"/>
      <c r="E11531" s="223"/>
      <c r="F11531" s="223"/>
      <c r="G11531" s="81"/>
      <c r="H11531" s="81"/>
      <c r="I11531" s="81"/>
      <c r="J11531" s="81"/>
      <c r="K11531" s="81"/>
      <c r="L11531" s="81"/>
      <c r="M11531" s="81"/>
      <c r="N11531" s="81"/>
    </row>
    <row r="11532" spans="1:14" ht="14.25" customHeight="1" x14ac:dyDescent="0.25">
      <c r="A11532" s="197" t="s">
        <v>583</v>
      </c>
      <c r="B11532" s="198"/>
      <c r="C11532" s="193"/>
      <c r="D11532" s="193"/>
      <c r="E11532" s="193" t="s">
        <v>584</v>
      </c>
      <c r="F11532" s="193"/>
      <c r="G11532" s="81"/>
      <c r="H11532" s="81"/>
      <c r="I11532" s="81"/>
      <c r="J11532" s="81"/>
      <c r="K11532" s="81"/>
      <c r="L11532" s="81"/>
      <c r="M11532" s="81"/>
      <c r="N11532" s="81"/>
    </row>
    <row r="11533" spans="1:14" ht="14.25" customHeight="1" x14ac:dyDescent="0.25">
      <c r="A11533" s="199" t="s">
        <v>563</v>
      </c>
      <c r="B11533" s="474" t="s">
        <v>564</v>
      </c>
      <c r="C11533" s="474" t="s">
        <v>585</v>
      </c>
      <c r="D11533" s="474" t="s">
        <v>586</v>
      </c>
      <c r="E11533" s="492" t="s">
        <v>587</v>
      </c>
      <c r="F11533" s="474" t="s">
        <v>568</v>
      </c>
      <c r="G11533" s="81"/>
      <c r="H11533" s="81"/>
      <c r="I11533" s="81"/>
      <c r="J11533" s="81"/>
      <c r="K11533" s="81"/>
      <c r="L11533" s="81"/>
      <c r="M11533" s="81"/>
      <c r="N11533" s="81"/>
    </row>
    <row r="11534" spans="1:14" ht="14.25" customHeight="1" x14ac:dyDescent="0.25">
      <c r="A11534" s="480"/>
      <c r="B11534" s="476"/>
      <c r="C11534" s="477"/>
      <c r="D11534" s="498"/>
      <c r="E11534" s="484"/>
      <c r="F11534" s="486">
        <f>+C11534*D11534*E11534</f>
        <v>0</v>
      </c>
      <c r="G11534" s="81"/>
      <c r="H11534" s="81"/>
      <c r="I11534" s="81"/>
      <c r="J11534" s="81"/>
      <c r="K11534" s="81"/>
      <c r="L11534" s="81"/>
      <c r="M11534" s="81"/>
      <c r="N11534" s="81"/>
    </row>
    <row r="11535" spans="1:14" ht="14.25" customHeight="1" x14ac:dyDescent="0.25">
      <c r="A11535" s="480"/>
      <c r="B11535" s="476"/>
      <c r="C11535" s="484"/>
      <c r="D11535" s="484"/>
      <c r="E11535" s="485"/>
      <c r="F11535" s="486"/>
      <c r="G11535" s="81"/>
      <c r="H11535" s="81"/>
      <c r="I11535" s="81"/>
      <c r="J11535" s="81"/>
      <c r="K11535" s="81"/>
      <c r="L11535" s="81"/>
      <c r="M11535" s="81"/>
      <c r="N11535" s="81"/>
    </row>
    <row r="11536" spans="1:14" ht="14.25" customHeight="1" x14ac:dyDescent="0.25">
      <c r="A11536" s="199" t="s">
        <v>548</v>
      </c>
      <c r="B11536" s="474"/>
      <c r="C11536" s="487"/>
      <c r="D11536" s="487"/>
      <c r="E11536" s="488"/>
      <c r="F11536" s="489">
        <f>SUM(F11534:F11535)</f>
        <v>0</v>
      </c>
      <c r="G11536" s="81"/>
      <c r="H11536" s="81"/>
      <c r="I11536" s="81"/>
      <c r="J11536" s="81"/>
      <c r="K11536" s="81"/>
      <c r="L11536" s="81"/>
      <c r="M11536" s="81"/>
      <c r="N11536" s="81"/>
    </row>
    <row r="11537" spans="1:14" ht="14.25" customHeight="1" x14ac:dyDescent="0.25">
      <c r="A11537" s="192"/>
      <c r="B11537" s="194"/>
      <c r="C11537" s="215"/>
      <c r="D11537" s="215"/>
      <c r="E11537" s="216"/>
      <c r="F11537" s="215"/>
      <c r="G11537" s="81"/>
      <c r="H11537" s="81"/>
      <c r="I11537" s="81"/>
      <c r="J11537" s="81"/>
      <c r="K11537" s="81"/>
      <c r="L11537" s="81"/>
      <c r="M11537" s="81"/>
      <c r="N11537" s="81"/>
    </row>
    <row r="11538" spans="1:14" ht="14.25" customHeight="1" x14ac:dyDescent="0.25">
      <c r="A11538" s="192"/>
      <c r="B11538" s="194"/>
      <c r="C11538" s="215"/>
      <c r="D11538" s="215"/>
      <c r="E11538" s="216"/>
      <c r="F11538" s="215"/>
      <c r="G11538" s="81"/>
      <c r="H11538" s="81"/>
      <c r="I11538" s="81"/>
      <c r="J11538" s="81"/>
      <c r="K11538" s="81"/>
      <c r="L11538" s="81"/>
      <c r="M11538" s="81"/>
      <c r="N11538" s="81"/>
    </row>
    <row r="11539" spans="1:14" ht="14.25" customHeight="1" x14ac:dyDescent="0.25">
      <c r="A11539" s="590" t="s">
        <v>588</v>
      </c>
      <c r="B11539" s="586"/>
      <c r="C11539" s="586"/>
      <c r="D11539" s="586"/>
      <c r="E11539" s="587"/>
      <c r="F11539" s="499">
        <f>ROUND(F11513+F11522+F11530+F11536,0)</f>
        <v>64575346</v>
      </c>
      <c r="G11539" s="81"/>
      <c r="H11539" s="81"/>
      <c r="I11539" s="81"/>
      <c r="J11539" s="81"/>
      <c r="K11539" s="81"/>
      <c r="L11539" s="81"/>
      <c r="M11539" s="81"/>
      <c r="N11539" s="81"/>
    </row>
    <row r="11540" spans="1:14" ht="14.25" customHeight="1" x14ac:dyDescent="0.25">
      <c r="A11540" s="590" t="s">
        <v>589</v>
      </c>
      <c r="B11540" s="586"/>
      <c r="C11540" s="586"/>
      <c r="D11540" s="586"/>
      <c r="E11540" s="587"/>
      <c r="F11540" s="500"/>
      <c r="G11540" s="81"/>
      <c r="H11540" s="81"/>
      <c r="I11540" s="81"/>
      <c r="J11540" s="81"/>
      <c r="K11540" s="81"/>
      <c r="L11540" s="81"/>
      <c r="M11540" s="81"/>
      <c r="N11540" s="81"/>
    </row>
    <row r="11541" spans="1:14" ht="14.25" customHeight="1" x14ac:dyDescent="0.25">
      <c r="A11541" s="300" t="s">
        <v>556</v>
      </c>
      <c r="B11541" s="506"/>
      <c r="C11541" s="506"/>
      <c r="D11541" s="506"/>
      <c r="E11541" s="507"/>
      <c r="F11541" s="501"/>
      <c r="G11541" s="81"/>
      <c r="H11541" s="81"/>
      <c r="I11541" s="81"/>
      <c r="J11541" s="81"/>
      <c r="K11541" s="81"/>
      <c r="L11541" s="81"/>
      <c r="M11541" s="81"/>
      <c r="N11541" s="81"/>
    </row>
    <row r="11542" spans="1:14" ht="14.25" customHeight="1" x14ac:dyDescent="0.25">
      <c r="A11542" s="301"/>
      <c r="B11542" s="502"/>
      <c r="C11542" s="502"/>
      <c r="D11542" s="502"/>
      <c r="E11542" s="502"/>
      <c r="F11542" s="503"/>
      <c r="G11542" s="81"/>
      <c r="H11542" s="81"/>
      <c r="I11542" s="81"/>
      <c r="J11542" s="81"/>
      <c r="K11542" s="81"/>
      <c r="L11542" s="81"/>
      <c r="M11542" s="81"/>
      <c r="N11542" s="81"/>
    </row>
    <row r="11543" spans="1:14" ht="14.25" customHeight="1" x14ac:dyDescent="0.25">
      <c r="A11543" s="301"/>
      <c r="B11543" s="502"/>
      <c r="C11543" s="502"/>
      <c r="D11543" s="502"/>
      <c r="E11543" s="502"/>
      <c r="F11543" s="503"/>
      <c r="G11543" s="81"/>
      <c r="H11543" s="117"/>
      <c r="I11543" s="81"/>
      <c r="J11543" s="81"/>
      <c r="K11543" s="81"/>
      <c r="L11543" s="81"/>
      <c r="M11543" s="81"/>
      <c r="N11543" s="81"/>
    </row>
    <row r="11544" spans="1:14" ht="14.25" customHeight="1" x14ac:dyDescent="0.25">
      <c r="A11544" s="301"/>
      <c r="B11544" s="502"/>
      <c r="C11544" s="502"/>
      <c r="D11544" s="502"/>
      <c r="E11544" s="502"/>
      <c r="F11544" s="503"/>
      <c r="G11544" s="81"/>
      <c r="H11544" s="81"/>
      <c r="I11544" s="81"/>
      <c r="J11544" s="81"/>
      <c r="K11544" s="81"/>
      <c r="L11544" s="81"/>
      <c r="M11544" s="81"/>
      <c r="N11544" s="81"/>
    </row>
    <row r="11545" spans="1:14" ht="14.25" customHeight="1" x14ac:dyDescent="0.25">
      <c r="A11545" s="243"/>
      <c r="B11545" s="243"/>
      <c r="C11545" s="504"/>
      <c r="D11545" s="243"/>
      <c r="E11545" s="243"/>
      <c r="F11545" s="243"/>
      <c r="G11545" s="81"/>
      <c r="H11545" s="81"/>
      <c r="I11545" s="81"/>
      <c r="J11545" s="81"/>
      <c r="K11545" s="81"/>
      <c r="L11545" s="81"/>
      <c r="M11545" s="81"/>
      <c r="N11545" s="81"/>
    </row>
    <row r="11546" spans="1:14" ht="14.25" customHeight="1" x14ac:dyDescent="0.25">
      <c r="A11546" s="243"/>
      <c r="B11546" s="243"/>
      <c r="C11546" s="504"/>
      <c r="D11546" s="243"/>
      <c r="E11546" s="243"/>
      <c r="F11546" s="243"/>
      <c r="G11546" s="81"/>
      <c r="H11546" s="81"/>
      <c r="I11546" s="81"/>
      <c r="J11546" s="81"/>
      <c r="K11546" s="81"/>
      <c r="L11546" s="81"/>
      <c r="M11546" s="81"/>
      <c r="N11546" s="81"/>
    </row>
    <row r="11547" spans="1:14" ht="14.25" customHeight="1" x14ac:dyDescent="0.25">
      <c r="A11547" s="243"/>
      <c r="B11547" s="243"/>
      <c r="C11547" s="504"/>
      <c r="D11547" s="243"/>
      <c r="E11547" s="243"/>
      <c r="F11547" s="243"/>
      <c r="G11547" s="81"/>
      <c r="H11547" s="81"/>
      <c r="I11547" s="81"/>
      <c r="J11547" s="81"/>
      <c r="K11547" s="81"/>
      <c r="L11547" s="81"/>
      <c r="M11547" s="81"/>
      <c r="N11547" s="81"/>
    </row>
    <row r="11548" spans="1:14" ht="14.25" customHeight="1" x14ac:dyDescent="0.25">
      <c r="A11548" s="243"/>
      <c r="B11548" s="243"/>
      <c r="C11548" s="504"/>
      <c r="D11548" s="243"/>
      <c r="E11548" s="243"/>
      <c r="F11548" s="243"/>
      <c r="G11548" s="81"/>
      <c r="H11548" s="81"/>
      <c r="I11548" s="81"/>
      <c r="J11548" s="81"/>
      <c r="K11548" s="81"/>
      <c r="L11548" s="81"/>
      <c r="M11548" s="81"/>
      <c r="N11548" s="81"/>
    </row>
    <row r="11549" spans="1:14" ht="14.25" customHeight="1" x14ac:dyDescent="0.25">
      <c r="A11549" s="243"/>
      <c r="B11549" s="243"/>
      <c r="C11549" s="504"/>
      <c r="D11549" s="243"/>
      <c r="E11549" s="243"/>
      <c r="F11549" s="243"/>
      <c r="G11549" s="81"/>
      <c r="H11549" s="81"/>
      <c r="I11549" s="81"/>
      <c r="J11549" s="81"/>
      <c r="K11549" s="81"/>
      <c r="L11549" s="81"/>
      <c r="M11549" s="81"/>
      <c r="N11549" s="81"/>
    </row>
    <row r="11550" spans="1:14" ht="14.25" customHeight="1" x14ac:dyDescent="0.25">
      <c r="A11550" s="243"/>
      <c r="B11550" s="243"/>
      <c r="C11550" s="504"/>
      <c r="D11550" s="243"/>
      <c r="E11550" s="243"/>
      <c r="F11550" s="243"/>
      <c r="G11550" s="81"/>
      <c r="H11550" s="81"/>
      <c r="I11550" s="81"/>
      <c r="J11550" s="81"/>
      <c r="K11550" s="81"/>
      <c r="L11550" s="81"/>
      <c r="M11550" s="81"/>
      <c r="N11550" s="81"/>
    </row>
    <row r="11551" spans="1:14" ht="14.25" customHeight="1" x14ac:dyDescent="0.25">
      <c r="A11551" s="243"/>
      <c r="B11551" s="243"/>
      <c r="C11551" s="504"/>
      <c r="D11551" s="243"/>
      <c r="E11551" s="243"/>
      <c r="F11551" s="243"/>
      <c r="G11551" s="81"/>
      <c r="H11551" s="81"/>
      <c r="I11551" s="81"/>
      <c r="J11551" s="81"/>
      <c r="K11551" s="81"/>
      <c r="L11551" s="81"/>
      <c r="M11551" s="81"/>
      <c r="N11551" s="81"/>
    </row>
    <row r="11552" spans="1:14" ht="14.25" customHeight="1" x14ac:dyDescent="0.25">
      <c r="A11552" s="243"/>
      <c r="B11552" s="243"/>
      <c r="C11552" s="504"/>
      <c r="D11552" s="243"/>
      <c r="E11552" s="243"/>
      <c r="F11552" s="243"/>
      <c r="G11552" s="81"/>
      <c r="H11552" s="81"/>
      <c r="I11552" s="81"/>
      <c r="J11552" s="81"/>
      <c r="K11552" s="81"/>
      <c r="L11552" s="81"/>
      <c r="M11552" s="81"/>
      <c r="N11552" s="81"/>
    </row>
    <row r="11553" spans="1:14" ht="14.25" customHeight="1" x14ac:dyDescent="0.25">
      <c r="A11553" s="243"/>
      <c r="B11553" s="243"/>
      <c r="C11553" s="504"/>
      <c r="D11553" s="243"/>
      <c r="E11553" s="243"/>
      <c r="F11553" s="243"/>
      <c r="G11553" s="81"/>
      <c r="H11553" s="81"/>
      <c r="I11553" s="81"/>
      <c r="J11553" s="81"/>
      <c r="K11553" s="81"/>
      <c r="L11553" s="81"/>
      <c r="M11553" s="81"/>
      <c r="N11553" s="81"/>
    </row>
    <row r="11554" spans="1:14" ht="14.25" customHeight="1" x14ac:dyDescent="0.25">
      <c r="A11554" s="243"/>
      <c r="B11554" s="243"/>
      <c r="C11554" s="504"/>
      <c r="D11554" s="243"/>
      <c r="E11554" s="243"/>
      <c r="F11554" s="243"/>
      <c r="G11554" s="81"/>
      <c r="H11554" s="81"/>
      <c r="I11554" s="81"/>
      <c r="J11554" s="81"/>
      <c r="K11554" s="81"/>
      <c r="L11554" s="81"/>
      <c r="M11554" s="81"/>
      <c r="N11554" s="81"/>
    </row>
    <row r="11555" spans="1:14" ht="14.25" customHeight="1" x14ac:dyDescent="0.25">
      <c r="A11555" s="243"/>
      <c r="B11555" s="243"/>
      <c r="C11555" s="504"/>
      <c r="D11555" s="243"/>
      <c r="E11555" s="243"/>
      <c r="F11555" s="243"/>
      <c r="G11555" s="81"/>
      <c r="H11555" s="81"/>
      <c r="I11555" s="81"/>
      <c r="J11555" s="81"/>
      <c r="K11555" s="81"/>
      <c r="L11555" s="81"/>
      <c r="M11555" s="81"/>
      <c r="N11555" s="81"/>
    </row>
    <row r="11556" spans="1:14" ht="14.25" customHeight="1" x14ac:dyDescent="0.25">
      <c r="A11556" s="243"/>
      <c r="B11556" s="243"/>
      <c r="C11556" s="504"/>
      <c r="D11556" s="243"/>
      <c r="E11556" s="243"/>
      <c r="F11556" s="243"/>
      <c r="G11556" s="81"/>
      <c r="H11556" s="81"/>
      <c r="I11556" s="81"/>
      <c r="J11556" s="81"/>
      <c r="K11556" s="81"/>
      <c r="L11556" s="81"/>
      <c r="M11556" s="81"/>
      <c r="N11556" s="81"/>
    </row>
    <row r="11557" spans="1:14" ht="14.1" customHeight="1" x14ac:dyDescent="0.25">
      <c r="A11557" s="243"/>
      <c r="B11557" s="243"/>
      <c r="C11557" s="504"/>
      <c r="D11557" s="243"/>
      <c r="E11557" s="243"/>
      <c r="F11557" s="243"/>
      <c r="G11557" s="81"/>
      <c r="H11557" s="81"/>
      <c r="I11557" s="81"/>
      <c r="J11557" s="81"/>
      <c r="K11557" s="81"/>
      <c r="L11557" s="81"/>
      <c r="M11557" s="81"/>
      <c r="N11557" s="81"/>
    </row>
    <row r="11558" spans="1:14" ht="14.25" customHeight="1" x14ac:dyDescent="0.25">
      <c r="A11558" s="243"/>
      <c r="B11558" s="243"/>
      <c r="C11558" s="504"/>
      <c r="D11558" s="243"/>
      <c r="E11558" s="243"/>
      <c r="F11558" s="243"/>
      <c r="G11558" s="81"/>
      <c r="H11558" s="81"/>
      <c r="I11558" s="81"/>
      <c r="J11558" s="81"/>
      <c r="K11558" s="81"/>
      <c r="L11558" s="81"/>
      <c r="M11558" s="81"/>
      <c r="N11558" s="81"/>
    </row>
    <row r="11559" spans="1:14" ht="14.25" customHeight="1" thickBot="1" x14ac:dyDescent="0.3">
      <c r="A11559" s="243"/>
      <c r="B11559" s="243"/>
      <c r="C11559" s="504"/>
      <c r="D11559" s="243"/>
      <c r="E11559" s="243"/>
      <c r="F11559" s="243"/>
      <c r="G11559" s="81"/>
      <c r="H11559" s="81"/>
      <c r="I11559" s="81"/>
      <c r="J11559" s="81"/>
      <c r="K11559" s="81"/>
      <c r="L11559" s="81"/>
      <c r="M11559" s="81"/>
      <c r="N11559" s="81"/>
    </row>
    <row r="11560" spans="1:14" ht="42.95" customHeight="1" x14ac:dyDescent="0.25">
      <c r="A11560" s="258"/>
      <c r="B11560" s="259"/>
      <c r="C11560" s="260"/>
      <c r="D11560" s="261"/>
      <c r="E11560" s="261"/>
      <c r="F11560" s="262"/>
      <c r="G11560" s="81"/>
      <c r="H11560" s="81"/>
      <c r="I11560" s="81"/>
      <c r="J11560" s="81"/>
      <c r="K11560" s="81"/>
      <c r="L11560" s="81"/>
      <c r="M11560" s="81"/>
      <c r="N11560" s="81"/>
    </row>
    <row r="11561" spans="1:14" ht="14.25" customHeight="1" x14ac:dyDescent="0.25">
      <c r="A11561" s="621"/>
      <c r="B11561" s="629"/>
      <c r="C11561" s="629"/>
      <c r="D11561" s="629"/>
      <c r="E11561" s="629"/>
      <c r="F11561" s="630"/>
      <c r="G11561" s="81"/>
      <c r="H11561" s="81"/>
      <c r="I11561" s="81"/>
      <c r="J11561" s="81"/>
      <c r="K11561" s="81"/>
      <c r="L11561" s="81"/>
      <c r="M11561" s="81"/>
      <c r="N11561" s="81"/>
    </row>
    <row r="11562" spans="1:14" ht="14.25" customHeight="1" x14ac:dyDescent="0.25">
      <c r="A11562" s="614" t="s">
        <v>561</v>
      </c>
      <c r="B11562" s="629"/>
      <c r="C11562" s="629"/>
      <c r="D11562" s="629"/>
      <c r="E11562" s="629"/>
      <c r="F11562" s="630"/>
      <c r="G11562" s="81"/>
      <c r="H11562" s="81"/>
      <c r="I11562" s="81"/>
      <c r="J11562" s="81"/>
      <c r="K11562" s="81"/>
      <c r="L11562" s="81"/>
      <c r="M11562" s="81"/>
      <c r="N11562" s="81"/>
    </row>
    <row r="11563" spans="1:14" ht="14.25" customHeight="1" thickBot="1" x14ac:dyDescent="0.3">
      <c r="A11563" s="617"/>
      <c r="B11563" s="631"/>
      <c r="C11563" s="631"/>
      <c r="D11563" s="631"/>
      <c r="E11563" s="631"/>
      <c r="F11563" s="632"/>
      <c r="G11563" s="81"/>
      <c r="H11563" s="81"/>
      <c r="I11563" s="81"/>
      <c r="J11563" s="81"/>
      <c r="K11563" s="81"/>
      <c r="L11563" s="81"/>
      <c r="M11563" s="81"/>
      <c r="N11563" s="81"/>
    </row>
    <row r="11564" spans="1:14" ht="14.25" customHeight="1" x14ac:dyDescent="0.25">
      <c r="A11564" s="192"/>
      <c r="B11564" s="192"/>
      <c r="C11564" s="194"/>
      <c r="D11564" s="194"/>
      <c r="E11564" s="194"/>
      <c r="F11564" s="194"/>
      <c r="G11564" s="81"/>
      <c r="H11564" s="81"/>
      <c r="I11564" s="81"/>
      <c r="J11564" s="81"/>
      <c r="K11564" s="81"/>
      <c r="L11564" s="81"/>
      <c r="M11564" s="81"/>
      <c r="N11564" s="81"/>
    </row>
    <row r="11565" spans="1:14" ht="14.25" customHeight="1" x14ac:dyDescent="0.25">
      <c r="A11565" s="473" t="s">
        <v>47</v>
      </c>
      <c r="B11565" s="620" t="s">
        <v>1195</v>
      </c>
      <c r="C11565" s="629"/>
      <c r="D11565" s="629"/>
      <c r="E11565" s="629"/>
      <c r="F11565" s="629"/>
      <c r="G11565" s="81"/>
      <c r="H11565" s="81"/>
      <c r="I11565" s="81"/>
      <c r="J11565" s="81"/>
      <c r="K11565" s="81"/>
      <c r="L11565" s="81"/>
      <c r="M11565" s="81"/>
      <c r="N11565" s="81"/>
    </row>
    <row r="11566" spans="1:14" ht="15.75" x14ac:dyDescent="0.25">
      <c r="A11566" s="191"/>
      <c r="B11566" s="191"/>
      <c r="C11566" s="191"/>
      <c r="D11566" s="191"/>
      <c r="E11566" s="191"/>
      <c r="F11566" s="191"/>
      <c r="G11566" s="81"/>
      <c r="H11566" s="81"/>
      <c r="I11566" s="81"/>
      <c r="J11566" s="81"/>
      <c r="K11566" s="81"/>
      <c r="L11566" s="81"/>
      <c r="M11566" s="81"/>
      <c r="N11566" s="81"/>
    </row>
    <row r="11567" spans="1:14" ht="15.75" x14ac:dyDescent="0.25">
      <c r="A11567" s="192" t="s">
        <v>49</v>
      </c>
      <c r="B11567" s="193" t="s">
        <v>99</v>
      </c>
      <c r="C11567" s="194"/>
      <c r="D11567" s="194"/>
      <c r="E11567" s="194"/>
      <c r="F11567" s="195"/>
      <c r="G11567" s="81"/>
      <c r="H11567" s="81"/>
      <c r="I11567" s="81"/>
      <c r="J11567" s="81"/>
      <c r="K11567" s="81"/>
      <c r="L11567" s="81"/>
      <c r="M11567" s="81"/>
      <c r="N11567" s="81"/>
    </row>
    <row r="11568" spans="1:14" ht="15.75" x14ac:dyDescent="0.25">
      <c r="A11568" s="192"/>
      <c r="B11568" s="196"/>
      <c r="C11568" s="194"/>
      <c r="D11568" s="194"/>
      <c r="E11568" s="194"/>
      <c r="F11568" s="195"/>
      <c r="G11568" s="81"/>
      <c r="H11568" s="81"/>
      <c r="I11568" s="81"/>
      <c r="J11568" s="81"/>
      <c r="K11568" s="81"/>
      <c r="L11568" s="81"/>
      <c r="M11568" s="81"/>
      <c r="N11568" s="81"/>
    </row>
    <row r="11569" spans="1:14" s="257" customFormat="1" ht="15.75" x14ac:dyDescent="0.25">
      <c r="A11569" s="197" t="s">
        <v>562</v>
      </c>
      <c r="B11569" s="198"/>
      <c r="C11569" s="193"/>
      <c r="D11569" s="193"/>
      <c r="E11569" s="193"/>
      <c r="F11569" s="193"/>
      <c r="G11569" s="81"/>
      <c r="H11569" s="81"/>
      <c r="I11569" s="81"/>
      <c r="J11569" s="81"/>
      <c r="K11569" s="81"/>
      <c r="L11569" s="81"/>
      <c r="M11569" s="81"/>
      <c r="N11569" s="81"/>
    </row>
    <row r="11570" spans="1:14" ht="14.25" customHeight="1" x14ac:dyDescent="0.25">
      <c r="A11570" s="199" t="s">
        <v>563</v>
      </c>
      <c r="B11570" s="474" t="s">
        <v>564</v>
      </c>
      <c r="C11570" s="474" t="s">
        <v>565</v>
      </c>
      <c r="D11570" s="474" t="s">
        <v>566</v>
      </c>
      <c r="E11570" s="474" t="s">
        <v>567</v>
      </c>
      <c r="F11570" s="474" t="s">
        <v>568</v>
      </c>
      <c r="G11570" s="81"/>
      <c r="H11570" s="81"/>
      <c r="I11570" s="81"/>
      <c r="J11570" s="81"/>
      <c r="K11570" s="81"/>
      <c r="L11570" s="81"/>
      <c r="M11570" s="81"/>
      <c r="N11570" s="81"/>
    </row>
    <row r="11571" spans="1:14" ht="14.25" customHeight="1" x14ac:dyDescent="0.25">
      <c r="A11571" s="475" t="s">
        <v>1195</v>
      </c>
      <c r="B11571" s="476" t="s">
        <v>99</v>
      </c>
      <c r="C11571" s="477">
        <v>53508943</v>
      </c>
      <c r="D11571" s="478">
        <v>1</v>
      </c>
      <c r="E11571" s="479"/>
      <c r="F11571" s="477">
        <f t="shared" ref="F11571:F11573" si="570">C11571*(D11571+(D11571*E11571))</f>
        <v>53508943</v>
      </c>
      <c r="G11571" s="81"/>
      <c r="H11571" s="81"/>
      <c r="I11571" s="81"/>
      <c r="J11571" s="81"/>
      <c r="K11571" s="81"/>
      <c r="L11571" s="81"/>
      <c r="M11571" s="81"/>
      <c r="N11571" s="81"/>
    </row>
    <row r="11572" spans="1:14" ht="14.25" customHeight="1" x14ac:dyDescent="0.25">
      <c r="A11572" s="475"/>
      <c r="B11572" s="476"/>
      <c r="C11572" s="477"/>
      <c r="D11572" s="481"/>
      <c r="E11572" s="479"/>
      <c r="F11572" s="477">
        <f t="shared" si="570"/>
        <v>0</v>
      </c>
      <c r="G11572" s="81"/>
      <c r="H11572" s="81"/>
      <c r="I11572" s="81"/>
      <c r="J11572" s="81"/>
      <c r="K11572" s="81"/>
      <c r="L11572" s="81"/>
      <c r="M11572" s="81"/>
      <c r="N11572" s="81"/>
    </row>
    <row r="11573" spans="1:14" ht="14.25" customHeight="1" x14ac:dyDescent="0.25">
      <c r="A11573" s="475"/>
      <c r="B11573" s="476"/>
      <c r="C11573" s="477"/>
      <c r="D11573" s="481"/>
      <c r="E11573" s="479"/>
      <c r="F11573" s="477">
        <f t="shared" si="570"/>
        <v>0</v>
      </c>
      <c r="G11573" s="81"/>
      <c r="H11573" s="81"/>
      <c r="I11573" s="81"/>
      <c r="J11573" s="81"/>
      <c r="K11573" s="81"/>
      <c r="L11573" s="81"/>
      <c r="M11573" s="81"/>
      <c r="N11573" s="81"/>
    </row>
    <row r="11574" spans="1:14" ht="14.25" customHeight="1" x14ac:dyDescent="0.25">
      <c r="A11574" s="475"/>
      <c r="B11574" s="476"/>
      <c r="C11574" s="477"/>
      <c r="D11574" s="478"/>
      <c r="E11574" s="479"/>
      <c r="F11574" s="477"/>
      <c r="G11574" s="81"/>
      <c r="H11574" s="81"/>
      <c r="I11574" s="81"/>
      <c r="J11574" s="81"/>
      <c r="K11574" s="81"/>
      <c r="L11574" s="81"/>
      <c r="M11574" s="81"/>
      <c r="N11574" s="81"/>
    </row>
    <row r="11575" spans="1:14" ht="14.25" customHeight="1" x14ac:dyDescent="0.25">
      <c r="A11575" s="475"/>
      <c r="B11575" s="476"/>
      <c r="C11575" s="477"/>
      <c r="D11575" s="478"/>
      <c r="E11575" s="479"/>
      <c r="F11575" s="477"/>
      <c r="G11575" s="81"/>
      <c r="H11575" s="81"/>
      <c r="I11575" s="81"/>
      <c r="J11575" s="81"/>
      <c r="K11575" s="81"/>
      <c r="L11575" s="81"/>
      <c r="M11575" s="81"/>
      <c r="N11575" s="81"/>
    </row>
    <row r="11576" spans="1:14" ht="14.25" customHeight="1" x14ac:dyDescent="0.25">
      <c r="A11576" s="475"/>
      <c r="B11576" s="476"/>
      <c r="C11576" s="477"/>
      <c r="D11576" s="478"/>
      <c r="E11576" s="479"/>
      <c r="F11576" s="477"/>
      <c r="G11576" s="81"/>
      <c r="H11576" s="81"/>
      <c r="I11576" s="81"/>
      <c r="J11576" s="81"/>
      <c r="K11576" s="81"/>
      <c r="L11576" s="81"/>
      <c r="M11576" s="81"/>
      <c r="N11576" s="81"/>
    </row>
    <row r="11577" spans="1:14" ht="14.25" customHeight="1" x14ac:dyDescent="0.25">
      <c r="A11577" s="475"/>
      <c r="B11577" s="476"/>
      <c r="C11577" s="483"/>
      <c r="D11577" s="484"/>
      <c r="E11577" s="485"/>
      <c r="F11577" s="483"/>
      <c r="G11577" s="81"/>
      <c r="H11577" s="81"/>
      <c r="I11577" s="81"/>
      <c r="J11577" s="81"/>
      <c r="K11577" s="81"/>
      <c r="L11577" s="81"/>
      <c r="M11577" s="81"/>
      <c r="N11577" s="81"/>
    </row>
    <row r="11578" spans="1:14" ht="14.25" customHeight="1" x14ac:dyDescent="0.25">
      <c r="A11578" s="199" t="s">
        <v>548</v>
      </c>
      <c r="B11578" s="199"/>
      <c r="C11578" s="486"/>
      <c r="D11578" s="487"/>
      <c r="E11578" s="488"/>
      <c r="F11578" s="489">
        <f>SUM(F11571:F11577)</f>
        <v>53508943</v>
      </c>
      <c r="G11578" s="81"/>
      <c r="H11578" s="81"/>
      <c r="I11578" s="81"/>
      <c r="J11578" s="81"/>
      <c r="K11578" s="81"/>
      <c r="L11578" s="81"/>
      <c r="M11578" s="81"/>
      <c r="N11578" s="81"/>
    </row>
    <row r="11579" spans="1:14" ht="14.25" customHeight="1" x14ac:dyDescent="0.25">
      <c r="A11579" s="192"/>
      <c r="B11579" s="192"/>
      <c r="C11579" s="215"/>
      <c r="D11579" s="215"/>
      <c r="E11579" s="216"/>
      <c r="F11579" s="215"/>
      <c r="G11579" s="81"/>
      <c r="H11579" s="81"/>
      <c r="I11579" s="81"/>
      <c r="J11579" s="81"/>
      <c r="K11579" s="81"/>
      <c r="L11579" s="81"/>
      <c r="M11579" s="81"/>
      <c r="N11579" s="81"/>
    </row>
    <row r="11580" spans="1:14" ht="14.25" customHeight="1" x14ac:dyDescent="0.25">
      <c r="A11580" s="198" t="s">
        <v>573</v>
      </c>
      <c r="B11580" s="198"/>
      <c r="C11580" s="193"/>
      <c r="D11580" s="193"/>
      <c r="E11580" s="193"/>
      <c r="F11580" s="193"/>
      <c r="G11580" s="81"/>
      <c r="H11580" s="81"/>
      <c r="I11580" s="81"/>
      <c r="J11580" s="81"/>
      <c r="K11580" s="81"/>
      <c r="L11580" s="81"/>
      <c r="M11580" s="81"/>
      <c r="N11580" s="81"/>
    </row>
    <row r="11581" spans="1:14" ht="14.25" customHeight="1" x14ac:dyDescent="0.25">
      <c r="A11581" s="585" t="s">
        <v>563</v>
      </c>
      <c r="B11581" s="586"/>
      <c r="C11581" s="587"/>
      <c r="D11581" s="474" t="s">
        <v>574</v>
      </c>
      <c r="E11581" s="474" t="s">
        <v>575</v>
      </c>
      <c r="F11581" s="474" t="s">
        <v>568</v>
      </c>
      <c r="G11581" s="81"/>
      <c r="H11581" s="81"/>
      <c r="I11581" s="81"/>
      <c r="J11581" s="81"/>
      <c r="K11581" s="81"/>
      <c r="L11581" s="81"/>
      <c r="M11581" s="81"/>
      <c r="N11581" s="81"/>
    </row>
    <row r="11582" spans="1:14" ht="14.25" customHeight="1" x14ac:dyDescent="0.25">
      <c r="A11582" s="588" t="s">
        <v>577</v>
      </c>
      <c r="B11582" s="586"/>
      <c r="C11582" s="587"/>
      <c r="D11582" s="490"/>
      <c r="E11582" s="484"/>
      <c r="F11582" s="483">
        <f>+F11596*5%</f>
        <v>398431.55000000005</v>
      </c>
      <c r="G11582" s="81"/>
      <c r="H11582" s="81"/>
      <c r="I11582" s="81"/>
      <c r="J11582" s="81"/>
      <c r="K11582" s="81"/>
      <c r="L11582" s="81"/>
      <c r="M11582" s="81"/>
      <c r="N11582" s="81"/>
    </row>
    <row r="11583" spans="1:14" ht="14.25" customHeight="1" x14ac:dyDescent="0.25">
      <c r="A11583" s="588"/>
      <c r="B11583" s="586"/>
      <c r="C11583" s="587"/>
      <c r="D11583" s="505"/>
      <c r="E11583" s="484"/>
      <c r="F11583" s="483"/>
      <c r="G11583" s="81"/>
      <c r="H11583" s="81"/>
      <c r="I11583" s="81"/>
      <c r="J11583" s="81"/>
      <c r="K11583" s="81"/>
      <c r="L11583" s="81"/>
      <c r="M11583" s="81"/>
      <c r="N11583" s="81"/>
    </row>
    <row r="11584" spans="1:14" ht="14.25" customHeight="1" x14ac:dyDescent="0.25">
      <c r="A11584" s="588"/>
      <c r="B11584" s="586"/>
      <c r="C11584" s="587"/>
      <c r="D11584" s="505"/>
      <c r="E11584" s="484"/>
      <c r="F11584" s="483"/>
      <c r="G11584" s="81"/>
      <c r="H11584" s="81"/>
      <c r="I11584" s="81"/>
      <c r="J11584" s="81"/>
      <c r="K11584" s="81"/>
      <c r="L11584" s="81"/>
      <c r="M11584" s="81"/>
      <c r="N11584" s="81"/>
    </row>
    <row r="11585" spans="1:14" ht="14.25" customHeight="1" x14ac:dyDescent="0.25">
      <c r="A11585" s="588"/>
      <c r="B11585" s="586"/>
      <c r="C11585" s="587"/>
      <c r="D11585" s="505"/>
      <c r="E11585" s="484"/>
      <c r="F11585" s="483"/>
      <c r="G11585" s="81"/>
      <c r="H11585" s="81"/>
      <c r="I11585" s="81"/>
      <c r="J11585" s="81"/>
      <c r="K11585" s="81"/>
      <c r="L11585" s="81"/>
      <c r="M11585" s="81"/>
      <c r="N11585" s="81"/>
    </row>
    <row r="11586" spans="1:14" ht="14.25" customHeight="1" x14ac:dyDescent="0.25">
      <c r="A11586" s="589"/>
      <c r="B11586" s="586"/>
      <c r="C11586" s="587"/>
      <c r="D11586" s="491"/>
      <c r="E11586" s="484"/>
      <c r="F11586" s="483"/>
      <c r="G11586" s="81"/>
      <c r="H11586" s="81"/>
      <c r="I11586" s="81"/>
      <c r="J11586" s="81"/>
      <c r="K11586" s="81"/>
      <c r="L11586" s="81"/>
      <c r="M11586" s="81"/>
      <c r="N11586" s="81"/>
    </row>
    <row r="11587" spans="1:14" ht="14.25" customHeight="1" x14ac:dyDescent="0.25">
      <c r="A11587" s="585" t="s">
        <v>548</v>
      </c>
      <c r="B11587" s="586"/>
      <c r="C11587" s="587"/>
      <c r="D11587" s="487"/>
      <c r="E11587" s="487"/>
      <c r="F11587" s="489">
        <f>SUM(F11582:F11586)</f>
        <v>398431.55000000005</v>
      </c>
      <c r="G11587" s="81"/>
      <c r="H11587" s="81"/>
      <c r="I11587" s="81"/>
      <c r="J11587" s="81"/>
      <c r="K11587" s="81"/>
      <c r="L11587" s="81"/>
      <c r="M11587" s="81"/>
      <c r="N11587" s="81"/>
    </row>
    <row r="11588" spans="1:14" ht="14.25" customHeight="1" x14ac:dyDescent="0.25">
      <c r="A11588" s="192"/>
      <c r="B11588" s="192"/>
      <c r="C11588" s="194"/>
      <c r="D11588" s="215"/>
      <c r="E11588" s="215"/>
      <c r="F11588" s="215"/>
      <c r="G11588" s="81"/>
      <c r="H11588" s="81"/>
      <c r="I11588" s="81"/>
      <c r="J11588" s="81"/>
      <c r="K11588" s="81"/>
      <c r="L11588" s="81"/>
      <c r="M11588" s="81"/>
      <c r="N11588" s="81"/>
    </row>
    <row r="11589" spans="1:14" ht="14.25" customHeight="1" x14ac:dyDescent="0.25">
      <c r="A11589" s="198" t="s">
        <v>578</v>
      </c>
      <c r="B11589" s="198"/>
      <c r="C11589" s="193"/>
      <c r="D11589" s="223"/>
      <c r="E11589" s="223"/>
      <c r="F11589" s="223"/>
      <c r="G11589" s="81"/>
      <c r="H11589" s="81"/>
      <c r="I11589" s="81"/>
      <c r="J11589" s="81"/>
      <c r="K11589" s="81"/>
      <c r="L11589" s="81"/>
      <c r="M11589" s="81"/>
      <c r="N11589" s="81"/>
    </row>
    <row r="11590" spans="1:14" ht="14.25" customHeight="1" x14ac:dyDescent="0.25">
      <c r="A11590" s="224" t="s">
        <v>563</v>
      </c>
      <c r="B11590" s="492" t="s">
        <v>579</v>
      </c>
      <c r="C11590" s="492" t="s">
        <v>580</v>
      </c>
      <c r="D11590" s="493" t="s">
        <v>581</v>
      </c>
      <c r="E11590" s="493" t="s">
        <v>575</v>
      </c>
      <c r="F11590" s="493" t="s">
        <v>568</v>
      </c>
      <c r="G11590" s="81"/>
      <c r="H11590" s="81"/>
      <c r="I11590" s="81"/>
      <c r="J11590" s="81"/>
      <c r="K11590" s="81"/>
      <c r="L11590" s="81"/>
      <c r="M11590" s="81"/>
      <c r="N11590" s="81"/>
    </row>
    <row r="11591" spans="1:14" ht="14.25" customHeight="1" x14ac:dyDescent="0.25">
      <c r="A11591" s="494" t="s">
        <v>916</v>
      </c>
      <c r="B11591" s="495">
        <v>1</v>
      </c>
      <c r="C11591" s="477">
        <v>35956.800000000003</v>
      </c>
      <c r="D11591" s="477">
        <f t="shared" ref="D11591:D11592" si="571">+C11591*1.7</f>
        <v>61126.560000000005</v>
      </c>
      <c r="E11591" s="484">
        <v>0.02</v>
      </c>
      <c r="F11591" s="483">
        <f t="shared" ref="F11591:F11592" si="572">+B11591*(D11591)/E11591</f>
        <v>3056328</v>
      </c>
      <c r="G11591" s="81"/>
      <c r="H11591" s="81"/>
      <c r="I11591" s="81"/>
      <c r="J11591" s="81"/>
      <c r="K11591" s="81"/>
      <c r="L11591" s="81"/>
      <c r="M11591" s="81"/>
      <c r="N11591" s="81"/>
    </row>
    <row r="11592" spans="1:14" ht="14.25" customHeight="1" x14ac:dyDescent="0.25">
      <c r="A11592" s="494" t="s">
        <v>917</v>
      </c>
      <c r="B11592" s="495">
        <v>1</v>
      </c>
      <c r="C11592" s="477">
        <v>57791.8</v>
      </c>
      <c r="D11592" s="477">
        <f t="shared" si="571"/>
        <v>98246.06</v>
      </c>
      <c r="E11592" s="484">
        <f>E11591</f>
        <v>0.02</v>
      </c>
      <c r="F11592" s="483">
        <f t="shared" si="572"/>
        <v>4912303</v>
      </c>
      <c r="G11592" s="81"/>
      <c r="H11592" s="81"/>
      <c r="I11592" s="81"/>
      <c r="J11592" s="81"/>
      <c r="K11592" s="81"/>
      <c r="L11592" s="81"/>
      <c r="M11592" s="81"/>
      <c r="N11592" s="81"/>
    </row>
    <row r="11593" spans="1:14" ht="14.25" customHeight="1" x14ac:dyDescent="0.25">
      <c r="A11593" s="494"/>
      <c r="B11593" s="495"/>
      <c r="C11593" s="477"/>
      <c r="D11593" s="477"/>
      <c r="E11593" s="484"/>
      <c r="F11593" s="483"/>
      <c r="G11593" s="81"/>
      <c r="H11593" s="81"/>
      <c r="I11593" s="81"/>
      <c r="J11593" s="81"/>
      <c r="K11593" s="81"/>
      <c r="L11593" s="81"/>
      <c r="M11593" s="81"/>
      <c r="N11593" s="81"/>
    </row>
    <row r="11594" spans="1:14" ht="14.25" customHeight="1" x14ac:dyDescent="0.25">
      <c r="A11594" s="494"/>
      <c r="B11594" s="495"/>
      <c r="C11594" s="477"/>
      <c r="D11594" s="477"/>
      <c r="E11594" s="484"/>
      <c r="F11594" s="483"/>
      <c r="G11594" s="81"/>
      <c r="H11594" s="81"/>
      <c r="I11594" s="81"/>
      <c r="J11594" s="81"/>
      <c r="K11594" s="81"/>
      <c r="L11594" s="81"/>
      <c r="M11594" s="81"/>
      <c r="N11594" s="81"/>
    </row>
    <row r="11595" spans="1:14" ht="14.25" customHeight="1" x14ac:dyDescent="0.25">
      <c r="A11595" s="494"/>
      <c r="B11595" s="495"/>
      <c r="C11595" s="477"/>
      <c r="D11595" s="477"/>
      <c r="E11595" s="484"/>
      <c r="F11595" s="483"/>
      <c r="G11595" s="81"/>
      <c r="H11595" s="81"/>
      <c r="I11595" s="81"/>
      <c r="J11595" s="81"/>
      <c r="K11595" s="81"/>
      <c r="L11595" s="81"/>
      <c r="M11595" s="81"/>
      <c r="N11595" s="81"/>
    </row>
    <row r="11596" spans="1:14" ht="14.25" customHeight="1" x14ac:dyDescent="0.25">
      <c r="A11596" s="199" t="s">
        <v>548</v>
      </c>
      <c r="B11596" s="497"/>
      <c r="C11596" s="487"/>
      <c r="D11596" s="487"/>
      <c r="E11596" s="487"/>
      <c r="F11596" s="489">
        <f>SUM(F11591:F11594)</f>
        <v>7968631</v>
      </c>
      <c r="G11596" s="81"/>
      <c r="H11596" s="117"/>
      <c r="I11596" s="81"/>
      <c r="J11596" s="81"/>
      <c r="K11596" s="81"/>
      <c r="L11596" s="81"/>
      <c r="M11596" s="81"/>
      <c r="N11596" s="81"/>
    </row>
    <row r="11597" spans="1:14" ht="14.25" customHeight="1" x14ac:dyDescent="0.25">
      <c r="A11597" s="198"/>
      <c r="B11597" s="231"/>
      <c r="C11597" s="223"/>
      <c r="D11597" s="223"/>
      <c r="E11597" s="223"/>
      <c r="F11597" s="223"/>
      <c r="G11597" s="81"/>
      <c r="H11597" s="81"/>
      <c r="I11597" s="81"/>
      <c r="J11597" s="81"/>
      <c r="K11597" s="81"/>
      <c r="L11597" s="81"/>
      <c r="M11597" s="81"/>
      <c r="N11597" s="81"/>
    </row>
    <row r="11598" spans="1:14" ht="14.25" customHeight="1" x14ac:dyDescent="0.25">
      <c r="A11598" s="197" t="s">
        <v>583</v>
      </c>
      <c r="B11598" s="198"/>
      <c r="C11598" s="193"/>
      <c r="D11598" s="193"/>
      <c r="E11598" s="193" t="s">
        <v>584</v>
      </c>
      <c r="F11598" s="193"/>
      <c r="G11598" s="81"/>
      <c r="H11598" s="81"/>
      <c r="I11598" s="81"/>
      <c r="J11598" s="81"/>
      <c r="K11598" s="81"/>
      <c r="L11598" s="81"/>
      <c r="M11598" s="81"/>
      <c r="N11598" s="81"/>
    </row>
    <row r="11599" spans="1:14" ht="14.25" customHeight="1" x14ac:dyDescent="0.25">
      <c r="A11599" s="199" t="s">
        <v>563</v>
      </c>
      <c r="B11599" s="474" t="s">
        <v>564</v>
      </c>
      <c r="C11599" s="474" t="s">
        <v>585</v>
      </c>
      <c r="D11599" s="474" t="s">
        <v>586</v>
      </c>
      <c r="E11599" s="492" t="s">
        <v>587</v>
      </c>
      <c r="F11599" s="474" t="s">
        <v>568</v>
      </c>
      <c r="G11599" s="81"/>
      <c r="H11599" s="81"/>
      <c r="I11599" s="81"/>
      <c r="J11599" s="81"/>
      <c r="K11599" s="81"/>
      <c r="L11599" s="81"/>
      <c r="M11599" s="81"/>
      <c r="N11599" s="81"/>
    </row>
    <row r="11600" spans="1:14" ht="14.25" customHeight="1" x14ac:dyDescent="0.25">
      <c r="A11600" s="480"/>
      <c r="B11600" s="476"/>
      <c r="C11600" s="477"/>
      <c r="D11600" s="498"/>
      <c r="E11600" s="484"/>
      <c r="F11600" s="486">
        <f>+C11600*D11600*E11600</f>
        <v>0</v>
      </c>
      <c r="G11600" s="81"/>
      <c r="H11600" s="81"/>
      <c r="I11600" s="81"/>
      <c r="J11600" s="81"/>
      <c r="K11600" s="81"/>
      <c r="L11600" s="81"/>
      <c r="M11600" s="81"/>
      <c r="N11600" s="81"/>
    </row>
    <row r="11601" spans="1:14" ht="14.25" customHeight="1" x14ac:dyDescent="0.25">
      <c r="A11601" s="480"/>
      <c r="B11601" s="476"/>
      <c r="C11601" s="484"/>
      <c r="D11601" s="484"/>
      <c r="E11601" s="485"/>
      <c r="F11601" s="486"/>
      <c r="G11601" s="81"/>
      <c r="H11601" s="81"/>
      <c r="I11601" s="81"/>
      <c r="J11601" s="81"/>
      <c r="K11601" s="81"/>
      <c r="L11601" s="81"/>
      <c r="M11601" s="81"/>
      <c r="N11601" s="81"/>
    </row>
    <row r="11602" spans="1:14" ht="14.25" customHeight="1" x14ac:dyDescent="0.25">
      <c r="A11602" s="199" t="s">
        <v>548</v>
      </c>
      <c r="B11602" s="474"/>
      <c r="C11602" s="487"/>
      <c r="D11602" s="487"/>
      <c r="E11602" s="488"/>
      <c r="F11602" s="489">
        <f>SUM(F11600:F11601)</f>
        <v>0</v>
      </c>
      <c r="G11602" s="81"/>
      <c r="H11602" s="81"/>
      <c r="I11602" s="81"/>
      <c r="J11602" s="81"/>
      <c r="K11602" s="81"/>
      <c r="L11602" s="81"/>
      <c r="M11602" s="81"/>
      <c r="N11602" s="81"/>
    </row>
    <row r="11603" spans="1:14" ht="14.25" customHeight="1" x14ac:dyDescent="0.25">
      <c r="A11603" s="192"/>
      <c r="B11603" s="194"/>
      <c r="C11603" s="215"/>
      <c r="D11603" s="215"/>
      <c r="E11603" s="216"/>
      <c r="F11603" s="215"/>
      <c r="G11603" s="81"/>
      <c r="H11603" s="81"/>
      <c r="I11603" s="81"/>
      <c r="J11603" s="81"/>
      <c r="K11603" s="81"/>
      <c r="L11603" s="81"/>
      <c r="M11603" s="81"/>
      <c r="N11603" s="81"/>
    </row>
    <row r="11604" spans="1:14" ht="14.25" customHeight="1" x14ac:dyDescent="0.25">
      <c r="A11604" s="192"/>
      <c r="B11604" s="194"/>
      <c r="C11604" s="215"/>
      <c r="D11604" s="215"/>
      <c r="E11604" s="216"/>
      <c r="F11604" s="215"/>
      <c r="G11604" s="81"/>
      <c r="H11604" s="81"/>
      <c r="I11604" s="81"/>
      <c r="J11604" s="81"/>
      <c r="K11604" s="81"/>
      <c r="L11604" s="81"/>
      <c r="M11604" s="81"/>
      <c r="N11604" s="81"/>
    </row>
    <row r="11605" spans="1:14" ht="14.25" customHeight="1" x14ac:dyDescent="0.25">
      <c r="A11605" s="590" t="s">
        <v>588</v>
      </c>
      <c r="B11605" s="586"/>
      <c r="C11605" s="586"/>
      <c r="D11605" s="586"/>
      <c r="E11605" s="587"/>
      <c r="F11605" s="499">
        <f>ROUND(F11578+F11587+F11596+F11602,0)</f>
        <v>61876006</v>
      </c>
      <c r="G11605" s="81"/>
      <c r="H11605" s="81"/>
      <c r="I11605" s="81"/>
      <c r="J11605" s="81"/>
      <c r="K11605" s="81"/>
      <c r="L11605" s="81"/>
      <c r="M11605" s="81"/>
      <c r="N11605" s="81"/>
    </row>
    <row r="11606" spans="1:14" ht="14.25" customHeight="1" x14ac:dyDescent="0.25">
      <c r="A11606" s="590" t="s">
        <v>589</v>
      </c>
      <c r="B11606" s="586"/>
      <c r="C11606" s="586"/>
      <c r="D11606" s="586"/>
      <c r="E11606" s="587"/>
      <c r="F11606" s="500"/>
      <c r="G11606" s="81"/>
      <c r="H11606" s="81"/>
      <c r="I11606" s="81"/>
      <c r="J11606" s="81"/>
      <c r="K11606" s="81"/>
      <c r="L11606" s="81"/>
      <c r="M11606" s="81"/>
      <c r="N11606" s="81"/>
    </row>
    <row r="11607" spans="1:14" ht="14.25" customHeight="1" x14ac:dyDescent="0.25">
      <c r="A11607" s="300" t="s">
        <v>556</v>
      </c>
      <c r="B11607" s="506"/>
      <c r="C11607" s="506"/>
      <c r="D11607" s="506"/>
      <c r="E11607" s="507"/>
      <c r="F11607" s="501"/>
      <c r="G11607" s="81"/>
      <c r="H11607" s="81"/>
      <c r="I11607" s="81"/>
      <c r="J11607" s="81"/>
      <c r="K11607" s="81"/>
      <c r="L11607" s="81"/>
      <c r="M11607" s="81"/>
      <c r="N11607" s="81"/>
    </row>
    <row r="11608" spans="1:14" ht="14.25" customHeight="1" x14ac:dyDescent="0.25">
      <c r="A11608" s="301"/>
      <c r="B11608" s="502"/>
      <c r="C11608" s="502"/>
      <c r="D11608" s="502"/>
      <c r="E11608" s="502"/>
      <c r="F11608" s="503"/>
      <c r="G11608" s="81"/>
      <c r="H11608" s="81"/>
      <c r="I11608" s="81"/>
      <c r="J11608" s="81"/>
      <c r="K11608" s="81"/>
      <c r="L11608" s="81"/>
      <c r="M11608" s="81"/>
      <c r="N11608" s="81"/>
    </row>
    <row r="11609" spans="1:14" ht="14.25" customHeight="1" x14ac:dyDescent="0.25">
      <c r="A11609" s="301"/>
      <c r="B11609" s="502"/>
      <c r="C11609" s="502"/>
      <c r="D11609" s="502"/>
      <c r="E11609" s="502"/>
      <c r="F11609" s="503"/>
      <c r="G11609" s="81"/>
      <c r="H11609" s="81"/>
      <c r="I11609" s="81"/>
      <c r="J11609" s="81"/>
      <c r="K11609" s="81"/>
      <c r="L11609" s="81"/>
      <c r="M11609" s="81"/>
      <c r="N11609" s="81"/>
    </row>
    <row r="11610" spans="1:14" ht="14.25" customHeight="1" x14ac:dyDescent="0.25">
      <c r="A11610" s="301"/>
      <c r="B11610" s="502"/>
      <c r="C11610" s="502"/>
      <c r="D11610" s="502"/>
      <c r="E11610" s="502"/>
      <c r="F11610" s="503"/>
      <c r="G11610" s="81"/>
      <c r="H11610" s="81"/>
      <c r="I11610" s="81"/>
      <c r="J11610" s="81"/>
      <c r="K11610" s="81"/>
      <c r="L11610" s="81"/>
      <c r="M11610" s="81"/>
      <c r="N11610" s="81"/>
    </row>
    <row r="11611" spans="1:14" ht="14.25" customHeight="1" x14ac:dyDescent="0.25">
      <c r="A11611" s="243"/>
      <c r="B11611" s="243"/>
      <c r="C11611" s="504"/>
      <c r="D11611" s="243"/>
      <c r="E11611" s="243"/>
      <c r="F11611" s="243"/>
      <c r="G11611" s="81"/>
      <c r="H11611" s="81"/>
      <c r="I11611" s="81"/>
      <c r="J11611" s="81"/>
      <c r="K11611" s="81"/>
      <c r="L11611" s="81"/>
      <c r="M11611" s="81"/>
      <c r="N11611" s="81"/>
    </row>
    <row r="11612" spans="1:14" ht="14.25" customHeight="1" x14ac:dyDescent="0.25">
      <c r="A11612" s="243"/>
      <c r="B11612" s="243"/>
      <c r="C11612" s="504"/>
      <c r="D11612" s="243"/>
      <c r="E11612" s="243"/>
      <c r="F11612" s="243"/>
      <c r="G11612" s="81"/>
      <c r="H11612" s="81"/>
      <c r="I11612" s="81"/>
      <c r="J11612" s="81"/>
      <c r="K11612" s="81"/>
      <c r="L11612" s="81"/>
      <c r="M11612" s="81"/>
      <c r="N11612" s="81"/>
    </row>
    <row r="11613" spans="1:14" ht="39" customHeight="1" x14ac:dyDescent="0.25">
      <c r="A11613" s="243"/>
      <c r="B11613" s="243"/>
      <c r="C11613" s="504"/>
      <c r="D11613" s="243"/>
      <c r="E11613" s="243"/>
      <c r="F11613" s="243"/>
      <c r="G11613" s="81"/>
      <c r="H11613" s="81"/>
      <c r="I11613" s="81"/>
      <c r="J11613" s="81"/>
      <c r="K11613" s="81"/>
      <c r="L11613" s="81"/>
      <c r="M11613" s="81"/>
      <c r="N11613" s="81"/>
    </row>
    <row r="11614" spans="1:14" ht="14.25" customHeight="1" x14ac:dyDescent="0.25">
      <c r="A11614" s="243"/>
      <c r="B11614" s="243"/>
      <c r="C11614" s="504"/>
      <c r="D11614" s="243"/>
      <c r="E11614" s="243"/>
      <c r="F11614" s="243"/>
      <c r="G11614" s="81"/>
      <c r="H11614" s="81"/>
      <c r="I11614" s="81"/>
      <c r="J11614" s="81"/>
      <c r="K11614" s="81"/>
      <c r="L11614" s="81"/>
      <c r="M11614" s="81"/>
      <c r="N11614" s="81"/>
    </row>
    <row r="11615" spans="1:14" ht="14.25" customHeight="1" x14ac:dyDescent="0.25">
      <c r="A11615" s="243"/>
      <c r="B11615" s="243"/>
      <c r="C11615" s="504"/>
      <c r="D11615" s="243"/>
      <c r="E11615" s="243"/>
      <c r="F11615" s="243"/>
      <c r="G11615" s="81"/>
      <c r="H11615" s="81"/>
      <c r="I11615" s="81"/>
      <c r="J11615" s="81"/>
      <c r="K11615" s="81"/>
      <c r="L11615" s="81"/>
      <c r="M11615" s="81"/>
      <c r="N11615" s="81"/>
    </row>
    <row r="11616" spans="1:14" ht="14.25" customHeight="1" x14ac:dyDescent="0.25">
      <c r="A11616" s="243"/>
      <c r="B11616" s="243"/>
      <c r="C11616" s="504"/>
      <c r="D11616" s="243"/>
      <c r="E11616" s="243"/>
      <c r="F11616" s="243"/>
      <c r="G11616" s="81"/>
      <c r="H11616" s="81"/>
      <c r="I11616" s="81"/>
      <c r="J11616" s="81"/>
      <c r="K11616" s="81"/>
      <c r="L11616" s="81"/>
      <c r="M11616" s="81"/>
      <c r="N11616" s="81"/>
    </row>
    <row r="11617" spans="1:14" ht="14.25" customHeight="1" x14ac:dyDescent="0.25">
      <c r="A11617" s="243"/>
      <c r="B11617" s="243"/>
      <c r="C11617" s="504"/>
      <c r="D11617" s="243"/>
      <c r="E11617" s="243"/>
      <c r="F11617" s="243"/>
      <c r="G11617" s="81"/>
      <c r="H11617" s="81"/>
      <c r="I11617" s="81"/>
      <c r="J11617" s="81"/>
      <c r="K11617" s="81"/>
      <c r="L11617" s="81"/>
      <c r="M11617" s="81"/>
      <c r="N11617" s="81"/>
    </row>
    <row r="11618" spans="1:14" ht="14.25" customHeight="1" x14ac:dyDescent="0.25">
      <c r="A11618" s="243"/>
      <c r="B11618" s="243"/>
      <c r="C11618" s="504"/>
      <c r="D11618" s="243"/>
      <c r="E11618" s="243"/>
      <c r="F11618" s="243"/>
      <c r="G11618" s="81"/>
      <c r="H11618" s="81"/>
      <c r="I11618" s="81"/>
      <c r="J11618" s="81"/>
      <c r="K11618" s="81"/>
      <c r="L11618" s="81"/>
      <c r="M11618" s="81"/>
      <c r="N11618" s="81"/>
    </row>
    <row r="11619" spans="1:14" ht="14.25" customHeight="1" x14ac:dyDescent="0.25">
      <c r="A11619" s="243"/>
      <c r="B11619" s="243"/>
      <c r="C11619" s="504"/>
      <c r="D11619" s="243"/>
      <c r="E11619" s="243"/>
      <c r="F11619" s="243"/>
      <c r="G11619" s="81"/>
      <c r="H11619" s="81"/>
      <c r="I11619" s="81"/>
      <c r="J11619" s="81"/>
      <c r="K11619" s="81"/>
      <c r="L11619" s="81"/>
      <c r="M11619" s="81"/>
      <c r="N11619" s="81"/>
    </row>
    <row r="11620" spans="1:14" ht="14.25" customHeight="1" x14ac:dyDescent="0.25">
      <c r="A11620" s="243"/>
      <c r="B11620" s="243"/>
      <c r="C11620" s="504"/>
      <c r="D11620" s="243"/>
      <c r="E11620" s="243"/>
      <c r="F11620" s="243"/>
      <c r="G11620" s="81"/>
      <c r="H11620" s="81"/>
      <c r="I11620" s="81"/>
      <c r="J11620" s="81"/>
      <c r="K11620" s="81"/>
      <c r="L11620" s="81"/>
      <c r="M11620" s="81"/>
      <c r="N11620" s="81"/>
    </row>
    <row r="11621" spans="1:14" ht="14.25" customHeight="1" x14ac:dyDescent="0.25">
      <c r="A11621" s="243"/>
      <c r="B11621" s="243"/>
      <c r="C11621" s="504"/>
      <c r="D11621" s="243"/>
      <c r="E11621" s="243"/>
      <c r="F11621" s="243"/>
      <c r="G11621" s="81"/>
      <c r="H11621" s="81"/>
      <c r="I11621" s="81"/>
      <c r="J11621" s="81"/>
      <c r="K11621" s="81"/>
      <c r="L11621" s="81"/>
      <c r="M11621" s="81"/>
      <c r="N11621" s="81"/>
    </row>
    <row r="11622" spans="1:14" ht="14.25" customHeight="1" x14ac:dyDescent="0.25">
      <c r="A11622" s="243"/>
      <c r="B11622" s="243"/>
      <c r="C11622" s="504"/>
      <c r="D11622" s="243"/>
      <c r="E11622" s="243"/>
      <c r="F11622" s="243"/>
      <c r="G11622" s="81"/>
      <c r="H11622" s="81"/>
      <c r="I11622" s="81"/>
      <c r="J11622" s="81"/>
      <c r="K11622" s="81"/>
      <c r="L11622" s="81"/>
      <c r="M11622" s="81"/>
      <c r="N11622" s="81"/>
    </row>
    <row r="11623" spans="1:14" ht="14.25" customHeight="1" x14ac:dyDescent="0.25">
      <c r="A11623" s="243"/>
      <c r="B11623" s="243"/>
      <c r="C11623" s="504"/>
      <c r="D11623" s="243"/>
      <c r="E11623" s="243"/>
      <c r="F11623" s="243"/>
      <c r="G11623" s="81"/>
      <c r="H11623" s="81"/>
      <c r="I11623" s="81"/>
      <c r="J11623" s="81"/>
      <c r="K11623" s="81"/>
      <c r="L11623" s="81"/>
      <c r="M11623" s="81"/>
      <c r="N11623" s="81"/>
    </row>
    <row r="11624" spans="1:14" ht="14.25" customHeight="1" thickBot="1" x14ac:dyDescent="0.3">
      <c r="A11624" s="243"/>
      <c r="B11624" s="243"/>
      <c r="C11624" s="504"/>
      <c r="D11624" s="243"/>
      <c r="E11624" s="243"/>
      <c r="F11624" s="243"/>
      <c r="G11624" s="81"/>
      <c r="H11624" s="81"/>
      <c r="I11624" s="81"/>
      <c r="J11624" s="81"/>
      <c r="K11624" s="81"/>
      <c r="L11624" s="81"/>
      <c r="M11624" s="81"/>
      <c r="N11624" s="81"/>
    </row>
    <row r="11625" spans="1:14" ht="14.25" customHeight="1" x14ac:dyDescent="0.25">
      <c r="A11625" s="258"/>
      <c r="B11625" s="259"/>
      <c r="C11625" s="260"/>
      <c r="D11625" s="261"/>
      <c r="E11625" s="261"/>
      <c r="F11625" s="262"/>
      <c r="G11625" s="81"/>
      <c r="H11625" s="81"/>
      <c r="I11625" s="81"/>
      <c r="J11625" s="81"/>
      <c r="K11625" s="81"/>
      <c r="L11625" s="81"/>
      <c r="M11625" s="81"/>
      <c r="N11625" s="81"/>
    </row>
    <row r="11626" spans="1:14" ht="14.25" customHeight="1" x14ac:dyDescent="0.25">
      <c r="A11626" s="621"/>
      <c r="B11626" s="629"/>
      <c r="C11626" s="629"/>
      <c r="D11626" s="629"/>
      <c r="E11626" s="629"/>
      <c r="F11626" s="630"/>
      <c r="G11626" s="81"/>
      <c r="H11626" s="81"/>
      <c r="I11626" s="81"/>
      <c r="J11626" s="81"/>
      <c r="K11626" s="81"/>
      <c r="L11626" s="81"/>
      <c r="M11626" s="81"/>
      <c r="N11626" s="81"/>
    </row>
    <row r="11627" spans="1:14" ht="14.25" customHeight="1" x14ac:dyDescent="0.25">
      <c r="A11627" s="614" t="s">
        <v>561</v>
      </c>
      <c r="B11627" s="629"/>
      <c r="C11627" s="629"/>
      <c r="D11627" s="629"/>
      <c r="E11627" s="629"/>
      <c r="F11627" s="630"/>
      <c r="G11627" s="81"/>
      <c r="H11627" s="81"/>
      <c r="I11627" s="81"/>
      <c r="J11627" s="81"/>
      <c r="K11627" s="81"/>
      <c r="L11627" s="81"/>
      <c r="M11627" s="81"/>
      <c r="N11627" s="81"/>
    </row>
    <row r="11628" spans="1:14" ht="14.25" customHeight="1" thickBot="1" x14ac:dyDescent="0.3">
      <c r="A11628" s="617"/>
      <c r="B11628" s="631"/>
      <c r="C11628" s="631"/>
      <c r="D11628" s="631"/>
      <c r="E11628" s="631"/>
      <c r="F11628" s="632"/>
      <c r="G11628" s="81"/>
      <c r="H11628" s="81"/>
      <c r="I11628" s="81"/>
      <c r="J11628" s="81"/>
      <c r="K11628" s="81"/>
      <c r="L11628" s="81"/>
      <c r="M11628" s="81"/>
      <c r="N11628" s="81"/>
    </row>
    <row r="11629" spans="1:14" ht="14.25" customHeight="1" x14ac:dyDescent="0.25">
      <c r="A11629" s="192"/>
      <c r="B11629" s="192"/>
      <c r="C11629" s="194"/>
      <c r="D11629" s="194"/>
      <c r="E11629" s="194"/>
      <c r="F11629" s="194"/>
      <c r="G11629" s="81"/>
      <c r="H11629" s="81"/>
      <c r="I11629" s="81"/>
      <c r="J11629" s="81"/>
      <c r="K11629" s="81"/>
      <c r="L11629" s="81"/>
      <c r="M11629" s="81"/>
      <c r="N11629" s="81"/>
    </row>
    <row r="11630" spans="1:14" ht="14.25" customHeight="1" x14ac:dyDescent="0.25">
      <c r="A11630" s="473" t="s">
        <v>47</v>
      </c>
      <c r="B11630" s="620" t="s">
        <v>1196</v>
      </c>
      <c r="C11630" s="629"/>
      <c r="D11630" s="629"/>
      <c r="E11630" s="629"/>
      <c r="F11630" s="629"/>
      <c r="G11630" s="81"/>
      <c r="H11630" s="81"/>
      <c r="I11630" s="81"/>
      <c r="J11630" s="81"/>
      <c r="K11630" s="81"/>
      <c r="L11630" s="81"/>
      <c r="M11630" s="81"/>
      <c r="N11630" s="81"/>
    </row>
    <row r="11631" spans="1:14" ht="14.25" customHeight="1" x14ac:dyDescent="0.25">
      <c r="A11631" s="191"/>
      <c r="B11631" s="191"/>
      <c r="C11631" s="191"/>
      <c r="D11631" s="191"/>
      <c r="E11631" s="191"/>
      <c r="F11631" s="191"/>
      <c r="G11631" s="81"/>
      <c r="H11631" s="81"/>
      <c r="I11631" s="81"/>
      <c r="J11631" s="81"/>
      <c r="K11631" s="81"/>
      <c r="L11631" s="81"/>
      <c r="M11631" s="81"/>
      <c r="N11631" s="81"/>
    </row>
    <row r="11632" spans="1:14" ht="14.25" customHeight="1" x14ac:dyDescent="0.25">
      <c r="A11632" s="192" t="s">
        <v>49</v>
      </c>
      <c r="B11632" s="193" t="s">
        <v>99</v>
      </c>
      <c r="C11632" s="194"/>
      <c r="D11632" s="194"/>
      <c r="E11632" s="194"/>
      <c r="F11632" s="195"/>
      <c r="G11632" s="81"/>
      <c r="H11632" s="81"/>
      <c r="I11632" s="81"/>
      <c r="J11632" s="81"/>
      <c r="K11632" s="81"/>
      <c r="L11632" s="81"/>
      <c r="M11632" s="81"/>
      <c r="N11632" s="81"/>
    </row>
    <row r="11633" spans="1:14" ht="14.25" customHeight="1" x14ac:dyDescent="0.25">
      <c r="A11633" s="192"/>
      <c r="B11633" s="196"/>
      <c r="C11633" s="194"/>
      <c r="D11633" s="194"/>
      <c r="E11633" s="194"/>
      <c r="F11633" s="195"/>
      <c r="G11633" s="81"/>
      <c r="H11633" s="157"/>
      <c r="I11633" s="157"/>
      <c r="J11633" s="158"/>
      <c r="K11633" s="81"/>
      <c r="L11633" s="81"/>
      <c r="M11633" s="81"/>
      <c r="N11633" s="81"/>
    </row>
    <row r="11634" spans="1:14" ht="14.25" customHeight="1" x14ac:dyDescent="0.25">
      <c r="A11634" s="197" t="s">
        <v>562</v>
      </c>
      <c r="B11634" s="198"/>
      <c r="C11634" s="193"/>
      <c r="D11634" s="193"/>
      <c r="E11634" s="193"/>
      <c r="F11634" s="193"/>
      <c r="G11634" s="81"/>
      <c r="H11634" s="157"/>
      <c r="I11634" s="157"/>
      <c r="J11634" s="158"/>
      <c r="K11634" s="81"/>
      <c r="L11634" s="81"/>
      <c r="M11634" s="81"/>
      <c r="N11634" s="81"/>
    </row>
    <row r="11635" spans="1:14" ht="14.25" customHeight="1" x14ac:dyDescent="0.25">
      <c r="A11635" s="199" t="s">
        <v>563</v>
      </c>
      <c r="B11635" s="474" t="s">
        <v>564</v>
      </c>
      <c r="C11635" s="474" t="s">
        <v>565</v>
      </c>
      <c r="D11635" s="474" t="s">
        <v>566</v>
      </c>
      <c r="E11635" s="474" t="s">
        <v>567</v>
      </c>
      <c r="F11635" s="474" t="s">
        <v>568</v>
      </c>
      <c r="G11635" s="81"/>
      <c r="H11635" s="157"/>
      <c r="I11635" s="157"/>
      <c r="J11635" s="158"/>
      <c r="K11635" s="81"/>
      <c r="L11635" s="81"/>
      <c r="M11635" s="81"/>
      <c r="N11635" s="81"/>
    </row>
    <row r="11636" spans="1:14" ht="14.25" customHeight="1" x14ac:dyDescent="0.25">
      <c r="A11636" s="475" t="s">
        <v>1196</v>
      </c>
      <c r="B11636" s="476" t="s">
        <v>99</v>
      </c>
      <c r="C11636" s="477">
        <v>1325363</v>
      </c>
      <c r="D11636" s="478">
        <v>1</v>
      </c>
      <c r="E11636" s="479"/>
      <c r="F11636" s="477">
        <f t="shared" ref="F11636:F11638" si="573">C11636*(D11636+(D11636*E11636))</f>
        <v>1325363</v>
      </c>
      <c r="G11636" s="81"/>
      <c r="H11636" s="157"/>
      <c r="I11636" s="157"/>
      <c r="J11636" s="158"/>
      <c r="K11636" s="81"/>
      <c r="L11636" s="81"/>
      <c r="M11636" s="81"/>
      <c r="N11636" s="81"/>
    </row>
    <row r="11637" spans="1:14" ht="14.25" customHeight="1" x14ac:dyDescent="0.25">
      <c r="A11637" s="475"/>
      <c r="B11637" s="476"/>
      <c r="C11637" s="477"/>
      <c r="D11637" s="481"/>
      <c r="E11637" s="479"/>
      <c r="F11637" s="477">
        <f t="shared" si="573"/>
        <v>0</v>
      </c>
      <c r="G11637" s="81"/>
      <c r="H11637" s="81"/>
      <c r="I11637" s="81"/>
      <c r="J11637" s="81"/>
      <c r="K11637" s="81"/>
      <c r="L11637" s="81"/>
      <c r="M11637" s="81"/>
      <c r="N11637" s="81"/>
    </row>
    <row r="11638" spans="1:14" ht="14.25" customHeight="1" x14ac:dyDescent="0.25">
      <c r="A11638" s="475"/>
      <c r="B11638" s="476"/>
      <c r="C11638" s="477"/>
      <c r="D11638" s="481"/>
      <c r="E11638" s="479"/>
      <c r="F11638" s="477">
        <f t="shared" si="573"/>
        <v>0</v>
      </c>
      <c r="G11638" s="81"/>
      <c r="H11638" s="81"/>
      <c r="I11638" s="81"/>
      <c r="J11638" s="81"/>
      <c r="K11638" s="81"/>
      <c r="L11638" s="81"/>
      <c r="M11638" s="81"/>
      <c r="N11638" s="81"/>
    </row>
    <row r="11639" spans="1:14" ht="14.25" customHeight="1" x14ac:dyDescent="0.25">
      <c r="A11639" s="475"/>
      <c r="B11639" s="476"/>
      <c r="C11639" s="477"/>
      <c r="D11639" s="478"/>
      <c r="E11639" s="479"/>
      <c r="F11639" s="477"/>
      <c r="G11639" s="81"/>
      <c r="H11639" s="81"/>
      <c r="I11639" s="81"/>
      <c r="J11639" s="81"/>
      <c r="K11639" s="81"/>
      <c r="L11639" s="81"/>
      <c r="M11639" s="81"/>
      <c r="N11639" s="81"/>
    </row>
    <row r="11640" spans="1:14" ht="14.25" customHeight="1" x14ac:dyDescent="0.25">
      <c r="A11640" s="475"/>
      <c r="B11640" s="476"/>
      <c r="C11640" s="477"/>
      <c r="D11640" s="478"/>
      <c r="E11640" s="479"/>
      <c r="F11640" s="477"/>
      <c r="G11640" s="81"/>
      <c r="H11640" s="81"/>
      <c r="I11640" s="81"/>
      <c r="J11640" s="81"/>
      <c r="K11640" s="81"/>
      <c r="L11640" s="81"/>
      <c r="M11640" s="81"/>
      <c r="N11640" s="81"/>
    </row>
    <row r="11641" spans="1:14" ht="15.75" x14ac:dyDescent="0.25">
      <c r="A11641" s="475"/>
      <c r="B11641" s="476"/>
      <c r="C11641" s="477"/>
      <c r="D11641" s="478"/>
      <c r="E11641" s="479"/>
      <c r="F11641" s="477"/>
      <c r="G11641" s="81"/>
      <c r="H11641" s="81"/>
      <c r="I11641" s="81"/>
      <c r="J11641" s="81"/>
      <c r="K11641" s="81"/>
      <c r="L11641" s="81"/>
      <c r="M11641" s="81"/>
      <c r="N11641" s="81"/>
    </row>
    <row r="11642" spans="1:14" ht="14.25" customHeight="1" x14ac:dyDescent="0.25">
      <c r="A11642" s="475"/>
      <c r="B11642" s="476"/>
      <c r="C11642" s="483"/>
      <c r="D11642" s="484"/>
      <c r="E11642" s="485"/>
      <c r="F11642" s="483"/>
      <c r="G11642" s="81"/>
      <c r="H11642" s="81"/>
      <c r="I11642" s="81"/>
      <c r="J11642" s="81"/>
      <c r="K11642" s="81"/>
      <c r="L11642" s="81"/>
      <c r="M11642" s="81"/>
      <c r="N11642" s="81"/>
    </row>
    <row r="11643" spans="1:14" ht="14.25" customHeight="1" x14ac:dyDescent="0.25">
      <c r="A11643" s="199" t="s">
        <v>548</v>
      </c>
      <c r="B11643" s="199"/>
      <c r="C11643" s="486"/>
      <c r="D11643" s="487"/>
      <c r="E11643" s="488"/>
      <c r="F11643" s="489">
        <f>SUM(F11636:F11642)</f>
        <v>1325363</v>
      </c>
      <c r="G11643" s="81"/>
      <c r="H11643" s="81"/>
      <c r="I11643" s="81"/>
      <c r="J11643" s="81"/>
      <c r="K11643" s="81"/>
      <c r="L11643" s="81"/>
      <c r="M11643" s="81"/>
      <c r="N11643" s="81"/>
    </row>
    <row r="11644" spans="1:14" ht="14.25" customHeight="1" x14ac:dyDescent="0.25">
      <c r="A11644" s="192"/>
      <c r="B11644" s="192"/>
      <c r="C11644" s="215"/>
      <c r="D11644" s="215"/>
      <c r="E11644" s="216"/>
      <c r="F11644" s="215"/>
      <c r="G11644" s="81"/>
      <c r="H11644" s="81"/>
      <c r="I11644" s="81"/>
      <c r="J11644" s="81"/>
      <c r="K11644" s="81"/>
      <c r="L11644" s="81"/>
      <c r="M11644" s="81"/>
      <c r="N11644" s="81"/>
    </row>
    <row r="11645" spans="1:14" ht="14.25" customHeight="1" x14ac:dyDescent="0.25">
      <c r="A11645" s="198" t="s">
        <v>573</v>
      </c>
      <c r="B11645" s="198"/>
      <c r="C11645" s="193"/>
      <c r="D11645" s="193"/>
      <c r="E11645" s="193"/>
      <c r="F11645" s="193"/>
      <c r="G11645" s="81"/>
      <c r="H11645" s="81"/>
      <c r="I11645" s="81"/>
      <c r="J11645" s="81"/>
      <c r="K11645" s="81"/>
      <c r="L11645" s="81"/>
      <c r="M11645" s="81"/>
      <c r="N11645" s="81"/>
    </row>
    <row r="11646" spans="1:14" ht="14.25" customHeight="1" x14ac:dyDescent="0.25">
      <c r="A11646" s="585" t="s">
        <v>563</v>
      </c>
      <c r="B11646" s="586"/>
      <c r="C11646" s="587"/>
      <c r="D11646" s="474" t="s">
        <v>574</v>
      </c>
      <c r="E11646" s="474" t="s">
        <v>575</v>
      </c>
      <c r="F11646" s="474" t="s">
        <v>568</v>
      </c>
      <c r="G11646" s="81"/>
      <c r="H11646" s="81"/>
      <c r="I11646" s="81"/>
      <c r="J11646" s="81"/>
      <c r="K11646" s="81"/>
      <c r="L11646" s="81"/>
      <c r="M11646" s="81"/>
      <c r="N11646" s="81"/>
    </row>
    <row r="11647" spans="1:14" ht="14.25" customHeight="1" x14ac:dyDescent="0.25">
      <c r="A11647" s="588" t="s">
        <v>577</v>
      </c>
      <c r="B11647" s="586"/>
      <c r="C11647" s="587"/>
      <c r="D11647" s="490"/>
      <c r="E11647" s="484"/>
      <c r="F11647" s="483">
        <f>+F11661*5%</f>
        <v>6129.7161538461551</v>
      </c>
      <c r="G11647" s="81"/>
      <c r="H11647" s="81"/>
      <c r="I11647" s="81"/>
      <c r="J11647" s="81"/>
      <c r="K11647" s="81"/>
      <c r="L11647" s="81"/>
      <c r="M11647" s="81"/>
      <c r="N11647" s="81"/>
    </row>
    <row r="11648" spans="1:14" ht="14.25" customHeight="1" x14ac:dyDescent="0.25">
      <c r="A11648" s="588"/>
      <c r="B11648" s="586"/>
      <c r="C11648" s="587"/>
      <c r="D11648" s="505"/>
      <c r="E11648" s="484"/>
      <c r="F11648" s="483"/>
      <c r="G11648" s="81"/>
      <c r="H11648" s="81"/>
      <c r="I11648" s="81"/>
      <c r="J11648" s="81"/>
      <c r="K11648" s="81"/>
      <c r="L11648" s="81"/>
      <c r="M11648" s="81"/>
      <c r="N11648" s="81"/>
    </row>
    <row r="11649" spans="1:14" ht="15.75" x14ac:dyDescent="0.25">
      <c r="A11649" s="588"/>
      <c r="B11649" s="586"/>
      <c r="C11649" s="587"/>
      <c r="D11649" s="505"/>
      <c r="E11649" s="484"/>
      <c r="F11649" s="483"/>
      <c r="G11649" s="81"/>
      <c r="H11649" s="81"/>
      <c r="I11649" s="81"/>
      <c r="J11649" s="81"/>
      <c r="K11649" s="81"/>
      <c r="L11649" s="81"/>
      <c r="M11649" s="81"/>
      <c r="N11649" s="81"/>
    </row>
    <row r="11650" spans="1:14" s="168" customFormat="1" ht="15.75" x14ac:dyDescent="0.25">
      <c r="A11650" s="588"/>
      <c r="B11650" s="586"/>
      <c r="C11650" s="587"/>
      <c r="D11650" s="505"/>
      <c r="E11650" s="484"/>
      <c r="F11650" s="483"/>
    </row>
    <row r="11651" spans="1:14" ht="14.25" customHeight="1" x14ac:dyDescent="0.25">
      <c r="A11651" s="589"/>
      <c r="B11651" s="586"/>
      <c r="C11651" s="587"/>
      <c r="D11651" s="491"/>
      <c r="E11651" s="484"/>
      <c r="F11651" s="483"/>
      <c r="G11651" s="81"/>
      <c r="H11651" s="81"/>
      <c r="I11651" s="81"/>
      <c r="J11651" s="81"/>
      <c r="K11651" s="81"/>
      <c r="L11651" s="81"/>
      <c r="M11651" s="81"/>
      <c r="N11651" s="81"/>
    </row>
    <row r="11652" spans="1:14" ht="14.25" customHeight="1" x14ac:dyDescent="0.25">
      <c r="A11652" s="585" t="s">
        <v>548</v>
      </c>
      <c r="B11652" s="586"/>
      <c r="C11652" s="587"/>
      <c r="D11652" s="487"/>
      <c r="E11652" s="487"/>
      <c r="F11652" s="489">
        <f>SUM(F11647:F11651)</f>
        <v>6129.7161538461551</v>
      </c>
      <c r="G11652" s="81"/>
      <c r="H11652" s="81"/>
      <c r="I11652" s="81"/>
      <c r="J11652" s="81"/>
      <c r="K11652" s="81"/>
      <c r="L11652" s="81"/>
      <c r="M11652" s="81"/>
      <c r="N11652" s="81"/>
    </row>
    <row r="11653" spans="1:14" ht="14.25" customHeight="1" x14ac:dyDescent="0.25">
      <c r="A11653" s="192"/>
      <c r="B11653" s="192"/>
      <c r="C11653" s="194"/>
      <c r="D11653" s="215"/>
      <c r="E11653" s="215"/>
      <c r="F11653" s="215"/>
      <c r="G11653" s="81"/>
      <c r="H11653" s="81"/>
      <c r="I11653" s="81"/>
      <c r="J11653" s="81"/>
      <c r="K11653" s="81"/>
      <c r="L11653" s="81"/>
      <c r="M11653" s="81"/>
      <c r="N11653" s="81"/>
    </row>
    <row r="11654" spans="1:14" ht="14.25" customHeight="1" x14ac:dyDescent="0.25">
      <c r="A11654" s="198" t="s">
        <v>578</v>
      </c>
      <c r="B11654" s="198"/>
      <c r="C11654" s="193"/>
      <c r="D11654" s="223"/>
      <c r="E11654" s="223"/>
      <c r="F11654" s="223"/>
      <c r="G11654" s="81"/>
      <c r="H11654" s="81"/>
      <c r="I11654" s="81"/>
      <c r="J11654" s="81"/>
      <c r="K11654" s="81"/>
      <c r="L11654" s="81"/>
      <c r="M11654" s="81"/>
      <c r="N11654" s="81"/>
    </row>
    <row r="11655" spans="1:14" ht="14.25" customHeight="1" x14ac:dyDescent="0.25">
      <c r="A11655" s="224" t="s">
        <v>563</v>
      </c>
      <c r="B11655" s="492" t="s">
        <v>579</v>
      </c>
      <c r="C11655" s="492" t="s">
        <v>580</v>
      </c>
      <c r="D11655" s="493" t="s">
        <v>581</v>
      </c>
      <c r="E11655" s="493" t="s">
        <v>575</v>
      </c>
      <c r="F11655" s="493" t="s">
        <v>568</v>
      </c>
      <c r="G11655" s="81"/>
      <c r="H11655" s="117"/>
      <c r="I11655" s="81"/>
      <c r="J11655" s="81"/>
      <c r="K11655" s="81"/>
      <c r="L11655" s="81"/>
      <c r="M11655" s="81"/>
      <c r="N11655" s="81"/>
    </row>
    <row r="11656" spans="1:14" ht="14.25" customHeight="1" x14ac:dyDescent="0.25">
      <c r="A11656" s="494" t="s">
        <v>916</v>
      </c>
      <c r="B11656" s="495">
        <v>1</v>
      </c>
      <c r="C11656" s="477">
        <v>35956.800000000003</v>
      </c>
      <c r="D11656" s="477">
        <f t="shared" ref="D11656:D11657" si="574">+C11656*1.7</f>
        <v>61126.560000000005</v>
      </c>
      <c r="E11656" s="484">
        <v>1.3</v>
      </c>
      <c r="F11656" s="483">
        <f t="shared" ref="F11656:F11657" si="575">+B11656*(D11656)/E11656</f>
        <v>47020.43076923077</v>
      </c>
      <c r="G11656" s="81"/>
      <c r="H11656" s="81"/>
      <c r="I11656" s="81"/>
      <c r="J11656" s="81"/>
      <c r="K11656" s="81"/>
      <c r="L11656" s="81"/>
      <c r="M11656" s="81"/>
      <c r="N11656" s="81"/>
    </row>
    <row r="11657" spans="1:14" ht="14.25" customHeight="1" x14ac:dyDescent="0.25">
      <c r="A11657" s="494" t="s">
        <v>917</v>
      </c>
      <c r="B11657" s="495">
        <v>1</v>
      </c>
      <c r="C11657" s="477">
        <v>57791.8</v>
      </c>
      <c r="D11657" s="477">
        <f t="shared" si="574"/>
        <v>98246.06</v>
      </c>
      <c r="E11657" s="484">
        <f>E11656</f>
        <v>1.3</v>
      </c>
      <c r="F11657" s="483">
        <f t="shared" si="575"/>
        <v>75573.892307692309</v>
      </c>
      <c r="G11657" s="81"/>
      <c r="H11657" s="81"/>
      <c r="I11657" s="81"/>
      <c r="J11657" s="81"/>
      <c r="K11657" s="81"/>
      <c r="L11657" s="81"/>
      <c r="M11657" s="81"/>
      <c r="N11657" s="81"/>
    </row>
    <row r="11658" spans="1:14" ht="14.25" customHeight="1" x14ac:dyDescent="0.25">
      <c r="A11658" s="494"/>
      <c r="B11658" s="495"/>
      <c r="C11658" s="477"/>
      <c r="D11658" s="477"/>
      <c r="E11658" s="484"/>
      <c r="F11658" s="483"/>
      <c r="G11658" s="81"/>
      <c r="H11658" s="81"/>
      <c r="I11658" s="81"/>
      <c r="J11658" s="81"/>
      <c r="K11658" s="81"/>
      <c r="L11658" s="81"/>
      <c r="M11658" s="81"/>
      <c r="N11658" s="81"/>
    </row>
    <row r="11659" spans="1:14" ht="14.25" customHeight="1" x14ac:dyDescent="0.25">
      <c r="A11659" s="494"/>
      <c r="B11659" s="495"/>
      <c r="C11659" s="477"/>
      <c r="D11659" s="477"/>
      <c r="E11659" s="484"/>
      <c r="F11659" s="483"/>
      <c r="G11659" s="81"/>
      <c r="H11659" s="81"/>
      <c r="I11659" s="81"/>
      <c r="J11659" s="81"/>
      <c r="K11659" s="81"/>
      <c r="L11659" s="81"/>
      <c r="M11659" s="81"/>
      <c r="N11659" s="81"/>
    </row>
    <row r="11660" spans="1:14" ht="14.25" customHeight="1" x14ac:dyDescent="0.25">
      <c r="A11660" s="494"/>
      <c r="B11660" s="495"/>
      <c r="C11660" s="477"/>
      <c r="D11660" s="477"/>
      <c r="E11660" s="484"/>
      <c r="F11660" s="483"/>
      <c r="G11660" s="81"/>
      <c r="H11660" s="81"/>
      <c r="I11660" s="81"/>
      <c r="J11660" s="81"/>
      <c r="K11660" s="81"/>
      <c r="L11660" s="81"/>
      <c r="M11660" s="81"/>
      <c r="N11660" s="81"/>
    </row>
    <row r="11661" spans="1:14" ht="14.25" customHeight="1" x14ac:dyDescent="0.25">
      <c r="A11661" s="199" t="s">
        <v>548</v>
      </c>
      <c r="B11661" s="497"/>
      <c r="C11661" s="487"/>
      <c r="D11661" s="487"/>
      <c r="E11661" s="487"/>
      <c r="F11661" s="489">
        <f>SUM(F11656:F11659)</f>
        <v>122594.32307692309</v>
      </c>
      <c r="G11661" s="81"/>
      <c r="H11661" s="81"/>
      <c r="I11661" s="81"/>
      <c r="J11661" s="81"/>
      <c r="K11661" s="81"/>
      <c r="L11661" s="81"/>
      <c r="M11661" s="81"/>
      <c r="N11661" s="81"/>
    </row>
    <row r="11662" spans="1:14" ht="14.25" customHeight="1" x14ac:dyDescent="0.25">
      <c r="A11662" s="198"/>
      <c r="B11662" s="231"/>
      <c r="C11662" s="223"/>
      <c r="D11662" s="223"/>
      <c r="E11662" s="223"/>
      <c r="F11662" s="223"/>
      <c r="G11662" s="81"/>
      <c r="H11662" s="81"/>
      <c r="I11662" s="81"/>
      <c r="J11662" s="81"/>
      <c r="K11662" s="81"/>
      <c r="L11662" s="81"/>
      <c r="M11662" s="81"/>
      <c r="N11662" s="81"/>
    </row>
    <row r="11663" spans="1:14" ht="14.25" customHeight="1" x14ac:dyDescent="0.25">
      <c r="A11663" s="197" t="s">
        <v>583</v>
      </c>
      <c r="B11663" s="198"/>
      <c r="C11663" s="193"/>
      <c r="D11663" s="193"/>
      <c r="E11663" s="193" t="s">
        <v>584</v>
      </c>
      <c r="F11663" s="193"/>
      <c r="G11663" s="81"/>
      <c r="H11663" s="81"/>
      <c r="I11663" s="81"/>
      <c r="J11663" s="81"/>
      <c r="K11663" s="81"/>
      <c r="L11663" s="81"/>
      <c r="M11663" s="81"/>
      <c r="N11663" s="81"/>
    </row>
    <row r="11664" spans="1:14" ht="14.25" customHeight="1" x14ac:dyDescent="0.25">
      <c r="A11664" s="199" t="s">
        <v>563</v>
      </c>
      <c r="B11664" s="474" t="s">
        <v>564</v>
      </c>
      <c r="C11664" s="474" t="s">
        <v>585</v>
      </c>
      <c r="D11664" s="474" t="s">
        <v>586</v>
      </c>
      <c r="E11664" s="492" t="s">
        <v>587</v>
      </c>
      <c r="F11664" s="474" t="s">
        <v>568</v>
      </c>
      <c r="G11664" s="81"/>
      <c r="H11664" s="81"/>
      <c r="I11664" s="81"/>
      <c r="J11664" s="81"/>
      <c r="K11664" s="81"/>
      <c r="L11664" s="81"/>
      <c r="M11664" s="81"/>
      <c r="N11664" s="81"/>
    </row>
    <row r="11665" spans="1:14" ht="14.25" customHeight="1" x14ac:dyDescent="0.25">
      <c r="A11665" s="480"/>
      <c r="B11665" s="476"/>
      <c r="C11665" s="477"/>
      <c r="D11665" s="498"/>
      <c r="E11665" s="484"/>
      <c r="F11665" s="486">
        <f>+C11665*D11665*E11665</f>
        <v>0</v>
      </c>
      <c r="G11665" s="81"/>
      <c r="H11665" s="81"/>
      <c r="I11665" s="81"/>
      <c r="J11665" s="81"/>
      <c r="K11665" s="81"/>
      <c r="L11665" s="81"/>
      <c r="M11665" s="81"/>
      <c r="N11665" s="81"/>
    </row>
    <row r="11666" spans="1:14" ht="14.25" customHeight="1" x14ac:dyDescent="0.25">
      <c r="A11666" s="480"/>
      <c r="B11666" s="476"/>
      <c r="C11666" s="484"/>
      <c r="D11666" s="484"/>
      <c r="E11666" s="485"/>
      <c r="F11666" s="486"/>
      <c r="G11666" s="81"/>
      <c r="H11666" s="81"/>
      <c r="I11666" s="81"/>
      <c r="J11666" s="81"/>
      <c r="K11666" s="81"/>
      <c r="L11666" s="81"/>
      <c r="M11666" s="81"/>
      <c r="N11666" s="81"/>
    </row>
    <row r="11667" spans="1:14" ht="14.25" customHeight="1" x14ac:dyDescent="0.25">
      <c r="A11667" s="199" t="s">
        <v>548</v>
      </c>
      <c r="B11667" s="474"/>
      <c r="C11667" s="487"/>
      <c r="D11667" s="487"/>
      <c r="E11667" s="488"/>
      <c r="F11667" s="489">
        <f>SUM(F11665:F11666)</f>
        <v>0</v>
      </c>
      <c r="G11667" s="81"/>
      <c r="H11667" s="81"/>
      <c r="I11667" s="81"/>
      <c r="J11667" s="81"/>
      <c r="K11667" s="81"/>
      <c r="L11667" s="81"/>
      <c r="M11667" s="81"/>
      <c r="N11667" s="81"/>
    </row>
    <row r="11668" spans="1:14" ht="14.25" customHeight="1" x14ac:dyDescent="0.25">
      <c r="A11668" s="192"/>
      <c r="B11668" s="194"/>
      <c r="C11668" s="215"/>
      <c r="D11668" s="215"/>
      <c r="E11668" s="216"/>
      <c r="F11668" s="215"/>
      <c r="G11668" s="81"/>
      <c r="H11668" s="81"/>
      <c r="I11668" s="81"/>
      <c r="J11668" s="81"/>
      <c r="K11668" s="81"/>
      <c r="L11668" s="81"/>
      <c r="M11668" s="81"/>
      <c r="N11668" s="81"/>
    </row>
    <row r="11669" spans="1:14" ht="14.25" customHeight="1" x14ac:dyDescent="0.25">
      <c r="A11669" s="192"/>
      <c r="B11669" s="194"/>
      <c r="C11669" s="215"/>
      <c r="D11669" s="215"/>
      <c r="E11669" s="216"/>
      <c r="F11669" s="215"/>
      <c r="G11669" s="81"/>
      <c r="H11669" s="81"/>
      <c r="I11669" s="81"/>
      <c r="J11669" s="81"/>
      <c r="K11669" s="81"/>
      <c r="L11669" s="81"/>
      <c r="M11669" s="81"/>
      <c r="N11669" s="81"/>
    </row>
    <row r="11670" spans="1:14" ht="14.25" customHeight="1" x14ac:dyDescent="0.25">
      <c r="A11670" s="590" t="s">
        <v>588</v>
      </c>
      <c r="B11670" s="586"/>
      <c r="C11670" s="586"/>
      <c r="D11670" s="586"/>
      <c r="E11670" s="587"/>
      <c r="F11670" s="499">
        <f>ROUND(F11643+F11652+F11661+F11667,0)</f>
        <v>1454087</v>
      </c>
      <c r="G11670" s="81"/>
      <c r="H11670" s="81"/>
      <c r="I11670" s="81"/>
      <c r="J11670" s="81"/>
      <c r="K11670" s="81"/>
      <c r="L11670" s="81"/>
      <c r="M11670" s="81"/>
      <c r="N11670" s="81"/>
    </row>
    <row r="11671" spans="1:14" ht="14.25" customHeight="1" x14ac:dyDescent="0.25">
      <c r="A11671" s="590" t="s">
        <v>589</v>
      </c>
      <c r="B11671" s="586"/>
      <c r="C11671" s="586"/>
      <c r="D11671" s="586"/>
      <c r="E11671" s="587"/>
      <c r="F11671" s="500"/>
      <c r="G11671" s="81"/>
      <c r="H11671" s="81"/>
      <c r="I11671" s="81"/>
      <c r="J11671" s="81"/>
      <c r="K11671" s="81"/>
      <c r="L11671" s="81"/>
      <c r="M11671" s="81"/>
      <c r="N11671" s="81"/>
    </row>
    <row r="11672" spans="1:14" ht="51" customHeight="1" x14ac:dyDescent="0.25">
      <c r="A11672" s="300" t="s">
        <v>556</v>
      </c>
      <c r="B11672" s="506"/>
      <c r="C11672" s="506"/>
      <c r="D11672" s="506"/>
      <c r="E11672" s="507"/>
      <c r="F11672" s="501"/>
      <c r="G11672" s="81"/>
      <c r="H11672" s="81"/>
      <c r="I11672" s="81"/>
      <c r="J11672" s="81"/>
      <c r="K11672" s="81"/>
      <c r="L11672" s="81"/>
      <c r="M11672" s="81"/>
      <c r="N11672" s="81"/>
    </row>
    <row r="11673" spans="1:14" ht="14.25" customHeight="1" x14ac:dyDescent="0.25">
      <c r="A11673" s="301"/>
      <c r="B11673" s="502"/>
      <c r="C11673" s="502"/>
      <c r="D11673" s="502"/>
      <c r="E11673" s="502"/>
      <c r="F11673" s="503"/>
      <c r="G11673" s="81"/>
      <c r="H11673" s="81"/>
      <c r="I11673" s="81"/>
      <c r="J11673" s="81"/>
      <c r="K11673" s="81"/>
      <c r="L11673" s="81"/>
      <c r="M11673" s="81"/>
      <c r="N11673" s="81"/>
    </row>
    <row r="11674" spans="1:14" ht="14.25" customHeight="1" x14ac:dyDescent="0.25">
      <c r="A11674" s="301"/>
      <c r="B11674" s="502"/>
      <c r="C11674" s="502"/>
      <c r="D11674" s="502"/>
      <c r="E11674" s="502"/>
      <c r="F11674" s="503"/>
      <c r="G11674" s="81"/>
      <c r="H11674" s="81"/>
      <c r="I11674" s="81"/>
      <c r="J11674" s="81"/>
      <c r="K11674" s="81"/>
      <c r="L11674" s="81"/>
      <c r="M11674" s="81"/>
      <c r="N11674" s="81"/>
    </row>
    <row r="11675" spans="1:14" ht="14.25" customHeight="1" x14ac:dyDescent="0.25">
      <c r="A11675" s="301"/>
      <c r="B11675" s="502"/>
      <c r="C11675" s="502"/>
      <c r="D11675" s="502"/>
      <c r="E11675" s="502"/>
      <c r="F11675" s="503"/>
      <c r="G11675" s="81"/>
      <c r="H11675" s="81"/>
      <c r="I11675" s="81"/>
      <c r="J11675" s="81"/>
      <c r="K11675" s="81"/>
      <c r="L11675" s="81"/>
      <c r="M11675" s="81"/>
      <c r="N11675" s="81"/>
    </row>
    <row r="11676" spans="1:14" ht="14.25" customHeight="1" x14ac:dyDescent="0.25">
      <c r="A11676" s="243"/>
      <c r="B11676" s="243"/>
      <c r="C11676" s="504"/>
      <c r="D11676" s="243"/>
      <c r="E11676" s="243"/>
      <c r="F11676" s="243"/>
      <c r="G11676" s="81"/>
      <c r="H11676" s="81"/>
      <c r="I11676" s="81"/>
      <c r="J11676" s="81"/>
      <c r="K11676" s="81"/>
      <c r="L11676" s="81"/>
      <c r="M11676" s="81"/>
      <c r="N11676" s="81"/>
    </row>
    <row r="11677" spans="1:14" ht="14.25" customHeight="1" x14ac:dyDescent="0.25">
      <c r="A11677" s="243"/>
      <c r="B11677" s="243"/>
      <c r="C11677" s="504"/>
      <c r="D11677" s="243"/>
      <c r="E11677" s="243"/>
      <c r="F11677" s="243"/>
      <c r="G11677" s="81"/>
      <c r="H11677" s="81"/>
      <c r="I11677" s="81"/>
      <c r="J11677" s="81"/>
      <c r="K11677" s="81"/>
      <c r="L11677" s="81"/>
      <c r="M11677" s="81"/>
      <c r="N11677" s="81"/>
    </row>
    <row r="11678" spans="1:14" ht="14.25" customHeight="1" x14ac:dyDescent="0.25">
      <c r="A11678" s="243"/>
      <c r="B11678" s="243"/>
      <c r="C11678" s="504"/>
      <c r="D11678" s="243"/>
      <c r="E11678" s="243"/>
      <c r="F11678" s="243"/>
      <c r="G11678" s="81"/>
      <c r="H11678" s="81"/>
      <c r="I11678" s="81"/>
      <c r="J11678" s="81"/>
      <c r="K11678" s="81"/>
      <c r="L11678" s="81"/>
      <c r="M11678" s="81"/>
      <c r="N11678" s="81"/>
    </row>
    <row r="11679" spans="1:14" ht="14.25" customHeight="1" x14ac:dyDescent="0.25">
      <c r="A11679" s="243"/>
      <c r="B11679" s="243"/>
      <c r="C11679" s="504"/>
      <c r="D11679" s="243"/>
      <c r="E11679" s="243"/>
      <c r="F11679" s="243"/>
      <c r="G11679" s="81"/>
      <c r="H11679" s="81"/>
      <c r="I11679" s="159"/>
      <c r="J11679" s="160"/>
      <c r="K11679" s="161"/>
      <c r="L11679" s="162"/>
      <c r="M11679" s="163"/>
      <c r="N11679" s="164"/>
    </row>
    <row r="11680" spans="1:14" ht="14.25" customHeight="1" x14ac:dyDescent="0.25">
      <c r="A11680" s="243"/>
      <c r="B11680" s="243"/>
      <c r="C11680" s="504"/>
      <c r="D11680" s="243"/>
      <c r="E11680" s="243"/>
      <c r="F11680" s="243"/>
      <c r="G11680" s="81"/>
      <c r="H11680" s="81"/>
      <c r="I11680" s="165"/>
      <c r="J11680" s="166"/>
      <c r="K11680" s="161"/>
      <c r="L11680" s="162"/>
      <c r="M11680" s="166"/>
      <c r="N11680" s="164"/>
    </row>
    <row r="11681" spans="1:14" ht="14.25" customHeight="1" x14ac:dyDescent="0.25">
      <c r="A11681" s="243"/>
      <c r="B11681" s="243"/>
      <c r="C11681" s="504"/>
      <c r="D11681" s="243"/>
      <c r="E11681" s="243"/>
      <c r="F11681" s="243"/>
      <c r="G11681" s="81"/>
      <c r="H11681" s="81"/>
      <c r="I11681" s="159"/>
      <c r="J11681" s="166"/>
      <c r="K11681" s="161"/>
      <c r="L11681" s="162"/>
      <c r="M11681" s="166"/>
      <c r="N11681" s="164"/>
    </row>
    <row r="11682" spans="1:14" ht="14.25" customHeight="1" x14ac:dyDescent="0.25">
      <c r="A11682" s="243"/>
      <c r="B11682" s="243"/>
      <c r="C11682" s="504"/>
      <c r="D11682" s="243"/>
      <c r="E11682" s="243"/>
      <c r="F11682" s="243"/>
      <c r="G11682" s="81"/>
      <c r="H11682" s="81"/>
      <c r="I11682" s="159"/>
      <c r="J11682" s="166"/>
      <c r="K11682" s="161"/>
      <c r="L11682" s="162"/>
      <c r="M11682" s="166"/>
      <c r="N11682" s="164"/>
    </row>
    <row r="11683" spans="1:14" ht="14.25" customHeight="1" x14ac:dyDescent="0.25">
      <c r="A11683" s="243"/>
      <c r="B11683" s="243"/>
      <c r="C11683" s="504"/>
      <c r="D11683" s="243"/>
      <c r="E11683" s="243"/>
      <c r="F11683" s="243"/>
      <c r="G11683" s="81"/>
      <c r="H11683" s="81"/>
      <c r="I11683" s="159"/>
      <c r="J11683" s="166"/>
      <c r="K11683" s="161"/>
      <c r="L11683" s="162"/>
      <c r="M11683" s="166"/>
      <c r="N11683" s="164"/>
    </row>
    <row r="11684" spans="1:14" ht="14.25" customHeight="1" x14ac:dyDescent="0.25">
      <c r="A11684" s="243"/>
      <c r="B11684" s="243"/>
      <c r="C11684" s="504"/>
      <c r="D11684" s="243"/>
      <c r="E11684" s="243"/>
      <c r="F11684" s="243"/>
      <c r="G11684" s="81"/>
      <c r="H11684" s="81"/>
      <c r="I11684" s="159"/>
      <c r="J11684" s="166"/>
      <c r="K11684" s="161"/>
      <c r="L11684" s="162"/>
      <c r="M11684" s="166"/>
      <c r="N11684" s="164"/>
    </row>
    <row r="11685" spans="1:14" ht="14.25" customHeight="1" x14ac:dyDescent="0.25">
      <c r="A11685" s="243"/>
      <c r="B11685" s="243"/>
      <c r="C11685" s="504"/>
      <c r="D11685" s="243"/>
      <c r="E11685" s="243"/>
      <c r="F11685" s="243"/>
      <c r="G11685" s="81"/>
      <c r="H11685" s="81"/>
      <c r="I11685" s="159"/>
      <c r="J11685" s="166"/>
      <c r="K11685" s="161"/>
      <c r="L11685" s="162"/>
      <c r="M11685" s="166"/>
      <c r="N11685" s="164"/>
    </row>
    <row r="11686" spans="1:14" ht="14.25" customHeight="1" x14ac:dyDescent="0.25">
      <c r="A11686" s="243"/>
      <c r="B11686" s="243"/>
      <c r="C11686" s="504"/>
      <c r="D11686" s="243"/>
      <c r="E11686" s="243"/>
      <c r="F11686" s="243"/>
      <c r="G11686" s="81"/>
      <c r="H11686" s="81"/>
      <c r="I11686" s="159"/>
      <c r="J11686" s="166"/>
      <c r="K11686" s="161"/>
      <c r="L11686" s="162"/>
      <c r="M11686" s="166"/>
      <c r="N11686" s="164"/>
    </row>
    <row r="11687" spans="1:14" ht="14.25" customHeight="1" x14ac:dyDescent="0.25">
      <c r="A11687" s="243"/>
      <c r="B11687" s="243"/>
      <c r="C11687" s="504"/>
      <c r="D11687" s="243"/>
      <c r="E11687" s="243"/>
      <c r="F11687" s="243"/>
      <c r="G11687" s="81"/>
      <c r="H11687" s="81"/>
      <c r="I11687" s="159"/>
      <c r="J11687" s="166"/>
      <c r="K11687" s="161"/>
      <c r="L11687" s="162"/>
      <c r="M11687" s="166"/>
      <c r="N11687" s="164"/>
    </row>
    <row r="11688" spans="1:14" ht="14.25" customHeight="1" thickBot="1" x14ac:dyDescent="0.3">
      <c r="A11688" s="243"/>
      <c r="B11688" s="243"/>
      <c r="C11688" s="504"/>
      <c r="D11688" s="243"/>
      <c r="E11688" s="243"/>
      <c r="F11688" s="243"/>
      <c r="G11688" s="81"/>
      <c r="H11688" s="81"/>
      <c r="I11688" s="159"/>
      <c r="J11688" s="166"/>
      <c r="K11688" s="161"/>
      <c r="L11688" s="162"/>
      <c r="M11688" s="166"/>
      <c r="N11688" s="164"/>
    </row>
    <row r="11689" spans="1:14" ht="14.25" customHeight="1" x14ac:dyDescent="0.25">
      <c r="A11689" s="258"/>
      <c r="B11689" s="259"/>
      <c r="C11689" s="260"/>
      <c r="D11689" s="261"/>
      <c r="E11689" s="261"/>
      <c r="F11689" s="262"/>
      <c r="G11689" s="81"/>
      <c r="H11689" s="81"/>
      <c r="I11689" s="159"/>
      <c r="J11689" s="166"/>
      <c r="K11689" s="161"/>
      <c r="L11689" s="162"/>
      <c r="M11689" s="166"/>
      <c r="N11689" s="164"/>
    </row>
    <row r="11690" spans="1:14" ht="14.25" customHeight="1" x14ac:dyDescent="0.25">
      <c r="A11690" s="621"/>
      <c r="B11690" s="629"/>
      <c r="C11690" s="629"/>
      <c r="D11690" s="629"/>
      <c r="E11690" s="629"/>
      <c r="F11690" s="630"/>
      <c r="G11690" s="81"/>
      <c r="H11690" s="81"/>
      <c r="I11690" s="159"/>
      <c r="J11690" s="166"/>
      <c r="K11690" s="161"/>
      <c r="L11690" s="162"/>
      <c r="M11690" s="166"/>
      <c r="N11690" s="164"/>
    </row>
    <row r="11691" spans="1:14" ht="14.25" customHeight="1" x14ac:dyDescent="0.25">
      <c r="A11691" s="614" t="s">
        <v>561</v>
      </c>
      <c r="B11691" s="629"/>
      <c r="C11691" s="629"/>
      <c r="D11691" s="629"/>
      <c r="E11691" s="629"/>
      <c r="F11691" s="630"/>
      <c r="G11691" s="81"/>
      <c r="H11691" s="81"/>
      <c r="I11691" s="159"/>
      <c r="J11691" s="166"/>
      <c r="K11691" s="161"/>
      <c r="L11691" s="162"/>
      <c r="M11691" s="166"/>
      <c r="N11691" s="164"/>
    </row>
    <row r="11692" spans="1:14" ht="14.25" customHeight="1" thickBot="1" x14ac:dyDescent="0.3">
      <c r="A11692" s="617"/>
      <c r="B11692" s="631"/>
      <c r="C11692" s="631"/>
      <c r="D11692" s="631"/>
      <c r="E11692" s="631"/>
      <c r="F11692" s="632"/>
      <c r="G11692" s="81"/>
      <c r="H11692" s="81"/>
      <c r="I11692" s="159"/>
      <c r="J11692" s="166"/>
      <c r="K11692" s="161"/>
      <c r="L11692" s="162"/>
      <c r="M11692" s="166"/>
      <c r="N11692" s="164"/>
    </row>
    <row r="11693" spans="1:14" ht="14.25" customHeight="1" x14ac:dyDescent="0.25">
      <c r="A11693" s="192"/>
      <c r="B11693" s="192"/>
      <c r="C11693" s="194"/>
      <c r="D11693" s="194"/>
      <c r="E11693" s="194"/>
      <c r="F11693" s="194"/>
      <c r="G11693" s="81"/>
      <c r="H11693" s="81"/>
      <c r="I11693" s="159"/>
      <c r="J11693" s="166"/>
      <c r="K11693" s="161"/>
      <c r="L11693" s="162"/>
      <c r="M11693" s="166"/>
      <c r="N11693" s="164"/>
    </row>
    <row r="11694" spans="1:14" ht="14.25" customHeight="1" x14ac:dyDescent="0.25">
      <c r="A11694" s="473" t="s">
        <v>47</v>
      </c>
      <c r="B11694" s="620" t="s">
        <v>1197</v>
      </c>
      <c r="C11694" s="629"/>
      <c r="D11694" s="629"/>
      <c r="E11694" s="629"/>
      <c r="F11694" s="629"/>
      <c r="G11694" s="81"/>
      <c r="H11694" s="81"/>
      <c r="I11694" s="159"/>
      <c r="J11694" s="166"/>
      <c r="K11694" s="161"/>
      <c r="L11694" s="162"/>
      <c r="M11694" s="166"/>
      <c r="N11694" s="164"/>
    </row>
    <row r="11695" spans="1:14" ht="14.25" customHeight="1" x14ac:dyDescent="0.25">
      <c r="A11695" s="191"/>
      <c r="B11695" s="191"/>
      <c r="C11695" s="191"/>
      <c r="D11695" s="191"/>
      <c r="E11695" s="191"/>
      <c r="F11695" s="191"/>
      <c r="G11695" s="81"/>
      <c r="H11695" s="81"/>
      <c r="I11695" s="159"/>
      <c r="J11695" s="166"/>
      <c r="K11695" s="161"/>
      <c r="L11695" s="162"/>
      <c r="M11695" s="166"/>
      <c r="N11695" s="164"/>
    </row>
    <row r="11696" spans="1:14" ht="14.25" customHeight="1" x14ac:dyDescent="0.25">
      <c r="A11696" s="192" t="s">
        <v>49</v>
      </c>
      <c r="B11696" s="193" t="s">
        <v>99</v>
      </c>
      <c r="C11696" s="194"/>
      <c r="D11696" s="194"/>
      <c r="E11696" s="194"/>
      <c r="F11696" s="195"/>
      <c r="G11696" s="81"/>
      <c r="H11696" s="81"/>
      <c r="I11696" s="159"/>
      <c r="J11696" s="166"/>
      <c r="K11696" s="161"/>
      <c r="L11696" s="162"/>
      <c r="M11696" s="166"/>
      <c r="N11696" s="164"/>
    </row>
    <row r="11697" spans="1:14" ht="14.25" customHeight="1" x14ac:dyDescent="0.25">
      <c r="A11697" s="192"/>
      <c r="B11697" s="196"/>
      <c r="C11697" s="194"/>
      <c r="D11697" s="194"/>
      <c r="E11697" s="194"/>
      <c r="F11697" s="195"/>
      <c r="G11697" s="81"/>
      <c r="H11697" s="81"/>
      <c r="I11697" s="159"/>
      <c r="J11697" s="160"/>
      <c r="K11697" s="161"/>
      <c r="L11697" s="162"/>
      <c r="M11697" s="163"/>
      <c r="N11697" s="164"/>
    </row>
    <row r="11698" spans="1:14" ht="14.25" customHeight="1" x14ac:dyDescent="0.25">
      <c r="A11698" s="197" t="s">
        <v>562</v>
      </c>
      <c r="B11698" s="198"/>
      <c r="C11698" s="193"/>
      <c r="D11698" s="193"/>
      <c r="E11698" s="193"/>
      <c r="F11698" s="193"/>
      <c r="G11698" s="81"/>
      <c r="H11698" s="81"/>
      <c r="I11698" s="81"/>
      <c r="J11698" s="81"/>
      <c r="K11698" s="81"/>
      <c r="L11698" s="81"/>
      <c r="M11698" s="81"/>
      <c r="N11698" s="81"/>
    </row>
    <row r="11699" spans="1:14" ht="14.25" customHeight="1" x14ac:dyDescent="0.25">
      <c r="A11699" s="199" t="s">
        <v>563</v>
      </c>
      <c r="B11699" s="474" t="s">
        <v>564</v>
      </c>
      <c r="C11699" s="474" t="s">
        <v>565</v>
      </c>
      <c r="D11699" s="474" t="s">
        <v>566</v>
      </c>
      <c r="E11699" s="474" t="s">
        <v>567</v>
      </c>
      <c r="F11699" s="474" t="s">
        <v>568</v>
      </c>
      <c r="G11699" s="81"/>
      <c r="H11699" s="81"/>
      <c r="I11699" s="81"/>
      <c r="J11699" s="81"/>
      <c r="K11699" s="81"/>
      <c r="L11699" s="81"/>
      <c r="M11699" s="81"/>
      <c r="N11699" s="81"/>
    </row>
    <row r="11700" spans="1:14" ht="14.25" customHeight="1" x14ac:dyDescent="0.25">
      <c r="A11700" s="475" t="s">
        <v>1197</v>
      </c>
      <c r="B11700" s="476" t="s">
        <v>99</v>
      </c>
      <c r="C11700" s="477">
        <v>12696336</v>
      </c>
      <c r="D11700" s="478">
        <v>1</v>
      </c>
      <c r="E11700" s="479"/>
      <c r="F11700" s="477">
        <f t="shared" ref="F11700:F11702" si="576">C11700*(D11700+(D11700*E11700))</f>
        <v>12696336</v>
      </c>
      <c r="G11700" s="81"/>
      <c r="H11700" s="81"/>
      <c r="I11700" s="81"/>
      <c r="J11700" s="81"/>
      <c r="K11700" s="81"/>
      <c r="L11700" s="81"/>
      <c r="M11700" s="81"/>
      <c r="N11700" s="81"/>
    </row>
    <row r="11701" spans="1:14" ht="14.25" customHeight="1" x14ac:dyDescent="0.25">
      <c r="A11701" s="475"/>
      <c r="B11701" s="476"/>
      <c r="C11701" s="477"/>
      <c r="D11701" s="481"/>
      <c r="E11701" s="479"/>
      <c r="F11701" s="477">
        <f t="shared" si="576"/>
        <v>0</v>
      </c>
      <c r="G11701" s="81"/>
      <c r="H11701" s="81"/>
      <c r="I11701" s="81"/>
      <c r="J11701" s="81"/>
      <c r="K11701" s="81"/>
      <c r="L11701" s="81"/>
      <c r="M11701" s="81"/>
      <c r="N11701" s="81"/>
    </row>
    <row r="11702" spans="1:14" ht="14.25" customHeight="1" x14ac:dyDescent="0.25">
      <c r="A11702" s="475"/>
      <c r="B11702" s="476"/>
      <c r="C11702" s="477"/>
      <c r="D11702" s="481"/>
      <c r="E11702" s="479"/>
      <c r="F11702" s="477">
        <f t="shared" si="576"/>
        <v>0</v>
      </c>
      <c r="G11702" s="81"/>
      <c r="H11702" s="81"/>
      <c r="I11702" s="81"/>
      <c r="J11702" s="81"/>
      <c r="K11702" s="81"/>
      <c r="L11702" s="81"/>
      <c r="M11702" s="81"/>
      <c r="N11702" s="81"/>
    </row>
    <row r="11703" spans="1:14" ht="14.25" customHeight="1" x14ac:dyDescent="0.25">
      <c r="A11703" s="475"/>
      <c r="B11703" s="476"/>
      <c r="C11703" s="477"/>
      <c r="D11703" s="478"/>
      <c r="E11703" s="479"/>
      <c r="F11703" s="477"/>
      <c r="G11703" s="81"/>
      <c r="H11703" s="81"/>
      <c r="I11703" s="81"/>
      <c r="J11703" s="81"/>
      <c r="K11703" s="81"/>
      <c r="L11703" s="81"/>
      <c r="M11703" s="81"/>
      <c r="N11703" s="81"/>
    </row>
    <row r="11704" spans="1:14" ht="14.25" customHeight="1" x14ac:dyDescent="0.25">
      <c r="A11704" s="475"/>
      <c r="B11704" s="476"/>
      <c r="C11704" s="477"/>
      <c r="D11704" s="478"/>
      <c r="E11704" s="479"/>
      <c r="F11704" s="477"/>
      <c r="G11704" s="81"/>
      <c r="H11704" s="81"/>
      <c r="I11704" s="81"/>
      <c r="J11704" s="81"/>
      <c r="K11704" s="81"/>
      <c r="L11704" s="81"/>
      <c r="M11704" s="81"/>
      <c r="N11704" s="81"/>
    </row>
    <row r="11705" spans="1:14" ht="14.25" customHeight="1" x14ac:dyDescent="0.25">
      <c r="A11705" s="475"/>
      <c r="B11705" s="476"/>
      <c r="C11705" s="477"/>
      <c r="D11705" s="478"/>
      <c r="E11705" s="479"/>
      <c r="F11705" s="477"/>
      <c r="G11705" s="81"/>
      <c r="H11705" s="81"/>
      <c r="I11705" s="81"/>
      <c r="J11705" s="81"/>
      <c r="K11705" s="81"/>
      <c r="L11705" s="81"/>
      <c r="M11705" s="81"/>
      <c r="N11705" s="81"/>
    </row>
    <row r="11706" spans="1:14" ht="14.25" customHeight="1" x14ac:dyDescent="0.25">
      <c r="A11706" s="475"/>
      <c r="B11706" s="476"/>
      <c r="C11706" s="483"/>
      <c r="D11706" s="484"/>
      <c r="E11706" s="485"/>
      <c r="F11706" s="483"/>
      <c r="G11706" s="81"/>
      <c r="H11706" s="81"/>
      <c r="I11706" s="81"/>
      <c r="J11706" s="81"/>
      <c r="K11706" s="81"/>
      <c r="L11706" s="81"/>
      <c r="M11706" s="81"/>
      <c r="N11706" s="81"/>
    </row>
    <row r="11707" spans="1:14" ht="14.25" customHeight="1" x14ac:dyDescent="0.25">
      <c r="A11707" s="199" t="s">
        <v>548</v>
      </c>
      <c r="B11707" s="199"/>
      <c r="C11707" s="486"/>
      <c r="D11707" s="487"/>
      <c r="E11707" s="488"/>
      <c r="F11707" s="489">
        <f>SUM(F11700:F11706)</f>
        <v>12696336</v>
      </c>
      <c r="G11707" s="81"/>
      <c r="H11707" s="81"/>
      <c r="I11707" s="81"/>
      <c r="J11707" s="81"/>
      <c r="K11707" s="81"/>
      <c r="L11707" s="81"/>
      <c r="M11707" s="81"/>
      <c r="N11707" s="81"/>
    </row>
    <row r="11708" spans="1:14" ht="14.25" customHeight="1" x14ac:dyDescent="0.25">
      <c r="A11708" s="192"/>
      <c r="B11708" s="192"/>
      <c r="C11708" s="215"/>
      <c r="D11708" s="215"/>
      <c r="E11708" s="216"/>
      <c r="F11708" s="215"/>
      <c r="G11708" s="81"/>
      <c r="H11708" s="81"/>
      <c r="I11708" s="81"/>
      <c r="J11708" s="81"/>
      <c r="K11708" s="81"/>
      <c r="L11708" s="81"/>
      <c r="M11708" s="81"/>
      <c r="N11708" s="81"/>
    </row>
    <row r="11709" spans="1:14" ht="14.25" customHeight="1" x14ac:dyDescent="0.25">
      <c r="A11709" s="198" t="s">
        <v>573</v>
      </c>
      <c r="B11709" s="198"/>
      <c r="C11709" s="193"/>
      <c r="D11709" s="193"/>
      <c r="E11709" s="193"/>
      <c r="F11709" s="193"/>
      <c r="G11709" s="81"/>
      <c r="H11709" s="81"/>
      <c r="I11709" s="81"/>
      <c r="J11709" s="81"/>
      <c r="K11709" s="81"/>
      <c r="L11709" s="81"/>
      <c r="M11709" s="81"/>
      <c r="N11709" s="81"/>
    </row>
    <row r="11710" spans="1:14" ht="14.25" customHeight="1" x14ac:dyDescent="0.25">
      <c r="A11710" s="585" t="s">
        <v>563</v>
      </c>
      <c r="B11710" s="586"/>
      <c r="C11710" s="587"/>
      <c r="D11710" s="474" t="s">
        <v>574</v>
      </c>
      <c r="E11710" s="474" t="s">
        <v>575</v>
      </c>
      <c r="F11710" s="474" t="s">
        <v>568</v>
      </c>
      <c r="G11710" s="81"/>
      <c r="H11710" s="81"/>
      <c r="I11710" s="81"/>
      <c r="J11710" s="81"/>
      <c r="K11710" s="81"/>
      <c r="L11710" s="81"/>
      <c r="M11710" s="81"/>
      <c r="N11710" s="81"/>
    </row>
    <row r="11711" spans="1:14" ht="14.25" customHeight="1" x14ac:dyDescent="0.25">
      <c r="A11711" s="588" t="s">
        <v>577</v>
      </c>
      <c r="B11711" s="586"/>
      <c r="C11711" s="587"/>
      <c r="D11711" s="490"/>
      <c r="E11711" s="484"/>
      <c r="F11711" s="483">
        <f>+F11724*5%</f>
        <v>106250</v>
      </c>
      <c r="G11711" s="81"/>
      <c r="H11711" s="81"/>
      <c r="I11711" s="81"/>
      <c r="J11711" s="81"/>
      <c r="K11711" s="81"/>
      <c r="L11711" s="81"/>
      <c r="M11711" s="81"/>
      <c r="N11711" s="81"/>
    </row>
    <row r="11712" spans="1:14" ht="14.25" customHeight="1" x14ac:dyDescent="0.25">
      <c r="A11712" s="588"/>
      <c r="B11712" s="586"/>
      <c r="C11712" s="587"/>
      <c r="D11712" s="505"/>
      <c r="E11712" s="484"/>
      <c r="F11712" s="483"/>
      <c r="G11712" s="81"/>
      <c r="H11712" s="81"/>
      <c r="I11712" s="81"/>
      <c r="J11712" s="81"/>
      <c r="K11712" s="81"/>
      <c r="L11712" s="81"/>
      <c r="M11712" s="81"/>
      <c r="N11712" s="81"/>
    </row>
    <row r="11713" spans="1:14" s="168" customFormat="1" ht="15.75" x14ac:dyDescent="0.25">
      <c r="A11713" s="588"/>
      <c r="B11713" s="586"/>
      <c r="C11713" s="587"/>
      <c r="D11713" s="505"/>
      <c r="E11713" s="484"/>
      <c r="F11713" s="483"/>
    </row>
    <row r="11714" spans="1:14" ht="14.25" customHeight="1" x14ac:dyDescent="0.25">
      <c r="A11714" s="588"/>
      <c r="B11714" s="586"/>
      <c r="C11714" s="587"/>
      <c r="D11714" s="505"/>
      <c r="E11714" s="484"/>
      <c r="F11714" s="483"/>
      <c r="G11714" s="81"/>
      <c r="H11714" s="81"/>
      <c r="I11714" s="81"/>
      <c r="J11714" s="81"/>
      <c r="K11714" s="81"/>
      <c r="L11714" s="81"/>
      <c r="M11714" s="81"/>
      <c r="N11714" s="81"/>
    </row>
    <row r="11715" spans="1:14" ht="14.25" customHeight="1" x14ac:dyDescent="0.25">
      <c r="A11715" s="589"/>
      <c r="B11715" s="586"/>
      <c r="C11715" s="587"/>
      <c r="D11715" s="491"/>
      <c r="E11715" s="484"/>
      <c r="F11715" s="483"/>
      <c r="G11715" s="81"/>
      <c r="H11715" s="81"/>
      <c r="I11715" s="81"/>
      <c r="J11715" s="81"/>
      <c r="K11715" s="81"/>
      <c r="L11715" s="81"/>
      <c r="M11715" s="81"/>
      <c r="N11715" s="81"/>
    </row>
    <row r="11716" spans="1:14" ht="14.25" customHeight="1" x14ac:dyDescent="0.25">
      <c r="A11716" s="585" t="s">
        <v>548</v>
      </c>
      <c r="B11716" s="586"/>
      <c r="C11716" s="587"/>
      <c r="D11716" s="487"/>
      <c r="E11716" s="487"/>
      <c r="F11716" s="489">
        <f>SUM(F11711:F11715)</f>
        <v>106250</v>
      </c>
      <c r="G11716" s="81"/>
      <c r="H11716" s="81"/>
      <c r="I11716" s="81"/>
      <c r="J11716" s="81"/>
      <c r="K11716" s="81"/>
      <c r="L11716" s="81"/>
      <c r="M11716" s="81"/>
      <c r="N11716" s="81"/>
    </row>
    <row r="11717" spans="1:14" ht="14.25" customHeight="1" x14ac:dyDescent="0.25">
      <c r="A11717" s="192"/>
      <c r="B11717" s="192"/>
      <c r="C11717" s="194"/>
      <c r="D11717" s="215"/>
      <c r="E11717" s="215"/>
      <c r="F11717" s="215"/>
      <c r="G11717" s="81"/>
      <c r="H11717" s="81"/>
      <c r="I11717" s="81"/>
      <c r="J11717" s="81"/>
      <c r="K11717" s="81"/>
      <c r="L11717" s="81"/>
      <c r="M11717" s="81"/>
      <c r="N11717" s="81"/>
    </row>
    <row r="11718" spans="1:14" ht="14.25" customHeight="1" x14ac:dyDescent="0.25">
      <c r="A11718" s="198" t="s">
        <v>578</v>
      </c>
      <c r="B11718" s="198"/>
      <c r="C11718" s="193"/>
      <c r="D11718" s="223"/>
      <c r="E11718" s="223"/>
      <c r="F11718" s="223"/>
      <c r="G11718" s="81"/>
      <c r="H11718" s="117"/>
      <c r="I11718" s="81"/>
      <c r="J11718" s="81"/>
      <c r="K11718" s="81"/>
      <c r="L11718" s="81"/>
      <c r="M11718" s="81"/>
      <c r="N11718" s="81"/>
    </row>
    <row r="11719" spans="1:14" ht="14.25" customHeight="1" x14ac:dyDescent="0.25">
      <c r="A11719" s="224" t="s">
        <v>563</v>
      </c>
      <c r="B11719" s="492" t="s">
        <v>579</v>
      </c>
      <c r="C11719" s="492" t="s">
        <v>580</v>
      </c>
      <c r="D11719" s="493" t="s">
        <v>581</v>
      </c>
      <c r="E11719" s="493" t="s">
        <v>575</v>
      </c>
      <c r="F11719" s="493" t="s">
        <v>568</v>
      </c>
      <c r="G11719" s="81"/>
      <c r="H11719" s="81"/>
      <c r="I11719" s="81"/>
      <c r="J11719" s="81"/>
      <c r="K11719" s="81"/>
      <c r="L11719" s="81"/>
      <c r="M11719" s="81"/>
      <c r="N11719" s="81"/>
    </row>
    <row r="11720" spans="1:14" ht="14.25" customHeight="1" x14ac:dyDescent="0.25">
      <c r="A11720" s="494" t="s">
        <v>936</v>
      </c>
      <c r="B11720" s="495">
        <v>1</v>
      </c>
      <c r="C11720" s="477">
        <v>165000</v>
      </c>
      <c r="D11720" s="477">
        <f t="shared" ref="D11720:D11721" si="577">+C11720*1.7</f>
        <v>280500</v>
      </c>
      <c r="E11720" s="484">
        <v>0.2</v>
      </c>
      <c r="F11720" s="483">
        <f t="shared" ref="F11720:F11721" si="578">+B11720*(D11720)/E11720</f>
        <v>1402500</v>
      </c>
      <c r="G11720" s="81"/>
      <c r="H11720" s="81"/>
      <c r="I11720" s="81"/>
      <c r="J11720" s="81"/>
      <c r="K11720" s="81"/>
      <c r="L11720" s="81"/>
      <c r="M11720" s="81"/>
      <c r="N11720" s="81"/>
    </row>
    <row r="11721" spans="1:14" ht="14.25" customHeight="1" x14ac:dyDescent="0.25">
      <c r="A11721" s="494" t="s">
        <v>937</v>
      </c>
      <c r="B11721" s="495">
        <v>1</v>
      </c>
      <c r="C11721" s="477">
        <v>85000</v>
      </c>
      <c r="D11721" s="477">
        <f t="shared" si="577"/>
        <v>144500</v>
      </c>
      <c r="E11721" s="484">
        <f>E11720</f>
        <v>0.2</v>
      </c>
      <c r="F11721" s="483">
        <f t="shared" si="578"/>
        <v>722500</v>
      </c>
      <c r="G11721" s="81"/>
      <c r="H11721" s="81"/>
      <c r="I11721" s="81"/>
      <c r="J11721" s="81"/>
      <c r="K11721" s="81"/>
      <c r="L11721" s="81"/>
      <c r="M11721" s="81"/>
      <c r="N11721" s="81"/>
    </row>
    <row r="11722" spans="1:14" ht="14.25" customHeight="1" x14ac:dyDescent="0.25">
      <c r="A11722" s="494"/>
      <c r="B11722" s="495"/>
      <c r="C11722" s="477"/>
      <c r="D11722" s="477"/>
      <c r="E11722" s="484"/>
      <c r="F11722" s="483"/>
      <c r="G11722" s="81"/>
      <c r="H11722" s="81"/>
      <c r="I11722" s="81"/>
      <c r="J11722" s="81"/>
      <c r="K11722" s="81"/>
      <c r="L11722" s="81"/>
      <c r="M11722" s="81"/>
      <c r="N11722" s="81"/>
    </row>
    <row r="11723" spans="1:14" ht="14.25" customHeight="1" x14ac:dyDescent="0.25">
      <c r="A11723" s="494"/>
      <c r="B11723" s="495"/>
      <c r="C11723" s="477"/>
      <c r="D11723" s="477"/>
      <c r="E11723" s="496"/>
      <c r="F11723" s="483"/>
      <c r="G11723" s="81"/>
      <c r="H11723" s="81"/>
      <c r="I11723" s="81"/>
      <c r="J11723" s="81"/>
      <c r="K11723" s="81"/>
      <c r="L11723" s="81"/>
      <c r="M11723" s="81"/>
      <c r="N11723" s="81"/>
    </row>
    <row r="11724" spans="1:14" ht="14.25" customHeight="1" x14ac:dyDescent="0.25">
      <c r="A11724" s="199" t="s">
        <v>548</v>
      </c>
      <c r="B11724" s="497"/>
      <c r="C11724" s="487"/>
      <c r="D11724" s="487"/>
      <c r="E11724" s="487"/>
      <c r="F11724" s="489">
        <f>SUM(F11720:F11723)</f>
        <v>2125000</v>
      </c>
      <c r="G11724" s="81"/>
      <c r="H11724" s="81"/>
      <c r="I11724" s="81"/>
      <c r="J11724" s="81"/>
      <c r="K11724" s="81"/>
      <c r="L11724" s="81"/>
      <c r="M11724" s="81"/>
      <c r="N11724" s="81"/>
    </row>
    <row r="11725" spans="1:14" ht="14.25" customHeight="1" x14ac:dyDescent="0.25">
      <c r="A11725" s="198"/>
      <c r="B11725" s="231"/>
      <c r="C11725" s="223"/>
      <c r="D11725" s="223"/>
      <c r="E11725" s="223"/>
      <c r="F11725" s="223"/>
      <c r="G11725" s="81"/>
      <c r="H11725" s="81"/>
      <c r="I11725" s="81"/>
      <c r="J11725" s="81"/>
      <c r="K11725" s="81"/>
      <c r="L11725" s="81"/>
      <c r="M11725" s="81"/>
      <c r="N11725" s="81"/>
    </row>
    <row r="11726" spans="1:14" ht="14.25" customHeight="1" x14ac:dyDescent="0.25">
      <c r="A11726" s="197" t="s">
        <v>583</v>
      </c>
      <c r="B11726" s="198"/>
      <c r="C11726" s="193"/>
      <c r="D11726" s="193"/>
      <c r="E11726" s="193" t="s">
        <v>584</v>
      </c>
      <c r="F11726" s="193"/>
      <c r="G11726" s="81"/>
      <c r="H11726" s="81"/>
      <c r="I11726" s="81"/>
      <c r="J11726" s="81"/>
      <c r="K11726" s="81"/>
      <c r="L11726" s="81"/>
      <c r="M11726" s="81"/>
      <c r="N11726" s="81"/>
    </row>
    <row r="11727" spans="1:14" ht="14.25" customHeight="1" x14ac:dyDescent="0.25">
      <c r="A11727" s="199" t="s">
        <v>563</v>
      </c>
      <c r="B11727" s="474" t="s">
        <v>564</v>
      </c>
      <c r="C11727" s="474" t="s">
        <v>585</v>
      </c>
      <c r="D11727" s="474" t="s">
        <v>586</v>
      </c>
      <c r="E11727" s="492" t="s">
        <v>587</v>
      </c>
      <c r="F11727" s="474" t="s">
        <v>568</v>
      </c>
      <c r="G11727" s="81"/>
      <c r="H11727" s="81"/>
      <c r="I11727" s="81"/>
      <c r="J11727" s="81"/>
      <c r="K11727" s="81"/>
      <c r="L11727" s="81"/>
      <c r="M11727" s="81"/>
      <c r="N11727" s="81"/>
    </row>
    <row r="11728" spans="1:14" ht="14.25" customHeight="1" x14ac:dyDescent="0.25">
      <c r="A11728" s="480"/>
      <c r="B11728" s="476"/>
      <c r="C11728" s="477"/>
      <c r="D11728" s="498"/>
      <c r="E11728" s="484"/>
      <c r="F11728" s="486">
        <f>+C11728*D11728*E11728</f>
        <v>0</v>
      </c>
      <c r="G11728" s="81"/>
      <c r="H11728" s="81"/>
      <c r="I11728" s="81"/>
      <c r="J11728" s="81"/>
      <c r="K11728" s="81"/>
      <c r="L11728" s="81"/>
      <c r="M11728" s="81"/>
      <c r="N11728" s="81"/>
    </row>
    <row r="11729" spans="1:14" ht="14.25" customHeight="1" x14ac:dyDescent="0.25">
      <c r="A11729" s="480"/>
      <c r="B11729" s="476"/>
      <c r="C11729" s="484"/>
      <c r="D11729" s="484"/>
      <c r="E11729" s="485"/>
      <c r="F11729" s="486"/>
      <c r="G11729" s="81"/>
      <c r="H11729" s="81"/>
      <c r="I11729" s="81"/>
      <c r="J11729" s="81"/>
      <c r="K11729" s="81"/>
      <c r="L11729" s="81"/>
      <c r="M11729" s="81"/>
      <c r="N11729" s="81"/>
    </row>
    <row r="11730" spans="1:14" ht="14.25" customHeight="1" x14ac:dyDescent="0.25">
      <c r="A11730" s="199" t="s">
        <v>548</v>
      </c>
      <c r="B11730" s="474"/>
      <c r="C11730" s="487"/>
      <c r="D11730" s="487"/>
      <c r="E11730" s="488"/>
      <c r="F11730" s="489">
        <f>SUM(F11728:F11729)</f>
        <v>0</v>
      </c>
      <c r="G11730" s="81"/>
      <c r="H11730" s="81"/>
      <c r="I11730" s="81"/>
      <c r="J11730" s="81"/>
      <c r="K11730" s="81"/>
      <c r="L11730" s="81"/>
      <c r="M11730" s="81"/>
      <c r="N11730" s="81"/>
    </row>
    <row r="11731" spans="1:14" ht="14.25" customHeight="1" x14ac:dyDescent="0.25">
      <c r="A11731" s="192"/>
      <c r="B11731" s="194"/>
      <c r="C11731" s="215"/>
      <c r="D11731" s="215"/>
      <c r="E11731" s="216"/>
      <c r="F11731" s="215"/>
      <c r="G11731" s="81"/>
      <c r="H11731" s="81"/>
      <c r="I11731" s="81"/>
      <c r="J11731" s="81"/>
      <c r="K11731" s="81"/>
      <c r="L11731" s="81"/>
      <c r="M11731" s="81"/>
      <c r="N11731" s="81"/>
    </row>
    <row r="11732" spans="1:14" ht="14.25" customHeight="1" x14ac:dyDescent="0.25">
      <c r="A11732" s="192"/>
      <c r="B11732" s="194"/>
      <c r="C11732" s="215"/>
      <c r="D11732" s="215"/>
      <c r="E11732" s="216"/>
      <c r="F11732" s="215"/>
      <c r="G11732" s="81"/>
      <c r="H11732" s="81"/>
      <c r="I11732" s="81"/>
      <c r="J11732" s="81"/>
      <c r="K11732" s="81"/>
      <c r="L11732" s="81"/>
      <c r="M11732" s="81"/>
      <c r="N11732" s="81"/>
    </row>
    <row r="11733" spans="1:14" ht="14.25" customHeight="1" x14ac:dyDescent="0.25">
      <c r="A11733" s="590" t="s">
        <v>588</v>
      </c>
      <c r="B11733" s="586"/>
      <c r="C11733" s="586"/>
      <c r="D11733" s="586"/>
      <c r="E11733" s="587"/>
      <c r="F11733" s="499">
        <f>ROUND(F11707+F11716+F11724+F11730,0)</f>
        <v>14927586</v>
      </c>
      <c r="G11733" s="81"/>
      <c r="H11733" s="81"/>
      <c r="I11733" s="81"/>
      <c r="J11733" s="81"/>
      <c r="K11733" s="81"/>
      <c r="L11733" s="81"/>
      <c r="M11733" s="81"/>
      <c r="N11733" s="81"/>
    </row>
    <row r="11734" spans="1:14" ht="14.25" customHeight="1" x14ac:dyDescent="0.25">
      <c r="A11734" s="590" t="s">
        <v>589</v>
      </c>
      <c r="B11734" s="586"/>
      <c r="C11734" s="586"/>
      <c r="D11734" s="586"/>
      <c r="E11734" s="587"/>
      <c r="F11734" s="500"/>
      <c r="G11734" s="81"/>
      <c r="H11734" s="81"/>
      <c r="I11734" s="81"/>
      <c r="J11734" s="81"/>
      <c r="K11734" s="81"/>
      <c r="L11734" s="81"/>
      <c r="M11734" s="81"/>
      <c r="N11734" s="81"/>
    </row>
    <row r="11735" spans="1:14" ht="14.25" customHeight="1" x14ac:dyDescent="0.25">
      <c r="A11735" s="300" t="s">
        <v>556</v>
      </c>
      <c r="B11735" s="506"/>
      <c r="C11735" s="506"/>
      <c r="D11735" s="506"/>
      <c r="E11735" s="507"/>
      <c r="F11735" s="501"/>
      <c r="G11735" s="81"/>
      <c r="H11735" s="81"/>
      <c r="I11735" s="81"/>
      <c r="J11735" s="81"/>
      <c r="K11735" s="81"/>
      <c r="L11735" s="81"/>
      <c r="M11735" s="81"/>
      <c r="N11735" s="81"/>
    </row>
    <row r="11736" spans="1:14" ht="30.75" customHeight="1" x14ac:dyDescent="0.25">
      <c r="A11736" s="301"/>
      <c r="B11736" s="502"/>
      <c r="C11736" s="502"/>
      <c r="D11736" s="502"/>
      <c r="E11736" s="502"/>
      <c r="F11736" s="503"/>
      <c r="G11736" s="81"/>
      <c r="H11736" s="81"/>
      <c r="I11736" s="81"/>
      <c r="J11736" s="81"/>
      <c r="K11736" s="81"/>
      <c r="L11736" s="81"/>
      <c r="M11736" s="81"/>
      <c r="N11736" s="81"/>
    </row>
    <row r="11737" spans="1:14" ht="14.25" customHeight="1" x14ac:dyDescent="0.25">
      <c r="A11737" s="301"/>
      <c r="B11737" s="502"/>
      <c r="C11737" s="502"/>
      <c r="D11737" s="502"/>
      <c r="E11737" s="502"/>
      <c r="F11737" s="503"/>
      <c r="G11737" s="81"/>
      <c r="H11737" s="81"/>
      <c r="I11737" s="81"/>
      <c r="J11737" s="81"/>
      <c r="K11737" s="81"/>
      <c r="L11737" s="81"/>
      <c r="M11737" s="81"/>
      <c r="N11737" s="81"/>
    </row>
    <row r="11738" spans="1:14" ht="14.25" customHeight="1" x14ac:dyDescent="0.25">
      <c r="A11738" s="301"/>
      <c r="B11738" s="502"/>
      <c r="C11738" s="502"/>
      <c r="D11738" s="502"/>
      <c r="E11738" s="502"/>
      <c r="F11738" s="503"/>
      <c r="G11738" s="81"/>
      <c r="H11738" s="81"/>
      <c r="I11738" s="81"/>
      <c r="J11738" s="81"/>
      <c r="K11738" s="81"/>
      <c r="L11738" s="81"/>
      <c r="M11738" s="81"/>
      <c r="N11738" s="81"/>
    </row>
    <row r="11739" spans="1:14" ht="14.25" customHeight="1" x14ac:dyDescent="0.25">
      <c r="A11739" s="243"/>
      <c r="B11739" s="243"/>
      <c r="C11739" s="504"/>
      <c r="D11739" s="243"/>
      <c r="E11739" s="243"/>
      <c r="F11739" s="243"/>
      <c r="G11739" s="81"/>
      <c r="H11739" s="81"/>
      <c r="I11739" s="81"/>
      <c r="J11739" s="81"/>
      <c r="K11739" s="81"/>
      <c r="L11739" s="81"/>
      <c r="M11739" s="81"/>
      <c r="N11739" s="81"/>
    </row>
    <row r="11740" spans="1:14" ht="14.25" customHeight="1" x14ac:dyDescent="0.25">
      <c r="A11740" s="243"/>
      <c r="B11740" s="243"/>
      <c r="C11740" s="504"/>
      <c r="D11740" s="243"/>
      <c r="E11740" s="243"/>
      <c r="F11740" s="243"/>
      <c r="G11740" s="81"/>
      <c r="H11740" s="81"/>
      <c r="I11740" s="81"/>
      <c r="J11740" s="81"/>
      <c r="K11740" s="81"/>
      <c r="L11740" s="81"/>
      <c r="M11740" s="81"/>
      <c r="N11740" s="81"/>
    </row>
    <row r="11741" spans="1:14" ht="14.25" customHeight="1" x14ac:dyDescent="0.25">
      <c r="A11741" s="243"/>
      <c r="B11741" s="243"/>
      <c r="C11741" s="504"/>
      <c r="D11741" s="243"/>
      <c r="E11741" s="243"/>
      <c r="F11741" s="243"/>
      <c r="G11741" s="81"/>
      <c r="H11741" s="81"/>
      <c r="I11741" s="81"/>
      <c r="J11741" s="81"/>
      <c r="K11741" s="81"/>
      <c r="L11741" s="81"/>
      <c r="M11741" s="81"/>
      <c r="N11741" s="81"/>
    </row>
    <row r="11742" spans="1:14" ht="14.25" customHeight="1" x14ac:dyDescent="0.25">
      <c r="A11742" s="243"/>
      <c r="B11742" s="243"/>
      <c r="C11742" s="504"/>
      <c r="D11742" s="243"/>
      <c r="E11742" s="243"/>
      <c r="F11742" s="243"/>
      <c r="G11742" s="81"/>
      <c r="H11742" s="81"/>
      <c r="I11742" s="81"/>
      <c r="J11742" s="81"/>
      <c r="K11742" s="81"/>
      <c r="L11742" s="81"/>
      <c r="M11742" s="81"/>
      <c r="N11742" s="81"/>
    </row>
    <row r="11743" spans="1:14" ht="14.25" customHeight="1" x14ac:dyDescent="0.25">
      <c r="A11743" s="243"/>
      <c r="B11743" s="243"/>
      <c r="C11743" s="504"/>
      <c r="D11743" s="243"/>
      <c r="E11743" s="243"/>
      <c r="F11743" s="243"/>
      <c r="G11743" s="81"/>
      <c r="H11743" s="81"/>
      <c r="I11743" s="81"/>
      <c r="J11743" s="81"/>
      <c r="K11743" s="81"/>
      <c r="L11743" s="81"/>
      <c r="M11743" s="81"/>
      <c r="N11743" s="81"/>
    </row>
    <row r="11744" spans="1:14" ht="14.25" customHeight="1" x14ac:dyDescent="0.25">
      <c r="A11744" s="243"/>
      <c r="B11744" s="243"/>
      <c r="C11744" s="504"/>
      <c r="D11744" s="243"/>
      <c r="E11744" s="243"/>
      <c r="F11744" s="243"/>
      <c r="G11744" s="81"/>
      <c r="H11744" s="81"/>
      <c r="I11744" s="81"/>
      <c r="J11744" s="81"/>
      <c r="K11744" s="81"/>
      <c r="L11744" s="81"/>
      <c r="M11744" s="81"/>
      <c r="N11744" s="81"/>
    </row>
    <row r="11745" spans="1:14" ht="14.25" customHeight="1" x14ac:dyDescent="0.25">
      <c r="A11745" s="243"/>
      <c r="B11745" s="243"/>
      <c r="C11745" s="504"/>
      <c r="D11745" s="243"/>
      <c r="E11745" s="243"/>
      <c r="F11745" s="243"/>
      <c r="G11745" s="81"/>
      <c r="H11745" s="81"/>
      <c r="I11745" s="81"/>
      <c r="J11745" s="81"/>
      <c r="K11745" s="81"/>
      <c r="L11745" s="81"/>
      <c r="M11745" s="81"/>
      <c r="N11745" s="81"/>
    </row>
    <row r="11746" spans="1:14" ht="14.25" customHeight="1" x14ac:dyDescent="0.25">
      <c r="A11746" s="243"/>
      <c r="B11746" s="243"/>
      <c r="C11746" s="504"/>
      <c r="D11746" s="243"/>
      <c r="E11746" s="243"/>
      <c r="F11746" s="243"/>
      <c r="G11746" s="81"/>
      <c r="H11746" s="81"/>
      <c r="I11746" s="81"/>
      <c r="J11746" s="81"/>
      <c r="K11746" s="81"/>
      <c r="L11746" s="81"/>
      <c r="M11746" s="81"/>
      <c r="N11746" s="81"/>
    </row>
    <row r="11747" spans="1:14" ht="14.25" customHeight="1" x14ac:dyDescent="0.25">
      <c r="A11747" s="243"/>
      <c r="B11747" s="243"/>
      <c r="C11747" s="504"/>
      <c r="D11747" s="243"/>
      <c r="E11747" s="243"/>
      <c r="F11747" s="243"/>
      <c r="G11747" s="81"/>
      <c r="H11747" s="81"/>
      <c r="I11747" s="81"/>
      <c r="J11747" s="81"/>
      <c r="K11747" s="81"/>
      <c r="L11747" s="81"/>
      <c r="M11747" s="81"/>
      <c r="N11747" s="81"/>
    </row>
    <row r="11748" spans="1:14" ht="14.25" customHeight="1" x14ac:dyDescent="0.25">
      <c r="A11748" s="243"/>
      <c r="B11748" s="243"/>
      <c r="C11748" s="504"/>
      <c r="D11748" s="243"/>
      <c r="E11748" s="243"/>
      <c r="F11748" s="243"/>
      <c r="G11748" s="81"/>
      <c r="H11748" s="81"/>
      <c r="I11748" s="81"/>
      <c r="J11748" s="81"/>
      <c r="K11748" s="81"/>
      <c r="L11748" s="81"/>
      <c r="M11748" s="81"/>
      <c r="N11748" s="81"/>
    </row>
    <row r="11749" spans="1:14" ht="14.25" customHeight="1" x14ac:dyDescent="0.25">
      <c r="A11749" s="243"/>
      <c r="B11749" s="243"/>
      <c r="C11749" s="504"/>
      <c r="D11749" s="243"/>
      <c r="E11749" s="243"/>
      <c r="F11749" s="243"/>
      <c r="G11749" s="81"/>
      <c r="H11749" s="81"/>
      <c r="I11749" s="81"/>
      <c r="J11749" s="81"/>
      <c r="K11749" s="81"/>
      <c r="L11749" s="81"/>
      <c r="M11749" s="81"/>
      <c r="N11749" s="81"/>
    </row>
    <row r="11750" spans="1:14" ht="14.25" customHeight="1" x14ac:dyDescent="0.25">
      <c r="A11750" s="243"/>
      <c r="B11750" s="243"/>
      <c r="C11750" s="504"/>
      <c r="D11750" s="243"/>
      <c r="E11750" s="243"/>
      <c r="F11750" s="243"/>
      <c r="G11750" s="81"/>
      <c r="H11750" s="81"/>
      <c r="I11750" s="81"/>
      <c r="J11750" s="81"/>
      <c r="K11750" s="81"/>
      <c r="L11750" s="81"/>
      <c r="M11750" s="81"/>
      <c r="N11750" s="81"/>
    </row>
    <row r="11751" spans="1:14" ht="14.25" customHeight="1" x14ac:dyDescent="0.25">
      <c r="A11751" s="243"/>
      <c r="B11751" s="243"/>
      <c r="C11751" s="504"/>
      <c r="D11751" s="243"/>
      <c r="E11751" s="243"/>
      <c r="F11751" s="243"/>
      <c r="G11751" s="81"/>
      <c r="H11751" s="81"/>
      <c r="I11751" s="81"/>
      <c r="J11751" s="81"/>
      <c r="K11751" s="81"/>
      <c r="L11751" s="81"/>
      <c r="M11751" s="81"/>
      <c r="N11751" s="81"/>
    </row>
    <row r="11752" spans="1:14" ht="14.25" customHeight="1" thickBot="1" x14ac:dyDescent="0.3">
      <c r="A11752" s="243"/>
      <c r="B11752" s="243"/>
      <c r="C11752" s="504"/>
      <c r="D11752" s="243"/>
      <c r="E11752" s="243"/>
      <c r="F11752" s="243"/>
      <c r="G11752" s="81"/>
      <c r="H11752" s="81"/>
      <c r="I11752" s="81"/>
      <c r="J11752" s="81"/>
      <c r="K11752" s="81"/>
      <c r="L11752" s="81"/>
      <c r="M11752" s="81"/>
      <c r="N11752" s="81"/>
    </row>
    <row r="11753" spans="1:14" ht="14.25" customHeight="1" x14ac:dyDescent="0.25">
      <c r="A11753" s="258"/>
      <c r="B11753" s="259"/>
      <c r="C11753" s="260"/>
      <c r="D11753" s="261"/>
      <c r="E11753" s="261"/>
      <c r="F11753" s="262"/>
      <c r="G11753" s="81"/>
      <c r="H11753" s="81"/>
      <c r="I11753" s="81"/>
      <c r="J11753" s="81"/>
      <c r="K11753" s="81"/>
      <c r="L11753" s="81"/>
      <c r="M11753" s="81"/>
      <c r="N11753" s="81"/>
    </row>
    <row r="11754" spans="1:14" ht="14.25" customHeight="1" x14ac:dyDescent="0.25">
      <c r="A11754" s="621"/>
      <c r="B11754" s="629"/>
      <c r="C11754" s="629"/>
      <c r="D11754" s="629"/>
      <c r="E11754" s="629"/>
      <c r="F11754" s="630"/>
      <c r="G11754" s="81"/>
      <c r="H11754" s="81"/>
      <c r="I11754" s="81"/>
      <c r="J11754" s="81"/>
      <c r="K11754" s="81"/>
      <c r="L11754" s="81"/>
      <c r="M11754" s="81"/>
      <c r="N11754" s="81"/>
    </row>
    <row r="11755" spans="1:14" ht="14.25" customHeight="1" x14ac:dyDescent="0.25">
      <c r="A11755" s="614" t="s">
        <v>561</v>
      </c>
      <c r="B11755" s="629"/>
      <c r="C11755" s="629"/>
      <c r="D11755" s="629"/>
      <c r="E11755" s="629"/>
      <c r="F11755" s="630"/>
      <c r="G11755" s="81"/>
      <c r="H11755" s="81"/>
      <c r="I11755" s="81"/>
      <c r="J11755" s="81"/>
      <c r="K11755" s="81"/>
      <c r="L11755" s="81"/>
      <c r="M11755" s="81"/>
      <c r="N11755" s="81"/>
    </row>
    <row r="11756" spans="1:14" ht="14.25" customHeight="1" thickBot="1" x14ac:dyDescent="0.3">
      <c r="A11756" s="617"/>
      <c r="B11756" s="631"/>
      <c r="C11756" s="631"/>
      <c r="D11756" s="631"/>
      <c r="E11756" s="631"/>
      <c r="F11756" s="632"/>
      <c r="G11756" s="81"/>
      <c r="H11756" s="81"/>
      <c r="I11756" s="81"/>
      <c r="J11756" s="81"/>
      <c r="K11756" s="81"/>
      <c r="L11756" s="81"/>
      <c r="M11756" s="81"/>
      <c r="N11756" s="81"/>
    </row>
    <row r="11757" spans="1:14" ht="14.25" customHeight="1" x14ac:dyDescent="0.25">
      <c r="A11757" s="192"/>
      <c r="B11757" s="192"/>
      <c r="C11757" s="194"/>
      <c r="D11757" s="194"/>
      <c r="E11757" s="194"/>
      <c r="F11757" s="194"/>
      <c r="G11757" s="81"/>
      <c r="H11757" s="81"/>
      <c r="I11757" s="81"/>
      <c r="J11757" s="81"/>
      <c r="K11757" s="81"/>
      <c r="L11757" s="81"/>
      <c r="M11757" s="81"/>
      <c r="N11757" s="81"/>
    </row>
    <row r="11758" spans="1:14" ht="14.25" customHeight="1" x14ac:dyDescent="0.25">
      <c r="A11758" s="473" t="s">
        <v>47</v>
      </c>
      <c r="B11758" s="620" t="s">
        <v>1198</v>
      </c>
      <c r="C11758" s="629"/>
      <c r="D11758" s="629"/>
      <c r="E11758" s="629"/>
      <c r="F11758" s="629"/>
      <c r="G11758" s="81"/>
      <c r="H11758" s="81"/>
      <c r="I11758" s="81"/>
      <c r="J11758" s="81"/>
      <c r="K11758" s="81"/>
      <c r="L11758" s="81"/>
      <c r="M11758" s="81"/>
      <c r="N11758" s="81"/>
    </row>
    <row r="11759" spans="1:14" ht="14.25" customHeight="1" x14ac:dyDescent="0.25">
      <c r="A11759" s="191"/>
      <c r="B11759" s="191"/>
      <c r="C11759" s="191"/>
      <c r="D11759" s="191"/>
      <c r="E11759" s="191"/>
      <c r="F11759" s="191"/>
      <c r="G11759" s="81"/>
      <c r="H11759" s="81"/>
      <c r="I11759" s="81"/>
      <c r="J11759" s="81"/>
      <c r="K11759" s="81"/>
      <c r="L11759" s="81"/>
      <c r="M11759" s="81"/>
      <c r="N11759" s="81"/>
    </row>
    <row r="11760" spans="1:14" ht="14.25" customHeight="1" x14ac:dyDescent="0.25">
      <c r="A11760" s="192" t="s">
        <v>49</v>
      </c>
      <c r="B11760" s="193" t="s">
        <v>99</v>
      </c>
      <c r="C11760" s="194"/>
      <c r="D11760" s="194"/>
      <c r="E11760" s="194"/>
      <c r="F11760" s="195"/>
      <c r="G11760" s="81"/>
      <c r="H11760" s="81"/>
      <c r="I11760" s="81"/>
      <c r="J11760" s="81"/>
      <c r="K11760" s="81"/>
      <c r="L11760" s="81"/>
      <c r="M11760" s="81"/>
      <c r="N11760" s="81"/>
    </row>
    <row r="11761" spans="1:14" ht="14.25" customHeight="1" x14ac:dyDescent="0.25">
      <c r="A11761" s="192"/>
      <c r="B11761" s="196"/>
      <c r="C11761" s="194"/>
      <c r="D11761" s="194"/>
      <c r="E11761" s="194"/>
      <c r="F11761" s="195"/>
      <c r="G11761" s="81"/>
      <c r="H11761" s="81"/>
      <c r="I11761" s="81"/>
      <c r="J11761" s="81"/>
      <c r="K11761" s="81"/>
      <c r="L11761" s="81"/>
      <c r="M11761" s="81"/>
      <c r="N11761" s="81"/>
    </row>
    <row r="11762" spans="1:14" ht="14.25" customHeight="1" x14ac:dyDescent="0.25">
      <c r="A11762" s="197" t="s">
        <v>562</v>
      </c>
      <c r="B11762" s="198"/>
      <c r="C11762" s="193"/>
      <c r="D11762" s="193"/>
      <c r="E11762" s="193"/>
      <c r="F11762" s="193"/>
      <c r="G11762" s="81"/>
      <c r="H11762" s="81"/>
      <c r="I11762" s="81"/>
      <c r="J11762" s="81"/>
      <c r="K11762" s="81"/>
      <c r="L11762" s="81"/>
      <c r="M11762" s="81"/>
      <c r="N11762" s="81"/>
    </row>
    <row r="11763" spans="1:14" ht="14.25" customHeight="1" x14ac:dyDescent="0.25">
      <c r="A11763" s="199" t="s">
        <v>563</v>
      </c>
      <c r="B11763" s="474" t="s">
        <v>564</v>
      </c>
      <c r="C11763" s="474" t="s">
        <v>565</v>
      </c>
      <c r="D11763" s="474" t="s">
        <v>566</v>
      </c>
      <c r="E11763" s="474" t="s">
        <v>567</v>
      </c>
      <c r="F11763" s="474" t="s">
        <v>568</v>
      </c>
      <c r="G11763" s="81"/>
      <c r="H11763" s="81"/>
      <c r="I11763" s="81"/>
      <c r="J11763" s="81"/>
      <c r="K11763" s="81"/>
      <c r="L11763" s="81"/>
      <c r="M11763" s="81"/>
      <c r="N11763" s="81"/>
    </row>
    <row r="11764" spans="1:14" ht="14.25" customHeight="1" x14ac:dyDescent="0.25">
      <c r="A11764" s="475" t="s">
        <v>1198</v>
      </c>
      <c r="B11764" s="476" t="s">
        <v>99</v>
      </c>
      <c r="C11764" s="477">
        <v>16005466</v>
      </c>
      <c r="D11764" s="478">
        <v>1</v>
      </c>
      <c r="E11764" s="479"/>
      <c r="F11764" s="477">
        <f t="shared" ref="F11764:F11766" si="579">C11764*(D11764+(D11764*E11764))</f>
        <v>16005466</v>
      </c>
      <c r="G11764" s="81"/>
      <c r="H11764" s="81"/>
      <c r="I11764" s="81"/>
      <c r="J11764" s="81"/>
      <c r="K11764" s="81"/>
      <c r="L11764" s="81"/>
      <c r="M11764" s="81"/>
      <c r="N11764" s="81"/>
    </row>
    <row r="11765" spans="1:14" ht="14.25" customHeight="1" x14ac:dyDescent="0.25">
      <c r="A11765" s="475"/>
      <c r="B11765" s="476"/>
      <c r="C11765" s="477"/>
      <c r="D11765" s="481"/>
      <c r="E11765" s="479"/>
      <c r="F11765" s="477">
        <f t="shared" si="579"/>
        <v>0</v>
      </c>
      <c r="G11765" s="81"/>
      <c r="H11765" s="81"/>
      <c r="I11765" s="81"/>
      <c r="J11765" s="81"/>
      <c r="K11765" s="81"/>
      <c r="L11765" s="81"/>
      <c r="M11765" s="81"/>
      <c r="N11765" s="81"/>
    </row>
    <row r="11766" spans="1:14" ht="14.25" customHeight="1" x14ac:dyDescent="0.25">
      <c r="A11766" s="475"/>
      <c r="B11766" s="476"/>
      <c r="C11766" s="477"/>
      <c r="D11766" s="481"/>
      <c r="E11766" s="479"/>
      <c r="F11766" s="477">
        <f t="shared" si="579"/>
        <v>0</v>
      </c>
      <c r="G11766" s="81"/>
      <c r="H11766" s="81"/>
      <c r="I11766" s="81"/>
      <c r="J11766" s="81"/>
      <c r="K11766" s="81"/>
      <c r="L11766" s="81"/>
      <c r="M11766" s="81"/>
      <c r="N11766" s="81"/>
    </row>
    <row r="11767" spans="1:14" ht="14.25" customHeight="1" x14ac:dyDescent="0.25">
      <c r="A11767" s="475"/>
      <c r="B11767" s="476"/>
      <c r="C11767" s="477"/>
      <c r="D11767" s="478"/>
      <c r="E11767" s="479"/>
      <c r="F11767" s="477"/>
      <c r="G11767" s="81"/>
      <c r="H11767" s="81"/>
      <c r="I11767" s="81"/>
      <c r="J11767" s="81"/>
      <c r="K11767" s="81"/>
      <c r="L11767" s="81"/>
      <c r="M11767" s="81"/>
      <c r="N11767" s="81"/>
    </row>
    <row r="11768" spans="1:14" ht="14.25" customHeight="1" x14ac:dyDescent="0.25">
      <c r="A11768" s="475"/>
      <c r="B11768" s="476"/>
      <c r="C11768" s="477"/>
      <c r="D11768" s="478"/>
      <c r="E11768" s="479"/>
      <c r="F11768" s="477"/>
      <c r="G11768" s="81"/>
      <c r="H11768" s="81"/>
      <c r="I11768" s="81"/>
      <c r="J11768" s="81"/>
      <c r="K11768" s="81"/>
      <c r="L11768" s="81"/>
      <c r="M11768" s="81"/>
      <c r="N11768" s="81"/>
    </row>
    <row r="11769" spans="1:14" ht="14.25" customHeight="1" x14ac:dyDescent="0.25">
      <c r="A11769" s="475"/>
      <c r="B11769" s="476"/>
      <c r="C11769" s="477"/>
      <c r="D11769" s="478"/>
      <c r="E11769" s="479"/>
      <c r="F11769" s="477"/>
      <c r="G11769" s="81"/>
      <c r="H11769" s="81"/>
      <c r="I11769" s="81"/>
      <c r="J11769" s="81"/>
      <c r="K11769" s="81"/>
      <c r="L11769" s="81"/>
      <c r="M11769" s="81"/>
      <c r="N11769" s="81"/>
    </row>
    <row r="11770" spans="1:14" ht="14.25" customHeight="1" x14ac:dyDescent="0.25">
      <c r="A11770" s="475"/>
      <c r="B11770" s="476"/>
      <c r="C11770" s="483"/>
      <c r="D11770" s="484"/>
      <c r="E11770" s="485"/>
      <c r="F11770" s="483"/>
      <c r="G11770" s="81"/>
      <c r="H11770" s="81"/>
      <c r="I11770" s="81"/>
      <c r="J11770" s="81"/>
      <c r="K11770" s="81"/>
      <c r="L11770" s="81"/>
      <c r="M11770" s="81"/>
      <c r="N11770" s="81"/>
    </row>
    <row r="11771" spans="1:14" ht="14.25" customHeight="1" x14ac:dyDescent="0.25">
      <c r="A11771" s="199" t="s">
        <v>548</v>
      </c>
      <c r="B11771" s="199"/>
      <c r="C11771" s="486"/>
      <c r="D11771" s="487"/>
      <c r="E11771" s="488"/>
      <c r="F11771" s="489">
        <f>SUM(F11764:F11770)</f>
        <v>16005466</v>
      </c>
      <c r="G11771" s="81"/>
      <c r="H11771" s="81"/>
      <c r="I11771" s="81"/>
      <c r="J11771" s="81"/>
      <c r="K11771" s="81"/>
      <c r="L11771" s="81"/>
      <c r="M11771" s="81"/>
      <c r="N11771" s="81"/>
    </row>
    <row r="11772" spans="1:14" ht="14.25" customHeight="1" x14ac:dyDescent="0.25">
      <c r="A11772" s="192"/>
      <c r="B11772" s="192"/>
      <c r="C11772" s="215"/>
      <c r="D11772" s="215"/>
      <c r="E11772" s="216"/>
      <c r="F11772" s="215"/>
      <c r="G11772" s="81"/>
      <c r="H11772" s="81"/>
      <c r="I11772" s="81"/>
      <c r="J11772" s="81"/>
      <c r="K11772" s="81"/>
      <c r="L11772" s="81"/>
      <c r="M11772" s="81"/>
      <c r="N11772" s="81"/>
    </row>
    <row r="11773" spans="1:14" ht="14.25" customHeight="1" x14ac:dyDescent="0.25">
      <c r="A11773" s="198" t="s">
        <v>573</v>
      </c>
      <c r="B11773" s="198"/>
      <c r="C11773" s="193"/>
      <c r="D11773" s="193"/>
      <c r="E11773" s="193"/>
      <c r="F11773" s="193"/>
      <c r="G11773" s="81"/>
      <c r="H11773" s="81"/>
      <c r="I11773" s="81"/>
      <c r="J11773" s="81"/>
      <c r="K11773" s="81"/>
      <c r="L11773" s="81"/>
      <c r="M11773" s="81"/>
      <c r="N11773" s="81"/>
    </row>
    <row r="11774" spans="1:14" ht="14.25" customHeight="1" x14ac:dyDescent="0.25">
      <c r="A11774" s="585" t="s">
        <v>563</v>
      </c>
      <c r="B11774" s="586"/>
      <c r="C11774" s="587"/>
      <c r="D11774" s="474" t="s">
        <v>574</v>
      </c>
      <c r="E11774" s="474" t="s">
        <v>575</v>
      </c>
      <c r="F11774" s="474" t="s">
        <v>568</v>
      </c>
      <c r="G11774" s="81"/>
      <c r="H11774" s="81"/>
      <c r="I11774" s="81"/>
      <c r="J11774" s="81"/>
      <c r="K11774" s="81"/>
      <c r="L11774" s="81"/>
      <c r="M11774" s="81"/>
      <c r="N11774" s="81"/>
    </row>
    <row r="11775" spans="1:14" ht="14.25" customHeight="1" x14ac:dyDescent="0.25">
      <c r="A11775" s="588" t="s">
        <v>577</v>
      </c>
      <c r="B11775" s="586"/>
      <c r="C11775" s="587"/>
      <c r="D11775" s="490"/>
      <c r="E11775" s="484"/>
      <c r="F11775" s="483">
        <f>+F11788*5%</f>
        <v>141666.66666666669</v>
      </c>
      <c r="G11775" s="81"/>
      <c r="H11775" s="81"/>
      <c r="I11775" s="81"/>
      <c r="J11775" s="81"/>
      <c r="K11775" s="81"/>
      <c r="L11775" s="81"/>
      <c r="M11775" s="81"/>
      <c r="N11775" s="81"/>
    </row>
    <row r="11776" spans="1:14" ht="14.25" customHeight="1" x14ac:dyDescent="0.25">
      <c r="A11776" s="588"/>
      <c r="B11776" s="586"/>
      <c r="C11776" s="587"/>
      <c r="D11776" s="505"/>
      <c r="E11776" s="484"/>
      <c r="F11776" s="483"/>
      <c r="G11776" s="81"/>
      <c r="H11776" s="81"/>
      <c r="I11776" s="81"/>
      <c r="J11776" s="81"/>
      <c r="K11776" s="81"/>
      <c r="L11776" s="81"/>
      <c r="M11776" s="81"/>
      <c r="N11776" s="81"/>
    </row>
    <row r="11777" spans="1:14" ht="14.25" customHeight="1" x14ac:dyDescent="0.25">
      <c r="A11777" s="588"/>
      <c r="B11777" s="586"/>
      <c r="C11777" s="587"/>
      <c r="D11777" s="505"/>
      <c r="E11777" s="484"/>
      <c r="F11777" s="483"/>
      <c r="G11777" s="81"/>
      <c r="H11777" s="81"/>
      <c r="I11777" s="81"/>
      <c r="J11777" s="81"/>
      <c r="K11777" s="81"/>
      <c r="L11777" s="81"/>
      <c r="M11777" s="81"/>
      <c r="N11777" s="81"/>
    </row>
    <row r="11778" spans="1:14" ht="14.25" customHeight="1" x14ac:dyDescent="0.25">
      <c r="A11778" s="588"/>
      <c r="B11778" s="586"/>
      <c r="C11778" s="587"/>
      <c r="D11778" s="505"/>
      <c r="E11778" s="484"/>
      <c r="F11778" s="483"/>
      <c r="G11778" s="81"/>
      <c r="H11778" s="81"/>
      <c r="I11778" s="81"/>
      <c r="J11778" s="81"/>
      <c r="K11778" s="81"/>
      <c r="L11778" s="81"/>
      <c r="M11778" s="81"/>
      <c r="N11778" s="81"/>
    </row>
    <row r="11779" spans="1:14" ht="14.25" customHeight="1" x14ac:dyDescent="0.25">
      <c r="A11779" s="589"/>
      <c r="B11779" s="586"/>
      <c r="C11779" s="587"/>
      <c r="D11779" s="491"/>
      <c r="E11779" s="484"/>
      <c r="F11779" s="483"/>
      <c r="G11779" s="81"/>
      <c r="H11779" s="81"/>
      <c r="I11779" s="81"/>
      <c r="J11779" s="81"/>
      <c r="K11779" s="81"/>
      <c r="L11779" s="81"/>
      <c r="M11779" s="81"/>
      <c r="N11779" s="81"/>
    </row>
    <row r="11780" spans="1:14" ht="14.25" customHeight="1" x14ac:dyDescent="0.25">
      <c r="A11780" s="585" t="s">
        <v>548</v>
      </c>
      <c r="B11780" s="586"/>
      <c r="C11780" s="587"/>
      <c r="D11780" s="487"/>
      <c r="E11780" s="487"/>
      <c r="F11780" s="489">
        <f>SUM(F11775:F11779)</f>
        <v>141666.66666666669</v>
      </c>
      <c r="G11780" s="81"/>
      <c r="H11780" s="81"/>
      <c r="I11780" s="81"/>
      <c r="J11780" s="81"/>
      <c r="K11780" s="81"/>
      <c r="L11780" s="81"/>
      <c r="M11780" s="81"/>
      <c r="N11780" s="81"/>
    </row>
    <row r="11781" spans="1:14" ht="14.25" customHeight="1" x14ac:dyDescent="0.25">
      <c r="A11781" s="192"/>
      <c r="B11781" s="192"/>
      <c r="C11781" s="194"/>
      <c r="D11781" s="215"/>
      <c r="E11781" s="215"/>
      <c r="F11781" s="215"/>
      <c r="G11781" s="81"/>
      <c r="H11781" s="81"/>
      <c r="I11781" s="81"/>
      <c r="J11781" s="81"/>
      <c r="K11781" s="81"/>
      <c r="L11781" s="81"/>
      <c r="M11781" s="81"/>
      <c r="N11781" s="81"/>
    </row>
    <row r="11782" spans="1:14" ht="14.25" customHeight="1" x14ac:dyDescent="0.25">
      <c r="A11782" s="198" t="s">
        <v>578</v>
      </c>
      <c r="B11782" s="198"/>
      <c r="C11782" s="193"/>
      <c r="D11782" s="223"/>
      <c r="E11782" s="223"/>
      <c r="F11782" s="223"/>
      <c r="G11782" s="81"/>
      <c r="H11782" s="117"/>
      <c r="I11782" s="81"/>
      <c r="J11782" s="81"/>
      <c r="K11782" s="81"/>
      <c r="L11782" s="81"/>
      <c r="M11782" s="81"/>
      <c r="N11782" s="81"/>
    </row>
    <row r="11783" spans="1:14" ht="14.25" customHeight="1" x14ac:dyDescent="0.25">
      <c r="A11783" s="224" t="s">
        <v>563</v>
      </c>
      <c r="B11783" s="492" t="s">
        <v>579</v>
      </c>
      <c r="C11783" s="492" t="s">
        <v>580</v>
      </c>
      <c r="D11783" s="493" t="s">
        <v>581</v>
      </c>
      <c r="E11783" s="493" t="s">
        <v>575</v>
      </c>
      <c r="F11783" s="493" t="s">
        <v>568</v>
      </c>
      <c r="G11783" s="81"/>
      <c r="H11783" s="81"/>
      <c r="I11783" s="81"/>
      <c r="J11783" s="81"/>
      <c r="K11783" s="81"/>
      <c r="L11783" s="81"/>
      <c r="M11783" s="81"/>
      <c r="N11783" s="81"/>
    </row>
    <row r="11784" spans="1:14" ht="14.25" customHeight="1" x14ac:dyDescent="0.25">
      <c r="A11784" s="494" t="s">
        <v>936</v>
      </c>
      <c r="B11784" s="495">
        <v>1</v>
      </c>
      <c r="C11784" s="477">
        <v>165000</v>
      </c>
      <c r="D11784" s="477">
        <f t="shared" ref="D11784:D11785" si="580">+C11784*1.7</f>
        <v>280500</v>
      </c>
      <c r="E11784" s="484">
        <v>0.15</v>
      </c>
      <c r="F11784" s="483">
        <f t="shared" ref="F11784:F11785" si="581">+B11784*(D11784)/E11784</f>
        <v>1870000</v>
      </c>
      <c r="G11784" s="81"/>
      <c r="H11784" s="81"/>
      <c r="I11784" s="81"/>
      <c r="J11784" s="81"/>
      <c r="K11784" s="81"/>
      <c r="L11784" s="81"/>
      <c r="M11784" s="81"/>
      <c r="N11784" s="81"/>
    </row>
    <row r="11785" spans="1:14" ht="14.25" customHeight="1" x14ac:dyDescent="0.25">
      <c r="A11785" s="494" t="s">
        <v>937</v>
      </c>
      <c r="B11785" s="495">
        <v>1</v>
      </c>
      <c r="C11785" s="477">
        <v>85000</v>
      </c>
      <c r="D11785" s="477">
        <f t="shared" si="580"/>
        <v>144500</v>
      </c>
      <c r="E11785" s="484">
        <f>E11784</f>
        <v>0.15</v>
      </c>
      <c r="F11785" s="483">
        <f t="shared" si="581"/>
        <v>963333.33333333337</v>
      </c>
      <c r="G11785" s="81"/>
      <c r="H11785" s="81"/>
      <c r="I11785" s="81"/>
      <c r="J11785" s="81"/>
      <c r="K11785" s="81"/>
      <c r="L11785" s="81"/>
      <c r="M11785" s="81"/>
      <c r="N11785" s="81"/>
    </row>
    <row r="11786" spans="1:14" ht="14.25" customHeight="1" x14ac:dyDescent="0.25">
      <c r="A11786" s="494"/>
      <c r="B11786" s="495"/>
      <c r="C11786" s="477"/>
      <c r="D11786" s="477"/>
      <c r="E11786" s="484"/>
      <c r="F11786" s="483"/>
      <c r="G11786" s="81"/>
      <c r="H11786" s="81"/>
      <c r="I11786" s="81"/>
      <c r="J11786" s="81"/>
      <c r="K11786" s="81"/>
      <c r="L11786" s="81"/>
      <c r="M11786" s="81"/>
      <c r="N11786" s="81"/>
    </row>
    <row r="11787" spans="1:14" ht="14.25" customHeight="1" x14ac:dyDescent="0.25">
      <c r="A11787" s="494"/>
      <c r="B11787" s="495"/>
      <c r="C11787" s="477"/>
      <c r="D11787" s="477"/>
      <c r="E11787" s="496"/>
      <c r="F11787" s="483"/>
      <c r="G11787" s="81"/>
      <c r="H11787" s="81"/>
      <c r="I11787" s="81"/>
      <c r="J11787" s="81"/>
      <c r="K11787" s="81"/>
      <c r="L11787" s="81"/>
      <c r="M11787" s="81"/>
      <c r="N11787" s="81"/>
    </row>
    <row r="11788" spans="1:14" ht="14.25" customHeight="1" x14ac:dyDescent="0.25">
      <c r="A11788" s="199" t="s">
        <v>548</v>
      </c>
      <c r="B11788" s="497"/>
      <c r="C11788" s="487"/>
      <c r="D11788" s="487"/>
      <c r="E11788" s="487"/>
      <c r="F11788" s="489">
        <f>SUM(F11784:F11787)</f>
        <v>2833333.3333333335</v>
      </c>
      <c r="G11788" s="81"/>
      <c r="H11788" s="81"/>
      <c r="I11788" s="81"/>
      <c r="J11788" s="81"/>
      <c r="K11788" s="81"/>
      <c r="L11788" s="81"/>
      <c r="M11788" s="81"/>
      <c r="N11788" s="81"/>
    </row>
    <row r="11789" spans="1:14" ht="14.25" customHeight="1" x14ac:dyDescent="0.25">
      <c r="A11789" s="198"/>
      <c r="B11789" s="231"/>
      <c r="C11789" s="223"/>
      <c r="D11789" s="223"/>
      <c r="E11789" s="223"/>
      <c r="F11789" s="223"/>
      <c r="G11789" s="81"/>
      <c r="H11789" s="81"/>
      <c r="I11789" s="81"/>
      <c r="J11789" s="81"/>
      <c r="K11789" s="81"/>
      <c r="L11789" s="81"/>
      <c r="M11789" s="81"/>
      <c r="N11789" s="81"/>
    </row>
    <row r="11790" spans="1:14" ht="14.25" customHeight="1" x14ac:dyDescent="0.25">
      <c r="A11790" s="197" t="s">
        <v>583</v>
      </c>
      <c r="B11790" s="198"/>
      <c r="C11790" s="193"/>
      <c r="D11790" s="193"/>
      <c r="E11790" s="193" t="s">
        <v>584</v>
      </c>
      <c r="F11790" s="193"/>
      <c r="G11790" s="81"/>
      <c r="H11790" s="81"/>
      <c r="I11790" s="81"/>
      <c r="J11790" s="81"/>
      <c r="K11790" s="81"/>
      <c r="L11790" s="81"/>
      <c r="M11790" s="81"/>
      <c r="N11790" s="81"/>
    </row>
    <row r="11791" spans="1:14" ht="14.25" customHeight="1" x14ac:dyDescent="0.25">
      <c r="A11791" s="199" t="s">
        <v>563</v>
      </c>
      <c r="B11791" s="474" t="s">
        <v>564</v>
      </c>
      <c r="C11791" s="474" t="s">
        <v>585</v>
      </c>
      <c r="D11791" s="474" t="s">
        <v>586</v>
      </c>
      <c r="E11791" s="492" t="s">
        <v>587</v>
      </c>
      <c r="F11791" s="474" t="s">
        <v>568</v>
      </c>
      <c r="G11791" s="81"/>
      <c r="H11791" s="81"/>
      <c r="I11791" s="81"/>
      <c r="J11791" s="81"/>
      <c r="K11791" s="81"/>
      <c r="L11791" s="81"/>
      <c r="M11791" s="81"/>
      <c r="N11791" s="81"/>
    </row>
    <row r="11792" spans="1:14" ht="14.25" customHeight="1" x14ac:dyDescent="0.25">
      <c r="A11792" s="480"/>
      <c r="B11792" s="476"/>
      <c r="C11792" s="477"/>
      <c r="D11792" s="498"/>
      <c r="E11792" s="484"/>
      <c r="F11792" s="486">
        <f>+C11792*D11792*E11792</f>
        <v>0</v>
      </c>
      <c r="G11792" s="81"/>
      <c r="H11792" s="81"/>
      <c r="I11792" s="81"/>
      <c r="J11792" s="81"/>
      <c r="K11792" s="81"/>
      <c r="L11792" s="81"/>
      <c r="M11792" s="81"/>
      <c r="N11792" s="81"/>
    </row>
    <row r="11793" spans="1:14" ht="14.25" customHeight="1" x14ac:dyDescent="0.25">
      <c r="A11793" s="480"/>
      <c r="B11793" s="476"/>
      <c r="C11793" s="484"/>
      <c r="D11793" s="484"/>
      <c r="E11793" s="485"/>
      <c r="F11793" s="486"/>
      <c r="G11793" s="81"/>
      <c r="H11793" s="81"/>
      <c r="I11793" s="81"/>
      <c r="J11793" s="81"/>
      <c r="K11793" s="81"/>
      <c r="L11793" s="81"/>
      <c r="M11793" s="81"/>
      <c r="N11793" s="81"/>
    </row>
    <row r="11794" spans="1:14" ht="14.25" customHeight="1" x14ac:dyDescent="0.25">
      <c r="A11794" s="199" t="s">
        <v>548</v>
      </c>
      <c r="B11794" s="474"/>
      <c r="C11794" s="487"/>
      <c r="D11794" s="487"/>
      <c r="E11794" s="488"/>
      <c r="F11794" s="489">
        <f>SUM(F11792:F11793)</f>
        <v>0</v>
      </c>
      <c r="G11794" s="81"/>
      <c r="H11794" s="81"/>
      <c r="I11794" s="81"/>
      <c r="J11794" s="81"/>
      <c r="K11794" s="81"/>
      <c r="L11794" s="81"/>
      <c r="M11794" s="81"/>
      <c r="N11794" s="81"/>
    </row>
    <row r="11795" spans="1:14" ht="14.25" customHeight="1" x14ac:dyDescent="0.25">
      <c r="A11795" s="192"/>
      <c r="B11795" s="194"/>
      <c r="C11795" s="215"/>
      <c r="D11795" s="215"/>
      <c r="E11795" s="216"/>
      <c r="F11795" s="215"/>
      <c r="G11795" s="81"/>
      <c r="H11795" s="81"/>
      <c r="I11795" s="81"/>
      <c r="J11795" s="81"/>
      <c r="K11795" s="81"/>
      <c r="L11795" s="81"/>
      <c r="M11795" s="81"/>
      <c r="N11795" s="81"/>
    </row>
    <row r="11796" spans="1:14" ht="14.25" customHeight="1" x14ac:dyDescent="0.25">
      <c r="A11796" s="192"/>
      <c r="B11796" s="194"/>
      <c r="C11796" s="215"/>
      <c r="D11796" s="215"/>
      <c r="E11796" s="216"/>
      <c r="F11796" s="215"/>
      <c r="G11796" s="81"/>
      <c r="H11796" s="81"/>
      <c r="I11796" s="81"/>
      <c r="J11796" s="81"/>
      <c r="K11796" s="81"/>
      <c r="L11796" s="81"/>
      <c r="M11796" s="81"/>
      <c r="N11796" s="81"/>
    </row>
    <row r="11797" spans="1:14" ht="14.25" customHeight="1" x14ac:dyDescent="0.25">
      <c r="A11797" s="590" t="s">
        <v>588</v>
      </c>
      <c r="B11797" s="586"/>
      <c r="C11797" s="586"/>
      <c r="D11797" s="586"/>
      <c r="E11797" s="587"/>
      <c r="F11797" s="499">
        <f>ROUND(F11771+F11780+F11788+F11794,0)</f>
        <v>18980466</v>
      </c>
      <c r="G11797" s="81"/>
      <c r="H11797" s="81"/>
      <c r="I11797" s="81"/>
      <c r="J11797" s="81"/>
      <c r="K11797" s="81"/>
      <c r="L11797" s="81"/>
      <c r="M11797" s="81"/>
      <c r="N11797" s="81"/>
    </row>
    <row r="11798" spans="1:14" ht="14.25" customHeight="1" x14ac:dyDescent="0.25">
      <c r="A11798" s="590" t="s">
        <v>589</v>
      </c>
      <c r="B11798" s="586"/>
      <c r="C11798" s="586"/>
      <c r="D11798" s="586"/>
      <c r="E11798" s="587"/>
      <c r="F11798" s="500"/>
      <c r="G11798" s="81"/>
      <c r="H11798" s="81"/>
      <c r="I11798" s="81"/>
      <c r="J11798" s="81"/>
      <c r="K11798" s="81"/>
      <c r="L11798" s="81"/>
      <c r="M11798" s="81"/>
      <c r="N11798" s="81"/>
    </row>
    <row r="11799" spans="1:14" ht="14.25" customHeight="1" x14ac:dyDescent="0.25">
      <c r="A11799" s="300" t="s">
        <v>556</v>
      </c>
      <c r="B11799" s="506"/>
      <c r="C11799" s="506"/>
      <c r="D11799" s="506"/>
      <c r="E11799" s="507"/>
      <c r="F11799" s="501"/>
      <c r="G11799" s="81"/>
      <c r="H11799" s="81"/>
      <c r="I11799" s="81"/>
      <c r="J11799" s="81"/>
      <c r="K11799" s="81"/>
      <c r="L11799" s="81"/>
      <c r="M11799" s="81"/>
      <c r="N11799" s="81"/>
    </row>
    <row r="11800" spans="1:14" ht="27.75" customHeight="1" x14ac:dyDescent="0.25">
      <c r="A11800" s="301"/>
      <c r="B11800" s="502"/>
      <c r="C11800" s="502"/>
      <c r="D11800" s="502"/>
      <c r="E11800" s="502"/>
      <c r="F11800" s="503"/>
      <c r="G11800" s="81"/>
      <c r="H11800" s="81"/>
      <c r="I11800" s="81"/>
      <c r="J11800" s="81"/>
      <c r="K11800" s="81"/>
      <c r="L11800" s="81"/>
      <c r="M11800" s="81"/>
      <c r="N11800" s="81"/>
    </row>
    <row r="11801" spans="1:14" ht="14.25" customHeight="1" x14ac:dyDescent="0.25">
      <c r="A11801" s="301"/>
      <c r="B11801" s="502"/>
      <c r="C11801" s="502"/>
      <c r="D11801" s="502"/>
      <c r="E11801" s="502"/>
      <c r="F11801" s="503"/>
      <c r="G11801" s="81"/>
      <c r="H11801" s="81"/>
      <c r="I11801" s="81"/>
      <c r="J11801" s="81"/>
      <c r="K11801" s="81"/>
      <c r="L11801" s="81"/>
      <c r="M11801" s="81"/>
      <c r="N11801" s="81"/>
    </row>
    <row r="11802" spans="1:14" ht="14.25" customHeight="1" x14ac:dyDescent="0.25">
      <c r="A11802" s="301"/>
      <c r="B11802" s="502"/>
      <c r="C11802" s="502"/>
      <c r="D11802" s="502"/>
      <c r="E11802" s="502"/>
      <c r="F11802" s="503"/>
      <c r="G11802" s="81"/>
      <c r="H11802" s="81"/>
      <c r="I11802" s="81"/>
      <c r="J11802" s="81"/>
      <c r="K11802" s="81"/>
      <c r="L11802" s="81"/>
      <c r="M11802" s="81"/>
      <c r="N11802" s="81"/>
    </row>
    <row r="11803" spans="1:14" ht="14.25" customHeight="1" x14ac:dyDescent="0.25">
      <c r="A11803" s="243"/>
      <c r="B11803" s="243"/>
      <c r="C11803" s="504"/>
      <c r="D11803" s="243"/>
      <c r="E11803" s="243"/>
      <c r="F11803" s="243"/>
      <c r="G11803" s="81"/>
      <c r="H11803" s="81"/>
      <c r="I11803" s="81"/>
      <c r="J11803" s="81"/>
      <c r="K11803" s="81"/>
      <c r="L11803" s="81"/>
      <c r="M11803" s="81"/>
      <c r="N11803" s="81"/>
    </row>
    <row r="11804" spans="1:14" ht="14.25" customHeight="1" x14ac:dyDescent="0.25">
      <c r="A11804" s="243"/>
      <c r="B11804" s="243"/>
      <c r="C11804" s="504"/>
      <c r="D11804" s="243"/>
      <c r="E11804" s="243"/>
      <c r="F11804" s="243"/>
      <c r="G11804" s="81"/>
      <c r="H11804" s="81"/>
      <c r="I11804" s="81"/>
      <c r="J11804" s="81"/>
      <c r="K11804" s="81"/>
      <c r="L11804" s="81"/>
      <c r="M11804" s="81"/>
      <c r="N11804" s="81"/>
    </row>
    <row r="11805" spans="1:14" ht="14.25" customHeight="1" x14ac:dyDescent="0.25">
      <c r="A11805" s="243"/>
      <c r="B11805" s="243"/>
      <c r="C11805" s="504"/>
      <c r="D11805" s="243"/>
      <c r="E11805" s="243"/>
      <c r="F11805" s="243"/>
      <c r="G11805" s="81"/>
      <c r="H11805" s="81"/>
      <c r="I11805" s="81"/>
      <c r="J11805" s="81"/>
      <c r="K11805" s="81"/>
      <c r="L11805" s="81"/>
      <c r="M11805" s="81"/>
      <c r="N11805" s="81"/>
    </row>
    <row r="11806" spans="1:14" ht="15.75" x14ac:dyDescent="0.25">
      <c r="A11806" s="243"/>
      <c r="B11806" s="243"/>
      <c r="C11806" s="504"/>
      <c r="D11806" s="243"/>
      <c r="E11806" s="243"/>
      <c r="F11806" s="243"/>
      <c r="G11806" s="81"/>
      <c r="H11806" s="81"/>
      <c r="I11806" s="81"/>
      <c r="J11806" s="81"/>
      <c r="K11806" s="81"/>
      <c r="L11806" s="81"/>
      <c r="M11806" s="81"/>
      <c r="N11806" s="81"/>
    </row>
    <row r="11807" spans="1:14" ht="14.25" customHeight="1" x14ac:dyDescent="0.25">
      <c r="A11807" s="243"/>
      <c r="B11807" s="243"/>
      <c r="C11807" s="504"/>
      <c r="D11807" s="243"/>
      <c r="E11807" s="243"/>
      <c r="F11807" s="243"/>
      <c r="G11807" s="81"/>
      <c r="H11807" s="81"/>
      <c r="I11807" s="81"/>
      <c r="J11807" s="81"/>
      <c r="K11807" s="81"/>
      <c r="L11807" s="81"/>
      <c r="M11807" s="81"/>
      <c r="N11807" s="81"/>
    </row>
    <row r="11808" spans="1:14" ht="14.25" customHeight="1" x14ac:dyDescent="0.25">
      <c r="A11808" s="243"/>
      <c r="B11808" s="243"/>
      <c r="C11808" s="504"/>
      <c r="D11808" s="243"/>
      <c r="E11808" s="243"/>
      <c r="F11808" s="243"/>
      <c r="G11808" s="81"/>
      <c r="H11808" s="81"/>
      <c r="I11808" s="81"/>
      <c r="J11808" s="81"/>
      <c r="K11808" s="81"/>
      <c r="L11808" s="81"/>
      <c r="M11808" s="81"/>
      <c r="N11808" s="81"/>
    </row>
    <row r="11809" spans="1:14" ht="14.25" customHeight="1" x14ac:dyDescent="0.25">
      <c r="A11809" s="243"/>
      <c r="B11809" s="243"/>
      <c r="C11809" s="504"/>
      <c r="D11809" s="243"/>
      <c r="E11809" s="243"/>
      <c r="F11809" s="243"/>
      <c r="G11809" s="81"/>
      <c r="H11809" s="81"/>
      <c r="I11809" s="81"/>
      <c r="J11809" s="81"/>
      <c r="K11809" s="81"/>
      <c r="L11809" s="81"/>
      <c r="M11809" s="81"/>
      <c r="N11809" s="81"/>
    </row>
    <row r="11810" spans="1:14" ht="14.25" customHeight="1" x14ac:dyDescent="0.25">
      <c r="A11810" s="243"/>
      <c r="B11810" s="243"/>
      <c r="C11810" s="504"/>
      <c r="D11810" s="243"/>
      <c r="E11810" s="243"/>
      <c r="F11810" s="243"/>
      <c r="G11810" s="81"/>
      <c r="H11810" s="81"/>
      <c r="I11810" s="81"/>
      <c r="J11810" s="81"/>
      <c r="K11810" s="81"/>
      <c r="L11810" s="81"/>
      <c r="M11810" s="81"/>
      <c r="N11810" s="81"/>
    </row>
    <row r="11811" spans="1:14" ht="14.25" customHeight="1" x14ac:dyDescent="0.25">
      <c r="A11811" s="243"/>
      <c r="B11811" s="243"/>
      <c r="C11811" s="504"/>
      <c r="D11811" s="243"/>
      <c r="E11811" s="243"/>
      <c r="F11811" s="243"/>
      <c r="G11811" s="81"/>
      <c r="H11811" s="81"/>
      <c r="I11811" s="81"/>
      <c r="J11811" s="81"/>
      <c r="K11811" s="81"/>
      <c r="L11811" s="81"/>
      <c r="M11811" s="81"/>
      <c r="N11811" s="81"/>
    </row>
    <row r="11812" spans="1:14" ht="14.25" customHeight="1" x14ac:dyDescent="0.25">
      <c r="A11812" s="243"/>
      <c r="B11812" s="243"/>
      <c r="C11812" s="504"/>
      <c r="D11812" s="243"/>
      <c r="E11812" s="243"/>
      <c r="F11812" s="243"/>
      <c r="G11812" s="81"/>
      <c r="H11812" s="81"/>
      <c r="I11812" s="81"/>
      <c r="J11812" s="81"/>
      <c r="K11812" s="81"/>
      <c r="L11812" s="81"/>
      <c r="M11812" s="81"/>
      <c r="N11812" s="81"/>
    </row>
    <row r="11813" spans="1:14" ht="14.25" customHeight="1" x14ac:dyDescent="0.25">
      <c r="A11813" s="243"/>
      <c r="B11813" s="243"/>
      <c r="C11813" s="504"/>
      <c r="D11813" s="243"/>
      <c r="E11813" s="243"/>
      <c r="F11813" s="243"/>
      <c r="G11813" s="81"/>
      <c r="H11813" s="81"/>
      <c r="I11813" s="81"/>
      <c r="J11813" s="81"/>
      <c r="K11813" s="81"/>
      <c r="L11813" s="81"/>
      <c r="M11813" s="81"/>
      <c r="N11813" s="81"/>
    </row>
    <row r="11814" spans="1:14" ht="14.25" customHeight="1" x14ac:dyDescent="0.25">
      <c r="A11814" s="243"/>
      <c r="B11814" s="243"/>
      <c r="C11814" s="504"/>
      <c r="D11814" s="243"/>
      <c r="E11814" s="243"/>
      <c r="F11814" s="243"/>
      <c r="G11814" s="81"/>
      <c r="H11814" s="81"/>
      <c r="I11814" s="81"/>
      <c r="J11814" s="81"/>
      <c r="K11814" s="81"/>
      <c r="L11814" s="81"/>
      <c r="M11814" s="81"/>
      <c r="N11814" s="81"/>
    </row>
    <row r="11815" spans="1:14" ht="14.25" customHeight="1" x14ac:dyDescent="0.25">
      <c r="A11815" s="243"/>
      <c r="B11815" s="243"/>
      <c r="C11815" s="504"/>
      <c r="D11815" s="243"/>
      <c r="E11815" s="243"/>
      <c r="F11815" s="243"/>
      <c r="G11815" s="81"/>
      <c r="H11815" s="81"/>
      <c r="I11815" s="81"/>
      <c r="J11815" s="81"/>
      <c r="K11815" s="81"/>
      <c r="L11815" s="81"/>
      <c r="M11815" s="81"/>
      <c r="N11815" s="81"/>
    </row>
    <row r="11816" spans="1:14" ht="14.25" customHeight="1" thickBot="1" x14ac:dyDescent="0.3">
      <c r="A11816" s="243"/>
      <c r="B11816" s="243"/>
      <c r="C11816" s="504"/>
      <c r="D11816" s="243"/>
      <c r="E11816" s="243"/>
      <c r="F11816" s="243"/>
      <c r="G11816" s="81"/>
      <c r="H11816" s="81"/>
      <c r="I11816" s="81"/>
      <c r="J11816" s="81"/>
      <c r="K11816" s="81"/>
      <c r="L11816" s="81"/>
      <c r="M11816" s="81"/>
      <c r="N11816" s="81"/>
    </row>
    <row r="11817" spans="1:14" ht="14.25" customHeight="1" x14ac:dyDescent="0.25">
      <c r="A11817" s="258"/>
      <c r="B11817" s="259"/>
      <c r="C11817" s="260"/>
      <c r="D11817" s="261"/>
      <c r="E11817" s="261"/>
      <c r="F11817" s="262"/>
      <c r="G11817" s="81"/>
      <c r="H11817" s="81"/>
      <c r="I11817" s="81"/>
      <c r="J11817" s="81"/>
      <c r="K11817" s="81"/>
      <c r="L11817" s="81"/>
      <c r="M11817" s="81"/>
      <c r="N11817" s="81"/>
    </row>
    <row r="11818" spans="1:14" ht="14.25" customHeight="1" x14ac:dyDescent="0.25">
      <c r="A11818" s="621"/>
      <c r="B11818" s="629"/>
      <c r="C11818" s="629"/>
      <c r="D11818" s="629"/>
      <c r="E11818" s="629"/>
      <c r="F11818" s="630"/>
      <c r="G11818" s="81"/>
      <c r="H11818" s="81"/>
      <c r="I11818" s="81"/>
      <c r="J11818" s="81"/>
      <c r="K11818" s="81"/>
      <c r="L11818" s="81"/>
      <c r="M11818" s="81"/>
      <c r="N11818" s="81"/>
    </row>
    <row r="11819" spans="1:14" ht="14.25" customHeight="1" x14ac:dyDescent="0.25">
      <c r="A11819" s="614" t="s">
        <v>561</v>
      </c>
      <c r="B11819" s="629"/>
      <c r="C11819" s="629"/>
      <c r="D11819" s="629"/>
      <c r="E11819" s="629"/>
      <c r="F11819" s="630"/>
      <c r="G11819" s="81"/>
      <c r="H11819" s="81"/>
      <c r="I11819" s="81"/>
      <c r="J11819" s="81"/>
      <c r="K11819" s="81"/>
      <c r="L11819" s="81"/>
      <c r="M11819" s="81"/>
      <c r="N11819" s="81"/>
    </row>
    <row r="11820" spans="1:14" ht="14.25" customHeight="1" thickBot="1" x14ac:dyDescent="0.3">
      <c r="A11820" s="617"/>
      <c r="B11820" s="631"/>
      <c r="C11820" s="631"/>
      <c r="D11820" s="631"/>
      <c r="E11820" s="631"/>
      <c r="F11820" s="632"/>
      <c r="G11820" s="81"/>
      <c r="H11820" s="81"/>
      <c r="I11820" s="81"/>
      <c r="J11820" s="81"/>
      <c r="K11820" s="81"/>
      <c r="L11820" s="81"/>
      <c r="M11820" s="81"/>
      <c r="N11820" s="81"/>
    </row>
    <row r="11821" spans="1:14" ht="14.25" customHeight="1" x14ac:dyDescent="0.25">
      <c r="A11821" s="192"/>
      <c r="B11821" s="192"/>
      <c r="C11821" s="194"/>
      <c r="D11821" s="194"/>
      <c r="E11821" s="194"/>
      <c r="F11821" s="194"/>
      <c r="G11821" s="81"/>
      <c r="H11821" s="81"/>
      <c r="I11821" s="81"/>
      <c r="J11821" s="81"/>
      <c r="K11821" s="81"/>
      <c r="L11821" s="81"/>
      <c r="M11821" s="81"/>
      <c r="N11821" s="81"/>
    </row>
    <row r="11822" spans="1:14" ht="14.25" customHeight="1" x14ac:dyDescent="0.25">
      <c r="A11822" s="473" t="s">
        <v>47</v>
      </c>
      <c r="B11822" s="620" t="s">
        <v>1199</v>
      </c>
      <c r="C11822" s="629"/>
      <c r="D11822" s="629"/>
      <c r="E11822" s="629"/>
      <c r="F11822" s="629"/>
      <c r="G11822" s="81"/>
      <c r="H11822" s="81"/>
      <c r="I11822" s="81"/>
      <c r="J11822" s="81"/>
      <c r="K11822" s="81"/>
      <c r="L11822" s="81"/>
      <c r="M11822" s="81"/>
      <c r="N11822" s="81"/>
    </row>
    <row r="11823" spans="1:14" ht="14.25" customHeight="1" x14ac:dyDescent="0.25">
      <c r="A11823" s="191"/>
      <c r="B11823" s="191"/>
      <c r="C11823" s="191"/>
      <c r="D11823" s="191"/>
      <c r="E11823" s="191"/>
      <c r="F11823" s="191"/>
      <c r="G11823" s="81"/>
      <c r="H11823" s="81"/>
      <c r="I11823" s="81"/>
      <c r="J11823" s="81"/>
      <c r="K11823" s="81"/>
      <c r="L11823" s="81"/>
      <c r="M11823" s="81"/>
      <c r="N11823" s="81"/>
    </row>
    <row r="11824" spans="1:14" ht="14.25" customHeight="1" x14ac:dyDescent="0.25">
      <c r="A11824" s="192" t="s">
        <v>49</v>
      </c>
      <c r="B11824" s="193" t="s">
        <v>99</v>
      </c>
      <c r="C11824" s="194"/>
      <c r="D11824" s="194"/>
      <c r="E11824" s="194"/>
      <c r="F11824" s="195"/>
      <c r="G11824" s="81"/>
      <c r="H11824" s="81"/>
      <c r="I11824" s="81"/>
      <c r="J11824" s="81"/>
      <c r="K11824" s="81"/>
      <c r="L11824" s="81"/>
      <c r="M11824" s="81"/>
      <c r="N11824" s="81"/>
    </row>
    <row r="11825" spans="1:14" ht="14.25" customHeight="1" x14ac:dyDescent="0.25">
      <c r="A11825" s="192"/>
      <c r="B11825" s="196"/>
      <c r="C11825" s="194"/>
      <c r="D11825" s="194"/>
      <c r="E11825" s="194"/>
      <c r="F11825" s="195"/>
      <c r="G11825" s="81"/>
      <c r="H11825" s="81"/>
      <c r="I11825" s="81"/>
      <c r="J11825" s="81"/>
      <c r="K11825" s="81"/>
      <c r="L11825" s="81"/>
      <c r="M11825" s="81"/>
      <c r="N11825" s="81"/>
    </row>
    <row r="11826" spans="1:14" ht="14.25" customHeight="1" x14ac:dyDescent="0.25">
      <c r="A11826" s="197" t="s">
        <v>562</v>
      </c>
      <c r="B11826" s="198"/>
      <c r="C11826" s="193"/>
      <c r="D11826" s="193"/>
      <c r="E11826" s="193"/>
      <c r="F11826" s="193"/>
      <c r="G11826" s="81"/>
      <c r="H11826" s="81"/>
      <c r="I11826" s="81"/>
      <c r="J11826" s="81"/>
      <c r="K11826" s="81"/>
      <c r="L11826" s="81"/>
      <c r="M11826" s="81"/>
      <c r="N11826" s="81"/>
    </row>
    <row r="11827" spans="1:14" ht="14.25" customHeight="1" x14ac:dyDescent="0.25">
      <c r="A11827" s="199" t="s">
        <v>563</v>
      </c>
      <c r="B11827" s="474" t="s">
        <v>564</v>
      </c>
      <c r="C11827" s="474" t="s">
        <v>565</v>
      </c>
      <c r="D11827" s="474" t="s">
        <v>566</v>
      </c>
      <c r="E11827" s="474" t="s">
        <v>567</v>
      </c>
      <c r="F11827" s="474" t="s">
        <v>568</v>
      </c>
      <c r="G11827" s="81"/>
      <c r="H11827" s="81"/>
      <c r="I11827" s="81"/>
      <c r="J11827" s="81"/>
      <c r="K11827" s="81"/>
      <c r="L11827" s="81"/>
      <c r="M11827" s="81"/>
      <c r="N11827" s="81"/>
    </row>
    <row r="11828" spans="1:14" ht="14.25" customHeight="1" x14ac:dyDescent="0.25">
      <c r="A11828" s="475" t="s">
        <v>1199</v>
      </c>
      <c r="B11828" s="476" t="s">
        <v>99</v>
      </c>
      <c r="C11828" s="477">
        <v>70888181</v>
      </c>
      <c r="D11828" s="478">
        <v>1</v>
      </c>
      <c r="E11828" s="479"/>
      <c r="F11828" s="477">
        <f t="shared" ref="F11828:F11830" si="582">C11828*(D11828+(D11828*E11828))</f>
        <v>70888181</v>
      </c>
      <c r="G11828" s="81"/>
      <c r="H11828" s="81"/>
      <c r="I11828" s="81"/>
      <c r="J11828" s="81"/>
      <c r="K11828" s="81"/>
      <c r="L11828" s="81"/>
      <c r="M11828" s="81"/>
      <c r="N11828" s="81"/>
    </row>
    <row r="11829" spans="1:14" ht="14.25" customHeight="1" x14ac:dyDescent="0.25">
      <c r="A11829" s="475"/>
      <c r="B11829" s="476"/>
      <c r="C11829" s="477"/>
      <c r="D11829" s="481"/>
      <c r="E11829" s="479"/>
      <c r="F11829" s="477">
        <f t="shared" si="582"/>
        <v>0</v>
      </c>
      <c r="G11829" s="81"/>
      <c r="H11829" s="81"/>
      <c r="I11829" s="81"/>
      <c r="J11829" s="81"/>
      <c r="K11829" s="81"/>
      <c r="L11829" s="81"/>
      <c r="M11829" s="81"/>
      <c r="N11829" s="81"/>
    </row>
    <row r="11830" spans="1:14" ht="14.25" customHeight="1" x14ac:dyDescent="0.25">
      <c r="A11830" s="475"/>
      <c r="B11830" s="476"/>
      <c r="C11830" s="477"/>
      <c r="D11830" s="481"/>
      <c r="E11830" s="479"/>
      <c r="F11830" s="477">
        <f t="shared" si="582"/>
        <v>0</v>
      </c>
      <c r="G11830" s="81"/>
      <c r="H11830" s="81"/>
      <c r="I11830" s="81"/>
      <c r="J11830" s="81"/>
      <c r="K11830" s="81"/>
      <c r="L11830" s="81"/>
      <c r="M11830" s="81"/>
      <c r="N11830" s="81"/>
    </row>
    <row r="11831" spans="1:14" ht="14.25" customHeight="1" x14ac:dyDescent="0.25">
      <c r="A11831" s="475"/>
      <c r="B11831" s="476"/>
      <c r="C11831" s="477"/>
      <c r="D11831" s="478"/>
      <c r="E11831" s="479"/>
      <c r="F11831" s="477"/>
      <c r="G11831" s="81"/>
      <c r="H11831" s="81"/>
      <c r="I11831" s="81"/>
      <c r="J11831" s="81"/>
      <c r="K11831" s="81"/>
      <c r="L11831" s="81"/>
      <c r="M11831" s="81"/>
      <c r="N11831" s="81"/>
    </row>
    <row r="11832" spans="1:14" ht="14.25" customHeight="1" x14ac:dyDescent="0.25">
      <c r="A11832" s="475"/>
      <c r="B11832" s="476"/>
      <c r="C11832" s="477"/>
      <c r="D11832" s="478"/>
      <c r="E11832" s="479"/>
      <c r="F11832" s="477"/>
      <c r="G11832" s="81"/>
      <c r="H11832" s="81"/>
      <c r="I11832" s="81"/>
      <c r="J11832" s="81"/>
      <c r="K11832" s="81"/>
      <c r="L11832" s="81"/>
      <c r="M11832" s="81"/>
      <c r="N11832" s="81"/>
    </row>
    <row r="11833" spans="1:14" ht="14.25" customHeight="1" x14ac:dyDescent="0.25">
      <c r="A11833" s="475"/>
      <c r="B11833" s="476"/>
      <c r="C11833" s="477"/>
      <c r="D11833" s="478"/>
      <c r="E11833" s="479"/>
      <c r="F11833" s="477"/>
      <c r="G11833" s="81"/>
      <c r="H11833" s="81"/>
      <c r="I11833" s="81"/>
      <c r="J11833" s="81"/>
      <c r="K11833" s="81"/>
      <c r="L11833" s="81"/>
      <c r="M11833" s="81"/>
      <c r="N11833" s="81"/>
    </row>
    <row r="11834" spans="1:14" ht="14.25" customHeight="1" x14ac:dyDescent="0.25">
      <c r="A11834" s="475"/>
      <c r="B11834" s="476"/>
      <c r="C11834" s="483"/>
      <c r="D11834" s="484"/>
      <c r="E11834" s="485"/>
      <c r="F11834" s="483"/>
      <c r="G11834" s="81"/>
      <c r="H11834" s="81"/>
      <c r="I11834" s="81"/>
      <c r="J11834" s="81"/>
      <c r="K11834" s="81"/>
      <c r="L11834" s="81"/>
      <c r="M11834" s="81"/>
      <c r="N11834" s="81"/>
    </row>
    <row r="11835" spans="1:14" ht="14.25" customHeight="1" x14ac:dyDescent="0.25">
      <c r="A11835" s="199" t="s">
        <v>548</v>
      </c>
      <c r="B11835" s="199"/>
      <c r="C11835" s="486"/>
      <c r="D11835" s="487"/>
      <c r="E11835" s="488"/>
      <c r="F11835" s="489">
        <f>SUM(F11828:F11834)</f>
        <v>70888181</v>
      </c>
      <c r="G11835" s="81"/>
      <c r="H11835" s="81"/>
      <c r="I11835" s="81"/>
      <c r="J11835" s="81"/>
      <c r="K11835" s="81"/>
      <c r="L11835" s="81"/>
      <c r="M11835" s="81"/>
      <c r="N11835" s="81"/>
    </row>
    <row r="11836" spans="1:14" ht="14.25" customHeight="1" x14ac:dyDescent="0.25">
      <c r="A11836" s="192"/>
      <c r="B11836" s="192"/>
      <c r="C11836" s="215"/>
      <c r="D11836" s="215"/>
      <c r="E11836" s="216"/>
      <c r="F11836" s="215"/>
      <c r="G11836" s="81"/>
      <c r="H11836" s="81"/>
      <c r="I11836" s="81"/>
      <c r="J11836" s="81"/>
      <c r="K11836" s="81"/>
      <c r="L11836" s="81"/>
      <c r="M11836" s="81"/>
      <c r="N11836" s="81"/>
    </row>
    <row r="11837" spans="1:14" ht="14.25" customHeight="1" x14ac:dyDescent="0.25">
      <c r="A11837" s="198" t="s">
        <v>573</v>
      </c>
      <c r="B11837" s="198"/>
      <c r="C11837" s="193"/>
      <c r="D11837" s="193"/>
      <c r="E11837" s="193"/>
      <c r="F11837" s="193"/>
      <c r="G11837" s="81"/>
      <c r="H11837" s="81"/>
      <c r="I11837" s="81"/>
      <c r="J11837" s="81"/>
      <c r="K11837" s="81"/>
      <c r="L11837" s="81"/>
      <c r="M11837" s="81"/>
      <c r="N11837" s="81"/>
    </row>
    <row r="11838" spans="1:14" ht="14.25" customHeight="1" x14ac:dyDescent="0.25">
      <c r="A11838" s="585" t="s">
        <v>563</v>
      </c>
      <c r="B11838" s="586"/>
      <c r="C11838" s="587"/>
      <c r="D11838" s="474" t="s">
        <v>574</v>
      </c>
      <c r="E11838" s="474" t="s">
        <v>575</v>
      </c>
      <c r="F11838" s="474" t="s">
        <v>568</v>
      </c>
      <c r="G11838" s="81"/>
      <c r="H11838" s="81"/>
      <c r="I11838" s="81"/>
      <c r="J11838" s="81"/>
      <c r="K11838" s="81"/>
      <c r="L11838" s="81"/>
      <c r="M11838" s="81"/>
      <c r="N11838" s="81"/>
    </row>
    <row r="11839" spans="1:14" ht="14.25" customHeight="1" x14ac:dyDescent="0.25">
      <c r="A11839" s="588" t="s">
        <v>577</v>
      </c>
      <c r="B11839" s="586"/>
      <c r="C11839" s="587"/>
      <c r="D11839" s="490"/>
      <c r="E11839" s="484"/>
      <c r="F11839" s="483">
        <f>+F11853*5%</f>
        <v>307467.95</v>
      </c>
      <c r="G11839" s="81"/>
      <c r="H11839" s="81"/>
      <c r="I11839" s="81"/>
      <c r="J11839" s="81"/>
      <c r="K11839" s="81"/>
      <c r="L11839" s="81"/>
      <c r="M11839" s="81"/>
      <c r="N11839" s="81"/>
    </row>
    <row r="11840" spans="1:14" ht="14.25" customHeight="1" x14ac:dyDescent="0.25">
      <c r="A11840" s="588"/>
      <c r="B11840" s="586"/>
      <c r="C11840" s="587"/>
      <c r="D11840" s="505"/>
      <c r="E11840" s="484"/>
      <c r="F11840" s="483"/>
      <c r="G11840" s="81"/>
      <c r="H11840" s="81"/>
      <c r="I11840" s="81"/>
      <c r="J11840" s="81"/>
      <c r="K11840" s="81"/>
      <c r="L11840" s="81"/>
      <c r="M11840" s="81"/>
      <c r="N11840" s="81"/>
    </row>
    <row r="11841" spans="1:14" ht="14.25" customHeight="1" x14ac:dyDescent="0.25">
      <c r="A11841" s="588"/>
      <c r="B11841" s="586"/>
      <c r="C11841" s="587"/>
      <c r="D11841" s="505"/>
      <c r="E11841" s="484"/>
      <c r="F11841" s="483"/>
      <c r="G11841" s="81"/>
      <c r="H11841" s="81"/>
      <c r="I11841" s="81"/>
      <c r="J11841" s="81"/>
      <c r="K11841" s="81"/>
      <c r="L11841" s="81"/>
      <c r="M11841" s="81"/>
      <c r="N11841" s="81"/>
    </row>
    <row r="11842" spans="1:14" ht="14.25" customHeight="1" x14ac:dyDescent="0.25">
      <c r="A11842" s="588"/>
      <c r="B11842" s="586"/>
      <c r="C11842" s="587"/>
      <c r="D11842" s="505"/>
      <c r="E11842" s="484"/>
      <c r="F11842" s="483"/>
      <c r="G11842" s="81"/>
      <c r="H11842" s="81"/>
      <c r="I11842" s="81"/>
      <c r="J11842" s="81"/>
      <c r="K11842" s="81"/>
      <c r="L11842" s="81"/>
      <c r="M11842" s="81"/>
      <c r="N11842" s="81"/>
    </row>
    <row r="11843" spans="1:14" ht="14.25" customHeight="1" x14ac:dyDescent="0.25">
      <c r="A11843" s="589"/>
      <c r="B11843" s="586"/>
      <c r="C11843" s="587"/>
      <c r="D11843" s="491"/>
      <c r="E11843" s="484"/>
      <c r="F11843" s="483"/>
      <c r="G11843" s="81"/>
      <c r="H11843" s="81"/>
      <c r="I11843" s="81"/>
      <c r="J11843" s="81"/>
      <c r="K11843" s="81"/>
      <c r="L11843" s="81"/>
      <c r="M11843" s="81"/>
      <c r="N11843" s="81"/>
    </row>
    <row r="11844" spans="1:14" ht="14.25" customHeight="1" x14ac:dyDescent="0.25">
      <c r="A11844" s="585" t="s">
        <v>548</v>
      </c>
      <c r="B11844" s="586"/>
      <c r="C11844" s="587"/>
      <c r="D11844" s="487"/>
      <c r="E11844" s="487"/>
      <c r="F11844" s="489">
        <f>SUM(F11839:F11843)</f>
        <v>307467.95</v>
      </c>
      <c r="G11844" s="81"/>
      <c r="H11844" s="81"/>
      <c r="I11844" s="81"/>
      <c r="J11844" s="81"/>
      <c r="K11844" s="81"/>
      <c r="L11844" s="81"/>
      <c r="M11844" s="81"/>
      <c r="N11844" s="81"/>
    </row>
    <row r="11845" spans="1:14" ht="14.25" customHeight="1" x14ac:dyDescent="0.25">
      <c r="A11845" s="192"/>
      <c r="B11845" s="192"/>
      <c r="C11845" s="194"/>
      <c r="D11845" s="215"/>
      <c r="E11845" s="215"/>
      <c r="F11845" s="215"/>
      <c r="G11845" s="81"/>
      <c r="H11845" s="81"/>
      <c r="I11845" s="81"/>
      <c r="J11845" s="81"/>
      <c r="K11845" s="81"/>
      <c r="L11845" s="81"/>
      <c r="M11845" s="81"/>
      <c r="N11845" s="81"/>
    </row>
    <row r="11846" spans="1:14" ht="14.25" customHeight="1" x14ac:dyDescent="0.25">
      <c r="A11846" s="198" t="s">
        <v>578</v>
      </c>
      <c r="B11846" s="198"/>
      <c r="C11846" s="193"/>
      <c r="D11846" s="223"/>
      <c r="E11846" s="223"/>
      <c r="F11846" s="223"/>
      <c r="G11846" s="81"/>
      <c r="H11846" s="117"/>
      <c r="I11846" s="81"/>
      <c r="J11846" s="81"/>
      <c r="K11846" s="81"/>
      <c r="L11846" s="81"/>
      <c r="M11846" s="81"/>
      <c r="N11846" s="81"/>
    </row>
    <row r="11847" spans="1:14" ht="14.25" customHeight="1" x14ac:dyDescent="0.25">
      <c r="A11847" s="224" t="s">
        <v>563</v>
      </c>
      <c r="B11847" s="492" t="s">
        <v>579</v>
      </c>
      <c r="C11847" s="492" t="s">
        <v>580</v>
      </c>
      <c r="D11847" s="493" t="s">
        <v>581</v>
      </c>
      <c r="E11847" s="493" t="s">
        <v>575</v>
      </c>
      <c r="F11847" s="493" t="s">
        <v>568</v>
      </c>
      <c r="G11847" s="81"/>
      <c r="H11847" s="81"/>
      <c r="I11847" s="81"/>
      <c r="J11847" s="81"/>
      <c r="K11847" s="81"/>
      <c r="L11847" s="81"/>
      <c r="M11847" s="81"/>
      <c r="N11847" s="81"/>
    </row>
    <row r="11848" spans="1:14" ht="14.25" customHeight="1" x14ac:dyDescent="0.25">
      <c r="A11848" s="494" t="s">
        <v>916</v>
      </c>
      <c r="B11848" s="495">
        <v>3</v>
      </c>
      <c r="C11848" s="477">
        <v>35956.800000000003</v>
      </c>
      <c r="D11848" s="477">
        <f t="shared" ref="D11848:D11851" si="583">+C11848*1.7</f>
        <v>61126.560000000005</v>
      </c>
      <c r="E11848" s="484">
        <v>0.2</v>
      </c>
      <c r="F11848" s="483">
        <f t="shared" ref="F11848:F11851" si="584">+B11848*(D11848)/E11848</f>
        <v>916898.4</v>
      </c>
      <c r="G11848" s="81"/>
      <c r="H11848" s="81"/>
      <c r="I11848" s="81"/>
      <c r="J11848" s="81"/>
      <c r="K11848" s="81"/>
      <c r="L11848" s="81"/>
      <c r="M11848" s="81"/>
      <c r="N11848" s="81"/>
    </row>
    <row r="11849" spans="1:14" ht="14.25" customHeight="1" x14ac:dyDescent="0.25">
      <c r="A11849" s="494" t="s">
        <v>917</v>
      </c>
      <c r="B11849" s="495">
        <v>2</v>
      </c>
      <c r="C11849" s="477">
        <v>57791.8</v>
      </c>
      <c r="D11849" s="477">
        <f t="shared" si="583"/>
        <v>98246.06</v>
      </c>
      <c r="E11849" s="484">
        <f>E11848</f>
        <v>0.2</v>
      </c>
      <c r="F11849" s="483">
        <f t="shared" si="584"/>
        <v>982460.6</v>
      </c>
      <c r="G11849" s="81"/>
      <c r="H11849" s="81"/>
      <c r="I11849" s="81"/>
      <c r="J11849" s="81"/>
      <c r="K11849" s="81"/>
      <c r="L11849" s="81"/>
      <c r="M11849" s="81"/>
      <c r="N11849" s="81"/>
    </row>
    <row r="11850" spans="1:14" ht="14.25" customHeight="1" x14ac:dyDescent="0.25">
      <c r="A11850" s="494" t="s">
        <v>936</v>
      </c>
      <c r="B11850" s="495">
        <v>1</v>
      </c>
      <c r="C11850" s="477">
        <v>165000</v>
      </c>
      <c r="D11850" s="477">
        <f t="shared" si="583"/>
        <v>280500</v>
      </c>
      <c r="E11850" s="484">
        <v>0.1</v>
      </c>
      <c r="F11850" s="483">
        <f t="shared" si="584"/>
        <v>2805000</v>
      </c>
      <c r="G11850" s="81"/>
      <c r="H11850" s="81"/>
      <c r="I11850" s="81"/>
      <c r="J11850" s="81"/>
      <c r="K11850" s="81"/>
      <c r="L11850" s="81"/>
      <c r="M11850" s="81"/>
      <c r="N11850" s="81"/>
    </row>
    <row r="11851" spans="1:14" ht="14.25" customHeight="1" x14ac:dyDescent="0.25">
      <c r="A11851" s="494" t="s">
        <v>937</v>
      </c>
      <c r="B11851" s="495">
        <v>1</v>
      </c>
      <c r="C11851" s="477">
        <v>85000</v>
      </c>
      <c r="D11851" s="477">
        <f t="shared" si="583"/>
        <v>144500</v>
      </c>
      <c r="E11851" s="484">
        <f>E11850</f>
        <v>0.1</v>
      </c>
      <c r="F11851" s="483">
        <f t="shared" si="584"/>
        <v>1445000</v>
      </c>
      <c r="G11851" s="81"/>
      <c r="H11851" s="81"/>
      <c r="I11851" s="81"/>
      <c r="J11851" s="81"/>
      <c r="K11851" s="81"/>
      <c r="L11851" s="81"/>
      <c r="M11851" s="81"/>
      <c r="N11851" s="81"/>
    </row>
    <row r="11852" spans="1:14" ht="14.25" customHeight="1" x14ac:dyDescent="0.25">
      <c r="A11852" s="494"/>
      <c r="B11852" s="495"/>
      <c r="C11852" s="477"/>
      <c r="D11852" s="477"/>
      <c r="E11852" s="484"/>
      <c r="F11852" s="483"/>
      <c r="G11852" s="81"/>
      <c r="H11852" s="81"/>
      <c r="I11852" s="81"/>
      <c r="J11852" s="81"/>
      <c r="K11852" s="81"/>
      <c r="L11852" s="81"/>
      <c r="M11852" s="81"/>
      <c r="N11852" s="81"/>
    </row>
    <row r="11853" spans="1:14" ht="14.25" customHeight="1" x14ac:dyDescent="0.25">
      <c r="A11853" s="199" t="s">
        <v>548</v>
      </c>
      <c r="B11853" s="497"/>
      <c r="C11853" s="487"/>
      <c r="D11853" s="487"/>
      <c r="E11853" s="487"/>
      <c r="F11853" s="489">
        <f>SUM(F11848:F11851)</f>
        <v>6149359</v>
      </c>
      <c r="G11853" s="81"/>
      <c r="H11853" s="81"/>
      <c r="I11853" s="81"/>
      <c r="J11853" s="81"/>
      <c r="K11853" s="81"/>
      <c r="L11853" s="81"/>
      <c r="M11853" s="81"/>
      <c r="N11853" s="81"/>
    </row>
    <row r="11854" spans="1:14" ht="14.25" customHeight="1" x14ac:dyDescent="0.25">
      <c r="A11854" s="198"/>
      <c r="B11854" s="231"/>
      <c r="C11854" s="223"/>
      <c r="D11854" s="223"/>
      <c r="E11854" s="223"/>
      <c r="F11854" s="223"/>
      <c r="G11854" s="81"/>
      <c r="H11854" s="81"/>
      <c r="I11854" s="81"/>
      <c r="J11854" s="81"/>
      <c r="K11854" s="81"/>
      <c r="L11854" s="81"/>
      <c r="M11854" s="81"/>
      <c r="N11854" s="81"/>
    </row>
    <row r="11855" spans="1:14" ht="14.25" customHeight="1" x14ac:dyDescent="0.25">
      <c r="A11855" s="197" t="s">
        <v>583</v>
      </c>
      <c r="B11855" s="198"/>
      <c r="C11855" s="193"/>
      <c r="D11855" s="193"/>
      <c r="E11855" s="193" t="s">
        <v>584</v>
      </c>
      <c r="F11855" s="193"/>
      <c r="G11855" s="81"/>
      <c r="H11855" s="81"/>
      <c r="I11855" s="81"/>
      <c r="J11855" s="81"/>
      <c r="K11855" s="81"/>
      <c r="L11855" s="81"/>
      <c r="M11855" s="81"/>
      <c r="N11855" s="81"/>
    </row>
    <row r="11856" spans="1:14" ht="14.25" customHeight="1" x14ac:dyDescent="0.25">
      <c r="A11856" s="199" t="s">
        <v>563</v>
      </c>
      <c r="B11856" s="474" t="s">
        <v>564</v>
      </c>
      <c r="C11856" s="474" t="s">
        <v>585</v>
      </c>
      <c r="D11856" s="474" t="s">
        <v>586</v>
      </c>
      <c r="E11856" s="492" t="s">
        <v>587</v>
      </c>
      <c r="F11856" s="474" t="s">
        <v>568</v>
      </c>
      <c r="G11856" s="81"/>
      <c r="H11856" s="81"/>
      <c r="I11856" s="81"/>
      <c r="J11856" s="81"/>
      <c r="K11856" s="81"/>
      <c r="L11856" s="81"/>
      <c r="M11856" s="81"/>
      <c r="N11856" s="81"/>
    </row>
    <row r="11857" spans="1:14" ht="14.25" customHeight="1" x14ac:dyDescent="0.25">
      <c r="A11857" s="480"/>
      <c r="B11857" s="476"/>
      <c r="C11857" s="477"/>
      <c r="D11857" s="498"/>
      <c r="E11857" s="484"/>
      <c r="F11857" s="486">
        <f>+C11857*D11857*E11857</f>
        <v>0</v>
      </c>
      <c r="G11857" s="81"/>
      <c r="H11857" s="81"/>
      <c r="I11857" s="81"/>
      <c r="J11857" s="81"/>
      <c r="K11857" s="81"/>
      <c r="L11857" s="81"/>
      <c r="M11857" s="81"/>
      <c r="N11857" s="81"/>
    </row>
    <row r="11858" spans="1:14" ht="14.25" customHeight="1" x14ac:dyDescent="0.25">
      <c r="A11858" s="480"/>
      <c r="B11858" s="476"/>
      <c r="C11858" s="484"/>
      <c r="D11858" s="484"/>
      <c r="E11858" s="485"/>
      <c r="F11858" s="486"/>
      <c r="G11858" s="81"/>
      <c r="H11858" s="81"/>
      <c r="I11858" s="81"/>
      <c r="J11858" s="81"/>
      <c r="K11858" s="81"/>
      <c r="L11858" s="81"/>
      <c r="M11858" s="81"/>
      <c r="N11858" s="81"/>
    </row>
    <row r="11859" spans="1:14" ht="14.25" customHeight="1" x14ac:dyDescent="0.25">
      <c r="A11859" s="199" t="s">
        <v>548</v>
      </c>
      <c r="B11859" s="474"/>
      <c r="C11859" s="487"/>
      <c r="D11859" s="487"/>
      <c r="E11859" s="488"/>
      <c r="F11859" s="489">
        <f>SUM(F11857:F11858)</f>
        <v>0</v>
      </c>
      <c r="G11859" s="81"/>
      <c r="H11859" s="81"/>
      <c r="I11859" s="81"/>
      <c r="J11859" s="81"/>
      <c r="K11859" s="81"/>
      <c r="L11859" s="81"/>
      <c r="M11859" s="81"/>
      <c r="N11859" s="81"/>
    </row>
    <row r="11860" spans="1:14" ht="14.25" customHeight="1" x14ac:dyDescent="0.25">
      <c r="A11860" s="192"/>
      <c r="B11860" s="194"/>
      <c r="C11860" s="215"/>
      <c r="D11860" s="215"/>
      <c r="E11860" s="216"/>
      <c r="F11860" s="215"/>
      <c r="G11860" s="81"/>
      <c r="H11860" s="81"/>
      <c r="I11860" s="81"/>
      <c r="J11860" s="81"/>
      <c r="K11860" s="81"/>
      <c r="L11860" s="81"/>
      <c r="M11860" s="81"/>
      <c r="N11860" s="81"/>
    </row>
    <row r="11861" spans="1:14" ht="14.25" customHeight="1" x14ac:dyDescent="0.25">
      <c r="A11861" s="192"/>
      <c r="B11861" s="194"/>
      <c r="C11861" s="215"/>
      <c r="D11861" s="215"/>
      <c r="E11861" s="216"/>
      <c r="F11861" s="215"/>
      <c r="G11861" s="81"/>
      <c r="H11861" s="81"/>
      <c r="I11861" s="81"/>
      <c r="J11861" s="81"/>
      <c r="K11861" s="81"/>
      <c r="L11861" s="81"/>
      <c r="M11861" s="81"/>
      <c r="N11861" s="81"/>
    </row>
    <row r="11862" spans="1:14" ht="14.25" customHeight="1" x14ac:dyDescent="0.25">
      <c r="A11862" s="590" t="s">
        <v>588</v>
      </c>
      <c r="B11862" s="586"/>
      <c r="C11862" s="586"/>
      <c r="D11862" s="586"/>
      <c r="E11862" s="587"/>
      <c r="F11862" s="499">
        <f>ROUND(F11835+F11844+F11853+F11859,0)</f>
        <v>77345008</v>
      </c>
      <c r="G11862" s="81"/>
      <c r="H11862" s="81"/>
      <c r="I11862" s="81"/>
      <c r="J11862" s="81"/>
      <c r="K11862" s="81"/>
      <c r="L11862" s="81"/>
      <c r="M11862" s="81"/>
      <c r="N11862" s="81"/>
    </row>
    <row r="11863" spans="1:14" ht="23.25" customHeight="1" x14ac:dyDescent="0.25">
      <c r="A11863" s="590" t="s">
        <v>589</v>
      </c>
      <c r="B11863" s="586"/>
      <c r="C11863" s="586"/>
      <c r="D11863" s="586"/>
      <c r="E11863" s="587"/>
      <c r="F11863" s="500"/>
      <c r="G11863" s="81"/>
      <c r="H11863" s="81"/>
      <c r="I11863" s="81"/>
      <c r="J11863" s="81"/>
      <c r="K11863" s="81"/>
      <c r="L11863" s="81"/>
      <c r="M11863" s="81"/>
      <c r="N11863" s="81"/>
    </row>
    <row r="11864" spans="1:14" ht="14.25" customHeight="1" x14ac:dyDescent="0.25">
      <c r="A11864" s="300" t="s">
        <v>556</v>
      </c>
      <c r="B11864" s="506"/>
      <c r="C11864" s="506"/>
      <c r="D11864" s="506"/>
      <c r="E11864" s="507"/>
      <c r="F11864" s="501"/>
      <c r="G11864" s="81"/>
      <c r="H11864" s="81"/>
      <c r="I11864" s="81"/>
      <c r="J11864" s="81"/>
      <c r="K11864" s="81"/>
      <c r="L11864" s="81"/>
      <c r="M11864" s="81"/>
      <c r="N11864" s="81"/>
    </row>
    <row r="11865" spans="1:14" ht="14.25" customHeight="1" x14ac:dyDescent="0.25">
      <c r="A11865" s="301"/>
      <c r="B11865" s="502"/>
      <c r="C11865" s="502"/>
      <c r="D11865" s="502"/>
      <c r="E11865" s="502"/>
      <c r="F11865" s="503"/>
      <c r="G11865" s="81"/>
      <c r="H11865" s="81"/>
      <c r="I11865" s="81"/>
      <c r="J11865" s="81"/>
      <c r="K11865" s="81"/>
      <c r="L11865" s="81"/>
      <c r="M11865" s="81"/>
      <c r="N11865" s="81"/>
    </row>
    <row r="11866" spans="1:14" ht="14.25" customHeight="1" x14ac:dyDescent="0.25">
      <c r="A11866" s="301"/>
      <c r="B11866" s="502"/>
      <c r="C11866" s="502"/>
      <c r="D11866" s="502"/>
      <c r="E11866" s="502"/>
      <c r="F11866" s="503"/>
      <c r="G11866" s="81"/>
      <c r="H11866" s="81"/>
      <c r="I11866" s="81"/>
      <c r="J11866" s="81"/>
      <c r="K11866" s="81"/>
      <c r="L11866" s="81"/>
      <c r="M11866" s="81"/>
      <c r="N11866" s="81"/>
    </row>
    <row r="11867" spans="1:14" ht="14.25" customHeight="1" x14ac:dyDescent="0.25">
      <c r="A11867" s="301"/>
      <c r="B11867" s="502"/>
      <c r="C11867" s="502"/>
      <c r="D11867" s="502"/>
      <c r="E11867" s="502"/>
      <c r="F11867" s="503"/>
      <c r="G11867" s="81"/>
      <c r="H11867" s="81"/>
      <c r="I11867" s="81"/>
      <c r="J11867" s="81"/>
      <c r="K11867" s="81"/>
      <c r="L11867" s="81"/>
      <c r="M11867" s="81"/>
      <c r="N11867" s="81"/>
    </row>
    <row r="11868" spans="1:14" ht="14.25" customHeight="1" x14ac:dyDescent="0.25">
      <c r="A11868" s="243"/>
      <c r="B11868" s="243"/>
      <c r="C11868" s="504"/>
      <c r="D11868" s="243"/>
      <c r="E11868" s="243"/>
      <c r="F11868" s="243"/>
      <c r="G11868" s="81"/>
      <c r="H11868" s="81"/>
      <c r="I11868" s="81"/>
      <c r="J11868" s="81"/>
      <c r="K11868" s="81"/>
      <c r="L11868" s="81"/>
      <c r="M11868" s="81"/>
      <c r="N11868" s="81"/>
    </row>
    <row r="11869" spans="1:14" ht="15.75" x14ac:dyDescent="0.25">
      <c r="A11869" s="243"/>
      <c r="B11869" s="243"/>
      <c r="C11869" s="504"/>
      <c r="D11869" s="243"/>
      <c r="E11869" s="243"/>
      <c r="F11869" s="243"/>
      <c r="G11869" s="81"/>
      <c r="H11869" s="81"/>
      <c r="I11869" s="81"/>
      <c r="J11869" s="81"/>
      <c r="K11869" s="81"/>
      <c r="L11869" s="81"/>
      <c r="M11869" s="81"/>
      <c r="N11869" s="81"/>
    </row>
    <row r="11870" spans="1:14" ht="14.25" customHeight="1" x14ac:dyDescent="0.25">
      <c r="A11870" s="243"/>
      <c r="B11870" s="243"/>
      <c r="C11870" s="504"/>
      <c r="D11870" s="243"/>
      <c r="E11870" s="243"/>
      <c r="F11870" s="243"/>
      <c r="G11870" s="81"/>
      <c r="H11870" s="81"/>
      <c r="I11870" s="81"/>
      <c r="J11870" s="81"/>
      <c r="K11870" s="81"/>
      <c r="L11870" s="81"/>
      <c r="M11870" s="81"/>
      <c r="N11870" s="81"/>
    </row>
    <row r="11871" spans="1:14" ht="14.25" customHeight="1" x14ac:dyDescent="0.25">
      <c r="A11871" s="243"/>
      <c r="B11871" s="243"/>
      <c r="C11871" s="504"/>
      <c r="D11871" s="243"/>
      <c r="E11871" s="243"/>
      <c r="F11871" s="243"/>
      <c r="G11871" s="81"/>
      <c r="H11871" s="81"/>
      <c r="I11871" s="81"/>
      <c r="J11871" s="81"/>
      <c r="K11871" s="81"/>
      <c r="L11871" s="81"/>
      <c r="M11871" s="81"/>
      <c r="N11871" s="81"/>
    </row>
    <row r="11872" spans="1:14" ht="14.25" customHeight="1" x14ac:dyDescent="0.25">
      <c r="A11872" s="243"/>
      <c r="B11872" s="243"/>
      <c r="C11872" s="504"/>
      <c r="D11872" s="243"/>
      <c r="E11872" s="243"/>
      <c r="F11872" s="243"/>
      <c r="G11872" s="81"/>
      <c r="H11872" s="81"/>
      <c r="I11872" s="81"/>
      <c r="J11872" s="81"/>
      <c r="K11872" s="81"/>
      <c r="L11872" s="81"/>
      <c r="M11872" s="81"/>
      <c r="N11872" s="81"/>
    </row>
    <row r="11873" spans="1:14" ht="14.25" customHeight="1" x14ac:dyDescent="0.25">
      <c r="A11873" s="243"/>
      <c r="B11873" s="243"/>
      <c r="C11873" s="504"/>
      <c r="D11873" s="243"/>
      <c r="E11873" s="243"/>
      <c r="F11873" s="243"/>
      <c r="G11873" s="81"/>
      <c r="H11873" s="81"/>
      <c r="I11873" s="81"/>
      <c r="J11873" s="81"/>
      <c r="K11873" s="81"/>
      <c r="L11873" s="81"/>
      <c r="M11873" s="81"/>
      <c r="N11873" s="81"/>
    </row>
    <row r="11874" spans="1:14" ht="14.25" customHeight="1" x14ac:dyDescent="0.25">
      <c r="A11874" s="243"/>
      <c r="B11874" s="243"/>
      <c r="C11874" s="504"/>
      <c r="D11874" s="243"/>
      <c r="E11874" s="243"/>
      <c r="F11874" s="243"/>
      <c r="G11874" s="81"/>
      <c r="H11874" s="81"/>
      <c r="I11874" s="81"/>
      <c r="J11874" s="81"/>
      <c r="K11874" s="81"/>
      <c r="L11874" s="81"/>
      <c r="M11874" s="81"/>
      <c r="N11874" s="81"/>
    </row>
    <row r="11875" spans="1:14" ht="14.25" customHeight="1" x14ac:dyDescent="0.25">
      <c r="A11875" s="243"/>
      <c r="B11875" s="243"/>
      <c r="C11875" s="504"/>
      <c r="D11875" s="243"/>
      <c r="E11875" s="243"/>
      <c r="F11875" s="243"/>
      <c r="G11875" s="81"/>
      <c r="H11875" s="81"/>
      <c r="I11875" s="81"/>
      <c r="J11875" s="81"/>
      <c r="K11875" s="81"/>
      <c r="L11875" s="81"/>
      <c r="M11875" s="81"/>
      <c r="N11875" s="81"/>
    </row>
    <row r="11876" spans="1:14" ht="14.25" customHeight="1" x14ac:dyDescent="0.25">
      <c r="A11876" s="243"/>
      <c r="B11876" s="243"/>
      <c r="C11876" s="504"/>
      <c r="D11876" s="243"/>
      <c r="E11876" s="243"/>
      <c r="F11876" s="243"/>
      <c r="G11876" s="81"/>
      <c r="H11876" s="81"/>
      <c r="I11876" s="81"/>
      <c r="J11876" s="81"/>
      <c r="K11876" s="81"/>
      <c r="L11876" s="81"/>
      <c r="M11876" s="81"/>
      <c r="N11876" s="81"/>
    </row>
    <row r="11877" spans="1:14" ht="14.25" customHeight="1" x14ac:dyDescent="0.25">
      <c r="A11877" s="243"/>
      <c r="B11877" s="243"/>
      <c r="C11877" s="504"/>
      <c r="D11877" s="243"/>
      <c r="E11877" s="243"/>
      <c r="F11877" s="243"/>
      <c r="G11877" s="81"/>
      <c r="H11877" s="81"/>
      <c r="I11877" s="81"/>
      <c r="J11877" s="81"/>
      <c r="K11877" s="81"/>
      <c r="L11877" s="81"/>
      <c r="M11877" s="81"/>
      <c r="N11877" s="81"/>
    </row>
    <row r="11878" spans="1:14" ht="14.25" customHeight="1" x14ac:dyDescent="0.25">
      <c r="A11878" s="243"/>
      <c r="B11878" s="243"/>
      <c r="C11878" s="504"/>
      <c r="D11878" s="243"/>
      <c r="E11878" s="243"/>
      <c r="F11878" s="243"/>
      <c r="G11878" s="81"/>
      <c r="H11878" s="81"/>
      <c r="I11878" s="81"/>
      <c r="J11878" s="81"/>
      <c r="K11878" s="81"/>
      <c r="L11878" s="81"/>
      <c r="M11878" s="81"/>
      <c r="N11878" s="81"/>
    </row>
    <row r="11879" spans="1:14" ht="14.25" customHeight="1" x14ac:dyDescent="0.25">
      <c r="A11879" s="243"/>
      <c r="B11879" s="243"/>
      <c r="C11879" s="504"/>
      <c r="D11879" s="243"/>
      <c r="E11879" s="243"/>
      <c r="F11879" s="243"/>
      <c r="G11879" s="81"/>
      <c r="H11879" s="81"/>
      <c r="I11879" s="81"/>
      <c r="J11879" s="81"/>
      <c r="K11879" s="81"/>
      <c r="L11879" s="81"/>
      <c r="M11879" s="81"/>
      <c r="N11879" s="81"/>
    </row>
    <row r="11880" spans="1:14" ht="14.25" customHeight="1" x14ac:dyDescent="0.25">
      <c r="A11880" s="243"/>
      <c r="B11880" s="243"/>
      <c r="C11880" s="504"/>
      <c r="D11880" s="243"/>
      <c r="E11880" s="243"/>
      <c r="F11880" s="243"/>
      <c r="G11880" s="81"/>
      <c r="H11880" s="81"/>
      <c r="I11880" s="81"/>
      <c r="J11880" s="81"/>
      <c r="K11880" s="81"/>
      <c r="L11880" s="81"/>
      <c r="M11880" s="81"/>
      <c r="N11880" s="81"/>
    </row>
    <row r="11881" spans="1:14" ht="14.25" customHeight="1" thickBot="1" x14ac:dyDescent="0.3">
      <c r="A11881" s="243"/>
      <c r="B11881" s="243"/>
      <c r="C11881" s="504"/>
      <c r="D11881" s="243"/>
      <c r="E11881" s="243"/>
      <c r="F11881" s="243"/>
      <c r="G11881" s="81"/>
      <c r="H11881" s="81"/>
      <c r="I11881" s="81"/>
      <c r="J11881" s="81"/>
      <c r="K11881" s="81"/>
      <c r="L11881" s="81"/>
      <c r="M11881" s="81"/>
      <c r="N11881" s="81"/>
    </row>
    <row r="11882" spans="1:14" ht="14.25" customHeight="1" x14ac:dyDescent="0.25">
      <c r="A11882" s="258"/>
      <c r="B11882" s="259"/>
      <c r="C11882" s="260"/>
      <c r="D11882" s="261"/>
      <c r="E11882" s="261"/>
      <c r="F11882" s="262"/>
      <c r="G11882" s="81"/>
      <c r="H11882" s="81"/>
      <c r="I11882" s="81"/>
      <c r="J11882" s="81"/>
      <c r="K11882" s="81"/>
      <c r="L11882" s="81"/>
      <c r="M11882" s="81"/>
      <c r="N11882" s="81"/>
    </row>
    <row r="11883" spans="1:14" ht="14.25" customHeight="1" x14ac:dyDescent="0.25">
      <c r="A11883" s="621"/>
      <c r="B11883" s="629"/>
      <c r="C11883" s="629"/>
      <c r="D11883" s="629"/>
      <c r="E11883" s="629"/>
      <c r="F11883" s="630"/>
      <c r="G11883" s="81"/>
      <c r="H11883" s="81"/>
      <c r="I11883" s="81"/>
      <c r="J11883" s="81"/>
      <c r="K11883" s="81"/>
      <c r="L11883" s="81"/>
      <c r="M11883" s="81"/>
      <c r="N11883" s="81"/>
    </row>
    <row r="11884" spans="1:14" ht="14.25" customHeight="1" x14ac:dyDescent="0.25">
      <c r="A11884" s="614" t="s">
        <v>561</v>
      </c>
      <c r="B11884" s="629"/>
      <c r="C11884" s="629"/>
      <c r="D11884" s="629"/>
      <c r="E11884" s="629"/>
      <c r="F11884" s="630"/>
      <c r="G11884" s="81"/>
      <c r="H11884" s="81"/>
      <c r="I11884" s="81"/>
      <c r="J11884" s="81"/>
      <c r="K11884" s="81"/>
      <c r="L11884" s="81"/>
      <c r="M11884" s="81"/>
      <c r="N11884" s="81"/>
    </row>
    <row r="11885" spans="1:14" ht="14.25" customHeight="1" thickBot="1" x14ac:dyDescent="0.3">
      <c r="A11885" s="617"/>
      <c r="B11885" s="631"/>
      <c r="C11885" s="631"/>
      <c r="D11885" s="631"/>
      <c r="E11885" s="631"/>
      <c r="F11885" s="632"/>
      <c r="G11885" s="81"/>
      <c r="H11885" s="81"/>
      <c r="I11885" s="81"/>
      <c r="J11885" s="81"/>
      <c r="K11885" s="81"/>
      <c r="L11885" s="81"/>
      <c r="M11885" s="81"/>
      <c r="N11885" s="81"/>
    </row>
    <row r="11886" spans="1:14" ht="14.25" customHeight="1" x14ac:dyDescent="0.25">
      <c r="A11886" s="192"/>
      <c r="B11886" s="192"/>
      <c r="C11886" s="194"/>
      <c r="D11886" s="194"/>
      <c r="E11886" s="194"/>
      <c r="F11886" s="194"/>
      <c r="G11886" s="81"/>
      <c r="H11886" s="81"/>
      <c r="I11886" s="81"/>
      <c r="J11886" s="81"/>
      <c r="K11886" s="81"/>
      <c r="L11886" s="81"/>
      <c r="M11886" s="81"/>
      <c r="N11886" s="81"/>
    </row>
    <row r="11887" spans="1:14" ht="14.25" customHeight="1" x14ac:dyDescent="0.25">
      <c r="A11887" s="473" t="s">
        <v>47</v>
      </c>
      <c r="B11887" s="620" t="s">
        <v>1200</v>
      </c>
      <c r="C11887" s="629"/>
      <c r="D11887" s="629"/>
      <c r="E11887" s="629"/>
      <c r="F11887" s="629"/>
      <c r="G11887" s="81"/>
      <c r="H11887" s="81"/>
      <c r="I11887" s="81"/>
      <c r="J11887" s="81"/>
      <c r="K11887" s="81"/>
      <c r="L11887" s="81"/>
      <c r="M11887" s="81"/>
      <c r="N11887" s="81"/>
    </row>
    <row r="11888" spans="1:14" ht="14.25" customHeight="1" x14ac:dyDescent="0.25">
      <c r="A11888" s="191"/>
      <c r="B11888" s="191"/>
      <c r="C11888" s="191"/>
      <c r="D11888" s="191"/>
      <c r="E11888" s="191"/>
      <c r="F11888" s="191"/>
      <c r="G11888" s="81"/>
      <c r="H11888" s="81"/>
      <c r="I11888" s="81"/>
      <c r="J11888" s="81"/>
      <c r="K11888" s="81"/>
      <c r="L11888" s="81"/>
      <c r="M11888" s="81"/>
      <c r="N11888" s="81"/>
    </row>
    <row r="11889" spans="1:14" ht="14.25" customHeight="1" x14ac:dyDescent="0.25">
      <c r="A11889" s="192" t="s">
        <v>49</v>
      </c>
      <c r="B11889" s="193" t="s">
        <v>99</v>
      </c>
      <c r="C11889" s="194"/>
      <c r="D11889" s="194"/>
      <c r="E11889" s="194"/>
      <c r="F11889" s="195"/>
      <c r="G11889" s="81"/>
      <c r="H11889" s="81"/>
      <c r="I11889" s="81"/>
      <c r="J11889" s="81"/>
      <c r="K11889" s="81"/>
      <c r="L11889" s="81"/>
      <c r="M11889" s="81"/>
      <c r="N11889" s="81"/>
    </row>
    <row r="11890" spans="1:14" ht="14.25" customHeight="1" x14ac:dyDescent="0.25">
      <c r="A11890" s="192"/>
      <c r="B11890" s="196"/>
      <c r="C11890" s="194"/>
      <c r="D11890" s="194"/>
      <c r="E11890" s="194"/>
      <c r="F11890" s="195"/>
      <c r="G11890" s="81"/>
      <c r="H11890" s="81"/>
      <c r="I11890" s="81"/>
      <c r="J11890" s="81"/>
      <c r="K11890" s="81"/>
      <c r="L11890" s="81"/>
      <c r="M11890" s="81"/>
      <c r="N11890" s="81"/>
    </row>
    <row r="11891" spans="1:14" ht="14.25" customHeight="1" x14ac:dyDescent="0.25">
      <c r="A11891" s="197" t="s">
        <v>562</v>
      </c>
      <c r="B11891" s="198"/>
      <c r="C11891" s="193"/>
      <c r="D11891" s="193"/>
      <c r="E11891" s="193"/>
      <c r="F11891" s="193"/>
      <c r="G11891" s="81"/>
      <c r="H11891" s="81"/>
      <c r="I11891" s="81"/>
      <c r="J11891" s="81"/>
      <c r="K11891" s="81"/>
      <c r="L11891" s="81"/>
      <c r="M11891" s="81"/>
      <c r="N11891" s="81"/>
    </row>
    <row r="11892" spans="1:14" ht="14.25" customHeight="1" x14ac:dyDescent="0.25">
      <c r="A11892" s="199" t="s">
        <v>563</v>
      </c>
      <c r="B11892" s="474" t="s">
        <v>564</v>
      </c>
      <c r="C11892" s="474" t="s">
        <v>565</v>
      </c>
      <c r="D11892" s="474" t="s">
        <v>566</v>
      </c>
      <c r="E11892" s="474" t="s">
        <v>567</v>
      </c>
      <c r="F11892" s="474" t="s">
        <v>568</v>
      </c>
      <c r="G11892" s="81"/>
      <c r="H11892" s="81"/>
      <c r="I11892" s="81"/>
      <c r="J11892" s="81"/>
      <c r="K11892" s="81"/>
      <c r="L11892" s="81"/>
      <c r="M11892" s="81"/>
      <c r="N11892" s="81"/>
    </row>
    <row r="11893" spans="1:14" ht="14.25" customHeight="1" x14ac:dyDescent="0.25">
      <c r="A11893" s="475" t="s">
        <v>1200</v>
      </c>
      <c r="B11893" s="476" t="s">
        <v>99</v>
      </c>
      <c r="C11893" s="477">
        <v>9224335</v>
      </c>
      <c r="D11893" s="478">
        <v>1</v>
      </c>
      <c r="E11893" s="479"/>
      <c r="F11893" s="477">
        <f t="shared" ref="F11893:F11895" si="585">C11893*(D11893+(D11893*E11893))</f>
        <v>9224335</v>
      </c>
      <c r="G11893" s="81"/>
      <c r="H11893" s="81"/>
      <c r="I11893" s="81"/>
      <c r="J11893" s="81"/>
      <c r="K11893" s="81"/>
      <c r="L11893" s="81"/>
      <c r="M11893" s="81"/>
      <c r="N11893" s="81"/>
    </row>
    <row r="11894" spans="1:14" ht="14.25" customHeight="1" x14ac:dyDescent="0.25">
      <c r="A11894" s="475"/>
      <c r="B11894" s="476"/>
      <c r="C11894" s="477"/>
      <c r="D11894" s="481"/>
      <c r="E11894" s="479"/>
      <c r="F11894" s="477">
        <f t="shared" si="585"/>
        <v>0</v>
      </c>
      <c r="G11894" s="81"/>
      <c r="H11894" s="81"/>
      <c r="I11894" s="81"/>
      <c r="J11894" s="81"/>
      <c r="K11894" s="81"/>
      <c r="L11894" s="81"/>
      <c r="M11894" s="81"/>
      <c r="N11894" s="81"/>
    </row>
    <row r="11895" spans="1:14" ht="14.25" customHeight="1" x14ac:dyDescent="0.25">
      <c r="A11895" s="475"/>
      <c r="B11895" s="476"/>
      <c r="C11895" s="477"/>
      <c r="D11895" s="481"/>
      <c r="E11895" s="479"/>
      <c r="F11895" s="477">
        <f t="shared" si="585"/>
        <v>0</v>
      </c>
      <c r="G11895" s="81"/>
      <c r="H11895" s="81"/>
      <c r="I11895" s="81"/>
      <c r="J11895" s="81"/>
      <c r="K11895" s="81"/>
      <c r="L11895" s="81"/>
      <c r="M11895" s="81"/>
      <c r="N11895" s="81"/>
    </row>
    <row r="11896" spans="1:14" ht="14.25" customHeight="1" x14ac:dyDescent="0.25">
      <c r="A11896" s="475"/>
      <c r="B11896" s="476"/>
      <c r="C11896" s="477"/>
      <c r="D11896" s="478"/>
      <c r="E11896" s="479"/>
      <c r="F11896" s="477"/>
      <c r="G11896" s="81"/>
      <c r="H11896" s="81"/>
      <c r="I11896" s="81"/>
      <c r="J11896" s="81"/>
      <c r="K11896" s="81"/>
      <c r="L11896" s="81"/>
      <c r="M11896" s="81"/>
      <c r="N11896" s="81"/>
    </row>
    <row r="11897" spans="1:14" ht="14.25" customHeight="1" x14ac:dyDescent="0.25">
      <c r="A11897" s="475"/>
      <c r="B11897" s="476"/>
      <c r="C11897" s="477"/>
      <c r="D11897" s="478"/>
      <c r="E11897" s="479"/>
      <c r="F11897" s="477"/>
      <c r="G11897" s="81"/>
      <c r="H11897" s="81"/>
      <c r="I11897" s="81"/>
      <c r="J11897" s="81"/>
      <c r="K11897" s="81"/>
      <c r="L11897" s="81"/>
      <c r="M11897" s="81"/>
      <c r="N11897" s="81"/>
    </row>
    <row r="11898" spans="1:14" ht="14.25" customHeight="1" x14ac:dyDescent="0.25">
      <c r="A11898" s="475"/>
      <c r="B11898" s="476"/>
      <c r="C11898" s="477"/>
      <c r="D11898" s="478"/>
      <c r="E11898" s="479"/>
      <c r="F11898" s="477"/>
      <c r="G11898" s="81"/>
      <c r="H11898" s="81"/>
      <c r="I11898" s="81"/>
      <c r="J11898" s="81"/>
      <c r="K11898" s="81"/>
      <c r="L11898" s="81"/>
      <c r="M11898" s="81"/>
      <c r="N11898" s="81"/>
    </row>
    <row r="11899" spans="1:14" ht="14.25" customHeight="1" x14ac:dyDescent="0.25">
      <c r="A11899" s="475"/>
      <c r="B11899" s="476"/>
      <c r="C11899" s="483"/>
      <c r="D11899" s="484"/>
      <c r="E11899" s="485"/>
      <c r="F11899" s="483"/>
      <c r="G11899" s="81"/>
      <c r="H11899" s="81"/>
      <c r="I11899" s="81"/>
      <c r="J11899" s="81"/>
      <c r="K11899" s="81"/>
      <c r="L11899" s="81"/>
      <c r="M11899" s="81"/>
      <c r="N11899" s="81"/>
    </row>
    <row r="11900" spans="1:14" ht="14.25" customHeight="1" x14ac:dyDescent="0.25">
      <c r="A11900" s="199" t="s">
        <v>548</v>
      </c>
      <c r="B11900" s="199"/>
      <c r="C11900" s="486"/>
      <c r="D11900" s="487"/>
      <c r="E11900" s="488"/>
      <c r="F11900" s="489">
        <f>SUM(F11893:F11899)</f>
        <v>9224335</v>
      </c>
      <c r="G11900" s="81"/>
      <c r="H11900" s="81"/>
      <c r="I11900" s="81"/>
      <c r="J11900" s="81"/>
      <c r="K11900" s="81"/>
      <c r="L11900" s="81"/>
      <c r="M11900" s="81"/>
      <c r="N11900" s="81"/>
    </row>
    <row r="11901" spans="1:14" ht="14.25" customHeight="1" x14ac:dyDescent="0.25">
      <c r="A11901" s="192"/>
      <c r="B11901" s="192"/>
      <c r="C11901" s="215"/>
      <c r="D11901" s="215"/>
      <c r="E11901" s="216"/>
      <c r="F11901" s="215"/>
      <c r="G11901" s="81"/>
      <c r="H11901" s="81"/>
      <c r="I11901" s="81"/>
      <c r="J11901" s="81"/>
      <c r="K11901" s="81"/>
      <c r="L11901" s="81"/>
      <c r="M11901" s="81"/>
      <c r="N11901" s="81"/>
    </row>
    <row r="11902" spans="1:14" ht="14.25" customHeight="1" x14ac:dyDescent="0.25">
      <c r="A11902" s="198" t="s">
        <v>573</v>
      </c>
      <c r="B11902" s="198"/>
      <c r="C11902" s="193"/>
      <c r="D11902" s="193"/>
      <c r="E11902" s="193"/>
      <c r="F11902" s="193"/>
      <c r="G11902" s="81"/>
      <c r="H11902" s="81"/>
      <c r="I11902" s="81"/>
      <c r="J11902" s="81"/>
      <c r="K11902" s="81"/>
      <c r="L11902" s="81"/>
      <c r="M11902" s="81"/>
      <c r="N11902" s="81"/>
    </row>
    <row r="11903" spans="1:14" ht="14.25" customHeight="1" x14ac:dyDescent="0.25">
      <c r="A11903" s="585" t="s">
        <v>563</v>
      </c>
      <c r="B11903" s="586"/>
      <c r="C11903" s="587"/>
      <c r="D11903" s="474" t="s">
        <v>574</v>
      </c>
      <c r="E11903" s="474" t="s">
        <v>575</v>
      </c>
      <c r="F11903" s="474" t="s">
        <v>568</v>
      </c>
      <c r="G11903" s="81"/>
      <c r="H11903" s="81"/>
      <c r="I11903" s="81"/>
      <c r="J11903" s="81"/>
      <c r="K11903" s="81"/>
      <c r="L11903" s="81"/>
      <c r="M11903" s="81"/>
      <c r="N11903" s="81"/>
    </row>
    <row r="11904" spans="1:14" ht="14.25" customHeight="1" x14ac:dyDescent="0.25">
      <c r="A11904" s="588" t="s">
        <v>577</v>
      </c>
      <c r="B11904" s="586"/>
      <c r="C11904" s="587"/>
      <c r="D11904" s="490"/>
      <c r="E11904" s="484"/>
      <c r="F11904" s="483">
        <f>+F11918*5%</f>
        <v>39548.373111111112</v>
      </c>
      <c r="G11904" s="81"/>
      <c r="H11904" s="81"/>
      <c r="I11904" s="81"/>
      <c r="J11904" s="81"/>
      <c r="K11904" s="81"/>
      <c r="L11904" s="81"/>
      <c r="M11904" s="81"/>
      <c r="N11904" s="81"/>
    </row>
    <row r="11905" spans="1:14" ht="14.25" customHeight="1" x14ac:dyDescent="0.25">
      <c r="A11905" s="588"/>
      <c r="B11905" s="586"/>
      <c r="C11905" s="587"/>
      <c r="D11905" s="505"/>
      <c r="E11905" s="484"/>
      <c r="F11905" s="483"/>
      <c r="G11905" s="81"/>
      <c r="H11905" s="81"/>
      <c r="I11905" s="81"/>
      <c r="J11905" s="81"/>
      <c r="K11905" s="81"/>
      <c r="L11905" s="81"/>
      <c r="M11905" s="81"/>
      <c r="N11905" s="81"/>
    </row>
    <row r="11906" spans="1:14" ht="14.25" customHeight="1" x14ac:dyDescent="0.25">
      <c r="A11906" s="588"/>
      <c r="B11906" s="586"/>
      <c r="C11906" s="587"/>
      <c r="D11906" s="505"/>
      <c r="E11906" s="484"/>
      <c r="F11906" s="483"/>
      <c r="G11906" s="81"/>
      <c r="H11906" s="81"/>
      <c r="I11906" s="81"/>
      <c r="J11906" s="81"/>
      <c r="K11906" s="81"/>
      <c r="L11906" s="81"/>
      <c r="M11906" s="81"/>
      <c r="N11906" s="81"/>
    </row>
    <row r="11907" spans="1:14" ht="14.25" customHeight="1" x14ac:dyDescent="0.25">
      <c r="A11907" s="588"/>
      <c r="B11907" s="586"/>
      <c r="C11907" s="587"/>
      <c r="D11907" s="505"/>
      <c r="E11907" s="484"/>
      <c r="F11907" s="483"/>
      <c r="G11907" s="81"/>
      <c r="H11907" s="81"/>
      <c r="I11907" s="81"/>
      <c r="J11907" s="81"/>
      <c r="K11907" s="81"/>
      <c r="L11907" s="81"/>
      <c r="M11907" s="81"/>
      <c r="N11907" s="81"/>
    </row>
    <row r="11908" spans="1:14" ht="14.25" customHeight="1" x14ac:dyDescent="0.25">
      <c r="A11908" s="589"/>
      <c r="B11908" s="586"/>
      <c r="C11908" s="587"/>
      <c r="D11908" s="491"/>
      <c r="E11908" s="484"/>
      <c r="F11908" s="483"/>
      <c r="G11908" s="81"/>
      <c r="H11908" s="81"/>
      <c r="I11908" s="81"/>
      <c r="J11908" s="81"/>
      <c r="K11908" s="81"/>
      <c r="L11908" s="81"/>
      <c r="M11908" s="81"/>
      <c r="N11908" s="81"/>
    </row>
    <row r="11909" spans="1:14" ht="14.25" customHeight="1" x14ac:dyDescent="0.25">
      <c r="A11909" s="585" t="s">
        <v>548</v>
      </c>
      <c r="B11909" s="586"/>
      <c r="C11909" s="587"/>
      <c r="D11909" s="487"/>
      <c r="E11909" s="487"/>
      <c r="F11909" s="489">
        <f>SUM(F11904:F11908)</f>
        <v>39548.373111111112</v>
      </c>
      <c r="G11909" s="81"/>
      <c r="H11909" s="117"/>
      <c r="I11909" s="81"/>
      <c r="J11909" s="81"/>
      <c r="K11909" s="81"/>
      <c r="L11909" s="81"/>
      <c r="M11909" s="81"/>
      <c r="N11909" s="81"/>
    </row>
    <row r="11910" spans="1:14" ht="14.25" customHeight="1" x14ac:dyDescent="0.25">
      <c r="A11910" s="192"/>
      <c r="B11910" s="192"/>
      <c r="C11910" s="194"/>
      <c r="D11910" s="215"/>
      <c r="E11910" s="215"/>
      <c r="F11910" s="215"/>
      <c r="G11910" s="81"/>
      <c r="H11910" s="81"/>
      <c r="I11910" s="81"/>
      <c r="J11910" s="81"/>
      <c r="K11910" s="81"/>
      <c r="L11910" s="81"/>
      <c r="M11910" s="81"/>
      <c r="N11910" s="81"/>
    </row>
    <row r="11911" spans="1:14" ht="14.25" customHeight="1" x14ac:dyDescent="0.25">
      <c r="A11911" s="198" t="s">
        <v>578</v>
      </c>
      <c r="B11911" s="198"/>
      <c r="C11911" s="193"/>
      <c r="D11911" s="223"/>
      <c r="E11911" s="223"/>
      <c r="F11911" s="223"/>
      <c r="G11911" s="81"/>
      <c r="H11911" s="81"/>
      <c r="I11911" s="81"/>
      <c r="J11911" s="81"/>
      <c r="K11911" s="81"/>
      <c r="L11911" s="81"/>
      <c r="M11911" s="81"/>
      <c r="N11911" s="81"/>
    </row>
    <row r="11912" spans="1:14" ht="14.25" customHeight="1" x14ac:dyDescent="0.25">
      <c r="A11912" s="224" t="s">
        <v>563</v>
      </c>
      <c r="B11912" s="492" t="s">
        <v>579</v>
      </c>
      <c r="C11912" s="492" t="s">
        <v>580</v>
      </c>
      <c r="D11912" s="493" t="s">
        <v>581</v>
      </c>
      <c r="E11912" s="493" t="s">
        <v>575</v>
      </c>
      <c r="F11912" s="493" t="s">
        <v>568</v>
      </c>
      <c r="G11912" s="81"/>
      <c r="H11912" s="81"/>
      <c r="I11912" s="81"/>
      <c r="J11912" s="81"/>
      <c r="K11912" s="81"/>
      <c r="L11912" s="81"/>
      <c r="M11912" s="81"/>
      <c r="N11912" s="81"/>
    </row>
    <row r="11913" spans="1:14" ht="14.25" customHeight="1" x14ac:dyDescent="0.25">
      <c r="A11913" s="494" t="s">
        <v>916</v>
      </c>
      <c r="B11913" s="495">
        <v>1</v>
      </c>
      <c r="C11913" s="477">
        <v>35956.800000000003</v>
      </c>
      <c r="D11913" s="477">
        <f t="shared" ref="D11913:D11916" si="586">+C11913*1.7</f>
        <v>61126.560000000005</v>
      </c>
      <c r="E11913" s="484">
        <v>0.5</v>
      </c>
      <c r="F11913" s="483">
        <f t="shared" ref="F11913:F11916" si="587">+B11913*(D11913)/E11913</f>
        <v>122253.12000000001</v>
      </c>
      <c r="G11913" s="81"/>
      <c r="H11913" s="81"/>
      <c r="I11913" s="81"/>
      <c r="J11913" s="81"/>
      <c r="K11913" s="81"/>
      <c r="L11913" s="81"/>
      <c r="M11913" s="81"/>
      <c r="N11913" s="81"/>
    </row>
    <row r="11914" spans="1:14" ht="14.25" customHeight="1" x14ac:dyDescent="0.25">
      <c r="A11914" s="494" t="s">
        <v>917</v>
      </c>
      <c r="B11914" s="495">
        <v>1</v>
      </c>
      <c r="C11914" s="477">
        <v>57791.8</v>
      </c>
      <c r="D11914" s="477">
        <f t="shared" si="586"/>
        <v>98246.06</v>
      </c>
      <c r="E11914" s="484">
        <f>E11913</f>
        <v>0.5</v>
      </c>
      <c r="F11914" s="483">
        <f t="shared" si="587"/>
        <v>196492.12</v>
      </c>
      <c r="G11914" s="81"/>
      <c r="H11914" s="81"/>
      <c r="I11914" s="81"/>
      <c r="J11914" s="81"/>
      <c r="K11914" s="81"/>
      <c r="L11914" s="81"/>
      <c r="M11914" s="81"/>
      <c r="N11914" s="81"/>
    </row>
    <row r="11915" spans="1:14" ht="14.25" customHeight="1" x14ac:dyDescent="0.25">
      <c r="A11915" s="494" t="s">
        <v>936</v>
      </c>
      <c r="B11915" s="495">
        <v>1</v>
      </c>
      <c r="C11915" s="477">
        <v>165000</v>
      </c>
      <c r="D11915" s="477">
        <f t="shared" si="586"/>
        <v>280500</v>
      </c>
      <c r="E11915" s="484">
        <v>0.9</v>
      </c>
      <c r="F11915" s="483">
        <f t="shared" si="587"/>
        <v>311666.66666666669</v>
      </c>
      <c r="G11915" s="81"/>
      <c r="H11915" s="81"/>
      <c r="I11915" s="81"/>
      <c r="J11915" s="81"/>
      <c r="K11915" s="81"/>
      <c r="L11915" s="81"/>
      <c r="M11915" s="81"/>
      <c r="N11915" s="81"/>
    </row>
    <row r="11916" spans="1:14" ht="14.25" customHeight="1" x14ac:dyDescent="0.25">
      <c r="A11916" s="494" t="s">
        <v>937</v>
      </c>
      <c r="B11916" s="495">
        <v>1</v>
      </c>
      <c r="C11916" s="477">
        <v>85000</v>
      </c>
      <c r="D11916" s="477">
        <f t="shared" si="586"/>
        <v>144500</v>
      </c>
      <c r="E11916" s="484">
        <f>E11915</f>
        <v>0.9</v>
      </c>
      <c r="F11916" s="483">
        <f t="shared" si="587"/>
        <v>160555.55555555556</v>
      </c>
      <c r="G11916" s="81"/>
      <c r="H11916" s="81"/>
      <c r="I11916" s="81"/>
      <c r="J11916" s="81"/>
      <c r="K11916" s="81"/>
      <c r="L11916" s="81"/>
      <c r="M11916" s="81"/>
      <c r="N11916" s="81"/>
    </row>
    <row r="11917" spans="1:14" ht="14.25" customHeight="1" x14ac:dyDescent="0.25">
      <c r="A11917" s="494"/>
      <c r="B11917" s="495"/>
      <c r="C11917" s="477"/>
      <c r="D11917" s="477"/>
      <c r="E11917" s="484"/>
      <c r="F11917" s="483"/>
      <c r="G11917" s="81"/>
      <c r="H11917" s="81"/>
      <c r="I11917" s="81"/>
      <c r="J11917" s="81"/>
      <c r="K11917" s="81"/>
      <c r="L11917" s="81"/>
      <c r="M11917" s="81"/>
      <c r="N11917" s="81"/>
    </row>
    <row r="11918" spans="1:14" ht="14.25" customHeight="1" x14ac:dyDescent="0.25">
      <c r="A11918" s="199" t="s">
        <v>548</v>
      </c>
      <c r="B11918" s="497"/>
      <c r="C11918" s="487"/>
      <c r="D11918" s="487"/>
      <c r="E11918" s="487"/>
      <c r="F11918" s="489">
        <f>SUM(F11913:F11916)</f>
        <v>790967.46222222224</v>
      </c>
      <c r="G11918" s="81"/>
      <c r="H11918" s="81"/>
      <c r="I11918" s="81"/>
      <c r="J11918" s="81"/>
      <c r="K11918" s="81"/>
      <c r="L11918" s="81"/>
      <c r="M11918" s="81"/>
      <c r="N11918" s="81"/>
    </row>
    <row r="11919" spans="1:14" ht="14.25" customHeight="1" x14ac:dyDescent="0.25">
      <c r="A11919" s="198"/>
      <c r="B11919" s="231"/>
      <c r="C11919" s="223"/>
      <c r="D11919" s="223"/>
      <c r="E11919" s="223"/>
      <c r="F11919" s="223"/>
      <c r="G11919" s="81"/>
      <c r="H11919" s="81"/>
      <c r="I11919" s="81"/>
      <c r="J11919" s="81"/>
      <c r="K11919" s="81"/>
      <c r="L11919" s="81"/>
      <c r="M11919" s="81"/>
      <c r="N11919" s="81"/>
    </row>
    <row r="11920" spans="1:14" ht="14.25" customHeight="1" x14ac:dyDescent="0.25">
      <c r="A11920" s="197" t="s">
        <v>583</v>
      </c>
      <c r="B11920" s="198"/>
      <c r="C11920" s="193"/>
      <c r="D11920" s="193"/>
      <c r="E11920" s="193" t="s">
        <v>584</v>
      </c>
      <c r="F11920" s="193"/>
      <c r="G11920" s="81"/>
      <c r="H11920" s="81"/>
      <c r="I11920" s="81"/>
      <c r="J11920" s="81"/>
      <c r="K11920" s="81"/>
      <c r="L11920" s="81"/>
      <c r="M11920" s="81"/>
      <c r="N11920" s="81"/>
    </row>
    <row r="11921" spans="1:14" ht="14.25" customHeight="1" x14ac:dyDescent="0.25">
      <c r="A11921" s="199" t="s">
        <v>563</v>
      </c>
      <c r="B11921" s="474" t="s">
        <v>564</v>
      </c>
      <c r="C11921" s="474" t="s">
        <v>585</v>
      </c>
      <c r="D11921" s="474" t="s">
        <v>586</v>
      </c>
      <c r="E11921" s="492" t="s">
        <v>587</v>
      </c>
      <c r="F11921" s="474" t="s">
        <v>568</v>
      </c>
      <c r="G11921" s="81"/>
      <c r="H11921" s="81"/>
      <c r="I11921" s="81"/>
      <c r="J11921" s="81"/>
      <c r="K11921" s="81"/>
      <c r="L11921" s="81"/>
      <c r="M11921" s="81"/>
      <c r="N11921" s="81"/>
    </row>
    <row r="11922" spans="1:14" ht="14.25" customHeight="1" x14ac:dyDescent="0.25">
      <c r="A11922" s="480"/>
      <c r="B11922" s="476"/>
      <c r="C11922" s="477"/>
      <c r="D11922" s="498"/>
      <c r="E11922" s="484"/>
      <c r="F11922" s="486">
        <f>+C11922*D11922*E11922</f>
        <v>0</v>
      </c>
      <c r="G11922" s="81"/>
      <c r="H11922" s="81"/>
      <c r="I11922" s="81"/>
      <c r="J11922" s="81"/>
      <c r="K11922" s="81"/>
      <c r="L11922" s="81"/>
      <c r="M11922" s="81"/>
      <c r="N11922" s="81"/>
    </row>
    <row r="11923" spans="1:14" ht="14.25" customHeight="1" x14ac:dyDescent="0.25">
      <c r="A11923" s="480"/>
      <c r="B11923" s="476"/>
      <c r="C11923" s="484"/>
      <c r="D11923" s="484"/>
      <c r="E11923" s="485"/>
      <c r="F11923" s="486"/>
      <c r="G11923" s="81"/>
      <c r="H11923" s="81"/>
      <c r="I11923" s="81"/>
      <c r="J11923" s="81"/>
      <c r="K11923" s="81"/>
      <c r="L11923" s="81"/>
      <c r="M11923" s="81"/>
      <c r="N11923" s="81"/>
    </row>
    <row r="11924" spans="1:14" ht="14.25" customHeight="1" x14ac:dyDescent="0.25">
      <c r="A11924" s="199" t="s">
        <v>548</v>
      </c>
      <c r="B11924" s="474"/>
      <c r="C11924" s="487"/>
      <c r="D11924" s="487"/>
      <c r="E11924" s="488"/>
      <c r="F11924" s="489">
        <f>SUM(F11922:F11923)</f>
        <v>0</v>
      </c>
      <c r="G11924" s="81"/>
      <c r="H11924" s="81"/>
      <c r="I11924" s="81"/>
      <c r="J11924" s="81"/>
      <c r="K11924" s="81"/>
      <c r="L11924" s="81"/>
      <c r="M11924" s="81"/>
      <c r="N11924" s="81"/>
    </row>
    <row r="11925" spans="1:14" ht="14.25" customHeight="1" x14ac:dyDescent="0.25">
      <c r="A11925" s="192"/>
      <c r="B11925" s="194"/>
      <c r="C11925" s="215"/>
      <c r="D11925" s="215"/>
      <c r="E11925" s="216"/>
      <c r="F11925" s="215"/>
      <c r="G11925" s="81"/>
      <c r="H11925" s="81"/>
      <c r="I11925" s="81"/>
      <c r="J11925" s="81"/>
      <c r="K11925" s="81"/>
      <c r="L11925" s="81"/>
      <c r="M11925" s="81"/>
      <c r="N11925" s="81"/>
    </row>
    <row r="11926" spans="1:14" ht="27.75" customHeight="1" x14ac:dyDescent="0.25">
      <c r="A11926" s="192"/>
      <c r="B11926" s="194"/>
      <c r="C11926" s="215"/>
      <c r="D11926" s="215"/>
      <c r="E11926" s="216"/>
      <c r="F11926" s="215"/>
      <c r="G11926" s="81"/>
      <c r="H11926" s="81"/>
      <c r="I11926" s="81"/>
      <c r="J11926" s="81"/>
      <c r="K11926" s="81"/>
      <c r="L11926" s="81"/>
      <c r="M11926" s="81"/>
      <c r="N11926" s="81"/>
    </row>
    <row r="11927" spans="1:14" ht="14.25" customHeight="1" x14ac:dyDescent="0.25">
      <c r="A11927" s="590" t="s">
        <v>588</v>
      </c>
      <c r="B11927" s="586"/>
      <c r="C11927" s="586"/>
      <c r="D11927" s="586"/>
      <c r="E11927" s="587"/>
      <c r="F11927" s="499">
        <f>ROUND(F11900+F11909+F11918+F11924,0)</f>
        <v>10054851</v>
      </c>
      <c r="G11927" s="81"/>
      <c r="H11927" s="81"/>
      <c r="I11927" s="81"/>
      <c r="J11927" s="81"/>
      <c r="K11927" s="81"/>
      <c r="L11927" s="81"/>
      <c r="M11927" s="81"/>
      <c r="N11927" s="81"/>
    </row>
    <row r="11928" spans="1:14" ht="14.25" customHeight="1" x14ac:dyDescent="0.25">
      <c r="A11928" s="590" t="s">
        <v>589</v>
      </c>
      <c r="B11928" s="586"/>
      <c r="C11928" s="586"/>
      <c r="D11928" s="586"/>
      <c r="E11928" s="587"/>
      <c r="F11928" s="500"/>
      <c r="G11928" s="81"/>
      <c r="H11928" s="81"/>
      <c r="I11928" s="81"/>
      <c r="J11928" s="81"/>
      <c r="K11928" s="81"/>
      <c r="L11928" s="81"/>
      <c r="M11928" s="81"/>
      <c r="N11928" s="81"/>
    </row>
    <row r="11929" spans="1:14" ht="14.25" customHeight="1" x14ac:dyDescent="0.25">
      <c r="A11929" s="300" t="s">
        <v>556</v>
      </c>
      <c r="B11929" s="506"/>
      <c r="C11929" s="506"/>
      <c r="D11929" s="506"/>
      <c r="E11929" s="507"/>
      <c r="F11929" s="501"/>
      <c r="G11929" s="81"/>
      <c r="H11929" s="81"/>
      <c r="I11929" s="81"/>
      <c r="J11929" s="81"/>
      <c r="K11929" s="81"/>
      <c r="L11929" s="81"/>
      <c r="M11929" s="81"/>
      <c r="N11929" s="81"/>
    </row>
    <row r="11930" spans="1:14" ht="14.25" customHeight="1" x14ac:dyDescent="0.25">
      <c r="A11930" s="301"/>
      <c r="B11930" s="502"/>
      <c r="C11930" s="502"/>
      <c r="D11930" s="502"/>
      <c r="E11930" s="502"/>
      <c r="F11930" s="503"/>
      <c r="G11930" s="81"/>
      <c r="H11930" s="81"/>
      <c r="I11930" s="81"/>
      <c r="J11930" s="81"/>
      <c r="K11930" s="81"/>
      <c r="L11930" s="81"/>
      <c r="M11930" s="81"/>
      <c r="N11930" s="81"/>
    </row>
    <row r="11931" spans="1:14" ht="14.25" customHeight="1" x14ac:dyDescent="0.25">
      <c r="A11931" s="301"/>
      <c r="B11931" s="502"/>
      <c r="C11931" s="502"/>
      <c r="D11931" s="502"/>
      <c r="E11931" s="502"/>
      <c r="F11931" s="503"/>
      <c r="G11931" s="81"/>
      <c r="H11931" s="81"/>
      <c r="I11931" s="81"/>
      <c r="J11931" s="81"/>
      <c r="K11931" s="81"/>
      <c r="L11931" s="81"/>
      <c r="M11931" s="81"/>
      <c r="N11931" s="81"/>
    </row>
    <row r="11932" spans="1:14" ht="14.25" customHeight="1" x14ac:dyDescent="0.25">
      <c r="A11932" s="301"/>
      <c r="B11932" s="502"/>
      <c r="C11932" s="502"/>
      <c r="D11932" s="502"/>
      <c r="E11932" s="502"/>
      <c r="F11932" s="503"/>
      <c r="G11932" s="81"/>
      <c r="H11932" s="81"/>
      <c r="I11932" s="81"/>
      <c r="J11932" s="81"/>
      <c r="K11932" s="81"/>
      <c r="L11932" s="81"/>
      <c r="M11932" s="81"/>
      <c r="N11932" s="81"/>
    </row>
    <row r="11933" spans="1:14" ht="14.25" customHeight="1" x14ac:dyDescent="0.25">
      <c r="A11933" s="243"/>
      <c r="B11933" s="243"/>
      <c r="C11933" s="504"/>
      <c r="D11933" s="243"/>
      <c r="E11933" s="243"/>
      <c r="F11933" s="243"/>
      <c r="G11933" s="81"/>
      <c r="H11933" s="81"/>
      <c r="I11933" s="81"/>
      <c r="J11933" s="81"/>
      <c r="K11933" s="81"/>
      <c r="L11933" s="81"/>
      <c r="M11933" s="81"/>
      <c r="N11933" s="81"/>
    </row>
    <row r="11934" spans="1:14" ht="14.25" customHeight="1" x14ac:dyDescent="0.25">
      <c r="A11934" s="243"/>
      <c r="B11934" s="243"/>
      <c r="C11934" s="504"/>
      <c r="D11934" s="243"/>
      <c r="E11934" s="243"/>
      <c r="F11934" s="243"/>
      <c r="G11934" s="81"/>
      <c r="H11934" s="81"/>
      <c r="I11934" s="81"/>
      <c r="J11934" s="81"/>
      <c r="K11934" s="81"/>
      <c r="L11934" s="81"/>
      <c r="M11934" s="81"/>
      <c r="N11934" s="81"/>
    </row>
    <row r="11935" spans="1:14" ht="14.25" customHeight="1" x14ac:dyDescent="0.25">
      <c r="A11935" s="243"/>
      <c r="B11935" s="243"/>
      <c r="C11935" s="504"/>
      <c r="D11935" s="243"/>
      <c r="E11935" s="243"/>
      <c r="F11935" s="243"/>
      <c r="G11935" s="81"/>
      <c r="H11935" s="81"/>
      <c r="I11935" s="81"/>
      <c r="J11935" s="81"/>
      <c r="K11935" s="81"/>
      <c r="L11935" s="81"/>
      <c r="M11935" s="81"/>
      <c r="N11935" s="81"/>
    </row>
    <row r="11936" spans="1:14" ht="14.25" customHeight="1" x14ac:dyDescent="0.25">
      <c r="A11936" s="243"/>
      <c r="B11936" s="243"/>
      <c r="C11936" s="504"/>
      <c r="D11936" s="243"/>
      <c r="E11936" s="243"/>
      <c r="F11936" s="243"/>
      <c r="G11936" s="81"/>
      <c r="H11936" s="81"/>
      <c r="I11936" s="81"/>
      <c r="J11936" s="81"/>
      <c r="K11936" s="81"/>
      <c r="L11936" s="81"/>
      <c r="M11936" s="81"/>
      <c r="N11936" s="81"/>
    </row>
    <row r="11937" spans="1:14" ht="14.25" customHeight="1" x14ac:dyDescent="0.25">
      <c r="A11937" s="243"/>
      <c r="B11937" s="243"/>
      <c r="C11937" s="504"/>
      <c r="D11937" s="243"/>
      <c r="E11937" s="243"/>
      <c r="F11937" s="243"/>
      <c r="G11937" s="81"/>
      <c r="H11937" s="81"/>
      <c r="I11937" s="81"/>
      <c r="J11937" s="81"/>
      <c r="K11937" s="81"/>
      <c r="L11937" s="81"/>
      <c r="M11937" s="81"/>
      <c r="N11937" s="81"/>
    </row>
    <row r="11938" spans="1:14" ht="14.25" customHeight="1" x14ac:dyDescent="0.25">
      <c r="A11938" s="243"/>
      <c r="B11938" s="243"/>
      <c r="C11938" s="504"/>
      <c r="D11938" s="243"/>
      <c r="E11938" s="243"/>
      <c r="F11938" s="243"/>
      <c r="G11938" s="81"/>
      <c r="H11938" s="81"/>
      <c r="I11938" s="81"/>
      <c r="J11938" s="81"/>
      <c r="K11938" s="81"/>
      <c r="L11938" s="81"/>
      <c r="M11938" s="81"/>
      <c r="N11938" s="81"/>
    </row>
    <row r="11939" spans="1:14" ht="14.25" customHeight="1" x14ac:dyDescent="0.25">
      <c r="A11939" s="243"/>
      <c r="B11939" s="243"/>
      <c r="C11939" s="504"/>
      <c r="D11939" s="243"/>
      <c r="E11939" s="243"/>
      <c r="F11939" s="243"/>
      <c r="G11939" s="81"/>
      <c r="H11939" s="81"/>
      <c r="I11939" s="81"/>
      <c r="J11939" s="81"/>
      <c r="K11939" s="81"/>
      <c r="L11939" s="81"/>
      <c r="M11939" s="81"/>
      <c r="N11939" s="81"/>
    </row>
    <row r="11940" spans="1:14" ht="14.25" customHeight="1" x14ac:dyDescent="0.25">
      <c r="A11940" s="243"/>
      <c r="B11940" s="243"/>
      <c r="C11940" s="504"/>
      <c r="D11940" s="243"/>
      <c r="E11940" s="243"/>
      <c r="F11940" s="243"/>
      <c r="G11940" s="81"/>
      <c r="H11940" s="81"/>
      <c r="I11940" s="81"/>
      <c r="J11940" s="81"/>
      <c r="K11940" s="81"/>
      <c r="L11940" s="81"/>
      <c r="M11940" s="81"/>
      <c r="N11940" s="81"/>
    </row>
    <row r="11941" spans="1:14" ht="14.25" customHeight="1" x14ac:dyDescent="0.25">
      <c r="A11941" s="243"/>
      <c r="B11941" s="243"/>
      <c r="C11941" s="504"/>
      <c r="D11941" s="243"/>
      <c r="E11941" s="243"/>
      <c r="F11941" s="243"/>
      <c r="G11941" s="81"/>
      <c r="H11941" s="81"/>
      <c r="I11941" s="81"/>
      <c r="J11941" s="81"/>
      <c r="K11941" s="81"/>
      <c r="L11941" s="81"/>
      <c r="M11941" s="81"/>
      <c r="N11941" s="81"/>
    </row>
    <row r="11942" spans="1:14" ht="14.25" customHeight="1" x14ac:dyDescent="0.25">
      <c r="A11942" s="243"/>
      <c r="B11942" s="243"/>
      <c r="C11942" s="504"/>
      <c r="D11942" s="243"/>
      <c r="E11942" s="243"/>
      <c r="F11942" s="243"/>
      <c r="G11942" s="81"/>
      <c r="H11942" s="81"/>
      <c r="I11942" s="81"/>
      <c r="J11942" s="81"/>
      <c r="K11942" s="81"/>
      <c r="L11942" s="81"/>
      <c r="M11942" s="81"/>
      <c r="N11942" s="81"/>
    </row>
    <row r="11943" spans="1:14" ht="14.25" customHeight="1" x14ac:dyDescent="0.25">
      <c r="A11943" s="243"/>
      <c r="B11943" s="243"/>
      <c r="C11943" s="504"/>
      <c r="D11943" s="243"/>
      <c r="E11943" s="243"/>
      <c r="F11943" s="243"/>
      <c r="G11943" s="81"/>
      <c r="H11943" s="81"/>
      <c r="I11943" s="81"/>
      <c r="J11943" s="81"/>
      <c r="K11943" s="81"/>
      <c r="L11943" s="81"/>
      <c r="M11943" s="81"/>
      <c r="N11943" s="81"/>
    </row>
    <row r="11944" spans="1:14" ht="14.25" customHeight="1" x14ac:dyDescent="0.25">
      <c r="A11944" s="243"/>
      <c r="B11944" s="243"/>
      <c r="C11944" s="504"/>
      <c r="D11944" s="243"/>
      <c r="E11944" s="243"/>
      <c r="F11944" s="243"/>
      <c r="G11944" s="81"/>
      <c r="H11944" s="81"/>
      <c r="I11944" s="81"/>
      <c r="J11944" s="81"/>
      <c r="K11944" s="81"/>
      <c r="L11944" s="81"/>
      <c r="M11944" s="81"/>
      <c r="N11944" s="81"/>
    </row>
    <row r="11945" spans="1:14" ht="14.25" customHeight="1" thickBot="1" x14ac:dyDescent="0.3">
      <c r="A11945" s="243"/>
      <c r="B11945" s="243"/>
      <c r="C11945" s="504"/>
      <c r="D11945" s="243"/>
      <c r="E11945" s="243"/>
      <c r="F11945" s="243"/>
      <c r="G11945" s="81"/>
      <c r="H11945" s="81"/>
      <c r="I11945" s="81"/>
      <c r="J11945" s="81"/>
      <c r="K11945" s="81"/>
      <c r="L11945" s="81"/>
      <c r="M11945" s="81"/>
      <c r="N11945" s="81"/>
    </row>
    <row r="11946" spans="1:14" ht="14.25" customHeight="1" x14ac:dyDescent="0.25">
      <c r="A11946" s="258"/>
      <c r="B11946" s="259"/>
      <c r="C11946" s="260"/>
      <c r="D11946" s="261"/>
      <c r="E11946" s="261"/>
      <c r="F11946" s="262"/>
      <c r="G11946" s="81"/>
      <c r="H11946" s="81"/>
      <c r="I11946" s="81"/>
      <c r="J11946" s="81"/>
      <c r="K11946" s="81"/>
      <c r="L11946" s="81"/>
      <c r="M11946" s="81"/>
      <c r="N11946" s="81"/>
    </row>
    <row r="11947" spans="1:14" ht="14.25" customHeight="1" x14ac:dyDescent="0.25">
      <c r="A11947" s="621"/>
      <c r="B11947" s="629"/>
      <c r="C11947" s="629"/>
      <c r="D11947" s="629"/>
      <c r="E11947" s="629"/>
      <c r="F11947" s="630"/>
      <c r="G11947" s="81"/>
      <c r="H11947" s="81"/>
      <c r="I11947" s="81"/>
      <c r="J11947" s="81"/>
      <c r="K11947" s="81"/>
      <c r="L11947" s="81"/>
      <c r="M11947" s="81"/>
      <c r="N11947" s="81"/>
    </row>
    <row r="11948" spans="1:14" ht="14.25" customHeight="1" x14ac:dyDescent="0.25">
      <c r="A11948" s="614" t="s">
        <v>561</v>
      </c>
      <c r="B11948" s="629"/>
      <c r="C11948" s="629"/>
      <c r="D11948" s="629"/>
      <c r="E11948" s="629"/>
      <c r="F11948" s="630"/>
      <c r="G11948" s="81"/>
      <c r="H11948" s="81"/>
      <c r="I11948" s="81"/>
      <c r="J11948" s="81"/>
      <c r="K11948" s="81"/>
      <c r="L11948" s="81"/>
      <c r="M11948" s="81"/>
      <c r="N11948" s="81"/>
    </row>
    <row r="11949" spans="1:14" ht="14.25" customHeight="1" thickBot="1" x14ac:dyDescent="0.3">
      <c r="A11949" s="617"/>
      <c r="B11949" s="631"/>
      <c r="C11949" s="631"/>
      <c r="D11949" s="631"/>
      <c r="E11949" s="631"/>
      <c r="F11949" s="632"/>
      <c r="G11949" s="81"/>
      <c r="H11949" s="81"/>
      <c r="I11949" s="81"/>
      <c r="J11949" s="81"/>
      <c r="K11949" s="81"/>
      <c r="L11949" s="81"/>
      <c r="M11949" s="81"/>
      <c r="N11949" s="81"/>
    </row>
    <row r="11950" spans="1:14" ht="14.25" customHeight="1" x14ac:dyDescent="0.25">
      <c r="A11950" s="192"/>
      <c r="B11950" s="192"/>
      <c r="C11950" s="194"/>
      <c r="D11950" s="194"/>
      <c r="E11950" s="194"/>
      <c r="F11950" s="194"/>
      <c r="G11950" s="81"/>
      <c r="H11950" s="81"/>
      <c r="I11950" s="81"/>
      <c r="J11950" s="81"/>
      <c r="K11950" s="81"/>
      <c r="L11950" s="81"/>
      <c r="M11950" s="81"/>
      <c r="N11950" s="81"/>
    </row>
    <row r="11951" spans="1:14" ht="14.25" customHeight="1" x14ac:dyDescent="0.25">
      <c r="A11951" s="473" t="s">
        <v>47</v>
      </c>
      <c r="B11951" s="620" t="s">
        <v>1201</v>
      </c>
      <c r="C11951" s="629"/>
      <c r="D11951" s="629"/>
      <c r="E11951" s="629"/>
      <c r="F11951" s="629"/>
      <c r="G11951" s="81"/>
      <c r="H11951" s="81"/>
      <c r="I11951" s="81"/>
      <c r="J11951" s="81"/>
      <c r="K11951" s="81"/>
      <c r="L11951" s="81"/>
      <c r="M11951" s="81"/>
      <c r="N11951" s="81"/>
    </row>
    <row r="11952" spans="1:14" ht="14.25" customHeight="1" x14ac:dyDescent="0.25">
      <c r="A11952" s="191"/>
      <c r="B11952" s="191"/>
      <c r="C11952" s="191"/>
      <c r="D11952" s="191"/>
      <c r="E11952" s="191"/>
      <c r="F11952" s="191"/>
      <c r="G11952" s="81"/>
      <c r="H11952" s="81"/>
      <c r="I11952" s="81"/>
      <c r="J11952" s="81"/>
      <c r="K11952" s="81"/>
      <c r="L11952" s="81"/>
      <c r="M11952" s="81"/>
      <c r="N11952" s="81"/>
    </row>
    <row r="11953" spans="1:14" ht="14.25" customHeight="1" x14ac:dyDescent="0.25">
      <c r="A11953" s="192" t="s">
        <v>49</v>
      </c>
      <c r="B11953" s="193" t="s">
        <v>99</v>
      </c>
      <c r="C11953" s="194"/>
      <c r="D11953" s="194"/>
      <c r="E11953" s="194"/>
      <c r="F11953" s="195"/>
      <c r="G11953" s="81"/>
      <c r="H11953" s="81"/>
      <c r="I11953" s="81"/>
      <c r="J11953" s="81"/>
      <c r="K11953" s="81"/>
      <c r="L11953" s="81"/>
      <c r="M11953" s="81"/>
      <c r="N11953" s="81"/>
    </row>
    <row r="11954" spans="1:14" ht="14.25" customHeight="1" x14ac:dyDescent="0.25">
      <c r="A11954" s="192"/>
      <c r="B11954" s="196"/>
      <c r="C11954" s="194"/>
      <c r="D11954" s="194"/>
      <c r="E11954" s="194"/>
      <c r="F11954" s="195"/>
      <c r="G11954" s="81"/>
      <c r="H11954" s="81"/>
      <c r="I11954" s="81"/>
      <c r="J11954" s="81"/>
      <c r="K11954" s="81"/>
      <c r="L11954" s="81"/>
      <c r="M11954" s="81"/>
      <c r="N11954" s="81"/>
    </row>
    <row r="11955" spans="1:14" ht="14.25" customHeight="1" x14ac:dyDescent="0.25">
      <c r="A11955" s="197" t="s">
        <v>562</v>
      </c>
      <c r="B11955" s="198"/>
      <c r="C11955" s="193"/>
      <c r="D11955" s="193"/>
      <c r="E11955" s="193"/>
      <c r="F11955" s="193"/>
      <c r="G11955" s="81"/>
      <c r="H11955" s="81"/>
      <c r="I11955" s="81"/>
      <c r="J11955" s="81"/>
      <c r="K11955" s="81"/>
      <c r="L11955" s="81"/>
      <c r="M11955" s="81"/>
      <c r="N11955" s="81"/>
    </row>
    <row r="11956" spans="1:14" ht="14.25" customHeight="1" x14ac:dyDescent="0.25">
      <c r="A11956" s="199" t="s">
        <v>563</v>
      </c>
      <c r="B11956" s="474" t="s">
        <v>564</v>
      </c>
      <c r="C11956" s="474" t="s">
        <v>565</v>
      </c>
      <c r="D11956" s="474" t="s">
        <v>566</v>
      </c>
      <c r="E11956" s="474" t="s">
        <v>567</v>
      </c>
      <c r="F11956" s="474" t="s">
        <v>568</v>
      </c>
      <c r="G11956" s="81"/>
      <c r="H11956" s="81"/>
      <c r="I11956" s="81"/>
      <c r="J11956" s="81"/>
      <c r="K11956" s="81"/>
      <c r="L11956" s="81"/>
      <c r="M11956" s="81"/>
      <c r="N11956" s="81"/>
    </row>
    <row r="11957" spans="1:14" ht="14.25" customHeight="1" x14ac:dyDescent="0.25">
      <c r="A11957" s="475" t="s">
        <v>1201</v>
      </c>
      <c r="B11957" s="476" t="s">
        <v>99</v>
      </c>
      <c r="C11957" s="477">
        <v>30960803</v>
      </c>
      <c r="D11957" s="478">
        <v>1</v>
      </c>
      <c r="E11957" s="479"/>
      <c r="F11957" s="477">
        <f t="shared" ref="F11957:F11959" si="588">C11957*(D11957+(D11957*E11957))</f>
        <v>30960803</v>
      </c>
      <c r="G11957" s="81"/>
      <c r="H11957" s="81"/>
      <c r="I11957" s="81"/>
      <c r="J11957" s="81"/>
      <c r="K11957" s="81"/>
      <c r="L11957" s="81"/>
      <c r="M11957" s="81"/>
      <c r="N11957" s="81"/>
    </row>
    <row r="11958" spans="1:14" ht="14.25" customHeight="1" x14ac:dyDescent="0.25">
      <c r="A11958" s="475"/>
      <c r="B11958" s="476"/>
      <c r="C11958" s="477"/>
      <c r="D11958" s="481"/>
      <c r="E11958" s="479"/>
      <c r="F11958" s="477">
        <f t="shared" si="588"/>
        <v>0</v>
      </c>
      <c r="G11958" s="81"/>
      <c r="H11958" s="81"/>
      <c r="I11958" s="81"/>
      <c r="J11958" s="81"/>
      <c r="K11958" s="81"/>
      <c r="L11958" s="81"/>
      <c r="M11958" s="81"/>
      <c r="N11958" s="81"/>
    </row>
    <row r="11959" spans="1:14" ht="14.25" customHeight="1" x14ac:dyDescent="0.25">
      <c r="A11959" s="475"/>
      <c r="B11959" s="476"/>
      <c r="C11959" s="477"/>
      <c r="D11959" s="481"/>
      <c r="E11959" s="479"/>
      <c r="F11959" s="477">
        <f t="shared" si="588"/>
        <v>0</v>
      </c>
      <c r="G11959" s="81"/>
      <c r="H11959" s="81"/>
      <c r="I11959" s="81"/>
      <c r="J11959" s="81"/>
      <c r="K11959" s="81"/>
      <c r="L11959" s="81"/>
      <c r="M11959" s="81"/>
      <c r="N11959" s="81"/>
    </row>
    <row r="11960" spans="1:14" ht="14.25" customHeight="1" x14ac:dyDescent="0.25">
      <c r="A11960" s="475"/>
      <c r="B11960" s="476"/>
      <c r="C11960" s="477"/>
      <c r="D11960" s="478"/>
      <c r="E11960" s="479"/>
      <c r="F11960" s="477"/>
      <c r="G11960" s="81"/>
      <c r="H11960" s="81"/>
      <c r="I11960" s="81"/>
      <c r="J11960" s="81"/>
      <c r="K11960" s="81"/>
      <c r="L11960" s="81"/>
      <c r="M11960" s="81"/>
      <c r="N11960" s="81"/>
    </row>
    <row r="11961" spans="1:14" ht="14.25" customHeight="1" x14ac:dyDescent="0.25">
      <c r="A11961" s="475"/>
      <c r="B11961" s="476"/>
      <c r="C11961" s="477"/>
      <c r="D11961" s="478"/>
      <c r="E11961" s="479"/>
      <c r="F11961" s="477"/>
      <c r="G11961" s="81"/>
      <c r="H11961" s="81"/>
      <c r="I11961" s="81"/>
      <c r="J11961" s="81"/>
      <c r="K11961" s="81"/>
      <c r="L11961" s="81"/>
      <c r="M11961" s="81"/>
      <c r="N11961" s="81"/>
    </row>
    <row r="11962" spans="1:14" ht="14.25" customHeight="1" x14ac:dyDescent="0.25">
      <c r="A11962" s="475"/>
      <c r="B11962" s="476"/>
      <c r="C11962" s="477"/>
      <c r="D11962" s="478"/>
      <c r="E11962" s="479"/>
      <c r="F11962" s="477"/>
      <c r="G11962" s="81"/>
      <c r="H11962" s="81"/>
      <c r="I11962" s="81"/>
      <c r="J11962" s="81"/>
      <c r="K11962" s="81"/>
      <c r="L11962" s="81"/>
      <c r="M11962" s="81"/>
      <c r="N11962" s="81"/>
    </row>
    <row r="11963" spans="1:14" ht="14.25" customHeight="1" x14ac:dyDescent="0.25">
      <c r="A11963" s="475"/>
      <c r="B11963" s="476"/>
      <c r="C11963" s="483"/>
      <c r="D11963" s="484"/>
      <c r="E11963" s="485"/>
      <c r="F11963" s="483"/>
      <c r="G11963" s="81"/>
      <c r="H11963" s="81"/>
      <c r="I11963" s="81"/>
      <c r="J11963" s="81"/>
      <c r="K11963" s="81"/>
      <c r="L11963" s="81"/>
      <c r="M11963" s="81"/>
      <c r="N11963" s="81"/>
    </row>
    <row r="11964" spans="1:14" ht="14.25" customHeight="1" x14ac:dyDescent="0.25">
      <c r="A11964" s="199" t="s">
        <v>548</v>
      </c>
      <c r="B11964" s="199"/>
      <c r="C11964" s="486"/>
      <c r="D11964" s="487"/>
      <c r="E11964" s="488"/>
      <c r="F11964" s="489">
        <f>SUM(F11957:F11963)</f>
        <v>30960803</v>
      </c>
      <c r="G11964" s="81"/>
      <c r="H11964" s="81"/>
      <c r="I11964" s="81"/>
      <c r="J11964" s="81"/>
      <c r="K11964" s="81"/>
      <c r="L11964" s="81"/>
      <c r="M11964" s="81"/>
      <c r="N11964" s="81"/>
    </row>
    <row r="11965" spans="1:14" ht="14.25" customHeight="1" x14ac:dyDescent="0.25">
      <c r="A11965" s="192"/>
      <c r="B11965" s="192"/>
      <c r="C11965" s="215"/>
      <c r="D11965" s="215"/>
      <c r="E11965" s="216"/>
      <c r="F11965" s="215"/>
      <c r="G11965" s="81"/>
      <c r="H11965" s="81"/>
      <c r="I11965" s="81"/>
      <c r="J11965" s="81"/>
      <c r="K11965" s="81"/>
      <c r="L11965" s="81"/>
      <c r="M11965" s="81"/>
      <c r="N11965" s="81"/>
    </row>
    <row r="11966" spans="1:14" ht="14.25" customHeight="1" x14ac:dyDescent="0.25">
      <c r="A11966" s="198" t="s">
        <v>573</v>
      </c>
      <c r="B11966" s="198"/>
      <c r="C11966" s="193"/>
      <c r="D11966" s="193"/>
      <c r="E11966" s="193"/>
      <c r="F11966" s="193"/>
      <c r="G11966" s="81"/>
      <c r="H11966" s="81"/>
      <c r="I11966" s="81"/>
      <c r="J11966" s="81"/>
      <c r="K11966" s="81"/>
      <c r="L11966" s="81"/>
      <c r="M11966" s="81"/>
      <c r="N11966" s="81"/>
    </row>
    <row r="11967" spans="1:14" ht="14.25" customHeight="1" x14ac:dyDescent="0.25">
      <c r="A11967" s="585" t="s">
        <v>563</v>
      </c>
      <c r="B11967" s="586"/>
      <c r="C11967" s="587"/>
      <c r="D11967" s="474" t="s">
        <v>574</v>
      </c>
      <c r="E11967" s="474" t="s">
        <v>575</v>
      </c>
      <c r="F11967" s="474" t="s">
        <v>568</v>
      </c>
      <c r="G11967" s="81"/>
      <c r="H11967" s="81"/>
      <c r="I11967" s="81"/>
      <c r="J11967" s="81"/>
      <c r="K11967" s="81"/>
      <c r="L11967" s="81"/>
      <c r="M11967" s="81"/>
      <c r="N11967" s="81"/>
    </row>
    <row r="11968" spans="1:14" ht="14.25" customHeight="1" x14ac:dyDescent="0.25">
      <c r="A11968" s="588" t="s">
        <v>577</v>
      </c>
      <c r="B11968" s="586"/>
      <c r="C11968" s="587"/>
      <c r="D11968" s="490"/>
      <c r="E11968" s="484"/>
      <c r="F11968" s="483">
        <f>+F11982*5%</f>
        <v>234632.44166666665</v>
      </c>
      <c r="G11968" s="81"/>
      <c r="H11968" s="81"/>
      <c r="I11968" s="81"/>
      <c r="J11968" s="81"/>
      <c r="K11968" s="81"/>
      <c r="L11968" s="81"/>
      <c r="M11968" s="81"/>
      <c r="N11968" s="81"/>
    </row>
    <row r="11969" spans="1:14" ht="14.25" customHeight="1" x14ac:dyDescent="0.25">
      <c r="A11969" s="588"/>
      <c r="B11969" s="586"/>
      <c r="C11969" s="587"/>
      <c r="D11969" s="505"/>
      <c r="E11969" s="484"/>
      <c r="F11969" s="483"/>
      <c r="G11969" s="81"/>
      <c r="H11969" s="81"/>
      <c r="I11969" s="81"/>
      <c r="J11969" s="81"/>
      <c r="K11969" s="81"/>
      <c r="L11969" s="81"/>
      <c r="M11969" s="81"/>
      <c r="N11969" s="81"/>
    </row>
    <row r="11970" spans="1:14" ht="14.25" customHeight="1" x14ac:dyDescent="0.25">
      <c r="A11970" s="588"/>
      <c r="B11970" s="586"/>
      <c r="C11970" s="587"/>
      <c r="D11970" s="505"/>
      <c r="E11970" s="484"/>
      <c r="F11970" s="483"/>
      <c r="G11970" s="81"/>
      <c r="H11970" s="81"/>
      <c r="I11970" s="81"/>
      <c r="J11970" s="81"/>
      <c r="K11970" s="81"/>
      <c r="L11970" s="81"/>
      <c r="M11970" s="81"/>
      <c r="N11970" s="81"/>
    </row>
    <row r="11971" spans="1:14" ht="14.25" customHeight="1" x14ac:dyDescent="0.25">
      <c r="A11971" s="588"/>
      <c r="B11971" s="586"/>
      <c r="C11971" s="587"/>
      <c r="D11971" s="505"/>
      <c r="E11971" s="484"/>
      <c r="F11971" s="483"/>
      <c r="G11971" s="81"/>
      <c r="H11971" s="81"/>
      <c r="I11971" s="81"/>
      <c r="J11971" s="81"/>
      <c r="K11971" s="81"/>
      <c r="L11971" s="81"/>
      <c r="M11971" s="81"/>
      <c r="N11971" s="81"/>
    </row>
    <row r="11972" spans="1:14" ht="14.25" customHeight="1" x14ac:dyDescent="0.25">
      <c r="A11972" s="589"/>
      <c r="B11972" s="586"/>
      <c r="C11972" s="587"/>
      <c r="D11972" s="491"/>
      <c r="E11972" s="484"/>
      <c r="F11972" s="483"/>
      <c r="G11972" s="81"/>
      <c r="H11972" s="117"/>
      <c r="I11972" s="81"/>
      <c r="J11972" s="81"/>
      <c r="K11972" s="81"/>
      <c r="L11972" s="81"/>
      <c r="M11972" s="81"/>
      <c r="N11972" s="81"/>
    </row>
    <row r="11973" spans="1:14" ht="14.25" customHeight="1" x14ac:dyDescent="0.25">
      <c r="A11973" s="585" t="s">
        <v>548</v>
      </c>
      <c r="B11973" s="586"/>
      <c r="C11973" s="587"/>
      <c r="D11973" s="487"/>
      <c r="E11973" s="487"/>
      <c r="F11973" s="489">
        <f>SUM(F11968:F11972)</f>
        <v>234632.44166666665</v>
      </c>
      <c r="G11973" s="81"/>
      <c r="H11973" s="81"/>
      <c r="I11973" s="81"/>
      <c r="J11973" s="81"/>
      <c r="K11973" s="81"/>
      <c r="L11973" s="81"/>
      <c r="M11973" s="81"/>
      <c r="N11973" s="81"/>
    </row>
    <row r="11974" spans="1:14" ht="14.25" customHeight="1" x14ac:dyDescent="0.25">
      <c r="A11974" s="192"/>
      <c r="B11974" s="192"/>
      <c r="C11974" s="194"/>
      <c r="D11974" s="215"/>
      <c r="E11974" s="215"/>
      <c r="F11974" s="215"/>
      <c r="G11974" s="81"/>
      <c r="H11974" s="81"/>
      <c r="I11974" s="81"/>
      <c r="J11974" s="81"/>
      <c r="K11974" s="81"/>
      <c r="L11974" s="81"/>
      <c r="M11974" s="81"/>
      <c r="N11974" s="81"/>
    </row>
    <row r="11975" spans="1:14" ht="14.25" customHeight="1" x14ac:dyDescent="0.25">
      <c r="A11975" s="198" t="s">
        <v>578</v>
      </c>
      <c r="B11975" s="198"/>
      <c r="C11975" s="193"/>
      <c r="D11975" s="223"/>
      <c r="E11975" s="223"/>
      <c r="F11975" s="223"/>
      <c r="G11975" s="81"/>
      <c r="H11975" s="143"/>
      <c r="I11975" s="81"/>
      <c r="J11975" s="81"/>
      <c r="K11975" s="81"/>
      <c r="L11975" s="81"/>
      <c r="M11975" s="81"/>
      <c r="N11975" s="81"/>
    </row>
    <row r="11976" spans="1:14" ht="14.25" customHeight="1" x14ac:dyDescent="0.25">
      <c r="A11976" s="224" t="s">
        <v>563</v>
      </c>
      <c r="B11976" s="492" t="s">
        <v>579</v>
      </c>
      <c r="C11976" s="492" t="s">
        <v>580</v>
      </c>
      <c r="D11976" s="493" t="s">
        <v>581</v>
      </c>
      <c r="E11976" s="493" t="s">
        <v>575</v>
      </c>
      <c r="F11976" s="493" t="s">
        <v>568</v>
      </c>
      <c r="G11976" s="81"/>
      <c r="H11976" s="81"/>
      <c r="I11976" s="81"/>
      <c r="J11976" s="81"/>
      <c r="K11976" s="81"/>
      <c r="L11976" s="81"/>
      <c r="M11976" s="81"/>
      <c r="N11976" s="81"/>
    </row>
    <row r="11977" spans="1:14" ht="14.25" customHeight="1" x14ac:dyDescent="0.25">
      <c r="A11977" s="494" t="s">
        <v>916</v>
      </c>
      <c r="B11977" s="495">
        <v>1</v>
      </c>
      <c r="C11977" s="477">
        <v>35956.800000000003</v>
      </c>
      <c r="D11977" s="477">
        <f t="shared" ref="D11977:D11980" si="589">+C11977*1.7</f>
        <v>61126.560000000005</v>
      </c>
      <c r="E11977" s="484">
        <v>0.04</v>
      </c>
      <c r="F11977" s="483">
        <f t="shared" ref="F11977:F11980" si="590">+B11977*(D11977)/E11977</f>
        <v>1528164</v>
      </c>
      <c r="G11977" s="81"/>
      <c r="H11977" s="81"/>
      <c r="I11977" s="81"/>
      <c r="J11977" s="81"/>
      <c r="K11977" s="81"/>
      <c r="L11977" s="81"/>
      <c r="M11977" s="81"/>
      <c r="N11977" s="81"/>
    </row>
    <row r="11978" spans="1:14" ht="14.25" customHeight="1" x14ac:dyDescent="0.25">
      <c r="A11978" s="494" t="s">
        <v>917</v>
      </c>
      <c r="B11978" s="495">
        <v>1</v>
      </c>
      <c r="C11978" s="477">
        <v>57791.8</v>
      </c>
      <c r="D11978" s="477">
        <f t="shared" si="589"/>
        <v>98246.06</v>
      </c>
      <c r="E11978" s="484">
        <f>E11977</f>
        <v>0.04</v>
      </c>
      <c r="F11978" s="483">
        <f t="shared" si="590"/>
        <v>2456151.5</v>
      </c>
      <c r="G11978" s="81"/>
      <c r="H11978" s="81"/>
      <c r="I11978" s="81"/>
      <c r="J11978" s="81"/>
      <c r="K11978" s="81"/>
      <c r="L11978" s="81"/>
      <c r="M11978" s="81"/>
      <c r="N11978" s="81"/>
    </row>
    <row r="11979" spans="1:14" ht="14.25" customHeight="1" x14ac:dyDescent="0.25">
      <c r="A11979" s="494" t="s">
        <v>936</v>
      </c>
      <c r="B11979" s="495">
        <v>1</v>
      </c>
      <c r="C11979" s="477">
        <v>165000</v>
      </c>
      <c r="D11979" s="477">
        <f t="shared" si="589"/>
        <v>280500</v>
      </c>
      <c r="E11979" s="484">
        <v>0.6</v>
      </c>
      <c r="F11979" s="483">
        <f t="shared" si="590"/>
        <v>467500</v>
      </c>
      <c r="G11979" s="81"/>
      <c r="H11979" s="81"/>
      <c r="I11979" s="81"/>
      <c r="J11979" s="81"/>
      <c r="K11979" s="81"/>
      <c r="L11979" s="81"/>
      <c r="M11979" s="81"/>
      <c r="N11979" s="81"/>
    </row>
    <row r="11980" spans="1:14" ht="14.25" customHeight="1" x14ac:dyDescent="0.25">
      <c r="A11980" s="494" t="s">
        <v>937</v>
      </c>
      <c r="B11980" s="495">
        <v>1</v>
      </c>
      <c r="C11980" s="477">
        <v>85000</v>
      </c>
      <c r="D11980" s="477">
        <f t="shared" si="589"/>
        <v>144500</v>
      </c>
      <c r="E11980" s="484">
        <f>E11979</f>
        <v>0.6</v>
      </c>
      <c r="F11980" s="483">
        <f t="shared" si="590"/>
        <v>240833.33333333334</v>
      </c>
      <c r="G11980" s="81"/>
      <c r="H11980" s="81"/>
      <c r="I11980" s="81"/>
      <c r="J11980" s="81"/>
      <c r="K11980" s="81"/>
      <c r="L11980" s="81"/>
      <c r="M11980" s="81"/>
      <c r="N11980" s="81"/>
    </row>
    <row r="11981" spans="1:14" ht="14.25" customHeight="1" x14ac:dyDescent="0.25">
      <c r="A11981" s="494"/>
      <c r="B11981" s="495"/>
      <c r="C11981" s="477"/>
      <c r="D11981" s="477"/>
      <c r="E11981" s="484"/>
      <c r="F11981" s="483"/>
      <c r="G11981" s="81"/>
      <c r="H11981" s="81"/>
      <c r="I11981" s="81"/>
      <c r="J11981" s="81"/>
      <c r="K11981" s="81"/>
      <c r="L11981" s="81"/>
      <c r="M11981" s="81"/>
      <c r="N11981" s="81"/>
    </row>
    <row r="11982" spans="1:14" ht="14.25" customHeight="1" x14ac:dyDescent="0.25">
      <c r="A11982" s="199" t="s">
        <v>548</v>
      </c>
      <c r="B11982" s="497"/>
      <c r="C11982" s="487"/>
      <c r="D11982" s="487"/>
      <c r="E11982" s="487"/>
      <c r="F11982" s="489">
        <f>SUM(F11977:F11980)</f>
        <v>4692648.833333333</v>
      </c>
      <c r="G11982" s="81"/>
      <c r="H11982" s="81"/>
      <c r="I11982" s="81"/>
      <c r="J11982" s="81"/>
      <c r="K11982" s="81"/>
      <c r="L11982" s="81"/>
      <c r="M11982" s="81"/>
      <c r="N11982" s="81"/>
    </row>
    <row r="11983" spans="1:14" ht="14.25" customHeight="1" x14ac:dyDescent="0.25">
      <c r="A11983" s="198"/>
      <c r="B11983" s="231"/>
      <c r="C11983" s="223"/>
      <c r="D11983" s="223"/>
      <c r="E11983" s="223"/>
      <c r="F11983" s="223"/>
      <c r="G11983" s="81"/>
      <c r="H11983" s="81"/>
      <c r="I11983" s="81"/>
      <c r="J11983" s="81"/>
      <c r="K11983" s="81"/>
      <c r="L11983" s="81"/>
      <c r="M11983" s="81"/>
      <c r="N11983" s="81"/>
    </row>
    <row r="11984" spans="1:14" ht="14.25" customHeight="1" x14ac:dyDescent="0.25">
      <c r="A11984" s="197" t="s">
        <v>583</v>
      </c>
      <c r="B11984" s="198"/>
      <c r="C11984" s="193"/>
      <c r="D11984" s="193"/>
      <c r="E11984" s="193" t="s">
        <v>584</v>
      </c>
      <c r="F11984" s="193"/>
      <c r="G11984" s="81"/>
      <c r="H11984" s="81"/>
      <c r="I11984" s="81"/>
      <c r="J11984" s="81"/>
      <c r="K11984" s="81"/>
      <c r="L11984" s="81"/>
      <c r="M11984" s="81"/>
      <c r="N11984" s="81"/>
    </row>
    <row r="11985" spans="1:14" ht="14.25" customHeight="1" x14ac:dyDescent="0.25">
      <c r="A11985" s="199" t="s">
        <v>563</v>
      </c>
      <c r="B11985" s="474" t="s">
        <v>564</v>
      </c>
      <c r="C11985" s="474" t="s">
        <v>585</v>
      </c>
      <c r="D11985" s="474" t="s">
        <v>586</v>
      </c>
      <c r="E11985" s="492" t="s">
        <v>587</v>
      </c>
      <c r="F11985" s="474" t="s">
        <v>568</v>
      </c>
      <c r="G11985" s="81"/>
      <c r="H11985" s="81"/>
      <c r="I11985" s="81"/>
      <c r="J11985" s="81"/>
      <c r="K11985" s="81"/>
      <c r="L11985" s="81"/>
      <c r="M11985" s="81"/>
      <c r="N11985" s="81"/>
    </row>
    <row r="11986" spans="1:14" ht="14.25" customHeight="1" x14ac:dyDescent="0.25">
      <c r="A11986" s="480"/>
      <c r="B11986" s="476"/>
      <c r="C11986" s="477"/>
      <c r="D11986" s="498"/>
      <c r="E11986" s="484"/>
      <c r="F11986" s="486">
        <f>+C11986*D11986*E11986</f>
        <v>0</v>
      </c>
      <c r="G11986" s="81"/>
      <c r="H11986" s="81"/>
      <c r="I11986" s="81"/>
      <c r="J11986" s="81"/>
      <c r="K11986" s="81"/>
      <c r="L11986" s="81"/>
      <c r="M11986" s="81"/>
      <c r="N11986" s="81"/>
    </row>
    <row r="11987" spans="1:14" ht="14.25" customHeight="1" x14ac:dyDescent="0.25">
      <c r="A11987" s="480"/>
      <c r="B11987" s="476"/>
      <c r="C11987" s="484"/>
      <c r="D11987" s="484"/>
      <c r="E11987" s="485"/>
      <c r="F11987" s="486"/>
      <c r="G11987" s="81"/>
      <c r="H11987" s="81"/>
      <c r="I11987" s="81"/>
      <c r="J11987" s="81"/>
      <c r="K11987" s="81"/>
      <c r="L11987" s="81"/>
      <c r="M11987" s="81"/>
      <c r="N11987" s="81"/>
    </row>
    <row r="11988" spans="1:14" ht="14.25" customHeight="1" x14ac:dyDescent="0.25">
      <c r="A11988" s="199" t="s">
        <v>548</v>
      </c>
      <c r="B11988" s="474"/>
      <c r="C11988" s="487"/>
      <c r="D11988" s="487"/>
      <c r="E11988" s="488"/>
      <c r="F11988" s="489">
        <f>SUM(F11986:F11987)</f>
        <v>0</v>
      </c>
      <c r="G11988" s="81"/>
      <c r="H11988" s="81"/>
      <c r="I11988" s="81"/>
      <c r="J11988" s="81"/>
      <c r="K11988" s="81"/>
      <c r="L11988" s="81"/>
      <c r="M11988" s="81"/>
      <c r="N11988" s="81"/>
    </row>
    <row r="11989" spans="1:14" ht="14.25" customHeight="1" x14ac:dyDescent="0.25">
      <c r="A11989" s="192"/>
      <c r="B11989" s="194"/>
      <c r="C11989" s="215"/>
      <c r="D11989" s="215"/>
      <c r="E11989" s="216"/>
      <c r="F11989" s="215"/>
      <c r="G11989" s="81"/>
      <c r="H11989" s="81"/>
      <c r="I11989" s="81"/>
      <c r="J11989" s="81"/>
      <c r="K11989" s="81"/>
      <c r="L11989" s="81"/>
      <c r="M11989" s="81"/>
      <c r="N11989" s="81"/>
    </row>
    <row r="11990" spans="1:14" ht="14.25" customHeight="1" x14ac:dyDescent="0.25">
      <c r="A11990" s="192"/>
      <c r="B11990" s="194"/>
      <c r="C11990" s="215"/>
      <c r="D11990" s="215"/>
      <c r="E11990" s="216"/>
      <c r="F11990" s="215"/>
      <c r="G11990" s="81"/>
      <c r="H11990" s="81"/>
      <c r="I11990" s="81"/>
      <c r="J11990" s="81"/>
      <c r="K11990" s="81"/>
      <c r="L11990" s="81"/>
      <c r="M11990" s="81"/>
      <c r="N11990" s="81"/>
    </row>
    <row r="11991" spans="1:14" ht="14.25" customHeight="1" x14ac:dyDescent="0.25">
      <c r="A11991" s="590" t="s">
        <v>588</v>
      </c>
      <c r="B11991" s="586"/>
      <c r="C11991" s="586"/>
      <c r="D11991" s="586"/>
      <c r="E11991" s="587"/>
      <c r="F11991" s="499">
        <f>ROUND(F11964+F11973+F11982+F11988,0)</f>
        <v>35888084</v>
      </c>
      <c r="G11991" s="81"/>
      <c r="H11991" s="81"/>
      <c r="I11991" s="81"/>
      <c r="J11991" s="81"/>
      <c r="K11991" s="81"/>
      <c r="L11991" s="81"/>
      <c r="M11991" s="81"/>
      <c r="N11991" s="81"/>
    </row>
    <row r="11992" spans="1:14" ht="14.25" customHeight="1" x14ac:dyDescent="0.25">
      <c r="A11992" s="590" t="s">
        <v>589</v>
      </c>
      <c r="B11992" s="586"/>
      <c r="C11992" s="586"/>
      <c r="D11992" s="586"/>
      <c r="E11992" s="587"/>
      <c r="F11992" s="500"/>
      <c r="G11992" s="81"/>
      <c r="H11992" s="81"/>
      <c r="I11992" s="81"/>
      <c r="J11992" s="81"/>
      <c r="K11992" s="81"/>
      <c r="L11992" s="81"/>
      <c r="M11992" s="81"/>
      <c r="N11992" s="81"/>
    </row>
    <row r="11993" spans="1:14" ht="14.25" customHeight="1" x14ac:dyDescent="0.25">
      <c r="A11993" s="300" t="s">
        <v>556</v>
      </c>
      <c r="B11993" s="506"/>
      <c r="C11993" s="506"/>
      <c r="D11993" s="506"/>
      <c r="E11993" s="507"/>
      <c r="F11993" s="501"/>
      <c r="G11993" s="81"/>
      <c r="H11993" s="81"/>
      <c r="I11993" s="81"/>
      <c r="J11993" s="81"/>
      <c r="K11993" s="81"/>
      <c r="L11993" s="81"/>
      <c r="M11993" s="81"/>
      <c r="N11993" s="81"/>
    </row>
    <row r="11994" spans="1:14" ht="14.25" customHeight="1" x14ac:dyDescent="0.25">
      <c r="A11994" s="301"/>
      <c r="B11994" s="502"/>
      <c r="C11994" s="502"/>
      <c r="D11994" s="502"/>
      <c r="E11994" s="502"/>
      <c r="F11994" s="503"/>
      <c r="G11994" s="81"/>
      <c r="H11994" s="81"/>
      <c r="I11994" s="81"/>
      <c r="J11994" s="81"/>
      <c r="K11994" s="81"/>
      <c r="L11994" s="81"/>
      <c r="M11994" s="81"/>
      <c r="N11994" s="81"/>
    </row>
    <row r="11995" spans="1:14" ht="14.25" customHeight="1" x14ac:dyDescent="0.25">
      <c r="A11995" s="301"/>
      <c r="B11995" s="502"/>
      <c r="C11995" s="502"/>
      <c r="D11995" s="502"/>
      <c r="E11995" s="502"/>
      <c r="F11995" s="503"/>
      <c r="G11995" s="81"/>
      <c r="H11995" s="81"/>
      <c r="I11995" s="81"/>
      <c r="J11995" s="81"/>
      <c r="K11995" s="81"/>
      <c r="L11995" s="81"/>
      <c r="M11995" s="81"/>
      <c r="N11995" s="81"/>
    </row>
    <row r="11996" spans="1:14" ht="14.25" customHeight="1" x14ac:dyDescent="0.25">
      <c r="A11996" s="301"/>
      <c r="B11996" s="502"/>
      <c r="C11996" s="502"/>
      <c r="D11996" s="502"/>
      <c r="E11996" s="502"/>
      <c r="F11996" s="503"/>
      <c r="G11996" s="81"/>
      <c r="H11996" s="81"/>
      <c r="I11996" s="81"/>
      <c r="J11996" s="81"/>
      <c r="K11996" s="81"/>
      <c r="L11996" s="81"/>
      <c r="M11996" s="81"/>
      <c r="N11996" s="81"/>
    </row>
    <row r="11997" spans="1:14" ht="14.25" customHeight="1" x14ac:dyDescent="0.25">
      <c r="A11997" s="243"/>
      <c r="B11997" s="243"/>
      <c r="C11997" s="504"/>
      <c r="D11997" s="243"/>
      <c r="E11997" s="243"/>
      <c r="F11997" s="243"/>
      <c r="G11997" s="81"/>
      <c r="H11997" s="81"/>
      <c r="I11997" s="81"/>
      <c r="J11997" s="81"/>
      <c r="K11997" s="81"/>
      <c r="L11997" s="81"/>
      <c r="M11997" s="81"/>
      <c r="N11997" s="81"/>
    </row>
    <row r="11998" spans="1:14" ht="14.25" customHeight="1" x14ac:dyDescent="0.25">
      <c r="A11998" s="243"/>
      <c r="B11998" s="243"/>
      <c r="C11998" s="504"/>
      <c r="D11998" s="243"/>
      <c r="E11998" s="243"/>
      <c r="F11998" s="243"/>
      <c r="G11998" s="81"/>
      <c r="H11998" s="81"/>
      <c r="I11998" s="81"/>
      <c r="J11998" s="81"/>
      <c r="K11998" s="81"/>
      <c r="L11998" s="81"/>
      <c r="M11998" s="81"/>
      <c r="N11998" s="81"/>
    </row>
    <row r="11999" spans="1:14" ht="14.25" customHeight="1" x14ac:dyDescent="0.25">
      <c r="A11999" s="243"/>
      <c r="B11999" s="243"/>
      <c r="C11999" s="504"/>
      <c r="D11999" s="243"/>
      <c r="E11999" s="243"/>
      <c r="F11999" s="243"/>
      <c r="G11999" s="81"/>
      <c r="H11999" s="81"/>
      <c r="I11999" s="81"/>
      <c r="J11999" s="81"/>
      <c r="K11999" s="81"/>
      <c r="L11999" s="81"/>
      <c r="M11999" s="81"/>
      <c r="N11999" s="81"/>
    </row>
    <row r="12000" spans="1:14" ht="14.25" customHeight="1" x14ac:dyDescent="0.25">
      <c r="A12000" s="243"/>
      <c r="B12000" s="243"/>
      <c r="C12000" s="504"/>
      <c r="D12000" s="243"/>
      <c r="E12000" s="243"/>
      <c r="F12000" s="243"/>
      <c r="G12000" s="81"/>
      <c r="H12000" s="81"/>
      <c r="I12000" s="81"/>
      <c r="J12000" s="81"/>
      <c r="K12000" s="81"/>
      <c r="L12000" s="81"/>
      <c r="M12000" s="81"/>
      <c r="N12000" s="81"/>
    </row>
    <row r="12001" spans="1:14" ht="14.25" customHeight="1" x14ac:dyDescent="0.25">
      <c r="A12001" s="243"/>
      <c r="B12001" s="243"/>
      <c r="C12001" s="504"/>
      <c r="D12001" s="243"/>
      <c r="E12001" s="243"/>
      <c r="F12001" s="243"/>
      <c r="G12001" s="81"/>
      <c r="H12001" s="81"/>
      <c r="I12001" s="81"/>
      <c r="J12001" s="81"/>
      <c r="K12001" s="81"/>
      <c r="L12001" s="81"/>
      <c r="M12001" s="81"/>
      <c r="N12001" s="81"/>
    </row>
    <row r="12002" spans="1:14" ht="14.25" customHeight="1" x14ac:dyDescent="0.25">
      <c r="A12002" s="243"/>
      <c r="B12002" s="243"/>
      <c r="C12002" s="504"/>
      <c r="D12002" s="243"/>
      <c r="E12002" s="243"/>
      <c r="F12002" s="243"/>
      <c r="G12002" s="81"/>
      <c r="H12002" s="81"/>
      <c r="I12002" s="81"/>
      <c r="J12002" s="81"/>
      <c r="K12002" s="81"/>
      <c r="L12002" s="81"/>
      <c r="M12002" s="81"/>
      <c r="N12002" s="81"/>
    </row>
    <row r="12003" spans="1:14" ht="14.25" customHeight="1" x14ac:dyDescent="0.25">
      <c r="A12003" s="243"/>
      <c r="B12003" s="243"/>
      <c r="C12003" s="504"/>
      <c r="D12003" s="243"/>
      <c r="E12003" s="243"/>
      <c r="F12003" s="243"/>
      <c r="G12003" s="81"/>
      <c r="H12003" s="81"/>
      <c r="I12003" s="81"/>
      <c r="J12003" s="81"/>
      <c r="K12003" s="81"/>
      <c r="L12003" s="81"/>
      <c r="M12003" s="81"/>
      <c r="N12003" s="81"/>
    </row>
    <row r="12004" spans="1:14" ht="14.25" customHeight="1" x14ac:dyDescent="0.25">
      <c r="A12004" s="243"/>
      <c r="B12004" s="243"/>
      <c r="C12004" s="504"/>
      <c r="D12004" s="243"/>
      <c r="E12004" s="243"/>
      <c r="F12004" s="243"/>
      <c r="G12004" s="81"/>
      <c r="H12004" s="81"/>
      <c r="I12004" s="81"/>
      <c r="J12004" s="81"/>
      <c r="K12004" s="81"/>
      <c r="L12004" s="81"/>
      <c r="M12004" s="81"/>
      <c r="N12004" s="81"/>
    </row>
    <row r="12005" spans="1:14" ht="14.25" customHeight="1" x14ac:dyDescent="0.25">
      <c r="A12005" s="243"/>
      <c r="B12005" s="243"/>
      <c r="C12005" s="504"/>
      <c r="D12005" s="243"/>
      <c r="E12005" s="243"/>
      <c r="F12005" s="243"/>
      <c r="G12005" s="81"/>
      <c r="H12005" s="81"/>
      <c r="I12005" s="81"/>
      <c r="J12005" s="81"/>
      <c r="K12005" s="81"/>
      <c r="L12005" s="81"/>
      <c r="M12005" s="81"/>
      <c r="N12005" s="81"/>
    </row>
    <row r="12006" spans="1:14" ht="14.25" customHeight="1" x14ac:dyDescent="0.25">
      <c r="A12006" s="243"/>
      <c r="B12006" s="243"/>
      <c r="C12006" s="504"/>
      <c r="D12006" s="243"/>
      <c r="E12006" s="243"/>
      <c r="F12006" s="243"/>
      <c r="G12006" s="81"/>
      <c r="H12006" s="81"/>
      <c r="I12006" s="81"/>
      <c r="J12006" s="81"/>
      <c r="K12006" s="81"/>
      <c r="L12006" s="81"/>
      <c r="M12006" s="81"/>
      <c r="N12006" s="81"/>
    </row>
    <row r="12007" spans="1:14" ht="14.25" customHeight="1" x14ac:dyDescent="0.25">
      <c r="A12007" s="243"/>
      <c r="B12007" s="243"/>
      <c r="C12007" s="504"/>
      <c r="D12007" s="243"/>
      <c r="E12007" s="243"/>
      <c r="F12007" s="243"/>
      <c r="G12007" s="81"/>
      <c r="H12007" s="81"/>
      <c r="I12007" s="81"/>
      <c r="J12007" s="81"/>
      <c r="K12007" s="81"/>
      <c r="L12007" s="81"/>
      <c r="M12007" s="81"/>
      <c r="N12007" s="81"/>
    </row>
    <row r="12008" spans="1:14" ht="14.25" customHeight="1" x14ac:dyDescent="0.25">
      <c r="A12008" s="243"/>
      <c r="B12008" s="243"/>
      <c r="C12008" s="504"/>
      <c r="D12008" s="243"/>
      <c r="E12008" s="243"/>
      <c r="F12008" s="243"/>
      <c r="G12008" s="81"/>
      <c r="H12008" s="81"/>
      <c r="I12008" s="81"/>
      <c r="J12008" s="81"/>
      <c r="K12008" s="81"/>
      <c r="L12008" s="81"/>
      <c r="M12008" s="81"/>
      <c r="N12008" s="81"/>
    </row>
    <row r="12009" spans="1:14" ht="14.25" customHeight="1" x14ac:dyDescent="0.25">
      <c r="A12009" s="243"/>
      <c r="B12009" s="243"/>
      <c r="C12009" s="504"/>
      <c r="D12009" s="243"/>
      <c r="E12009" s="243"/>
      <c r="F12009" s="243"/>
      <c r="G12009" s="81"/>
      <c r="H12009" s="81"/>
      <c r="I12009" s="81"/>
      <c r="J12009" s="81"/>
      <c r="K12009" s="81"/>
      <c r="L12009" s="81"/>
      <c r="M12009" s="81"/>
      <c r="N12009" s="81"/>
    </row>
    <row r="12010" spans="1:14" ht="14.25" customHeight="1" thickBot="1" x14ac:dyDescent="0.3">
      <c r="A12010" s="243"/>
      <c r="B12010" s="243"/>
      <c r="C12010" s="504"/>
      <c r="D12010" s="243"/>
      <c r="E12010" s="243"/>
      <c r="F12010" s="243"/>
      <c r="G12010" s="81"/>
      <c r="H12010" s="81"/>
      <c r="I12010" s="81"/>
      <c r="J12010" s="81"/>
      <c r="K12010" s="81"/>
      <c r="L12010" s="81"/>
      <c r="M12010" s="81"/>
      <c r="N12010" s="81"/>
    </row>
    <row r="12011" spans="1:14" ht="14.25" customHeight="1" x14ac:dyDescent="0.25">
      <c r="A12011" s="258"/>
      <c r="B12011" s="259"/>
      <c r="C12011" s="260"/>
      <c r="D12011" s="261"/>
      <c r="E12011" s="261"/>
      <c r="F12011" s="262"/>
      <c r="G12011" s="81"/>
      <c r="H12011" s="81"/>
      <c r="I12011" s="81"/>
      <c r="J12011" s="81"/>
      <c r="K12011" s="81"/>
      <c r="L12011" s="81"/>
      <c r="M12011" s="81"/>
      <c r="N12011" s="81"/>
    </row>
    <row r="12012" spans="1:14" ht="14.25" customHeight="1" x14ac:dyDescent="0.25">
      <c r="A12012" s="621"/>
      <c r="B12012" s="629"/>
      <c r="C12012" s="629"/>
      <c r="D12012" s="629"/>
      <c r="E12012" s="629"/>
      <c r="F12012" s="630"/>
      <c r="G12012" s="81"/>
      <c r="H12012" s="81"/>
      <c r="I12012" s="81"/>
      <c r="J12012" s="81"/>
      <c r="K12012" s="81"/>
      <c r="L12012" s="81"/>
      <c r="M12012" s="81"/>
      <c r="N12012" s="81"/>
    </row>
    <row r="12013" spans="1:14" ht="14.25" customHeight="1" x14ac:dyDescent="0.25">
      <c r="A12013" s="614" t="s">
        <v>561</v>
      </c>
      <c r="B12013" s="629"/>
      <c r="C12013" s="629"/>
      <c r="D12013" s="629"/>
      <c r="E12013" s="629"/>
      <c r="F12013" s="630"/>
      <c r="G12013" s="81"/>
      <c r="H12013" s="81"/>
      <c r="I12013" s="81"/>
      <c r="J12013" s="81"/>
      <c r="K12013" s="81"/>
      <c r="L12013" s="81"/>
      <c r="M12013" s="81"/>
      <c r="N12013" s="81"/>
    </row>
    <row r="12014" spans="1:14" ht="14.25" customHeight="1" thickBot="1" x14ac:dyDescent="0.3">
      <c r="A12014" s="617"/>
      <c r="B12014" s="631"/>
      <c r="C12014" s="631"/>
      <c r="D12014" s="631"/>
      <c r="E12014" s="631"/>
      <c r="F12014" s="632"/>
      <c r="G12014" s="81"/>
      <c r="H12014" s="81"/>
      <c r="I12014" s="81"/>
      <c r="J12014" s="81"/>
      <c r="K12014" s="81"/>
      <c r="L12014" s="81"/>
      <c r="M12014" s="81"/>
      <c r="N12014" s="81"/>
    </row>
    <row r="12015" spans="1:14" ht="14.25" customHeight="1" x14ac:dyDescent="0.25">
      <c r="A12015" s="192"/>
      <c r="B12015" s="192"/>
      <c r="C12015" s="194"/>
      <c r="D12015" s="194"/>
      <c r="E12015" s="194"/>
      <c r="F12015" s="194"/>
      <c r="G12015" s="81"/>
      <c r="H12015" s="81"/>
      <c r="I12015" s="81"/>
      <c r="J12015" s="81"/>
      <c r="K12015" s="81"/>
      <c r="L12015" s="81"/>
      <c r="M12015" s="81"/>
      <c r="N12015" s="81"/>
    </row>
    <row r="12016" spans="1:14" ht="14.25" customHeight="1" x14ac:dyDescent="0.25">
      <c r="A12016" s="473" t="s">
        <v>47</v>
      </c>
      <c r="B12016" s="620" t="s">
        <v>1202</v>
      </c>
      <c r="C12016" s="629"/>
      <c r="D12016" s="629"/>
      <c r="E12016" s="629"/>
      <c r="F12016" s="629"/>
      <c r="G12016" s="81"/>
      <c r="H12016" s="81"/>
      <c r="I12016" s="81"/>
      <c r="J12016" s="81"/>
      <c r="K12016" s="81"/>
      <c r="L12016" s="81"/>
      <c r="M12016" s="81"/>
      <c r="N12016" s="81"/>
    </row>
    <row r="12017" spans="1:14" ht="14.25" customHeight="1" x14ac:dyDescent="0.25">
      <c r="A12017" s="191"/>
      <c r="B12017" s="191"/>
      <c r="C12017" s="191"/>
      <c r="D12017" s="191"/>
      <c r="E12017" s="191"/>
      <c r="F12017" s="191"/>
      <c r="G12017" s="81"/>
      <c r="H12017" s="81"/>
      <c r="I12017" s="81"/>
      <c r="J12017" s="81"/>
      <c r="K12017" s="81"/>
      <c r="L12017" s="81"/>
      <c r="M12017" s="81"/>
      <c r="N12017" s="81"/>
    </row>
    <row r="12018" spans="1:14" ht="14.25" customHeight="1" x14ac:dyDescent="0.25">
      <c r="A12018" s="192" t="s">
        <v>49</v>
      </c>
      <c r="B12018" s="193" t="s">
        <v>99</v>
      </c>
      <c r="C12018" s="194"/>
      <c r="D12018" s="194"/>
      <c r="E12018" s="194"/>
      <c r="F12018" s="195"/>
      <c r="G12018" s="81"/>
      <c r="H12018" s="81"/>
      <c r="I12018" s="81"/>
      <c r="J12018" s="81"/>
      <c r="K12018" s="81"/>
      <c r="L12018" s="81"/>
      <c r="M12018" s="81"/>
      <c r="N12018" s="81"/>
    </row>
    <row r="12019" spans="1:14" ht="14.25" customHeight="1" x14ac:dyDescent="0.25">
      <c r="A12019" s="192"/>
      <c r="B12019" s="196"/>
      <c r="C12019" s="194"/>
      <c r="D12019" s="194"/>
      <c r="E12019" s="194"/>
      <c r="F12019" s="195"/>
      <c r="G12019" s="81"/>
      <c r="H12019" s="81"/>
      <c r="I12019" s="81"/>
      <c r="J12019" s="81"/>
      <c r="K12019" s="81"/>
      <c r="L12019" s="81"/>
      <c r="M12019" s="81"/>
      <c r="N12019" s="81"/>
    </row>
    <row r="12020" spans="1:14" ht="14.25" customHeight="1" x14ac:dyDescent="0.25">
      <c r="A12020" s="197" t="s">
        <v>562</v>
      </c>
      <c r="B12020" s="198"/>
      <c r="C12020" s="193"/>
      <c r="D12020" s="193"/>
      <c r="E12020" s="193"/>
      <c r="F12020" s="193"/>
      <c r="G12020" s="81"/>
      <c r="H12020" s="81"/>
      <c r="I12020" s="81"/>
      <c r="J12020" s="81"/>
      <c r="K12020" s="81"/>
      <c r="L12020" s="81"/>
      <c r="M12020" s="81"/>
      <c r="N12020" s="81"/>
    </row>
    <row r="12021" spans="1:14" ht="14.25" customHeight="1" x14ac:dyDescent="0.25">
      <c r="A12021" s="199" t="s">
        <v>563</v>
      </c>
      <c r="B12021" s="474" t="s">
        <v>564</v>
      </c>
      <c r="C12021" s="474" t="s">
        <v>565</v>
      </c>
      <c r="D12021" s="474" t="s">
        <v>566</v>
      </c>
      <c r="E12021" s="474" t="s">
        <v>567</v>
      </c>
      <c r="F12021" s="474" t="s">
        <v>568</v>
      </c>
      <c r="G12021" s="81"/>
      <c r="H12021" s="81"/>
      <c r="I12021" s="81"/>
      <c r="J12021" s="81"/>
      <c r="K12021" s="81"/>
      <c r="L12021" s="81"/>
      <c r="M12021" s="81"/>
      <c r="N12021" s="81"/>
    </row>
    <row r="12022" spans="1:14" ht="14.25" customHeight="1" x14ac:dyDescent="0.25">
      <c r="A12022" s="475" t="s">
        <v>1202</v>
      </c>
      <c r="B12022" s="476" t="s">
        <v>99</v>
      </c>
      <c r="C12022" s="477">
        <v>18655105</v>
      </c>
      <c r="D12022" s="478">
        <v>1</v>
      </c>
      <c r="E12022" s="479"/>
      <c r="F12022" s="477">
        <f t="shared" ref="F12022:F12024" si="591">C12022*(D12022+(D12022*E12022))</f>
        <v>18655105</v>
      </c>
      <c r="G12022" s="81"/>
      <c r="H12022" s="81"/>
      <c r="I12022" s="81"/>
      <c r="J12022" s="81"/>
      <c r="K12022" s="81"/>
      <c r="L12022" s="81"/>
      <c r="M12022" s="81"/>
      <c r="N12022" s="81"/>
    </row>
    <row r="12023" spans="1:14" ht="14.25" customHeight="1" x14ac:dyDescent="0.25">
      <c r="A12023" s="475"/>
      <c r="B12023" s="476"/>
      <c r="C12023" s="477"/>
      <c r="D12023" s="481"/>
      <c r="E12023" s="479"/>
      <c r="F12023" s="477">
        <f t="shared" si="591"/>
        <v>0</v>
      </c>
      <c r="G12023" s="81"/>
      <c r="H12023" s="81"/>
      <c r="I12023" s="81"/>
      <c r="J12023" s="81"/>
      <c r="K12023" s="81"/>
      <c r="L12023" s="81"/>
      <c r="M12023" s="81"/>
      <c r="N12023" s="81"/>
    </row>
    <row r="12024" spans="1:14" ht="14.25" customHeight="1" x14ac:dyDescent="0.25">
      <c r="A12024" s="475"/>
      <c r="B12024" s="476"/>
      <c r="C12024" s="477"/>
      <c r="D12024" s="481"/>
      <c r="E12024" s="479"/>
      <c r="F12024" s="477">
        <f t="shared" si="591"/>
        <v>0</v>
      </c>
      <c r="G12024" s="81"/>
      <c r="H12024" s="81"/>
      <c r="I12024" s="81"/>
      <c r="J12024" s="81"/>
      <c r="K12024" s="81"/>
      <c r="L12024" s="81"/>
      <c r="M12024" s="81"/>
      <c r="N12024" s="81"/>
    </row>
    <row r="12025" spans="1:14" ht="14.25" customHeight="1" x14ac:dyDescent="0.25">
      <c r="A12025" s="475"/>
      <c r="B12025" s="476"/>
      <c r="C12025" s="477"/>
      <c r="D12025" s="478"/>
      <c r="E12025" s="479"/>
      <c r="F12025" s="477"/>
      <c r="G12025" s="81"/>
      <c r="H12025" s="81"/>
      <c r="I12025" s="81"/>
      <c r="J12025" s="81"/>
      <c r="K12025" s="81"/>
      <c r="L12025" s="81"/>
      <c r="M12025" s="81"/>
      <c r="N12025" s="81"/>
    </row>
    <row r="12026" spans="1:14" ht="14.25" customHeight="1" x14ac:dyDescent="0.25">
      <c r="A12026" s="475"/>
      <c r="B12026" s="476"/>
      <c r="C12026" s="477"/>
      <c r="D12026" s="478"/>
      <c r="E12026" s="479"/>
      <c r="F12026" s="477"/>
      <c r="G12026" s="81"/>
      <c r="H12026" s="81"/>
      <c r="I12026" s="81"/>
      <c r="J12026" s="81"/>
      <c r="K12026" s="81"/>
      <c r="L12026" s="81"/>
      <c r="M12026" s="81"/>
      <c r="N12026" s="81"/>
    </row>
    <row r="12027" spans="1:14" ht="14.25" customHeight="1" x14ac:dyDescent="0.25">
      <c r="A12027" s="475"/>
      <c r="B12027" s="476"/>
      <c r="C12027" s="477"/>
      <c r="D12027" s="478"/>
      <c r="E12027" s="479"/>
      <c r="F12027" s="477"/>
      <c r="G12027" s="81"/>
      <c r="H12027" s="81"/>
      <c r="I12027" s="81"/>
      <c r="J12027" s="81"/>
      <c r="K12027" s="81"/>
      <c r="L12027" s="81"/>
      <c r="M12027" s="81"/>
      <c r="N12027" s="81"/>
    </row>
    <row r="12028" spans="1:14" ht="14.25" customHeight="1" x14ac:dyDescent="0.25">
      <c r="A12028" s="475"/>
      <c r="B12028" s="476"/>
      <c r="C12028" s="483"/>
      <c r="D12028" s="484"/>
      <c r="E12028" s="485"/>
      <c r="F12028" s="483"/>
      <c r="G12028" s="81"/>
      <c r="H12028" s="81"/>
      <c r="I12028" s="81"/>
      <c r="J12028" s="81"/>
      <c r="K12028" s="81"/>
      <c r="L12028" s="81"/>
      <c r="M12028" s="81"/>
      <c r="N12028" s="81"/>
    </row>
    <row r="12029" spans="1:14" ht="14.25" customHeight="1" x14ac:dyDescent="0.25">
      <c r="A12029" s="199" t="s">
        <v>548</v>
      </c>
      <c r="B12029" s="199"/>
      <c r="C12029" s="486"/>
      <c r="D12029" s="487"/>
      <c r="E12029" s="488"/>
      <c r="F12029" s="489">
        <f>SUM(F12022:F12028)</f>
        <v>18655105</v>
      </c>
      <c r="G12029" s="81"/>
      <c r="H12029" s="81"/>
      <c r="I12029" s="81"/>
      <c r="J12029" s="81"/>
      <c r="K12029" s="81"/>
      <c r="L12029" s="81"/>
      <c r="M12029" s="81"/>
      <c r="N12029" s="81"/>
    </row>
    <row r="12030" spans="1:14" ht="14.25" customHeight="1" x14ac:dyDescent="0.25">
      <c r="A12030" s="192"/>
      <c r="B12030" s="192"/>
      <c r="C12030" s="215"/>
      <c r="D12030" s="215"/>
      <c r="E12030" s="216"/>
      <c r="F12030" s="215"/>
      <c r="G12030" s="81"/>
      <c r="H12030" s="81"/>
      <c r="I12030" s="81"/>
      <c r="J12030" s="81"/>
      <c r="K12030" s="81"/>
      <c r="L12030" s="81"/>
      <c r="M12030" s="81"/>
      <c r="N12030" s="81"/>
    </row>
    <row r="12031" spans="1:14" ht="14.25" customHeight="1" x14ac:dyDescent="0.25">
      <c r="A12031" s="198" t="s">
        <v>573</v>
      </c>
      <c r="B12031" s="198"/>
      <c r="C12031" s="193"/>
      <c r="D12031" s="193"/>
      <c r="E12031" s="193"/>
      <c r="F12031" s="193"/>
      <c r="G12031" s="81"/>
      <c r="H12031" s="81"/>
      <c r="I12031" s="81"/>
      <c r="J12031" s="81"/>
      <c r="K12031" s="81"/>
      <c r="L12031" s="81"/>
      <c r="M12031" s="81"/>
      <c r="N12031" s="81"/>
    </row>
    <row r="12032" spans="1:14" ht="14.25" customHeight="1" x14ac:dyDescent="0.25">
      <c r="A12032" s="585" t="s">
        <v>563</v>
      </c>
      <c r="B12032" s="586"/>
      <c r="C12032" s="587"/>
      <c r="D12032" s="474" t="s">
        <v>574</v>
      </c>
      <c r="E12032" s="474" t="s">
        <v>575</v>
      </c>
      <c r="F12032" s="474" t="s">
        <v>568</v>
      </c>
      <c r="G12032" s="81"/>
      <c r="H12032" s="81"/>
      <c r="I12032" s="81"/>
      <c r="J12032" s="81"/>
      <c r="K12032" s="81"/>
      <c r="L12032" s="81"/>
      <c r="M12032" s="81"/>
      <c r="N12032" s="81"/>
    </row>
    <row r="12033" spans="1:14" ht="14.25" customHeight="1" x14ac:dyDescent="0.25">
      <c r="A12033" s="588" t="s">
        <v>577</v>
      </c>
      <c r="B12033" s="586"/>
      <c r="C12033" s="587"/>
      <c r="D12033" s="490"/>
      <c r="E12033" s="484"/>
      <c r="F12033" s="483">
        <f>+F12047*5%</f>
        <v>126170.38750000001</v>
      </c>
      <c r="G12033" s="81"/>
      <c r="H12033" s="81"/>
      <c r="I12033" s="81"/>
      <c r="J12033" s="81"/>
      <c r="K12033" s="81"/>
      <c r="L12033" s="81"/>
      <c r="M12033" s="81"/>
      <c r="N12033" s="81"/>
    </row>
    <row r="12034" spans="1:14" ht="14.25" customHeight="1" x14ac:dyDescent="0.25">
      <c r="A12034" s="588"/>
      <c r="B12034" s="586"/>
      <c r="C12034" s="587"/>
      <c r="D12034" s="505"/>
      <c r="E12034" s="484"/>
      <c r="F12034" s="483"/>
      <c r="G12034" s="81"/>
      <c r="H12034" s="81"/>
      <c r="I12034" s="81"/>
      <c r="J12034" s="81"/>
      <c r="K12034" s="81"/>
      <c r="L12034" s="81"/>
      <c r="M12034" s="81"/>
      <c r="N12034" s="81"/>
    </row>
    <row r="12035" spans="1:14" ht="14.25" customHeight="1" x14ac:dyDescent="0.25">
      <c r="A12035" s="588"/>
      <c r="B12035" s="586"/>
      <c r="C12035" s="587"/>
      <c r="D12035" s="505"/>
      <c r="E12035" s="484"/>
      <c r="F12035" s="483"/>
      <c r="G12035" s="81"/>
      <c r="H12035" s="117"/>
      <c r="I12035" s="81"/>
      <c r="J12035" s="81"/>
      <c r="K12035" s="81"/>
      <c r="L12035" s="81"/>
      <c r="M12035" s="81"/>
      <c r="N12035" s="81"/>
    </row>
    <row r="12036" spans="1:14" ht="14.25" customHeight="1" x14ac:dyDescent="0.25">
      <c r="A12036" s="588"/>
      <c r="B12036" s="586"/>
      <c r="C12036" s="587"/>
      <c r="D12036" s="505"/>
      <c r="E12036" s="484"/>
      <c r="F12036" s="483"/>
      <c r="G12036" s="81"/>
      <c r="H12036" s="81"/>
      <c r="I12036" s="81"/>
      <c r="J12036" s="81"/>
      <c r="K12036" s="81"/>
      <c r="L12036" s="81"/>
      <c r="M12036" s="81"/>
      <c r="N12036" s="81"/>
    </row>
    <row r="12037" spans="1:14" ht="14.25" customHeight="1" x14ac:dyDescent="0.25">
      <c r="A12037" s="589"/>
      <c r="B12037" s="586"/>
      <c r="C12037" s="587"/>
      <c r="D12037" s="491"/>
      <c r="E12037" s="484"/>
      <c r="F12037" s="483"/>
      <c r="G12037" s="81"/>
      <c r="H12037" s="81"/>
      <c r="I12037" s="81"/>
      <c r="J12037" s="81"/>
      <c r="K12037" s="81"/>
      <c r="L12037" s="81"/>
      <c r="M12037" s="81"/>
      <c r="N12037" s="81"/>
    </row>
    <row r="12038" spans="1:14" ht="14.25" customHeight="1" x14ac:dyDescent="0.25">
      <c r="A12038" s="585" t="s">
        <v>548</v>
      </c>
      <c r="B12038" s="586"/>
      <c r="C12038" s="587"/>
      <c r="D12038" s="487"/>
      <c r="E12038" s="487"/>
      <c r="F12038" s="489">
        <f>SUM(F12033:F12037)</f>
        <v>126170.38750000001</v>
      </c>
      <c r="G12038" s="81"/>
      <c r="H12038" s="143"/>
      <c r="I12038" s="81"/>
      <c r="J12038" s="81"/>
      <c r="K12038" s="81"/>
      <c r="L12038" s="81"/>
      <c r="M12038" s="81"/>
      <c r="N12038" s="81"/>
    </row>
    <row r="12039" spans="1:14" ht="14.25" customHeight="1" x14ac:dyDescent="0.25">
      <c r="A12039" s="192"/>
      <c r="B12039" s="192"/>
      <c r="C12039" s="194"/>
      <c r="D12039" s="215"/>
      <c r="E12039" s="215"/>
      <c r="F12039" s="215"/>
      <c r="G12039" s="81"/>
      <c r="H12039" s="81"/>
      <c r="I12039" s="81"/>
      <c r="J12039" s="81"/>
      <c r="K12039" s="81"/>
      <c r="L12039" s="81"/>
      <c r="M12039" s="81"/>
      <c r="N12039" s="81"/>
    </row>
    <row r="12040" spans="1:14" ht="14.25" customHeight="1" x14ac:dyDescent="0.25">
      <c r="A12040" s="198" t="s">
        <v>578</v>
      </c>
      <c r="B12040" s="198"/>
      <c r="C12040" s="193"/>
      <c r="D12040" s="223"/>
      <c r="E12040" s="223"/>
      <c r="F12040" s="223"/>
      <c r="G12040" s="81"/>
      <c r="H12040" s="81"/>
      <c r="I12040" s="81"/>
      <c r="J12040" s="81"/>
      <c r="K12040" s="81"/>
      <c r="L12040" s="81"/>
      <c r="M12040" s="81"/>
      <c r="N12040" s="81"/>
    </row>
    <row r="12041" spans="1:14" ht="14.25" customHeight="1" x14ac:dyDescent="0.25">
      <c r="A12041" s="224" t="s">
        <v>563</v>
      </c>
      <c r="B12041" s="492" t="s">
        <v>579</v>
      </c>
      <c r="C12041" s="492" t="s">
        <v>580</v>
      </c>
      <c r="D12041" s="493" t="s">
        <v>581</v>
      </c>
      <c r="E12041" s="493" t="s">
        <v>575</v>
      </c>
      <c r="F12041" s="493" t="s">
        <v>568</v>
      </c>
      <c r="G12041" s="81"/>
      <c r="H12041" s="81"/>
      <c r="I12041" s="81"/>
      <c r="J12041" s="81"/>
      <c r="K12041" s="81"/>
      <c r="L12041" s="81"/>
      <c r="M12041" s="81"/>
      <c r="N12041" s="81"/>
    </row>
    <row r="12042" spans="1:14" ht="14.25" customHeight="1" x14ac:dyDescent="0.25">
      <c r="A12042" s="494" t="s">
        <v>916</v>
      </c>
      <c r="B12042" s="495">
        <v>1</v>
      </c>
      <c r="C12042" s="477">
        <v>35956.800000000003</v>
      </c>
      <c r="D12042" s="477">
        <f t="shared" ref="D12042:D12045" si="592">+C12042*1.7</f>
        <v>61126.560000000005</v>
      </c>
      <c r="E12042" s="484">
        <v>0.08</v>
      </c>
      <c r="F12042" s="483">
        <f t="shared" ref="F12042:F12045" si="593">+B12042*(D12042)/E12042</f>
        <v>764082</v>
      </c>
      <c r="G12042" s="81"/>
      <c r="H12042" s="81"/>
      <c r="I12042" s="81"/>
      <c r="J12042" s="81"/>
      <c r="K12042" s="81"/>
      <c r="L12042" s="81"/>
      <c r="M12042" s="81"/>
      <c r="N12042" s="81"/>
    </row>
    <row r="12043" spans="1:14" ht="14.25" customHeight="1" x14ac:dyDescent="0.25">
      <c r="A12043" s="494" t="s">
        <v>917</v>
      </c>
      <c r="B12043" s="495">
        <v>1</v>
      </c>
      <c r="C12043" s="477">
        <v>57791.8</v>
      </c>
      <c r="D12043" s="477">
        <f t="shared" si="592"/>
        <v>98246.06</v>
      </c>
      <c r="E12043" s="484">
        <f>E12042</f>
        <v>0.08</v>
      </c>
      <c r="F12043" s="483">
        <f t="shared" si="593"/>
        <v>1228075.75</v>
      </c>
      <c r="G12043" s="81"/>
      <c r="H12043" s="81"/>
      <c r="I12043" s="81"/>
      <c r="J12043" s="81"/>
      <c r="K12043" s="81"/>
      <c r="L12043" s="81"/>
      <c r="M12043" s="81"/>
      <c r="N12043" s="81"/>
    </row>
    <row r="12044" spans="1:14" ht="14.25" customHeight="1" x14ac:dyDescent="0.25">
      <c r="A12044" s="494" t="s">
        <v>936</v>
      </c>
      <c r="B12044" s="495">
        <v>1</v>
      </c>
      <c r="C12044" s="477">
        <v>165000</v>
      </c>
      <c r="D12044" s="477">
        <f t="shared" si="592"/>
        <v>280500</v>
      </c>
      <c r="E12044" s="484">
        <v>0.8</v>
      </c>
      <c r="F12044" s="483">
        <f t="shared" si="593"/>
        <v>350625</v>
      </c>
      <c r="G12044" s="81"/>
      <c r="H12044" s="81"/>
      <c r="I12044" s="81"/>
      <c r="J12044" s="81"/>
      <c r="K12044" s="81"/>
      <c r="L12044" s="81"/>
      <c r="M12044" s="81"/>
      <c r="N12044" s="81"/>
    </row>
    <row r="12045" spans="1:14" ht="14.25" customHeight="1" x14ac:dyDescent="0.25">
      <c r="A12045" s="494" t="s">
        <v>937</v>
      </c>
      <c r="B12045" s="495">
        <v>1</v>
      </c>
      <c r="C12045" s="477">
        <v>85000</v>
      </c>
      <c r="D12045" s="477">
        <f t="shared" si="592"/>
        <v>144500</v>
      </c>
      <c r="E12045" s="484">
        <f>E12044</f>
        <v>0.8</v>
      </c>
      <c r="F12045" s="483">
        <f t="shared" si="593"/>
        <v>180625</v>
      </c>
      <c r="G12045" s="81"/>
      <c r="H12045" s="81"/>
      <c r="I12045" s="81"/>
      <c r="J12045" s="81"/>
      <c r="K12045" s="81"/>
      <c r="L12045" s="81"/>
      <c r="M12045" s="81"/>
      <c r="N12045" s="81"/>
    </row>
    <row r="12046" spans="1:14" ht="14.25" customHeight="1" x14ac:dyDescent="0.25">
      <c r="A12046" s="494"/>
      <c r="B12046" s="495"/>
      <c r="C12046" s="477"/>
      <c r="D12046" s="477"/>
      <c r="E12046" s="484"/>
      <c r="F12046" s="483"/>
      <c r="G12046" s="81"/>
      <c r="H12046" s="81"/>
      <c r="I12046" s="81"/>
      <c r="J12046" s="81"/>
      <c r="K12046" s="81"/>
      <c r="L12046" s="81"/>
      <c r="M12046" s="81"/>
      <c r="N12046" s="81"/>
    </row>
    <row r="12047" spans="1:14" ht="14.25" customHeight="1" x14ac:dyDescent="0.25">
      <c r="A12047" s="199" t="s">
        <v>548</v>
      </c>
      <c r="B12047" s="497"/>
      <c r="C12047" s="487"/>
      <c r="D12047" s="487"/>
      <c r="E12047" s="487"/>
      <c r="F12047" s="489">
        <f>SUM(F12042:F12045)</f>
        <v>2523407.75</v>
      </c>
      <c r="G12047" s="81"/>
      <c r="H12047" s="81"/>
      <c r="I12047" s="81"/>
      <c r="J12047" s="81"/>
      <c r="K12047" s="81"/>
      <c r="L12047" s="81"/>
      <c r="M12047" s="81"/>
      <c r="N12047" s="81"/>
    </row>
    <row r="12048" spans="1:14" ht="14.25" customHeight="1" x14ac:dyDescent="0.25">
      <c r="A12048" s="198"/>
      <c r="B12048" s="231"/>
      <c r="C12048" s="223"/>
      <c r="D12048" s="223"/>
      <c r="E12048" s="223"/>
      <c r="F12048" s="223"/>
      <c r="G12048" s="81"/>
      <c r="H12048" s="81"/>
      <c r="I12048" s="81"/>
      <c r="J12048" s="81"/>
      <c r="K12048" s="81"/>
      <c r="L12048" s="81"/>
      <c r="M12048" s="81"/>
      <c r="N12048" s="81"/>
    </row>
    <row r="12049" spans="1:14" ht="14.25" customHeight="1" x14ac:dyDescent="0.25">
      <c r="A12049" s="197" t="s">
        <v>583</v>
      </c>
      <c r="B12049" s="198"/>
      <c r="C12049" s="193"/>
      <c r="D12049" s="193"/>
      <c r="E12049" s="193" t="s">
        <v>584</v>
      </c>
      <c r="F12049" s="193"/>
      <c r="G12049" s="81"/>
      <c r="H12049" s="81"/>
      <c r="I12049" s="81"/>
      <c r="J12049" s="81"/>
      <c r="K12049" s="81"/>
      <c r="L12049" s="81"/>
      <c r="M12049" s="81"/>
      <c r="N12049" s="81"/>
    </row>
    <row r="12050" spans="1:14" ht="14.25" customHeight="1" x14ac:dyDescent="0.25">
      <c r="A12050" s="199" t="s">
        <v>563</v>
      </c>
      <c r="B12050" s="474" t="s">
        <v>564</v>
      </c>
      <c r="C12050" s="474" t="s">
        <v>585</v>
      </c>
      <c r="D12050" s="474" t="s">
        <v>586</v>
      </c>
      <c r="E12050" s="492" t="s">
        <v>587</v>
      </c>
      <c r="F12050" s="474" t="s">
        <v>568</v>
      </c>
      <c r="G12050" s="81"/>
      <c r="H12050" s="81"/>
      <c r="I12050" s="81"/>
      <c r="J12050" s="81"/>
      <c r="K12050" s="81"/>
      <c r="L12050" s="81"/>
      <c r="M12050" s="81"/>
      <c r="N12050" s="81"/>
    </row>
    <row r="12051" spans="1:14" ht="14.25" customHeight="1" x14ac:dyDescent="0.25">
      <c r="A12051" s="480"/>
      <c r="B12051" s="476"/>
      <c r="C12051" s="477"/>
      <c r="D12051" s="498"/>
      <c r="E12051" s="484"/>
      <c r="F12051" s="486">
        <f>+C12051*D12051*E12051</f>
        <v>0</v>
      </c>
      <c r="G12051" s="81"/>
      <c r="H12051" s="81"/>
      <c r="I12051" s="81"/>
      <c r="J12051" s="81"/>
      <c r="K12051" s="81"/>
      <c r="L12051" s="81"/>
      <c r="M12051" s="81"/>
      <c r="N12051" s="81"/>
    </row>
    <row r="12052" spans="1:14" ht="63.95" customHeight="1" x14ac:dyDescent="0.25">
      <c r="A12052" s="480"/>
      <c r="B12052" s="476"/>
      <c r="C12052" s="484"/>
      <c r="D12052" s="484"/>
      <c r="E12052" s="485"/>
      <c r="F12052" s="486"/>
      <c r="G12052" s="81"/>
      <c r="H12052" s="81"/>
      <c r="I12052" s="81"/>
      <c r="J12052" s="81"/>
      <c r="K12052" s="81"/>
      <c r="L12052" s="81"/>
      <c r="M12052" s="81"/>
      <c r="N12052" s="81"/>
    </row>
    <row r="12053" spans="1:14" ht="14.25" customHeight="1" x14ac:dyDescent="0.25">
      <c r="A12053" s="199" t="s">
        <v>548</v>
      </c>
      <c r="B12053" s="474"/>
      <c r="C12053" s="487"/>
      <c r="D12053" s="487"/>
      <c r="E12053" s="488"/>
      <c r="F12053" s="489">
        <f>SUM(F12051:F12052)</f>
        <v>0</v>
      </c>
      <c r="G12053" s="81"/>
      <c r="H12053" s="81"/>
      <c r="I12053" s="81"/>
      <c r="J12053" s="81"/>
      <c r="K12053" s="81"/>
      <c r="L12053" s="81"/>
      <c r="M12053" s="81"/>
      <c r="N12053" s="81"/>
    </row>
    <row r="12054" spans="1:14" ht="14.25" customHeight="1" x14ac:dyDescent="0.25">
      <c r="A12054" s="192"/>
      <c r="B12054" s="194"/>
      <c r="C12054" s="215"/>
      <c r="D12054" s="215"/>
      <c r="E12054" s="216"/>
      <c r="F12054" s="215"/>
      <c r="G12054" s="81"/>
      <c r="H12054" s="81"/>
      <c r="I12054" s="81"/>
      <c r="J12054" s="81"/>
      <c r="K12054" s="81"/>
      <c r="L12054" s="81"/>
      <c r="M12054" s="81"/>
      <c r="N12054" s="81"/>
    </row>
    <row r="12055" spans="1:14" ht="14.25" customHeight="1" x14ac:dyDescent="0.25">
      <c r="A12055" s="192"/>
      <c r="B12055" s="194"/>
      <c r="C12055" s="215"/>
      <c r="D12055" s="215"/>
      <c r="E12055" s="216"/>
      <c r="F12055" s="215"/>
      <c r="G12055" s="81"/>
      <c r="H12055" s="81"/>
      <c r="I12055" s="81"/>
      <c r="J12055" s="81"/>
      <c r="K12055" s="81"/>
      <c r="L12055" s="81"/>
      <c r="M12055" s="81"/>
      <c r="N12055" s="81"/>
    </row>
    <row r="12056" spans="1:14" ht="14.25" customHeight="1" x14ac:dyDescent="0.25">
      <c r="A12056" s="590" t="s">
        <v>588</v>
      </c>
      <c r="B12056" s="586"/>
      <c r="C12056" s="586"/>
      <c r="D12056" s="586"/>
      <c r="E12056" s="587"/>
      <c r="F12056" s="499">
        <f>ROUND(F12029+F12038+F12047+F12053,0)</f>
        <v>21304683</v>
      </c>
      <c r="G12056" s="81"/>
      <c r="H12056" s="81"/>
      <c r="I12056" s="81"/>
      <c r="J12056" s="81"/>
      <c r="K12056" s="81"/>
      <c r="L12056" s="81"/>
      <c r="M12056" s="81"/>
      <c r="N12056" s="81"/>
    </row>
    <row r="12057" spans="1:14" ht="14.25" customHeight="1" x14ac:dyDescent="0.25">
      <c r="A12057" s="590" t="s">
        <v>589</v>
      </c>
      <c r="B12057" s="586"/>
      <c r="C12057" s="586"/>
      <c r="D12057" s="586"/>
      <c r="E12057" s="587"/>
      <c r="F12057" s="500"/>
      <c r="G12057" s="81"/>
      <c r="H12057" s="81"/>
      <c r="I12057" s="81"/>
      <c r="J12057" s="81"/>
      <c r="K12057" s="81"/>
      <c r="L12057" s="81"/>
      <c r="M12057" s="81"/>
      <c r="N12057" s="81"/>
    </row>
    <row r="12058" spans="1:14" ht="15.75" x14ac:dyDescent="0.25">
      <c r="A12058" s="300" t="s">
        <v>556</v>
      </c>
      <c r="B12058" s="506"/>
      <c r="C12058" s="506"/>
      <c r="D12058" s="506"/>
      <c r="E12058" s="507"/>
      <c r="F12058" s="501"/>
      <c r="G12058" s="81"/>
      <c r="H12058" s="81"/>
      <c r="I12058" s="81"/>
      <c r="J12058" s="81"/>
      <c r="K12058" s="81"/>
      <c r="L12058" s="81"/>
      <c r="M12058" s="81"/>
      <c r="N12058" s="81"/>
    </row>
    <row r="12059" spans="1:14" ht="14.25" customHeight="1" x14ac:dyDescent="0.25">
      <c r="A12059" s="301"/>
      <c r="B12059" s="502"/>
      <c r="C12059" s="502"/>
      <c r="D12059" s="502"/>
      <c r="E12059" s="502"/>
      <c r="F12059" s="503"/>
      <c r="G12059" s="81"/>
      <c r="H12059" s="81"/>
      <c r="I12059" s="81"/>
      <c r="J12059" s="81"/>
      <c r="K12059" s="81"/>
      <c r="L12059" s="81"/>
      <c r="M12059" s="81"/>
      <c r="N12059" s="81"/>
    </row>
    <row r="12060" spans="1:14" ht="14.25" customHeight="1" x14ac:dyDescent="0.25">
      <c r="A12060" s="301"/>
      <c r="B12060" s="502"/>
      <c r="C12060" s="502"/>
      <c r="D12060" s="502"/>
      <c r="E12060" s="502"/>
      <c r="F12060" s="503"/>
      <c r="G12060" s="81"/>
      <c r="H12060" s="81"/>
      <c r="I12060" s="81"/>
      <c r="J12060" s="81"/>
      <c r="K12060" s="81"/>
      <c r="L12060" s="81"/>
      <c r="M12060" s="81"/>
      <c r="N12060" s="81"/>
    </row>
    <row r="12061" spans="1:14" ht="14.25" customHeight="1" x14ac:dyDescent="0.25">
      <c r="A12061" s="301"/>
      <c r="B12061" s="502"/>
      <c r="C12061" s="502"/>
      <c r="D12061" s="502"/>
      <c r="E12061" s="502"/>
      <c r="F12061" s="503"/>
      <c r="G12061" s="81"/>
      <c r="H12061" s="81"/>
      <c r="I12061" s="81"/>
      <c r="J12061" s="81"/>
      <c r="K12061" s="81"/>
      <c r="L12061" s="81"/>
      <c r="M12061" s="81"/>
      <c r="N12061" s="81"/>
    </row>
    <row r="12062" spans="1:14" ht="14.25" customHeight="1" x14ac:dyDescent="0.25">
      <c r="A12062" s="243"/>
      <c r="B12062" s="243"/>
      <c r="C12062" s="504"/>
      <c r="D12062" s="243"/>
      <c r="E12062" s="243"/>
      <c r="F12062" s="243"/>
      <c r="G12062" s="81"/>
      <c r="H12062" s="81"/>
      <c r="I12062" s="81"/>
      <c r="J12062" s="81"/>
      <c r="K12062" s="81"/>
      <c r="L12062" s="81"/>
      <c r="M12062" s="81"/>
      <c r="N12062" s="81"/>
    </row>
    <row r="12063" spans="1:14" ht="14.25" customHeight="1" x14ac:dyDescent="0.25">
      <c r="A12063" s="243"/>
      <c r="B12063" s="243"/>
      <c r="C12063" s="504"/>
      <c r="D12063" s="243"/>
      <c r="E12063" s="243"/>
      <c r="F12063" s="243"/>
      <c r="G12063" s="81"/>
      <c r="H12063" s="81"/>
      <c r="I12063" s="81"/>
      <c r="J12063" s="81"/>
      <c r="K12063" s="81"/>
      <c r="L12063" s="81"/>
      <c r="M12063" s="81"/>
      <c r="N12063" s="81"/>
    </row>
    <row r="12064" spans="1:14" ht="14.25" customHeight="1" x14ac:dyDescent="0.25">
      <c r="A12064" s="243"/>
      <c r="B12064" s="243"/>
      <c r="C12064" s="504"/>
      <c r="D12064" s="243"/>
      <c r="E12064" s="243"/>
      <c r="F12064" s="243"/>
      <c r="G12064" s="81"/>
      <c r="H12064" s="81"/>
      <c r="I12064" s="81"/>
      <c r="J12064" s="81"/>
      <c r="K12064" s="81"/>
      <c r="L12064" s="81"/>
      <c r="M12064" s="81"/>
      <c r="N12064" s="81"/>
    </row>
    <row r="12065" spans="1:14" ht="14.25" customHeight="1" x14ac:dyDescent="0.25">
      <c r="A12065" s="243"/>
      <c r="B12065" s="243"/>
      <c r="C12065" s="504"/>
      <c r="D12065" s="243"/>
      <c r="E12065" s="243"/>
      <c r="F12065" s="243"/>
      <c r="G12065" s="81"/>
      <c r="H12065" s="81"/>
      <c r="I12065" s="81"/>
      <c r="J12065" s="81"/>
      <c r="K12065" s="81"/>
      <c r="L12065" s="81"/>
      <c r="M12065" s="81"/>
      <c r="N12065" s="81"/>
    </row>
    <row r="12066" spans="1:14" ht="14.25" customHeight="1" x14ac:dyDescent="0.25">
      <c r="A12066" s="243"/>
      <c r="B12066" s="243"/>
      <c r="C12066" s="504"/>
      <c r="D12066" s="243"/>
      <c r="E12066" s="243"/>
      <c r="F12066" s="243"/>
      <c r="G12066" s="81"/>
      <c r="H12066" s="81"/>
      <c r="I12066" s="81"/>
      <c r="J12066" s="81"/>
      <c r="K12066" s="81"/>
      <c r="L12066" s="81"/>
      <c r="M12066" s="81"/>
      <c r="N12066" s="81"/>
    </row>
    <row r="12067" spans="1:14" ht="14.25" customHeight="1" x14ac:dyDescent="0.25">
      <c r="A12067" s="243"/>
      <c r="B12067" s="243"/>
      <c r="C12067" s="504"/>
      <c r="D12067" s="243"/>
      <c r="E12067" s="243"/>
      <c r="F12067" s="243"/>
      <c r="G12067" s="81"/>
      <c r="H12067" s="81"/>
      <c r="I12067" s="81"/>
      <c r="J12067" s="81"/>
      <c r="K12067" s="81"/>
      <c r="L12067" s="81"/>
      <c r="M12067" s="81"/>
      <c r="N12067" s="81"/>
    </row>
    <row r="12068" spans="1:14" ht="14.25" customHeight="1" x14ac:dyDescent="0.25">
      <c r="A12068" s="243"/>
      <c r="B12068" s="243"/>
      <c r="C12068" s="504"/>
      <c r="D12068" s="243"/>
      <c r="E12068" s="243"/>
      <c r="F12068" s="243"/>
      <c r="G12068" s="81"/>
      <c r="H12068" s="81"/>
      <c r="I12068" s="81"/>
      <c r="J12068" s="81"/>
      <c r="K12068" s="81"/>
      <c r="L12068" s="81"/>
      <c r="M12068" s="81"/>
      <c r="N12068" s="81"/>
    </row>
    <row r="12069" spans="1:14" ht="14.25" customHeight="1" x14ac:dyDescent="0.25">
      <c r="A12069" s="243"/>
      <c r="B12069" s="243"/>
      <c r="C12069" s="504"/>
      <c r="D12069" s="243"/>
      <c r="E12069" s="243"/>
      <c r="F12069" s="243"/>
      <c r="G12069" s="81"/>
      <c r="H12069" s="81"/>
      <c r="I12069" s="81"/>
      <c r="J12069" s="81"/>
      <c r="K12069" s="81"/>
      <c r="L12069" s="81"/>
      <c r="M12069" s="81"/>
      <c r="N12069" s="81"/>
    </row>
    <row r="12070" spans="1:14" ht="14.25" customHeight="1" x14ac:dyDescent="0.25">
      <c r="A12070" s="243"/>
      <c r="B12070" s="243"/>
      <c r="C12070" s="504"/>
      <c r="D12070" s="243"/>
      <c r="E12070" s="243"/>
      <c r="F12070" s="243"/>
      <c r="G12070" s="81"/>
      <c r="H12070" s="81"/>
      <c r="I12070" s="81"/>
      <c r="J12070" s="81"/>
      <c r="K12070" s="81"/>
      <c r="L12070" s="81"/>
      <c r="M12070" s="81"/>
      <c r="N12070" s="81"/>
    </row>
    <row r="12071" spans="1:14" ht="14.25" customHeight="1" x14ac:dyDescent="0.25">
      <c r="A12071" s="243"/>
      <c r="B12071" s="243"/>
      <c r="C12071" s="504"/>
      <c r="D12071" s="243"/>
      <c r="E12071" s="243"/>
      <c r="F12071" s="243"/>
      <c r="G12071" s="81"/>
      <c r="H12071" s="81"/>
      <c r="I12071" s="81"/>
      <c r="J12071" s="81"/>
      <c r="K12071" s="81"/>
      <c r="L12071" s="81"/>
      <c r="M12071" s="81"/>
      <c r="N12071" s="81"/>
    </row>
    <row r="12072" spans="1:14" ht="14.25" customHeight="1" x14ac:dyDescent="0.25">
      <c r="A12072" s="243"/>
      <c r="B12072" s="243"/>
      <c r="C12072" s="504"/>
      <c r="D12072" s="243"/>
      <c r="E12072" s="243"/>
      <c r="F12072" s="243"/>
      <c r="G12072" s="81"/>
      <c r="H12072" s="81"/>
      <c r="I12072" s="81"/>
      <c r="J12072" s="81"/>
      <c r="K12072" s="81"/>
      <c r="L12072" s="81"/>
      <c r="M12072" s="81"/>
      <c r="N12072" s="81"/>
    </row>
    <row r="12073" spans="1:14" ht="14.25" customHeight="1" x14ac:dyDescent="0.25">
      <c r="A12073" s="243"/>
      <c r="B12073" s="243"/>
      <c r="C12073" s="504"/>
      <c r="D12073" s="243"/>
      <c r="E12073" s="243"/>
      <c r="F12073" s="243"/>
      <c r="G12073" s="81"/>
      <c r="H12073" s="81"/>
      <c r="I12073" s="81"/>
      <c r="J12073" s="81"/>
      <c r="K12073" s="81"/>
      <c r="L12073" s="81"/>
      <c r="M12073" s="81"/>
      <c r="N12073" s="81"/>
    </row>
    <row r="12074" spans="1:14" ht="14.25" customHeight="1" x14ac:dyDescent="0.25">
      <c r="A12074" s="243"/>
      <c r="B12074" s="243"/>
      <c r="C12074" s="504"/>
      <c r="D12074" s="243"/>
      <c r="E12074" s="243"/>
      <c r="F12074" s="243"/>
      <c r="G12074" s="81"/>
      <c r="H12074" s="81"/>
      <c r="I12074" s="81"/>
      <c r="J12074" s="81"/>
      <c r="K12074" s="81"/>
      <c r="L12074" s="81"/>
      <c r="M12074" s="81"/>
      <c r="N12074" s="81"/>
    </row>
    <row r="12075" spans="1:14" ht="14.25" customHeight="1" thickBot="1" x14ac:dyDescent="0.3">
      <c r="A12075" s="243"/>
      <c r="B12075" s="243"/>
      <c r="C12075" s="504"/>
      <c r="D12075" s="243"/>
      <c r="E12075" s="243"/>
      <c r="F12075" s="243"/>
      <c r="G12075" s="81"/>
      <c r="H12075" s="81"/>
      <c r="I12075" s="81"/>
      <c r="J12075" s="81"/>
      <c r="K12075" s="81"/>
      <c r="L12075" s="81"/>
      <c r="M12075" s="81"/>
      <c r="N12075" s="81"/>
    </row>
    <row r="12076" spans="1:14" ht="14.25" customHeight="1" x14ac:dyDescent="0.25">
      <c r="A12076" s="258"/>
      <c r="B12076" s="259"/>
      <c r="C12076" s="260"/>
      <c r="D12076" s="261"/>
      <c r="E12076" s="261"/>
      <c r="F12076" s="262"/>
      <c r="G12076" s="81"/>
      <c r="H12076" s="81"/>
      <c r="I12076" s="81"/>
      <c r="J12076" s="81"/>
      <c r="K12076" s="81"/>
      <c r="L12076" s="81"/>
      <c r="M12076" s="81"/>
      <c r="N12076" s="81"/>
    </row>
    <row r="12077" spans="1:14" ht="14.25" customHeight="1" x14ac:dyDescent="0.25">
      <c r="A12077" s="621"/>
      <c r="B12077" s="629"/>
      <c r="C12077" s="629"/>
      <c r="D12077" s="629"/>
      <c r="E12077" s="629"/>
      <c r="F12077" s="630"/>
      <c r="G12077" s="81"/>
      <c r="H12077" s="81"/>
      <c r="I12077" s="81"/>
      <c r="J12077" s="81"/>
      <c r="K12077" s="81"/>
      <c r="L12077" s="81"/>
      <c r="M12077" s="81"/>
      <c r="N12077" s="81"/>
    </row>
    <row r="12078" spans="1:14" ht="14.25" customHeight="1" x14ac:dyDescent="0.25">
      <c r="A12078" s="614" t="s">
        <v>561</v>
      </c>
      <c r="B12078" s="629"/>
      <c r="C12078" s="629"/>
      <c r="D12078" s="629"/>
      <c r="E12078" s="629"/>
      <c r="F12078" s="630"/>
      <c r="G12078" s="81"/>
      <c r="H12078" s="81"/>
      <c r="I12078" s="81"/>
      <c r="J12078" s="81"/>
      <c r="K12078" s="81"/>
      <c r="L12078" s="81"/>
      <c r="M12078" s="81"/>
      <c r="N12078" s="81"/>
    </row>
    <row r="12079" spans="1:14" ht="14.25" customHeight="1" thickBot="1" x14ac:dyDescent="0.3">
      <c r="A12079" s="617"/>
      <c r="B12079" s="631"/>
      <c r="C12079" s="631"/>
      <c r="D12079" s="631"/>
      <c r="E12079" s="631"/>
      <c r="F12079" s="632"/>
      <c r="G12079" s="81"/>
      <c r="H12079" s="81"/>
      <c r="I12079" s="81"/>
      <c r="J12079" s="81"/>
      <c r="K12079" s="81"/>
      <c r="L12079" s="81"/>
      <c r="M12079" s="81"/>
      <c r="N12079" s="81"/>
    </row>
    <row r="12080" spans="1:14" ht="14.25" customHeight="1" x14ac:dyDescent="0.25">
      <c r="A12080" s="192"/>
      <c r="B12080" s="192"/>
      <c r="C12080" s="194"/>
      <c r="D12080" s="194"/>
      <c r="E12080" s="194"/>
      <c r="F12080" s="194"/>
      <c r="G12080" s="81"/>
      <c r="H12080" s="81"/>
      <c r="I12080" s="81"/>
      <c r="J12080" s="81"/>
      <c r="K12080" s="81"/>
      <c r="L12080" s="81"/>
      <c r="M12080" s="81"/>
      <c r="N12080" s="81"/>
    </row>
    <row r="12081" spans="1:14" ht="14.25" customHeight="1" x14ac:dyDescent="0.25">
      <c r="A12081" s="473" t="s">
        <v>47</v>
      </c>
      <c r="B12081" s="620" t="s">
        <v>1203</v>
      </c>
      <c r="C12081" s="629"/>
      <c r="D12081" s="629"/>
      <c r="E12081" s="629"/>
      <c r="F12081" s="629"/>
      <c r="G12081" s="81"/>
      <c r="H12081" s="81"/>
      <c r="I12081" s="81"/>
      <c r="J12081" s="81"/>
      <c r="K12081" s="81"/>
      <c r="L12081" s="81"/>
      <c r="M12081" s="81"/>
      <c r="N12081" s="81"/>
    </row>
    <row r="12082" spans="1:14" ht="14.25" customHeight="1" x14ac:dyDescent="0.25">
      <c r="A12082" s="191"/>
      <c r="B12082" s="191"/>
      <c r="C12082" s="191"/>
      <c r="D12082" s="191"/>
      <c r="E12082" s="191"/>
      <c r="F12082" s="191"/>
      <c r="G12082" s="81"/>
      <c r="H12082" s="81"/>
      <c r="I12082" s="81"/>
      <c r="J12082" s="81"/>
      <c r="K12082" s="81"/>
      <c r="L12082" s="81"/>
      <c r="M12082" s="81"/>
      <c r="N12082" s="81"/>
    </row>
    <row r="12083" spans="1:14" ht="14.25" customHeight="1" x14ac:dyDescent="0.25">
      <c r="A12083" s="192" t="s">
        <v>49</v>
      </c>
      <c r="B12083" s="193" t="s">
        <v>99</v>
      </c>
      <c r="C12083" s="194"/>
      <c r="D12083" s="194"/>
      <c r="E12083" s="194"/>
      <c r="F12083" s="195"/>
      <c r="G12083" s="81"/>
      <c r="H12083" s="81"/>
      <c r="I12083" s="81"/>
      <c r="J12083" s="81"/>
      <c r="K12083" s="81"/>
      <c r="L12083" s="81"/>
      <c r="M12083" s="81"/>
      <c r="N12083" s="81"/>
    </row>
    <row r="12084" spans="1:14" ht="14.25" customHeight="1" x14ac:dyDescent="0.25">
      <c r="A12084" s="192"/>
      <c r="B12084" s="196"/>
      <c r="C12084" s="194"/>
      <c r="D12084" s="194"/>
      <c r="E12084" s="194"/>
      <c r="F12084" s="195"/>
      <c r="G12084" s="81"/>
      <c r="H12084" s="81"/>
      <c r="I12084" s="81"/>
      <c r="J12084" s="81"/>
      <c r="K12084" s="81"/>
      <c r="L12084" s="81"/>
      <c r="M12084" s="81"/>
      <c r="N12084" s="81"/>
    </row>
    <row r="12085" spans="1:14" ht="14.25" customHeight="1" x14ac:dyDescent="0.25">
      <c r="A12085" s="197" t="s">
        <v>562</v>
      </c>
      <c r="B12085" s="198"/>
      <c r="C12085" s="193"/>
      <c r="D12085" s="193"/>
      <c r="E12085" s="193"/>
      <c r="F12085" s="193"/>
      <c r="G12085" s="81"/>
      <c r="H12085" s="81"/>
      <c r="I12085" s="81"/>
      <c r="J12085" s="81"/>
      <c r="K12085" s="81"/>
      <c r="L12085" s="81"/>
      <c r="M12085" s="81"/>
      <c r="N12085" s="81"/>
    </row>
    <row r="12086" spans="1:14" ht="14.25" customHeight="1" x14ac:dyDescent="0.25">
      <c r="A12086" s="199" t="s">
        <v>563</v>
      </c>
      <c r="B12086" s="474" t="s">
        <v>564</v>
      </c>
      <c r="C12086" s="474" t="s">
        <v>565</v>
      </c>
      <c r="D12086" s="474" t="s">
        <v>566</v>
      </c>
      <c r="E12086" s="474" t="s">
        <v>567</v>
      </c>
      <c r="F12086" s="474" t="s">
        <v>568</v>
      </c>
      <c r="G12086" s="81"/>
      <c r="H12086" s="81"/>
      <c r="I12086" s="81"/>
      <c r="J12086" s="81"/>
      <c r="K12086" s="81"/>
      <c r="L12086" s="81"/>
      <c r="M12086" s="81"/>
      <c r="N12086" s="81"/>
    </row>
    <row r="12087" spans="1:14" ht="14.25" customHeight="1" x14ac:dyDescent="0.25">
      <c r="A12087" s="475" t="s">
        <v>1203</v>
      </c>
      <c r="B12087" s="476" t="s">
        <v>99</v>
      </c>
      <c r="C12087" s="477">
        <v>9958971</v>
      </c>
      <c r="D12087" s="478">
        <v>1</v>
      </c>
      <c r="E12087" s="479"/>
      <c r="F12087" s="477">
        <f t="shared" ref="F12087:F12089" si="594">C12087*(D12087+(D12087*E12087))</f>
        <v>9958971</v>
      </c>
      <c r="G12087" s="81"/>
      <c r="H12087" s="81"/>
      <c r="I12087" s="81"/>
      <c r="J12087" s="81"/>
      <c r="K12087" s="81"/>
      <c r="L12087" s="81"/>
      <c r="M12087" s="81"/>
      <c r="N12087" s="81"/>
    </row>
    <row r="12088" spans="1:14" ht="14.25" customHeight="1" x14ac:dyDescent="0.25">
      <c r="A12088" s="475"/>
      <c r="B12088" s="476"/>
      <c r="C12088" s="477"/>
      <c r="D12088" s="481"/>
      <c r="E12088" s="479"/>
      <c r="F12088" s="477">
        <f t="shared" si="594"/>
        <v>0</v>
      </c>
      <c r="G12088" s="81"/>
      <c r="H12088" s="81"/>
      <c r="I12088" s="81"/>
      <c r="J12088" s="81"/>
      <c r="K12088" s="81"/>
      <c r="L12088" s="81"/>
      <c r="M12088" s="81"/>
      <c r="N12088" s="81"/>
    </row>
    <row r="12089" spans="1:14" ht="14.25" customHeight="1" x14ac:dyDescent="0.25">
      <c r="A12089" s="475"/>
      <c r="B12089" s="476"/>
      <c r="C12089" s="477"/>
      <c r="D12089" s="481"/>
      <c r="E12089" s="479"/>
      <c r="F12089" s="477">
        <f t="shared" si="594"/>
        <v>0</v>
      </c>
      <c r="G12089" s="81"/>
      <c r="H12089" s="81"/>
      <c r="I12089" s="81"/>
      <c r="J12089" s="81"/>
      <c r="K12089" s="81"/>
      <c r="L12089" s="81"/>
      <c r="M12089" s="81"/>
      <c r="N12089" s="81"/>
    </row>
    <row r="12090" spans="1:14" ht="14.25" customHeight="1" x14ac:dyDescent="0.25">
      <c r="A12090" s="475"/>
      <c r="B12090" s="476"/>
      <c r="C12090" s="477"/>
      <c r="D12090" s="478"/>
      <c r="E12090" s="479"/>
      <c r="F12090" s="477"/>
      <c r="G12090" s="81"/>
      <c r="H12090" s="81"/>
      <c r="I12090" s="81"/>
      <c r="J12090" s="81"/>
      <c r="K12090" s="81"/>
      <c r="L12090" s="81"/>
      <c r="M12090" s="81"/>
      <c r="N12090" s="81"/>
    </row>
    <row r="12091" spans="1:14" ht="14.25" customHeight="1" x14ac:dyDescent="0.25">
      <c r="A12091" s="475"/>
      <c r="B12091" s="476"/>
      <c r="C12091" s="477"/>
      <c r="D12091" s="478"/>
      <c r="E12091" s="479"/>
      <c r="F12091" s="477"/>
      <c r="G12091" s="81"/>
      <c r="H12091" s="81"/>
      <c r="I12091" s="81"/>
      <c r="J12091" s="81"/>
      <c r="K12091" s="81"/>
      <c r="L12091" s="81"/>
      <c r="M12091" s="81"/>
      <c r="N12091" s="81"/>
    </row>
    <row r="12092" spans="1:14" ht="14.25" customHeight="1" x14ac:dyDescent="0.25">
      <c r="A12092" s="475"/>
      <c r="B12092" s="476"/>
      <c r="C12092" s="477"/>
      <c r="D12092" s="478"/>
      <c r="E12092" s="479"/>
      <c r="F12092" s="477"/>
      <c r="G12092" s="81"/>
      <c r="H12092" s="81"/>
      <c r="I12092" s="81"/>
      <c r="J12092" s="81"/>
      <c r="K12092" s="81"/>
      <c r="L12092" s="81"/>
      <c r="M12092" s="81"/>
      <c r="N12092" s="81"/>
    </row>
    <row r="12093" spans="1:14" ht="14.25" customHeight="1" x14ac:dyDescent="0.25">
      <c r="A12093" s="475"/>
      <c r="B12093" s="476"/>
      <c r="C12093" s="483"/>
      <c r="D12093" s="484"/>
      <c r="E12093" s="485"/>
      <c r="F12093" s="483"/>
      <c r="G12093" s="81"/>
      <c r="H12093" s="81"/>
      <c r="I12093" s="81"/>
      <c r="J12093" s="81"/>
      <c r="K12093" s="81"/>
      <c r="L12093" s="81"/>
      <c r="M12093" s="81"/>
      <c r="N12093" s="81"/>
    </row>
    <row r="12094" spans="1:14" ht="14.25" customHeight="1" x14ac:dyDescent="0.25">
      <c r="A12094" s="199" t="s">
        <v>548</v>
      </c>
      <c r="B12094" s="199"/>
      <c r="C12094" s="486"/>
      <c r="D12094" s="487"/>
      <c r="E12094" s="488"/>
      <c r="F12094" s="489">
        <f>SUM(F12087:F12093)</f>
        <v>9958971</v>
      </c>
      <c r="G12094" s="81"/>
      <c r="H12094" s="81"/>
      <c r="I12094" s="81"/>
      <c r="J12094" s="81"/>
      <c r="K12094" s="81"/>
      <c r="L12094" s="81"/>
      <c r="M12094" s="81"/>
      <c r="N12094" s="81"/>
    </row>
    <row r="12095" spans="1:14" ht="14.25" customHeight="1" x14ac:dyDescent="0.25">
      <c r="A12095" s="192"/>
      <c r="B12095" s="192"/>
      <c r="C12095" s="215"/>
      <c r="D12095" s="215"/>
      <c r="E12095" s="216"/>
      <c r="F12095" s="215"/>
      <c r="G12095" s="81"/>
      <c r="H12095" s="81"/>
      <c r="I12095" s="81"/>
      <c r="J12095" s="81"/>
      <c r="K12095" s="81"/>
      <c r="L12095" s="81"/>
      <c r="M12095" s="81"/>
      <c r="N12095" s="81"/>
    </row>
    <row r="12096" spans="1:14" ht="14.25" customHeight="1" x14ac:dyDescent="0.25">
      <c r="A12096" s="198" t="s">
        <v>573</v>
      </c>
      <c r="B12096" s="198"/>
      <c r="C12096" s="193"/>
      <c r="D12096" s="193"/>
      <c r="E12096" s="193"/>
      <c r="F12096" s="193"/>
      <c r="G12096" s="81"/>
      <c r="H12096" s="81"/>
      <c r="I12096" s="81"/>
      <c r="J12096" s="81"/>
      <c r="K12096" s="81"/>
      <c r="L12096" s="81"/>
      <c r="M12096" s="81"/>
      <c r="N12096" s="81"/>
    </row>
    <row r="12097" spans="1:14" ht="14.25" customHeight="1" x14ac:dyDescent="0.25">
      <c r="A12097" s="585" t="s">
        <v>563</v>
      </c>
      <c r="B12097" s="586"/>
      <c r="C12097" s="587"/>
      <c r="D12097" s="474" t="s">
        <v>574</v>
      </c>
      <c r="E12097" s="474" t="s">
        <v>575</v>
      </c>
      <c r="F12097" s="474" t="s">
        <v>568</v>
      </c>
      <c r="G12097" s="81"/>
      <c r="H12097" s="81"/>
      <c r="I12097" s="81"/>
      <c r="J12097" s="81"/>
      <c r="K12097" s="81"/>
      <c r="L12097" s="81"/>
      <c r="M12097" s="81"/>
      <c r="N12097" s="81"/>
    </row>
    <row r="12098" spans="1:14" ht="14.25" customHeight="1" x14ac:dyDescent="0.25">
      <c r="A12098" s="588" t="s">
        <v>577</v>
      </c>
      <c r="B12098" s="586"/>
      <c r="C12098" s="587"/>
      <c r="D12098" s="490"/>
      <c r="E12098" s="484"/>
      <c r="F12098" s="483">
        <f>+F12112*5%</f>
        <v>88540.344444444461</v>
      </c>
      <c r="G12098" s="81"/>
      <c r="H12098" s="117"/>
      <c r="I12098" s="81"/>
      <c r="J12098" s="81"/>
      <c r="K12098" s="81"/>
      <c r="L12098" s="81"/>
      <c r="M12098" s="81"/>
      <c r="N12098" s="81"/>
    </row>
    <row r="12099" spans="1:14" ht="14.25" customHeight="1" x14ac:dyDescent="0.25">
      <c r="A12099" s="588"/>
      <c r="B12099" s="586"/>
      <c r="C12099" s="587"/>
      <c r="D12099" s="505"/>
      <c r="E12099" s="484"/>
      <c r="F12099" s="483"/>
      <c r="G12099" s="81"/>
      <c r="H12099" s="81"/>
      <c r="I12099" s="81"/>
      <c r="J12099" s="81"/>
      <c r="K12099" s="81"/>
      <c r="L12099" s="81"/>
      <c r="M12099" s="81"/>
      <c r="N12099" s="81"/>
    </row>
    <row r="12100" spans="1:14" ht="14.25" customHeight="1" x14ac:dyDescent="0.25">
      <c r="A12100" s="588"/>
      <c r="B12100" s="586"/>
      <c r="C12100" s="587"/>
      <c r="D12100" s="505"/>
      <c r="E12100" s="484"/>
      <c r="F12100" s="483"/>
      <c r="G12100" s="81"/>
      <c r="H12100" s="81"/>
      <c r="I12100" s="81"/>
      <c r="J12100" s="81"/>
      <c r="K12100" s="81"/>
      <c r="L12100" s="81"/>
      <c r="M12100" s="81"/>
      <c r="N12100" s="81"/>
    </row>
    <row r="12101" spans="1:14" ht="14.25" customHeight="1" x14ac:dyDescent="0.25">
      <c r="A12101" s="588"/>
      <c r="B12101" s="586"/>
      <c r="C12101" s="587"/>
      <c r="D12101" s="505"/>
      <c r="E12101" s="484"/>
      <c r="F12101" s="483"/>
      <c r="G12101" s="81"/>
      <c r="H12101" s="81"/>
      <c r="I12101" s="81"/>
      <c r="J12101" s="81"/>
      <c r="K12101" s="81"/>
      <c r="L12101" s="81"/>
      <c r="M12101" s="81"/>
      <c r="N12101" s="81"/>
    </row>
    <row r="12102" spans="1:14" ht="14.25" customHeight="1" x14ac:dyDescent="0.25">
      <c r="A12102" s="589"/>
      <c r="B12102" s="586"/>
      <c r="C12102" s="587"/>
      <c r="D12102" s="491"/>
      <c r="E12102" s="484"/>
      <c r="F12102" s="483"/>
      <c r="G12102" s="81"/>
      <c r="H12102" s="143"/>
      <c r="I12102" s="81"/>
      <c r="J12102" s="81"/>
      <c r="K12102" s="81"/>
      <c r="L12102" s="81"/>
      <c r="M12102" s="81"/>
      <c r="N12102" s="81"/>
    </row>
    <row r="12103" spans="1:14" ht="14.25" customHeight="1" x14ac:dyDescent="0.25">
      <c r="A12103" s="585" t="s">
        <v>548</v>
      </c>
      <c r="B12103" s="586"/>
      <c r="C12103" s="587"/>
      <c r="D12103" s="487"/>
      <c r="E12103" s="487"/>
      <c r="F12103" s="489">
        <f>SUM(F12098:F12102)</f>
        <v>88540.344444444461</v>
      </c>
      <c r="G12103" s="81"/>
      <c r="H12103" s="81"/>
      <c r="I12103" s="81"/>
      <c r="J12103" s="81"/>
      <c r="K12103" s="81"/>
      <c r="L12103" s="81"/>
      <c r="M12103" s="81"/>
      <c r="N12103" s="81"/>
    </row>
    <row r="12104" spans="1:14" ht="14.25" customHeight="1" x14ac:dyDescent="0.25">
      <c r="A12104" s="192"/>
      <c r="B12104" s="192"/>
      <c r="C12104" s="194"/>
      <c r="D12104" s="215"/>
      <c r="E12104" s="215"/>
      <c r="F12104" s="215"/>
      <c r="G12104" s="81"/>
      <c r="H12104" s="81"/>
      <c r="I12104" s="81"/>
      <c r="J12104" s="81"/>
      <c r="K12104" s="81"/>
      <c r="L12104" s="81"/>
      <c r="M12104" s="81"/>
      <c r="N12104" s="81"/>
    </row>
    <row r="12105" spans="1:14" ht="14.25" customHeight="1" x14ac:dyDescent="0.25">
      <c r="A12105" s="198" t="s">
        <v>578</v>
      </c>
      <c r="B12105" s="198"/>
      <c r="C12105" s="193"/>
      <c r="D12105" s="223"/>
      <c r="E12105" s="223"/>
      <c r="F12105" s="223"/>
      <c r="G12105" s="81"/>
      <c r="H12105" s="81"/>
      <c r="I12105" s="81"/>
      <c r="J12105" s="81"/>
      <c r="K12105" s="81"/>
      <c r="L12105" s="81"/>
      <c r="M12105" s="81"/>
      <c r="N12105" s="81"/>
    </row>
    <row r="12106" spans="1:14" ht="14.25" customHeight="1" x14ac:dyDescent="0.25">
      <c r="A12106" s="224" t="s">
        <v>563</v>
      </c>
      <c r="B12106" s="492" t="s">
        <v>579</v>
      </c>
      <c r="C12106" s="492" t="s">
        <v>580</v>
      </c>
      <c r="D12106" s="493" t="s">
        <v>581</v>
      </c>
      <c r="E12106" s="493" t="s">
        <v>575</v>
      </c>
      <c r="F12106" s="493" t="s">
        <v>568</v>
      </c>
      <c r="G12106" s="81"/>
      <c r="H12106" s="81"/>
      <c r="I12106" s="81"/>
      <c r="J12106" s="81"/>
      <c r="K12106" s="81"/>
      <c r="L12106" s="81"/>
      <c r="M12106" s="81"/>
      <c r="N12106" s="81"/>
    </row>
    <row r="12107" spans="1:14" ht="14.25" customHeight="1" x14ac:dyDescent="0.25">
      <c r="A12107" s="494" t="s">
        <v>916</v>
      </c>
      <c r="B12107" s="495">
        <v>1</v>
      </c>
      <c r="C12107" s="477">
        <v>35956.800000000003</v>
      </c>
      <c r="D12107" s="477">
        <f t="shared" ref="D12107:D12108" si="595">+C12107*1.7</f>
        <v>61126.560000000005</v>
      </c>
      <c r="E12107" s="484">
        <v>0.09</v>
      </c>
      <c r="F12107" s="483">
        <f t="shared" ref="F12107:F12108" si="596">+B12107*(D12107)/E12107</f>
        <v>679184.00000000012</v>
      </c>
      <c r="G12107" s="81"/>
      <c r="H12107" s="81"/>
      <c r="I12107" s="81"/>
      <c r="J12107" s="81"/>
      <c r="K12107" s="81"/>
      <c r="L12107" s="81"/>
      <c r="M12107" s="81"/>
      <c r="N12107" s="81"/>
    </row>
    <row r="12108" spans="1:14" ht="14.25" customHeight="1" x14ac:dyDescent="0.25">
      <c r="A12108" s="494" t="s">
        <v>917</v>
      </c>
      <c r="B12108" s="495">
        <v>1</v>
      </c>
      <c r="C12108" s="477">
        <v>57791.8</v>
      </c>
      <c r="D12108" s="477">
        <f t="shared" si="595"/>
        <v>98246.06</v>
      </c>
      <c r="E12108" s="484">
        <f>E12107</f>
        <v>0.09</v>
      </c>
      <c r="F12108" s="483">
        <f t="shared" si="596"/>
        <v>1091622.888888889</v>
      </c>
      <c r="G12108" s="81"/>
      <c r="H12108" s="81"/>
      <c r="I12108" s="81"/>
      <c r="J12108" s="81"/>
      <c r="K12108" s="81"/>
      <c r="L12108" s="81"/>
      <c r="M12108" s="81"/>
      <c r="N12108" s="81"/>
    </row>
    <row r="12109" spans="1:14" ht="14.25" customHeight="1" x14ac:dyDescent="0.25">
      <c r="A12109" s="494"/>
      <c r="B12109" s="495"/>
      <c r="C12109" s="477"/>
      <c r="D12109" s="477"/>
      <c r="E12109" s="484"/>
      <c r="F12109" s="483"/>
      <c r="G12109" s="81"/>
      <c r="H12109" s="81"/>
      <c r="I12109" s="81"/>
      <c r="J12109" s="81"/>
      <c r="K12109" s="81"/>
      <c r="L12109" s="81"/>
      <c r="M12109" s="81"/>
      <c r="N12109" s="81"/>
    </row>
    <row r="12110" spans="1:14" ht="14.25" customHeight="1" x14ac:dyDescent="0.25">
      <c r="A12110" s="494"/>
      <c r="B12110" s="495"/>
      <c r="C12110" s="477"/>
      <c r="D12110" s="477"/>
      <c r="E12110" s="484"/>
      <c r="F12110" s="483"/>
      <c r="G12110" s="81"/>
      <c r="H12110" s="81"/>
      <c r="I12110" s="81"/>
      <c r="J12110" s="81"/>
      <c r="K12110" s="81"/>
      <c r="L12110" s="81"/>
      <c r="M12110" s="81"/>
      <c r="N12110" s="81"/>
    </row>
    <row r="12111" spans="1:14" ht="14.25" customHeight="1" x14ac:dyDescent="0.25">
      <c r="A12111" s="494"/>
      <c r="B12111" s="495"/>
      <c r="C12111" s="477"/>
      <c r="D12111" s="477"/>
      <c r="E12111" s="484"/>
      <c r="F12111" s="483"/>
      <c r="G12111" s="81"/>
      <c r="H12111" s="81"/>
      <c r="I12111" s="81"/>
      <c r="J12111" s="81"/>
      <c r="K12111" s="81"/>
      <c r="L12111" s="81"/>
      <c r="M12111" s="81"/>
      <c r="N12111" s="81"/>
    </row>
    <row r="12112" spans="1:14" ht="14.25" customHeight="1" x14ac:dyDescent="0.25">
      <c r="A12112" s="199" t="s">
        <v>548</v>
      </c>
      <c r="B12112" s="497"/>
      <c r="C12112" s="487"/>
      <c r="D12112" s="487"/>
      <c r="E12112" s="487"/>
      <c r="F12112" s="489">
        <f>SUM(F12107:F12110)</f>
        <v>1770806.888888889</v>
      </c>
      <c r="G12112" s="81"/>
      <c r="H12112" s="81"/>
      <c r="I12112" s="81"/>
      <c r="J12112" s="81"/>
      <c r="K12112" s="81"/>
      <c r="L12112" s="81"/>
      <c r="M12112" s="81"/>
      <c r="N12112" s="81"/>
    </row>
    <row r="12113" spans="1:14" ht="14.25" customHeight="1" x14ac:dyDescent="0.25">
      <c r="A12113" s="198"/>
      <c r="B12113" s="231"/>
      <c r="C12113" s="223"/>
      <c r="D12113" s="223"/>
      <c r="E12113" s="223"/>
      <c r="F12113" s="223"/>
      <c r="G12113" s="81"/>
      <c r="H12113" s="81"/>
      <c r="I12113" s="81"/>
      <c r="J12113" s="81"/>
      <c r="K12113" s="81"/>
      <c r="L12113" s="81"/>
      <c r="M12113" s="81"/>
      <c r="N12113" s="81"/>
    </row>
    <row r="12114" spans="1:14" ht="14.25" customHeight="1" x14ac:dyDescent="0.25">
      <c r="A12114" s="197" t="s">
        <v>583</v>
      </c>
      <c r="B12114" s="198"/>
      <c r="C12114" s="193"/>
      <c r="D12114" s="193"/>
      <c r="E12114" s="193" t="s">
        <v>584</v>
      </c>
      <c r="F12114" s="193"/>
      <c r="G12114" s="81"/>
      <c r="H12114" s="81"/>
      <c r="I12114" s="81"/>
      <c r="J12114" s="81"/>
      <c r="K12114" s="81"/>
      <c r="L12114" s="81"/>
      <c r="M12114" s="81"/>
      <c r="N12114" s="81"/>
    </row>
    <row r="12115" spans="1:14" ht="42.95" customHeight="1" x14ac:dyDescent="0.25">
      <c r="A12115" s="199" t="s">
        <v>563</v>
      </c>
      <c r="B12115" s="474" t="s">
        <v>564</v>
      </c>
      <c r="C12115" s="474" t="s">
        <v>585</v>
      </c>
      <c r="D12115" s="474" t="s">
        <v>586</v>
      </c>
      <c r="E12115" s="492" t="s">
        <v>587</v>
      </c>
      <c r="F12115" s="474" t="s">
        <v>568</v>
      </c>
      <c r="G12115" s="81"/>
      <c r="H12115" s="81"/>
      <c r="I12115" s="81"/>
      <c r="J12115" s="81"/>
      <c r="K12115" s="81"/>
      <c r="L12115" s="81"/>
      <c r="M12115" s="81"/>
      <c r="N12115" s="81"/>
    </row>
    <row r="12116" spans="1:14" ht="14.25" customHeight="1" x14ac:dyDescent="0.25">
      <c r="A12116" s="480"/>
      <c r="B12116" s="476"/>
      <c r="C12116" s="477"/>
      <c r="D12116" s="498"/>
      <c r="E12116" s="484"/>
      <c r="F12116" s="486">
        <f>+C12116*D12116*E12116</f>
        <v>0</v>
      </c>
      <c r="G12116" s="81"/>
      <c r="H12116" s="81"/>
      <c r="I12116" s="81"/>
      <c r="J12116" s="81"/>
      <c r="K12116" s="81"/>
      <c r="L12116" s="81"/>
      <c r="M12116" s="81"/>
      <c r="N12116" s="81"/>
    </row>
    <row r="12117" spans="1:14" ht="14.25" customHeight="1" x14ac:dyDescent="0.25">
      <c r="A12117" s="480"/>
      <c r="B12117" s="476"/>
      <c r="C12117" s="484"/>
      <c r="D12117" s="484"/>
      <c r="E12117" s="485"/>
      <c r="F12117" s="486"/>
      <c r="G12117" s="81"/>
      <c r="H12117" s="81"/>
      <c r="I12117" s="81"/>
      <c r="J12117" s="81"/>
      <c r="K12117" s="81"/>
      <c r="L12117" s="81"/>
      <c r="M12117" s="81"/>
      <c r="N12117" s="81"/>
    </row>
    <row r="12118" spans="1:14" ht="14.25" customHeight="1" x14ac:dyDescent="0.25">
      <c r="A12118" s="199" t="s">
        <v>548</v>
      </c>
      <c r="B12118" s="474"/>
      <c r="C12118" s="487"/>
      <c r="D12118" s="487"/>
      <c r="E12118" s="488"/>
      <c r="F12118" s="489">
        <f>SUM(F12116:F12117)</f>
        <v>0</v>
      </c>
      <c r="G12118" s="81"/>
      <c r="H12118" s="81"/>
      <c r="I12118" s="81"/>
      <c r="J12118" s="81"/>
      <c r="K12118" s="81"/>
      <c r="L12118" s="81"/>
      <c r="M12118" s="81"/>
      <c r="N12118" s="81"/>
    </row>
    <row r="12119" spans="1:14" ht="14.25" customHeight="1" x14ac:dyDescent="0.25">
      <c r="A12119" s="192"/>
      <c r="B12119" s="194"/>
      <c r="C12119" s="215"/>
      <c r="D12119" s="215"/>
      <c r="E12119" s="216"/>
      <c r="F12119" s="215"/>
      <c r="G12119" s="81"/>
      <c r="H12119" s="81"/>
      <c r="I12119" s="81"/>
      <c r="J12119" s="81"/>
      <c r="K12119" s="81"/>
      <c r="L12119" s="81"/>
      <c r="M12119" s="81"/>
      <c r="N12119" s="81"/>
    </row>
    <row r="12120" spans="1:14" ht="14.25" customHeight="1" x14ac:dyDescent="0.25">
      <c r="A12120" s="192"/>
      <c r="B12120" s="194"/>
      <c r="C12120" s="215"/>
      <c r="D12120" s="215"/>
      <c r="E12120" s="216"/>
      <c r="F12120" s="215"/>
      <c r="G12120" s="81"/>
      <c r="H12120" s="81"/>
      <c r="I12120" s="81"/>
      <c r="J12120" s="81"/>
      <c r="K12120" s="81"/>
      <c r="L12120" s="81"/>
      <c r="M12120" s="81"/>
      <c r="N12120" s="81"/>
    </row>
    <row r="12121" spans="1:14" s="168" customFormat="1" ht="15.75" x14ac:dyDescent="0.25">
      <c r="A12121" s="590" t="s">
        <v>588</v>
      </c>
      <c r="B12121" s="586"/>
      <c r="C12121" s="586"/>
      <c r="D12121" s="586"/>
      <c r="E12121" s="587"/>
      <c r="F12121" s="499">
        <f>ROUND(F12094+F12103+F12112+F12118,0)</f>
        <v>11818318</v>
      </c>
      <c r="G12121" s="243"/>
      <c r="H12121" s="243"/>
      <c r="I12121" s="243"/>
      <c r="J12121" s="243"/>
      <c r="K12121" s="243"/>
      <c r="L12121" s="243"/>
      <c r="M12121" s="243"/>
      <c r="N12121" s="243"/>
    </row>
    <row r="12122" spans="1:14" s="168" customFormat="1" ht="15.75" x14ac:dyDescent="0.25">
      <c r="A12122" s="590" t="s">
        <v>589</v>
      </c>
      <c r="B12122" s="586"/>
      <c r="C12122" s="586"/>
      <c r="D12122" s="586"/>
      <c r="E12122" s="587"/>
      <c r="F12122" s="500"/>
      <c r="G12122" s="243"/>
      <c r="H12122" s="243"/>
      <c r="I12122" s="243"/>
      <c r="J12122" s="243"/>
      <c r="K12122" s="243"/>
      <c r="L12122" s="243"/>
      <c r="M12122" s="243"/>
      <c r="N12122" s="243"/>
    </row>
    <row r="12123" spans="1:14" ht="14.25" customHeight="1" x14ac:dyDescent="0.25">
      <c r="A12123" s="300" t="s">
        <v>556</v>
      </c>
      <c r="B12123" s="506"/>
      <c r="C12123" s="506"/>
      <c r="D12123" s="506"/>
      <c r="E12123" s="507"/>
      <c r="F12123" s="501"/>
      <c r="G12123" s="81"/>
      <c r="H12123" s="81"/>
      <c r="I12123" s="81"/>
      <c r="J12123" s="81"/>
      <c r="K12123" s="81"/>
      <c r="L12123" s="81"/>
      <c r="M12123" s="81"/>
      <c r="N12123" s="81"/>
    </row>
    <row r="12124" spans="1:14" ht="14.25" customHeight="1" x14ac:dyDescent="0.25">
      <c r="A12124" s="301"/>
      <c r="B12124" s="502"/>
      <c r="C12124" s="502"/>
      <c r="D12124" s="502"/>
      <c r="E12124" s="502"/>
      <c r="F12124" s="503"/>
      <c r="G12124" s="81"/>
      <c r="H12124" s="81"/>
      <c r="I12124" s="81"/>
      <c r="J12124" s="81"/>
      <c r="K12124" s="81"/>
      <c r="L12124" s="81"/>
      <c r="M12124" s="81"/>
      <c r="N12124" s="81"/>
    </row>
    <row r="12125" spans="1:14" ht="14.25" customHeight="1" x14ac:dyDescent="0.25">
      <c r="A12125" s="301"/>
      <c r="B12125" s="502"/>
      <c r="C12125" s="502"/>
      <c r="D12125" s="502"/>
      <c r="E12125" s="502"/>
      <c r="F12125" s="503"/>
      <c r="G12125" s="81"/>
      <c r="H12125" s="81"/>
      <c r="I12125" s="81"/>
      <c r="J12125" s="81"/>
      <c r="K12125" s="81"/>
      <c r="L12125" s="81"/>
      <c r="M12125" s="81"/>
      <c r="N12125" s="81"/>
    </row>
    <row r="12126" spans="1:14" ht="14.25" customHeight="1" x14ac:dyDescent="0.25">
      <c r="A12126" s="301"/>
      <c r="B12126" s="502"/>
      <c r="C12126" s="502"/>
      <c r="D12126" s="502"/>
      <c r="E12126" s="502"/>
      <c r="F12126" s="503"/>
      <c r="G12126" s="81"/>
      <c r="H12126" s="81"/>
      <c r="I12126" s="81"/>
      <c r="J12126" s="81"/>
      <c r="K12126" s="81"/>
      <c r="L12126" s="81"/>
      <c r="M12126" s="81"/>
      <c r="N12126" s="81"/>
    </row>
    <row r="12127" spans="1:14" ht="14.25" customHeight="1" x14ac:dyDescent="0.25">
      <c r="A12127" s="243"/>
      <c r="B12127" s="243"/>
      <c r="C12127" s="504"/>
      <c r="D12127" s="243"/>
      <c r="E12127" s="243"/>
      <c r="F12127" s="243"/>
      <c r="G12127" s="81"/>
      <c r="H12127" s="81"/>
      <c r="I12127" s="81"/>
      <c r="J12127" s="81"/>
      <c r="K12127" s="81"/>
      <c r="L12127" s="81"/>
      <c r="M12127" s="81"/>
      <c r="N12127" s="81"/>
    </row>
    <row r="12128" spans="1:14" ht="14.25" customHeight="1" x14ac:dyDescent="0.25">
      <c r="A12128" s="243"/>
      <c r="B12128" s="243"/>
      <c r="C12128" s="504"/>
      <c r="D12128" s="243"/>
      <c r="E12128" s="243"/>
      <c r="F12128" s="243"/>
      <c r="G12128" s="81"/>
      <c r="H12128" s="81"/>
      <c r="I12128" s="81"/>
      <c r="J12128" s="81"/>
      <c r="K12128" s="81"/>
      <c r="L12128" s="81"/>
      <c r="M12128" s="81"/>
      <c r="N12128" s="81"/>
    </row>
    <row r="12129" spans="1:14" ht="14.25" customHeight="1" x14ac:dyDescent="0.25">
      <c r="A12129" s="243"/>
      <c r="B12129" s="243"/>
      <c r="C12129" s="504"/>
      <c r="D12129" s="243"/>
      <c r="E12129" s="243"/>
      <c r="F12129" s="243"/>
      <c r="G12129" s="81"/>
      <c r="H12129" s="81"/>
      <c r="I12129" s="81"/>
      <c r="J12129" s="81"/>
      <c r="K12129" s="81"/>
      <c r="L12129" s="81"/>
      <c r="M12129" s="81"/>
      <c r="N12129" s="81"/>
    </row>
    <row r="12130" spans="1:14" ht="14.25" customHeight="1" x14ac:dyDescent="0.25">
      <c r="A12130" s="243"/>
      <c r="B12130" s="243"/>
      <c r="C12130" s="504"/>
      <c r="D12130" s="243"/>
      <c r="E12130" s="243"/>
      <c r="F12130" s="243"/>
      <c r="G12130" s="81"/>
      <c r="H12130" s="81"/>
      <c r="I12130" s="81"/>
      <c r="J12130" s="81"/>
      <c r="K12130" s="81"/>
      <c r="L12130" s="81"/>
      <c r="M12130" s="81"/>
      <c r="N12130" s="81"/>
    </row>
    <row r="12131" spans="1:14" ht="14.25" customHeight="1" x14ac:dyDescent="0.25">
      <c r="A12131" s="243"/>
      <c r="B12131" s="243"/>
      <c r="C12131" s="504"/>
      <c r="D12131" s="243"/>
      <c r="E12131" s="243"/>
      <c r="F12131" s="243"/>
      <c r="G12131" s="81"/>
      <c r="H12131" s="81"/>
      <c r="I12131" s="81"/>
      <c r="J12131" s="81"/>
      <c r="K12131" s="81"/>
      <c r="L12131" s="81"/>
      <c r="M12131" s="81"/>
      <c r="N12131" s="81"/>
    </row>
    <row r="12132" spans="1:14" ht="14.25" customHeight="1" x14ac:dyDescent="0.25">
      <c r="A12132" s="243"/>
      <c r="B12132" s="243"/>
      <c r="C12132" s="504"/>
      <c r="D12132" s="243"/>
      <c r="E12132" s="243"/>
      <c r="F12132" s="243"/>
      <c r="G12132" s="81"/>
      <c r="H12132" s="81"/>
      <c r="I12132" s="81"/>
      <c r="J12132" s="81"/>
      <c r="K12132" s="81"/>
      <c r="L12132" s="81"/>
      <c r="M12132" s="81"/>
      <c r="N12132" s="81"/>
    </row>
    <row r="12133" spans="1:14" ht="14.25" customHeight="1" x14ac:dyDescent="0.25">
      <c r="A12133" s="243"/>
      <c r="B12133" s="243"/>
      <c r="C12133" s="504"/>
      <c r="D12133" s="243"/>
      <c r="E12133" s="243"/>
      <c r="F12133" s="243"/>
      <c r="G12133" s="81"/>
      <c r="H12133" s="81"/>
      <c r="I12133" s="81"/>
      <c r="J12133" s="81"/>
      <c r="K12133" s="81"/>
      <c r="L12133" s="81"/>
      <c r="M12133" s="81"/>
      <c r="N12133" s="81"/>
    </row>
    <row r="12134" spans="1:14" ht="14.25" customHeight="1" x14ac:dyDescent="0.25">
      <c r="A12134" s="243"/>
      <c r="B12134" s="243"/>
      <c r="C12134" s="504"/>
      <c r="D12134" s="243"/>
      <c r="E12134" s="243"/>
      <c r="F12134" s="243"/>
      <c r="G12134" s="81"/>
      <c r="H12134" s="81"/>
      <c r="I12134" s="81"/>
      <c r="J12134" s="81"/>
      <c r="K12134" s="81"/>
      <c r="L12134" s="81"/>
      <c r="M12134" s="81"/>
      <c r="N12134" s="81"/>
    </row>
    <row r="12135" spans="1:14" ht="14.25" customHeight="1" x14ac:dyDescent="0.25">
      <c r="A12135" s="243"/>
      <c r="B12135" s="243"/>
      <c r="C12135" s="504"/>
      <c r="D12135" s="243"/>
      <c r="E12135" s="243"/>
      <c r="F12135" s="243"/>
      <c r="G12135" s="81"/>
      <c r="H12135" s="81"/>
      <c r="I12135" s="81"/>
      <c r="J12135" s="81"/>
      <c r="K12135" s="81"/>
      <c r="L12135" s="81"/>
      <c r="M12135" s="81"/>
      <c r="N12135" s="81"/>
    </row>
    <row r="12136" spans="1:14" ht="14.25" customHeight="1" x14ac:dyDescent="0.25">
      <c r="A12136" s="243"/>
      <c r="B12136" s="243"/>
      <c r="C12136" s="504"/>
      <c r="D12136" s="243"/>
      <c r="E12136" s="243"/>
      <c r="F12136" s="243"/>
      <c r="G12136" s="81"/>
      <c r="H12136" s="81"/>
      <c r="I12136" s="81"/>
      <c r="J12136" s="81"/>
      <c r="K12136" s="81"/>
      <c r="L12136" s="81"/>
      <c r="M12136" s="81"/>
      <c r="N12136" s="81"/>
    </row>
    <row r="12137" spans="1:14" ht="14.25" customHeight="1" x14ac:dyDescent="0.25">
      <c r="A12137" s="243"/>
      <c r="B12137" s="243"/>
      <c r="C12137" s="504"/>
      <c r="D12137" s="243"/>
      <c r="E12137" s="243"/>
      <c r="F12137" s="243"/>
      <c r="G12137" s="81"/>
      <c r="H12137" s="81"/>
      <c r="I12137" s="81"/>
      <c r="J12137" s="81"/>
      <c r="K12137" s="81"/>
      <c r="L12137" s="81"/>
      <c r="M12137" s="81"/>
      <c r="N12137" s="81"/>
    </row>
    <row r="12138" spans="1:14" ht="14.25" customHeight="1" x14ac:dyDescent="0.25">
      <c r="A12138" s="243"/>
      <c r="B12138" s="243"/>
      <c r="C12138" s="504"/>
      <c r="D12138" s="243"/>
      <c r="E12138" s="243"/>
      <c r="F12138" s="243"/>
      <c r="G12138" s="81"/>
      <c r="H12138" s="81"/>
      <c r="I12138" s="81"/>
      <c r="J12138" s="81"/>
      <c r="K12138" s="81"/>
      <c r="L12138" s="81"/>
      <c r="M12138" s="81"/>
      <c r="N12138" s="81"/>
    </row>
    <row r="12139" spans="1:14" ht="14.25" customHeight="1" thickBot="1" x14ac:dyDescent="0.3">
      <c r="A12139" s="243"/>
      <c r="B12139" s="243"/>
      <c r="C12139" s="504"/>
      <c r="D12139" s="243"/>
      <c r="E12139" s="243"/>
      <c r="F12139" s="243"/>
      <c r="G12139" s="81"/>
      <c r="H12139" s="81"/>
      <c r="I12139" s="81"/>
      <c r="J12139" s="81"/>
      <c r="K12139" s="81"/>
      <c r="L12139" s="81"/>
      <c r="M12139" s="81"/>
      <c r="N12139" s="81"/>
    </row>
    <row r="12140" spans="1:14" ht="14.25" customHeight="1" x14ac:dyDescent="0.25">
      <c r="A12140" s="258"/>
      <c r="B12140" s="259"/>
      <c r="C12140" s="260"/>
      <c r="D12140" s="261"/>
      <c r="E12140" s="261"/>
      <c r="F12140" s="262"/>
      <c r="G12140" s="81"/>
      <c r="H12140" s="81"/>
      <c r="I12140" s="81"/>
      <c r="J12140" s="81"/>
      <c r="K12140" s="81"/>
      <c r="L12140" s="81"/>
      <c r="M12140" s="81"/>
      <c r="N12140" s="81"/>
    </row>
    <row r="12141" spans="1:14" ht="14.25" customHeight="1" x14ac:dyDescent="0.25">
      <c r="A12141" s="621"/>
      <c r="B12141" s="629"/>
      <c r="C12141" s="629"/>
      <c r="D12141" s="629"/>
      <c r="E12141" s="629"/>
      <c r="F12141" s="630"/>
      <c r="G12141" s="81"/>
      <c r="H12141" s="81"/>
      <c r="I12141" s="81"/>
      <c r="J12141" s="81"/>
      <c r="K12141" s="81"/>
      <c r="L12141" s="81"/>
      <c r="M12141" s="81"/>
      <c r="N12141" s="81"/>
    </row>
    <row r="12142" spans="1:14" ht="14.25" customHeight="1" x14ac:dyDescent="0.25">
      <c r="A12142" s="614" t="s">
        <v>561</v>
      </c>
      <c r="B12142" s="629"/>
      <c r="C12142" s="629"/>
      <c r="D12142" s="629"/>
      <c r="E12142" s="629"/>
      <c r="F12142" s="630"/>
      <c r="G12142" s="81"/>
      <c r="H12142" s="81"/>
      <c r="I12142" s="81"/>
      <c r="J12142" s="81"/>
      <c r="K12142" s="81"/>
      <c r="L12142" s="81"/>
      <c r="M12142" s="81"/>
      <c r="N12142" s="81"/>
    </row>
    <row r="12143" spans="1:14" ht="14.25" customHeight="1" thickBot="1" x14ac:dyDescent="0.3">
      <c r="A12143" s="617"/>
      <c r="B12143" s="631"/>
      <c r="C12143" s="631"/>
      <c r="D12143" s="631"/>
      <c r="E12143" s="631"/>
      <c r="F12143" s="632"/>
      <c r="G12143" s="81"/>
      <c r="H12143" s="81"/>
      <c r="I12143" s="81"/>
      <c r="J12143" s="81"/>
      <c r="K12143" s="81"/>
      <c r="L12143" s="81"/>
      <c r="M12143" s="81"/>
      <c r="N12143" s="81"/>
    </row>
    <row r="12144" spans="1:14" ht="14.25" customHeight="1" x14ac:dyDescent="0.25">
      <c r="A12144" s="192"/>
      <c r="B12144" s="192"/>
      <c r="C12144" s="194"/>
      <c r="D12144" s="194"/>
      <c r="E12144" s="194"/>
      <c r="F12144" s="194"/>
      <c r="G12144" s="81"/>
      <c r="H12144" s="81"/>
      <c r="I12144" s="81"/>
      <c r="J12144" s="81"/>
      <c r="K12144" s="81"/>
      <c r="L12144" s="81"/>
      <c r="M12144" s="81"/>
      <c r="N12144" s="81"/>
    </row>
    <row r="12145" spans="1:14" ht="14.25" customHeight="1" x14ac:dyDescent="0.25">
      <c r="A12145" s="473" t="s">
        <v>47</v>
      </c>
      <c r="B12145" s="620" t="s">
        <v>1204</v>
      </c>
      <c r="C12145" s="629"/>
      <c r="D12145" s="629"/>
      <c r="E12145" s="629"/>
      <c r="F12145" s="629"/>
      <c r="G12145" s="81"/>
      <c r="H12145" s="81"/>
      <c r="I12145" s="81"/>
      <c r="J12145" s="81"/>
      <c r="K12145" s="81"/>
      <c r="L12145" s="81"/>
      <c r="M12145" s="81"/>
      <c r="N12145" s="81"/>
    </row>
    <row r="12146" spans="1:14" ht="14.25" customHeight="1" x14ac:dyDescent="0.25">
      <c r="A12146" s="191"/>
      <c r="B12146" s="191"/>
      <c r="C12146" s="191"/>
      <c r="D12146" s="191"/>
      <c r="E12146" s="191"/>
      <c r="F12146" s="191"/>
      <c r="G12146" s="81"/>
      <c r="H12146" s="81"/>
      <c r="I12146" s="81"/>
      <c r="J12146" s="81"/>
      <c r="K12146" s="81"/>
      <c r="L12146" s="81"/>
      <c r="M12146" s="81"/>
      <c r="N12146" s="81"/>
    </row>
    <row r="12147" spans="1:14" ht="14.25" customHeight="1" x14ac:dyDescent="0.25">
      <c r="A12147" s="192" t="s">
        <v>49</v>
      </c>
      <c r="B12147" s="193" t="s">
        <v>99</v>
      </c>
      <c r="C12147" s="194"/>
      <c r="D12147" s="194"/>
      <c r="E12147" s="194"/>
      <c r="F12147" s="195"/>
      <c r="G12147" s="81"/>
      <c r="H12147" s="81"/>
      <c r="I12147" s="81"/>
      <c r="J12147" s="81"/>
      <c r="K12147" s="81"/>
      <c r="L12147" s="81"/>
      <c r="M12147" s="81"/>
      <c r="N12147" s="81"/>
    </row>
    <row r="12148" spans="1:14" ht="14.25" customHeight="1" x14ac:dyDescent="0.25">
      <c r="A12148" s="192"/>
      <c r="B12148" s="196"/>
      <c r="C12148" s="194"/>
      <c r="D12148" s="194"/>
      <c r="E12148" s="194"/>
      <c r="F12148" s="195"/>
      <c r="G12148" s="81"/>
      <c r="H12148" s="81"/>
      <c r="I12148" s="81"/>
      <c r="J12148" s="81"/>
      <c r="K12148" s="81"/>
      <c r="L12148" s="81"/>
      <c r="M12148" s="81"/>
      <c r="N12148" s="81"/>
    </row>
    <row r="12149" spans="1:14" ht="14.25" customHeight="1" x14ac:dyDescent="0.25">
      <c r="A12149" s="197" t="s">
        <v>562</v>
      </c>
      <c r="B12149" s="198"/>
      <c r="C12149" s="193"/>
      <c r="D12149" s="193"/>
      <c r="E12149" s="193"/>
      <c r="F12149" s="193"/>
      <c r="G12149" s="81"/>
      <c r="H12149" s="81"/>
      <c r="I12149" s="81"/>
      <c r="J12149" s="81"/>
      <c r="K12149" s="81"/>
      <c r="L12149" s="81"/>
      <c r="M12149" s="81"/>
      <c r="N12149" s="81"/>
    </row>
    <row r="12150" spans="1:14" ht="14.25" customHeight="1" x14ac:dyDescent="0.25">
      <c r="A12150" s="199" t="s">
        <v>563</v>
      </c>
      <c r="B12150" s="474" t="s">
        <v>564</v>
      </c>
      <c r="C12150" s="474" t="s">
        <v>565</v>
      </c>
      <c r="D12150" s="474" t="s">
        <v>566</v>
      </c>
      <c r="E12150" s="474" t="s">
        <v>567</v>
      </c>
      <c r="F12150" s="474" t="s">
        <v>568</v>
      </c>
      <c r="G12150" s="81"/>
      <c r="H12150" s="81"/>
      <c r="I12150" s="81"/>
      <c r="J12150" s="81"/>
      <c r="K12150" s="81"/>
      <c r="L12150" s="81"/>
      <c r="M12150" s="81"/>
      <c r="N12150" s="81"/>
    </row>
    <row r="12151" spans="1:14" ht="14.25" customHeight="1" x14ac:dyDescent="0.25">
      <c r="A12151" s="475" t="s">
        <v>1204</v>
      </c>
      <c r="B12151" s="476" t="s">
        <v>99</v>
      </c>
      <c r="C12151" s="477">
        <v>8032373</v>
      </c>
      <c r="D12151" s="478">
        <v>1</v>
      </c>
      <c r="E12151" s="479"/>
      <c r="F12151" s="477">
        <f t="shared" ref="F12151:F12153" si="597">C12151*(D12151+(D12151*E12151))</f>
        <v>8032373</v>
      </c>
      <c r="G12151" s="81"/>
      <c r="H12151" s="81"/>
      <c r="I12151" s="81"/>
      <c r="J12151" s="81"/>
      <c r="K12151" s="81"/>
      <c r="L12151" s="81"/>
      <c r="M12151" s="81"/>
      <c r="N12151" s="81"/>
    </row>
    <row r="12152" spans="1:14" ht="14.25" customHeight="1" x14ac:dyDescent="0.25">
      <c r="A12152" s="475"/>
      <c r="B12152" s="476"/>
      <c r="C12152" s="477"/>
      <c r="D12152" s="481"/>
      <c r="E12152" s="479"/>
      <c r="F12152" s="477">
        <f t="shared" si="597"/>
        <v>0</v>
      </c>
      <c r="G12152" s="81"/>
      <c r="H12152" s="81"/>
      <c r="I12152" s="81"/>
      <c r="J12152" s="81"/>
      <c r="K12152" s="81"/>
      <c r="L12152" s="81"/>
      <c r="M12152" s="81"/>
      <c r="N12152" s="81"/>
    </row>
    <row r="12153" spans="1:14" ht="14.25" customHeight="1" x14ac:dyDescent="0.25">
      <c r="A12153" s="475"/>
      <c r="B12153" s="476"/>
      <c r="C12153" s="477"/>
      <c r="D12153" s="481"/>
      <c r="E12153" s="479"/>
      <c r="F12153" s="477">
        <f t="shared" si="597"/>
        <v>0</v>
      </c>
      <c r="G12153" s="81"/>
      <c r="H12153" s="81"/>
      <c r="I12153" s="81"/>
      <c r="J12153" s="81"/>
      <c r="K12153" s="81"/>
      <c r="L12153" s="81"/>
      <c r="M12153" s="81"/>
      <c r="N12153" s="81"/>
    </row>
    <row r="12154" spans="1:14" ht="14.25" customHeight="1" x14ac:dyDescent="0.25">
      <c r="A12154" s="475"/>
      <c r="B12154" s="476"/>
      <c r="C12154" s="477"/>
      <c r="D12154" s="478"/>
      <c r="E12154" s="479"/>
      <c r="F12154" s="477"/>
      <c r="G12154" s="81"/>
      <c r="H12154" s="81"/>
      <c r="I12154" s="81"/>
      <c r="J12154" s="81"/>
      <c r="K12154" s="81"/>
      <c r="L12154" s="81"/>
      <c r="M12154" s="81"/>
      <c r="N12154" s="81"/>
    </row>
    <row r="12155" spans="1:14" ht="14.25" customHeight="1" x14ac:dyDescent="0.25">
      <c r="A12155" s="475"/>
      <c r="B12155" s="476"/>
      <c r="C12155" s="477"/>
      <c r="D12155" s="478"/>
      <c r="E12155" s="479"/>
      <c r="F12155" s="477"/>
      <c r="G12155" s="81"/>
      <c r="H12155" s="81"/>
      <c r="I12155" s="81"/>
      <c r="J12155" s="81"/>
      <c r="K12155" s="81"/>
      <c r="L12155" s="81"/>
      <c r="M12155" s="81"/>
      <c r="N12155" s="81"/>
    </row>
    <row r="12156" spans="1:14" ht="14.25" customHeight="1" x14ac:dyDescent="0.25">
      <c r="A12156" s="475"/>
      <c r="B12156" s="476"/>
      <c r="C12156" s="477"/>
      <c r="D12156" s="478"/>
      <c r="E12156" s="479"/>
      <c r="F12156" s="477"/>
      <c r="G12156" s="81"/>
      <c r="H12156" s="81"/>
      <c r="I12156" s="81"/>
      <c r="J12156" s="81"/>
      <c r="K12156" s="81"/>
      <c r="L12156" s="81"/>
      <c r="M12156" s="81"/>
      <c r="N12156" s="81"/>
    </row>
    <row r="12157" spans="1:14" ht="14.25" customHeight="1" x14ac:dyDescent="0.25">
      <c r="A12157" s="475"/>
      <c r="B12157" s="476"/>
      <c r="C12157" s="483"/>
      <c r="D12157" s="484"/>
      <c r="E12157" s="485"/>
      <c r="F12157" s="483"/>
      <c r="G12157" s="81"/>
      <c r="H12157" s="81"/>
      <c r="I12157" s="81"/>
      <c r="J12157" s="81"/>
      <c r="K12157" s="81"/>
      <c r="L12157" s="81"/>
      <c r="M12157" s="81"/>
      <c r="N12157" s="81"/>
    </row>
    <row r="12158" spans="1:14" ht="14.25" customHeight="1" x14ac:dyDescent="0.25">
      <c r="A12158" s="199" t="s">
        <v>548</v>
      </c>
      <c r="B12158" s="199"/>
      <c r="C12158" s="486"/>
      <c r="D12158" s="487"/>
      <c r="E12158" s="488"/>
      <c r="F12158" s="489">
        <f>SUM(F12151:F12157)</f>
        <v>8032373</v>
      </c>
      <c r="G12158" s="81"/>
      <c r="H12158" s="81"/>
      <c r="I12158" s="81"/>
      <c r="J12158" s="81"/>
      <c r="K12158" s="81"/>
      <c r="L12158" s="81"/>
      <c r="M12158" s="81"/>
      <c r="N12158" s="81"/>
    </row>
    <row r="12159" spans="1:14" ht="14.25" customHeight="1" x14ac:dyDescent="0.25">
      <c r="A12159" s="192"/>
      <c r="B12159" s="192"/>
      <c r="C12159" s="215"/>
      <c r="D12159" s="215"/>
      <c r="E12159" s="216"/>
      <c r="F12159" s="215"/>
      <c r="G12159" s="81"/>
      <c r="H12159" s="81"/>
      <c r="I12159" s="81"/>
      <c r="J12159" s="81"/>
      <c r="K12159" s="81"/>
      <c r="L12159" s="81"/>
      <c r="M12159" s="81"/>
      <c r="N12159" s="81"/>
    </row>
    <row r="12160" spans="1:14" ht="14.25" customHeight="1" x14ac:dyDescent="0.25">
      <c r="A12160" s="198" t="s">
        <v>573</v>
      </c>
      <c r="B12160" s="198"/>
      <c r="C12160" s="193"/>
      <c r="D12160" s="193"/>
      <c r="E12160" s="193"/>
      <c r="F12160" s="193"/>
      <c r="G12160" s="81"/>
      <c r="H12160" s="81"/>
      <c r="I12160" s="81"/>
      <c r="J12160" s="81"/>
      <c r="K12160" s="81"/>
      <c r="L12160" s="81"/>
      <c r="M12160" s="81"/>
      <c r="N12160" s="81"/>
    </row>
    <row r="12161" spans="1:14" ht="14.25" customHeight="1" x14ac:dyDescent="0.25">
      <c r="A12161" s="585" t="s">
        <v>563</v>
      </c>
      <c r="B12161" s="586"/>
      <c r="C12161" s="587"/>
      <c r="D12161" s="474" t="s">
        <v>574</v>
      </c>
      <c r="E12161" s="474" t="s">
        <v>575</v>
      </c>
      <c r="F12161" s="474" t="s">
        <v>568</v>
      </c>
      <c r="G12161" s="81"/>
      <c r="H12161" s="81"/>
      <c r="I12161" s="81"/>
      <c r="J12161" s="81"/>
      <c r="K12161" s="81"/>
      <c r="L12161" s="81"/>
      <c r="M12161" s="81"/>
      <c r="N12161" s="81"/>
    </row>
    <row r="12162" spans="1:14" ht="14.25" customHeight="1" x14ac:dyDescent="0.25">
      <c r="A12162" s="588" t="s">
        <v>577</v>
      </c>
      <c r="B12162" s="586"/>
      <c r="C12162" s="587"/>
      <c r="D12162" s="490"/>
      <c r="E12162" s="484"/>
      <c r="F12162" s="483">
        <f>+F12176*5%</f>
        <v>53124.206666666665</v>
      </c>
      <c r="G12162" s="81"/>
      <c r="H12162" s="81"/>
      <c r="I12162" s="81"/>
      <c r="J12162" s="81"/>
      <c r="K12162" s="81"/>
      <c r="L12162" s="81"/>
      <c r="M12162" s="81"/>
      <c r="N12162" s="81"/>
    </row>
    <row r="12163" spans="1:14" ht="14.25" customHeight="1" x14ac:dyDescent="0.25">
      <c r="A12163" s="588"/>
      <c r="B12163" s="586"/>
      <c r="C12163" s="587"/>
      <c r="D12163" s="505"/>
      <c r="E12163" s="484"/>
      <c r="F12163" s="483"/>
      <c r="G12163" s="81"/>
      <c r="H12163" s="81"/>
      <c r="I12163" s="81"/>
      <c r="J12163" s="81"/>
      <c r="K12163" s="81"/>
      <c r="L12163" s="81"/>
      <c r="M12163" s="81"/>
      <c r="N12163" s="81"/>
    </row>
    <row r="12164" spans="1:14" ht="14.25" customHeight="1" x14ac:dyDescent="0.25">
      <c r="A12164" s="588"/>
      <c r="B12164" s="586"/>
      <c r="C12164" s="587"/>
      <c r="D12164" s="505"/>
      <c r="E12164" s="484"/>
      <c r="F12164" s="483"/>
      <c r="G12164" s="81"/>
      <c r="H12164" s="81"/>
      <c r="I12164" s="81"/>
      <c r="J12164" s="81"/>
      <c r="K12164" s="81"/>
      <c r="L12164" s="81"/>
      <c r="M12164" s="81"/>
      <c r="N12164" s="81"/>
    </row>
    <row r="12165" spans="1:14" ht="14.25" customHeight="1" x14ac:dyDescent="0.25">
      <c r="A12165" s="588"/>
      <c r="B12165" s="586"/>
      <c r="C12165" s="587"/>
      <c r="D12165" s="505"/>
      <c r="E12165" s="484"/>
      <c r="F12165" s="483"/>
      <c r="G12165" s="81"/>
      <c r="H12165" s="81"/>
      <c r="I12165" s="81"/>
      <c r="J12165" s="81"/>
      <c r="K12165" s="81"/>
      <c r="L12165" s="81"/>
      <c r="M12165" s="81"/>
      <c r="N12165" s="81"/>
    </row>
    <row r="12166" spans="1:14" ht="14.25" customHeight="1" x14ac:dyDescent="0.25">
      <c r="A12166" s="589"/>
      <c r="B12166" s="586"/>
      <c r="C12166" s="587"/>
      <c r="D12166" s="491"/>
      <c r="E12166" s="484"/>
      <c r="F12166" s="483"/>
      <c r="G12166" s="81"/>
      <c r="H12166" s="143"/>
      <c r="I12166" s="81"/>
      <c r="J12166" s="81"/>
      <c r="K12166" s="81"/>
      <c r="L12166" s="81"/>
      <c r="M12166" s="81"/>
      <c r="N12166" s="81"/>
    </row>
    <row r="12167" spans="1:14" ht="14.25" customHeight="1" x14ac:dyDescent="0.25">
      <c r="A12167" s="585" t="s">
        <v>548</v>
      </c>
      <c r="B12167" s="586"/>
      <c r="C12167" s="587"/>
      <c r="D12167" s="487"/>
      <c r="E12167" s="487"/>
      <c r="F12167" s="489">
        <f>SUM(F12162:F12166)</f>
        <v>53124.206666666665</v>
      </c>
      <c r="G12167" s="81"/>
      <c r="H12167" s="81"/>
      <c r="I12167" s="81"/>
      <c r="J12167" s="81"/>
      <c r="K12167" s="81"/>
      <c r="L12167" s="81"/>
      <c r="M12167" s="81"/>
      <c r="N12167" s="81"/>
    </row>
    <row r="12168" spans="1:14" ht="14.25" customHeight="1" x14ac:dyDescent="0.25">
      <c r="A12168" s="192"/>
      <c r="B12168" s="192"/>
      <c r="C12168" s="194"/>
      <c r="D12168" s="215"/>
      <c r="E12168" s="215"/>
      <c r="F12168" s="215"/>
      <c r="G12168" s="81"/>
      <c r="H12168" s="81"/>
      <c r="I12168" s="81"/>
      <c r="J12168" s="81"/>
      <c r="K12168" s="81"/>
      <c r="L12168" s="81"/>
      <c r="M12168" s="81"/>
      <c r="N12168" s="81"/>
    </row>
    <row r="12169" spans="1:14" ht="14.25" customHeight="1" x14ac:dyDescent="0.25">
      <c r="A12169" s="198" t="s">
        <v>578</v>
      </c>
      <c r="B12169" s="198"/>
      <c r="C12169" s="193"/>
      <c r="D12169" s="223"/>
      <c r="E12169" s="223"/>
      <c r="F12169" s="223"/>
      <c r="G12169" s="81"/>
      <c r="H12169" s="81"/>
      <c r="I12169" s="81"/>
      <c r="J12169" s="81"/>
      <c r="K12169" s="81"/>
      <c r="L12169" s="81"/>
      <c r="M12169" s="81"/>
      <c r="N12169" s="81"/>
    </row>
    <row r="12170" spans="1:14" ht="14.25" customHeight="1" x14ac:dyDescent="0.25">
      <c r="A12170" s="224" t="s">
        <v>563</v>
      </c>
      <c r="B12170" s="492" t="s">
        <v>579</v>
      </c>
      <c r="C12170" s="492" t="s">
        <v>580</v>
      </c>
      <c r="D12170" s="493" t="s">
        <v>581</v>
      </c>
      <c r="E12170" s="493" t="s">
        <v>575</v>
      </c>
      <c r="F12170" s="493" t="s">
        <v>568</v>
      </c>
      <c r="G12170" s="81"/>
      <c r="H12170" s="81"/>
      <c r="I12170" s="81"/>
      <c r="J12170" s="81"/>
      <c r="K12170" s="81"/>
      <c r="L12170" s="81"/>
      <c r="M12170" s="81"/>
      <c r="N12170" s="81"/>
    </row>
    <row r="12171" spans="1:14" ht="14.25" customHeight="1" x14ac:dyDescent="0.25">
      <c r="A12171" s="494" t="s">
        <v>916</v>
      </c>
      <c r="B12171" s="495">
        <v>1</v>
      </c>
      <c r="C12171" s="477">
        <v>35956.800000000003</v>
      </c>
      <c r="D12171" s="477">
        <f t="shared" ref="D12171:D12172" si="598">+C12171*1.7</f>
        <v>61126.560000000005</v>
      </c>
      <c r="E12171" s="484">
        <v>0.15</v>
      </c>
      <c r="F12171" s="483">
        <f t="shared" ref="F12171:F12172" si="599">+B12171*(D12171)/E12171</f>
        <v>407510.4</v>
      </c>
      <c r="G12171" s="81"/>
      <c r="H12171" s="81"/>
      <c r="I12171" s="81"/>
      <c r="J12171" s="81"/>
      <c r="K12171" s="81"/>
      <c r="L12171" s="81"/>
      <c r="M12171" s="81"/>
      <c r="N12171" s="81"/>
    </row>
    <row r="12172" spans="1:14" ht="14.25" customHeight="1" x14ac:dyDescent="0.25">
      <c r="A12172" s="494" t="s">
        <v>917</v>
      </c>
      <c r="B12172" s="495">
        <v>1</v>
      </c>
      <c r="C12172" s="477">
        <v>57791.8</v>
      </c>
      <c r="D12172" s="477">
        <f t="shared" si="598"/>
        <v>98246.06</v>
      </c>
      <c r="E12172" s="484">
        <f>E12171</f>
        <v>0.15</v>
      </c>
      <c r="F12172" s="483">
        <f t="shared" si="599"/>
        <v>654973.7333333334</v>
      </c>
      <c r="G12172" s="81"/>
      <c r="H12172" s="81"/>
      <c r="I12172" s="81"/>
      <c r="J12172" s="81"/>
      <c r="K12172" s="81"/>
      <c r="L12172" s="81"/>
      <c r="M12172" s="81"/>
      <c r="N12172" s="81"/>
    </row>
    <row r="12173" spans="1:14" ht="14.25" customHeight="1" x14ac:dyDescent="0.25">
      <c r="A12173" s="494"/>
      <c r="B12173" s="495"/>
      <c r="C12173" s="477"/>
      <c r="D12173" s="477"/>
      <c r="E12173" s="484"/>
      <c r="F12173" s="483"/>
      <c r="G12173" s="81"/>
      <c r="H12173" s="81"/>
      <c r="I12173" s="81"/>
      <c r="J12173" s="81"/>
      <c r="K12173" s="81"/>
      <c r="L12173" s="81"/>
      <c r="M12173" s="81"/>
      <c r="N12173" s="81"/>
    </row>
    <row r="12174" spans="1:14" ht="14.25" customHeight="1" x14ac:dyDescent="0.25">
      <c r="A12174" s="494"/>
      <c r="B12174" s="495"/>
      <c r="C12174" s="477"/>
      <c r="D12174" s="477"/>
      <c r="E12174" s="484"/>
      <c r="F12174" s="483"/>
      <c r="G12174" s="81"/>
      <c r="H12174" s="81"/>
      <c r="I12174" s="81"/>
      <c r="J12174" s="81"/>
      <c r="K12174" s="81"/>
      <c r="L12174" s="81"/>
      <c r="M12174" s="81"/>
      <c r="N12174" s="81"/>
    </row>
    <row r="12175" spans="1:14" ht="14.25" customHeight="1" x14ac:dyDescent="0.25">
      <c r="A12175" s="494"/>
      <c r="B12175" s="495"/>
      <c r="C12175" s="477"/>
      <c r="D12175" s="477"/>
      <c r="E12175" s="484"/>
      <c r="F12175" s="483"/>
      <c r="G12175" s="81"/>
      <c r="H12175" s="81"/>
      <c r="I12175" s="81"/>
      <c r="J12175" s="81"/>
      <c r="K12175" s="81"/>
      <c r="L12175" s="81"/>
      <c r="M12175" s="81"/>
      <c r="N12175" s="81"/>
    </row>
    <row r="12176" spans="1:14" ht="14.25" customHeight="1" x14ac:dyDescent="0.25">
      <c r="A12176" s="199" t="s">
        <v>548</v>
      </c>
      <c r="B12176" s="497"/>
      <c r="C12176" s="487"/>
      <c r="D12176" s="487"/>
      <c r="E12176" s="487"/>
      <c r="F12176" s="489">
        <f>SUM(F12171:F12174)</f>
        <v>1062484.1333333333</v>
      </c>
      <c r="G12176" s="81"/>
      <c r="H12176" s="81"/>
      <c r="I12176" s="81"/>
      <c r="J12176" s="81"/>
      <c r="K12176" s="81"/>
      <c r="L12176" s="81"/>
      <c r="M12176" s="81"/>
      <c r="N12176" s="81"/>
    </row>
    <row r="12177" spans="1:14" ht="14.25" customHeight="1" x14ac:dyDescent="0.25">
      <c r="A12177" s="198"/>
      <c r="B12177" s="231"/>
      <c r="C12177" s="223"/>
      <c r="D12177" s="223"/>
      <c r="E12177" s="223"/>
      <c r="F12177" s="223"/>
      <c r="G12177" s="81"/>
      <c r="H12177" s="81"/>
      <c r="I12177" s="81"/>
      <c r="J12177" s="81"/>
      <c r="K12177" s="81"/>
      <c r="L12177" s="81"/>
      <c r="M12177" s="81"/>
      <c r="N12177" s="81"/>
    </row>
    <row r="12178" spans="1:14" ht="65.099999999999994" customHeight="1" x14ac:dyDescent="0.25">
      <c r="A12178" s="197" t="s">
        <v>583</v>
      </c>
      <c r="B12178" s="198"/>
      <c r="C12178" s="193"/>
      <c r="D12178" s="193"/>
      <c r="E12178" s="193" t="s">
        <v>584</v>
      </c>
      <c r="F12178" s="193"/>
      <c r="G12178" s="81"/>
      <c r="H12178" s="81"/>
      <c r="I12178" s="81"/>
      <c r="J12178" s="81"/>
      <c r="K12178" s="81"/>
      <c r="L12178" s="81"/>
      <c r="M12178" s="81"/>
      <c r="N12178" s="81"/>
    </row>
    <row r="12179" spans="1:14" ht="14.25" customHeight="1" x14ac:dyDescent="0.25">
      <c r="A12179" s="199" t="s">
        <v>563</v>
      </c>
      <c r="B12179" s="474" t="s">
        <v>564</v>
      </c>
      <c r="C12179" s="474" t="s">
        <v>585</v>
      </c>
      <c r="D12179" s="474" t="s">
        <v>586</v>
      </c>
      <c r="E12179" s="492" t="s">
        <v>587</v>
      </c>
      <c r="F12179" s="474" t="s">
        <v>568</v>
      </c>
      <c r="G12179" s="81"/>
      <c r="H12179" s="81"/>
      <c r="I12179" s="81"/>
      <c r="J12179" s="81"/>
      <c r="K12179" s="81"/>
      <c r="L12179" s="81"/>
      <c r="M12179" s="81"/>
      <c r="N12179" s="81"/>
    </row>
    <row r="12180" spans="1:14" ht="14.25" customHeight="1" x14ac:dyDescent="0.25">
      <c r="A12180" s="480"/>
      <c r="B12180" s="476"/>
      <c r="C12180" s="477"/>
      <c r="D12180" s="498"/>
      <c r="E12180" s="484"/>
      <c r="F12180" s="486">
        <f>+C12180*D12180*E12180</f>
        <v>0</v>
      </c>
      <c r="G12180" s="81"/>
      <c r="H12180" s="81"/>
      <c r="I12180" s="81"/>
      <c r="J12180" s="81"/>
      <c r="K12180" s="81"/>
      <c r="L12180" s="81"/>
      <c r="M12180" s="81"/>
      <c r="N12180" s="81"/>
    </row>
    <row r="12181" spans="1:14" ht="14.25" customHeight="1" x14ac:dyDescent="0.25">
      <c r="A12181" s="480"/>
      <c r="B12181" s="476"/>
      <c r="C12181" s="484"/>
      <c r="D12181" s="484"/>
      <c r="E12181" s="485"/>
      <c r="F12181" s="486"/>
      <c r="G12181" s="81"/>
      <c r="H12181" s="81"/>
      <c r="I12181" s="81"/>
      <c r="J12181" s="81"/>
      <c r="K12181" s="81"/>
      <c r="L12181" s="81"/>
      <c r="M12181" s="81"/>
      <c r="N12181" s="81"/>
    </row>
    <row r="12182" spans="1:14" ht="14.25" customHeight="1" x14ac:dyDescent="0.25">
      <c r="A12182" s="199" t="s">
        <v>548</v>
      </c>
      <c r="B12182" s="474"/>
      <c r="C12182" s="487"/>
      <c r="D12182" s="487"/>
      <c r="E12182" s="488"/>
      <c r="F12182" s="489">
        <f>SUM(F12180:F12181)</f>
        <v>0</v>
      </c>
      <c r="G12182" s="81"/>
      <c r="H12182" s="81"/>
      <c r="I12182" s="81"/>
      <c r="J12182" s="81"/>
      <c r="K12182" s="81"/>
      <c r="L12182" s="81"/>
      <c r="M12182" s="81"/>
      <c r="N12182" s="81"/>
    </row>
    <row r="12183" spans="1:14" ht="14.25" customHeight="1" x14ac:dyDescent="0.25">
      <c r="A12183" s="192"/>
      <c r="B12183" s="194"/>
      <c r="C12183" s="215"/>
      <c r="D12183" s="215"/>
      <c r="E12183" s="216"/>
      <c r="F12183" s="215"/>
      <c r="G12183" s="81"/>
      <c r="H12183" s="81"/>
      <c r="I12183" s="81"/>
      <c r="J12183" s="81"/>
      <c r="K12183" s="81"/>
      <c r="L12183" s="81"/>
      <c r="M12183" s="81"/>
      <c r="N12183" s="81"/>
    </row>
    <row r="12184" spans="1:14" s="168" customFormat="1" ht="15.75" x14ac:dyDescent="0.25">
      <c r="A12184" s="192"/>
      <c r="B12184" s="194"/>
      <c r="C12184" s="215"/>
      <c r="D12184" s="215"/>
      <c r="E12184" s="216"/>
      <c r="F12184" s="215"/>
      <c r="G12184" s="243"/>
      <c r="H12184" s="243"/>
      <c r="I12184" s="243"/>
      <c r="J12184" s="243"/>
      <c r="K12184" s="243"/>
      <c r="L12184" s="243"/>
      <c r="M12184" s="243"/>
      <c r="N12184" s="243"/>
    </row>
    <row r="12185" spans="1:14" s="168" customFormat="1" ht="15.75" x14ac:dyDescent="0.25">
      <c r="A12185" s="590" t="s">
        <v>588</v>
      </c>
      <c r="B12185" s="586"/>
      <c r="C12185" s="586"/>
      <c r="D12185" s="586"/>
      <c r="E12185" s="587"/>
      <c r="F12185" s="499">
        <f>ROUND(F12158+F12167+F12176+F12182,0)</f>
        <v>9147981</v>
      </c>
      <c r="G12185" s="243"/>
      <c r="H12185" s="243"/>
      <c r="I12185" s="243"/>
      <c r="J12185" s="243"/>
      <c r="K12185" s="243"/>
      <c r="L12185" s="243"/>
      <c r="M12185" s="243"/>
      <c r="N12185" s="243"/>
    </row>
    <row r="12186" spans="1:14" s="168" customFormat="1" ht="15.75" x14ac:dyDescent="0.25">
      <c r="A12186" s="590" t="s">
        <v>589</v>
      </c>
      <c r="B12186" s="586"/>
      <c r="C12186" s="586"/>
      <c r="D12186" s="586"/>
      <c r="E12186" s="587"/>
      <c r="F12186" s="500"/>
      <c r="G12186" s="243"/>
      <c r="H12186" s="243"/>
      <c r="I12186" s="243"/>
      <c r="J12186" s="243"/>
      <c r="K12186" s="243"/>
      <c r="L12186" s="243"/>
      <c r="M12186" s="243"/>
      <c r="N12186" s="243"/>
    </row>
    <row r="12187" spans="1:14" ht="14.25" customHeight="1" x14ac:dyDescent="0.25">
      <c r="A12187" s="300" t="s">
        <v>556</v>
      </c>
      <c r="B12187" s="506"/>
      <c r="C12187" s="506"/>
      <c r="D12187" s="506"/>
      <c r="E12187" s="507"/>
      <c r="F12187" s="501"/>
      <c r="G12187" s="81"/>
      <c r="H12187" s="81"/>
      <c r="I12187" s="81"/>
      <c r="J12187" s="81"/>
      <c r="K12187" s="81"/>
      <c r="L12187" s="81"/>
      <c r="M12187" s="81"/>
      <c r="N12187" s="81"/>
    </row>
    <row r="12188" spans="1:14" ht="14.25" customHeight="1" x14ac:dyDescent="0.25">
      <c r="A12188" s="301"/>
      <c r="B12188" s="502"/>
      <c r="C12188" s="502"/>
      <c r="D12188" s="502"/>
      <c r="E12188" s="502"/>
      <c r="F12188" s="503"/>
      <c r="G12188" s="81"/>
      <c r="H12188" s="81"/>
      <c r="I12188" s="81"/>
      <c r="J12188" s="81"/>
      <c r="K12188" s="81"/>
      <c r="L12188" s="81"/>
      <c r="M12188" s="81"/>
      <c r="N12188" s="81"/>
    </row>
    <row r="12189" spans="1:14" ht="14.25" customHeight="1" x14ac:dyDescent="0.25">
      <c r="A12189" s="301"/>
      <c r="B12189" s="502"/>
      <c r="C12189" s="502"/>
      <c r="D12189" s="502"/>
      <c r="E12189" s="502"/>
      <c r="F12189" s="503"/>
      <c r="G12189" s="81"/>
      <c r="H12189" s="81"/>
      <c r="I12189" s="81"/>
      <c r="J12189" s="81"/>
      <c r="K12189" s="81"/>
      <c r="L12189" s="81"/>
      <c r="M12189" s="81"/>
      <c r="N12189" s="81"/>
    </row>
    <row r="12190" spans="1:14" ht="14.25" customHeight="1" x14ac:dyDescent="0.25">
      <c r="A12190" s="301"/>
      <c r="B12190" s="502"/>
      <c r="C12190" s="502"/>
      <c r="D12190" s="502"/>
      <c r="E12190" s="502"/>
      <c r="F12190" s="503"/>
      <c r="G12190" s="81"/>
      <c r="H12190" s="81"/>
      <c r="I12190" s="81"/>
      <c r="J12190" s="81"/>
      <c r="K12190" s="81"/>
      <c r="L12190" s="81"/>
      <c r="M12190" s="81"/>
      <c r="N12190" s="81"/>
    </row>
    <row r="12191" spans="1:14" ht="14.25" customHeight="1" x14ac:dyDescent="0.25">
      <c r="A12191" s="243"/>
      <c r="B12191" s="243"/>
      <c r="C12191" s="504"/>
      <c r="D12191" s="243"/>
      <c r="E12191" s="243"/>
      <c r="F12191" s="243"/>
      <c r="G12191" s="81"/>
      <c r="H12191" s="81"/>
      <c r="I12191" s="81"/>
      <c r="J12191" s="81"/>
      <c r="K12191" s="81"/>
      <c r="L12191" s="81"/>
      <c r="M12191" s="81"/>
      <c r="N12191" s="81"/>
    </row>
    <row r="12192" spans="1:14" ht="14.25" customHeight="1" x14ac:dyDescent="0.25">
      <c r="A12192" s="243"/>
      <c r="B12192" s="243"/>
      <c r="C12192" s="504"/>
      <c r="D12192" s="243"/>
      <c r="E12192" s="243"/>
      <c r="F12192" s="243"/>
      <c r="G12192" s="81"/>
      <c r="H12192" s="81"/>
      <c r="I12192" s="81"/>
      <c r="J12192" s="81"/>
      <c r="K12192" s="81"/>
      <c r="L12192" s="81"/>
      <c r="M12192" s="81"/>
      <c r="N12192" s="81"/>
    </row>
    <row r="12193" spans="1:14" ht="14.25" customHeight="1" x14ac:dyDescent="0.25">
      <c r="A12193" s="243"/>
      <c r="B12193" s="243"/>
      <c r="C12193" s="504"/>
      <c r="D12193" s="243"/>
      <c r="E12193" s="243"/>
      <c r="F12193" s="243"/>
      <c r="G12193" s="81"/>
      <c r="H12193" s="81"/>
      <c r="I12193" s="81"/>
      <c r="J12193" s="81"/>
      <c r="K12193" s="81"/>
      <c r="L12193" s="81"/>
      <c r="M12193" s="81"/>
      <c r="N12193" s="81"/>
    </row>
    <row r="12194" spans="1:14" ht="14.25" customHeight="1" x14ac:dyDescent="0.25">
      <c r="A12194" s="243"/>
      <c r="B12194" s="243"/>
      <c r="C12194" s="504"/>
      <c r="D12194" s="243"/>
      <c r="E12194" s="243"/>
      <c r="F12194" s="243"/>
      <c r="G12194" s="81"/>
      <c r="H12194" s="81"/>
      <c r="I12194" s="81"/>
      <c r="J12194" s="81"/>
      <c r="K12194" s="81"/>
      <c r="L12194" s="81"/>
      <c r="M12194" s="81"/>
      <c r="N12194" s="81"/>
    </row>
    <row r="12195" spans="1:14" ht="14.25" customHeight="1" x14ac:dyDescent="0.25">
      <c r="A12195" s="243"/>
      <c r="B12195" s="243"/>
      <c r="C12195" s="504"/>
      <c r="D12195" s="243"/>
      <c r="E12195" s="243"/>
      <c r="F12195" s="243"/>
      <c r="G12195" s="81"/>
      <c r="H12195" s="81"/>
      <c r="I12195" s="81"/>
      <c r="J12195" s="81"/>
      <c r="K12195" s="81"/>
      <c r="L12195" s="81"/>
      <c r="M12195" s="81"/>
      <c r="N12195" s="81"/>
    </row>
    <row r="12196" spans="1:14" ht="14.25" customHeight="1" x14ac:dyDescent="0.25">
      <c r="A12196" s="243"/>
      <c r="B12196" s="243"/>
      <c r="C12196" s="504"/>
      <c r="D12196" s="243"/>
      <c r="E12196" s="243"/>
      <c r="F12196" s="243"/>
      <c r="G12196" s="81"/>
      <c r="H12196" s="81"/>
      <c r="I12196" s="81"/>
      <c r="J12196" s="81"/>
      <c r="K12196" s="81"/>
      <c r="L12196" s="81"/>
      <c r="M12196" s="81"/>
      <c r="N12196" s="81"/>
    </row>
    <row r="12197" spans="1:14" ht="14.25" customHeight="1" x14ac:dyDescent="0.25">
      <c r="A12197" s="243"/>
      <c r="B12197" s="243"/>
      <c r="C12197" s="504"/>
      <c r="D12197" s="243"/>
      <c r="E12197" s="243"/>
      <c r="F12197" s="243"/>
      <c r="G12197" s="81"/>
      <c r="H12197" s="81"/>
      <c r="I12197" s="81"/>
      <c r="J12197" s="81"/>
      <c r="K12197" s="81"/>
      <c r="L12197" s="81"/>
      <c r="M12197" s="81"/>
      <c r="N12197" s="81"/>
    </row>
    <row r="12198" spans="1:14" ht="14.25" customHeight="1" x14ac:dyDescent="0.25">
      <c r="A12198" s="243"/>
      <c r="B12198" s="243"/>
      <c r="C12198" s="504"/>
      <c r="D12198" s="243"/>
      <c r="E12198" s="243"/>
      <c r="F12198" s="243"/>
      <c r="G12198" s="81"/>
      <c r="H12198" s="81"/>
      <c r="I12198" s="81"/>
      <c r="J12198" s="81"/>
      <c r="K12198" s="81"/>
      <c r="L12198" s="81"/>
      <c r="M12198" s="81"/>
      <c r="N12198" s="81"/>
    </row>
    <row r="12199" spans="1:14" ht="14.25" customHeight="1" x14ac:dyDescent="0.25">
      <c r="A12199" s="243"/>
      <c r="B12199" s="243"/>
      <c r="C12199" s="504"/>
      <c r="D12199" s="243"/>
      <c r="E12199" s="243"/>
      <c r="F12199" s="243"/>
      <c r="G12199" s="81"/>
      <c r="H12199" s="81"/>
      <c r="I12199" s="81"/>
      <c r="J12199" s="81"/>
      <c r="K12199" s="81"/>
      <c r="L12199" s="81"/>
      <c r="M12199" s="81"/>
      <c r="N12199" s="81"/>
    </row>
    <row r="12200" spans="1:14" ht="14.25" customHeight="1" x14ac:dyDescent="0.25">
      <c r="A12200" s="243"/>
      <c r="B12200" s="243"/>
      <c r="C12200" s="504"/>
      <c r="D12200" s="243"/>
      <c r="E12200" s="243"/>
      <c r="F12200" s="243"/>
      <c r="G12200" s="81"/>
      <c r="H12200" s="81"/>
      <c r="I12200" s="81"/>
      <c r="J12200" s="81"/>
      <c r="K12200" s="81"/>
      <c r="L12200" s="81"/>
      <c r="M12200" s="81"/>
      <c r="N12200" s="81"/>
    </row>
    <row r="12201" spans="1:14" ht="14.25" customHeight="1" x14ac:dyDescent="0.25">
      <c r="A12201" s="243"/>
      <c r="B12201" s="243"/>
      <c r="C12201" s="504"/>
      <c r="D12201" s="243"/>
      <c r="E12201" s="243"/>
      <c r="F12201" s="243"/>
      <c r="G12201" s="81"/>
      <c r="H12201" s="81"/>
      <c r="I12201" s="81"/>
      <c r="J12201" s="81"/>
      <c r="K12201" s="81"/>
      <c r="L12201" s="81"/>
      <c r="M12201" s="81"/>
      <c r="N12201" s="81"/>
    </row>
    <row r="12202" spans="1:14" ht="14.25" customHeight="1" x14ac:dyDescent="0.25">
      <c r="A12202" s="243"/>
      <c r="B12202" s="243"/>
      <c r="C12202" s="504"/>
      <c r="D12202" s="243"/>
      <c r="E12202" s="243"/>
      <c r="F12202" s="243"/>
      <c r="G12202" s="81"/>
      <c r="H12202" s="81"/>
      <c r="I12202" s="81"/>
      <c r="J12202" s="81"/>
      <c r="K12202" s="81"/>
      <c r="L12202" s="81"/>
      <c r="M12202" s="81"/>
      <c r="N12202" s="81"/>
    </row>
    <row r="12203" spans="1:14" ht="14.25" customHeight="1" x14ac:dyDescent="0.25">
      <c r="A12203" s="243"/>
      <c r="B12203" s="243"/>
      <c r="C12203" s="504"/>
      <c r="D12203" s="243"/>
      <c r="E12203" s="243"/>
      <c r="F12203" s="243"/>
      <c r="G12203" s="81"/>
      <c r="H12203" s="81"/>
      <c r="I12203" s="81"/>
      <c r="J12203" s="81"/>
      <c r="K12203" s="81"/>
      <c r="L12203" s="81"/>
      <c r="M12203" s="81"/>
      <c r="N12203" s="81"/>
    </row>
    <row r="12204" spans="1:14" ht="14.25" customHeight="1" thickBot="1" x14ac:dyDescent="0.3">
      <c r="A12204" s="243"/>
      <c r="B12204" s="243"/>
      <c r="C12204" s="504"/>
      <c r="D12204" s="243"/>
      <c r="E12204" s="243"/>
      <c r="F12204" s="243"/>
      <c r="G12204" s="81"/>
      <c r="H12204" s="81"/>
      <c r="I12204" s="81"/>
      <c r="J12204" s="81"/>
      <c r="K12204" s="81"/>
      <c r="L12204" s="81"/>
      <c r="M12204" s="81"/>
      <c r="N12204" s="81"/>
    </row>
    <row r="12205" spans="1:14" ht="14.25" customHeight="1" x14ac:dyDescent="0.25">
      <c r="A12205" s="258"/>
      <c r="B12205" s="259"/>
      <c r="C12205" s="260"/>
      <c r="D12205" s="261"/>
      <c r="E12205" s="261"/>
      <c r="F12205" s="262"/>
      <c r="G12205" s="81"/>
      <c r="H12205" s="81"/>
      <c r="I12205" s="81"/>
      <c r="J12205" s="81"/>
      <c r="K12205" s="81"/>
      <c r="L12205" s="81"/>
      <c r="M12205" s="81"/>
      <c r="N12205" s="81"/>
    </row>
    <row r="12206" spans="1:14" ht="14.25" customHeight="1" x14ac:dyDescent="0.25">
      <c r="A12206" s="621"/>
      <c r="B12206" s="629"/>
      <c r="C12206" s="629"/>
      <c r="D12206" s="629"/>
      <c r="E12206" s="629"/>
      <c r="F12206" s="630"/>
      <c r="G12206" s="81"/>
      <c r="H12206" s="81"/>
      <c r="I12206" s="81"/>
      <c r="J12206" s="81"/>
      <c r="K12206" s="81"/>
      <c r="L12206" s="81"/>
      <c r="M12206" s="81"/>
      <c r="N12206" s="81"/>
    </row>
    <row r="12207" spans="1:14" ht="14.25" customHeight="1" x14ac:dyDescent="0.25">
      <c r="A12207" s="614" t="s">
        <v>561</v>
      </c>
      <c r="B12207" s="629"/>
      <c r="C12207" s="629"/>
      <c r="D12207" s="629"/>
      <c r="E12207" s="629"/>
      <c r="F12207" s="630"/>
      <c r="G12207" s="81"/>
      <c r="H12207" s="81"/>
      <c r="I12207" s="81"/>
      <c r="J12207" s="81"/>
      <c r="K12207" s="81"/>
      <c r="L12207" s="81"/>
      <c r="M12207" s="81"/>
      <c r="N12207" s="81"/>
    </row>
    <row r="12208" spans="1:14" ht="14.25" customHeight="1" thickBot="1" x14ac:dyDescent="0.3">
      <c r="A12208" s="617"/>
      <c r="B12208" s="631"/>
      <c r="C12208" s="631"/>
      <c r="D12208" s="631"/>
      <c r="E12208" s="631"/>
      <c r="F12208" s="632"/>
      <c r="G12208" s="81"/>
      <c r="H12208" s="81"/>
      <c r="I12208" s="81"/>
      <c r="J12208" s="81"/>
      <c r="K12208" s="81"/>
      <c r="L12208" s="81"/>
      <c r="M12208" s="81"/>
      <c r="N12208" s="81"/>
    </row>
    <row r="12209" spans="1:14" ht="14.25" customHeight="1" x14ac:dyDescent="0.25">
      <c r="A12209" s="192"/>
      <c r="B12209" s="192"/>
      <c r="C12209" s="194"/>
      <c r="D12209" s="194"/>
      <c r="E12209" s="194"/>
      <c r="F12209" s="194"/>
      <c r="G12209" s="81"/>
      <c r="H12209" s="81"/>
      <c r="I12209" s="81"/>
      <c r="J12209" s="81"/>
      <c r="K12209" s="81"/>
      <c r="L12209" s="81"/>
      <c r="M12209" s="81"/>
      <c r="N12209" s="81"/>
    </row>
    <row r="12210" spans="1:14" ht="14.25" customHeight="1" x14ac:dyDescent="0.25">
      <c r="A12210" s="473" t="s">
        <v>47</v>
      </c>
      <c r="B12210" s="620" t="s">
        <v>1205</v>
      </c>
      <c r="C12210" s="629"/>
      <c r="D12210" s="629"/>
      <c r="E12210" s="629"/>
      <c r="F12210" s="629"/>
      <c r="G12210" s="81"/>
      <c r="H12210" s="81"/>
      <c r="I12210" s="81"/>
      <c r="J12210" s="81"/>
      <c r="K12210" s="81"/>
      <c r="L12210" s="81"/>
      <c r="M12210" s="81"/>
      <c r="N12210" s="81"/>
    </row>
    <row r="12211" spans="1:14" ht="14.25" customHeight="1" x14ac:dyDescent="0.25">
      <c r="A12211" s="191"/>
      <c r="B12211" s="191"/>
      <c r="C12211" s="191"/>
      <c r="D12211" s="191"/>
      <c r="E12211" s="191"/>
      <c r="F12211" s="191"/>
      <c r="G12211" s="81"/>
      <c r="H12211" s="81"/>
      <c r="I12211" s="81"/>
      <c r="J12211" s="81"/>
      <c r="K12211" s="81"/>
      <c r="L12211" s="81"/>
      <c r="M12211" s="81"/>
      <c r="N12211" s="81"/>
    </row>
    <row r="12212" spans="1:14" ht="14.25" customHeight="1" x14ac:dyDescent="0.25">
      <c r="A12212" s="192" t="s">
        <v>49</v>
      </c>
      <c r="B12212" s="193" t="s">
        <v>99</v>
      </c>
      <c r="C12212" s="194"/>
      <c r="D12212" s="194"/>
      <c r="E12212" s="194"/>
      <c r="F12212" s="195"/>
      <c r="G12212" s="81"/>
      <c r="H12212" s="81"/>
      <c r="I12212" s="81"/>
      <c r="J12212" s="81"/>
      <c r="K12212" s="81"/>
      <c r="L12212" s="81"/>
      <c r="M12212" s="81"/>
      <c r="N12212" s="81"/>
    </row>
    <row r="12213" spans="1:14" ht="14.25" customHeight="1" x14ac:dyDescent="0.25">
      <c r="A12213" s="192"/>
      <c r="B12213" s="196"/>
      <c r="C12213" s="194"/>
      <c r="D12213" s="194"/>
      <c r="E12213" s="194"/>
      <c r="F12213" s="195"/>
      <c r="G12213" s="81"/>
      <c r="H12213" s="81"/>
      <c r="I12213" s="81"/>
      <c r="J12213" s="81"/>
      <c r="K12213" s="81"/>
      <c r="L12213" s="81"/>
      <c r="M12213" s="81"/>
      <c r="N12213" s="81"/>
    </row>
    <row r="12214" spans="1:14" ht="14.25" customHeight="1" x14ac:dyDescent="0.25">
      <c r="A12214" s="197" t="s">
        <v>562</v>
      </c>
      <c r="B12214" s="198"/>
      <c r="C12214" s="193"/>
      <c r="D12214" s="193"/>
      <c r="E12214" s="193"/>
      <c r="F12214" s="193"/>
      <c r="G12214" s="81"/>
      <c r="H12214" s="81"/>
      <c r="I12214" s="81"/>
      <c r="J12214" s="81"/>
      <c r="K12214" s="81"/>
      <c r="L12214" s="81"/>
      <c r="M12214" s="81"/>
      <c r="N12214" s="81"/>
    </row>
    <row r="12215" spans="1:14" ht="14.25" customHeight="1" x14ac:dyDescent="0.25">
      <c r="A12215" s="199" t="s">
        <v>563</v>
      </c>
      <c r="B12215" s="474" t="s">
        <v>564</v>
      </c>
      <c r="C12215" s="474" t="s">
        <v>565</v>
      </c>
      <c r="D12215" s="474" t="s">
        <v>566</v>
      </c>
      <c r="E12215" s="474" t="s">
        <v>567</v>
      </c>
      <c r="F12215" s="474" t="s">
        <v>568</v>
      </c>
      <c r="G12215" s="81"/>
      <c r="H12215" s="81"/>
      <c r="I12215" s="81"/>
      <c r="J12215" s="81"/>
      <c r="K12215" s="81"/>
      <c r="L12215" s="81"/>
      <c r="M12215" s="81"/>
      <c r="N12215" s="81"/>
    </row>
    <row r="12216" spans="1:14" ht="14.25" customHeight="1" x14ac:dyDescent="0.25">
      <c r="A12216" s="475" t="s">
        <v>1205</v>
      </c>
      <c r="B12216" s="476" t="s">
        <v>99</v>
      </c>
      <c r="C12216" s="477">
        <v>5447577</v>
      </c>
      <c r="D12216" s="478">
        <v>1</v>
      </c>
      <c r="E12216" s="479"/>
      <c r="F12216" s="477">
        <f t="shared" ref="F12216:F12218" si="600">C12216*(D12216+(D12216*E12216))</f>
        <v>5447577</v>
      </c>
      <c r="G12216" s="81"/>
      <c r="H12216" s="81"/>
      <c r="I12216" s="81"/>
      <c r="J12216" s="81"/>
      <c r="K12216" s="81"/>
      <c r="L12216" s="81"/>
      <c r="M12216" s="81"/>
      <c r="N12216" s="81"/>
    </row>
    <row r="12217" spans="1:14" ht="14.25" customHeight="1" x14ac:dyDescent="0.25">
      <c r="A12217" s="475"/>
      <c r="B12217" s="476"/>
      <c r="C12217" s="477"/>
      <c r="D12217" s="481"/>
      <c r="E12217" s="479"/>
      <c r="F12217" s="477">
        <f t="shared" si="600"/>
        <v>0</v>
      </c>
      <c r="G12217" s="81"/>
      <c r="H12217" s="81"/>
      <c r="I12217" s="81"/>
      <c r="J12217" s="81"/>
      <c r="K12217" s="81"/>
      <c r="L12217" s="81"/>
      <c r="M12217" s="81"/>
      <c r="N12217" s="81"/>
    </row>
    <row r="12218" spans="1:14" ht="14.25" customHeight="1" x14ac:dyDescent="0.25">
      <c r="A12218" s="475"/>
      <c r="B12218" s="476"/>
      <c r="C12218" s="477"/>
      <c r="D12218" s="481"/>
      <c r="E12218" s="479"/>
      <c r="F12218" s="477">
        <f t="shared" si="600"/>
        <v>0</v>
      </c>
      <c r="G12218" s="81"/>
      <c r="H12218" s="81"/>
      <c r="I12218" s="81"/>
      <c r="J12218" s="81"/>
      <c r="K12218" s="81"/>
      <c r="L12218" s="81"/>
      <c r="M12218" s="81"/>
      <c r="N12218" s="81"/>
    </row>
    <row r="12219" spans="1:14" ht="14.25" customHeight="1" x14ac:dyDescent="0.25">
      <c r="A12219" s="475"/>
      <c r="B12219" s="476"/>
      <c r="C12219" s="477"/>
      <c r="D12219" s="478"/>
      <c r="E12219" s="479"/>
      <c r="F12219" s="477"/>
      <c r="G12219" s="81"/>
      <c r="H12219" s="81"/>
      <c r="I12219" s="81"/>
      <c r="J12219" s="81"/>
      <c r="K12219" s="81"/>
      <c r="L12219" s="81"/>
      <c r="M12219" s="81"/>
      <c r="N12219" s="81"/>
    </row>
    <row r="12220" spans="1:14" ht="14.25" customHeight="1" x14ac:dyDescent="0.25">
      <c r="A12220" s="475"/>
      <c r="B12220" s="476"/>
      <c r="C12220" s="477"/>
      <c r="D12220" s="478"/>
      <c r="E12220" s="479"/>
      <c r="F12220" s="477"/>
      <c r="G12220" s="81"/>
      <c r="H12220" s="81"/>
      <c r="I12220" s="81"/>
      <c r="J12220" s="81"/>
      <c r="K12220" s="81"/>
      <c r="L12220" s="81"/>
      <c r="M12220" s="81"/>
      <c r="N12220" s="81"/>
    </row>
    <row r="12221" spans="1:14" ht="14.25" customHeight="1" x14ac:dyDescent="0.25">
      <c r="A12221" s="475"/>
      <c r="B12221" s="476"/>
      <c r="C12221" s="477"/>
      <c r="D12221" s="478"/>
      <c r="E12221" s="479"/>
      <c r="F12221" s="477"/>
      <c r="G12221" s="81"/>
      <c r="H12221" s="81"/>
      <c r="I12221" s="81"/>
      <c r="J12221" s="81"/>
      <c r="K12221" s="81"/>
      <c r="L12221" s="81"/>
      <c r="M12221" s="81"/>
      <c r="N12221" s="81"/>
    </row>
    <row r="12222" spans="1:14" ht="14.25" customHeight="1" x14ac:dyDescent="0.25">
      <c r="A12222" s="475"/>
      <c r="B12222" s="476"/>
      <c r="C12222" s="483"/>
      <c r="D12222" s="484"/>
      <c r="E12222" s="485"/>
      <c r="F12222" s="483"/>
      <c r="G12222" s="81"/>
      <c r="H12222" s="81"/>
      <c r="I12222" s="81"/>
      <c r="J12222" s="81"/>
      <c r="K12222" s="81"/>
      <c r="L12222" s="81"/>
      <c r="M12222" s="81"/>
      <c r="N12222" s="81"/>
    </row>
    <row r="12223" spans="1:14" ht="14.25" customHeight="1" x14ac:dyDescent="0.25">
      <c r="A12223" s="199" t="s">
        <v>548</v>
      </c>
      <c r="B12223" s="199"/>
      <c r="C12223" s="486"/>
      <c r="D12223" s="487"/>
      <c r="E12223" s="488"/>
      <c r="F12223" s="489">
        <f>SUM(F12216:F12222)</f>
        <v>5447577</v>
      </c>
      <c r="G12223" s="81"/>
      <c r="H12223" s="81"/>
      <c r="I12223" s="81"/>
      <c r="J12223" s="81"/>
      <c r="K12223" s="81"/>
      <c r="L12223" s="81"/>
      <c r="M12223" s="81"/>
      <c r="N12223" s="81"/>
    </row>
    <row r="12224" spans="1:14" ht="14.25" customHeight="1" x14ac:dyDescent="0.25">
      <c r="A12224" s="192"/>
      <c r="B12224" s="192"/>
      <c r="C12224" s="215"/>
      <c r="D12224" s="215"/>
      <c r="E12224" s="216"/>
      <c r="F12224" s="215"/>
      <c r="G12224" s="81"/>
      <c r="H12224" s="117"/>
      <c r="I12224" s="81"/>
      <c r="J12224" s="81"/>
      <c r="K12224" s="81"/>
      <c r="L12224" s="81"/>
      <c r="M12224" s="81"/>
      <c r="N12224" s="81"/>
    </row>
    <row r="12225" spans="1:14" ht="14.25" customHeight="1" x14ac:dyDescent="0.25">
      <c r="A12225" s="198" t="s">
        <v>573</v>
      </c>
      <c r="B12225" s="198"/>
      <c r="C12225" s="193"/>
      <c r="D12225" s="193"/>
      <c r="E12225" s="193"/>
      <c r="F12225" s="193"/>
      <c r="G12225" s="81"/>
      <c r="H12225" s="81"/>
      <c r="I12225" s="81"/>
      <c r="J12225" s="81"/>
      <c r="K12225" s="81"/>
      <c r="L12225" s="81"/>
      <c r="M12225" s="81"/>
      <c r="N12225" s="81"/>
    </row>
    <row r="12226" spans="1:14" ht="14.25" customHeight="1" x14ac:dyDescent="0.25">
      <c r="A12226" s="585" t="s">
        <v>563</v>
      </c>
      <c r="B12226" s="586"/>
      <c r="C12226" s="587"/>
      <c r="D12226" s="474" t="s">
        <v>574</v>
      </c>
      <c r="E12226" s="474" t="s">
        <v>575</v>
      </c>
      <c r="F12226" s="474" t="s">
        <v>568</v>
      </c>
      <c r="G12226" s="81"/>
      <c r="H12226" s="81"/>
      <c r="I12226" s="81"/>
      <c r="J12226" s="81"/>
      <c r="K12226" s="81"/>
      <c r="L12226" s="81"/>
      <c r="M12226" s="81"/>
      <c r="N12226" s="81"/>
    </row>
    <row r="12227" spans="1:14" ht="14.25" customHeight="1" x14ac:dyDescent="0.25">
      <c r="A12227" s="588" t="s">
        <v>577</v>
      </c>
      <c r="B12227" s="586"/>
      <c r="C12227" s="587"/>
      <c r="D12227" s="490"/>
      <c r="E12227" s="484"/>
      <c r="F12227" s="483">
        <f>+F12241*5%</f>
        <v>39843.154999999999</v>
      </c>
      <c r="G12227" s="81"/>
      <c r="H12227" s="143"/>
      <c r="I12227" s="81"/>
      <c r="J12227" s="81"/>
      <c r="K12227" s="81"/>
      <c r="L12227" s="81"/>
      <c r="M12227" s="81"/>
      <c r="N12227" s="81"/>
    </row>
    <row r="12228" spans="1:14" ht="14.25" customHeight="1" x14ac:dyDescent="0.25">
      <c r="A12228" s="588"/>
      <c r="B12228" s="586"/>
      <c r="C12228" s="587"/>
      <c r="D12228" s="505"/>
      <c r="E12228" s="484"/>
      <c r="F12228" s="483"/>
      <c r="G12228" s="81"/>
      <c r="H12228" s="81"/>
      <c r="I12228" s="81"/>
      <c r="J12228" s="81"/>
      <c r="K12228" s="81"/>
      <c r="L12228" s="81"/>
      <c r="M12228" s="81"/>
      <c r="N12228" s="81"/>
    </row>
    <row r="12229" spans="1:14" ht="14.25" customHeight="1" x14ac:dyDescent="0.25">
      <c r="A12229" s="588"/>
      <c r="B12229" s="586"/>
      <c r="C12229" s="587"/>
      <c r="D12229" s="505"/>
      <c r="E12229" s="484"/>
      <c r="F12229" s="483"/>
      <c r="G12229" s="81"/>
      <c r="H12229" s="81"/>
      <c r="I12229" s="81"/>
      <c r="J12229" s="81"/>
      <c r="K12229" s="81"/>
      <c r="L12229" s="81"/>
      <c r="M12229" s="81"/>
      <c r="N12229" s="81"/>
    </row>
    <row r="12230" spans="1:14" ht="14.25" customHeight="1" x14ac:dyDescent="0.25">
      <c r="A12230" s="588"/>
      <c r="B12230" s="586"/>
      <c r="C12230" s="587"/>
      <c r="D12230" s="505"/>
      <c r="E12230" s="484"/>
      <c r="F12230" s="483"/>
      <c r="G12230" s="81"/>
      <c r="H12230" s="81"/>
      <c r="I12230" s="81"/>
      <c r="J12230" s="81"/>
      <c r="K12230" s="81"/>
      <c r="L12230" s="81"/>
      <c r="M12230" s="81"/>
      <c r="N12230" s="81"/>
    </row>
    <row r="12231" spans="1:14" ht="14.25" customHeight="1" x14ac:dyDescent="0.25">
      <c r="A12231" s="589"/>
      <c r="B12231" s="586"/>
      <c r="C12231" s="587"/>
      <c r="D12231" s="491"/>
      <c r="E12231" s="484"/>
      <c r="F12231" s="483"/>
      <c r="G12231" s="81"/>
      <c r="H12231" s="81"/>
      <c r="I12231" s="81"/>
      <c r="J12231" s="81"/>
      <c r="K12231" s="81"/>
      <c r="L12231" s="81"/>
      <c r="M12231" s="81"/>
      <c r="N12231" s="81"/>
    </row>
    <row r="12232" spans="1:14" ht="14.25" customHeight="1" x14ac:dyDescent="0.25">
      <c r="A12232" s="585" t="s">
        <v>548</v>
      </c>
      <c r="B12232" s="586"/>
      <c r="C12232" s="587"/>
      <c r="D12232" s="487"/>
      <c r="E12232" s="487"/>
      <c r="F12232" s="489">
        <f>SUM(F12227:F12231)</f>
        <v>39843.154999999999</v>
      </c>
      <c r="G12232" s="81"/>
      <c r="H12232" s="81"/>
      <c r="I12232" s="81"/>
      <c r="J12232" s="81"/>
      <c r="K12232" s="81"/>
      <c r="L12232" s="81"/>
      <c r="M12232" s="81"/>
      <c r="N12232" s="81"/>
    </row>
    <row r="12233" spans="1:14" ht="14.25" customHeight="1" x14ac:dyDescent="0.25">
      <c r="A12233" s="192"/>
      <c r="B12233" s="192"/>
      <c r="C12233" s="194"/>
      <c r="D12233" s="215"/>
      <c r="E12233" s="215"/>
      <c r="F12233" s="215"/>
      <c r="G12233" s="81"/>
      <c r="H12233" s="81"/>
      <c r="I12233" s="81"/>
      <c r="J12233" s="81"/>
      <c r="K12233" s="81"/>
      <c r="L12233" s="81"/>
      <c r="M12233" s="81"/>
      <c r="N12233" s="81"/>
    </row>
    <row r="12234" spans="1:14" ht="14.25" customHeight="1" x14ac:dyDescent="0.25">
      <c r="A12234" s="198" t="s">
        <v>578</v>
      </c>
      <c r="B12234" s="198"/>
      <c r="C12234" s="193"/>
      <c r="D12234" s="223"/>
      <c r="E12234" s="223"/>
      <c r="F12234" s="223"/>
      <c r="G12234" s="81"/>
      <c r="H12234" s="81"/>
      <c r="I12234" s="81"/>
      <c r="J12234" s="81"/>
      <c r="K12234" s="81"/>
      <c r="L12234" s="81"/>
      <c r="M12234" s="81"/>
      <c r="N12234" s="81"/>
    </row>
    <row r="12235" spans="1:14" ht="14.25" customHeight="1" x14ac:dyDescent="0.25">
      <c r="A12235" s="224" t="s">
        <v>563</v>
      </c>
      <c r="B12235" s="492" t="s">
        <v>579</v>
      </c>
      <c r="C12235" s="492" t="s">
        <v>580</v>
      </c>
      <c r="D12235" s="493" t="s">
        <v>581</v>
      </c>
      <c r="E12235" s="493" t="s">
        <v>575</v>
      </c>
      <c r="F12235" s="493" t="s">
        <v>568</v>
      </c>
      <c r="G12235" s="81"/>
      <c r="H12235" s="81"/>
      <c r="I12235" s="81"/>
      <c r="J12235" s="81"/>
      <c r="K12235" s="81"/>
      <c r="L12235" s="81"/>
      <c r="M12235" s="81"/>
      <c r="N12235" s="81"/>
    </row>
    <row r="12236" spans="1:14" ht="14.25" customHeight="1" x14ac:dyDescent="0.25">
      <c r="A12236" s="494" t="s">
        <v>916</v>
      </c>
      <c r="B12236" s="495">
        <v>1</v>
      </c>
      <c r="C12236" s="477">
        <v>35956.800000000003</v>
      </c>
      <c r="D12236" s="477">
        <f t="shared" ref="D12236:D12237" si="601">+C12236*1.7</f>
        <v>61126.560000000005</v>
      </c>
      <c r="E12236" s="484">
        <v>0.2</v>
      </c>
      <c r="F12236" s="483">
        <f t="shared" ref="F12236:F12237" si="602">+B12236*(D12236)/E12236</f>
        <v>305632.8</v>
      </c>
      <c r="G12236" s="81"/>
      <c r="H12236" s="81"/>
      <c r="I12236" s="81"/>
      <c r="J12236" s="81"/>
      <c r="K12236" s="81"/>
      <c r="L12236" s="81"/>
      <c r="M12236" s="81"/>
      <c r="N12236" s="81"/>
    </row>
    <row r="12237" spans="1:14" ht="14.25" customHeight="1" x14ac:dyDescent="0.25">
      <c r="A12237" s="494" t="s">
        <v>917</v>
      </c>
      <c r="B12237" s="495">
        <v>1</v>
      </c>
      <c r="C12237" s="477">
        <v>57791.8</v>
      </c>
      <c r="D12237" s="477">
        <f t="shared" si="601"/>
        <v>98246.06</v>
      </c>
      <c r="E12237" s="484">
        <f>E12236</f>
        <v>0.2</v>
      </c>
      <c r="F12237" s="483">
        <f t="shared" si="602"/>
        <v>491230.3</v>
      </c>
      <c r="G12237" s="81"/>
      <c r="H12237" s="81"/>
      <c r="I12237" s="81"/>
      <c r="J12237" s="81"/>
      <c r="K12237" s="81"/>
      <c r="L12237" s="81"/>
      <c r="M12237" s="81"/>
      <c r="N12237" s="81"/>
    </row>
    <row r="12238" spans="1:14" ht="14.25" customHeight="1" x14ac:dyDescent="0.25">
      <c r="A12238" s="494"/>
      <c r="B12238" s="495"/>
      <c r="C12238" s="477"/>
      <c r="D12238" s="477"/>
      <c r="E12238" s="484"/>
      <c r="F12238" s="483"/>
      <c r="G12238" s="81"/>
      <c r="H12238" s="81"/>
      <c r="I12238" s="81"/>
      <c r="J12238" s="81"/>
      <c r="K12238" s="81"/>
      <c r="L12238" s="81"/>
      <c r="M12238" s="81"/>
      <c r="N12238" s="81"/>
    </row>
    <row r="12239" spans="1:14" ht="14.25" customHeight="1" x14ac:dyDescent="0.25">
      <c r="A12239" s="494"/>
      <c r="B12239" s="495"/>
      <c r="C12239" s="477"/>
      <c r="D12239" s="477"/>
      <c r="E12239" s="484"/>
      <c r="F12239" s="483"/>
      <c r="G12239" s="81"/>
      <c r="H12239" s="81"/>
      <c r="I12239" s="81"/>
      <c r="J12239" s="81"/>
      <c r="K12239" s="81"/>
      <c r="L12239" s="81"/>
      <c r="M12239" s="81"/>
      <c r="N12239" s="81"/>
    </row>
    <row r="12240" spans="1:14" ht="14.25" customHeight="1" x14ac:dyDescent="0.25">
      <c r="A12240" s="494"/>
      <c r="B12240" s="495"/>
      <c r="C12240" s="477"/>
      <c r="D12240" s="477"/>
      <c r="E12240" s="484"/>
      <c r="F12240" s="483"/>
      <c r="G12240" s="81"/>
      <c r="H12240" s="81"/>
      <c r="I12240" s="81"/>
      <c r="J12240" s="81"/>
      <c r="K12240" s="81"/>
      <c r="L12240" s="81"/>
      <c r="M12240" s="81"/>
      <c r="N12240" s="81"/>
    </row>
    <row r="12241" spans="1:14" ht="59.1" customHeight="1" x14ac:dyDescent="0.25">
      <c r="A12241" s="199" t="s">
        <v>548</v>
      </c>
      <c r="B12241" s="497"/>
      <c r="C12241" s="487"/>
      <c r="D12241" s="487"/>
      <c r="E12241" s="487"/>
      <c r="F12241" s="489">
        <f>SUM(F12236:F12239)</f>
        <v>796863.1</v>
      </c>
      <c r="G12241" s="81"/>
      <c r="H12241" s="81"/>
      <c r="I12241" s="81"/>
      <c r="J12241" s="81"/>
      <c r="K12241" s="81"/>
      <c r="L12241" s="81"/>
      <c r="M12241" s="81"/>
      <c r="N12241" s="81"/>
    </row>
    <row r="12242" spans="1:14" ht="14.25" customHeight="1" x14ac:dyDescent="0.25">
      <c r="A12242" s="198"/>
      <c r="B12242" s="231"/>
      <c r="C12242" s="223"/>
      <c r="D12242" s="223"/>
      <c r="E12242" s="223"/>
      <c r="F12242" s="223"/>
      <c r="G12242" s="81"/>
      <c r="H12242" s="81"/>
      <c r="I12242" s="81"/>
      <c r="J12242" s="81"/>
      <c r="K12242" s="81"/>
      <c r="L12242" s="81"/>
      <c r="M12242" s="81"/>
      <c r="N12242" s="81"/>
    </row>
    <row r="12243" spans="1:14" ht="14.25" customHeight="1" x14ac:dyDescent="0.25">
      <c r="A12243" s="197" t="s">
        <v>583</v>
      </c>
      <c r="B12243" s="198"/>
      <c r="C12243" s="193"/>
      <c r="D12243" s="193"/>
      <c r="E12243" s="193" t="s">
        <v>584</v>
      </c>
      <c r="F12243" s="193"/>
      <c r="G12243" s="81"/>
      <c r="H12243" s="81"/>
      <c r="I12243" s="81"/>
      <c r="J12243" s="81"/>
      <c r="K12243" s="81"/>
      <c r="L12243" s="81"/>
      <c r="M12243" s="81"/>
      <c r="N12243" s="81"/>
    </row>
    <row r="12244" spans="1:14" ht="14.25" customHeight="1" x14ac:dyDescent="0.25">
      <c r="A12244" s="199" t="s">
        <v>563</v>
      </c>
      <c r="B12244" s="474" t="s">
        <v>564</v>
      </c>
      <c r="C12244" s="474" t="s">
        <v>585</v>
      </c>
      <c r="D12244" s="474" t="s">
        <v>586</v>
      </c>
      <c r="E12244" s="492" t="s">
        <v>587</v>
      </c>
      <c r="F12244" s="474" t="s">
        <v>568</v>
      </c>
      <c r="G12244" s="81"/>
      <c r="H12244" s="81"/>
      <c r="I12244" s="81"/>
      <c r="J12244" s="81"/>
      <c r="K12244" s="81"/>
      <c r="L12244" s="81"/>
      <c r="M12244" s="81"/>
      <c r="N12244" s="81"/>
    </row>
    <row r="12245" spans="1:14" ht="14.25" customHeight="1" x14ac:dyDescent="0.25">
      <c r="A12245" s="480"/>
      <c r="B12245" s="476"/>
      <c r="C12245" s="477"/>
      <c r="D12245" s="498"/>
      <c r="E12245" s="484"/>
      <c r="F12245" s="486">
        <f>+C12245*D12245*E12245</f>
        <v>0</v>
      </c>
      <c r="G12245" s="81"/>
      <c r="H12245" s="81"/>
      <c r="I12245" s="81"/>
      <c r="J12245" s="81"/>
      <c r="K12245" s="81"/>
      <c r="L12245" s="81"/>
      <c r="M12245" s="81"/>
      <c r="N12245" s="81"/>
    </row>
    <row r="12246" spans="1:14" ht="14.25" customHeight="1" x14ac:dyDescent="0.25">
      <c r="A12246" s="480"/>
      <c r="B12246" s="476"/>
      <c r="C12246" s="484"/>
      <c r="D12246" s="484"/>
      <c r="E12246" s="485"/>
      <c r="F12246" s="486"/>
      <c r="G12246" s="81"/>
      <c r="H12246" s="81"/>
      <c r="I12246" s="81"/>
      <c r="J12246" s="81"/>
      <c r="K12246" s="81"/>
      <c r="L12246" s="81"/>
      <c r="M12246" s="81"/>
      <c r="N12246" s="81"/>
    </row>
    <row r="12247" spans="1:14" s="168" customFormat="1" ht="15.75" x14ac:dyDescent="0.25">
      <c r="A12247" s="199" t="s">
        <v>548</v>
      </c>
      <c r="B12247" s="474"/>
      <c r="C12247" s="487"/>
      <c r="D12247" s="487"/>
      <c r="E12247" s="488"/>
      <c r="F12247" s="489">
        <f>SUM(F12245:F12246)</f>
        <v>0</v>
      </c>
      <c r="G12247" s="243"/>
      <c r="H12247" s="243"/>
      <c r="I12247" s="243"/>
      <c r="J12247" s="243"/>
      <c r="K12247" s="243"/>
      <c r="L12247" s="243"/>
      <c r="M12247" s="243"/>
      <c r="N12247" s="243"/>
    </row>
    <row r="12248" spans="1:14" ht="14.25" customHeight="1" x14ac:dyDescent="0.25">
      <c r="A12248" s="192"/>
      <c r="B12248" s="194"/>
      <c r="C12248" s="215"/>
      <c r="D12248" s="215"/>
      <c r="E12248" s="216"/>
      <c r="F12248" s="215"/>
      <c r="G12248" s="81"/>
      <c r="H12248" s="81"/>
      <c r="I12248" s="81"/>
      <c r="J12248" s="81"/>
      <c r="K12248" s="81"/>
      <c r="L12248" s="81"/>
      <c r="M12248" s="81"/>
      <c r="N12248" s="81"/>
    </row>
    <row r="12249" spans="1:14" ht="14.25" customHeight="1" x14ac:dyDescent="0.25">
      <c r="A12249" s="192"/>
      <c r="B12249" s="194"/>
      <c r="C12249" s="215"/>
      <c r="D12249" s="215"/>
      <c r="E12249" s="216"/>
      <c r="F12249" s="215"/>
      <c r="G12249" s="81"/>
      <c r="H12249" s="81"/>
      <c r="I12249" s="81"/>
      <c r="J12249" s="81"/>
      <c r="K12249" s="81"/>
      <c r="L12249" s="81"/>
      <c r="M12249" s="81"/>
      <c r="N12249" s="81"/>
    </row>
    <row r="12250" spans="1:14" ht="14.25" customHeight="1" x14ac:dyDescent="0.25">
      <c r="A12250" s="590" t="s">
        <v>588</v>
      </c>
      <c r="B12250" s="586"/>
      <c r="C12250" s="586"/>
      <c r="D12250" s="586"/>
      <c r="E12250" s="587"/>
      <c r="F12250" s="499">
        <f>ROUND(F12223+F12232+F12241+F12247,0)</f>
        <v>6284283</v>
      </c>
      <c r="G12250" s="81"/>
      <c r="H12250" s="81"/>
      <c r="I12250" s="81"/>
      <c r="J12250" s="81"/>
      <c r="K12250" s="81"/>
      <c r="L12250" s="81"/>
      <c r="M12250" s="81"/>
      <c r="N12250" s="81"/>
    </row>
    <row r="12251" spans="1:14" ht="14.25" customHeight="1" x14ac:dyDescent="0.25">
      <c r="A12251" s="590" t="s">
        <v>589</v>
      </c>
      <c r="B12251" s="586"/>
      <c r="C12251" s="586"/>
      <c r="D12251" s="586"/>
      <c r="E12251" s="587"/>
      <c r="F12251" s="500"/>
      <c r="G12251" s="81"/>
      <c r="H12251" s="81"/>
      <c r="I12251" s="81"/>
      <c r="J12251" s="81"/>
      <c r="K12251" s="81"/>
      <c r="L12251" s="81"/>
      <c r="M12251" s="81"/>
      <c r="N12251" s="81"/>
    </row>
    <row r="12252" spans="1:14" ht="14.25" customHeight="1" x14ac:dyDescent="0.25">
      <c r="A12252" s="300" t="s">
        <v>556</v>
      </c>
      <c r="B12252" s="506"/>
      <c r="C12252" s="506"/>
      <c r="D12252" s="506"/>
      <c r="E12252" s="507"/>
      <c r="F12252" s="501"/>
      <c r="G12252" s="81"/>
      <c r="H12252" s="81"/>
      <c r="I12252" s="81"/>
      <c r="J12252" s="81"/>
      <c r="K12252" s="81"/>
      <c r="L12252" s="81"/>
      <c r="M12252" s="81"/>
      <c r="N12252" s="81"/>
    </row>
    <row r="12253" spans="1:14" ht="14.25" customHeight="1" x14ac:dyDescent="0.25">
      <c r="A12253" s="301"/>
      <c r="B12253" s="502"/>
      <c r="C12253" s="502"/>
      <c r="D12253" s="502"/>
      <c r="E12253" s="502"/>
      <c r="F12253" s="503"/>
      <c r="G12253" s="81"/>
      <c r="H12253" s="81"/>
      <c r="I12253" s="81"/>
      <c r="J12253" s="81"/>
      <c r="K12253" s="81"/>
      <c r="L12253" s="81"/>
      <c r="M12253" s="81"/>
      <c r="N12253" s="81"/>
    </row>
    <row r="12254" spans="1:14" ht="14.25" customHeight="1" x14ac:dyDescent="0.25">
      <c r="A12254" s="301"/>
      <c r="B12254" s="502"/>
      <c r="C12254" s="502"/>
      <c r="D12254" s="502"/>
      <c r="E12254" s="502"/>
      <c r="F12254" s="503"/>
      <c r="G12254" s="81"/>
      <c r="H12254" s="81"/>
      <c r="I12254" s="81"/>
      <c r="J12254" s="81"/>
      <c r="K12254" s="81"/>
      <c r="L12254" s="81"/>
      <c r="M12254" s="81"/>
      <c r="N12254" s="81"/>
    </row>
    <row r="12255" spans="1:14" ht="14.25" customHeight="1" x14ac:dyDescent="0.25">
      <c r="A12255" s="301"/>
      <c r="B12255" s="502"/>
      <c r="C12255" s="502"/>
      <c r="D12255" s="502"/>
      <c r="E12255" s="502"/>
      <c r="F12255" s="503"/>
      <c r="G12255" s="81"/>
      <c r="H12255" s="81"/>
      <c r="I12255" s="81"/>
      <c r="J12255" s="81"/>
      <c r="K12255" s="81"/>
      <c r="L12255" s="81"/>
      <c r="M12255" s="81"/>
      <c r="N12255" s="81"/>
    </row>
    <row r="12256" spans="1:14" ht="14.25" customHeight="1" x14ac:dyDescent="0.25">
      <c r="A12256" s="243"/>
      <c r="B12256" s="243"/>
      <c r="C12256" s="504"/>
      <c r="D12256" s="243"/>
      <c r="E12256" s="243"/>
      <c r="F12256" s="243"/>
      <c r="G12256" s="81"/>
      <c r="H12256" s="81"/>
      <c r="I12256" s="81"/>
      <c r="J12256" s="81"/>
      <c r="K12256" s="81"/>
      <c r="L12256" s="81"/>
      <c r="M12256" s="81"/>
      <c r="N12256" s="81"/>
    </row>
    <row r="12257" spans="1:14" ht="14.25" customHeight="1" x14ac:dyDescent="0.25">
      <c r="A12257" s="243"/>
      <c r="B12257" s="243"/>
      <c r="C12257" s="504"/>
      <c r="D12257" s="243"/>
      <c r="E12257" s="243"/>
      <c r="F12257" s="243"/>
      <c r="G12257" s="81"/>
      <c r="H12257" s="81"/>
      <c r="I12257" s="81"/>
      <c r="J12257" s="81"/>
      <c r="K12257" s="81"/>
      <c r="L12257" s="81"/>
      <c r="M12257" s="81"/>
      <c r="N12257" s="81"/>
    </row>
    <row r="12258" spans="1:14" ht="14.25" customHeight="1" x14ac:dyDescent="0.25">
      <c r="A12258" s="243"/>
      <c r="B12258" s="243"/>
      <c r="C12258" s="504"/>
      <c r="D12258" s="243"/>
      <c r="E12258" s="243"/>
      <c r="F12258" s="243"/>
      <c r="G12258" s="81"/>
      <c r="H12258" s="81"/>
      <c r="I12258" s="81"/>
      <c r="J12258" s="81"/>
      <c r="K12258" s="81"/>
      <c r="L12258" s="81"/>
      <c r="M12258" s="81"/>
      <c r="N12258" s="81"/>
    </row>
    <row r="12259" spans="1:14" ht="14.25" customHeight="1" x14ac:dyDescent="0.25">
      <c r="A12259" s="243"/>
      <c r="B12259" s="243"/>
      <c r="C12259" s="504"/>
      <c r="D12259" s="243"/>
      <c r="E12259" s="243"/>
      <c r="F12259" s="243"/>
      <c r="G12259" s="81"/>
      <c r="H12259" s="81"/>
      <c r="I12259" s="81"/>
      <c r="J12259" s="81"/>
      <c r="K12259" s="81"/>
      <c r="L12259" s="81"/>
      <c r="M12259" s="81"/>
      <c r="N12259" s="81"/>
    </row>
    <row r="12260" spans="1:14" ht="14.25" customHeight="1" x14ac:dyDescent="0.25">
      <c r="A12260" s="243"/>
      <c r="B12260" s="243"/>
      <c r="C12260" s="504"/>
      <c r="D12260" s="243"/>
      <c r="E12260" s="243"/>
      <c r="F12260" s="243"/>
      <c r="G12260" s="81"/>
      <c r="H12260" s="81"/>
      <c r="I12260" s="81"/>
      <c r="J12260" s="81"/>
      <c r="K12260" s="81"/>
      <c r="L12260" s="81"/>
      <c r="M12260" s="81"/>
      <c r="N12260" s="81"/>
    </row>
    <row r="12261" spans="1:14" ht="14.25" customHeight="1" x14ac:dyDescent="0.25">
      <c r="A12261" s="243"/>
      <c r="B12261" s="243"/>
      <c r="C12261" s="504"/>
      <c r="D12261" s="243"/>
      <c r="E12261" s="243"/>
      <c r="F12261" s="243"/>
      <c r="G12261" s="81"/>
      <c r="H12261" s="81"/>
      <c r="I12261" s="81"/>
      <c r="J12261" s="81"/>
      <c r="K12261" s="81"/>
      <c r="L12261" s="81"/>
      <c r="M12261" s="81"/>
      <c r="N12261" s="81"/>
    </row>
    <row r="12262" spans="1:14" ht="14.25" customHeight="1" x14ac:dyDescent="0.25">
      <c r="A12262" s="243"/>
      <c r="B12262" s="243"/>
      <c r="C12262" s="504"/>
      <c r="D12262" s="243"/>
      <c r="E12262" s="243"/>
      <c r="F12262" s="243"/>
      <c r="G12262" s="81"/>
      <c r="H12262" s="81"/>
      <c r="I12262" s="81"/>
      <c r="J12262" s="81"/>
      <c r="K12262" s="81"/>
      <c r="L12262" s="81"/>
      <c r="M12262" s="81"/>
      <c r="N12262" s="81"/>
    </row>
    <row r="12263" spans="1:14" ht="14.25" customHeight="1" x14ac:dyDescent="0.25">
      <c r="A12263" s="243"/>
      <c r="B12263" s="243"/>
      <c r="C12263" s="504"/>
      <c r="D12263" s="243"/>
      <c r="E12263" s="243"/>
      <c r="F12263" s="243"/>
      <c r="G12263" s="81"/>
      <c r="H12263" s="81"/>
      <c r="I12263" s="81"/>
      <c r="J12263" s="81"/>
      <c r="K12263" s="81"/>
      <c r="L12263" s="81"/>
      <c r="M12263" s="81"/>
      <c r="N12263" s="81"/>
    </row>
    <row r="12264" spans="1:14" ht="14.25" customHeight="1" x14ac:dyDescent="0.25">
      <c r="A12264" s="243"/>
      <c r="B12264" s="243"/>
      <c r="C12264" s="504"/>
      <c r="D12264" s="243"/>
      <c r="E12264" s="243"/>
      <c r="F12264" s="243"/>
      <c r="G12264" s="81"/>
      <c r="H12264" s="81"/>
      <c r="I12264" s="81"/>
      <c r="J12264" s="81"/>
      <c r="K12264" s="81"/>
      <c r="L12264" s="81"/>
      <c r="M12264" s="81"/>
      <c r="N12264" s="81"/>
    </row>
    <row r="12265" spans="1:14" ht="14.25" customHeight="1" x14ac:dyDescent="0.25">
      <c r="A12265" s="243"/>
      <c r="B12265" s="243"/>
      <c r="C12265" s="504"/>
      <c r="D12265" s="243"/>
      <c r="E12265" s="243"/>
      <c r="F12265" s="243"/>
      <c r="G12265" s="81"/>
      <c r="H12265" s="81"/>
      <c r="I12265" s="81"/>
      <c r="J12265" s="81"/>
      <c r="K12265" s="81"/>
      <c r="L12265" s="81"/>
      <c r="M12265" s="81"/>
      <c r="N12265" s="81"/>
    </row>
    <row r="12266" spans="1:14" ht="14.25" customHeight="1" x14ac:dyDescent="0.25">
      <c r="A12266" s="243"/>
      <c r="B12266" s="243"/>
      <c r="C12266" s="504"/>
      <c r="D12266" s="243"/>
      <c r="E12266" s="243"/>
      <c r="F12266" s="243"/>
      <c r="G12266" s="81"/>
      <c r="H12266" s="81"/>
      <c r="I12266" s="81"/>
      <c r="J12266" s="81"/>
      <c r="K12266" s="81"/>
      <c r="L12266" s="81"/>
      <c r="M12266" s="81"/>
      <c r="N12266" s="81"/>
    </row>
    <row r="12267" spans="1:14" ht="14.25" customHeight="1" x14ac:dyDescent="0.25">
      <c r="A12267" s="243"/>
      <c r="B12267" s="243"/>
      <c r="C12267" s="504"/>
      <c r="D12267" s="243"/>
      <c r="E12267" s="243"/>
      <c r="F12267" s="243"/>
      <c r="G12267" s="81"/>
      <c r="H12267" s="81"/>
      <c r="I12267" s="81"/>
      <c r="J12267" s="81"/>
      <c r="K12267" s="81"/>
      <c r="L12267" s="81"/>
      <c r="M12267" s="81"/>
      <c r="N12267" s="81"/>
    </row>
    <row r="12268" spans="1:14" ht="14.25" customHeight="1" thickBot="1" x14ac:dyDescent="0.3">
      <c r="A12268" s="243"/>
      <c r="B12268" s="243"/>
      <c r="C12268" s="504"/>
      <c r="D12268" s="243"/>
      <c r="E12268" s="243"/>
      <c r="F12268" s="243"/>
      <c r="G12268" s="81"/>
      <c r="H12268" s="81"/>
      <c r="I12268" s="81"/>
      <c r="J12268" s="81"/>
      <c r="K12268" s="81"/>
      <c r="L12268" s="81"/>
      <c r="M12268" s="81"/>
      <c r="N12268" s="81"/>
    </row>
    <row r="12269" spans="1:14" ht="14.25" customHeight="1" x14ac:dyDescent="0.25">
      <c r="A12269" s="258"/>
      <c r="B12269" s="259"/>
      <c r="C12269" s="260"/>
      <c r="D12269" s="261"/>
      <c r="E12269" s="261"/>
      <c r="F12269" s="262"/>
      <c r="G12269" s="81"/>
      <c r="H12269" s="81"/>
      <c r="I12269" s="81"/>
      <c r="J12269" s="81"/>
      <c r="K12269" s="81"/>
      <c r="L12269" s="81"/>
      <c r="M12269" s="81"/>
      <c r="N12269" s="81"/>
    </row>
    <row r="12270" spans="1:14" ht="14.25" customHeight="1" x14ac:dyDescent="0.25">
      <c r="A12270" s="621"/>
      <c r="B12270" s="629"/>
      <c r="C12270" s="629"/>
      <c r="D12270" s="629"/>
      <c r="E12270" s="629"/>
      <c r="F12270" s="630"/>
      <c r="G12270" s="81"/>
      <c r="H12270" s="81"/>
      <c r="I12270" s="81"/>
      <c r="J12270" s="81"/>
      <c r="K12270" s="81"/>
      <c r="L12270" s="81"/>
      <c r="M12270" s="81"/>
      <c r="N12270" s="81"/>
    </row>
    <row r="12271" spans="1:14" ht="14.25" customHeight="1" x14ac:dyDescent="0.25">
      <c r="A12271" s="614" t="s">
        <v>561</v>
      </c>
      <c r="B12271" s="629"/>
      <c r="C12271" s="629"/>
      <c r="D12271" s="629"/>
      <c r="E12271" s="629"/>
      <c r="F12271" s="630"/>
      <c r="G12271" s="81"/>
      <c r="H12271" s="81"/>
      <c r="I12271" s="81"/>
      <c r="J12271" s="81"/>
      <c r="K12271" s="81"/>
      <c r="L12271" s="81"/>
      <c r="M12271" s="81"/>
      <c r="N12271" s="81"/>
    </row>
    <row r="12272" spans="1:14" ht="14.25" customHeight="1" thickBot="1" x14ac:dyDescent="0.3">
      <c r="A12272" s="617"/>
      <c r="B12272" s="631"/>
      <c r="C12272" s="631"/>
      <c r="D12272" s="631"/>
      <c r="E12272" s="631"/>
      <c r="F12272" s="632"/>
      <c r="G12272" s="81"/>
      <c r="H12272" s="81"/>
      <c r="I12272" s="81"/>
      <c r="J12272" s="81"/>
      <c r="K12272" s="81"/>
      <c r="L12272" s="81"/>
      <c r="M12272" s="81"/>
      <c r="N12272" s="81"/>
    </row>
    <row r="12273" spans="1:14" ht="14.25" customHeight="1" x14ac:dyDescent="0.25">
      <c r="A12273" s="192"/>
      <c r="B12273" s="192"/>
      <c r="C12273" s="194"/>
      <c r="D12273" s="194"/>
      <c r="E12273" s="194"/>
      <c r="F12273" s="194"/>
      <c r="G12273" s="81"/>
      <c r="H12273" s="81"/>
      <c r="I12273" s="81"/>
      <c r="J12273" s="81"/>
      <c r="K12273" s="81"/>
      <c r="L12273" s="81"/>
      <c r="M12273" s="81"/>
      <c r="N12273" s="81"/>
    </row>
    <row r="12274" spans="1:14" ht="14.25" customHeight="1" x14ac:dyDescent="0.25">
      <c r="A12274" s="473" t="s">
        <v>47</v>
      </c>
      <c r="B12274" s="620" t="s">
        <v>1206</v>
      </c>
      <c r="C12274" s="629"/>
      <c r="D12274" s="629"/>
      <c r="E12274" s="629"/>
      <c r="F12274" s="629"/>
      <c r="G12274" s="81"/>
      <c r="H12274" s="81"/>
      <c r="I12274" s="81"/>
      <c r="J12274" s="81"/>
      <c r="K12274" s="81"/>
      <c r="L12274" s="81"/>
      <c r="M12274" s="81"/>
      <c r="N12274" s="81"/>
    </row>
    <row r="12275" spans="1:14" ht="14.25" customHeight="1" x14ac:dyDescent="0.25">
      <c r="A12275" s="191"/>
      <c r="B12275" s="191"/>
      <c r="C12275" s="191"/>
      <c r="D12275" s="191"/>
      <c r="E12275" s="191"/>
      <c r="F12275" s="191"/>
      <c r="G12275" s="81"/>
      <c r="H12275" s="81"/>
      <c r="I12275" s="81"/>
      <c r="J12275" s="81"/>
      <c r="K12275" s="81"/>
      <c r="L12275" s="81"/>
      <c r="M12275" s="81"/>
      <c r="N12275" s="81"/>
    </row>
    <row r="12276" spans="1:14" ht="14.25" customHeight="1" x14ac:dyDescent="0.25">
      <c r="A12276" s="192" t="s">
        <v>49</v>
      </c>
      <c r="B12276" s="193" t="s">
        <v>99</v>
      </c>
      <c r="C12276" s="194"/>
      <c r="D12276" s="194"/>
      <c r="E12276" s="194"/>
      <c r="F12276" s="195"/>
      <c r="G12276" s="81"/>
      <c r="H12276" s="81"/>
      <c r="I12276" s="81"/>
      <c r="J12276" s="81"/>
      <c r="K12276" s="81"/>
      <c r="L12276" s="81"/>
      <c r="M12276" s="81"/>
      <c r="N12276" s="81"/>
    </row>
    <row r="12277" spans="1:14" ht="14.25" customHeight="1" x14ac:dyDescent="0.25">
      <c r="A12277" s="192"/>
      <c r="B12277" s="196"/>
      <c r="C12277" s="194"/>
      <c r="D12277" s="194"/>
      <c r="E12277" s="194"/>
      <c r="F12277" s="195"/>
      <c r="G12277" s="81"/>
      <c r="H12277" s="81"/>
      <c r="I12277" s="81"/>
      <c r="J12277" s="81"/>
      <c r="K12277" s="81"/>
      <c r="L12277" s="81"/>
      <c r="M12277" s="81"/>
      <c r="N12277" s="81"/>
    </row>
    <row r="12278" spans="1:14" ht="14.25" customHeight="1" x14ac:dyDescent="0.25">
      <c r="A12278" s="197" t="s">
        <v>562</v>
      </c>
      <c r="B12278" s="198"/>
      <c r="C12278" s="193"/>
      <c r="D12278" s="193"/>
      <c r="E12278" s="193"/>
      <c r="F12278" s="193"/>
      <c r="G12278" s="81"/>
      <c r="H12278" s="81"/>
      <c r="I12278" s="81"/>
      <c r="J12278" s="81"/>
      <c r="K12278" s="81"/>
      <c r="L12278" s="81"/>
      <c r="M12278" s="81"/>
      <c r="N12278" s="81"/>
    </row>
    <row r="12279" spans="1:14" ht="14.25" customHeight="1" x14ac:dyDescent="0.25">
      <c r="A12279" s="199" t="s">
        <v>563</v>
      </c>
      <c r="B12279" s="474" t="s">
        <v>564</v>
      </c>
      <c r="C12279" s="474" t="s">
        <v>565</v>
      </c>
      <c r="D12279" s="474" t="s">
        <v>566</v>
      </c>
      <c r="E12279" s="474" t="s">
        <v>567</v>
      </c>
      <c r="F12279" s="474" t="s">
        <v>568</v>
      </c>
      <c r="G12279" s="81"/>
      <c r="H12279" s="81"/>
      <c r="I12279" s="81"/>
      <c r="J12279" s="81"/>
      <c r="K12279" s="81"/>
      <c r="L12279" s="81"/>
      <c r="M12279" s="81"/>
      <c r="N12279" s="81"/>
    </row>
    <row r="12280" spans="1:14" ht="14.25" customHeight="1" x14ac:dyDescent="0.25">
      <c r="A12280" s="475"/>
      <c r="B12280" s="476"/>
      <c r="C12280" s="477"/>
      <c r="D12280" s="478"/>
      <c r="E12280" s="479"/>
      <c r="F12280" s="477">
        <f t="shared" ref="F12280:F12282" si="603">C12280*(D12280+(D12280*E12280))</f>
        <v>0</v>
      </c>
      <c r="G12280" s="81"/>
      <c r="H12280" s="81"/>
      <c r="I12280" s="81"/>
      <c r="J12280" s="81"/>
      <c r="K12280" s="81"/>
      <c r="L12280" s="81"/>
      <c r="M12280" s="81"/>
      <c r="N12280" s="81"/>
    </row>
    <row r="12281" spans="1:14" ht="14.25" customHeight="1" x14ac:dyDescent="0.25">
      <c r="A12281" s="475"/>
      <c r="B12281" s="476"/>
      <c r="C12281" s="477"/>
      <c r="D12281" s="481"/>
      <c r="E12281" s="479"/>
      <c r="F12281" s="477">
        <f t="shared" si="603"/>
        <v>0</v>
      </c>
      <c r="G12281" s="81"/>
      <c r="H12281" s="81"/>
      <c r="I12281" s="81"/>
      <c r="J12281" s="81"/>
      <c r="K12281" s="81"/>
      <c r="L12281" s="81"/>
      <c r="M12281" s="81"/>
      <c r="N12281" s="81"/>
    </row>
    <row r="12282" spans="1:14" ht="14.25" customHeight="1" x14ac:dyDescent="0.25">
      <c r="A12282" s="475"/>
      <c r="B12282" s="476"/>
      <c r="C12282" s="477"/>
      <c r="D12282" s="481"/>
      <c r="E12282" s="479"/>
      <c r="F12282" s="477">
        <f t="shared" si="603"/>
        <v>0</v>
      </c>
      <c r="G12282" s="81"/>
      <c r="H12282" s="81"/>
      <c r="I12282" s="81"/>
      <c r="J12282" s="81"/>
      <c r="K12282" s="81"/>
      <c r="L12282" s="81"/>
      <c r="M12282" s="81"/>
      <c r="N12282" s="81"/>
    </row>
    <row r="12283" spans="1:14" ht="14.25" customHeight="1" x14ac:dyDescent="0.25">
      <c r="A12283" s="475"/>
      <c r="B12283" s="476"/>
      <c r="C12283" s="477"/>
      <c r="D12283" s="478"/>
      <c r="E12283" s="479"/>
      <c r="F12283" s="477"/>
      <c r="G12283" s="81"/>
      <c r="H12283" s="81"/>
      <c r="I12283" s="81"/>
      <c r="J12283" s="81"/>
      <c r="K12283" s="81"/>
      <c r="L12283" s="81"/>
      <c r="M12283" s="81"/>
      <c r="N12283" s="81"/>
    </row>
    <row r="12284" spans="1:14" ht="14.25" customHeight="1" x14ac:dyDescent="0.25">
      <c r="A12284" s="475"/>
      <c r="B12284" s="476"/>
      <c r="C12284" s="477"/>
      <c r="D12284" s="478"/>
      <c r="E12284" s="479"/>
      <c r="F12284" s="477"/>
      <c r="G12284" s="81"/>
      <c r="H12284" s="81"/>
      <c r="I12284" s="81"/>
      <c r="J12284" s="81"/>
      <c r="K12284" s="81"/>
      <c r="L12284" s="81"/>
      <c r="M12284" s="81"/>
      <c r="N12284" s="81"/>
    </row>
    <row r="12285" spans="1:14" ht="14.25" customHeight="1" x14ac:dyDescent="0.25">
      <c r="A12285" s="475"/>
      <c r="B12285" s="476"/>
      <c r="C12285" s="477"/>
      <c r="D12285" s="478"/>
      <c r="E12285" s="479"/>
      <c r="F12285" s="477"/>
      <c r="G12285" s="81"/>
      <c r="H12285" s="81"/>
      <c r="I12285" s="81"/>
      <c r="J12285" s="81"/>
      <c r="K12285" s="81"/>
      <c r="L12285" s="81"/>
      <c r="M12285" s="81"/>
      <c r="N12285" s="81"/>
    </row>
    <row r="12286" spans="1:14" ht="14.25" customHeight="1" x14ac:dyDescent="0.25">
      <c r="A12286" s="475"/>
      <c r="B12286" s="476"/>
      <c r="C12286" s="483"/>
      <c r="D12286" s="484"/>
      <c r="E12286" s="485"/>
      <c r="F12286" s="483"/>
      <c r="G12286" s="81"/>
      <c r="H12286" s="81"/>
      <c r="I12286" s="81"/>
      <c r="J12286" s="81"/>
      <c r="K12286" s="81"/>
      <c r="L12286" s="81"/>
      <c r="M12286" s="81"/>
      <c r="N12286" s="81"/>
    </row>
    <row r="12287" spans="1:14" ht="14.25" customHeight="1" x14ac:dyDescent="0.25">
      <c r="A12287" s="199" t="s">
        <v>548</v>
      </c>
      <c r="B12287" s="199"/>
      <c r="C12287" s="486"/>
      <c r="D12287" s="487"/>
      <c r="E12287" s="488"/>
      <c r="F12287" s="489">
        <f>SUM(F12280:F12286)</f>
        <v>0</v>
      </c>
      <c r="G12287" s="81"/>
      <c r="H12287" s="117"/>
      <c r="I12287" s="81"/>
      <c r="J12287" s="81"/>
      <c r="K12287" s="81"/>
      <c r="L12287" s="81"/>
      <c r="M12287" s="81"/>
      <c r="N12287" s="81"/>
    </row>
    <row r="12288" spans="1:14" ht="14.25" customHeight="1" x14ac:dyDescent="0.25">
      <c r="A12288" s="192"/>
      <c r="B12288" s="192"/>
      <c r="C12288" s="215"/>
      <c r="D12288" s="215"/>
      <c r="E12288" s="216"/>
      <c r="F12288" s="215"/>
      <c r="G12288" s="81"/>
      <c r="H12288" s="81"/>
      <c r="I12288" s="81"/>
      <c r="J12288" s="81"/>
      <c r="K12288" s="81"/>
      <c r="L12288" s="81"/>
      <c r="M12288" s="81"/>
      <c r="N12288" s="81"/>
    </row>
    <row r="12289" spans="1:14" ht="14.25" customHeight="1" x14ac:dyDescent="0.25">
      <c r="A12289" s="198" t="s">
        <v>573</v>
      </c>
      <c r="B12289" s="198"/>
      <c r="C12289" s="193"/>
      <c r="D12289" s="193"/>
      <c r="E12289" s="193"/>
      <c r="F12289" s="193"/>
      <c r="G12289" s="81"/>
      <c r="H12289" s="81"/>
      <c r="I12289" s="81"/>
      <c r="J12289" s="81"/>
      <c r="K12289" s="81"/>
      <c r="L12289" s="81"/>
      <c r="M12289" s="81"/>
      <c r="N12289" s="81"/>
    </row>
    <row r="12290" spans="1:14" ht="14.25" customHeight="1" x14ac:dyDescent="0.25">
      <c r="A12290" s="585" t="s">
        <v>563</v>
      </c>
      <c r="B12290" s="586"/>
      <c r="C12290" s="587"/>
      <c r="D12290" s="474" t="s">
        <v>574</v>
      </c>
      <c r="E12290" s="474" t="s">
        <v>575</v>
      </c>
      <c r="F12290" s="474" t="s">
        <v>568</v>
      </c>
      <c r="G12290" s="81"/>
      <c r="H12290" s="143"/>
      <c r="I12290" s="81"/>
      <c r="J12290" s="81"/>
      <c r="K12290" s="81"/>
      <c r="L12290" s="81"/>
      <c r="M12290" s="81"/>
      <c r="N12290" s="81"/>
    </row>
    <row r="12291" spans="1:14" ht="14.25" customHeight="1" x14ac:dyDescent="0.25">
      <c r="A12291" s="588" t="s">
        <v>577</v>
      </c>
      <c r="B12291" s="586"/>
      <c r="C12291" s="587"/>
      <c r="D12291" s="490"/>
      <c r="E12291" s="484"/>
      <c r="F12291" s="483">
        <f>+F12305*5%</f>
        <v>4143482.5589617267</v>
      </c>
      <c r="G12291" s="81"/>
      <c r="H12291" s="81"/>
      <c r="I12291" s="81"/>
      <c r="J12291" s="81"/>
      <c r="K12291" s="81"/>
      <c r="L12291" s="81"/>
      <c r="M12291" s="81"/>
      <c r="N12291" s="81"/>
    </row>
    <row r="12292" spans="1:14" ht="14.25" customHeight="1" x14ac:dyDescent="0.25">
      <c r="A12292" s="588"/>
      <c r="B12292" s="586"/>
      <c r="C12292" s="587"/>
      <c r="D12292" s="505"/>
      <c r="E12292" s="484"/>
      <c r="F12292" s="483"/>
      <c r="G12292" s="81"/>
      <c r="H12292" s="81"/>
      <c r="I12292" s="81"/>
      <c r="J12292" s="81"/>
      <c r="K12292" s="81"/>
      <c r="L12292" s="81"/>
      <c r="M12292" s="81"/>
      <c r="N12292" s="81"/>
    </row>
    <row r="12293" spans="1:14" ht="14.25" customHeight="1" x14ac:dyDescent="0.25">
      <c r="A12293" s="588"/>
      <c r="B12293" s="586"/>
      <c r="C12293" s="587"/>
      <c r="D12293" s="505"/>
      <c r="E12293" s="484"/>
      <c r="F12293" s="483"/>
      <c r="G12293" s="81"/>
      <c r="H12293" s="81"/>
      <c r="I12293" s="81"/>
      <c r="J12293" s="81"/>
      <c r="K12293" s="81"/>
      <c r="L12293" s="81"/>
      <c r="M12293" s="81"/>
      <c r="N12293" s="81"/>
    </row>
    <row r="12294" spans="1:14" ht="14.25" customHeight="1" x14ac:dyDescent="0.25">
      <c r="A12294" s="588"/>
      <c r="B12294" s="586"/>
      <c r="C12294" s="587"/>
      <c r="D12294" s="505"/>
      <c r="E12294" s="484"/>
      <c r="F12294" s="483"/>
      <c r="G12294" s="81"/>
      <c r="H12294" s="81"/>
      <c r="I12294" s="81"/>
      <c r="J12294" s="81"/>
      <c r="K12294" s="81"/>
      <c r="L12294" s="81"/>
      <c r="M12294" s="81"/>
      <c r="N12294" s="81"/>
    </row>
    <row r="12295" spans="1:14" ht="14.25" customHeight="1" x14ac:dyDescent="0.25">
      <c r="A12295" s="589"/>
      <c r="B12295" s="586"/>
      <c r="C12295" s="587"/>
      <c r="D12295" s="491"/>
      <c r="E12295" s="484"/>
      <c r="F12295" s="483"/>
      <c r="G12295" s="81"/>
      <c r="H12295" s="81"/>
      <c r="I12295" s="81"/>
      <c r="J12295" s="81"/>
      <c r="K12295" s="81"/>
      <c r="L12295" s="81"/>
      <c r="M12295" s="81"/>
      <c r="N12295" s="81"/>
    </row>
    <row r="12296" spans="1:14" ht="14.25" customHeight="1" x14ac:dyDescent="0.25">
      <c r="A12296" s="585" t="s">
        <v>548</v>
      </c>
      <c r="B12296" s="586"/>
      <c r="C12296" s="587"/>
      <c r="D12296" s="487"/>
      <c r="E12296" s="487"/>
      <c r="F12296" s="489">
        <f>SUM(F12291:F12295)</f>
        <v>4143482.5589617267</v>
      </c>
      <c r="G12296" s="81"/>
      <c r="H12296" s="81"/>
      <c r="I12296" s="81"/>
      <c r="J12296" s="81"/>
      <c r="K12296" s="81"/>
      <c r="L12296" s="81"/>
      <c r="M12296" s="81"/>
      <c r="N12296" s="81"/>
    </row>
    <row r="12297" spans="1:14" ht="14.25" customHeight="1" x14ac:dyDescent="0.25">
      <c r="A12297" s="192"/>
      <c r="B12297" s="192"/>
      <c r="C12297" s="194"/>
      <c r="D12297" s="215"/>
      <c r="E12297" s="215"/>
      <c r="F12297" s="215"/>
      <c r="G12297" s="81"/>
      <c r="H12297" s="81"/>
      <c r="I12297" s="81"/>
      <c r="J12297" s="81"/>
      <c r="K12297" s="81"/>
      <c r="L12297" s="81"/>
      <c r="M12297" s="81"/>
      <c r="N12297" s="81"/>
    </row>
    <row r="12298" spans="1:14" ht="14.25" customHeight="1" x14ac:dyDescent="0.25">
      <c r="A12298" s="198" t="s">
        <v>578</v>
      </c>
      <c r="B12298" s="198"/>
      <c r="C12298" s="193"/>
      <c r="D12298" s="223"/>
      <c r="E12298" s="223"/>
      <c r="F12298" s="223"/>
      <c r="G12298" s="81"/>
      <c r="H12298" s="81"/>
      <c r="I12298" s="81"/>
      <c r="J12298" s="81"/>
      <c r="K12298" s="81"/>
      <c r="L12298" s="81"/>
      <c r="M12298" s="81"/>
      <c r="N12298" s="81"/>
    </row>
    <row r="12299" spans="1:14" ht="14.25" customHeight="1" x14ac:dyDescent="0.25">
      <c r="A12299" s="224" t="s">
        <v>563</v>
      </c>
      <c r="B12299" s="492" t="s">
        <v>579</v>
      </c>
      <c r="C12299" s="492" t="s">
        <v>580</v>
      </c>
      <c r="D12299" s="493" t="s">
        <v>581</v>
      </c>
      <c r="E12299" s="493" t="s">
        <v>575</v>
      </c>
      <c r="F12299" s="493" t="s">
        <v>568</v>
      </c>
      <c r="G12299" s="81"/>
      <c r="H12299" s="81"/>
      <c r="I12299" s="81"/>
      <c r="J12299" s="81"/>
      <c r="K12299" s="81"/>
      <c r="L12299" s="81"/>
      <c r="M12299" s="81"/>
      <c r="N12299" s="81"/>
    </row>
    <row r="12300" spans="1:14" ht="14.25" customHeight="1" x14ac:dyDescent="0.25">
      <c r="A12300" s="494" t="s">
        <v>916</v>
      </c>
      <c r="B12300" s="495">
        <v>5</v>
      </c>
      <c r="C12300" s="477">
        <v>35956.800000000003</v>
      </c>
      <c r="D12300" s="477">
        <f t="shared" ref="D12300:D12303" si="604">+C12300*1.7</f>
        <v>61126.560000000005</v>
      </c>
      <c r="E12300" s="482">
        <v>7.0045593000000001E-3</v>
      </c>
      <c r="F12300" s="483">
        <f t="shared" ref="F12300:F12303" si="605">+B12300*(D12300)/E12300</f>
        <v>43633408.885552593</v>
      </c>
      <c r="G12300" s="81"/>
      <c r="H12300" s="81"/>
      <c r="I12300" s="81"/>
      <c r="J12300" s="81"/>
      <c r="K12300" s="81"/>
      <c r="L12300" s="81"/>
      <c r="M12300" s="81"/>
      <c r="N12300" s="81"/>
    </row>
    <row r="12301" spans="1:14" ht="14.25" customHeight="1" x14ac:dyDescent="0.25">
      <c r="A12301" s="494" t="s">
        <v>917</v>
      </c>
      <c r="B12301" s="495">
        <v>2</v>
      </c>
      <c r="C12301" s="477">
        <v>57791.8</v>
      </c>
      <c r="D12301" s="477">
        <f t="shared" si="604"/>
        <v>98246.06</v>
      </c>
      <c r="E12301" s="482">
        <f>E12300</f>
        <v>7.0045593000000001E-3</v>
      </c>
      <c r="F12301" s="483">
        <f t="shared" si="605"/>
        <v>28052031.767366149</v>
      </c>
      <c r="G12301" s="81"/>
      <c r="H12301" s="81"/>
      <c r="I12301" s="81"/>
      <c r="J12301" s="81"/>
      <c r="K12301" s="81"/>
      <c r="L12301" s="81"/>
      <c r="M12301" s="81"/>
      <c r="N12301" s="81"/>
    </row>
    <row r="12302" spans="1:14" ht="14.25" customHeight="1" x14ac:dyDescent="0.25">
      <c r="A12302" s="494" t="s">
        <v>936</v>
      </c>
      <c r="B12302" s="495">
        <v>1</v>
      </c>
      <c r="C12302" s="477">
        <v>165000</v>
      </c>
      <c r="D12302" s="477">
        <f t="shared" si="604"/>
        <v>280500</v>
      </c>
      <c r="E12302" s="482">
        <v>3.7999999999999999E-2</v>
      </c>
      <c r="F12302" s="483">
        <f t="shared" si="605"/>
        <v>7381578.9473684216</v>
      </c>
      <c r="G12302" s="81"/>
      <c r="H12302" s="81"/>
      <c r="I12302" s="81"/>
      <c r="J12302" s="81"/>
      <c r="K12302" s="81"/>
      <c r="L12302" s="81"/>
      <c r="M12302" s="81"/>
      <c r="N12302" s="81"/>
    </row>
    <row r="12303" spans="1:14" ht="14.25" customHeight="1" x14ac:dyDescent="0.25">
      <c r="A12303" s="494" t="s">
        <v>937</v>
      </c>
      <c r="B12303" s="495">
        <v>1</v>
      </c>
      <c r="C12303" s="477">
        <v>85000</v>
      </c>
      <c r="D12303" s="477">
        <f t="shared" si="604"/>
        <v>144500</v>
      </c>
      <c r="E12303" s="482">
        <f>E12302</f>
        <v>3.7999999999999999E-2</v>
      </c>
      <c r="F12303" s="483">
        <f t="shared" si="605"/>
        <v>3802631.5789473685</v>
      </c>
      <c r="G12303" s="81"/>
      <c r="H12303" s="81"/>
      <c r="I12303" s="81"/>
      <c r="J12303" s="81"/>
      <c r="K12303" s="81"/>
      <c r="L12303" s="81"/>
      <c r="M12303" s="81"/>
      <c r="N12303" s="81"/>
    </row>
    <row r="12304" spans="1:14" ht="62.1" customHeight="1" x14ac:dyDescent="0.25">
      <c r="A12304" s="494"/>
      <c r="B12304" s="495"/>
      <c r="C12304" s="477"/>
      <c r="D12304" s="477"/>
      <c r="E12304" s="484"/>
      <c r="F12304" s="483"/>
      <c r="G12304" s="81"/>
      <c r="H12304" s="81"/>
      <c r="I12304" s="81"/>
      <c r="J12304" s="81"/>
      <c r="K12304" s="81"/>
      <c r="L12304" s="81"/>
      <c r="M12304" s="81"/>
      <c r="N12304" s="81"/>
    </row>
    <row r="12305" spans="1:14" ht="14.25" customHeight="1" x14ac:dyDescent="0.25">
      <c r="A12305" s="199" t="s">
        <v>548</v>
      </c>
      <c r="B12305" s="497"/>
      <c r="C12305" s="487"/>
      <c r="D12305" s="487"/>
      <c r="E12305" s="487"/>
      <c r="F12305" s="489">
        <f>SUM(F12300:F12303)</f>
        <v>82869651.179234535</v>
      </c>
      <c r="G12305" s="81"/>
      <c r="H12305" s="81"/>
      <c r="I12305" s="81"/>
      <c r="J12305" s="81"/>
      <c r="K12305" s="81"/>
      <c r="L12305" s="81"/>
      <c r="M12305" s="81"/>
      <c r="N12305" s="81"/>
    </row>
    <row r="12306" spans="1:14" ht="14.25" customHeight="1" x14ac:dyDescent="0.25">
      <c r="A12306" s="198"/>
      <c r="B12306" s="231"/>
      <c r="C12306" s="223"/>
      <c r="D12306" s="223"/>
      <c r="E12306" s="223"/>
      <c r="F12306" s="223"/>
      <c r="G12306" s="81"/>
      <c r="H12306" s="81"/>
      <c r="I12306" s="81"/>
      <c r="J12306" s="81"/>
      <c r="K12306" s="81"/>
      <c r="L12306" s="81"/>
      <c r="M12306" s="81"/>
      <c r="N12306" s="81"/>
    </row>
    <row r="12307" spans="1:14" ht="14.25" customHeight="1" x14ac:dyDescent="0.25">
      <c r="A12307" s="197" t="s">
        <v>583</v>
      </c>
      <c r="B12307" s="198"/>
      <c r="C12307" s="193"/>
      <c r="D12307" s="193"/>
      <c r="E12307" s="193" t="s">
        <v>584</v>
      </c>
      <c r="F12307" s="193"/>
      <c r="G12307" s="81"/>
      <c r="H12307" s="81"/>
      <c r="I12307" s="81"/>
      <c r="J12307" s="81"/>
      <c r="K12307" s="81"/>
      <c r="L12307" s="81"/>
      <c r="M12307" s="81"/>
      <c r="N12307" s="81"/>
    </row>
    <row r="12308" spans="1:14" ht="14.25" customHeight="1" x14ac:dyDescent="0.25">
      <c r="A12308" s="199" t="s">
        <v>563</v>
      </c>
      <c r="B12308" s="474" t="s">
        <v>564</v>
      </c>
      <c r="C12308" s="474" t="s">
        <v>585</v>
      </c>
      <c r="D12308" s="474" t="s">
        <v>586</v>
      </c>
      <c r="E12308" s="492" t="s">
        <v>587</v>
      </c>
      <c r="F12308" s="474" t="s">
        <v>568</v>
      </c>
      <c r="G12308" s="81"/>
      <c r="H12308" s="81"/>
      <c r="I12308" s="81"/>
      <c r="J12308" s="81"/>
      <c r="K12308" s="81"/>
      <c r="L12308" s="81"/>
      <c r="M12308" s="81"/>
      <c r="N12308" s="81"/>
    </row>
    <row r="12309" spans="1:14" ht="14.25" customHeight="1" x14ac:dyDescent="0.25">
      <c r="A12309" s="480"/>
      <c r="B12309" s="476"/>
      <c r="C12309" s="477"/>
      <c r="D12309" s="498"/>
      <c r="E12309" s="484"/>
      <c r="F12309" s="486">
        <f>+C12309*D12309*E12309</f>
        <v>0</v>
      </c>
      <c r="G12309" s="81"/>
      <c r="H12309" s="81"/>
      <c r="I12309" s="81"/>
      <c r="J12309" s="81"/>
      <c r="K12309" s="81"/>
      <c r="L12309" s="81"/>
      <c r="M12309" s="81"/>
      <c r="N12309" s="81"/>
    </row>
    <row r="12310" spans="1:14" s="168" customFormat="1" ht="51.95" customHeight="1" x14ac:dyDescent="0.25">
      <c r="A12310" s="480"/>
      <c r="B12310" s="476"/>
      <c r="C12310" s="484"/>
      <c r="D12310" s="484"/>
      <c r="E12310" s="485"/>
      <c r="F12310" s="486"/>
      <c r="G12310" s="243"/>
      <c r="H12310" s="243"/>
      <c r="I12310" s="243"/>
      <c r="J12310" s="243"/>
      <c r="K12310" s="243"/>
      <c r="L12310" s="243"/>
      <c r="M12310" s="243"/>
      <c r="N12310" s="243"/>
    </row>
    <row r="12311" spans="1:14" s="168" customFormat="1" ht="15.75" x14ac:dyDescent="0.25">
      <c r="A12311" s="199" t="s">
        <v>548</v>
      </c>
      <c r="B12311" s="474"/>
      <c r="C12311" s="487"/>
      <c r="D12311" s="487"/>
      <c r="E12311" s="488"/>
      <c r="F12311" s="489">
        <f>SUM(F12309:F12310)</f>
        <v>0</v>
      </c>
      <c r="G12311" s="243"/>
      <c r="H12311" s="243"/>
      <c r="I12311" s="243"/>
      <c r="J12311" s="243"/>
      <c r="K12311" s="243"/>
      <c r="L12311" s="243"/>
      <c r="M12311" s="243"/>
      <c r="N12311" s="243"/>
    </row>
    <row r="12312" spans="1:14" s="168" customFormat="1" ht="15.75" x14ac:dyDescent="0.25">
      <c r="A12312" s="192"/>
      <c r="B12312" s="194"/>
      <c r="C12312" s="215"/>
      <c r="D12312" s="215"/>
      <c r="E12312" s="216"/>
      <c r="F12312" s="215"/>
      <c r="G12312" s="243"/>
      <c r="H12312" s="243"/>
      <c r="I12312" s="243"/>
      <c r="J12312" s="243"/>
      <c r="K12312" s="243"/>
      <c r="L12312" s="243"/>
      <c r="M12312" s="243"/>
      <c r="N12312" s="243"/>
    </row>
    <row r="12313" spans="1:14" ht="14.25" customHeight="1" x14ac:dyDescent="0.25">
      <c r="A12313" s="192"/>
      <c r="B12313" s="194"/>
      <c r="C12313" s="215"/>
      <c r="D12313" s="215"/>
      <c r="E12313" s="216"/>
      <c r="F12313" s="215"/>
      <c r="G12313" s="81"/>
      <c r="H12313" s="81"/>
      <c r="I12313" s="81"/>
      <c r="J12313" s="81"/>
      <c r="K12313" s="81"/>
      <c r="L12313" s="81"/>
      <c r="M12313" s="81"/>
      <c r="N12313" s="81"/>
    </row>
    <row r="12314" spans="1:14" ht="14.25" customHeight="1" x14ac:dyDescent="0.25">
      <c r="A12314" s="590" t="s">
        <v>588</v>
      </c>
      <c r="B12314" s="586"/>
      <c r="C12314" s="586"/>
      <c r="D12314" s="586"/>
      <c r="E12314" s="587"/>
      <c r="F12314" s="499">
        <f>ROUND(F12287+F12296+F12305+F12311,0)</f>
        <v>87013134</v>
      </c>
      <c r="G12314" s="81"/>
      <c r="H12314" s="81"/>
      <c r="I12314" s="81"/>
      <c r="J12314" s="81"/>
      <c r="K12314" s="81"/>
      <c r="L12314" s="81"/>
      <c r="M12314" s="81"/>
      <c r="N12314" s="81"/>
    </row>
    <row r="12315" spans="1:14" ht="14.25" customHeight="1" x14ac:dyDescent="0.25">
      <c r="A12315" s="590" t="s">
        <v>589</v>
      </c>
      <c r="B12315" s="586"/>
      <c r="C12315" s="586"/>
      <c r="D12315" s="586"/>
      <c r="E12315" s="587"/>
      <c r="F12315" s="500"/>
      <c r="G12315" s="81"/>
      <c r="H12315" s="81"/>
      <c r="I12315" s="81"/>
      <c r="J12315" s="81"/>
      <c r="K12315" s="81"/>
      <c r="L12315" s="81"/>
      <c r="M12315" s="81"/>
      <c r="N12315" s="81"/>
    </row>
    <row r="12316" spans="1:14" ht="14.25" customHeight="1" x14ac:dyDescent="0.25">
      <c r="A12316" s="300" t="s">
        <v>556</v>
      </c>
      <c r="B12316" s="506"/>
      <c r="C12316" s="506"/>
      <c r="D12316" s="506"/>
      <c r="E12316" s="507"/>
      <c r="F12316" s="501"/>
      <c r="G12316" s="81"/>
      <c r="H12316" s="81"/>
      <c r="I12316" s="81"/>
      <c r="J12316" s="81"/>
      <c r="K12316" s="81"/>
      <c r="L12316" s="81"/>
      <c r="M12316" s="81"/>
      <c r="N12316" s="81"/>
    </row>
    <row r="12317" spans="1:14" ht="14.25" customHeight="1" x14ac:dyDescent="0.25">
      <c r="A12317" s="81"/>
      <c r="B12317" s="81"/>
      <c r="C12317" s="137"/>
      <c r="D12317" s="81"/>
      <c r="E12317" s="81"/>
      <c r="F12317" s="81"/>
      <c r="G12317" s="81"/>
      <c r="H12317" s="81"/>
      <c r="I12317" s="81"/>
      <c r="J12317" s="81"/>
      <c r="K12317" s="81"/>
      <c r="L12317" s="81"/>
      <c r="M12317" s="81"/>
      <c r="N12317" s="81"/>
    </row>
    <row r="12318" spans="1:14" ht="14.25" customHeight="1" x14ac:dyDescent="0.25">
      <c r="A12318" s="81"/>
      <c r="B12318" s="81"/>
      <c r="C12318" s="137"/>
      <c r="D12318" s="81"/>
      <c r="E12318" s="81"/>
      <c r="F12318" s="81"/>
      <c r="G12318" s="81"/>
      <c r="H12318" s="81"/>
      <c r="I12318" s="81"/>
      <c r="J12318" s="81"/>
      <c r="K12318" s="81"/>
      <c r="L12318" s="81"/>
      <c r="M12318" s="81"/>
      <c r="N12318" s="81"/>
    </row>
    <row r="12319" spans="1:14" ht="14.25" customHeight="1" x14ac:dyDescent="0.25">
      <c r="A12319" s="81"/>
      <c r="B12319" s="81"/>
      <c r="C12319" s="137"/>
      <c r="D12319" s="81"/>
      <c r="E12319" s="81"/>
      <c r="F12319" s="81"/>
      <c r="G12319" s="81"/>
      <c r="H12319" s="81"/>
      <c r="I12319" s="81"/>
      <c r="J12319" s="81"/>
      <c r="K12319" s="81"/>
      <c r="L12319" s="81"/>
      <c r="M12319" s="81"/>
      <c r="N12319" s="81"/>
    </row>
    <row r="12320" spans="1:14" ht="14.25" customHeight="1" x14ac:dyDescent="0.25">
      <c r="A12320" s="134"/>
      <c r="B12320" s="135"/>
      <c r="C12320" s="135"/>
      <c r="D12320" s="135"/>
      <c r="E12320" s="135"/>
      <c r="F12320" s="136"/>
      <c r="G12320" s="81"/>
      <c r="H12320" s="81"/>
      <c r="I12320" s="81"/>
      <c r="J12320" s="81"/>
      <c r="K12320" s="81"/>
      <c r="L12320" s="81"/>
      <c r="M12320" s="81"/>
      <c r="N12320" s="81"/>
    </row>
    <row r="12321" spans="1:14" ht="14.25" customHeight="1" x14ac:dyDescent="0.25">
      <c r="A12321" s="134"/>
      <c r="B12321" s="135"/>
      <c r="C12321" s="135"/>
      <c r="D12321" s="135"/>
      <c r="E12321" s="135"/>
      <c r="F12321" s="136"/>
      <c r="G12321" s="81"/>
      <c r="H12321" s="81"/>
      <c r="I12321" s="81"/>
      <c r="J12321" s="81"/>
      <c r="K12321" s="81"/>
      <c r="L12321" s="81"/>
      <c r="M12321" s="81"/>
      <c r="N12321" s="81"/>
    </row>
    <row r="12322" spans="1:14" ht="14.25" customHeight="1" x14ac:dyDescent="0.25">
      <c r="A12322" s="134"/>
      <c r="B12322" s="135"/>
      <c r="C12322" s="135"/>
      <c r="D12322" s="135"/>
      <c r="E12322" s="81"/>
      <c r="F12322" s="136"/>
      <c r="G12322" s="81"/>
      <c r="H12322" s="81"/>
      <c r="I12322" s="81"/>
      <c r="J12322" s="81"/>
      <c r="K12322" s="81"/>
      <c r="L12322" s="81"/>
      <c r="M12322" s="81"/>
      <c r="N12322" s="81"/>
    </row>
    <row r="12323" spans="1:14" ht="14.25" customHeight="1" thickBot="1" x14ac:dyDescent="0.3">
      <c r="A12323" s="81"/>
      <c r="B12323" s="81"/>
      <c r="C12323" s="81"/>
      <c r="D12323" s="81"/>
      <c r="E12323" s="81"/>
      <c r="F12323" s="81"/>
      <c r="G12323" s="81"/>
      <c r="H12323" s="81"/>
      <c r="I12323" s="81"/>
      <c r="J12323" s="81"/>
      <c r="K12323" s="81"/>
      <c r="L12323" s="81"/>
      <c r="M12323" s="81"/>
      <c r="N12323" s="81"/>
    </row>
    <row r="12324" spans="1:14" ht="14.25" customHeight="1" x14ac:dyDescent="0.25">
      <c r="A12324" s="83"/>
      <c r="B12324" s="84"/>
      <c r="C12324" s="85"/>
      <c r="D12324" s="86"/>
      <c r="E12324" s="86"/>
      <c r="F12324" s="87"/>
      <c r="G12324" s="81"/>
      <c r="H12324" s="81"/>
      <c r="I12324" s="81"/>
      <c r="J12324" s="81"/>
      <c r="K12324" s="81"/>
      <c r="L12324" s="81"/>
      <c r="M12324" s="81"/>
      <c r="N12324" s="81"/>
    </row>
    <row r="12325" spans="1:14" ht="14.25" customHeight="1" x14ac:dyDescent="0.25">
      <c r="A12325" s="599"/>
      <c r="B12325" s="600"/>
      <c r="C12325" s="600"/>
      <c r="D12325" s="600"/>
      <c r="E12325" s="600"/>
      <c r="F12325" s="601"/>
      <c r="G12325" s="81"/>
      <c r="H12325" s="81"/>
      <c r="I12325" s="81"/>
      <c r="J12325" s="81"/>
      <c r="K12325" s="81"/>
      <c r="L12325" s="81"/>
      <c r="M12325" s="81"/>
      <c r="N12325" s="81"/>
    </row>
    <row r="12326" spans="1:14" ht="14.25" customHeight="1" x14ac:dyDescent="0.25">
      <c r="A12326" s="602" t="s">
        <v>561</v>
      </c>
      <c r="B12326" s="600"/>
      <c r="C12326" s="600"/>
      <c r="D12326" s="600"/>
      <c r="E12326" s="600"/>
      <c r="F12326" s="601"/>
      <c r="G12326" s="81"/>
      <c r="H12326" s="81"/>
      <c r="I12326" s="81"/>
      <c r="J12326" s="81"/>
      <c r="K12326" s="81"/>
      <c r="L12326" s="81"/>
      <c r="M12326" s="81"/>
      <c r="N12326" s="81"/>
    </row>
    <row r="12327" spans="1:14" ht="14.25" customHeight="1" thickBot="1" x14ac:dyDescent="0.3">
      <c r="A12327" s="603"/>
      <c r="B12327" s="604"/>
      <c r="C12327" s="604"/>
      <c r="D12327" s="604"/>
      <c r="E12327" s="604"/>
      <c r="F12327" s="605"/>
      <c r="G12327" s="81"/>
      <c r="H12327" s="81"/>
      <c r="I12327" s="81"/>
      <c r="J12327" s="81"/>
      <c r="K12327" s="81"/>
      <c r="L12327" s="81"/>
      <c r="M12327" s="81"/>
      <c r="N12327" s="81"/>
    </row>
    <row r="12328" spans="1:14" s="168" customFormat="1" ht="15.75" x14ac:dyDescent="0.25">
      <c r="A12328" s="88"/>
      <c r="B12328" s="88"/>
      <c r="C12328" s="89"/>
      <c r="D12328" s="89"/>
      <c r="E12328" s="89"/>
      <c r="F12328" s="89"/>
      <c r="G12328" s="243"/>
      <c r="H12328" s="243"/>
      <c r="I12328" s="243"/>
      <c r="J12328" s="243"/>
      <c r="K12328" s="243"/>
      <c r="L12328" s="243"/>
      <c r="M12328" s="243"/>
      <c r="N12328" s="243"/>
    </row>
    <row r="12329" spans="1:14" ht="14.25" customHeight="1" x14ac:dyDescent="0.25">
      <c r="A12329" s="90" t="s">
        <v>47</v>
      </c>
      <c r="B12329" s="613" t="s">
        <v>434</v>
      </c>
      <c r="C12329" s="600"/>
      <c r="D12329" s="600"/>
      <c r="E12329" s="600"/>
      <c r="F12329" s="600"/>
      <c r="G12329" s="81"/>
      <c r="H12329" s="81"/>
      <c r="I12329" s="81"/>
      <c r="J12329" s="81"/>
      <c r="K12329" s="81"/>
      <c r="L12329" s="81"/>
      <c r="M12329" s="81"/>
      <c r="N12329" s="81"/>
    </row>
    <row r="12330" spans="1:14" ht="14.25" customHeight="1" x14ac:dyDescent="0.25">
      <c r="A12330" s="91"/>
      <c r="B12330" s="91"/>
      <c r="C12330" s="91"/>
      <c r="D12330" s="91"/>
      <c r="E12330" s="91"/>
      <c r="F12330" s="91"/>
      <c r="G12330" s="81"/>
      <c r="H12330" s="81"/>
      <c r="I12330" s="81"/>
      <c r="J12330" s="81"/>
      <c r="K12330" s="81"/>
      <c r="L12330" s="81"/>
      <c r="M12330" s="81"/>
      <c r="N12330" s="81"/>
    </row>
    <row r="12331" spans="1:14" ht="14.25" customHeight="1" x14ac:dyDescent="0.25">
      <c r="A12331" s="88" t="s">
        <v>49</v>
      </c>
      <c r="B12331" s="92" t="s">
        <v>59</v>
      </c>
      <c r="C12331" s="89"/>
      <c r="D12331" s="89"/>
      <c r="E12331" s="89"/>
      <c r="F12331" s="93"/>
      <c r="G12331" s="81"/>
      <c r="H12331" s="81"/>
      <c r="I12331" s="81"/>
      <c r="J12331" s="81"/>
      <c r="K12331" s="81"/>
      <c r="L12331" s="81"/>
      <c r="M12331" s="81"/>
      <c r="N12331" s="81"/>
    </row>
    <row r="12332" spans="1:14" ht="14.25" customHeight="1" x14ac:dyDescent="0.25">
      <c r="A12332" s="88"/>
      <c r="B12332" s="94"/>
      <c r="C12332" s="89"/>
      <c r="D12332" s="89"/>
      <c r="E12332" s="89"/>
      <c r="F12332" s="93"/>
      <c r="G12332" s="81"/>
      <c r="H12332" s="81"/>
      <c r="I12332" s="81"/>
      <c r="J12332" s="81"/>
      <c r="K12332" s="81"/>
      <c r="L12332" s="81"/>
      <c r="M12332" s="81"/>
      <c r="N12332" s="81"/>
    </row>
    <row r="12333" spans="1:14" ht="14.25" customHeight="1" x14ac:dyDescent="0.25">
      <c r="A12333" s="95" t="s">
        <v>562</v>
      </c>
      <c r="B12333" s="96"/>
      <c r="C12333" s="92"/>
      <c r="D12333" s="92"/>
      <c r="E12333" s="92"/>
      <c r="F12333" s="92"/>
      <c r="G12333" s="81"/>
      <c r="H12333" s="81"/>
      <c r="I12333" s="81"/>
      <c r="J12333" s="81"/>
      <c r="K12333" s="81"/>
      <c r="L12333" s="81"/>
      <c r="M12333" s="81"/>
      <c r="N12333" s="81"/>
    </row>
    <row r="12334" spans="1:14" ht="14.25" customHeight="1" x14ac:dyDescent="0.25">
      <c r="A12334" s="97" t="s">
        <v>563</v>
      </c>
      <c r="B12334" s="98" t="s">
        <v>564</v>
      </c>
      <c r="C12334" s="98" t="s">
        <v>565</v>
      </c>
      <c r="D12334" s="98" t="s">
        <v>566</v>
      </c>
      <c r="E12334" s="98" t="s">
        <v>567</v>
      </c>
      <c r="F12334" s="98" t="s">
        <v>568</v>
      </c>
      <c r="G12334" s="81"/>
      <c r="H12334" s="81"/>
      <c r="I12334" s="81"/>
      <c r="J12334" s="81"/>
      <c r="K12334" s="81"/>
      <c r="L12334" s="81"/>
      <c r="M12334" s="81"/>
      <c r="N12334" s="81"/>
    </row>
    <row r="12335" spans="1:14" ht="14.25" customHeight="1" x14ac:dyDescent="0.25">
      <c r="A12335" s="99" t="s">
        <v>850</v>
      </c>
      <c r="B12335" s="100" t="s">
        <v>59</v>
      </c>
      <c r="C12335" s="101">
        <v>3850</v>
      </c>
      <c r="D12335" s="149">
        <v>1</v>
      </c>
      <c r="E12335" s="102">
        <v>0.05</v>
      </c>
      <c r="F12335" s="101">
        <f>C12335*(D12335+(D12335*E12335))</f>
        <v>4042.5</v>
      </c>
      <c r="G12335" s="81"/>
      <c r="H12335" s="81"/>
      <c r="I12335" s="81"/>
      <c r="J12335" s="81"/>
      <c r="K12335" s="81"/>
      <c r="L12335" s="81"/>
      <c r="M12335" s="81"/>
      <c r="N12335" s="81"/>
    </row>
    <row r="12336" spans="1:14" ht="14.25" customHeight="1" x14ac:dyDescent="0.25">
      <c r="A12336" s="99"/>
      <c r="B12336" s="100"/>
      <c r="C12336" s="101"/>
      <c r="D12336" s="104"/>
      <c r="E12336" s="102"/>
      <c r="F12336" s="101"/>
      <c r="G12336" s="81"/>
      <c r="H12336" s="81"/>
      <c r="I12336" s="81"/>
      <c r="J12336" s="81"/>
      <c r="K12336" s="81"/>
      <c r="L12336" s="81"/>
      <c r="M12336" s="81"/>
      <c r="N12336" s="81"/>
    </row>
    <row r="12337" spans="1:14" ht="14.25" customHeight="1" x14ac:dyDescent="0.25">
      <c r="A12337" s="99"/>
      <c r="B12337" s="100"/>
      <c r="C12337" s="101"/>
      <c r="D12337" s="149"/>
      <c r="E12337" s="102"/>
      <c r="F12337" s="101"/>
      <c r="G12337" s="81"/>
      <c r="H12337" s="81"/>
      <c r="I12337" s="81"/>
      <c r="J12337" s="81"/>
      <c r="K12337" s="81"/>
      <c r="L12337" s="81"/>
      <c r="M12337" s="81"/>
      <c r="N12337" s="81"/>
    </row>
    <row r="12338" spans="1:14" ht="14.25" customHeight="1" x14ac:dyDescent="0.25">
      <c r="A12338" s="99"/>
      <c r="B12338" s="100"/>
      <c r="C12338" s="101"/>
      <c r="D12338" s="104"/>
      <c r="E12338" s="102"/>
      <c r="F12338" s="101"/>
      <c r="G12338" s="81"/>
      <c r="H12338" s="81"/>
      <c r="I12338" s="81"/>
      <c r="J12338" s="81"/>
      <c r="K12338" s="81"/>
      <c r="L12338" s="81"/>
      <c r="M12338" s="81"/>
      <c r="N12338" s="81"/>
    </row>
    <row r="12339" spans="1:14" ht="14.25" customHeight="1" x14ac:dyDescent="0.25">
      <c r="A12339" s="99"/>
      <c r="B12339" s="100"/>
      <c r="C12339" s="101"/>
      <c r="D12339" s="104"/>
      <c r="E12339" s="102"/>
      <c r="F12339" s="101"/>
      <c r="G12339" s="81"/>
      <c r="H12339" s="81"/>
      <c r="I12339" s="81"/>
      <c r="J12339" s="81"/>
      <c r="K12339" s="81"/>
      <c r="L12339" s="81"/>
      <c r="M12339" s="81"/>
      <c r="N12339" s="81"/>
    </row>
    <row r="12340" spans="1:14" ht="14.25" customHeight="1" x14ac:dyDescent="0.25">
      <c r="A12340" s="99"/>
      <c r="B12340" s="100"/>
      <c r="C12340" s="106"/>
      <c r="D12340" s="107"/>
      <c r="E12340" s="108"/>
      <c r="F12340" s="106"/>
      <c r="G12340" s="81"/>
      <c r="H12340" s="81"/>
      <c r="I12340" s="81"/>
      <c r="J12340" s="81"/>
      <c r="K12340" s="81"/>
      <c r="L12340" s="81"/>
      <c r="M12340" s="81"/>
      <c r="N12340" s="81"/>
    </row>
    <row r="12341" spans="1:14" ht="14.25" customHeight="1" x14ac:dyDescent="0.25">
      <c r="A12341" s="97" t="s">
        <v>548</v>
      </c>
      <c r="B12341" s="97"/>
      <c r="C12341" s="109"/>
      <c r="D12341" s="110"/>
      <c r="E12341" s="111"/>
      <c r="F12341" s="112">
        <f>SUM(F12335:F12340)</f>
        <v>4042.5</v>
      </c>
      <c r="G12341" s="81"/>
      <c r="H12341" s="81"/>
      <c r="I12341" s="81"/>
      <c r="J12341" s="81"/>
      <c r="K12341" s="81"/>
      <c r="L12341" s="81"/>
      <c r="M12341" s="81"/>
      <c r="N12341" s="81"/>
    </row>
    <row r="12342" spans="1:14" ht="14.25" customHeight="1" x14ac:dyDescent="0.25">
      <c r="A12342" s="88"/>
      <c r="B12342" s="88"/>
      <c r="C12342" s="113"/>
      <c r="D12342" s="113"/>
      <c r="E12342" s="114"/>
      <c r="F12342" s="113"/>
      <c r="G12342" s="81"/>
      <c r="H12342" s="81"/>
      <c r="I12342" s="81"/>
      <c r="J12342" s="81"/>
      <c r="K12342" s="81"/>
      <c r="L12342" s="81"/>
      <c r="M12342" s="81"/>
      <c r="N12342" s="81"/>
    </row>
    <row r="12343" spans="1:14" ht="14.25" customHeight="1" x14ac:dyDescent="0.25">
      <c r="A12343" s="96" t="s">
        <v>573</v>
      </c>
      <c r="B12343" s="96"/>
      <c r="C12343" s="92"/>
      <c r="D12343" s="92"/>
      <c r="E12343" s="92"/>
      <c r="F12343" s="92"/>
      <c r="G12343" s="81"/>
      <c r="H12343" s="81"/>
      <c r="I12343" s="81"/>
      <c r="J12343" s="81"/>
      <c r="K12343" s="81"/>
      <c r="L12343" s="81"/>
      <c r="M12343" s="81"/>
      <c r="N12343" s="81"/>
    </row>
    <row r="12344" spans="1:14" ht="14.25" customHeight="1" x14ac:dyDescent="0.25">
      <c r="A12344" s="611" t="s">
        <v>563</v>
      </c>
      <c r="B12344" s="608"/>
      <c r="C12344" s="609"/>
      <c r="D12344" s="98" t="s">
        <v>574</v>
      </c>
      <c r="E12344" s="98" t="s">
        <v>575</v>
      </c>
      <c r="F12344" s="98" t="s">
        <v>568</v>
      </c>
      <c r="G12344" s="81"/>
      <c r="H12344" s="81"/>
      <c r="I12344" s="81"/>
      <c r="J12344" s="81"/>
      <c r="K12344" s="81"/>
      <c r="L12344" s="81"/>
      <c r="M12344" s="81"/>
      <c r="N12344" s="81"/>
    </row>
    <row r="12345" spans="1:14" ht="14.25" customHeight="1" x14ac:dyDescent="0.25">
      <c r="A12345" s="607" t="s">
        <v>577</v>
      </c>
      <c r="B12345" s="608"/>
      <c r="C12345" s="609"/>
      <c r="D12345" s="116"/>
      <c r="E12345" s="107"/>
      <c r="F12345" s="106">
        <f>+F12362*5%</f>
        <v>55.25713196033562</v>
      </c>
      <c r="G12345" s="81"/>
      <c r="H12345" s="81"/>
      <c r="I12345" s="81"/>
      <c r="J12345" s="81"/>
      <c r="K12345" s="81"/>
      <c r="L12345" s="81"/>
      <c r="M12345" s="81"/>
      <c r="N12345" s="81"/>
    </row>
    <row r="12346" spans="1:14" ht="14.25" customHeight="1" x14ac:dyDescent="0.25">
      <c r="A12346" s="607"/>
      <c r="B12346" s="608"/>
      <c r="C12346" s="609"/>
      <c r="D12346" s="142"/>
      <c r="E12346" s="105"/>
      <c r="F12346" s="106"/>
      <c r="G12346" s="81"/>
      <c r="H12346" s="81"/>
      <c r="I12346" s="81"/>
      <c r="J12346" s="81"/>
      <c r="K12346" s="81"/>
      <c r="L12346" s="81"/>
      <c r="M12346" s="81"/>
      <c r="N12346" s="81"/>
    </row>
    <row r="12347" spans="1:14" ht="14.25" customHeight="1" x14ac:dyDescent="0.25">
      <c r="A12347" s="607"/>
      <c r="B12347" s="608"/>
      <c r="C12347" s="609"/>
      <c r="D12347" s="142"/>
      <c r="E12347" s="105"/>
      <c r="F12347" s="106"/>
      <c r="G12347" s="81"/>
      <c r="H12347" s="81"/>
      <c r="I12347" s="81"/>
      <c r="J12347" s="81"/>
      <c r="K12347" s="81"/>
      <c r="L12347" s="81"/>
      <c r="M12347" s="81"/>
      <c r="N12347" s="81"/>
    </row>
    <row r="12348" spans="1:14" ht="14.25" customHeight="1" x14ac:dyDescent="0.25">
      <c r="A12348" s="607"/>
      <c r="B12348" s="608"/>
      <c r="C12348" s="609"/>
      <c r="D12348" s="142"/>
      <c r="E12348" s="107"/>
      <c r="F12348" s="106"/>
      <c r="G12348" s="81"/>
      <c r="H12348" s="81"/>
      <c r="I12348" s="81"/>
      <c r="J12348" s="81"/>
      <c r="K12348" s="81"/>
      <c r="L12348" s="81"/>
      <c r="M12348" s="81"/>
      <c r="N12348" s="81"/>
    </row>
    <row r="12349" spans="1:14" ht="14.25" customHeight="1" x14ac:dyDescent="0.25">
      <c r="A12349" s="607"/>
      <c r="B12349" s="608"/>
      <c r="C12349" s="609"/>
      <c r="D12349" s="142"/>
      <c r="E12349" s="107"/>
      <c r="F12349" s="106"/>
      <c r="G12349" s="81"/>
      <c r="H12349" s="81"/>
      <c r="I12349" s="81"/>
      <c r="J12349" s="81"/>
      <c r="K12349" s="81"/>
      <c r="L12349" s="81"/>
      <c r="M12349" s="81"/>
      <c r="N12349" s="81"/>
    </row>
    <row r="12350" spans="1:14" ht="14.25" customHeight="1" x14ac:dyDescent="0.25">
      <c r="A12350" s="607"/>
      <c r="B12350" s="608"/>
      <c r="C12350" s="609"/>
      <c r="D12350" s="142"/>
      <c r="E12350" s="107"/>
      <c r="F12350" s="106"/>
      <c r="G12350" s="81"/>
      <c r="H12350" s="81"/>
      <c r="I12350" s="81"/>
      <c r="J12350" s="81"/>
      <c r="K12350" s="81"/>
      <c r="L12350" s="81"/>
      <c r="M12350" s="81"/>
      <c r="N12350" s="81"/>
    </row>
    <row r="12351" spans="1:14" ht="14.25" customHeight="1" x14ac:dyDescent="0.25">
      <c r="A12351" s="607"/>
      <c r="B12351" s="608"/>
      <c r="C12351" s="609"/>
      <c r="D12351" s="142"/>
      <c r="E12351" s="107"/>
      <c r="F12351" s="106"/>
      <c r="G12351" s="81"/>
      <c r="H12351" s="81"/>
      <c r="I12351" s="81"/>
      <c r="J12351" s="81"/>
      <c r="K12351" s="81"/>
      <c r="L12351" s="81"/>
      <c r="M12351" s="81"/>
      <c r="N12351" s="81"/>
    </row>
    <row r="12352" spans="1:14" ht="14.25" customHeight="1" x14ac:dyDescent="0.25">
      <c r="A12352" s="607"/>
      <c r="B12352" s="608"/>
      <c r="C12352" s="609"/>
      <c r="D12352" s="142"/>
      <c r="E12352" s="107"/>
      <c r="F12352" s="106"/>
      <c r="G12352" s="81"/>
      <c r="H12352" s="81"/>
      <c r="I12352" s="81"/>
      <c r="J12352" s="81"/>
      <c r="K12352" s="81"/>
      <c r="L12352" s="81"/>
      <c r="M12352" s="81"/>
      <c r="N12352" s="81"/>
    </row>
    <row r="12353" spans="1:14" ht="14.25" customHeight="1" x14ac:dyDescent="0.25">
      <c r="A12353" s="610"/>
      <c r="B12353" s="608"/>
      <c r="C12353" s="609"/>
      <c r="D12353" s="115"/>
      <c r="E12353" s="107"/>
      <c r="F12353" s="106"/>
      <c r="G12353" s="81"/>
      <c r="H12353" s="117"/>
      <c r="I12353" s="81"/>
      <c r="J12353" s="81"/>
      <c r="K12353" s="81"/>
      <c r="L12353" s="81"/>
      <c r="M12353" s="81"/>
      <c r="N12353" s="81"/>
    </row>
    <row r="12354" spans="1:14" ht="14.25" customHeight="1" x14ac:dyDescent="0.25">
      <c r="A12354" s="611" t="s">
        <v>548</v>
      </c>
      <c r="B12354" s="608"/>
      <c r="C12354" s="609"/>
      <c r="D12354" s="110"/>
      <c r="E12354" s="110"/>
      <c r="F12354" s="112">
        <f>SUM(F12345:F12352)</f>
        <v>55.25713196033562</v>
      </c>
      <c r="G12354" s="81"/>
      <c r="H12354" s="81"/>
      <c r="I12354" s="81"/>
      <c r="J12354" s="81"/>
      <c r="K12354" s="81"/>
      <c r="L12354" s="81"/>
      <c r="M12354" s="81"/>
      <c r="N12354" s="81"/>
    </row>
    <row r="12355" spans="1:14" ht="14.25" customHeight="1" x14ac:dyDescent="0.25">
      <c r="A12355" s="88"/>
      <c r="B12355" s="88"/>
      <c r="C12355" s="89"/>
      <c r="D12355" s="113"/>
      <c r="E12355" s="113"/>
      <c r="F12355" s="113"/>
      <c r="G12355" s="81"/>
      <c r="H12355" s="81"/>
      <c r="I12355" s="81"/>
      <c r="J12355" s="81"/>
      <c r="K12355" s="81"/>
      <c r="L12355" s="81"/>
      <c r="M12355" s="81"/>
      <c r="N12355" s="81"/>
    </row>
    <row r="12356" spans="1:14" ht="14.25" customHeight="1" x14ac:dyDescent="0.25">
      <c r="A12356" s="96" t="s">
        <v>578</v>
      </c>
      <c r="B12356" s="96"/>
      <c r="C12356" s="92"/>
      <c r="D12356" s="118"/>
      <c r="E12356" s="118"/>
      <c r="F12356" s="118"/>
      <c r="G12356" s="81"/>
      <c r="H12356" s="143"/>
      <c r="I12356" s="81"/>
      <c r="J12356" s="81"/>
      <c r="K12356" s="81"/>
      <c r="L12356" s="81"/>
      <c r="M12356" s="81"/>
      <c r="N12356" s="81"/>
    </row>
    <row r="12357" spans="1:14" ht="14.25" customHeight="1" x14ac:dyDescent="0.25">
      <c r="A12357" s="119" t="s">
        <v>563</v>
      </c>
      <c r="B12357" s="120" t="s">
        <v>579</v>
      </c>
      <c r="C12357" s="120" t="s">
        <v>580</v>
      </c>
      <c r="D12357" s="121" t="s">
        <v>581</v>
      </c>
      <c r="E12357" s="121" t="s">
        <v>575</v>
      </c>
      <c r="F12357" s="121" t="s">
        <v>568</v>
      </c>
      <c r="G12357" s="81"/>
      <c r="H12357" s="81"/>
      <c r="I12357" s="81"/>
      <c r="J12357" s="81"/>
      <c r="K12357" s="81"/>
      <c r="L12357" s="81"/>
      <c r="M12357" s="81"/>
      <c r="N12357" s="81"/>
    </row>
    <row r="12358" spans="1:14" ht="14.25" customHeight="1" x14ac:dyDescent="0.25">
      <c r="A12358" s="122" t="s">
        <v>593</v>
      </c>
      <c r="B12358" s="127">
        <v>1</v>
      </c>
      <c r="C12358" s="101">
        <v>32688</v>
      </c>
      <c r="D12358" s="101">
        <f t="shared" ref="D12358:D12359" si="606">+C12358*1.7</f>
        <v>55569.599999999999</v>
      </c>
      <c r="E12358" s="107">
        <v>131.1</v>
      </c>
      <c r="F12358" s="106">
        <f t="shared" ref="F12358:F12359" si="607">+B12358*(D12358)/E12358</f>
        <v>423.87185354691076</v>
      </c>
      <c r="G12358" s="81"/>
      <c r="H12358" s="81"/>
      <c r="I12358" s="81"/>
      <c r="J12358" s="81"/>
      <c r="K12358" s="81"/>
      <c r="L12358" s="81"/>
      <c r="M12358" s="81"/>
      <c r="N12358" s="81"/>
    </row>
    <row r="12359" spans="1:14" ht="14.25" customHeight="1" x14ac:dyDescent="0.25">
      <c r="A12359" s="122" t="s">
        <v>594</v>
      </c>
      <c r="B12359" s="127">
        <v>1</v>
      </c>
      <c r="C12359" s="101">
        <v>52538</v>
      </c>
      <c r="D12359" s="101">
        <f t="shared" si="606"/>
        <v>89314.599999999991</v>
      </c>
      <c r="E12359" s="107">
        <f>E12358</f>
        <v>131.1</v>
      </c>
      <c r="F12359" s="106">
        <f t="shared" si="607"/>
        <v>681.27078565980162</v>
      </c>
      <c r="G12359" s="81"/>
      <c r="H12359" s="81"/>
      <c r="I12359" s="81"/>
      <c r="J12359" s="81"/>
      <c r="K12359" s="81"/>
      <c r="L12359" s="81"/>
      <c r="M12359" s="81"/>
      <c r="N12359" s="81"/>
    </row>
    <row r="12360" spans="1:14" ht="14.25" customHeight="1" x14ac:dyDescent="0.25">
      <c r="A12360" s="122"/>
      <c r="B12360" s="127"/>
      <c r="C12360" s="101"/>
      <c r="D12360" s="101"/>
      <c r="E12360" s="105"/>
      <c r="F12360" s="106"/>
      <c r="G12360" s="81"/>
      <c r="H12360" s="81"/>
      <c r="I12360" s="81"/>
      <c r="J12360" s="81"/>
      <c r="K12360" s="81"/>
      <c r="L12360" s="81"/>
      <c r="M12360" s="81"/>
      <c r="N12360" s="81"/>
    </row>
    <row r="12361" spans="1:14" ht="14.25" customHeight="1" x14ac:dyDescent="0.25">
      <c r="A12361" s="122"/>
      <c r="B12361" s="127"/>
      <c r="C12361" s="101"/>
      <c r="D12361" s="101"/>
      <c r="E12361" s="125"/>
      <c r="F12361" s="106"/>
      <c r="G12361" s="81"/>
      <c r="H12361" s="81"/>
      <c r="I12361" s="81"/>
      <c r="J12361" s="81"/>
      <c r="K12361" s="81"/>
      <c r="L12361" s="81"/>
      <c r="M12361" s="81"/>
      <c r="N12361" s="81"/>
    </row>
    <row r="12362" spans="1:14" ht="14.25" customHeight="1" x14ac:dyDescent="0.25">
      <c r="A12362" s="97" t="s">
        <v>548</v>
      </c>
      <c r="B12362" s="128"/>
      <c r="C12362" s="110"/>
      <c r="D12362" s="110"/>
      <c r="E12362" s="110"/>
      <c r="F12362" s="112">
        <f>SUM(F12358:F12361)</f>
        <v>1105.1426392067124</v>
      </c>
      <c r="G12362" s="81"/>
      <c r="H12362" s="81"/>
      <c r="I12362" s="81"/>
      <c r="J12362" s="81"/>
      <c r="K12362" s="81"/>
      <c r="L12362" s="81"/>
      <c r="M12362" s="81"/>
      <c r="N12362" s="81"/>
    </row>
    <row r="12363" spans="1:14" ht="14.25" customHeight="1" x14ac:dyDescent="0.25">
      <c r="A12363" s="96"/>
      <c r="B12363" s="129"/>
      <c r="C12363" s="118"/>
      <c r="D12363" s="118"/>
      <c r="E12363" s="118"/>
      <c r="F12363" s="118"/>
      <c r="G12363" s="81"/>
      <c r="H12363" s="81"/>
      <c r="I12363" s="81"/>
      <c r="J12363" s="81"/>
      <c r="K12363" s="81"/>
      <c r="L12363" s="81"/>
      <c r="M12363" s="81"/>
      <c r="N12363" s="81"/>
    </row>
    <row r="12364" spans="1:14" ht="14.25" customHeight="1" x14ac:dyDescent="0.25">
      <c r="A12364" s="95" t="s">
        <v>583</v>
      </c>
      <c r="B12364" s="96"/>
      <c r="C12364" s="92"/>
      <c r="D12364" s="92"/>
      <c r="E12364" s="92" t="s">
        <v>584</v>
      </c>
      <c r="F12364" s="92"/>
      <c r="G12364" s="81"/>
      <c r="H12364" s="81"/>
      <c r="I12364" s="81"/>
      <c r="J12364" s="81"/>
      <c r="K12364" s="81"/>
      <c r="L12364" s="81"/>
      <c r="M12364" s="81"/>
      <c r="N12364" s="81"/>
    </row>
    <row r="12365" spans="1:14" ht="14.25" customHeight="1" x14ac:dyDescent="0.25">
      <c r="A12365" s="97" t="s">
        <v>563</v>
      </c>
      <c r="B12365" s="98" t="s">
        <v>564</v>
      </c>
      <c r="C12365" s="98" t="s">
        <v>585</v>
      </c>
      <c r="D12365" s="98" t="s">
        <v>586</v>
      </c>
      <c r="E12365" s="120" t="s">
        <v>587</v>
      </c>
      <c r="F12365" s="98" t="s">
        <v>568</v>
      </c>
      <c r="G12365" s="81"/>
      <c r="H12365" s="81"/>
      <c r="I12365" s="81"/>
      <c r="J12365" s="81"/>
      <c r="K12365" s="81"/>
      <c r="L12365" s="81"/>
      <c r="M12365" s="81"/>
      <c r="N12365" s="81"/>
    </row>
    <row r="12366" spans="1:14" ht="14.25" customHeight="1" x14ac:dyDescent="0.25">
      <c r="A12366" s="103"/>
      <c r="B12366" s="100"/>
      <c r="C12366" s="101"/>
      <c r="D12366" s="140"/>
      <c r="E12366" s="107"/>
      <c r="F12366" s="109"/>
      <c r="G12366" s="81"/>
      <c r="H12366" s="81"/>
      <c r="I12366" s="81"/>
      <c r="J12366" s="81"/>
      <c r="K12366" s="81"/>
      <c r="L12366" s="81"/>
      <c r="M12366" s="81"/>
      <c r="N12366" s="81"/>
    </row>
    <row r="12367" spans="1:14" ht="14.25" customHeight="1" x14ac:dyDescent="0.25">
      <c r="A12367" s="103"/>
      <c r="B12367" s="100"/>
      <c r="C12367" s="107"/>
      <c r="D12367" s="107"/>
      <c r="E12367" s="108"/>
      <c r="F12367" s="109"/>
      <c r="G12367" s="81"/>
      <c r="H12367" s="81"/>
      <c r="I12367" s="81"/>
      <c r="J12367" s="81"/>
      <c r="K12367" s="81"/>
      <c r="L12367" s="81"/>
      <c r="M12367" s="81"/>
      <c r="N12367" s="81"/>
    </row>
    <row r="12368" spans="1:14" ht="14.25" customHeight="1" x14ac:dyDescent="0.25">
      <c r="A12368" s="97" t="s">
        <v>548</v>
      </c>
      <c r="B12368" s="98"/>
      <c r="C12368" s="110"/>
      <c r="D12368" s="110"/>
      <c r="E12368" s="111"/>
      <c r="F12368" s="112">
        <f>SUM(F12366:F12367)</f>
        <v>0</v>
      </c>
      <c r="G12368" s="81"/>
      <c r="H12368" s="81"/>
      <c r="I12368" s="81"/>
      <c r="J12368" s="81"/>
      <c r="K12368" s="81"/>
      <c r="L12368" s="81"/>
      <c r="M12368" s="81"/>
      <c r="N12368" s="81"/>
    </row>
    <row r="12369" spans="1:16384" ht="14.25" customHeight="1" x14ac:dyDescent="0.25">
      <c r="A12369" s="88"/>
      <c r="B12369" s="89"/>
      <c r="C12369" s="113"/>
      <c r="D12369" s="113"/>
      <c r="E12369" s="114"/>
      <c r="F12369" s="113"/>
      <c r="G12369" s="81"/>
      <c r="H12369" s="81"/>
      <c r="I12369" s="81"/>
      <c r="J12369" s="81"/>
      <c r="K12369" s="81"/>
      <c r="L12369" s="81"/>
      <c r="M12369" s="81"/>
      <c r="N12369" s="81"/>
    </row>
    <row r="12370" spans="1:16384" ht="66.95" customHeight="1" x14ac:dyDescent="0.25">
      <c r="A12370" s="88"/>
      <c r="B12370" s="89"/>
      <c r="C12370" s="113"/>
      <c r="D12370" s="113"/>
      <c r="E12370" s="114"/>
      <c r="F12370" s="113"/>
      <c r="G12370" s="81"/>
      <c r="H12370" s="81"/>
      <c r="I12370" s="81"/>
      <c r="J12370" s="81"/>
      <c r="K12370" s="81"/>
      <c r="L12370" s="81"/>
      <c r="M12370" s="81"/>
      <c r="N12370" s="81"/>
    </row>
    <row r="12371" spans="1:16384" ht="14.25" customHeight="1" x14ac:dyDescent="0.25">
      <c r="A12371" s="612" t="s">
        <v>588</v>
      </c>
      <c r="B12371" s="608"/>
      <c r="C12371" s="608"/>
      <c r="D12371" s="608"/>
      <c r="E12371" s="609"/>
      <c r="F12371" s="131">
        <f>ROUND(F12341+F12354+F12362+F12368,0)</f>
        <v>5203</v>
      </c>
      <c r="G12371" s="81"/>
      <c r="H12371" s="81"/>
      <c r="I12371" s="81"/>
      <c r="J12371" s="81"/>
      <c r="K12371" s="81"/>
      <c r="L12371" s="81"/>
      <c r="M12371" s="81"/>
      <c r="N12371" s="81"/>
    </row>
    <row r="12372" spans="1:16384" ht="14.25" customHeight="1" x14ac:dyDescent="0.25">
      <c r="A12372" s="612" t="s">
        <v>589</v>
      </c>
      <c r="B12372" s="608"/>
      <c r="C12372" s="608"/>
      <c r="D12372" s="608"/>
      <c r="E12372" s="609"/>
      <c r="F12372" s="132"/>
      <c r="G12372" s="81"/>
      <c r="H12372" s="81"/>
      <c r="I12372" s="81"/>
      <c r="J12372" s="81"/>
      <c r="K12372" s="81"/>
      <c r="L12372" s="81"/>
      <c r="M12372" s="81"/>
      <c r="N12372" s="81"/>
    </row>
    <row r="12373" spans="1:16384" ht="14.25" customHeight="1" x14ac:dyDescent="0.25">
      <c r="A12373" s="146" t="s">
        <v>556</v>
      </c>
      <c r="B12373" s="147"/>
      <c r="C12373" s="147"/>
      <c r="D12373" s="147"/>
      <c r="E12373" s="148"/>
      <c r="F12373" s="133"/>
      <c r="G12373" s="81"/>
      <c r="H12373" s="81"/>
      <c r="I12373" s="81"/>
      <c r="J12373" s="81"/>
      <c r="K12373" s="81"/>
      <c r="L12373" s="81"/>
      <c r="M12373" s="81"/>
      <c r="N12373" s="81"/>
    </row>
    <row r="12374" spans="1:16384" ht="14.25" customHeight="1" x14ac:dyDescent="0.25">
      <c r="A12374" s="134"/>
      <c r="B12374" s="135"/>
      <c r="C12374" s="135"/>
      <c r="D12374" s="135"/>
      <c r="E12374" s="135"/>
      <c r="F12374" s="136"/>
      <c r="G12374" s="81"/>
      <c r="H12374" s="81"/>
      <c r="I12374" s="81"/>
      <c r="J12374" s="81"/>
      <c r="K12374" s="81"/>
      <c r="L12374" s="81"/>
      <c r="M12374" s="81"/>
      <c r="N12374" s="81"/>
    </row>
    <row r="12375" spans="1:16384" ht="14.25" customHeight="1" x14ac:dyDescent="0.25">
      <c r="A12375" s="81"/>
      <c r="B12375" s="81"/>
      <c r="C12375" s="137"/>
      <c r="D12375" s="81"/>
      <c r="E12375" s="81"/>
      <c r="F12375" s="81"/>
      <c r="G12375" s="81"/>
      <c r="H12375" s="81"/>
      <c r="I12375" s="81"/>
      <c r="J12375" s="81"/>
      <c r="K12375" s="81"/>
      <c r="L12375" s="81"/>
      <c r="M12375" s="81"/>
      <c r="N12375" s="81"/>
    </row>
    <row r="12376" spans="1:16384" ht="15.75" x14ac:dyDescent="0.25">
      <c r="A12376" s="81"/>
      <c r="B12376" s="81"/>
      <c r="C12376" s="137"/>
      <c r="D12376" s="81"/>
      <c r="E12376" s="81"/>
      <c r="F12376" s="81"/>
      <c r="G12376" s="81"/>
      <c r="H12376" s="81"/>
      <c r="I12376" s="81"/>
      <c r="J12376" s="81"/>
      <c r="K12376" s="81"/>
      <c r="L12376" s="81"/>
      <c r="M12376" s="81"/>
      <c r="N12376" s="81"/>
    </row>
    <row r="12377" spans="1:16384" ht="15.75" x14ac:dyDescent="0.25">
      <c r="A12377" s="81"/>
      <c r="B12377" s="81"/>
      <c r="C12377" s="137"/>
      <c r="D12377" s="81"/>
      <c r="E12377" s="81"/>
      <c r="F12377" s="81"/>
      <c r="G12377" s="99"/>
      <c r="H12377" s="100"/>
      <c r="I12377" s="205"/>
      <c r="J12377" s="149"/>
      <c r="K12377" s="102"/>
      <c r="L12377" s="101"/>
      <c r="M12377" s="99"/>
      <c r="N12377" s="100"/>
      <c r="O12377" s="205"/>
      <c r="P12377" s="149"/>
      <c r="Q12377" s="102"/>
      <c r="R12377" s="101"/>
      <c r="S12377" s="99"/>
      <c r="T12377" s="100"/>
      <c r="U12377" s="205"/>
      <c r="V12377" s="149"/>
      <c r="W12377" s="102"/>
      <c r="X12377" s="101"/>
      <c r="Y12377" s="99"/>
      <c r="Z12377" s="100"/>
      <c r="AA12377" s="205"/>
      <c r="AB12377" s="149"/>
      <c r="AC12377" s="102"/>
      <c r="AD12377" s="101"/>
      <c r="AE12377" s="99"/>
      <c r="AF12377" s="100"/>
      <c r="AG12377" s="205"/>
      <c r="AH12377" s="149"/>
      <c r="AI12377" s="102"/>
      <c r="AJ12377" s="101"/>
      <c r="AK12377" s="99"/>
      <c r="AL12377" s="100"/>
      <c r="AM12377" s="205"/>
      <c r="AN12377" s="149"/>
      <c r="AO12377" s="102"/>
      <c r="AP12377" s="101"/>
      <c r="AQ12377" s="99"/>
      <c r="AR12377" s="100"/>
      <c r="AS12377" s="205"/>
      <c r="AT12377" s="149"/>
      <c r="AU12377" s="102"/>
      <c r="AV12377" s="101"/>
      <c r="AW12377" s="99"/>
      <c r="AX12377" s="100"/>
      <c r="AY12377" s="205"/>
      <c r="AZ12377" s="149"/>
      <c r="BA12377" s="102"/>
      <c r="BB12377" s="101"/>
      <c r="BC12377" s="99"/>
      <c r="BD12377" s="100"/>
      <c r="BE12377" s="205"/>
      <c r="BF12377" s="149"/>
      <c r="BG12377" s="102"/>
      <c r="BH12377" s="101"/>
      <c r="BI12377" s="99"/>
      <c r="BJ12377" s="100"/>
      <c r="BK12377" s="205"/>
      <c r="BL12377" s="149"/>
      <c r="BM12377" s="102"/>
      <c r="BN12377" s="101"/>
      <c r="BO12377" s="99"/>
      <c r="BP12377" s="100"/>
      <c r="BQ12377" s="205"/>
      <c r="BR12377" s="149"/>
      <c r="BS12377" s="102"/>
      <c r="BT12377" s="101"/>
      <c r="BU12377" s="99"/>
      <c r="BV12377" s="100"/>
      <c r="BW12377" s="205"/>
      <c r="BX12377" s="149"/>
      <c r="BY12377" s="102"/>
      <c r="BZ12377" s="101"/>
      <c r="CA12377" s="99"/>
      <c r="CB12377" s="100"/>
      <c r="CC12377" s="205"/>
      <c r="CD12377" s="149"/>
      <c r="CE12377" s="102"/>
      <c r="CF12377" s="101"/>
      <c r="CG12377" s="99"/>
      <c r="CH12377" s="100"/>
      <c r="CI12377" s="205"/>
      <c r="CJ12377" s="149"/>
      <c r="CK12377" s="102"/>
      <c r="CL12377" s="101"/>
      <c r="CM12377" s="99"/>
      <c r="CN12377" s="100"/>
      <c r="CO12377" s="205"/>
      <c r="CP12377" s="149"/>
      <c r="CQ12377" s="102"/>
      <c r="CR12377" s="101"/>
      <c r="CS12377" s="99"/>
      <c r="CT12377" s="100"/>
      <c r="CU12377" s="205"/>
      <c r="CV12377" s="149"/>
      <c r="CW12377" s="102"/>
      <c r="CX12377" s="101"/>
      <c r="CY12377" s="99"/>
      <c r="CZ12377" s="100"/>
      <c r="DA12377" s="205"/>
      <c r="DB12377" s="149"/>
      <c r="DC12377" s="102"/>
      <c r="DD12377" s="101"/>
      <c r="DE12377" s="99"/>
      <c r="DF12377" s="100"/>
      <c r="DG12377" s="205"/>
      <c r="DH12377" s="149"/>
      <c r="DI12377" s="102"/>
      <c r="DJ12377" s="101"/>
      <c r="DK12377" s="99"/>
      <c r="DL12377" s="100"/>
      <c r="DM12377" s="205"/>
      <c r="DN12377" s="149"/>
      <c r="DO12377" s="102"/>
      <c r="DP12377" s="101"/>
      <c r="DQ12377" s="99"/>
      <c r="DR12377" s="100"/>
      <c r="DS12377" s="205"/>
      <c r="DT12377" s="149"/>
      <c r="DU12377" s="102"/>
      <c r="DV12377" s="101"/>
      <c r="DW12377" s="99"/>
      <c r="DX12377" s="100"/>
      <c r="DY12377" s="205"/>
      <c r="DZ12377" s="149"/>
      <c r="EA12377" s="102"/>
      <c r="EB12377" s="101"/>
      <c r="EC12377" s="99"/>
      <c r="ED12377" s="100"/>
      <c r="EE12377" s="205"/>
      <c r="EF12377" s="149"/>
      <c r="EG12377" s="102"/>
      <c r="EH12377" s="101"/>
      <c r="EI12377" s="99"/>
      <c r="EJ12377" s="100"/>
      <c r="EK12377" s="205"/>
      <c r="EL12377" s="149"/>
      <c r="EM12377" s="102"/>
      <c r="EN12377" s="101"/>
      <c r="EO12377" s="99"/>
      <c r="EP12377" s="100"/>
      <c r="EQ12377" s="205"/>
      <c r="ER12377" s="149"/>
      <c r="ES12377" s="102"/>
      <c r="ET12377" s="101"/>
      <c r="EU12377" s="99"/>
      <c r="EV12377" s="100"/>
      <c r="EW12377" s="205"/>
      <c r="EX12377" s="149"/>
      <c r="EY12377" s="102"/>
      <c r="EZ12377" s="101"/>
      <c r="FA12377" s="99"/>
      <c r="FB12377" s="100"/>
      <c r="FC12377" s="205"/>
      <c r="FD12377" s="149"/>
      <c r="FE12377" s="102"/>
      <c r="FF12377" s="101"/>
      <c r="FG12377" s="99"/>
      <c r="FH12377" s="100"/>
      <c r="FI12377" s="205"/>
      <c r="FJ12377" s="149"/>
      <c r="FK12377" s="102"/>
      <c r="FL12377" s="101"/>
      <c r="FM12377" s="99"/>
      <c r="FN12377" s="100"/>
      <c r="FO12377" s="205"/>
      <c r="FP12377" s="149"/>
      <c r="FQ12377" s="102"/>
      <c r="FR12377" s="101"/>
      <c r="FS12377" s="99"/>
      <c r="FT12377" s="100"/>
      <c r="FU12377" s="205"/>
      <c r="FV12377" s="149"/>
      <c r="FW12377" s="102"/>
      <c r="FX12377" s="101"/>
      <c r="FY12377" s="99"/>
      <c r="FZ12377" s="100"/>
      <c r="GA12377" s="205"/>
      <c r="GB12377" s="149"/>
      <c r="GC12377" s="102"/>
      <c r="GD12377" s="101"/>
      <c r="GE12377" s="99"/>
      <c r="GF12377" s="100"/>
      <c r="GG12377" s="205"/>
      <c r="GH12377" s="149"/>
      <c r="GI12377" s="102"/>
      <c r="GJ12377" s="101"/>
      <c r="GK12377" s="99"/>
      <c r="GL12377" s="100"/>
      <c r="GM12377" s="205"/>
      <c r="GN12377" s="149"/>
      <c r="GO12377" s="102"/>
      <c r="GP12377" s="101"/>
      <c r="GQ12377" s="99"/>
      <c r="GR12377" s="100"/>
      <c r="GS12377" s="205"/>
      <c r="GT12377" s="149"/>
      <c r="GU12377" s="102"/>
      <c r="GV12377" s="101"/>
      <c r="GW12377" s="99"/>
      <c r="GX12377" s="100"/>
      <c r="GY12377" s="205"/>
      <c r="GZ12377" s="149"/>
      <c r="HA12377" s="102"/>
      <c r="HB12377" s="101"/>
      <c r="HC12377" s="99"/>
      <c r="HD12377" s="100"/>
      <c r="HE12377" s="205"/>
      <c r="HF12377" s="149"/>
      <c r="HG12377" s="102"/>
      <c r="HH12377" s="101"/>
      <c r="HI12377" s="99"/>
      <c r="HJ12377" s="100"/>
      <c r="HK12377" s="205"/>
      <c r="HL12377" s="149"/>
      <c r="HM12377" s="102"/>
      <c r="HN12377" s="101"/>
      <c r="HO12377" s="99"/>
      <c r="HP12377" s="100"/>
      <c r="HQ12377" s="205"/>
      <c r="HR12377" s="149"/>
      <c r="HS12377" s="102"/>
      <c r="HT12377" s="101"/>
      <c r="HU12377" s="99"/>
      <c r="HV12377" s="100"/>
      <c r="HW12377" s="205"/>
      <c r="HX12377" s="149"/>
      <c r="HY12377" s="102"/>
      <c r="HZ12377" s="101"/>
      <c r="IA12377" s="99"/>
      <c r="IB12377" s="100"/>
      <c r="IC12377" s="205"/>
      <c r="ID12377" s="149"/>
      <c r="IE12377" s="102"/>
      <c r="IF12377" s="101"/>
      <c r="IG12377" s="99"/>
      <c r="IH12377" s="100"/>
      <c r="II12377" s="205"/>
      <c r="IJ12377" s="149"/>
      <c r="IK12377" s="102"/>
      <c r="IL12377" s="101"/>
      <c r="IM12377" s="99"/>
      <c r="IN12377" s="100"/>
      <c r="IO12377" s="205"/>
      <c r="IP12377" s="149"/>
      <c r="IQ12377" s="102"/>
      <c r="IR12377" s="101"/>
      <c r="IS12377" s="99"/>
      <c r="IT12377" s="100"/>
      <c r="IU12377" s="205"/>
      <c r="IV12377" s="149"/>
      <c r="IW12377" s="102"/>
      <c r="IX12377" s="101"/>
      <c r="IY12377" s="99"/>
      <c r="IZ12377" s="100"/>
      <c r="JA12377" s="205"/>
      <c r="JB12377" s="149"/>
      <c r="JC12377" s="102"/>
      <c r="JD12377" s="101"/>
      <c r="JE12377" s="99"/>
      <c r="JF12377" s="100"/>
      <c r="JG12377" s="205"/>
      <c r="JH12377" s="149"/>
      <c r="JI12377" s="102"/>
      <c r="JJ12377" s="101"/>
      <c r="JK12377" s="99"/>
      <c r="JL12377" s="100"/>
      <c r="JM12377" s="205"/>
      <c r="JN12377" s="149"/>
      <c r="JO12377" s="102"/>
      <c r="JP12377" s="101"/>
      <c r="JQ12377" s="99"/>
      <c r="JR12377" s="100"/>
      <c r="JS12377" s="205"/>
      <c r="JT12377" s="149"/>
      <c r="JU12377" s="102"/>
      <c r="JV12377" s="101"/>
      <c r="JW12377" s="99"/>
      <c r="JX12377" s="100"/>
      <c r="JY12377" s="205"/>
      <c r="JZ12377" s="149"/>
      <c r="KA12377" s="102"/>
      <c r="KB12377" s="101"/>
      <c r="KC12377" s="99"/>
      <c r="KD12377" s="100"/>
      <c r="KE12377" s="205"/>
      <c r="KF12377" s="149"/>
      <c r="KG12377" s="102"/>
      <c r="KH12377" s="101"/>
      <c r="KI12377" s="99"/>
      <c r="KJ12377" s="100"/>
      <c r="KK12377" s="205"/>
      <c r="KL12377" s="149"/>
      <c r="KM12377" s="102"/>
      <c r="KN12377" s="101"/>
      <c r="KO12377" s="99"/>
      <c r="KP12377" s="100"/>
      <c r="KQ12377" s="205"/>
      <c r="KR12377" s="149"/>
      <c r="KS12377" s="102"/>
      <c r="KT12377" s="101"/>
      <c r="KU12377" s="99"/>
      <c r="KV12377" s="100"/>
      <c r="KW12377" s="205"/>
      <c r="KX12377" s="149"/>
      <c r="KY12377" s="102"/>
      <c r="KZ12377" s="101"/>
      <c r="LA12377" s="99"/>
      <c r="LB12377" s="100"/>
      <c r="LC12377" s="205"/>
      <c r="LD12377" s="149"/>
      <c r="LE12377" s="102"/>
      <c r="LF12377" s="101"/>
      <c r="LG12377" s="99"/>
      <c r="LH12377" s="100"/>
      <c r="LI12377" s="205"/>
      <c r="LJ12377" s="149"/>
      <c r="LK12377" s="102"/>
      <c r="LL12377" s="101"/>
      <c r="LM12377" s="99"/>
      <c r="LN12377" s="100"/>
      <c r="LO12377" s="205"/>
      <c r="LP12377" s="149"/>
      <c r="LQ12377" s="102"/>
      <c r="LR12377" s="101"/>
      <c r="LS12377" s="99"/>
      <c r="LT12377" s="100"/>
      <c r="LU12377" s="205"/>
      <c r="LV12377" s="149"/>
      <c r="LW12377" s="102"/>
      <c r="LX12377" s="101"/>
      <c r="LY12377" s="99"/>
      <c r="LZ12377" s="100"/>
      <c r="MA12377" s="205"/>
      <c r="MB12377" s="149"/>
      <c r="MC12377" s="102"/>
      <c r="MD12377" s="101"/>
      <c r="ME12377" s="99"/>
      <c r="MF12377" s="100"/>
      <c r="MG12377" s="205"/>
      <c r="MH12377" s="149"/>
      <c r="MI12377" s="102"/>
      <c r="MJ12377" s="101"/>
      <c r="MK12377" s="99"/>
      <c r="ML12377" s="100"/>
      <c r="MM12377" s="205"/>
      <c r="MN12377" s="149"/>
      <c r="MO12377" s="102"/>
      <c r="MP12377" s="101"/>
      <c r="MQ12377" s="99"/>
      <c r="MR12377" s="100"/>
      <c r="MS12377" s="205"/>
      <c r="MT12377" s="149"/>
      <c r="MU12377" s="102"/>
      <c r="MV12377" s="101"/>
      <c r="MW12377" s="99"/>
      <c r="MX12377" s="100"/>
      <c r="MY12377" s="205"/>
      <c r="MZ12377" s="149"/>
      <c r="NA12377" s="102"/>
      <c r="NB12377" s="101"/>
      <c r="NC12377" s="99"/>
      <c r="ND12377" s="100"/>
      <c r="NE12377" s="205"/>
      <c r="NF12377" s="149"/>
      <c r="NG12377" s="102"/>
      <c r="NH12377" s="101"/>
      <c r="NI12377" s="99"/>
      <c r="NJ12377" s="100"/>
      <c r="NK12377" s="205"/>
      <c r="NL12377" s="149"/>
      <c r="NM12377" s="102"/>
      <c r="NN12377" s="101"/>
      <c r="NO12377" s="99"/>
      <c r="NP12377" s="100"/>
      <c r="NQ12377" s="205"/>
      <c r="NR12377" s="149"/>
      <c r="NS12377" s="102"/>
      <c r="NT12377" s="101"/>
      <c r="NU12377" s="99"/>
      <c r="NV12377" s="100"/>
      <c r="NW12377" s="205"/>
      <c r="NX12377" s="149"/>
      <c r="NY12377" s="102"/>
      <c r="NZ12377" s="101"/>
      <c r="OA12377" s="99"/>
      <c r="OB12377" s="100"/>
      <c r="OC12377" s="205"/>
      <c r="OD12377" s="149"/>
      <c r="OE12377" s="102"/>
      <c r="OF12377" s="101"/>
      <c r="OG12377" s="99"/>
      <c r="OH12377" s="100"/>
      <c r="OI12377" s="205"/>
      <c r="OJ12377" s="149"/>
      <c r="OK12377" s="102"/>
      <c r="OL12377" s="101"/>
      <c r="OM12377" s="99"/>
      <c r="ON12377" s="100"/>
      <c r="OO12377" s="205"/>
      <c r="OP12377" s="149"/>
      <c r="OQ12377" s="102"/>
      <c r="OR12377" s="101"/>
      <c r="OS12377" s="99"/>
      <c r="OT12377" s="100"/>
      <c r="OU12377" s="205"/>
      <c r="OV12377" s="149"/>
      <c r="OW12377" s="102"/>
      <c r="OX12377" s="101"/>
      <c r="OY12377" s="99"/>
      <c r="OZ12377" s="100"/>
      <c r="PA12377" s="205"/>
      <c r="PB12377" s="149"/>
      <c r="PC12377" s="102"/>
      <c r="PD12377" s="101"/>
      <c r="PE12377" s="99"/>
      <c r="PF12377" s="100"/>
      <c r="PG12377" s="205"/>
      <c r="PH12377" s="149"/>
      <c r="PI12377" s="102"/>
      <c r="PJ12377" s="101"/>
      <c r="PK12377" s="99"/>
      <c r="PL12377" s="100"/>
      <c r="PM12377" s="205"/>
      <c r="PN12377" s="149"/>
      <c r="PO12377" s="102"/>
      <c r="PP12377" s="101"/>
      <c r="PQ12377" s="99"/>
      <c r="PR12377" s="100"/>
      <c r="PS12377" s="205"/>
      <c r="PT12377" s="149"/>
      <c r="PU12377" s="102"/>
      <c r="PV12377" s="101"/>
      <c r="PW12377" s="99"/>
      <c r="PX12377" s="100"/>
      <c r="PY12377" s="205"/>
      <c r="PZ12377" s="149"/>
      <c r="QA12377" s="102"/>
      <c r="QB12377" s="101"/>
      <c r="QC12377" s="99"/>
      <c r="QD12377" s="100"/>
      <c r="QE12377" s="205"/>
      <c r="QF12377" s="149"/>
      <c r="QG12377" s="102"/>
      <c r="QH12377" s="101"/>
      <c r="QI12377" s="99"/>
      <c r="QJ12377" s="100"/>
      <c r="QK12377" s="205"/>
      <c r="QL12377" s="149"/>
      <c r="QM12377" s="102"/>
      <c r="QN12377" s="101"/>
      <c r="QO12377" s="99"/>
      <c r="QP12377" s="100"/>
      <c r="QQ12377" s="205"/>
      <c r="QR12377" s="149"/>
      <c r="QS12377" s="102"/>
      <c r="QT12377" s="101"/>
      <c r="QU12377" s="99"/>
      <c r="QV12377" s="100"/>
      <c r="QW12377" s="205"/>
      <c r="QX12377" s="149"/>
      <c r="QY12377" s="102"/>
      <c r="QZ12377" s="101"/>
      <c r="RA12377" s="99"/>
      <c r="RB12377" s="100"/>
      <c r="RC12377" s="205"/>
      <c r="RD12377" s="149"/>
      <c r="RE12377" s="102"/>
      <c r="RF12377" s="101"/>
      <c r="RG12377" s="99"/>
      <c r="RH12377" s="100"/>
      <c r="RI12377" s="205"/>
      <c r="RJ12377" s="149"/>
      <c r="RK12377" s="102"/>
      <c r="RL12377" s="101"/>
      <c r="RM12377" s="99"/>
      <c r="RN12377" s="100"/>
      <c r="RO12377" s="205"/>
      <c r="RP12377" s="149"/>
      <c r="RQ12377" s="102"/>
      <c r="RR12377" s="101"/>
      <c r="RS12377" s="99"/>
      <c r="RT12377" s="100"/>
      <c r="RU12377" s="205"/>
      <c r="RV12377" s="149"/>
      <c r="RW12377" s="102"/>
      <c r="RX12377" s="101"/>
      <c r="RY12377" s="99"/>
      <c r="RZ12377" s="100"/>
      <c r="SA12377" s="205"/>
      <c r="SB12377" s="149"/>
      <c r="SC12377" s="102"/>
      <c r="SD12377" s="101"/>
      <c r="SE12377" s="99"/>
      <c r="SF12377" s="100"/>
      <c r="SG12377" s="205"/>
      <c r="SH12377" s="149"/>
      <c r="SI12377" s="102"/>
      <c r="SJ12377" s="101"/>
      <c r="SK12377" s="99"/>
      <c r="SL12377" s="100"/>
      <c r="SM12377" s="205"/>
      <c r="SN12377" s="149"/>
      <c r="SO12377" s="102"/>
      <c r="SP12377" s="101"/>
      <c r="SQ12377" s="99"/>
      <c r="SR12377" s="100"/>
      <c r="SS12377" s="205"/>
      <c r="ST12377" s="149"/>
      <c r="SU12377" s="102"/>
      <c r="SV12377" s="101"/>
      <c r="SW12377" s="99"/>
      <c r="SX12377" s="100"/>
      <c r="SY12377" s="205"/>
      <c r="SZ12377" s="149"/>
      <c r="TA12377" s="102"/>
      <c r="TB12377" s="101"/>
      <c r="TC12377" s="99"/>
      <c r="TD12377" s="100"/>
      <c r="TE12377" s="205"/>
      <c r="TF12377" s="149"/>
      <c r="TG12377" s="102"/>
      <c r="TH12377" s="101"/>
      <c r="TI12377" s="99"/>
      <c r="TJ12377" s="100"/>
      <c r="TK12377" s="205"/>
      <c r="TL12377" s="149"/>
      <c r="TM12377" s="102"/>
      <c r="TN12377" s="101"/>
      <c r="TO12377" s="99"/>
      <c r="TP12377" s="100"/>
      <c r="TQ12377" s="205"/>
      <c r="TR12377" s="149"/>
      <c r="TS12377" s="102"/>
      <c r="TT12377" s="101"/>
      <c r="TU12377" s="99"/>
      <c r="TV12377" s="100"/>
      <c r="TW12377" s="205"/>
      <c r="TX12377" s="149"/>
      <c r="TY12377" s="102"/>
      <c r="TZ12377" s="101"/>
      <c r="UA12377" s="99"/>
      <c r="UB12377" s="100"/>
      <c r="UC12377" s="205"/>
      <c r="UD12377" s="149"/>
      <c r="UE12377" s="102"/>
      <c r="UF12377" s="101"/>
      <c r="UG12377" s="99"/>
      <c r="UH12377" s="100"/>
      <c r="UI12377" s="205"/>
      <c r="UJ12377" s="149"/>
      <c r="UK12377" s="102"/>
      <c r="UL12377" s="101"/>
      <c r="UM12377" s="99"/>
      <c r="UN12377" s="100"/>
      <c r="UO12377" s="205"/>
      <c r="UP12377" s="149"/>
      <c r="UQ12377" s="102"/>
      <c r="UR12377" s="101"/>
      <c r="US12377" s="99"/>
      <c r="UT12377" s="100"/>
      <c r="UU12377" s="205"/>
      <c r="UV12377" s="149"/>
      <c r="UW12377" s="102"/>
      <c r="UX12377" s="101"/>
      <c r="UY12377" s="99"/>
      <c r="UZ12377" s="100"/>
      <c r="VA12377" s="205"/>
      <c r="VB12377" s="149"/>
      <c r="VC12377" s="102"/>
      <c r="VD12377" s="101"/>
      <c r="VE12377" s="99"/>
      <c r="VF12377" s="100"/>
      <c r="VG12377" s="205"/>
      <c r="VH12377" s="149"/>
      <c r="VI12377" s="102"/>
      <c r="VJ12377" s="101"/>
      <c r="VK12377" s="99"/>
      <c r="VL12377" s="100"/>
      <c r="VM12377" s="205"/>
      <c r="VN12377" s="149"/>
      <c r="VO12377" s="102"/>
      <c r="VP12377" s="101"/>
      <c r="VQ12377" s="99"/>
      <c r="VR12377" s="100"/>
      <c r="VS12377" s="205"/>
      <c r="VT12377" s="149"/>
      <c r="VU12377" s="102"/>
      <c r="VV12377" s="101"/>
      <c r="VW12377" s="99"/>
      <c r="VX12377" s="100"/>
      <c r="VY12377" s="205"/>
      <c r="VZ12377" s="149"/>
      <c r="WA12377" s="102"/>
      <c r="WB12377" s="101"/>
      <c r="WC12377" s="99"/>
      <c r="WD12377" s="100"/>
      <c r="WE12377" s="205"/>
      <c r="WF12377" s="149"/>
      <c r="WG12377" s="102"/>
      <c r="WH12377" s="101"/>
      <c r="WI12377" s="99"/>
      <c r="WJ12377" s="100"/>
      <c r="WK12377" s="205"/>
      <c r="WL12377" s="149"/>
      <c r="WM12377" s="102"/>
      <c r="WN12377" s="101"/>
      <c r="WO12377" s="99"/>
      <c r="WP12377" s="100"/>
      <c r="WQ12377" s="205"/>
      <c r="WR12377" s="149"/>
      <c r="WS12377" s="102"/>
      <c r="WT12377" s="101"/>
      <c r="WU12377" s="99"/>
      <c r="WV12377" s="100"/>
      <c r="WW12377" s="205"/>
      <c r="WX12377" s="149"/>
      <c r="WY12377" s="102"/>
      <c r="WZ12377" s="101"/>
      <c r="XA12377" s="99"/>
      <c r="XB12377" s="100"/>
      <c r="XC12377" s="205"/>
      <c r="XD12377" s="149"/>
      <c r="XE12377" s="102"/>
      <c r="XF12377" s="101"/>
      <c r="XG12377" s="99"/>
      <c r="XH12377" s="100"/>
      <c r="XI12377" s="205"/>
      <c r="XJ12377" s="149"/>
      <c r="XK12377" s="102"/>
      <c r="XL12377" s="101"/>
      <c r="XM12377" s="99"/>
      <c r="XN12377" s="100"/>
      <c r="XO12377" s="205"/>
      <c r="XP12377" s="149"/>
      <c r="XQ12377" s="102"/>
      <c r="XR12377" s="101"/>
      <c r="XS12377" s="99"/>
      <c r="XT12377" s="100"/>
      <c r="XU12377" s="205"/>
      <c r="XV12377" s="149"/>
      <c r="XW12377" s="102"/>
      <c r="XX12377" s="101"/>
      <c r="XY12377" s="99"/>
      <c r="XZ12377" s="100"/>
      <c r="YA12377" s="205"/>
      <c r="YB12377" s="149"/>
      <c r="YC12377" s="102"/>
      <c r="YD12377" s="101"/>
      <c r="YE12377" s="99"/>
      <c r="YF12377" s="100"/>
      <c r="YG12377" s="205"/>
      <c r="YH12377" s="149"/>
      <c r="YI12377" s="102"/>
      <c r="YJ12377" s="101"/>
      <c r="YK12377" s="99"/>
      <c r="YL12377" s="100"/>
      <c r="YM12377" s="205"/>
      <c r="YN12377" s="149"/>
      <c r="YO12377" s="102"/>
      <c r="YP12377" s="101"/>
      <c r="YQ12377" s="99"/>
      <c r="YR12377" s="100"/>
      <c r="YS12377" s="205"/>
      <c r="YT12377" s="149"/>
      <c r="YU12377" s="102"/>
      <c r="YV12377" s="101"/>
      <c r="YW12377" s="99"/>
      <c r="YX12377" s="100"/>
      <c r="YY12377" s="205"/>
      <c r="YZ12377" s="149"/>
      <c r="ZA12377" s="102"/>
      <c r="ZB12377" s="101"/>
      <c r="ZC12377" s="99"/>
      <c r="ZD12377" s="100"/>
      <c r="ZE12377" s="205"/>
      <c r="ZF12377" s="149"/>
      <c r="ZG12377" s="102"/>
      <c r="ZH12377" s="101"/>
      <c r="ZI12377" s="99"/>
      <c r="ZJ12377" s="100"/>
      <c r="ZK12377" s="205"/>
      <c r="ZL12377" s="149"/>
      <c r="ZM12377" s="102"/>
      <c r="ZN12377" s="101"/>
      <c r="ZO12377" s="99"/>
      <c r="ZP12377" s="100"/>
      <c r="ZQ12377" s="205"/>
      <c r="ZR12377" s="149"/>
      <c r="ZS12377" s="102"/>
      <c r="ZT12377" s="101"/>
      <c r="ZU12377" s="99"/>
      <c r="ZV12377" s="100"/>
      <c r="ZW12377" s="205"/>
      <c r="ZX12377" s="149"/>
      <c r="ZY12377" s="102"/>
      <c r="ZZ12377" s="101"/>
      <c r="AAA12377" s="99"/>
      <c r="AAB12377" s="100"/>
      <c r="AAC12377" s="205"/>
      <c r="AAD12377" s="149"/>
      <c r="AAE12377" s="102"/>
      <c r="AAF12377" s="101"/>
      <c r="AAG12377" s="99"/>
      <c r="AAH12377" s="100"/>
      <c r="AAI12377" s="205"/>
      <c r="AAJ12377" s="149"/>
      <c r="AAK12377" s="102"/>
      <c r="AAL12377" s="101"/>
      <c r="AAM12377" s="99"/>
      <c r="AAN12377" s="100"/>
      <c r="AAO12377" s="205"/>
      <c r="AAP12377" s="149"/>
      <c r="AAQ12377" s="102"/>
      <c r="AAR12377" s="101"/>
      <c r="AAS12377" s="99"/>
      <c r="AAT12377" s="100"/>
      <c r="AAU12377" s="205"/>
      <c r="AAV12377" s="149"/>
      <c r="AAW12377" s="102"/>
      <c r="AAX12377" s="101"/>
      <c r="AAY12377" s="99"/>
      <c r="AAZ12377" s="100"/>
      <c r="ABA12377" s="205"/>
      <c r="ABB12377" s="149"/>
      <c r="ABC12377" s="102"/>
      <c r="ABD12377" s="101"/>
      <c r="ABE12377" s="99"/>
      <c r="ABF12377" s="100"/>
      <c r="ABG12377" s="205"/>
      <c r="ABH12377" s="149"/>
      <c r="ABI12377" s="102"/>
      <c r="ABJ12377" s="101"/>
      <c r="ABK12377" s="99"/>
      <c r="ABL12377" s="100"/>
      <c r="ABM12377" s="205"/>
      <c r="ABN12377" s="149"/>
      <c r="ABO12377" s="102"/>
      <c r="ABP12377" s="101"/>
      <c r="ABQ12377" s="99"/>
      <c r="ABR12377" s="100"/>
      <c r="ABS12377" s="205"/>
      <c r="ABT12377" s="149"/>
      <c r="ABU12377" s="102"/>
      <c r="ABV12377" s="101"/>
      <c r="ABW12377" s="99"/>
      <c r="ABX12377" s="100"/>
      <c r="ABY12377" s="205"/>
      <c r="ABZ12377" s="149"/>
      <c r="ACA12377" s="102"/>
      <c r="ACB12377" s="101"/>
      <c r="ACC12377" s="99"/>
      <c r="ACD12377" s="100"/>
      <c r="ACE12377" s="205"/>
      <c r="ACF12377" s="149"/>
      <c r="ACG12377" s="102"/>
      <c r="ACH12377" s="101"/>
      <c r="ACI12377" s="99"/>
      <c r="ACJ12377" s="100"/>
      <c r="ACK12377" s="205"/>
      <c r="ACL12377" s="149"/>
      <c r="ACM12377" s="102"/>
      <c r="ACN12377" s="101"/>
      <c r="ACO12377" s="99"/>
      <c r="ACP12377" s="100"/>
      <c r="ACQ12377" s="205"/>
      <c r="ACR12377" s="149"/>
      <c r="ACS12377" s="102"/>
      <c r="ACT12377" s="101"/>
      <c r="ACU12377" s="99"/>
      <c r="ACV12377" s="100"/>
      <c r="ACW12377" s="205"/>
      <c r="ACX12377" s="149"/>
      <c r="ACY12377" s="102"/>
      <c r="ACZ12377" s="101"/>
      <c r="ADA12377" s="99"/>
      <c r="ADB12377" s="100"/>
      <c r="ADC12377" s="205"/>
      <c r="ADD12377" s="149"/>
      <c r="ADE12377" s="102"/>
      <c r="ADF12377" s="101"/>
      <c r="ADG12377" s="99"/>
      <c r="ADH12377" s="100"/>
      <c r="ADI12377" s="205"/>
      <c r="ADJ12377" s="149"/>
      <c r="ADK12377" s="102"/>
      <c r="ADL12377" s="101"/>
      <c r="ADM12377" s="99"/>
      <c r="ADN12377" s="100"/>
      <c r="ADO12377" s="205"/>
      <c r="ADP12377" s="149"/>
      <c r="ADQ12377" s="102"/>
      <c r="ADR12377" s="101"/>
      <c r="ADS12377" s="99"/>
      <c r="ADT12377" s="100"/>
      <c r="ADU12377" s="205"/>
      <c r="ADV12377" s="149"/>
      <c r="ADW12377" s="102"/>
      <c r="ADX12377" s="101"/>
      <c r="ADY12377" s="99"/>
      <c r="ADZ12377" s="100"/>
      <c r="AEA12377" s="205"/>
      <c r="AEB12377" s="149"/>
      <c r="AEC12377" s="102"/>
      <c r="AED12377" s="101"/>
      <c r="AEE12377" s="99"/>
      <c r="AEF12377" s="100"/>
      <c r="AEG12377" s="205"/>
      <c r="AEH12377" s="149"/>
      <c r="AEI12377" s="102"/>
      <c r="AEJ12377" s="101"/>
      <c r="AEK12377" s="99"/>
      <c r="AEL12377" s="100"/>
      <c r="AEM12377" s="205"/>
      <c r="AEN12377" s="149"/>
      <c r="AEO12377" s="102"/>
      <c r="AEP12377" s="101"/>
      <c r="AEQ12377" s="99"/>
      <c r="AER12377" s="100"/>
      <c r="AES12377" s="205"/>
      <c r="AET12377" s="149"/>
      <c r="AEU12377" s="102"/>
      <c r="AEV12377" s="101"/>
      <c r="AEW12377" s="99"/>
      <c r="AEX12377" s="100"/>
      <c r="AEY12377" s="205"/>
      <c r="AEZ12377" s="149"/>
      <c r="AFA12377" s="102"/>
      <c r="AFB12377" s="101"/>
      <c r="AFC12377" s="99"/>
      <c r="AFD12377" s="100"/>
      <c r="AFE12377" s="205"/>
      <c r="AFF12377" s="149"/>
      <c r="AFG12377" s="102"/>
      <c r="AFH12377" s="101"/>
      <c r="AFI12377" s="99"/>
      <c r="AFJ12377" s="100"/>
      <c r="AFK12377" s="205"/>
      <c r="AFL12377" s="149"/>
      <c r="AFM12377" s="102"/>
      <c r="AFN12377" s="101"/>
      <c r="AFO12377" s="99"/>
      <c r="AFP12377" s="100"/>
      <c r="AFQ12377" s="205"/>
      <c r="AFR12377" s="149"/>
      <c r="AFS12377" s="102"/>
      <c r="AFT12377" s="101"/>
      <c r="AFU12377" s="99"/>
      <c r="AFV12377" s="100"/>
      <c r="AFW12377" s="205"/>
      <c r="AFX12377" s="149"/>
      <c r="AFY12377" s="102"/>
      <c r="AFZ12377" s="101"/>
      <c r="AGA12377" s="99"/>
      <c r="AGB12377" s="100"/>
      <c r="AGC12377" s="205"/>
      <c r="AGD12377" s="149"/>
      <c r="AGE12377" s="102"/>
      <c r="AGF12377" s="101"/>
      <c r="AGG12377" s="99"/>
      <c r="AGH12377" s="100"/>
      <c r="AGI12377" s="205"/>
      <c r="AGJ12377" s="149"/>
      <c r="AGK12377" s="102"/>
      <c r="AGL12377" s="101"/>
      <c r="AGM12377" s="99"/>
      <c r="AGN12377" s="100"/>
      <c r="AGO12377" s="205"/>
      <c r="AGP12377" s="149"/>
      <c r="AGQ12377" s="102"/>
      <c r="AGR12377" s="101"/>
      <c r="AGS12377" s="99"/>
      <c r="AGT12377" s="100"/>
      <c r="AGU12377" s="205"/>
      <c r="AGV12377" s="149"/>
      <c r="AGW12377" s="102"/>
      <c r="AGX12377" s="101"/>
      <c r="AGY12377" s="99"/>
      <c r="AGZ12377" s="100"/>
      <c r="AHA12377" s="205"/>
      <c r="AHB12377" s="149"/>
      <c r="AHC12377" s="102"/>
      <c r="AHD12377" s="101"/>
      <c r="AHE12377" s="99"/>
      <c r="AHF12377" s="100"/>
      <c r="AHG12377" s="205"/>
      <c r="AHH12377" s="149"/>
      <c r="AHI12377" s="102"/>
      <c r="AHJ12377" s="101"/>
      <c r="AHK12377" s="99"/>
      <c r="AHL12377" s="100"/>
      <c r="AHM12377" s="205"/>
      <c r="AHN12377" s="149"/>
      <c r="AHO12377" s="102"/>
      <c r="AHP12377" s="101"/>
      <c r="AHQ12377" s="99"/>
      <c r="AHR12377" s="100"/>
      <c r="AHS12377" s="205"/>
      <c r="AHT12377" s="149"/>
      <c r="AHU12377" s="102"/>
      <c r="AHV12377" s="101"/>
      <c r="AHW12377" s="99"/>
      <c r="AHX12377" s="100"/>
      <c r="AHY12377" s="205"/>
      <c r="AHZ12377" s="149"/>
      <c r="AIA12377" s="102"/>
      <c r="AIB12377" s="101"/>
      <c r="AIC12377" s="99"/>
      <c r="AID12377" s="100"/>
      <c r="AIE12377" s="205"/>
      <c r="AIF12377" s="149"/>
      <c r="AIG12377" s="102"/>
      <c r="AIH12377" s="101"/>
      <c r="AII12377" s="99"/>
      <c r="AIJ12377" s="100"/>
      <c r="AIK12377" s="205"/>
      <c r="AIL12377" s="149"/>
      <c r="AIM12377" s="102"/>
      <c r="AIN12377" s="101"/>
      <c r="AIO12377" s="99"/>
      <c r="AIP12377" s="100"/>
      <c r="AIQ12377" s="205"/>
      <c r="AIR12377" s="149"/>
      <c r="AIS12377" s="102"/>
      <c r="AIT12377" s="101"/>
      <c r="AIU12377" s="99"/>
      <c r="AIV12377" s="100"/>
      <c r="AIW12377" s="205"/>
      <c r="AIX12377" s="149"/>
      <c r="AIY12377" s="102"/>
      <c r="AIZ12377" s="101"/>
      <c r="AJA12377" s="99"/>
      <c r="AJB12377" s="100"/>
      <c r="AJC12377" s="205"/>
      <c r="AJD12377" s="149"/>
      <c r="AJE12377" s="102"/>
      <c r="AJF12377" s="101"/>
      <c r="AJG12377" s="99"/>
      <c r="AJH12377" s="100"/>
      <c r="AJI12377" s="205"/>
      <c r="AJJ12377" s="149"/>
      <c r="AJK12377" s="102"/>
      <c r="AJL12377" s="101"/>
      <c r="AJM12377" s="99"/>
      <c r="AJN12377" s="100"/>
      <c r="AJO12377" s="205"/>
      <c r="AJP12377" s="149"/>
      <c r="AJQ12377" s="102"/>
      <c r="AJR12377" s="101"/>
      <c r="AJS12377" s="99"/>
      <c r="AJT12377" s="100"/>
      <c r="AJU12377" s="205"/>
      <c r="AJV12377" s="149"/>
      <c r="AJW12377" s="102"/>
      <c r="AJX12377" s="101"/>
      <c r="AJY12377" s="99"/>
      <c r="AJZ12377" s="100"/>
      <c r="AKA12377" s="205"/>
      <c r="AKB12377" s="149"/>
      <c r="AKC12377" s="102"/>
      <c r="AKD12377" s="101"/>
      <c r="AKE12377" s="99"/>
      <c r="AKF12377" s="100"/>
      <c r="AKG12377" s="205"/>
      <c r="AKH12377" s="149"/>
      <c r="AKI12377" s="102"/>
      <c r="AKJ12377" s="101"/>
      <c r="AKK12377" s="99"/>
      <c r="AKL12377" s="100"/>
      <c r="AKM12377" s="205"/>
      <c r="AKN12377" s="149"/>
      <c r="AKO12377" s="102"/>
      <c r="AKP12377" s="101"/>
      <c r="AKQ12377" s="99"/>
      <c r="AKR12377" s="100"/>
      <c r="AKS12377" s="205"/>
      <c r="AKT12377" s="149"/>
      <c r="AKU12377" s="102"/>
      <c r="AKV12377" s="101"/>
      <c r="AKW12377" s="99"/>
      <c r="AKX12377" s="100"/>
      <c r="AKY12377" s="205"/>
      <c r="AKZ12377" s="149"/>
      <c r="ALA12377" s="102"/>
      <c r="ALB12377" s="101"/>
      <c r="ALC12377" s="99"/>
      <c r="ALD12377" s="100"/>
      <c r="ALE12377" s="205"/>
      <c r="ALF12377" s="149"/>
      <c r="ALG12377" s="102"/>
      <c r="ALH12377" s="101"/>
      <c r="ALI12377" s="99"/>
      <c r="ALJ12377" s="100"/>
      <c r="ALK12377" s="205"/>
      <c r="ALL12377" s="149"/>
      <c r="ALM12377" s="102"/>
      <c r="ALN12377" s="101"/>
      <c r="ALO12377" s="99"/>
      <c r="ALP12377" s="100"/>
      <c r="ALQ12377" s="205"/>
      <c r="ALR12377" s="149"/>
      <c r="ALS12377" s="102"/>
      <c r="ALT12377" s="101"/>
      <c r="ALU12377" s="99"/>
      <c r="ALV12377" s="100"/>
      <c r="ALW12377" s="205"/>
      <c r="ALX12377" s="149"/>
      <c r="ALY12377" s="102"/>
      <c r="ALZ12377" s="101"/>
      <c r="AMA12377" s="99"/>
      <c r="AMB12377" s="100"/>
      <c r="AMC12377" s="205"/>
      <c r="AMD12377" s="149"/>
      <c r="AME12377" s="102"/>
      <c r="AMF12377" s="101"/>
      <c r="AMG12377" s="99"/>
      <c r="AMH12377" s="100"/>
      <c r="AMI12377" s="205"/>
      <c r="AMJ12377" s="149"/>
      <c r="AMK12377" s="102"/>
      <c r="AML12377" s="101"/>
      <c r="AMM12377" s="99"/>
      <c r="AMN12377" s="100"/>
      <c r="AMO12377" s="205"/>
      <c r="AMP12377" s="149"/>
      <c r="AMQ12377" s="102"/>
      <c r="AMR12377" s="101"/>
      <c r="AMS12377" s="99"/>
      <c r="AMT12377" s="100"/>
      <c r="AMU12377" s="205"/>
      <c r="AMV12377" s="149"/>
      <c r="AMW12377" s="102"/>
      <c r="AMX12377" s="101"/>
      <c r="AMY12377" s="99"/>
      <c r="AMZ12377" s="100"/>
      <c r="ANA12377" s="205"/>
      <c r="ANB12377" s="149"/>
      <c r="ANC12377" s="102"/>
      <c r="AND12377" s="101"/>
      <c r="ANE12377" s="99"/>
      <c r="ANF12377" s="100"/>
      <c r="ANG12377" s="205"/>
      <c r="ANH12377" s="149"/>
      <c r="ANI12377" s="102"/>
      <c r="ANJ12377" s="101"/>
      <c r="ANK12377" s="99"/>
      <c r="ANL12377" s="100"/>
      <c r="ANM12377" s="205"/>
      <c r="ANN12377" s="149"/>
      <c r="ANO12377" s="102"/>
      <c r="ANP12377" s="101"/>
      <c r="ANQ12377" s="99"/>
      <c r="ANR12377" s="100"/>
      <c r="ANS12377" s="205"/>
      <c r="ANT12377" s="149"/>
      <c r="ANU12377" s="102"/>
      <c r="ANV12377" s="101"/>
      <c r="ANW12377" s="99"/>
      <c r="ANX12377" s="100"/>
      <c r="ANY12377" s="205"/>
      <c r="ANZ12377" s="149"/>
      <c r="AOA12377" s="102"/>
      <c r="AOB12377" s="101"/>
      <c r="AOC12377" s="99"/>
      <c r="AOD12377" s="100"/>
      <c r="AOE12377" s="205"/>
      <c r="AOF12377" s="149"/>
      <c r="AOG12377" s="102"/>
      <c r="AOH12377" s="101"/>
      <c r="AOI12377" s="99"/>
      <c r="AOJ12377" s="100"/>
      <c r="AOK12377" s="205"/>
      <c r="AOL12377" s="149"/>
      <c r="AOM12377" s="102"/>
      <c r="AON12377" s="101"/>
      <c r="AOO12377" s="99"/>
      <c r="AOP12377" s="100"/>
      <c r="AOQ12377" s="205"/>
      <c r="AOR12377" s="149"/>
      <c r="AOS12377" s="102"/>
      <c r="AOT12377" s="101"/>
      <c r="AOU12377" s="99"/>
      <c r="AOV12377" s="100"/>
      <c r="AOW12377" s="205"/>
      <c r="AOX12377" s="149"/>
      <c r="AOY12377" s="102"/>
      <c r="AOZ12377" s="101"/>
      <c r="APA12377" s="99"/>
      <c r="APB12377" s="100"/>
      <c r="APC12377" s="205"/>
      <c r="APD12377" s="149"/>
      <c r="APE12377" s="102"/>
      <c r="APF12377" s="101"/>
      <c r="APG12377" s="99"/>
      <c r="APH12377" s="100"/>
      <c r="API12377" s="205"/>
      <c r="APJ12377" s="149"/>
      <c r="APK12377" s="102"/>
      <c r="APL12377" s="101"/>
      <c r="APM12377" s="99"/>
      <c r="APN12377" s="100"/>
      <c r="APO12377" s="205"/>
      <c r="APP12377" s="149"/>
      <c r="APQ12377" s="102"/>
      <c r="APR12377" s="101"/>
      <c r="APS12377" s="99"/>
      <c r="APT12377" s="100"/>
      <c r="APU12377" s="205"/>
      <c r="APV12377" s="149"/>
      <c r="APW12377" s="102"/>
      <c r="APX12377" s="101"/>
      <c r="APY12377" s="99"/>
      <c r="APZ12377" s="100"/>
      <c r="AQA12377" s="205"/>
      <c r="AQB12377" s="149"/>
      <c r="AQC12377" s="102"/>
      <c r="AQD12377" s="101"/>
      <c r="AQE12377" s="99"/>
      <c r="AQF12377" s="100"/>
      <c r="AQG12377" s="205"/>
      <c r="AQH12377" s="149"/>
      <c r="AQI12377" s="102"/>
      <c r="AQJ12377" s="101"/>
      <c r="AQK12377" s="99"/>
      <c r="AQL12377" s="100"/>
      <c r="AQM12377" s="205"/>
      <c r="AQN12377" s="149"/>
      <c r="AQO12377" s="102"/>
      <c r="AQP12377" s="101"/>
      <c r="AQQ12377" s="99"/>
      <c r="AQR12377" s="100"/>
      <c r="AQS12377" s="205"/>
      <c r="AQT12377" s="149"/>
      <c r="AQU12377" s="102"/>
      <c r="AQV12377" s="101"/>
      <c r="AQW12377" s="99"/>
      <c r="AQX12377" s="100"/>
      <c r="AQY12377" s="205"/>
      <c r="AQZ12377" s="149"/>
      <c r="ARA12377" s="102"/>
      <c r="ARB12377" s="101"/>
      <c r="ARC12377" s="99"/>
      <c r="ARD12377" s="100"/>
      <c r="ARE12377" s="205"/>
      <c r="ARF12377" s="149"/>
      <c r="ARG12377" s="102"/>
      <c r="ARH12377" s="101"/>
      <c r="ARI12377" s="99"/>
      <c r="ARJ12377" s="100"/>
      <c r="ARK12377" s="205"/>
      <c r="ARL12377" s="149"/>
      <c r="ARM12377" s="102"/>
      <c r="ARN12377" s="101"/>
      <c r="ARO12377" s="99"/>
      <c r="ARP12377" s="100"/>
      <c r="ARQ12377" s="205"/>
      <c r="ARR12377" s="149"/>
      <c r="ARS12377" s="102"/>
      <c r="ART12377" s="101"/>
      <c r="ARU12377" s="99"/>
      <c r="ARV12377" s="100"/>
      <c r="ARW12377" s="205"/>
      <c r="ARX12377" s="149"/>
      <c r="ARY12377" s="102"/>
      <c r="ARZ12377" s="101"/>
      <c r="ASA12377" s="99"/>
      <c r="ASB12377" s="100"/>
      <c r="ASC12377" s="205"/>
      <c r="ASD12377" s="149"/>
      <c r="ASE12377" s="102"/>
      <c r="ASF12377" s="101"/>
      <c r="ASG12377" s="99"/>
      <c r="ASH12377" s="100"/>
      <c r="ASI12377" s="205"/>
      <c r="ASJ12377" s="149"/>
      <c r="ASK12377" s="102"/>
      <c r="ASL12377" s="101"/>
      <c r="ASM12377" s="99"/>
      <c r="ASN12377" s="100"/>
      <c r="ASO12377" s="205"/>
      <c r="ASP12377" s="149"/>
      <c r="ASQ12377" s="102"/>
      <c r="ASR12377" s="101"/>
      <c r="ASS12377" s="99"/>
      <c r="AST12377" s="100"/>
      <c r="ASU12377" s="205"/>
      <c r="ASV12377" s="149"/>
      <c r="ASW12377" s="102"/>
      <c r="ASX12377" s="101"/>
      <c r="ASY12377" s="99"/>
      <c r="ASZ12377" s="100"/>
      <c r="ATA12377" s="205"/>
      <c r="ATB12377" s="149"/>
      <c r="ATC12377" s="102"/>
      <c r="ATD12377" s="101"/>
      <c r="ATE12377" s="99"/>
      <c r="ATF12377" s="100"/>
      <c r="ATG12377" s="205"/>
      <c r="ATH12377" s="149"/>
      <c r="ATI12377" s="102"/>
      <c r="ATJ12377" s="101"/>
      <c r="ATK12377" s="99"/>
      <c r="ATL12377" s="100"/>
      <c r="ATM12377" s="205"/>
      <c r="ATN12377" s="149"/>
      <c r="ATO12377" s="102"/>
      <c r="ATP12377" s="101"/>
      <c r="ATQ12377" s="99"/>
      <c r="ATR12377" s="100"/>
      <c r="ATS12377" s="205"/>
      <c r="ATT12377" s="149"/>
      <c r="ATU12377" s="102"/>
      <c r="ATV12377" s="101"/>
      <c r="ATW12377" s="99"/>
      <c r="ATX12377" s="100"/>
      <c r="ATY12377" s="205"/>
      <c r="ATZ12377" s="149"/>
      <c r="AUA12377" s="102"/>
      <c r="AUB12377" s="101"/>
      <c r="AUC12377" s="99"/>
      <c r="AUD12377" s="100"/>
      <c r="AUE12377" s="205"/>
      <c r="AUF12377" s="149"/>
      <c r="AUG12377" s="102"/>
      <c r="AUH12377" s="101"/>
      <c r="AUI12377" s="99"/>
      <c r="AUJ12377" s="100"/>
      <c r="AUK12377" s="205"/>
      <c r="AUL12377" s="149"/>
      <c r="AUM12377" s="102"/>
      <c r="AUN12377" s="101"/>
      <c r="AUO12377" s="99"/>
      <c r="AUP12377" s="100"/>
      <c r="AUQ12377" s="205"/>
      <c r="AUR12377" s="149"/>
      <c r="AUS12377" s="102"/>
      <c r="AUT12377" s="101"/>
      <c r="AUU12377" s="99"/>
      <c r="AUV12377" s="100"/>
      <c r="AUW12377" s="205"/>
      <c r="AUX12377" s="149"/>
      <c r="AUY12377" s="102"/>
      <c r="AUZ12377" s="101"/>
      <c r="AVA12377" s="99"/>
      <c r="AVB12377" s="100"/>
      <c r="AVC12377" s="205"/>
      <c r="AVD12377" s="149"/>
      <c r="AVE12377" s="102"/>
      <c r="AVF12377" s="101"/>
      <c r="AVG12377" s="99"/>
      <c r="AVH12377" s="100"/>
      <c r="AVI12377" s="205"/>
      <c r="AVJ12377" s="149"/>
      <c r="AVK12377" s="102"/>
      <c r="AVL12377" s="101"/>
      <c r="AVM12377" s="99"/>
      <c r="AVN12377" s="100"/>
      <c r="AVO12377" s="205"/>
      <c r="AVP12377" s="149"/>
      <c r="AVQ12377" s="102"/>
      <c r="AVR12377" s="101"/>
      <c r="AVS12377" s="99"/>
      <c r="AVT12377" s="100"/>
      <c r="AVU12377" s="205"/>
      <c r="AVV12377" s="149"/>
      <c r="AVW12377" s="102"/>
      <c r="AVX12377" s="101"/>
      <c r="AVY12377" s="99"/>
      <c r="AVZ12377" s="100"/>
      <c r="AWA12377" s="205"/>
      <c r="AWB12377" s="149"/>
      <c r="AWC12377" s="102"/>
      <c r="AWD12377" s="101"/>
      <c r="AWE12377" s="99"/>
      <c r="AWF12377" s="100"/>
      <c r="AWG12377" s="205"/>
      <c r="AWH12377" s="149"/>
      <c r="AWI12377" s="102"/>
      <c r="AWJ12377" s="101"/>
      <c r="AWK12377" s="99"/>
      <c r="AWL12377" s="100"/>
      <c r="AWM12377" s="205"/>
      <c r="AWN12377" s="149"/>
      <c r="AWO12377" s="102"/>
      <c r="AWP12377" s="101"/>
      <c r="AWQ12377" s="99"/>
      <c r="AWR12377" s="100"/>
      <c r="AWS12377" s="205"/>
      <c r="AWT12377" s="149"/>
      <c r="AWU12377" s="102"/>
      <c r="AWV12377" s="101"/>
      <c r="AWW12377" s="99"/>
      <c r="AWX12377" s="100"/>
      <c r="AWY12377" s="205"/>
      <c r="AWZ12377" s="149"/>
      <c r="AXA12377" s="102"/>
      <c r="AXB12377" s="101"/>
      <c r="AXC12377" s="99"/>
      <c r="AXD12377" s="100"/>
      <c r="AXE12377" s="205"/>
      <c r="AXF12377" s="149"/>
      <c r="AXG12377" s="102"/>
      <c r="AXH12377" s="101"/>
      <c r="AXI12377" s="99"/>
      <c r="AXJ12377" s="100"/>
      <c r="AXK12377" s="205"/>
      <c r="AXL12377" s="149"/>
      <c r="AXM12377" s="102"/>
      <c r="AXN12377" s="101"/>
      <c r="AXO12377" s="99"/>
      <c r="AXP12377" s="100"/>
      <c r="AXQ12377" s="205"/>
      <c r="AXR12377" s="149"/>
      <c r="AXS12377" s="102"/>
      <c r="AXT12377" s="101"/>
      <c r="AXU12377" s="99"/>
      <c r="AXV12377" s="100"/>
      <c r="AXW12377" s="205"/>
      <c r="AXX12377" s="149"/>
      <c r="AXY12377" s="102"/>
      <c r="AXZ12377" s="101"/>
      <c r="AYA12377" s="99"/>
      <c r="AYB12377" s="100"/>
      <c r="AYC12377" s="205"/>
      <c r="AYD12377" s="149"/>
      <c r="AYE12377" s="102"/>
      <c r="AYF12377" s="101"/>
      <c r="AYG12377" s="99"/>
      <c r="AYH12377" s="100"/>
      <c r="AYI12377" s="205"/>
      <c r="AYJ12377" s="149"/>
      <c r="AYK12377" s="102"/>
      <c r="AYL12377" s="101"/>
      <c r="AYM12377" s="99"/>
      <c r="AYN12377" s="100"/>
      <c r="AYO12377" s="205"/>
      <c r="AYP12377" s="149"/>
      <c r="AYQ12377" s="102"/>
      <c r="AYR12377" s="101"/>
      <c r="AYS12377" s="99"/>
      <c r="AYT12377" s="100"/>
      <c r="AYU12377" s="205"/>
      <c r="AYV12377" s="149"/>
      <c r="AYW12377" s="102"/>
      <c r="AYX12377" s="101"/>
      <c r="AYY12377" s="99"/>
      <c r="AYZ12377" s="100"/>
      <c r="AZA12377" s="205"/>
      <c r="AZB12377" s="149"/>
      <c r="AZC12377" s="102"/>
      <c r="AZD12377" s="101"/>
      <c r="AZE12377" s="99"/>
      <c r="AZF12377" s="100"/>
      <c r="AZG12377" s="205"/>
      <c r="AZH12377" s="149"/>
      <c r="AZI12377" s="102"/>
      <c r="AZJ12377" s="101"/>
      <c r="AZK12377" s="99"/>
      <c r="AZL12377" s="100"/>
      <c r="AZM12377" s="205"/>
      <c r="AZN12377" s="149"/>
      <c r="AZO12377" s="102"/>
      <c r="AZP12377" s="101"/>
      <c r="AZQ12377" s="99"/>
      <c r="AZR12377" s="100"/>
      <c r="AZS12377" s="205"/>
      <c r="AZT12377" s="149"/>
      <c r="AZU12377" s="102"/>
      <c r="AZV12377" s="101"/>
      <c r="AZW12377" s="99"/>
      <c r="AZX12377" s="100"/>
      <c r="AZY12377" s="205"/>
      <c r="AZZ12377" s="149"/>
      <c r="BAA12377" s="102"/>
      <c r="BAB12377" s="101"/>
      <c r="BAC12377" s="99"/>
      <c r="BAD12377" s="100"/>
      <c r="BAE12377" s="205"/>
      <c r="BAF12377" s="149"/>
      <c r="BAG12377" s="102"/>
      <c r="BAH12377" s="101"/>
      <c r="BAI12377" s="99"/>
      <c r="BAJ12377" s="100"/>
      <c r="BAK12377" s="205"/>
      <c r="BAL12377" s="149"/>
      <c r="BAM12377" s="102"/>
      <c r="BAN12377" s="101"/>
      <c r="BAO12377" s="99"/>
      <c r="BAP12377" s="100"/>
      <c r="BAQ12377" s="205"/>
      <c r="BAR12377" s="149"/>
      <c r="BAS12377" s="102"/>
      <c r="BAT12377" s="101"/>
      <c r="BAU12377" s="99"/>
      <c r="BAV12377" s="100"/>
      <c r="BAW12377" s="205"/>
      <c r="BAX12377" s="149"/>
      <c r="BAY12377" s="102"/>
      <c r="BAZ12377" s="101"/>
      <c r="BBA12377" s="99"/>
      <c r="BBB12377" s="100"/>
      <c r="BBC12377" s="205"/>
      <c r="BBD12377" s="149"/>
      <c r="BBE12377" s="102"/>
      <c r="BBF12377" s="101"/>
      <c r="BBG12377" s="99"/>
      <c r="BBH12377" s="100"/>
      <c r="BBI12377" s="205"/>
      <c r="BBJ12377" s="149"/>
      <c r="BBK12377" s="102"/>
      <c r="BBL12377" s="101"/>
      <c r="BBM12377" s="99"/>
      <c r="BBN12377" s="100"/>
      <c r="BBO12377" s="205"/>
      <c r="BBP12377" s="149"/>
      <c r="BBQ12377" s="102"/>
      <c r="BBR12377" s="101"/>
      <c r="BBS12377" s="99"/>
      <c r="BBT12377" s="100"/>
      <c r="BBU12377" s="205"/>
      <c r="BBV12377" s="149"/>
      <c r="BBW12377" s="102"/>
      <c r="BBX12377" s="101"/>
      <c r="BBY12377" s="99"/>
      <c r="BBZ12377" s="100"/>
      <c r="BCA12377" s="205"/>
      <c r="BCB12377" s="149"/>
      <c r="BCC12377" s="102"/>
      <c r="BCD12377" s="101"/>
      <c r="BCE12377" s="99"/>
      <c r="BCF12377" s="100"/>
      <c r="BCG12377" s="205"/>
      <c r="BCH12377" s="149"/>
      <c r="BCI12377" s="102"/>
      <c r="BCJ12377" s="101"/>
      <c r="BCK12377" s="99"/>
      <c r="BCL12377" s="100"/>
      <c r="BCM12377" s="205"/>
      <c r="BCN12377" s="149"/>
      <c r="BCO12377" s="102"/>
      <c r="BCP12377" s="101"/>
      <c r="BCQ12377" s="99"/>
      <c r="BCR12377" s="100"/>
      <c r="BCS12377" s="205"/>
      <c r="BCT12377" s="149"/>
      <c r="BCU12377" s="102"/>
      <c r="BCV12377" s="101"/>
      <c r="BCW12377" s="99"/>
      <c r="BCX12377" s="100"/>
      <c r="BCY12377" s="205"/>
      <c r="BCZ12377" s="149"/>
      <c r="BDA12377" s="102"/>
      <c r="BDB12377" s="101"/>
      <c r="BDC12377" s="99"/>
      <c r="BDD12377" s="100"/>
      <c r="BDE12377" s="205"/>
      <c r="BDF12377" s="149"/>
      <c r="BDG12377" s="102"/>
      <c r="BDH12377" s="101"/>
      <c r="BDI12377" s="99"/>
      <c r="BDJ12377" s="100"/>
      <c r="BDK12377" s="205"/>
      <c r="BDL12377" s="149"/>
      <c r="BDM12377" s="102"/>
      <c r="BDN12377" s="101"/>
      <c r="BDO12377" s="99"/>
      <c r="BDP12377" s="100"/>
      <c r="BDQ12377" s="205"/>
      <c r="BDR12377" s="149"/>
      <c r="BDS12377" s="102"/>
      <c r="BDT12377" s="101"/>
      <c r="BDU12377" s="99"/>
      <c r="BDV12377" s="100"/>
      <c r="BDW12377" s="205"/>
      <c r="BDX12377" s="149"/>
      <c r="BDY12377" s="102"/>
      <c r="BDZ12377" s="101"/>
      <c r="BEA12377" s="99"/>
      <c r="BEB12377" s="100"/>
      <c r="BEC12377" s="205"/>
      <c r="BED12377" s="149"/>
      <c r="BEE12377" s="102"/>
      <c r="BEF12377" s="101"/>
      <c r="BEG12377" s="99"/>
      <c r="BEH12377" s="100"/>
      <c r="BEI12377" s="205"/>
      <c r="BEJ12377" s="149"/>
      <c r="BEK12377" s="102"/>
      <c r="BEL12377" s="101"/>
      <c r="BEM12377" s="99"/>
      <c r="BEN12377" s="100"/>
      <c r="BEO12377" s="205"/>
      <c r="BEP12377" s="149"/>
      <c r="BEQ12377" s="102"/>
      <c r="BER12377" s="101"/>
      <c r="BES12377" s="99"/>
      <c r="BET12377" s="100"/>
      <c r="BEU12377" s="205"/>
      <c r="BEV12377" s="149"/>
      <c r="BEW12377" s="102"/>
      <c r="BEX12377" s="101"/>
      <c r="BEY12377" s="99"/>
      <c r="BEZ12377" s="100"/>
      <c r="BFA12377" s="205"/>
      <c r="BFB12377" s="149"/>
      <c r="BFC12377" s="102"/>
      <c r="BFD12377" s="101"/>
      <c r="BFE12377" s="99"/>
      <c r="BFF12377" s="100"/>
      <c r="BFG12377" s="205"/>
      <c r="BFH12377" s="149"/>
      <c r="BFI12377" s="102"/>
      <c r="BFJ12377" s="101"/>
      <c r="BFK12377" s="99"/>
      <c r="BFL12377" s="100"/>
      <c r="BFM12377" s="205"/>
      <c r="BFN12377" s="149"/>
      <c r="BFO12377" s="102"/>
      <c r="BFP12377" s="101"/>
      <c r="BFQ12377" s="99"/>
      <c r="BFR12377" s="100"/>
      <c r="BFS12377" s="205"/>
      <c r="BFT12377" s="149"/>
      <c r="BFU12377" s="102"/>
      <c r="BFV12377" s="101"/>
      <c r="BFW12377" s="99"/>
      <c r="BFX12377" s="100"/>
      <c r="BFY12377" s="205"/>
      <c r="BFZ12377" s="149"/>
      <c r="BGA12377" s="102"/>
      <c r="BGB12377" s="101"/>
      <c r="BGC12377" s="99"/>
      <c r="BGD12377" s="100"/>
      <c r="BGE12377" s="205"/>
      <c r="BGF12377" s="149"/>
      <c r="BGG12377" s="102"/>
      <c r="BGH12377" s="101"/>
      <c r="BGI12377" s="99"/>
      <c r="BGJ12377" s="100"/>
      <c r="BGK12377" s="205"/>
      <c r="BGL12377" s="149"/>
      <c r="BGM12377" s="102"/>
      <c r="BGN12377" s="101"/>
      <c r="BGO12377" s="99"/>
      <c r="BGP12377" s="100"/>
      <c r="BGQ12377" s="205"/>
      <c r="BGR12377" s="149"/>
      <c r="BGS12377" s="102"/>
      <c r="BGT12377" s="101"/>
      <c r="BGU12377" s="99"/>
      <c r="BGV12377" s="100"/>
      <c r="BGW12377" s="205"/>
      <c r="BGX12377" s="149"/>
      <c r="BGY12377" s="102"/>
      <c r="BGZ12377" s="101"/>
      <c r="BHA12377" s="99"/>
      <c r="BHB12377" s="100"/>
      <c r="BHC12377" s="205"/>
      <c r="BHD12377" s="149"/>
      <c r="BHE12377" s="102"/>
      <c r="BHF12377" s="101"/>
      <c r="BHG12377" s="99"/>
      <c r="BHH12377" s="100"/>
      <c r="BHI12377" s="205"/>
      <c r="BHJ12377" s="149"/>
      <c r="BHK12377" s="102"/>
      <c r="BHL12377" s="101"/>
      <c r="BHM12377" s="99"/>
      <c r="BHN12377" s="100"/>
      <c r="BHO12377" s="205"/>
      <c r="BHP12377" s="149"/>
      <c r="BHQ12377" s="102"/>
      <c r="BHR12377" s="101"/>
      <c r="BHS12377" s="99"/>
      <c r="BHT12377" s="100"/>
      <c r="BHU12377" s="205"/>
      <c r="BHV12377" s="149"/>
      <c r="BHW12377" s="102"/>
      <c r="BHX12377" s="101"/>
      <c r="BHY12377" s="99"/>
      <c r="BHZ12377" s="100"/>
      <c r="BIA12377" s="205"/>
      <c r="BIB12377" s="149"/>
      <c r="BIC12377" s="102"/>
      <c r="BID12377" s="101"/>
      <c r="BIE12377" s="99"/>
      <c r="BIF12377" s="100"/>
      <c r="BIG12377" s="205"/>
      <c r="BIH12377" s="149"/>
      <c r="BII12377" s="102"/>
      <c r="BIJ12377" s="101"/>
      <c r="BIK12377" s="99"/>
      <c r="BIL12377" s="100"/>
      <c r="BIM12377" s="205"/>
      <c r="BIN12377" s="149"/>
      <c r="BIO12377" s="102"/>
      <c r="BIP12377" s="101"/>
      <c r="BIQ12377" s="99"/>
      <c r="BIR12377" s="100"/>
      <c r="BIS12377" s="205"/>
      <c r="BIT12377" s="149"/>
      <c r="BIU12377" s="102"/>
      <c r="BIV12377" s="101"/>
      <c r="BIW12377" s="99"/>
      <c r="BIX12377" s="100"/>
      <c r="BIY12377" s="205"/>
      <c r="BIZ12377" s="149"/>
      <c r="BJA12377" s="102"/>
      <c r="BJB12377" s="101"/>
      <c r="BJC12377" s="99"/>
      <c r="BJD12377" s="100"/>
      <c r="BJE12377" s="205"/>
      <c r="BJF12377" s="149"/>
      <c r="BJG12377" s="102"/>
      <c r="BJH12377" s="101"/>
      <c r="BJI12377" s="99"/>
      <c r="BJJ12377" s="100"/>
      <c r="BJK12377" s="205"/>
      <c r="BJL12377" s="149"/>
      <c r="BJM12377" s="102"/>
      <c r="BJN12377" s="101"/>
      <c r="BJO12377" s="99"/>
      <c r="BJP12377" s="100"/>
      <c r="BJQ12377" s="205"/>
      <c r="BJR12377" s="149"/>
      <c r="BJS12377" s="102"/>
      <c r="BJT12377" s="101"/>
      <c r="BJU12377" s="99"/>
      <c r="BJV12377" s="100"/>
      <c r="BJW12377" s="205"/>
      <c r="BJX12377" s="149"/>
      <c r="BJY12377" s="102"/>
      <c r="BJZ12377" s="101"/>
      <c r="BKA12377" s="99"/>
      <c r="BKB12377" s="100"/>
      <c r="BKC12377" s="205"/>
      <c r="BKD12377" s="149"/>
      <c r="BKE12377" s="102"/>
      <c r="BKF12377" s="101"/>
      <c r="BKG12377" s="99"/>
      <c r="BKH12377" s="100"/>
      <c r="BKI12377" s="205"/>
      <c r="BKJ12377" s="149"/>
      <c r="BKK12377" s="102"/>
      <c r="BKL12377" s="101"/>
      <c r="BKM12377" s="99"/>
      <c r="BKN12377" s="100"/>
      <c r="BKO12377" s="205"/>
      <c r="BKP12377" s="149"/>
      <c r="BKQ12377" s="102"/>
      <c r="BKR12377" s="101"/>
      <c r="BKS12377" s="99"/>
      <c r="BKT12377" s="100"/>
      <c r="BKU12377" s="205"/>
      <c r="BKV12377" s="149"/>
      <c r="BKW12377" s="102"/>
      <c r="BKX12377" s="101"/>
      <c r="BKY12377" s="99"/>
      <c r="BKZ12377" s="100"/>
      <c r="BLA12377" s="205"/>
      <c r="BLB12377" s="149"/>
      <c r="BLC12377" s="102"/>
      <c r="BLD12377" s="101"/>
      <c r="BLE12377" s="99"/>
      <c r="BLF12377" s="100"/>
      <c r="BLG12377" s="205"/>
      <c r="BLH12377" s="149"/>
      <c r="BLI12377" s="102"/>
      <c r="BLJ12377" s="101"/>
      <c r="BLK12377" s="99"/>
      <c r="BLL12377" s="100"/>
      <c r="BLM12377" s="205"/>
      <c r="BLN12377" s="149"/>
      <c r="BLO12377" s="102"/>
      <c r="BLP12377" s="101"/>
      <c r="BLQ12377" s="99"/>
      <c r="BLR12377" s="100"/>
      <c r="BLS12377" s="205"/>
      <c r="BLT12377" s="149"/>
      <c r="BLU12377" s="102"/>
      <c r="BLV12377" s="101"/>
      <c r="BLW12377" s="99"/>
      <c r="BLX12377" s="100"/>
      <c r="BLY12377" s="205"/>
      <c r="BLZ12377" s="149"/>
      <c r="BMA12377" s="102"/>
      <c r="BMB12377" s="101"/>
      <c r="BMC12377" s="99"/>
      <c r="BMD12377" s="100"/>
      <c r="BME12377" s="205"/>
      <c r="BMF12377" s="149"/>
      <c r="BMG12377" s="102"/>
      <c r="BMH12377" s="101"/>
      <c r="BMI12377" s="99"/>
      <c r="BMJ12377" s="100"/>
      <c r="BMK12377" s="205"/>
      <c r="BML12377" s="149"/>
      <c r="BMM12377" s="102"/>
      <c r="BMN12377" s="101"/>
      <c r="BMO12377" s="99"/>
      <c r="BMP12377" s="100"/>
      <c r="BMQ12377" s="205"/>
      <c r="BMR12377" s="149"/>
      <c r="BMS12377" s="102"/>
      <c r="BMT12377" s="101"/>
      <c r="BMU12377" s="99"/>
      <c r="BMV12377" s="100"/>
      <c r="BMW12377" s="205"/>
      <c r="BMX12377" s="149"/>
      <c r="BMY12377" s="102"/>
      <c r="BMZ12377" s="101"/>
      <c r="BNA12377" s="99"/>
      <c r="BNB12377" s="100"/>
      <c r="BNC12377" s="205"/>
      <c r="BND12377" s="149"/>
      <c r="BNE12377" s="102"/>
      <c r="BNF12377" s="101"/>
      <c r="BNG12377" s="99"/>
      <c r="BNH12377" s="100"/>
      <c r="BNI12377" s="205"/>
      <c r="BNJ12377" s="149"/>
      <c r="BNK12377" s="102"/>
      <c r="BNL12377" s="101"/>
      <c r="BNM12377" s="99"/>
      <c r="BNN12377" s="100"/>
      <c r="BNO12377" s="205"/>
      <c r="BNP12377" s="149"/>
      <c r="BNQ12377" s="102"/>
      <c r="BNR12377" s="101"/>
      <c r="BNS12377" s="99"/>
      <c r="BNT12377" s="100"/>
      <c r="BNU12377" s="205"/>
      <c r="BNV12377" s="149"/>
      <c r="BNW12377" s="102"/>
      <c r="BNX12377" s="101"/>
      <c r="BNY12377" s="99"/>
      <c r="BNZ12377" s="100"/>
      <c r="BOA12377" s="205"/>
      <c r="BOB12377" s="149"/>
      <c r="BOC12377" s="102"/>
      <c r="BOD12377" s="101"/>
      <c r="BOE12377" s="99"/>
      <c r="BOF12377" s="100"/>
      <c r="BOG12377" s="205"/>
      <c r="BOH12377" s="149"/>
      <c r="BOI12377" s="102"/>
      <c r="BOJ12377" s="101"/>
      <c r="BOK12377" s="99"/>
      <c r="BOL12377" s="100"/>
      <c r="BOM12377" s="205"/>
      <c r="BON12377" s="149"/>
      <c r="BOO12377" s="102"/>
      <c r="BOP12377" s="101"/>
      <c r="BOQ12377" s="99"/>
      <c r="BOR12377" s="100"/>
      <c r="BOS12377" s="205"/>
      <c r="BOT12377" s="149"/>
      <c r="BOU12377" s="102"/>
      <c r="BOV12377" s="101"/>
      <c r="BOW12377" s="99"/>
      <c r="BOX12377" s="100"/>
      <c r="BOY12377" s="205"/>
      <c r="BOZ12377" s="149"/>
      <c r="BPA12377" s="102"/>
      <c r="BPB12377" s="101"/>
      <c r="BPC12377" s="99"/>
      <c r="BPD12377" s="100"/>
      <c r="BPE12377" s="205"/>
      <c r="BPF12377" s="149"/>
      <c r="BPG12377" s="102"/>
      <c r="BPH12377" s="101"/>
      <c r="BPI12377" s="99"/>
      <c r="BPJ12377" s="100"/>
      <c r="BPK12377" s="205"/>
      <c r="BPL12377" s="149"/>
      <c r="BPM12377" s="102"/>
      <c r="BPN12377" s="101"/>
      <c r="BPO12377" s="99"/>
      <c r="BPP12377" s="100"/>
      <c r="BPQ12377" s="205"/>
      <c r="BPR12377" s="149"/>
      <c r="BPS12377" s="102"/>
      <c r="BPT12377" s="101"/>
      <c r="BPU12377" s="99"/>
      <c r="BPV12377" s="100"/>
      <c r="BPW12377" s="205"/>
      <c r="BPX12377" s="149"/>
      <c r="BPY12377" s="102"/>
      <c r="BPZ12377" s="101"/>
      <c r="BQA12377" s="99"/>
      <c r="BQB12377" s="100"/>
      <c r="BQC12377" s="205"/>
      <c r="BQD12377" s="149"/>
      <c r="BQE12377" s="102"/>
      <c r="BQF12377" s="101"/>
      <c r="BQG12377" s="99"/>
      <c r="BQH12377" s="100"/>
      <c r="BQI12377" s="205"/>
      <c r="BQJ12377" s="149"/>
      <c r="BQK12377" s="102"/>
      <c r="BQL12377" s="101"/>
      <c r="BQM12377" s="99"/>
      <c r="BQN12377" s="100"/>
      <c r="BQO12377" s="205"/>
      <c r="BQP12377" s="149"/>
      <c r="BQQ12377" s="102"/>
      <c r="BQR12377" s="101"/>
      <c r="BQS12377" s="99"/>
      <c r="BQT12377" s="100"/>
      <c r="BQU12377" s="205"/>
      <c r="BQV12377" s="149"/>
      <c r="BQW12377" s="102"/>
      <c r="BQX12377" s="101"/>
      <c r="BQY12377" s="99"/>
      <c r="BQZ12377" s="100"/>
      <c r="BRA12377" s="205"/>
      <c r="BRB12377" s="149"/>
      <c r="BRC12377" s="102"/>
      <c r="BRD12377" s="101"/>
      <c r="BRE12377" s="99"/>
      <c r="BRF12377" s="100"/>
      <c r="BRG12377" s="205"/>
      <c r="BRH12377" s="149"/>
      <c r="BRI12377" s="102"/>
      <c r="BRJ12377" s="101"/>
      <c r="BRK12377" s="99"/>
      <c r="BRL12377" s="100"/>
      <c r="BRM12377" s="205"/>
      <c r="BRN12377" s="149"/>
      <c r="BRO12377" s="102"/>
      <c r="BRP12377" s="101"/>
      <c r="BRQ12377" s="99"/>
      <c r="BRR12377" s="100"/>
      <c r="BRS12377" s="205"/>
      <c r="BRT12377" s="149"/>
      <c r="BRU12377" s="102"/>
      <c r="BRV12377" s="101"/>
      <c r="BRW12377" s="99"/>
      <c r="BRX12377" s="100"/>
      <c r="BRY12377" s="205"/>
      <c r="BRZ12377" s="149"/>
      <c r="BSA12377" s="102"/>
      <c r="BSB12377" s="101"/>
      <c r="BSC12377" s="99"/>
      <c r="BSD12377" s="100"/>
      <c r="BSE12377" s="205"/>
      <c r="BSF12377" s="149"/>
      <c r="BSG12377" s="102"/>
      <c r="BSH12377" s="101"/>
      <c r="BSI12377" s="99"/>
      <c r="BSJ12377" s="100"/>
      <c r="BSK12377" s="205"/>
      <c r="BSL12377" s="149"/>
      <c r="BSM12377" s="102"/>
      <c r="BSN12377" s="101"/>
      <c r="BSO12377" s="99"/>
      <c r="BSP12377" s="100"/>
      <c r="BSQ12377" s="205"/>
      <c r="BSR12377" s="149"/>
      <c r="BSS12377" s="102"/>
      <c r="BST12377" s="101"/>
      <c r="BSU12377" s="99"/>
      <c r="BSV12377" s="100"/>
      <c r="BSW12377" s="205"/>
      <c r="BSX12377" s="149"/>
      <c r="BSY12377" s="102"/>
      <c r="BSZ12377" s="101"/>
      <c r="BTA12377" s="99"/>
      <c r="BTB12377" s="100"/>
      <c r="BTC12377" s="205"/>
      <c r="BTD12377" s="149"/>
      <c r="BTE12377" s="102"/>
      <c r="BTF12377" s="101"/>
      <c r="BTG12377" s="99"/>
      <c r="BTH12377" s="100"/>
      <c r="BTI12377" s="205"/>
      <c r="BTJ12377" s="149"/>
      <c r="BTK12377" s="102"/>
      <c r="BTL12377" s="101"/>
      <c r="BTM12377" s="99"/>
      <c r="BTN12377" s="100"/>
      <c r="BTO12377" s="205"/>
      <c r="BTP12377" s="149"/>
      <c r="BTQ12377" s="102"/>
      <c r="BTR12377" s="101"/>
      <c r="BTS12377" s="99"/>
      <c r="BTT12377" s="100"/>
      <c r="BTU12377" s="205"/>
      <c r="BTV12377" s="149"/>
      <c r="BTW12377" s="102"/>
      <c r="BTX12377" s="101"/>
      <c r="BTY12377" s="99"/>
      <c r="BTZ12377" s="100"/>
      <c r="BUA12377" s="205"/>
      <c r="BUB12377" s="149"/>
      <c r="BUC12377" s="102"/>
      <c r="BUD12377" s="101"/>
      <c r="BUE12377" s="99"/>
      <c r="BUF12377" s="100"/>
      <c r="BUG12377" s="205"/>
      <c r="BUH12377" s="149"/>
      <c r="BUI12377" s="102"/>
      <c r="BUJ12377" s="101"/>
      <c r="BUK12377" s="99"/>
      <c r="BUL12377" s="100"/>
      <c r="BUM12377" s="205"/>
      <c r="BUN12377" s="149"/>
      <c r="BUO12377" s="102"/>
      <c r="BUP12377" s="101"/>
      <c r="BUQ12377" s="99"/>
      <c r="BUR12377" s="100"/>
      <c r="BUS12377" s="205"/>
      <c r="BUT12377" s="149"/>
      <c r="BUU12377" s="102"/>
      <c r="BUV12377" s="101"/>
      <c r="BUW12377" s="99"/>
      <c r="BUX12377" s="100"/>
      <c r="BUY12377" s="205"/>
      <c r="BUZ12377" s="149"/>
      <c r="BVA12377" s="102"/>
      <c r="BVB12377" s="101"/>
      <c r="BVC12377" s="99"/>
      <c r="BVD12377" s="100"/>
      <c r="BVE12377" s="205"/>
      <c r="BVF12377" s="149"/>
      <c r="BVG12377" s="102"/>
      <c r="BVH12377" s="101"/>
      <c r="BVI12377" s="99"/>
      <c r="BVJ12377" s="100"/>
      <c r="BVK12377" s="205"/>
      <c r="BVL12377" s="149"/>
      <c r="BVM12377" s="102"/>
      <c r="BVN12377" s="101"/>
      <c r="BVO12377" s="99"/>
      <c r="BVP12377" s="100"/>
      <c r="BVQ12377" s="205"/>
      <c r="BVR12377" s="149"/>
      <c r="BVS12377" s="102"/>
      <c r="BVT12377" s="101"/>
      <c r="BVU12377" s="99"/>
      <c r="BVV12377" s="100"/>
      <c r="BVW12377" s="205"/>
      <c r="BVX12377" s="149"/>
      <c r="BVY12377" s="102"/>
      <c r="BVZ12377" s="101"/>
      <c r="BWA12377" s="99"/>
      <c r="BWB12377" s="100"/>
      <c r="BWC12377" s="205"/>
      <c r="BWD12377" s="149"/>
      <c r="BWE12377" s="102"/>
      <c r="BWF12377" s="101"/>
      <c r="BWG12377" s="99"/>
      <c r="BWH12377" s="100"/>
      <c r="BWI12377" s="205"/>
      <c r="BWJ12377" s="149"/>
      <c r="BWK12377" s="102"/>
      <c r="BWL12377" s="101"/>
      <c r="BWM12377" s="99"/>
      <c r="BWN12377" s="100"/>
      <c r="BWO12377" s="205"/>
      <c r="BWP12377" s="149"/>
      <c r="BWQ12377" s="102"/>
      <c r="BWR12377" s="101"/>
      <c r="BWS12377" s="99"/>
      <c r="BWT12377" s="100"/>
      <c r="BWU12377" s="205"/>
      <c r="BWV12377" s="149"/>
      <c r="BWW12377" s="102"/>
      <c r="BWX12377" s="101"/>
      <c r="BWY12377" s="99"/>
      <c r="BWZ12377" s="100"/>
      <c r="BXA12377" s="205"/>
      <c r="BXB12377" s="149"/>
      <c r="BXC12377" s="102"/>
      <c r="BXD12377" s="101"/>
      <c r="BXE12377" s="99"/>
      <c r="BXF12377" s="100"/>
      <c r="BXG12377" s="205"/>
      <c r="BXH12377" s="149"/>
      <c r="BXI12377" s="102"/>
      <c r="BXJ12377" s="101"/>
      <c r="BXK12377" s="99"/>
      <c r="BXL12377" s="100"/>
      <c r="BXM12377" s="205"/>
      <c r="BXN12377" s="149"/>
      <c r="BXO12377" s="102"/>
      <c r="BXP12377" s="101"/>
      <c r="BXQ12377" s="99"/>
      <c r="BXR12377" s="100"/>
      <c r="BXS12377" s="205"/>
      <c r="BXT12377" s="149"/>
      <c r="BXU12377" s="102"/>
      <c r="BXV12377" s="101"/>
      <c r="BXW12377" s="99"/>
      <c r="BXX12377" s="100"/>
      <c r="BXY12377" s="205"/>
      <c r="BXZ12377" s="149"/>
      <c r="BYA12377" s="102"/>
      <c r="BYB12377" s="101"/>
      <c r="BYC12377" s="99"/>
      <c r="BYD12377" s="100"/>
      <c r="BYE12377" s="205"/>
      <c r="BYF12377" s="149"/>
      <c r="BYG12377" s="102"/>
      <c r="BYH12377" s="101"/>
      <c r="BYI12377" s="99"/>
      <c r="BYJ12377" s="100"/>
      <c r="BYK12377" s="205"/>
      <c r="BYL12377" s="149"/>
      <c r="BYM12377" s="102"/>
      <c r="BYN12377" s="101"/>
      <c r="BYO12377" s="99"/>
      <c r="BYP12377" s="100"/>
      <c r="BYQ12377" s="205"/>
      <c r="BYR12377" s="149"/>
      <c r="BYS12377" s="102"/>
      <c r="BYT12377" s="101"/>
      <c r="BYU12377" s="99"/>
      <c r="BYV12377" s="100"/>
      <c r="BYW12377" s="205"/>
      <c r="BYX12377" s="149"/>
      <c r="BYY12377" s="102"/>
      <c r="BYZ12377" s="101"/>
      <c r="BZA12377" s="99"/>
      <c r="BZB12377" s="100"/>
      <c r="BZC12377" s="205"/>
      <c r="BZD12377" s="149"/>
      <c r="BZE12377" s="102"/>
      <c r="BZF12377" s="101"/>
      <c r="BZG12377" s="99"/>
      <c r="BZH12377" s="100"/>
      <c r="BZI12377" s="205"/>
      <c r="BZJ12377" s="149"/>
      <c r="BZK12377" s="102"/>
      <c r="BZL12377" s="101"/>
      <c r="BZM12377" s="99"/>
      <c r="BZN12377" s="100"/>
      <c r="BZO12377" s="205"/>
      <c r="BZP12377" s="149"/>
      <c r="BZQ12377" s="102"/>
      <c r="BZR12377" s="101"/>
      <c r="BZS12377" s="99"/>
      <c r="BZT12377" s="100"/>
      <c r="BZU12377" s="205"/>
      <c r="BZV12377" s="149"/>
      <c r="BZW12377" s="102"/>
      <c r="BZX12377" s="101"/>
      <c r="BZY12377" s="99"/>
      <c r="BZZ12377" s="100"/>
      <c r="CAA12377" s="205"/>
      <c r="CAB12377" s="149"/>
      <c r="CAC12377" s="102"/>
      <c r="CAD12377" s="101"/>
      <c r="CAE12377" s="99"/>
      <c r="CAF12377" s="100"/>
      <c r="CAG12377" s="205"/>
      <c r="CAH12377" s="149"/>
      <c r="CAI12377" s="102"/>
      <c r="CAJ12377" s="101"/>
      <c r="CAK12377" s="99"/>
      <c r="CAL12377" s="100"/>
      <c r="CAM12377" s="205"/>
      <c r="CAN12377" s="149"/>
      <c r="CAO12377" s="102"/>
      <c r="CAP12377" s="101"/>
      <c r="CAQ12377" s="99"/>
      <c r="CAR12377" s="100"/>
      <c r="CAS12377" s="205"/>
      <c r="CAT12377" s="149"/>
      <c r="CAU12377" s="102"/>
      <c r="CAV12377" s="101"/>
      <c r="CAW12377" s="99"/>
      <c r="CAX12377" s="100"/>
      <c r="CAY12377" s="205"/>
      <c r="CAZ12377" s="149"/>
      <c r="CBA12377" s="102"/>
      <c r="CBB12377" s="101"/>
      <c r="CBC12377" s="99"/>
      <c r="CBD12377" s="100"/>
      <c r="CBE12377" s="205"/>
      <c r="CBF12377" s="149"/>
      <c r="CBG12377" s="102"/>
      <c r="CBH12377" s="101"/>
      <c r="CBI12377" s="99"/>
      <c r="CBJ12377" s="100"/>
      <c r="CBK12377" s="205"/>
      <c r="CBL12377" s="149"/>
      <c r="CBM12377" s="102"/>
      <c r="CBN12377" s="101"/>
      <c r="CBO12377" s="99"/>
      <c r="CBP12377" s="100"/>
      <c r="CBQ12377" s="205"/>
      <c r="CBR12377" s="149"/>
      <c r="CBS12377" s="102"/>
      <c r="CBT12377" s="101"/>
      <c r="CBU12377" s="99"/>
      <c r="CBV12377" s="100"/>
      <c r="CBW12377" s="205"/>
      <c r="CBX12377" s="149"/>
      <c r="CBY12377" s="102"/>
      <c r="CBZ12377" s="101"/>
      <c r="CCA12377" s="99"/>
      <c r="CCB12377" s="100"/>
      <c r="CCC12377" s="205"/>
      <c r="CCD12377" s="149"/>
      <c r="CCE12377" s="102"/>
      <c r="CCF12377" s="101"/>
      <c r="CCG12377" s="99"/>
      <c r="CCH12377" s="100"/>
      <c r="CCI12377" s="205"/>
      <c r="CCJ12377" s="149"/>
      <c r="CCK12377" s="102"/>
      <c r="CCL12377" s="101"/>
      <c r="CCM12377" s="99"/>
      <c r="CCN12377" s="100"/>
      <c r="CCO12377" s="205"/>
      <c r="CCP12377" s="149"/>
      <c r="CCQ12377" s="102"/>
      <c r="CCR12377" s="101"/>
      <c r="CCS12377" s="99"/>
      <c r="CCT12377" s="100"/>
      <c r="CCU12377" s="205"/>
      <c r="CCV12377" s="149"/>
      <c r="CCW12377" s="102"/>
      <c r="CCX12377" s="101"/>
      <c r="CCY12377" s="99"/>
      <c r="CCZ12377" s="100"/>
      <c r="CDA12377" s="205"/>
      <c r="CDB12377" s="149"/>
      <c r="CDC12377" s="102"/>
      <c r="CDD12377" s="101"/>
      <c r="CDE12377" s="99"/>
      <c r="CDF12377" s="100"/>
      <c r="CDG12377" s="205"/>
      <c r="CDH12377" s="149"/>
      <c r="CDI12377" s="102"/>
      <c r="CDJ12377" s="101"/>
      <c r="CDK12377" s="99"/>
      <c r="CDL12377" s="100"/>
      <c r="CDM12377" s="205"/>
      <c r="CDN12377" s="149"/>
      <c r="CDO12377" s="102"/>
      <c r="CDP12377" s="101"/>
      <c r="CDQ12377" s="99"/>
      <c r="CDR12377" s="100"/>
      <c r="CDS12377" s="205"/>
      <c r="CDT12377" s="149"/>
      <c r="CDU12377" s="102"/>
      <c r="CDV12377" s="101"/>
      <c r="CDW12377" s="99"/>
      <c r="CDX12377" s="100"/>
      <c r="CDY12377" s="205"/>
      <c r="CDZ12377" s="149"/>
      <c r="CEA12377" s="102"/>
      <c r="CEB12377" s="101"/>
      <c r="CEC12377" s="99"/>
      <c r="CED12377" s="100"/>
      <c r="CEE12377" s="205"/>
      <c r="CEF12377" s="149"/>
      <c r="CEG12377" s="102"/>
      <c r="CEH12377" s="101"/>
      <c r="CEI12377" s="99"/>
      <c r="CEJ12377" s="100"/>
      <c r="CEK12377" s="205"/>
      <c r="CEL12377" s="149"/>
      <c r="CEM12377" s="102"/>
      <c r="CEN12377" s="101"/>
      <c r="CEO12377" s="99"/>
      <c r="CEP12377" s="100"/>
      <c r="CEQ12377" s="205"/>
      <c r="CER12377" s="149"/>
      <c r="CES12377" s="102"/>
      <c r="CET12377" s="101"/>
      <c r="CEU12377" s="99"/>
      <c r="CEV12377" s="100"/>
      <c r="CEW12377" s="205"/>
      <c r="CEX12377" s="149"/>
      <c r="CEY12377" s="102"/>
      <c r="CEZ12377" s="101"/>
      <c r="CFA12377" s="99"/>
      <c r="CFB12377" s="100"/>
      <c r="CFC12377" s="205"/>
      <c r="CFD12377" s="149"/>
      <c r="CFE12377" s="102"/>
      <c r="CFF12377" s="101"/>
      <c r="CFG12377" s="99"/>
      <c r="CFH12377" s="100"/>
      <c r="CFI12377" s="205"/>
      <c r="CFJ12377" s="149"/>
      <c r="CFK12377" s="102"/>
      <c r="CFL12377" s="101"/>
      <c r="CFM12377" s="99"/>
      <c r="CFN12377" s="100"/>
      <c r="CFO12377" s="205"/>
      <c r="CFP12377" s="149"/>
      <c r="CFQ12377" s="102"/>
      <c r="CFR12377" s="101"/>
      <c r="CFS12377" s="99"/>
      <c r="CFT12377" s="100"/>
      <c r="CFU12377" s="205"/>
      <c r="CFV12377" s="149"/>
      <c r="CFW12377" s="102"/>
      <c r="CFX12377" s="101"/>
      <c r="CFY12377" s="99"/>
      <c r="CFZ12377" s="100"/>
      <c r="CGA12377" s="205"/>
      <c r="CGB12377" s="149"/>
      <c r="CGC12377" s="102"/>
      <c r="CGD12377" s="101"/>
      <c r="CGE12377" s="99"/>
      <c r="CGF12377" s="100"/>
      <c r="CGG12377" s="205"/>
      <c r="CGH12377" s="149"/>
      <c r="CGI12377" s="102"/>
      <c r="CGJ12377" s="101"/>
      <c r="CGK12377" s="99"/>
      <c r="CGL12377" s="100"/>
      <c r="CGM12377" s="205"/>
      <c r="CGN12377" s="149"/>
      <c r="CGO12377" s="102"/>
      <c r="CGP12377" s="101"/>
      <c r="CGQ12377" s="99"/>
      <c r="CGR12377" s="100"/>
      <c r="CGS12377" s="205"/>
      <c r="CGT12377" s="149"/>
      <c r="CGU12377" s="102"/>
      <c r="CGV12377" s="101"/>
      <c r="CGW12377" s="99"/>
      <c r="CGX12377" s="100"/>
      <c r="CGY12377" s="205"/>
      <c r="CGZ12377" s="149"/>
      <c r="CHA12377" s="102"/>
      <c r="CHB12377" s="101"/>
      <c r="CHC12377" s="99"/>
      <c r="CHD12377" s="100"/>
      <c r="CHE12377" s="205"/>
      <c r="CHF12377" s="149"/>
      <c r="CHG12377" s="102"/>
      <c r="CHH12377" s="101"/>
      <c r="CHI12377" s="99"/>
      <c r="CHJ12377" s="100"/>
      <c r="CHK12377" s="205"/>
      <c r="CHL12377" s="149"/>
      <c r="CHM12377" s="102"/>
      <c r="CHN12377" s="101"/>
      <c r="CHO12377" s="99"/>
      <c r="CHP12377" s="100"/>
      <c r="CHQ12377" s="205"/>
      <c r="CHR12377" s="149"/>
      <c r="CHS12377" s="102"/>
      <c r="CHT12377" s="101"/>
      <c r="CHU12377" s="99"/>
      <c r="CHV12377" s="100"/>
      <c r="CHW12377" s="205"/>
      <c r="CHX12377" s="149"/>
      <c r="CHY12377" s="102"/>
      <c r="CHZ12377" s="101"/>
      <c r="CIA12377" s="99"/>
      <c r="CIB12377" s="100"/>
      <c r="CIC12377" s="205"/>
      <c r="CID12377" s="149"/>
      <c r="CIE12377" s="102"/>
      <c r="CIF12377" s="101"/>
      <c r="CIG12377" s="99"/>
      <c r="CIH12377" s="100"/>
      <c r="CII12377" s="205"/>
      <c r="CIJ12377" s="149"/>
      <c r="CIK12377" s="102"/>
      <c r="CIL12377" s="101"/>
      <c r="CIM12377" s="99"/>
      <c r="CIN12377" s="100"/>
      <c r="CIO12377" s="205"/>
      <c r="CIP12377" s="149"/>
      <c r="CIQ12377" s="102"/>
      <c r="CIR12377" s="101"/>
      <c r="CIS12377" s="99"/>
      <c r="CIT12377" s="100"/>
      <c r="CIU12377" s="205"/>
      <c r="CIV12377" s="149"/>
      <c r="CIW12377" s="102"/>
      <c r="CIX12377" s="101"/>
      <c r="CIY12377" s="99"/>
      <c r="CIZ12377" s="100"/>
      <c r="CJA12377" s="205"/>
      <c r="CJB12377" s="149"/>
      <c r="CJC12377" s="102"/>
      <c r="CJD12377" s="101"/>
      <c r="CJE12377" s="99"/>
      <c r="CJF12377" s="100"/>
      <c r="CJG12377" s="205"/>
      <c r="CJH12377" s="149"/>
      <c r="CJI12377" s="102"/>
      <c r="CJJ12377" s="101"/>
      <c r="CJK12377" s="99"/>
      <c r="CJL12377" s="100"/>
      <c r="CJM12377" s="205"/>
      <c r="CJN12377" s="149"/>
      <c r="CJO12377" s="102"/>
      <c r="CJP12377" s="101"/>
      <c r="CJQ12377" s="99"/>
      <c r="CJR12377" s="100"/>
      <c r="CJS12377" s="205"/>
      <c r="CJT12377" s="149"/>
      <c r="CJU12377" s="102"/>
      <c r="CJV12377" s="101"/>
      <c r="CJW12377" s="99"/>
      <c r="CJX12377" s="100"/>
      <c r="CJY12377" s="205"/>
      <c r="CJZ12377" s="149"/>
      <c r="CKA12377" s="102"/>
      <c r="CKB12377" s="101"/>
      <c r="CKC12377" s="99"/>
      <c r="CKD12377" s="100"/>
      <c r="CKE12377" s="205"/>
      <c r="CKF12377" s="149"/>
      <c r="CKG12377" s="102"/>
      <c r="CKH12377" s="101"/>
      <c r="CKI12377" s="99"/>
      <c r="CKJ12377" s="100"/>
      <c r="CKK12377" s="205"/>
      <c r="CKL12377" s="149"/>
      <c r="CKM12377" s="102"/>
      <c r="CKN12377" s="101"/>
      <c r="CKO12377" s="99"/>
      <c r="CKP12377" s="100"/>
      <c r="CKQ12377" s="205"/>
      <c r="CKR12377" s="149"/>
      <c r="CKS12377" s="102"/>
      <c r="CKT12377" s="101"/>
      <c r="CKU12377" s="99"/>
      <c r="CKV12377" s="100"/>
      <c r="CKW12377" s="205"/>
      <c r="CKX12377" s="149"/>
      <c r="CKY12377" s="102"/>
      <c r="CKZ12377" s="101"/>
      <c r="CLA12377" s="99"/>
      <c r="CLB12377" s="100"/>
      <c r="CLC12377" s="205"/>
      <c r="CLD12377" s="149"/>
      <c r="CLE12377" s="102"/>
      <c r="CLF12377" s="101"/>
      <c r="CLG12377" s="99"/>
      <c r="CLH12377" s="100"/>
      <c r="CLI12377" s="205"/>
      <c r="CLJ12377" s="149"/>
      <c r="CLK12377" s="102"/>
      <c r="CLL12377" s="101"/>
      <c r="CLM12377" s="99"/>
      <c r="CLN12377" s="100"/>
      <c r="CLO12377" s="205"/>
      <c r="CLP12377" s="149"/>
      <c r="CLQ12377" s="102"/>
      <c r="CLR12377" s="101"/>
      <c r="CLS12377" s="99"/>
      <c r="CLT12377" s="100"/>
      <c r="CLU12377" s="205"/>
      <c r="CLV12377" s="149"/>
      <c r="CLW12377" s="102"/>
      <c r="CLX12377" s="101"/>
      <c r="CLY12377" s="99"/>
      <c r="CLZ12377" s="100"/>
      <c r="CMA12377" s="205"/>
      <c r="CMB12377" s="149"/>
      <c r="CMC12377" s="102"/>
      <c r="CMD12377" s="101"/>
      <c r="CME12377" s="99"/>
      <c r="CMF12377" s="100"/>
      <c r="CMG12377" s="205"/>
      <c r="CMH12377" s="149"/>
      <c r="CMI12377" s="102"/>
      <c r="CMJ12377" s="101"/>
      <c r="CMK12377" s="99"/>
      <c r="CML12377" s="100"/>
      <c r="CMM12377" s="205"/>
      <c r="CMN12377" s="149"/>
      <c r="CMO12377" s="102"/>
      <c r="CMP12377" s="101"/>
      <c r="CMQ12377" s="99"/>
      <c r="CMR12377" s="100"/>
      <c r="CMS12377" s="205"/>
      <c r="CMT12377" s="149"/>
      <c r="CMU12377" s="102"/>
      <c r="CMV12377" s="101"/>
      <c r="CMW12377" s="99"/>
      <c r="CMX12377" s="100"/>
      <c r="CMY12377" s="205"/>
      <c r="CMZ12377" s="149"/>
      <c r="CNA12377" s="102"/>
      <c r="CNB12377" s="101"/>
      <c r="CNC12377" s="99"/>
      <c r="CND12377" s="100"/>
      <c r="CNE12377" s="205"/>
      <c r="CNF12377" s="149"/>
      <c r="CNG12377" s="102"/>
      <c r="CNH12377" s="101"/>
      <c r="CNI12377" s="99"/>
      <c r="CNJ12377" s="100"/>
      <c r="CNK12377" s="205"/>
      <c r="CNL12377" s="149"/>
      <c r="CNM12377" s="102"/>
      <c r="CNN12377" s="101"/>
      <c r="CNO12377" s="99"/>
      <c r="CNP12377" s="100"/>
      <c r="CNQ12377" s="205"/>
      <c r="CNR12377" s="149"/>
      <c r="CNS12377" s="102"/>
      <c r="CNT12377" s="101"/>
      <c r="CNU12377" s="99"/>
      <c r="CNV12377" s="100"/>
      <c r="CNW12377" s="205"/>
      <c r="CNX12377" s="149"/>
      <c r="CNY12377" s="102"/>
      <c r="CNZ12377" s="101"/>
      <c r="COA12377" s="99"/>
      <c r="COB12377" s="100"/>
      <c r="COC12377" s="205"/>
      <c r="COD12377" s="149"/>
      <c r="COE12377" s="102"/>
      <c r="COF12377" s="101"/>
      <c r="COG12377" s="99"/>
      <c r="COH12377" s="100"/>
      <c r="COI12377" s="205"/>
      <c r="COJ12377" s="149"/>
      <c r="COK12377" s="102"/>
      <c r="COL12377" s="101"/>
      <c r="COM12377" s="99"/>
      <c r="CON12377" s="100"/>
      <c r="COO12377" s="205"/>
      <c r="COP12377" s="149"/>
      <c r="COQ12377" s="102"/>
      <c r="COR12377" s="101"/>
      <c r="COS12377" s="99"/>
      <c r="COT12377" s="100"/>
      <c r="COU12377" s="205"/>
      <c r="COV12377" s="149"/>
      <c r="COW12377" s="102"/>
      <c r="COX12377" s="101"/>
      <c r="COY12377" s="99"/>
      <c r="COZ12377" s="100"/>
      <c r="CPA12377" s="205"/>
      <c r="CPB12377" s="149"/>
      <c r="CPC12377" s="102"/>
      <c r="CPD12377" s="101"/>
      <c r="CPE12377" s="99"/>
      <c r="CPF12377" s="100"/>
      <c r="CPG12377" s="205"/>
      <c r="CPH12377" s="149"/>
      <c r="CPI12377" s="102"/>
      <c r="CPJ12377" s="101"/>
      <c r="CPK12377" s="99"/>
      <c r="CPL12377" s="100"/>
      <c r="CPM12377" s="205"/>
      <c r="CPN12377" s="149"/>
      <c r="CPO12377" s="102"/>
      <c r="CPP12377" s="101"/>
      <c r="CPQ12377" s="99"/>
      <c r="CPR12377" s="100"/>
      <c r="CPS12377" s="205"/>
      <c r="CPT12377" s="149"/>
      <c r="CPU12377" s="102"/>
      <c r="CPV12377" s="101"/>
      <c r="CPW12377" s="99"/>
      <c r="CPX12377" s="100"/>
      <c r="CPY12377" s="205"/>
      <c r="CPZ12377" s="149"/>
      <c r="CQA12377" s="102"/>
      <c r="CQB12377" s="101"/>
      <c r="CQC12377" s="99"/>
      <c r="CQD12377" s="100"/>
      <c r="CQE12377" s="205"/>
      <c r="CQF12377" s="149"/>
      <c r="CQG12377" s="102"/>
      <c r="CQH12377" s="101"/>
      <c r="CQI12377" s="99"/>
      <c r="CQJ12377" s="100"/>
      <c r="CQK12377" s="205"/>
      <c r="CQL12377" s="149"/>
      <c r="CQM12377" s="102"/>
      <c r="CQN12377" s="101"/>
      <c r="CQO12377" s="99"/>
      <c r="CQP12377" s="100"/>
      <c r="CQQ12377" s="205"/>
      <c r="CQR12377" s="149"/>
      <c r="CQS12377" s="102"/>
      <c r="CQT12377" s="101"/>
      <c r="CQU12377" s="99"/>
      <c r="CQV12377" s="100"/>
      <c r="CQW12377" s="205"/>
      <c r="CQX12377" s="149"/>
      <c r="CQY12377" s="102"/>
      <c r="CQZ12377" s="101"/>
      <c r="CRA12377" s="99"/>
      <c r="CRB12377" s="100"/>
      <c r="CRC12377" s="205"/>
      <c r="CRD12377" s="149"/>
      <c r="CRE12377" s="102"/>
      <c r="CRF12377" s="101"/>
      <c r="CRG12377" s="99"/>
      <c r="CRH12377" s="100"/>
      <c r="CRI12377" s="205"/>
      <c r="CRJ12377" s="149"/>
      <c r="CRK12377" s="102"/>
      <c r="CRL12377" s="101"/>
      <c r="CRM12377" s="99"/>
      <c r="CRN12377" s="100"/>
      <c r="CRO12377" s="205"/>
      <c r="CRP12377" s="149"/>
      <c r="CRQ12377" s="102"/>
      <c r="CRR12377" s="101"/>
      <c r="CRS12377" s="99"/>
      <c r="CRT12377" s="100"/>
      <c r="CRU12377" s="205"/>
      <c r="CRV12377" s="149"/>
      <c r="CRW12377" s="102"/>
      <c r="CRX12377" s="101"/>
      <c r="CRY12377" s="99"/>
      <c r="CRZ12377" s="100"/>
      <c r="CSA12377" s="205"/>
      <c r="CSB12377" s="149"/>
      <c r="CSC12377" s="102"/>
      <c r="CSD12377" s="101"/>
      <c r="CSE12377" s="99"/>
      <c r="CSF12377" s="100"/>
      <c r="CSG12377" s="205"/>
      <c r="CSH12377" s="149"/>
      <c r="CSI12377" s="102"/>
      <c r="CSJ12377" s="101"/>
      <c r="CSK12377" s="99"/>
      <c r="CSL12377" s="100"/>
      <c r="CSM12377" s="205"/>
      <c r="CSN12377" s="149"/>
      <c r="CSO12377" s="102"/>
      <c r="CSP12377" s="101"/>
      <c r="CSQ12377" s="99"/>
      <c r="CSR12377" s="100"/>
      <c r="CSS12377" s="205"/>
      <c r="CST12377" s="149"/>
      <c r="CSU12377" s="102"/>
      <c r="CSV12377" s="101"/>
      <c r="CSW12377" s="99"/>
      <c r="CSX12377" s="100"/>
      <c r="CSY12377" s="205"/>
      <c r="CSZ12377" s="149"/>
      <c r="CTA12377" s="102"/>
      <c r="CTB12377" s="101"/>
      <c r="CTC12377" s="99"/>
      <c r="CTD12377" s="100"/>
      <c r="CTE12377" s="205"/>
      <c r="CTF12377" s="149"/>
      <c r="CTG12377" s="102"/>
      <c r="CTH12377" s="101"/>
      <c r="CTI12377" s="99"/>
      <c r="CTJ12377" s="100"/>
      <c r="CTK12377" s="205"/>
      <c r="CTL12377" s="149"/>
      <c r="CTM12377" s="102"/>
      <c r="CTN12377" s="101"/>
      <c r="CTO12377" s="99"/>
      <c r="CTP12377" s="100"/>
      <c r="CTQ12377" s="205"/>
      <c r="CTR12377" s="149"/>
      <c r="CTS12377" s="102"/>
      <c r="CTT12377" s="101"/>
      <c r="CTU12377" s="99"/>
      <c r="CTV12377" s="100"/>
      <c r="CTW12377" s="205"/>
      <c r="CTX12377" s="149"/>
      <c r="CTY12377" s="102"/>
      <c r="CTZ12377" s="101"/>
      <c r="CUA12377" s="99"/>
      <c r="CUB12377" s="100"/>
      <c r="CUC12377" s="205"/>
      <c r="CUD12377" s="149"/>
      <c r="CUE12377" s="102"/>
      <c r="CUF12377" s="101"/>
      <c r="CUG12377" s="99"/>
      <c r="CUH12377" s="100"/>
      <c r="CUI12377" s="205"/>
      <c r="CUJ12377" s="149"/>
      <c r="CUK12377" s="102"/>
      <c r="CUL12377" s="101"/>
      <c r="CUM12377" s="99"/>
      <c r="CUN12377" s="100"/>
      <c r="CUO12377" s="205"/>
      <c r="CUP12377" s="149"/>
      <c r="CUQ12377" s="102"/>
      <c r="CUR12377" s="101"/>
      <c r="CUS12377" s="99"/>
      <c r="CUT12377" s="100"/>
      <c r="CUU12377" s="205"/>
      <c r="CUV12377" s="149"/>
      <c r="CUW12377" s="102"/>
      <c r="CUX12377" s="101"/>
      <c r="CUY12377" s="99"/>
      <c r="CUZ12377" s="100"/>
      <c r="CVA12377" s="205"/>
      <c r="CVB12377" s="149"/>
      <c r="CVC12377" s="102"/>
      <c r="CVD12377" s="101"/>
      <c r="CVE12377" s="99"/>
      <c r="CVF12377" s="100"/>
      <c r="CVG12377" s="205"/>
      <c r="CVH12377" s="149"/>
      <c r="CVI12377" s="102"/>
      <c r="CVJ12377" s="101"/>
      <c r="CVK12377" s="99"/>
      <c r="CVL12377" s="100"/>
      <c r="CVM12377" s="205"/>
      <c r="CVN12377" s="149"/>
      <c r="CVO12377" s="102"/>
      <c r="CVP12377" s="101"/>
      <c r="CVQ12377" s="99"/>
      <c r="CVR12377" s="100"/>
      <c r="CVS12377" s="205"/>
      <c r="CVT12377" s="149"/>
      <c r="CVU12377" s="102"/>
      <c r="CVV12377" s="101"/>
      <c r="CVW12377" s="99"/>
      <c r="CVX12377" s="100"/>
      <c r="CVY12377" s="205"/>
      <c r="CVZ12377" s="149"/>
      <c r="CWA12377" s="102"/>
      <c r="CWB12377" s="101"/>
      <c r="CWC12377" s="99"/>
      <c r="CWD12377" s="100"/>
      <c r="CWE12377" s="205"/>
      <c r="CWF12377" s="149"/>
      <c r="CWG12377" s="102"/>
      <c r="CWH12377" s="101"/>
      <c r="CWI12377" s="99"/>
      <c r="CWJ12377" s="100"/>
      <c r="CWK12377" s="205"/>
      <c r="CWL12377" s="149"/>
      <c r="CWM12377" s="102"/>
      <c r="CWN12377" s="101"/>
      <c r="CWO12377" s="99"/>
      <c r="CWP12377" s="100"/>
      <c r="CWQ12377" s="205"/>
      <c r="CWR12377" s="149"/>
      <c r="CWS12377" s="102"/>
      <c r="CWT12377" s="101"/>
      <c r="CWU12377" s="99"/>
      <c r="CWV12377" s="100"/>
      <c r="CWW12377" s="205"/>
      <c r="CWX12377" s="149"/>
      <c r="CWY12377" s="102"/>
      <c r="CWZ12377" s="101"/>
      <c r="CXA12377" s="99"/>
      <c r="CXB12377" s="100"/>
      <c r="CXC12377" s="205"/>
      <c r="CXD12377" s="149"/>
      <c r="CXE12377" s="102"/>
      <c r="CXF12377" s="101"/>
      <c r="CXG12377" s="99"/>
      <c r="CXH12377" s="100"/>
      <c r="CXI12377" s="205"/>
      <c r="CXJ12377" s="149"/>
      <c r="CXK12377" s="102"/>
      <c r="CXL12377" s="101"/>
      <c r="CXM12377" s="99"/>
      <c r="CXN12377" s="100"/>
      <c r="CXO12377" s="205"/>
      <c r="CXP12377" s="149"/>
      <c r="CXQ12377" s="102"/>
      <c r="CXR12377" s="101"/>
      <c r="CXS12377" s="99"/>
      <c r="CXT12377" s="100"/>
      <c r="CXU12377" s="205"/>
      <c r="CXV12377" s="149"/>
      <c r="CXW12377" s="102"/>
      <c r="CXX12377" s="101"/>
      <c r="CXY12377" s="99"/>
      <c r="CXZ12377" s="100"/>
      <c r="CYA12377" s="205"/>
      <c r="CYB12377" s="149"/>
      <c r="CYC12377" s="102"/>
      <c r="CYD12377" s="101"/>
      <c r="CYE12377" s="99"/>
      <c r="CYF12377" s="100"/>
      <c r="CYG12377" s="205"/>
      <c r="CYH12377" s="149"/>
      <c r="CYI12377" s="102"/>
      <c r="CYJ12377" s="101"/>
      <c r="CYK12377" s="99"/>
      <c r="CYL12377" s="100"/>
      <c r="CYM12377" s="205"/>
      <c r="CYN12377" s="149"/>
      <c r="CYO12377" s="102"/>
      <c r="CYP12377" s="101"/>
      <c r="CYQ12377" s="99"/>
      <c r="CYR12377" s="100"/>
      <c r="CYS12377" s="205"/>
      <c r="CYT12377" s="149"/>
      <c r="CYU12377" s="102"/>
      <c r="CYV12377" s="101"/>
      <c r="CYW12377" s="99"/>
      <c r="CYX12377" s="100"/>
      <c r="CYY12377" s="205"/>
      <c r="CYZ12377" s="149"/>
      <c r="CZA12377" s="102"/>
      <c r="CZB12377" s="101"/>
      <c r="CZC12377" s="99"/>
      <c r="CZD12377" s="100"/>
      <c r="CZE12377" s="205"/>
      <c r="CZF12377" s="149"/>
      <c r="CZG12377" s="102"/>
      <c r="CZH12377" s="101"/>
      <c r="CZI12377" s="99"/>
      <c r="CZJ12377" s="100"/>
      <c r="CZK12377" s="205"/>
      <c r="CZL12377" s="149"/>
      <c r="CZM12377" s="102"/>
      <c r="CZN12377" s="101"/>
      <c r="CZO12377" s="99"/>
      <c r="CZP12377" s="100"/>
      <c r="CZQ12377" s="205"/>
      <c r="CZR12377" s="149"/>
      <c r="CZS12377" s="102"/>
      <c r="CZT12377" s="101"/>
      <c r="CZU12377" s="99"/>
      <c r="CZV12377" s="100"/>
      <c r="CZW12377" s="205"/>
      <c r="CZX12377" s="149"/>
      <c r="CZY12377" s="102"/>
      <c r="CZZ12377" s="101"/>
      <c r="DAA12377" s="99"/>
      <c r="DAB12377" s="100"/>
      <c r="DAC12377" s="205"/>
      <c r="DAD12377" s="149"/>
      <c r="DAE12377" s="102"/>
      <c r="DAF12377" s="101"/>
      <c r="DAG12377" s="99"/>
      <c r="DAH12377" s="100"/>
      <c r="DAI12377" s="205"/>
      <c r="DAJ12377" s="149"/>
      <c r="DAK12377" s="102"/>
      <c r="DAL12377" s="101"/>
      <c r="DAM12377" s="99"/>
      <c r="DAN12377" s="100"/>
      <c r="DAO12377" s="205"/>
      <c r="DAP12377" s="149"/>
      <c r="DAQ12377" s="102"/>
      <c r="DAR12377" s="101"/>
      <c r="DAS12377" s="99"/>
      <c r="DAT12377" s="100"/>
      <c r="DAU12377" s="205"/>
      <c r="DAV12377" s="149"/>
      <c r="DAW12377" s="102"/>
      <c r="DAX12377" s="101"/>
      <c r="DAY12377" s="99"/>
      <c r="DAZ12377" s="100"/>
      <c r="DBA12377" s="205"/>
      <c r="DBB12377" s="149"/>
      <c r="DBC12377" s="102"/>
      <c r="DBD12377" s="101"/>
      <c r="DBE12377" s="99"/>
      <c r="DBF12377" s="100"/>
      <c r="DBG12377" s="205"/>
      <c r="DBH12377" s="149"/>
      <c r="DBI12377" s="102"/>
      <c r="DBJ12377" s="101"/>
      <c r="DBK12377" s="99"/>
      <c r="DBL12377" s="100"/>
      <c r="DBM12377" s="205"/>
      <c r="DBN12377" s="149"/>
      <c r="DBO12377" s="102"/>
      <c r="DBP12377" s="101"/>
      <c r="DBQ12377" s="99"/>
      <c r="DBR12377" s="100"/>
      <c r="DBS12377" s="205"/>
      <c r="DBT12377" s="149"/>
      <c r="DBU12377" s="102"/>
      <c r="DBV12377" s="101"/>
      <c r="DBW12377" s="99"/>
      <c r="DBX12377" s="100"/>
      <c r="DBY12377" s="205"/>
      <c r="DBZ12377" s="149"/>
      <c r="DCA12377" s="102"/>
      <c r="DCB12377" s="101"/>
      <c r="DCC12377" s="99"/>
      <c r="DCD12377" s="100"/>
      <c r="DCE12377" s="205"/>
      <c r="DCF12377" s="149"/>
      <c r="DCG12377" s="102"/>
      <c r="DCH12377" s="101"/>
      <c r="DCI12377" s="99"/>
      <c r="DCJ12377" s="100"/>
      <c r="DCK12377" s="205"/>
      <c r="DCL12377" s="149"/>
      <c r="DCM12377" s="102"/>
      <c r="DCN12377" s="101"/>
      <c r="DCO12377" s="99"/>
      <c r="DCP12377" s="100"/>
      <c r="DCQ12377" s="205"/>
      <c r="DCR12377" s="149"/>
      <c r="DCS12377" s="102"/>
      <c r="DCT12377" s="101"/>
      <c r="DCU12377" s="99"/>
      <c r="DCV12377" s="100"/>
      <c r="DCW12377" s="205"/>
      <c r="DCX12377" s="149"/>
      <c r="DCY12377" s="102"/>
      <c r="DCZ12377" s="101"/>
      <c r="DDA12377" s="99"/>
      <c r="DDB12377" s="100"/>
      <c r="DDC12377" s="205"/>
      <c r="DDD12377" s="149"/>
      <c r="DDE12377" s="102"/>
      <c r="DDF12377" s="101"/>
      <c r="DDG12377" s="99"/>
      <c r="DDH12377" s="100"/>
      <c r="DDI12377" s="205"/>
      <c r="DDJ12377" s="149"/>
      <c r="DDK12377" s="102"/>
      <c r="DDL12377" s="101"/>
      <c r="DDM12377" s="99"/>
      <c r="DDN12377" s="100"/>
      <c r="DDO12377" s="205"/>
      <c r="DDP12377" s="149"/>
      <c r="DDQ12377" s="102"/>
      <c r="DDR12377" s="101"/>
      <c r="DDS12377" s="99"/>
      <c r="DDT12377" s="100"/>
      <c r="DDU12377" s="205"/>
      <c r="DDV12377" s="149"/>
      <c r="DDW12377" s="102"/>
      <c r="DDX12377" s="101"/>
      <c r="DDY12377" s="99"/>
      <c r="DDZ12377" s="100"/>
      <c r="DEA12377" s="205"/>
      <c r="DEB12377" s="149"/>
      <c r="DEC12377" s="102"/>
      <c r="DED12377" s="101"/>
      <c r="DEE12377" s="99"/>
      <c r="DEF12377" s="100"/>
      <c r="DEG12377" s="205"/>
      <c r="DEH12377" s="149"/>
      <c r="DEI12377" s="102"/>
      <c r="DEJ12377" s="101"/>
      <c r="DEK12377" s="99"/>
      <c r="DEL12377" s="100"/>
      <c r="DEM12377" s="205"/>
      <c r="DEN12377" s="149"/>
      <c r="DEO12377" s="102"/>
      <c r="DEP12377" s="101"/>
      <c r="DEQ12377" s="99"/>
      <c r="DER12377" s="100"/>
      <c r="DES12377" s="205"/>
      <c r="DET12377" s="149"/>
      <c r="DEU12377" s="102"/>
      <c r="DEV12377" s="101"/>
      <c r="DEW12377" s="99"/>
      <c r="DEX12377" s="100"/>
      <c r="DEY12377" s="205"/>
      <c r="DEZ12377" s="149"/>
      <c r="DFA12377" s="102"/>
      <c r="DFB12377" s="101"/>
      <c r="DFC12377" s="99"/>
      <c r="DFD12377" s="100"/>
      <c r="DFE12377" s="205"/>
      <c r="DFF12377" s="149"/>
      <c r="DFG12377" s="102"/>
      <c r="DFH12377" s="101"/>
      <c r="DFI12377" s="99"/>
      <c r="DFJ12377" s="100"/>
      <c r="DFK12377" s="205"/>
      <c r="DFL12377" s="149"/>
      <c r="DFM12377" s="102"/>
      <c r="DFN12377" s="101"/>
      <c r="DFO12377" s="99"/>
      <c r="DFP12377" s="100"/>
      <c r="DFQ12377" s="205"/>
      <c r="DFR12377" s="149"/>
      <c r="DFS12377" s="102"/>
      <c r="DFT12377" s="101"/>
      <c r="DFU12377" s="99"/>
      <c r="DFV12377" s="100"/>
      <c r="DFW12377" s="205"/>
      <c r="DFX12377" s="149"/>
      <c r="DFY12377" s="102"/>
      <c r="DFZ12377" s="101"/>
      <c r="DGA12377" s="99"/>
      <c r="DGB12377" s="100"/>
      <c r="DGC12377" s="205"/>
      <c r="DGD12377" s="149"/>
      <c r="DGE12377" s="102"/>
      <c r="DGF12377" s="101"/>
      <c r="DGG12377" s="99"/>
      <c r="DGH12377" s="100"/>
      <c r="DGI12377" s="205"/>
      <c r="DGJ12377" s="149"/>
      <c r="DGK12377" s="102"/>
      <c r="DGL12377" s="101"/>
      <c r="DGM12377" s="99"/>
      <c r="DGN12377" s="100"/>
      <c r="DGO12377" s="205"/>
      <c r="DGP12377" s="149"/>
      <c r="DGQ12377" s="102"/>
      <c r="DGR12377" s="101"/>
      <c r="DGS12377" s="99"/>
      <c r="DGT12377" s="100"/>
      <c r="DGU12377" s="205"/>
      <c r="DGV12377" s="149"/>
      <c r="DGW12377" s="102"/>
      <c r="DGX12377" s="101"/>
      <c r="DGY12377" s="99"/>
      <c r="DGZ12377" s="100"/>
      <c r="DHA12377" s="205"/>
      <c r="DHB12377" s="149"/>
      <c r="DHC12377" s="102"/>
      <c r="DHD12377" s="101"/>
      <c r="DHE12377" s="99"/>
      <c r="DHF12377" s="100"/>
      <c r="DHG12377" s="205"/>
      <c r="DHH12377" s="149"/>
      <c r="DHI12377" s="102"/>
      <c r="DHJ12377" s="101"/>
      <c r="DHK12377" s="99"/>
      <c r="DHL12377" s="100"/>
      <c r="DHM12377" s="205"/>
      <c r="DHN12377" s="149"/>
      <c r="DHO12377" s="102"/>
      <c r="DHP12377" s="101"/>
      <c r="DHQ12377" s="99"/>
      <c r="DHR12377" s="100"/>
      <c r="DHS12377" s="205"/>
      <c r="DHT12377" s="149"/>
      <c r="DHU12377" s="102"/>
      <c r="DHV12377" s="101"/>
      <c r="DHW12377" s="99"/>
      <c r="DHX12377" s="100"/>
      <c r="DHY12377" s="205"/>
      <c r="DHZ12377" s="149"/>
      <c r="DIA12377" s="102"/>
      <c r="DIB12377" s="101"/>
      <c r="DIC12377" s="99"/>
      <c r="DID12377" s="100"/>
      <c r="DIE12377" s="205"/>
      <c r="DIF12377" s="149"/>
      <c r="DIG12377" s="102"/>
      <c r="DIH12377" s="101"/>
      <c r="DII12377" s="99"/>
      <c r="DIJ12377" s="100"/>
      <c r="DIK12377" s="205"/>
      <c r="DIL12377" s="149"/>
      <c r="DIM12377" s="102"/>
      <c r="DIN12377" s="101"/>
      <c r="DIO12377" s="99"/>
      <c r="DIP12377" s="100"/>
      <c r="DIQ12377" s="205"/>
      <c r="DIR12377" s="149"/>
      <c r="DIS12377" s="102"/>
      <c r="DIT12377" s="101"/>
      <c r="DIU12377" s="99"/>
      <c r="DIV12377" s="100"/>
      <c r="DIW12377" s="205"/>
      <c r="DIX12377" s="149"/>
      <c r="DIY12377" s="102"/>
      <c r="DIZ12377" s="101"/>
      <c r="DJA12377" s="99"/>
      <c r="DJB12377" s="100"/>
      <c r="DJC12377" s="205"/>
      <c r="DJD12377" s="149"/>
      <c r="DJE12377" s="102"/>
      <c r="DJF12377" s="101"/>
      <c r="DJG12377" s="99"/>
      <c r="DJH12377" s="100"/>
      <c r="DJI12377" s="205"/>
      <c r="DJJ12377" s="149"/>
      <c r="DJK12377" s="102"/>
      <c r="DJL12377" s="101"/>
      <c r="DJM12377" s="99"/>
      <c r="DJN12377" s="100"/>
      <c r="DJO12377" s="205"/>
      <c r="DJP12377" s="149"/>
      <c r="DJQ12377" s="102"/>
      <c r="DJR12377" s="101"/>
      <c r="DJS12377" s="99"/>
      <c r="DJT12377" s="100"/>
      <c r="DJU12377" s="205"/>
      <c r="DJV12377" s="149"/>
      <c r="DJW12377" s="102"/>
      <c r="DJX12377" s="101"/>
      <c r="DJY12377" s="99"/>
      <c r="DJZ12377" s="100"/>
      <c r="DKA12377" s="205"/>
      <c r="DKB12377" s="149"/>
      <c r="DKC12377" s="102"/>
      <c r="DKD12377" s="101"/>
      <c r="DKE12377" s="99"/>
      <c r="DKF12377" s="100"/>
      <c r="DKG12377" s="205"/>
      <c r="DKH12377" s="149"/>
      <c r="DKI12377" s="102"/>
      <c r="DKJ12377" s="101"/>
      <c r="DKK12377" s="99"/>
      <c r="DKL12377" s="100"/>
      <c r="DKM12377" s="205"/>
      <c r="DKN12377" s="149"/>
      <c r="DKO12377" s="102"/>
      <c r="DKP12377" s="101"/>
      <c r="DKQ12377" s="99"/>
      <c r="DKR12377" s="100"/>
      <c r="DKS12377" s="205"/>
      <c r="DKT12377" s="149"/>
      <c r="DKU12377" s="102"/>
      <c r="DKV12377" s="101"/>
      <c r="DKW12377" s="99"/>
      <c r="DKX12377" s="100"/>
      <c r="DKY12377" s="205"/>
      <c r="DKZ12377" s="149"/>
      <c r="DLA12377" s="102"/>
      <c r="DLB12377" s="101"/>
      <c r="DLC12377" s="99"/>
      <c r="DLD12377" s="100"/>
      <c r="DLE12377" s="205"/>
      <c r="DLF12377" s="149"/>
      <c r="DLG12377" s="102"/>
      <c r="DLH12377" s="101"/>
      <c r="DLI12377" s="99"/>
      <c r="DLJ12377" s="100"/>
      <c r="DLK12377" s="205"/>
      <c r="DLL12377" s="149"/>
      <c r="DLM12377" s="102"/>
      <c r="DLN12377" s="101"/>
      <c r="DLO12377" s="99"/>
      <c r="DLP12377" s="100"/>
      <c r="DLQ12377" s="205"/>
      <c r="DLR12377" s="149"/>
      <c r="DLS12377" s="102"/>
      <c r="DLT12377" s="101"/>
      <c r="DLU12377" s="99"/>
      <c r="DLV12377" s="100"/>
      <c r="DLW12377" s="205"/>
      <c r="DLX12377" s="149"/>
      <c r="DLY12377" s="102"/>
      <c r="DLZ12377" s="101"/>
      <c r="DMA12377" s="99"/>
      <c r="DMB12377" s="100"/>
      <c r="DMC12377" s="205"/>
      <c r="DMD12377" s="149"/>
      <c r="DME12377" s="102"/>
      <c r="DMF12377" s="101"/>
      <c r="DMG12377" s="99"/>
      <c r="DMH12377" s="100"/>
      <c r="DMI12377" s="205"/>
      <c r="DMJ12377" s="149"/>
      <c r="DMK12377" s="102"/>
      <c r="DML12377" s="101"/>
      <c r="DMM12377" s="99"/>
      <c r="DMN12377" s="100"/>
      <c r="DMO12377" s="205"/>
      <c r="DMP12377" s="149"/>
      <c r="DMQ12377" s="102"/>
      <c r="DMR12377" s="101"/>
      <c r="DMS12377" s="99"/>
      <c r="DMT12377" s="100"/>
      <c r="DMU12377" s="205"/>
      <c r="DMV12377" s="149"/>
      <c r="DMW12377" s="102"/>
      <c r="DMX12377" s="101"/>
      <c r="DMY12377" s="99"/>
      <c r="DMZ12377" s="100"/>
      <c r="DNA12377" s="205"/>
      <c r="DNB12377" s="149"/>
      <c r="DNC12377" s="102"/>
      <c r="DND12377" s="101"/>
      <c r="DNE12377" s="99"/>
      <c r="DNF12377" s="100"/>
      <c r="DNG12377" s="205"/>
      <c r="DNH12377" s="149"/>
      <c r="DNI12377" s="102"/>
      <c r="DNJ12377" s="101"/>
      <c r="DNK12377" s="99"/>
      <c r="DNL12377" s="100"/>
      <c r="DNM12377" s="205"/>
      <c r="DNN12377" s="149"/>
      <c r="DNO12377" s="102"/>
      <c r="DNP12377" s="101"/>
      <c r="DNQ12377" s="99"/>
      <c r="DNR12377" s="100"/>
      <c r="DNS12377" s="205"/>
      <c r="DNT12377" s="149"/>
      <c r="DNU12377" s="102"/>
      <c r="DNV12377" s="101"/>
      <c r="DNW12377" s="99"/>
      <c r="DNX12377" s="100"/>
      <c r="DNY12377" s="205"/>
      <c r="DNZ12377" s="149"/>
      <c r="DOA12377" s="102"/>
      <c r="DOB12377" s="101"/>
      <c r="DOC12377" s="99"/>
      <c r="DOD12377" s="100"/>
      <c r="DOE12377" s="205"/>
      <c r="DOF12377" s="149"/>
      <c r="DOG12377" s="102"/>
      <c r="DOH12377" s="101"/>
      <c r="DOI12377" s="99"/>
      <c r="DOJ12377" s="100"/>
      <c r="DOK12377" s="205"/>
      <c r="DOL12377" s="149"/>
      <c r="DOM12377" s="102"/>
      <c r="DON12377" s="101"/>
      <c r="DOO12377" s="99"/>
      <c r="DOP12377" s="100"/>
      <c r="DOQ12377" s="205"/>
      <c r="DOR12377" s="149"/>
      <c r="DOS12377" s="102"/>
      <c r="DOT12377" s="101"/>
      <c r="DOU12377" s="99"/>
      <c r="DOV12377" s="100"/>
      <c r="DOW12377" s="205"/>
      <c r="DOX12377" s="149"/>
      <c r="DOY12377" s="102"/>
      <c r="DOZ12377" s="101"/>
      <c r="DPA12377" s="99"/>
      <c r="DPB12377" s="100"/>
      <c r="DPC12377" s="205"/>
      <c r="DPD12377" s="149"/>
      <c r="DPE12377" s="102"/>
      <c r="DPF12377" s="101"/>
      <c r="DPG12377" s="99"/>
      <c r="DPH12377" s="100"/>
      <c r="DPI12377" s="205"/>
      <c r="DPJ12377" s="149"/>
      <c r="DPK12377" s="102"/>
      <c r="DPL12377" s="101"/>
      <c r="DPM12377" s="99"/>
      <c r="DPN12377" s="100"/>
      <c r="DPO12377" s="205"/>
      <c r="DPP12377" s="149"/>
      <c r="DPQ12377" s="102"/>
      <c r="DPR12377" s="101"/>
      <c r="DPS12377" s="99"/>
      <c r="DPT12377" s="100"/>
      <c r="DPU12377" s="205"/>
      <c r="DPV12377" s="149"/>
      <c r="DPW12377" s="102"/>
      <c r="DPX12377" s="101"/>
      <c r="DPY12377" s="99"/>
      <c r="DPZ12377" s="100"/>
      <c r="DQA12377" s="205"/>
      <c r="DQB12377" s="149"/>
      <c r="DQC12377" s="102"/>
      <c r="DQD12377" s="101"/>
      <c r="DQE12377" s="99"/>
      <c r="DQF12377" s="100"/>
      <c r="DQG12377" s="205"/>
      <c r="DQH12377" s="149"/>
      <c r="DQI12377" s="102"/>
      <c r="DQJ12377" s="101"/>
      <c r="DQK12377" s="99"/>
      <c r="DQL12377" s="100"/>
      <c r="DQM12377" s="205"/>
      <c r="DQN12377" s="149"/>
      <c r="DQO12377" s="102"/>
      <c r="DQP12377" s="101"/>
      <c r="DQQ12377" s="99"/>
      <c r="DQR12377" s="100"/>
      <c r="DQS12377" s="205"/>
      <c r="DQT12377" s="149"/>
      <c r="DQU12377" s="102"/>
      <c r="DQV12377" s="101"/>
      <c r="DQW12377" s="99"/>
      <c r="DQX12377" s="100"/>
      <c r="DQY12377" s="205"/>
      <c r="DQZ12377" s="149"/>
      <c r="DRA12377" s="102"/>
      <c r="DRB12377" s="101"/>
      <c r="DRC12377" s="99"/>
      <c r="DRD12377" s="100"/>
      <c r="DRE12377" s="205"/>
      <c r="DRF12377" s="149"/>
      <c r="DRG12377" s="102"/>
      <c r="DRH12377" s="101"/>
      <c r="DRI12377" s="99"/>
      <c r="DRJ12377" s="100"/>
      <c r="DRK12377" s="205"/>
      <c r="DRL12377" s="149"/>
      <c r="DRM12377" s="102"/>
      <c r="DRN12377" s="101"/>
      <c r="DRO12377" s="99"/>
      <c r="DRP12377" s="100"/>
      <c r="DRQ12377" s="205"/>
      <c r="DRR12377" s="149"/>
      <c r="DRS12377" s="102"/>
      <c r="DRT12377" s="101"/>
      <c r="DRU12377" s="99"/>
      <c r="DRV12377" s="100"/>
      <c r="DRW12377" s="205"/>
      <c r="DRX12377" s="149"/>
      <c r="DRY12377" s="102"/>
      <c r="DRZ12377" s="101"/>
      <c r="DSA12377" s="99"/>
      <c r="DSB12377" s="100"/>
      <c r="DSC12377" s="205"/>
      <c r="DSD12377" s="149"/>
      <c r="DSE12377" s="102"/>
      <c r="DSF12377" s="101"/>
      <c r="DSG12377" s="99"/>
      <c r="DSH12377" s="100"/>
      <c r="DSI12377" s="205"/>
      <c r="DSJ12377" s="149"/>
      <c r="DSK12377" s="102"/>
      <c r="DSL12377" s="101"/>
      <c r="DSM12377" s="99"/>
      <c r="DSN12377" s="100"/>
      <c r="DSO12377" s="205"/>
      <c r="DSP12377" s="149"/>
      <c r="DSQ12377" s="102"/>
      <c r="DSR12377" s="101"/>
      <c r="DSS12377" s="99"/>
      <c r="DST12377" s="100"/>
      <c r="DSU12377" s="205"/>
      <c r="DSV12377" s="149"/>
      <c r="DSW12377" s="102"/>
      <c r="DSX12377" s="101"/>
      <c r="DSY12377" s="99"/>
      <c r="DSZ12377" s="100"/>
      <c r="DTA12377" s="205"/>
      <c r="DTB12377" s="149"/>
      <c r="DTC12377" s="102"/>
      <c r="DTD12377" s="101"/>
      <c r="DTE12377" s="99"/>
      <c r="DTF12377" s="100"/>
      <c r="DTG12377" s="205"/>
      <c r="DTH12377" s="149"/>
      <c r="DTI12377" s="102"/>
      <c r="DTJ12377" s="101"/>
      <c r="DTK12377" s="99"/>
      <c r="DTL12377" s="100"/>
      <c r="DTM12377" s="205"/>
      <c r="DTN12377" s="149"/>
      <c r="DTO12377" s="102"/>
      <c r="DTP12377" s="101"/>
      <c r="DTQ12377" s="99"/>
      <c r="DTR12377" s="100"/>
      <c r="DTS12377" s="205"/>
      <c r="DTT12377" s="149"/>
      <c r="DTU12377" s="102"/>
      <c r="DTV12377" s="101"/>
      <c r="DTW12377" s="99"/>
      <c r="DTX12377" s="100"/>
      <c r="DTY12377" s="205"/>
      <c r="DTZ12377" s="149"/>
      <c r="DUA12377" s="102"/>
      <c r="DUB12377" s="101"/>
      <c r="DUC12377" s="99"/>
      <c r="DUD12377" s="100"/>
      <c r="DUE12377" s="205"/>
      <c r="DUF12377" s="149"/>
      <c r="DUG12377" s="102"/>
      <c r="DUH12377" s="101"/>
      <c r="DUI12377" s="99"/>
      <c r="DUJ12377" s="100"/>
      <c r="DUK12377" s="205"/>
      <c r="DUL12377" s="149"/>
      <c r="DUM12377" s="102"/>
      <c r="DUN12377" s="101"/>
      <c r="DUO12377" s="99"/>
      <c r="DUP12377" s="100"/>
      <c r="DUQ12377" s="205"/>
      <c r="DUR12377" s="149"/>
      <c r="DUS12377" s="102"/>
      <c r="DUT12377" s="101"/>
      <c r="DUU12377" s="99"/>
      <c r="DUV12377" s="100"/>
      <c r="DUW12377" s="205"/>
      <c r="DUX12377" s="149"/>
      <c r="DUY12377" s="102"/>
      <c r="DUZ12377" s="101"/>
      <c r="DVA12377" s="99"/>
      <c r="DVB12377" s="100"/>
      <c r="DVC12377" s="205"/>
      <c r="DVD12377" s="149"/>
      <c r="DVE12377" s="102"/>
      <c r="DVF12377" s="101"/>
      <c r="DVG12377" s="99"/>
      <c r="DVH12377" s="100"/>
      <c r="DVI12377" s="205"/>
      <c r="DVJ12377" s="149"/>
      <c r="DVK12377" s="102"/>
      <c r="DVL12377" s="101"/>
      <c r="DVM12377" s="99"/>
      <c r="DVN12377" s="100"/>
      <c r="DVO12377" s="205"/>
      <c r="DVP12377" s="149"/>
      <c r="DVQ12377" s="102"/>
      <c r="DVR12377" s="101"/>
      <c r="DVS12377" s="99"/>
      <c r="DVT12377" s="100"/>
      <c r="DVU12377" s="205"/>
      <c r="DVV12377" s="149"/>
      <c r="DVW12377" s="102"/>
      <c r="DVX12377" s="101"/>
      <c r="DVY12377" s="99"/>
      <c r="DVZ12377" s="100"/>
      <c r="DWA12377" s="205"/>
      <c r="DWB12377" s="149"/>
      <c r="DWC12377" s="102"/>
      <c r="DWD12377" s="101"/>
      <c r="DWE12377" s="99"/>
      <c r="DWF12377" s="100"/>
      <c r="DWG12377" s="205"/>
      <c r="DWH12377" s="149"/>
      <c r="DWI12377" s="102"/>
      <c r="DWJ12377" s="101"/>
      <c r="DWK12377" s="99"/>
      <c r="DWL12377" s="100"/>
      <c r="DWM12377" s="205"/>
      <c r="DWN12377" s="149"/>
      <c r="DWO12377" s="102"/>
      <c r="DWP12377" s="101"/>
      <c r="DWQ12377" s="99"/>
      <c r="DWR12377" s="100"/>
      <c r="DWS12377" s="205"/>
      <c r="DWT12377" s="149"/>
      <c r="DWU12377" s="102"/>
      <c r="DWV12377" s="101"/>
      <c r="DWW12377" s="99"/>
      <c r="DWX12377" s="100"/>
      <c r="DWY12377" s="205"/>
      <c r="DWZ12377" s="149"/>
      <c r="DXA12377" s="102"/>
      <c r="DXB12377" s="101"/>
      <c r="DXC12377" s="99"/>
      <c r="DXD12377" s="100"/>
      <c r="DXE12377" s="205"/>
      <c r="DXF12377" s="149"/>
      <c r="DXG12377" s="102"/>
      <c r="DXH12377" s="101"/>
      <c r="DXI12377" s="99"/>
      <c r="DXJ12377" s="100"/>
      <c r="DXK12377" s="205"/>
      <c r="DXL12377" s="149"/>
      <c r="DXM12377" s="102"/>
      <c r="DXN12377" s="101"/>
      <c r="DXO12377" s="99"/>
      <c r="DXP12377" s="100"/>
      <c r="DXQ12377" s="205"/>
      <c r="DXR12377" s="149"/>
      <c r="DXS12377" s="102"/>
      <c r="DXT12377" s="101"/>
      <c r="DXU12377" s="99"/>
      <c r="DXV12377" s="100"/>
      <c r="DXW12377" s="205"/>
      <c r="DXX12377" s="149"/>
      <c r="DXY12377" s="102"/>
      <c r="DXZ12377" s="101"/>
      <c r="DYA12377" s="99"/>
      <c r="DYB12377" s="100"/>
      <c r="DYC12377" s="205"/>
      <c r="DYD12377" s="149"/>
      <c r="DYE12377" s="102"/>
      <c r="DYF12377" s="101"/>
      <c r="DYG12377" s="99"/>
      <c r="DYH12377" s="100"/>
      <c r="DYI12377" s="205"/>
      <c r="DYJ12377" s="149"/>
      <c r="DYK12377" s="102"/>
      <c r="DYL12377" s="101"/>
      <c r="DYM12377" s="99"/>
      <c r="DYN12377" s="100"/>
      <c r="DYO12377" s="205"/>
      <c r="DYP12377" s="149"/>
      <c r="DYQ12377" s="102"/>
      <c r="DYR12377" s="101"/>
      <c r="DYS12377" s="99"/>
      <c r="DYT12377" s="100"/>
      <c r="DYU12377" s="205"/>
      <c r="DYV12377" s="149"/>
      <c r="DYW12377" s="102"/>
      <c r="DYX12377" s="101"/>
      <c r="DYY12377" s="99"/>
      <c r="DYZ12377" s="100"/>
      <c r="DZA12377" s="205"/>
      <c r="DZB12377" s="149"/>
      <c r="DZC12377" s="102"/>
      <c r="DZD12377" s="101"/>
      <c r="DZE12377" s="99"/>
      <c r="DZF12377" s="100"/>
      <c r="DZG12377" s="205"/>
      <c r="DZH12377" s="149"/>
      <c r="DZI12377" s="102"/>
      <c r="DZJ12377" s="101"/>
      <c r="DZK12377" s="99"/>
      <c r="DZL12377" s="100"/>
      <c r="DZM12377" s="205"/>
      <c r="DZN12377" s="149"/>
      <c r="DZO12377" s="102"/>
      <c r="DZP12377" s="101"/>
      <c r="DZQ12377" s="99"/>
      <c r="DZR12377" s="100"/>
      <c r="DZS12377" s="205"/>
      <c r="DZT12377" s="149"/>
      <c r="DZU12377" s="102"/>
      <c r="DZV12377" s="101"/>
      <c r="DZW12377" s="99"/>
      <c r="DZX12377" s="100"/>
      <c r="DZY12377" s="205"/>
      <c r="DZZ12377" s="149"/>
      <c r="EAA12377" s="102"/>
      <c r="EAB12377" s="101"/>
      <c r="EAC12377" s="99"/>
      <c r="EAD12377" s="100"/>
      <c r="EAE12377" s="205"/>
      <c r="EAF12377" s="149"/>
      <c r="EAG12377" s="102"/>
      <c r="EAH12377" s="101"/>
      <c r="EAI12377" s="99"/>
      <c r="EAJ12377" s="100"/>
      <c r="EAK12377" s="205"/>
      <c r="EAL12377" s="149"/>
      <c r="EAM12377" s="102"/>
      <c r="EAN12377" s="101"/>
      <c r="EAO12377" s="99"/>
      <c r="EAP12377" s="100"/>
      <c r="EAQ12377" s="205"/>
      <c r="EAR12377" s="149"/>
      <c r="EAS12377" s="102"/>
      <c r="EAT12377" s="101"/>
      <c r="EAU12377" s="99"/>
      <c r="EAV12377" s="100"/>
      <c r="EAW12377" s="205"/>
      <c r="EAX12377" s="149"/>
      <c r="EAY12377" s="102"/>
      <c r="EAZ12377" s="101"/>
      <c r="EBA12377" s="99"/>
      <c r="EBB12377" s="100"/>
      <c r="EBC12377" s="205"/>
      <c r="EBD12377" s="149"/>
      <c r="EBE12377" s="102"/>
      <c r="EBF12377" s="101"/>
      <c r="EBG12377" s="99"/>
      <c r="EBH12377" s="100"/>
      <c r="EBI12377" s="205"/>
      <c r="EBJ12377" s="149"/>
      <c r="EBK12377" s="102"/>
      <c r="EBL12377" s="101"/>
      <c r="EBM12377" s="99"/>
      <c r="EBN12377" s="100"/>
      <c r="EBO12377" s="205"/>
      <c r="EBP12377" s="149"/>
      <c r="EBQ12377" s="102"/>
      <c r="EBR12377" s="101"/>
      <c r="EBS12377" s="99"/>
      <c r="EBT12377" s="100"/>
      <c r="EBU12377" s="205"/>
      <c r="EBV12377" s="149"/>
      <c r="EBW12377" s="102"/>
      <c r="EBX12377" s="101"/>
      <c r="EBY12377" s="99"/>
      <c r="EBZ12377" s="100"/>
      <c r="ECA12377" s="205"/>
      <c r="ECB12377" s="149"/>
      <c r="ECC12377" s="102"/>
      <c r="ECD12377" s="101"/>
      <c r="ECE12377" s="99"/>
      <c r="ECF12377" s="100"/>
      <c r="ECG12377" s="205"/>
      <c r="ECH12377" s="149"/>
      <c r="ECI12377" s="102"/>
      <c r="ECJ12377" s="101"/>
      <c r="ECK12377" s="99"/>
      <c r="ECL12377" s="100"/>
      <c r="ECM12377" s="205"/>
      <c r="ECN12377" s="149"/>
      <c r="ECO12377" s="102"/>
      <c r="ECP12377" s="101"/>
      <c r="ECQ12377" s="99"/>
      <c r="ECR12377" s="100"/>
      <c r="ECS12377" s="205"/>
      <c r="ECT12377" s="149"/>
      <c r="ECU12377" s="102"/>
      <c r="ECV12377" s="101"/>
      <c r="ECW12377" s="99"/>
      <c r="ECX12377" s="100"/>
      <c r="ECY12377" s="205"/>
      <c r="ECZ12377" s="149"/>
      <c r="EDA12377" s="102"/>
      <c r="EDB12377" s="101"/>
      <c r="EDC12377" s="99"/>
      <c r="EDD12377" s="100"/>
      <c r="EDE12377" s="205"/>
      <c r="EDF12377" s="149"/>
      <c r="EDG12377" s="102"/>
      <c r="EDH12377" s="101"/>
      <c r="EDI12377" s="99"/>
      <c r="EDJ12377" s="100"/>
      <c r="EDK12377" s="205"/>
      <c r="EDL12377" s="149"/>
      <c r="EDM12377" s="102"/>
      <c r="EDN12377" s="101"/>
      <c r="EDO12377" s="99"/>
      <c r="EDP12377" s="100"/>
      <c r="EDQ12377" s="205"/>
      <c r="EDR12377" s="149"/>
      <c r="EDS12377" s="102"/>
      <c r="EDT12377" s="101"/>
      <c r="EDU12377" s="99"/>
      <c r="EDV12377" s="100"/>
      <c r="EDW12377" s="205"/>
      <c r="EDX12377" s="149"/>
      <c r="EDY12377" s="102"/>
      <c r="EDZ12377" s="101"/>
      <c r="EEA12377" s="99"/>
      <c r="EEB12377" s="100"/>
      <c r="EEC12377" s="205"/>
      <c r="EED12377" s="149"/>
      <c r="EEE12377" s="102"/>
      <c r="EEF12377" s="101"/>
      <c r="EEG12377" s="99"/>
      <c r="EEH12377" s="100"/>
      <c r="EEI12377" s="205"/>
      <c r="EEJ12377" s="149"/>
      <c r="EEK12377" s="102"/>
      <c r="EEL12377" s="101"/>
      <c r="EEM12377" s="99"/>
      <c r="EEN12377" s="100"/>
      <c r="EEO12377" s="205"/>
      <c r="EEP12377" s="149"/>
      <c r="EEQ12377" s="102"/>
      <c r="EER12377" s="101"/>
      <c r="EES12377" s="99"/>
      <c r="EET12377" s="100"/>
      <c r="EEU12377" s="205"/>
      <c r="EEV12377" s="149"/>
      <c r="EEW12377" s="102"/>
      <c r="EEX12377" s="101"/>
      <c r="EEY12377" s="99"/>
      <c r="EEZ12377" s="100"/>
      <c r="EFA12377" s="205"/>
      <c r="EFB12377" s="149"/>
      <c r="EFC12377" s="102"/>
      <c r="EFD12377" s="101"/>
      <c r="EFE12377" s="99"/>
      <c r="EFF12377" s="100"/>
      <c r="EFG12377" s="205"/>
      <c r="EFH12377" s="149"/>
      <c r="EFI12377" s="102"/>
      <c r="EFJ12377" s="101"/>
      <c r="EFK12377" s="99"/>
      <c r="EFL12377" s="100"/>
      <c r="EFM12377" s="205"/>
      <c r="EFN12377" s="149"/>
      <c r="EFO12377" s="102"/>
      <c r="EFP12377" s="101"/>
      <c r="EFQ12377" s="99"/>
      <c r="EFR12377" s="100"/>
      <c r="EFS12377" s="205"/>
      <c r="EFT12377" s="149"/>
      <c r="EFU12377" s="102"/>
      <c r="EFV12377" s="101"/>
      <c r="EFW12377" s="99"/>
      <c r="EFX12377" s="100"/>
      <c r="EFY12377" s="205"/>
      <c r="EFZ12377" s="149"/>
      <c r="EGA12377" s="102"/>
      <c r="EGB12377" s="101"/>
      <c r="EGC12377" s="99"/>
      <c r="EGD12377" s="100"/>
      <c r="EGE12377" s="205"/>
      <c r="EGF12377" s="149"/>
      <c r="EGG12377" s="102"/>
      <c r="EGH12377" s="101"/>
      <c r="EGI12377" s="99"/>
      <c r="EGJ12377" s="100"/>
      <c r="EGK12377" s="205"/>
      <c r="EGL12377" s="149"/>
      <c r="EGM12377" s="102"/>
      <c r="EGN12377" s="101"/>
      <c r="EGO12377" s="99"/>
      <c r="EGP12377" s="100"/>
      <c r="EGQ12377" s="205"/>
      <c r="EGR12377" s="149"/>
      <c r="EGS12377" s="102"/>
      <c r="EGT12377" s="101"/>
      <c r="EGU12377" s="99"/>
      <c r="EGV12377" s="100"/>
      <c r="EGW12377" s="205"/>
      <c r="EGX12377" s="149"/>
      <c r="EGY12377" s="102"/>
      <c r="EGZ12377" s="101"/>
      <c r="EHA12377" s="99"/>
      <c r="EHB12377" s="100"/>
      <c r="EHC12377" s="205"/>
      <c r="EHD12377" s="149"/>
      <c r="EHE12377" s="102"/>
      <c r="EHF12377" s="101"/>
      <c r="EHG12377" s="99"/>
      <c r="EHH12377" s="100"/>
      <c r="EHI12377" s="205"/>
      <c r="EHJ12377" s="149"/>
      <c r="EHK12377" s="102"/>
      <c r="EHL12377" s="101"/>
      <c r="EHM12377" s="99"/>
      <c r="EHN12377" s="100"/>
      <c r="EHO12377" s="205"/>
      <c r="EHP12377" s="149"/>
      <c r="EHQ12377" s="102"/>
      <c r="EHR12377" s="101"/>
      <c r="EHS12377" s="99"/>
      <c r="EHT12377" s="100"/>
      <c r="EHU12377" s="205"/>
      <c r="EHV12377" s="149"/>
      <c r="EHW12377" s="102"/>
      <c r="EHX12377" s="101"/>
      <c r="EHY12377" s="99"/>
      <c r="EHZ12377" s="100"/>
      <c r="EIA12377" s="205"/>
      <c r="EIB12377" s="149"/>
      <c r="EIC12377" s="102"/>
      <c r="EID12377" s="101"/>
      <c r="EIE12377" s="99"/>
      <c r="EIF12377" s="100"/>
      <c r="EIG12377" s="205"/>
      <c r="EIH12377" s="149"/>
      <c r="EII12377" s="102"/>
      <c r="EIJ12377" s="101"/>
      <c r="EIK12377" s="99"/>
      <c r="EIL12377" s="100"/>
      <c r="EIM12377" s="205"/>
      <c r="EIN12377" s="149"/>
      <c r="EIO12377" s="102"/>
      <c r="EIP12377" s="101"/>
      <c r="EIQ12377" s="99"/>
      <c r="EIR12377" s="100"/>
      <c r="EIS12377" s="205"/>
      <c r="EIT12377" s="149"/>
      <c r="EIU12377" s="102"/>
      <c r="EIV12377" s="101"/>
      <c r="EIW12377" s="99"/>
      <c r="EIX12377" s="100"/>
      <c r="EIY12377" s="205"/>
      <c r="EIZ12377" s="149"/>
      <c r="EJA12377" s="102"/>
      <c r="EJB12377" s="101"/>
      <c r="EJC12377" s="99"/>
      <c r="EJD12377" s="100"/>
      <c r="EJE12377" s="205"/>
      <c r="EJF12377" s="149"/>
      <c r="EJG12377" s="102"/>
      <c r="EJH12377" s="101"/>
      <c r="EJI12377" s="99"/>
      <c r="EJJ12377" s="100"/>
      <c r="EJK12377" s="205"/>
      <c r="EJL12377" s="149"/>
      <c r="EJM12377" s="102"/>
      <c r="EJN12377" s="101"/>
      <c r="EJO12377" s="99"/>
      <c r="EJP12377" s="100"/>
      <c r="EJQ12377" s="205"/>
      <c r="EJR12377" s="149"/>
      <c r="EJS12377" s="102"/>
      <c r="EJT12377" s="101"/>
      <c r="EJU12377" s="99"/>
      <c r="EJV12377" s="100"/>
      <c r="EJW12377" s="205"/>
      <c r="EJX12377" s="149"/>
      <c r="EJY12377" s="102"/>
      <c r="EJZ12377" s="101"/>
      <c r="EKA12377" s="99"/>
      <c r="EKB12377" s="100"/>
      <c r="EKC12377" s="205"/>
      <c r="EKD12377" s="149"/>
      <c r="EKE12377" s="102"/>
      <c r="EKF12377" s="101"/>
      <c r="EKG12377" s="99"/>
      <c r="EKH12377" s="100"/>
      <c r="EKI12377" s="205"/>
      <c r="EKJ12377" s="149"/>
      <c r="EKK12377" s="102"/>
      <c r="EKL12377" s="101"/>
      <c r="EKM12377" s="99"/>
      <c r="EKN12377" s="100"/>
      <c r="EKO12377" s="205"/>
      <c r="EKP12377" s="149"/>
      <c r="EKQ12377" s="102"/>
      <c r="EKR12377" s="101"/>
      <c r="EKS12377" s="99"/>
      <c r="EKT12377" s="100"/>
      <c r="EKU12377" s="205"/>
      <c r="EKV12377" s="149"/>
      <c r="EKW12377" s="102"/>
      <c r="EKX12377" s="101"/>
      <c r="EKY12377" s="99"/>
      <c r="EKZ12377" s="100"/>
      <c r="ELA12377" s="205"/>
      <c r="ELB12377" s="149"/>
      <c r="ELC12377" s="102"/>
      <c r="ELD12377" s="101"/>
      <c r="ELE12377" s="99"/>
      <c r="ELF12377" s="100"/>
      <c r="ELG12377" s="205"/>
      <c r="ELH12377" s="149"/>
      <c r="ELI12377" s="102"/>
      <c r="ELJ12377" s="101"/>
      <c r="ELK12377" s="99"/>
      <c r="ELL12377" s="100"/>
      <c r="ELM12377" s="205"/>
      <c r="ELN12377" s="149"/>
      <c r="ELO12377" s="102"/>
      <c r="ELP12377" s="101"/>
      <c r="ELQ12377" s="99"/>
      <c r="ELR12377" s="100"/>
      <c r="ELS12377" s="205"/>
      <c r="ELT12377" s="149"/>
      <c r="ELU12377" s="102"/>
      <c r="ELV12377" s="101"/>
      <c r="ELW12377" s="99"/>
      <c r="ELX12377" s="100"/>
      <c r="ELY12377" s="205"/>
      <c r="ELZ12377" s="149"/>
      <c r="EMA12377" s="102"/>
      <c r="EMB12377" s="101"/>
      <c r="EMC12377" s="99"/>
      <c r="EMD12377" s="100"/>
      <c r="EME12377" s="205"/>
      <c r="EMF12377" s="149"/>
      <c r="EMG12377" s="102"/>
      <c r="EMH12377" s="101"/>
      <c r="EMI12377" s="99"/>
      <c r="EMJ12377" s="100"/>
      <c r="EMK12377" s="205"/>
      <c r="EML12377" s="149"/>
      <c r="EMM12377" s="102"/>
      <c r="EMN12377" s="101"/>
      <c r="EMO12377" s="99"/>
      <c r="EMP12377" s="100"/>
      <c r="EMQ12377" s="205"/>
      <c r="EMR12377" s="149"/>
      <c r="EMS12377" s="102"/>
      <c r="EMT12377" s="101"/>
      <c r="EMU12377" s="99"/>
      <c r="EMV12377" s="100"/>
      <c r="EMW12377" s="205"/>
      <c r="EMX12377" s="149"/>
      <c r="EMY12377" s="102"/>
      <c r="EMZ12377" s="101"/>
      <c r="ENA12377" s="99"/>
      <c r="ENB12377" s="100"/>
      <c r="ENC12377" s="205"/>
      <c r="END12377" s="149"/>
      <c r="ENE12377" s="102"/>
      <c r="ENF12377" s="101"/>
      <c r="ENG12377" s="99"/>
      <c r="ENH12377" s="100"/>
      <c r="ENI12377" s="205"/>
      <c r="ENJ12377" s="149"/>
      <c r="ENK12377" s="102"/>
      <c r="ENL12377" s="101"/>
      <c r="ENM12377" s="99"/>
      <c r="ENN12377" s="100"/>
      <c r="ENO12377" s="205"/>
      <c r="ENP12377" s="149"/>
      <c r="ENQ12377" s="102"/>
      <c r="ENR12377" s="101"/>
      <c r="ENS12377" s="99"/>
      <c r="ENT12377" s="100"/>
      <c r="ENU12377" s="205"/>
      <c r="ENV12377" s="149"/>
      <c r="ENW12377" s="102"/>
      <c r="ENX12377" s="101"/>
      <c r="ENY12377" s="99"/>
      <c r="ENZ12377" s="100"/>
      <c r="EOA12377" s="205"/>
      <c r="EOB12377" s="149"/>
      <c r="EOC12377" s="102"/>
      <c r="EOD12377" s="101"/>
      <c r="EOE12377" s="99"/>
      <c r="EOF12377" s="100"/>
      <c r="EOG12377" s="205"/>
      <c r="EOH12377" s="149"/>
      <c r="EOI12377" s="102"/>
      <c r="EOJ12377" s="101"/>
      <c r="EOK12377" s="99"/>
      <c r="EOL12377" s="100"/>
      <c r="EOM12377" s="205"/>
      <c r="EON12377" s="149"/>
      <c r="EOO12377" s="102"/>
      <c r="EOP12377" s="101"/>
      <c r="EOQ12377" s="99"/>
      <c r="EOR12377" s="100"/>
      <c r="EOS12377" s="205"/>
      <c r="EOT12377" s="149"/>
      <c r="EOU12377" s="102"/>
      <c r="EOV12377" s="101"/>
      <c r="EOW12377" s="99"/>
      <c r="EOX12377" s="100"/>
      <c r="EOY12377" s="205"/>
      <c r="EOZ12377" s="149"/>
      <c r="EPA12377" s="102"/>
      <c r="EPB12377" s="101"/>
      <c r="EPC12377" s="99"/>
      <c r="EPD12377" s="100"/>
      <c r="EPE12377" s="205"/>
      <c r="EPF12377" s="149"/>
      <c r="EPG12377" s="102"/>
      <c r="EPH12377" s="101"/>
      <c r="EPI12377" s="99"/>
      <c r="EPJ12377" s="100"/>
      <c r="EPK12377" s="205"/>
      <c r="EPL12377" s="149"/>
      <c r="EPM12377" s="102"/>
      <c r="EPN12377" s="101"/>
      <c r="EPO12377" s="99"/>
      <c r="EPP12377" s="100"/>
      <c r="EPQ12377" s="205"/>
      <c r="EPR12377" s="149"/>
      <c r="EPS12377" s="102"/>
      <c r="EPT12377" s="101"/>
      <c r="EPU12377" s="99"/>
      <c r="EPV12377" s="100"/>
      <c r="EPW12377" s="205"/>
      <c r="EPX12377" s="149"/>
      <c r="EPY12377" s="102"/>
      <c r="EPZ12377" s="101"/>
      <c r="EQA12377" s="99"/>
      <c r="EQB12377" s="100"/>
      <c r="EQC12377" s="205"/>
      <c r="EQD12377" s="149"/>
      <c r="EQE12377" s="102"/>
      <c r="EQF12377" s="101"/>
      <c r="EQG12377" s="99"/>
      <c r="EQH12377" s="100"/>
      <c r="EQI12377" s="205"/>
      <c r="EQJ12377" s="149"/>
      <c r="EQK12377" s="102"/>
      <c r="EQL12377" s="101"/>
      <c r="EQM12377" s="99"/>
      <c r="EQN12377" s="100"/>
      <c r="EQO12377" s="205"/>
      <c r="EQP12377" s="149"/>
      <c r="EQQ12377" s="102"/>
      <c r="EQR12377" s="101"/>
      <c r="EQS12377" s="99"/>
      <c r="EQT12377" s="100"/>
      <c r="EQU12377" s="205"/>
      <c r="EQV12377" s="149"/>
      <c r="EQW12377" s="102"/>
      <c r="EQX12377" s="101"/>
      <c r="EQY12377" s="99"/>
      <c r="EQZ12377" s="100"/>
      <c r="ERA12377" s="205"/>
      <c r="ERB12377" s="149"/>
      <c r="ERC12377" s="102"/>
      <c r="ERD12377" s="101"/>
      <c r="ERE12377" s="99"/>
      <c r="ERF12377" s="100"/>
      <c r="ERG12377" s="205"/>
      <c r="ERH12377" s="149"/>
      <c r="ERI12377" s="102"/>
      <c r="ERJ12377" s="101"/>
      <c r="ERK12377" s="99"/>
      <c r="ERL12377" s="100"/>
      <c r="ERM12377" s="205"/>
      <c r="ERN12377" s="149"/>
      <c r="ERO12377" s="102"/>
      <c r="ERP12377" s="101"/>
      <c r="ERQ12377" s="99"/>
      <c r="ERR12377" s="100"/>
      <c r="ERS12377" s="205"/>
      <c r="ERT12377" s="149"/>
      <c r="ERU12377" s="102"/>
      <c r="ERV12377" s="101"/>
      <c r="ERW12377" s="99"/>
      <c r="ERX12377" s="100"/>
      <c r="ERY12377" s="205"/>
      <c r="ERZ12377" s="149"/>
      <c r="ESA12377" s="102"/>
      <c r="ESB12377" s="101"/>
      <c r="ESC12377" s="99"/>
      <c r="ESD12377" s="100"/>
      <c r="ESE12377" s="205"/>
      <c r="ESF12377" s="149"/>
      <c r="ESG12377" s="102"/>
      <c r="ESH12377" s="101"/>
      <c r="ESI12377" s="99"/>
      <c r="ESJ12377" s="100"/>
      <c r="ESK12377" s="205"/>
      <c r="ESL12377" s="149"/>
      <c r="ESM12377" s="102"/>
      <c r="ESN12377" s="101"/>
      <c r="ESO12377" s="99"/>
      <c r="ESP12377" s="100"/>
      <c r="ESQ12377" s="205"/>
      <c r="ESR12377" s="149"/>
      <c r="ESS12377" s="102"/>
      <c r="EST12377" s="101"/>
      <c r="ESU12377" s="99"/>
      <c r="ESV12377" s="100"/>
      <c r="ESW12377" s="205"/>
      <c r="ESX12377" s="149"/>
      <c r="ESY12377" s="102"/>
      <c r="ESZ12377" s="101"/>
      <c r="ETA12377" s="99"/>
      <c r="ETB12377" s="100"/>
      <c r="ETC12377" s="205"/>
      <c r="ETD12377" s="149"/>
      <c r="ETE12377" s="102"/>
      <c r="ETF12377" s="101"/>
      <c r="ETG12377" s="99"/>
      <c r="ETH12377" s="100"/>
      <c r="ETI12377" s="205"/>
      <c r="ETJ12377" s="149"/>
      <c r="ETK12377" s="102"/>
      <c r="ETL12377" s="101"/>
      <c r="ETM12377" s="99"/>
      <c r="ETN12377" s="100"/>
      <c r="ETO12377" s="205"/>
      <c r="ETP12377" s="149"/>
      <c r="ETQ12377" s="102"/>
      <c r="ETR12377" s="101"/>
      <c r="ETS12377" s="99"/>
      <c r="ETT12377" s="100"/>
      <c r="ETU12377" s="205"/>
      <c r="ETV12377" s="149"/>
      <c r="ETW12377" s="102"/>
      <c r="ETX12377" s="101"/>
      <c r="ETY12377" s="99"/>
      <c r="ETZ12377" s="100"/>
      <c r="EUA12377" s="205"/>
      <c r="EUB12377" s="149"/>
      <c r="EUC12377" s="102"/>
      <c r="EUD12377" s="101"/>
      <c r="EUE12377" s="99"/>
      <c r="EUF12377" s="100"/>
      <c r="EUG12377" s="205"/>
      <c r="EUH12377" s="149"/>
      <c r="EUI12377" s="102"/>
      <c r="EUJ12377" s="101"/>
      <c r="EUK12377" s="99"/>
      <c r="EUL12377" s="100"/>
      <c r="EUM12377" s="205"/>
      <c r="EUN12377" s="149"/>
      <c r="EUO12377" s="102"/>
      <c r="EUP12377" s="101"/>
      <c r="EUQ12377" s="99"/>
      <c r="EUR12377" s="100"/>
      <c r="EUS12377" s="205"/>
      <c r="EUT12377" s="149"/>
      <c r="EUU12377" s="102"/>
      <c r="EUV12377" s="101"/>
      <c r="EUW12377" s="99"/>
      <c r="EUX12377" s="100"/>
      <c r="EUY12377" s="205"/>
      <c r="EUZ12377" s="149"/>
      <c r="EVA12377" s="102"/>
      <c r="EVB12377" s="101"/>
      <c r="EVC12377" s="99"/>
      <c r="EVD12377" s="100"/>
      <c r="EVE12377" s="205"/>
      <c r="EVF12377" s="149"/>
      <c r="EVG12377" s="102"/>
      <c r="EVH12377" s="101"/>
      <c r="EVI12377" s="99"/>
      <c r="EVJ12377" s="100"/>
      <c r="EVK12377" s="205"/>
      <c r="EVL12377" s="149"/>
      <c r="EVM12377" s="102"/>
      <c r="EVN12377" s="101"/>
      <c r="EVO12377" s="99"/>
      <c r="EVP12377" s="100"/>
      <c r="EVQ12377" s="205"/>
      <c r="EVR12377" s="149"/>
      <c r="EVS12377" s="102"/>
      <c r="EVT12377" s="101"/>
      <c r="EVU12377" s="99"/>
      <c r="EVV12377" s="100"/>
      <c r="EVW12377" s="205"/>
      <c r="EVX12377" s="149"/>
      <c r="EVY12377" s="102"/>
      <c r="EVZ12377" s="101"/>
      <c r="EWA12377" s="99"/>
      <c r="EWB12377" s="100"/>
      <c r="EWC12377" s="205"/>
      <c r="EWD12377" s="149"/>
      <c r="EWE12377" s="102"/>
      <c r="EWF12377" s="101"/>
      <c r="EWG12377" s="99"/>
      <c r="EWH12377" s="100"/>
      <c r="EWI12377" s="205"/>
      <c r="EWJ12377" s="149"/>
      <c r="EWK12377" s="102"/>
      <c r="EWL12377" s="101"/>
      <c r="EWM12377" s="99"/>
      <c r="EWN12377" s="100"/>
      <c r="EWO12377" s="205"/>
      <c r="EWP12377" s="149"/>
      <c r="EWQ12377" s="102"/>
      <c r="EWR12377" s="101"/>
      <c r="EWS12377" s="99"/>
      <c r="EWT12377" s="100"/>
      <c r="EWU12377" s="205"/>
      <c r="EWV12377" s="149"/>
      <c r="EWW12377" s="102"/>
      <c r="EWX12377" s="101"/>
      <c r="EWY12377" s="99"/>
      <c r="EWZ12377" s="100"/>
      <c r="EXA12377" s="205"/>
      <c r="EXB12377" s="149"/>
      <c r="EXC12377" s="102"/>
      <c r="EXD12377" s="101"/>
      <c r="EXE12377" s="99"/>
      <c r="EXF12377" s="100"/>
      <c r="EXG12377" s="205"/>
      <c r="EXH12377" s="149"/>
      <c r="EXI12377" s="102"/>
      <c r="EXJ12377" s="101"/>
      <c r="EXK12377" s="99"/>
      <c r="EXL12377" s="100"/>
      <c r="EXM12377" s="205"/>
      <c r="EXN12377" s="149"/>
      <c r="EXO12377" s="102"/>
      <c r="EXP12377" s="101"/>
      <c r="EXQ12377" s="99"/>
      <c r="EXR12377" s="100"/>
      <c r="EXS12377" s="205"/>
      <c r="EXT12377" s="149"/>
      <c r="EXU12377" s="102"/>
      <c r="EXV12377" s="101"/>
      <c r="EXW12377" s="99"/>
      <c r="EXX12377" s="100"/>
      <c r="EXY12377" s="205"/>
      <c r="EXZ12377" s="149"/>
      <c r="EYA12377" s="102"/>
      <c r="EYB12377" s="101"/>
      <c r="EYC12377" s="99"/>
      <c r="EYD12377" s="100"/>
      <c r="EYE12377" s="205"/>
      <c r="EYF12377" s="149"/>
      <c r="EYG12377" s="102"/>
      <c r="EYH12377" s="101"/>
      <c r="EYI12377" s="99"/>
      <c r="EYJ12377" s="100"/>
      <c r="EYK12377" s="205"/>
      <c r="EYL12377" s="149"/>
      <c r="EYM12377" s="102"/>
      <c r="EYN12377" s="101"/>
      <c r="EYO12377" s="99"/>
      <c r="EYP12377" s="100"/>
      <c r="EYQ12377" s="205"/>
      <c r="EYR12377" s="149"/>
      <c r="EYS12377" s="102"/>
      <c r="EYT12377" s="101"/>
      <c r="EYU12377" s="99"/>
      <c r="EYV12377" s="100"/>
      <c r="EYW12377" s="205"/>
      <c r="EYX12377" s="149"/>
      <c r="EYY12377" s="102"/>
      <c r="EYZ12377" s="101"/>
      <c r="EZA12377" s="99"/>
      <c r="EZB12377" s="100"/>
      <c r="EZC12377" s="205"/>
      <c r="EZD12377" s="149"/>
      <c r="EZE12377" s="102"/>
      <c r="EZF12377" s="101"/>
      <c r="EZG12377" s="99"/>
      <c r="EZH12377" s="100"/>
      <c r="EZI12377" s="205"/>
      <c r="EZJ12377" s="149"/>
      <c r="EZK12377" s="102"/>
      <c r="EZL12377" s="101"/>
      <c r="EZM12377" s="99"/>
      <c r="EZN12377" s="100"/>
      <c r="EZO12377" s="205"/>
      <c r="EZP12377" s="149"/>
      <c r="EZQ12377" s="102"/>
      <c r="EZR12377" s="101"/>
      <c r="EZS12377" s="99"/>
      <c r="EZT12377" s="100"/>
      <c r="EZU12377" s="205"/>
      <c r="EZV12377" s="149"/>
      <c r="EZW12377" s="102"/>
      <c r="EZX12377" s="101"/>
      <c r="EZY12377" s="99"/>
      <c r="EZZ12377" s="100"/>
      <c r="FAA12377" s="205"/>
      <c r="FAB12377" s="149"/>
      <c r="FAC12377" s="102"/>
      <c r="FAD12377" s="101"/>
      <c r="FAE12377" s="99"/>
      <c r="FAF12377" s="100"/>
      <c r="FAG12377" s="205"/>
      <c r="FAH12377" s="149"/>
      <c r="FAI12377" s="102"/>
      <c r="FAJ12377" s="101"/>
      <c r="FAK12377" s="99"/>
      <c r="FAL12377" s="100"/>
      <c r="FAM12377" s="205"/>
      <c r="FAN12377" s="149"/>
      <c r="FAO12377" s="102"/>
      <c r="FAP12377" s="101"/>
      <c r="FAQ12377" s="99"/>
      <c r="FAR12377" s="100"/>
      <c r="FAS12377" s="205"/>
      <c r="FAT12377" s="149"/>
      <c r="FAU12377" s="102"/>
      <c r="FAV12377" s="101"/>
      <c r="FAW12377" s="99"/>
      <c r="FAX12377" s="100"/>
      <c r="FAY12377" s="205"/>
      <c r="FAZ12377" s="149"/>
      <c r="FBA12377" s="102"/>
      <c r="FBB12377" s="101"/>
      <c r="FBC12377" s="99"/>
      <c r="FBD12377" s="100"/>
      <c r="FBE12377" s="205"/>
      <c r="FBF12377" s="149"/>
      <c r="FBG12377" s="102"/>
      <c r="FBH12377" s="101"/>
      <c r="FBI12377" s="99"/>
      <c r="FBJ12377" s="100"/>
      <c r="FBK12377" s="205"/>
      <c r="FBL12377" s="149"/>
      <c r="FBM12377" s="102"/>
      <c r="FBN12377" s="101"/>
      <c r="FBO12377" s="99"/>
      <c r="FBP12377" s="100"/>
      <c r="FBQ12377" s="205"/>
      <c r="FBR12377" s="149"/>
      <c r="FBS12377" s="102"/>
      <c r="FBT12377" s="101"/>
      <c r="FBU12377" s="99"/>
      <c r="FBV12377" s="100"/>
      <c r="FBW12377" s="205"/>
      <c r="FBX12377" s="149"/>
      <c r="FBY12377" s="102"/>
      <c r="FBZ12377" s="101"/>
      <c r="FCA12377" s="99"/>
      <c r="FCB12377" s="100"/>
      <c r="FCC12377" s="205"/>
      <c r="FCD12377" s="149"/>
      <c r="FCE12377" s="102"/>
      <c r="FCF12377" s="101"/>
      <c r="FCG12377" s="99"/>
      <c r="FCH12377" s="100"/>
      <c r="FCI12377" s="205"/>
      <c r="FCJ12377" s="149"/>
      <c r="FCK12377" s="102"/>
      <c r="FCL12377" s="101"/>
      <c r="FCM12377" s="99"/>
      <c r="FCN12377" s="100"/>
      <c r="FCO12377" s="205"/>
      <c r="FCP12377" s="149"/>
      <c r="FCQ12377" s="102"/>
      <c r="FCR12377" s="101"/>
      <c r="FCS12377" s="99"/>
      <c r="FCT12377" s="100"/>
      <c r="FCU12377" s="205"/>
      <c r="FCV12377" s="149"/>
      <c r="FCW12377" s="102"/>
      <c r="FCX12377" s="101"/>
      <c r="FCY12377" s="99"/>
      <c r="FCZ12377" s="100"/>
      <c r="FDA12377" s="205"/>
      <c r="FDB12377" s="149"/>
      <c r="FDC12377" s="102"/>
      <c r="FDD12377" s="101"/>
      <c r="FDE12377" s="99"/>
      <c r="FDF12377" s="100"/>
      <c r="FDG12377" s="205"/>
      <c r="FDH12377" s="149"/>
      <c r="FDI12377" s="102"/>
      <c r="FDJ12377" s="101"/>
      <c r="FDK12377" s="99"/>
      <c r="FDL12377" s="100"/>
      <c r="FDM12377" s="205"/>
      <c r="FDN12377" s="149"/>
      <c r="FDO12377" s="102"/>
      <c r="FDP12377" s="101"/>
      <c r="FDQ12377" s="99"/>
      <c r="FDR12377" s="100"/>
      <c r="FDS12377" s="205"/>
      <c r="FDT12377" s="149"/>
      <c r="FDU12377" s="102"/>
      <c r="FDV12377" s="101"/>
      <c r="FDW12377" s="99"/>
      <c r="FDX12377" s="100"/>
      <c r="FDY12377" s="205"/>
      <c r="FDZ12377" s="149"/>
      <c r="FEA12377" s="102"/>
      <c r="FEB12377" s="101"/>
      <c r="FEC12377" s="99"/>
      <c r="FED12377" s="100"/>
      <c r="FEE12377" s="205"/>
      <c r="FEF12377" s="149"/>
      <c r="FEG12377" s="102"/>
      <c r="FEH12377" s="101"/>
      <c r="FEI12377" s="99"/>
      <c r="FEJ12377" s="100"/>
      <c r="FEK12377" s="205"/>
      <c r="FEL12377" s="149"/>
      <c r="FEM12377" s="102"/>
      <c r="FEN12377" s="101"/>
      <c r="FEO12377" s="99"/>
      <c r="FEP12377" s="100"/>
      <c r="FEQ12377" s="205"/>
      <c r="FER12377" s="149"/>
      <c r="FES12377" s="102"/>
      <c r="FET12377" s="101"/>
      <c r="FEU12377" s="99"/>
      <c r="FEV12377" s="100"/>
      <c r="FEW12377" s="205"/>
      <c r="FEX12377" s="149"/>
      <c r="FEY12377" s="102"/>
      <c r="FEZ12377" s="101"/>
      <c r="FFA12377" s="99"/>
      <c r="FFB12377" s="100"/>
      <c r="FFC12377" s="205"/>
      <c r="FFD12377" s="149"/>
      <c r="FFE12377" s="102"/>
      <c r="FFF12377" s="101"/>
      <c r="FFG12377" s="99"/>
      <c r="FFH12377" s="100"/>
      <c r="FFI12377" s="205"/>
      <c r="FFJ12377" s="149"/>
      <c r="FFK12377" s="102"/>
      <c r="FFL12377" s="101"/>
      <c r="FFM12377" s="99"/>
      <c r="FFN12377" s="100"/>
      <c r="FFO12377" s="205"/>
      <c r="FFP12377" s="149"/>
      <c r="FFQ12377" s="102"/>
      <c r="FFR12377" s="101"/>
      <c r="FFS12377" s="99"/>
      <c r="FFT12377" s="100"/>
      <c r="FFU12377" s="205"/>
      <c r="FFV12377" s="149"/>
      <c r="FFW12377" s="102"/>
      <c r="FFX12377" s="101"/>
      <c r="FFY12377" s="99"/>
      <c r="FFZ12377" s="100"/>
      <c r="FGA12377" s="205"/>
      <c r="FGB12377" s="149"/>
      <c r="FGC12377" s="102"/>
      <c r="FGD12377" s="101"/>
      <c r="FGE12377" s="99"/>
      <c r="FGF12377" s="100"/>
      <c r="FGG12377" s="205"/>
      <c r="FGH12377" s="149"/>
      <c r="FGI12377" s="102"/>
      <c r="FGJ12377" s="101"/>
      <c r="FGK12377" s="99"/>
      <c r="FGL12377" s="100"/>
      <c r="FGM12377" s="205"/>
      <c r="FGN12377" s="149"/>
      <c r="FGO12377" s="102"/>
      <c r="FGP12377" s="101"/>
      <c r="FGQ12377" s="99"/>
      <c r="FGR12377" s="100"/>
      <c r="FGS12377" s="205"/>
      <c r="FGT12377" s="149"/>
      <c r="FGU12377" s="102"/>
      <c r="FGV12377" s="101"/>
      <c r="FGW12377" s="99"/>
      <c r="FGX12377" s="100"/>
      <c r="FGY12377" s="205"/>
      <c r="FGZ12377" s="149"/>
      <c r="FHA12377" s="102"/>
      <c r="FHB12377" s="101"/>
      <c r="FHC12377" s="99"/>
      <c r="FHD12377" s="100"/>
      <c r="FHE12377" s="205"/>
      <c r="FHF12377" s="149"/>
      <c r="FHG12377" s="102"/>
      <c r="FHH12377" s="101"/>
      <c r="FHI12377" s="99"/>
      <c r="FHJ12377" s="100"/>
      <c r="FHK12377" s="205"/>
      <c r="FHL12377" s="149"/>
      <c r="FHM12377" s="102"/>
      <c r="FHN12377" s="101"/>
      <c r="FHO12377" s="99"/>
      <c r="FHP12377" s="100"/>
      <c r="FHQ12377" s="205"/>
      <c r="FHR12377" s="149"/>
      <c r="FHS12377" s="102"/>
      <c r="FHT12377" s="101"/>
      <c r="FHU12377" s="99"/>
      <c r="FHV12377" s="100"/>
      <c r="FHW12377" s="205"/>
      <c r="FHX12377" s="149"/>
      <c r="FHY12377" s="102"/>
      <c r="FHZ12377" s="101"/>
      <c r="FIA12377" s="99"/>
      <c r="FIB12377" s="100"/>
      <c r="FIC12377" s="205"/>
      <c r="FID12377" s="149"/>
      <c r="FIE12377" s="102"/>
      <c r="FIF12377" s="101"/>
      <c r="FIG12377" s="99"/>
      <c r="FIH12377" s="100"/>
      <c r="FII12377" s="205"/>
      <c r="FIJ12377" s="149"/>
      <c r="FIK12377" s="102"/>
      <c r="FIL12377" s="101"/>
      <c r="FIM12377" s="99"/>
      <c r="FIN12377" s="100"/>
      <c r="FIO12377" s="205"/>
      <c r="FIP12377" s="149"/>
      <c r="FIQ12377" s="102"/>
      <c r="FIR12377" s="101"/>
      <c r="FIS12377" s="99"/>
      <c r="FIT12377" s="100"/>
      <c r="FIU12377" s="205"/>
      <c r="FIV12377" s="149"/>
      <c r="FIW12377" s="102"/>
      <c r="FIX12377" s="101"/>
      <c r="FIY12377" s="99"/>
      <c r="FIZ12377" s="100"/>
      <c r="FJA12377" s="205"/>
      <c r="FJB12377" s="149"/>
      <c r="FJC12377" s="102"/>
      <c r="FJD12377" s="101"/>
      <c r="FJE12377" s="99"/>
      <c r="FJF12377" s="100"/>
      <c r="FJG12377" s="205"/>
      <c r="FJH12377" s="149"/>
      <c r="FJI12377" s="102"/>
      <c r="FJJ12377" s="101"/>
      <c r="FJK12377" s="99"/>
      <c r="FJL12377" s="100"/>
      <c r="FJM12377" s="205"/>
      <c r="FJN12377" s="149"/>
      <c r="FJO12377" s="102"/>
      <c r="FJP12377" s="101"/>
      <c r="FJQ12377" s="99"/>
      <c r="FJR12377" s="100"/>
      <c r="FJS12377" s="205"/>
      <c r="FJT12377" s="149"/>
      <c r="FJU12377" s="102"/>
      <c r="FJV12377" s="101"/>
      <c r="FJW12377" s="99"/>
      <c r="FJX12377" s="100"/>
      <c r="FJY12377" s="205"/>
      <c r="FJZ12377" s="149"/>
      <c r="FKA12377" s="102"/>
      <c r="FKB12377" s="101"/>
      <c r="FKC12377" s="99"/>
      <c r="FKD12377" s="100"/>
      <c r="FKE12377" s="205"/>
      <c r="FKF12377" s="149"/>
      <c r="FKG12377" s="102"/>
      <c r="FKH12377" s="101"/>
      <c r="FKI12377" s="99"/>
      <c r="FKJ12377" s="100"/>
      <c r="FKK12377" s="205"/>
      <c r="FKL12377" s="149"/>
      <c r="FKM12377" s="102"/>
      <c r="FKN12377" s="101"/>
      <c r="FKO12377" s="99"/>
      <c r="FKP12377" s="100"/>
      <c r="FKQ12377" s="205"/>
      <c r="FKR12377" s="149"/>
      <c r="FKS12377" s="102"/>
      <c r="FKT12377" s="101"/>
      <c r="FKU12377" s="99"/>
      <c r="FKV12377" s="100"/>
      <c r="FKW12377" s="205"/>
      <c r="FKX12377" s="149"/>
      <c r="FKY12377" s="102"/>
      <c r="FKZ12377" s="101"/>
      <c r="FLA12377" s="99"/>
      <c r="FLB12377" s="100"/>
      <c r="FLC12377" s="205"/>
      <c r="FLD12377" s="149"/>
      <c r="FLE12377" s="102"/>
      <c r="FLF12377" s="101"/>
      <c r="FLG12377" s="99"/>
      <c r="FLH12377" s="100"/>
      <c r="FLI12377" s="205"/>
      <c r="FLJ12377" s="149"/>
      <c r="FLK12377" s="102"/>
      <c r="FLL12377" s="101"/>
      <c r="FLM12377" s="99"/>
      <c r="FLN12377" s="100"/>
      <c r="FLO12377" s="205"/>
      <c r="FLP12377" s="149"/>
      <c r="FLQ12377" s="102"/>
      <c r="FLR12377" s="101"/>
      <c r="FLS12377" s="99"/>
      <c r="FLT12377" s="100"/>
      <c r="FLU12377" s="205"/>
      <c r="FLV12377" s="149"/>
      <c r="FLW12377" s="102"/>
      <c r="FLX12377" s="101"/>
      <c r="FLY12377" s="99"/>
      <c r="FLZ12377" s="100"/>
      <c r="FMA12377" s="205"/>
      <c r="FMB12377" s="149"/>
      <c r="FMC12377" s="102"/>
      <c r="FMD12377" s="101"/>
      <c r="FME12377" s="99"/>
      <c r="FMF12377" s="100"/>
      <c r="FMG12377" s="205"/>
      <c r="FMH12377" s="149"/>
      <c r="FMI12377" s="102"/>
      <c r="FMJ12377" s="101"/>
      <c r="FMK12377" s="99"/>
      <c r="FML12377" s="100"/>
      <c r="FMM12377" s="205"/>
      <c r="FMN12377" s="149"/>
      <c r="FMO12377" s="102"/>
      <c r="FMP12377" s="101"/>
      <c r="FMQ12377" s="99"/>
      <c r="FMR12377" s="100"/>
      <c r="FMS12377" s="205"/>
      <c r="FMT12377" s="149"/>
      <c r="FMU12377" s="102"/>
      <c r="FMV12377" s="101"/>
      <c r="FMW12377" s="99"/>
      <c r="FMX12377" s="100"/>
      <c r="FMY12377" s="205"/>
      <c r="FMZ12377" s="149"/>
      <c r="FNA12377" s="102"/>
      <c r="FNB12377" s="101"/>
      <c r="FNC12377" s="99"/>
      <c r="FND12377" s="100"/>
      <c r="FNE12377" s="205"/>
      <c r="FNF12377" s="149"/>
      <c r="FNG12377" s="102"/>
      <c r="FNH12377" s="101"/>
      <c r="FNI12377" s="99"/>
      <c r="FNJ12377" s="100"/>
      <c r="FNK12377" s="205"/>
      <c r="FNL12377" s="149"/>
      <c r="FNM12377" s="102"/>
      <c r="FNN12377" s="101"/>
      <c r="FNO12377" s="99"/>
      <c r="FNP12377" s="100"/>
      <c r="FNQ12377" s="205"/>
      <c r="FNR12377" s="149"/>
      <c r="FNS12377" s="102"/>
      <c r="FNT12377" s="101"/>
      <c r="FNU12377" s="99"/>
      <c r="FNV12377" s="100"/>
      <c r="FNW12377" s="205"/>
      <c r="FNX12377" s="149"/>
      <c r="FNY12377" s="102"/>
      <c r="FNZ12377" s="101"/>
      <c r="FOA12377" s="99"/>
      <c r="FOB12377" s="100"/>
      <c r="FOC12377" s="205"/>
      <c r="FOD12377" s="149"/>
      <c r="FOE12377" s="102"/>
      <c r="FOF12377" s="101"/>
      <c r="FOG12377" s="99"/>
      <c r="FOH12377" s="100"/>
      <c r="FOI12377" s="205"/>
      <c r="FOJ12377" s="149"/>
      <c r="FOK12377" s="102"/>
      <c r="FOL12377" s="101"/>
      <c r="FOM12377" s="99"/>
      <c r="FON12377" s="100"/>
      <c r="FOO12377" s="205"/>
      <c r="FOP12377" s="149"/>
      <c r="FOQ12377" s="102"/>
      <c r="FOR12377" s="101"/>
      <c r="FOS12377" s="99"/>
      <c r="FOT12377" s="100"/>
      <c r="FOU12377" s="205"/>
      <c r="FOV12377" s="149"/>
      <c r="FOW12377" s="102"/>
      <c r="FOX12377" s="101"/>
      <c r="FOY12377" s="99"/>
      <c r="FOZ12377" s="100"/>
      <c r="FPA12377" s="205"/>
      <c r="FPB12377" s="149"/>
      <c r="FPC12377" s="102"/>
      <c r="FPD12377" s="101"/>
      <c r="FPE12377" s="99"/>
      <c r="FPF12377" s="100"/>
      <c r="FPG12377" s="205"/>
      <c r="FPH12377" s="149"/>
      <c r="FPI12377" s="102"/>
      <c r="FPJ12377" s="101"/>
      <c r="FPK12377" s="99"/>
      <c r="FPL12377" s="100"/>
      <c r="FPM12377" s="205"/>
      <c r="FPN12377" s="149"/>
      <c r="FPO12377" s="102"/>
      <c r="FPP12377" s="101"/>
      <c r="FPQ12377" s="99"/>
      <c r="FPR12377" s="100"/>
      <c r="FPS12377" s="205"/>
      <c r="FPT12377" s="149"/>
      <c r="FPU12377" s="102"/>
      <c r="FPV12377" s="101"/>
      <c r="FPW12377" s="99"/>
      <c r="FPX12377" s="100"/>
      <c r="FPY12377" s="205"/>
      <c r="FPZ12377" s="149"/>
      <c r="FQA12377" s="102"/>
      <c r="FQB12377" s="101"/>
      <c r="FQC12377" s="99"/>
      <c r="FQD12377" s="100"/>
      <c r="FQE12377" s="205"/>
      <c r="FQF12377" s="149"/>
      <c r="FQG12377" s="102"/>
      <c r="FQH12377" s="101"/>
      <c r="FQI12377" s="99"/>
      <c r="FQJ12377" s="100"/>
      <c r="FQK12377" s="205"/>
      <c r="FQL12377" s="149"/>
      <c r="FQM12377" s="102"/>
      <c r="FQN12377" s="101"/>
      <c r="FQO12377" s="99"/>
      <c r="FQP12377" s="100"/>
      <c r="FQQ12377" s="205"/>
      <c r="FQR12377" s="149"/>
      <c r="FQS12377" s="102"/>
      <c r="FQT12377" s="101"/>
      <c r="FQU12377" s="99"/>
      <c r="FQV12377" s="100"/>
      <c r="FQW12377" s="205"/>
      <c r="FQX12377" s="149"/>
      <c r="FQY12377" s="102"/>
      <c r="FQZ12377" s="101"/>
      <c r="FRA12377" s="99"/>
      <c r="FRB12377" s="100"/>
      <c r="FRC12377" s="205"/>
      <c r="FRD12377" s="149"/>
      <c r="FRE12377" s="102"/>
      <c r="FRF12377" s="101"/>
      <c r="FRG12377" s="99"/>
      <c r="FRH12377" s="100"/>
      <c r="FRI12377" s="205"/>
      <c r="FRJ12377" s="149"/>
      <c r="FRK12377" s="102"/>
      <c r="FRL12377" s="101"/>
      <c r="FRM12377" s="99"/>
      <c r="FRN12377" s="100"/>
      <c r="FRO12377" s="205"/>
      <c r="FRP12377" s="149"/>
      <c r="FRQ12377" s="102"/>
      <c r="FRR12377" s="101"/>
      <c r="FRS12377" s="99"/>
      <c r="FRT12377" s="100"/>
      <c r="FRU12377" s="205"/>
      <c r="FRV12377" s="149"/>
      <c r="FRW12377" s="102"/>
      <c r="FRX12377" s="101"/>
      <c r="FRY12377" s="99"/>
      <c r="FRZ12377" s="100"/>
      <c r="FSA12377" s="205"/>
      <c r="FSB12377" s="149"/>
      <c r="FSC12377" s="102"/>
      <c r="FSD12377" s="101"/>
      <c r="FSE12377" s="99"/>
      <c r="FSF12377" s="100"/>
      <c r="FSG12377" s="205"/>
      <c r="FSH12377" s="149"/>
      <c r="FSI12377" s="102"/>
      <c r="FSJ12377" s="101"/>
      <c r="FSK12377" s="99"/>
      <c r="FSL12377" s="100"/>
      <c r="FSM12377" s="205"/>
      <c r="FSN12377" s="149"/>
      <c r="FSO12377" s="102"/>
      <c r="FSP12377" s="101"/>
      <c r="FSQ12377" s="99"/>
      <c r="FSR12377" s="100"/>
      <c r="FSS12377" s="205"/>
      <c r="FST12377" s="149"/>
      <c r="FSU12377" s="102"/>
      <c r="FSV12377" s="101"/>
      <c r="FSW12377" s="99"/>
      <c r="FSX12377" s="100"/>
      <c r="FSY12377" s="205"/>
      <c r="FSZ12377" s="149"/>
      <c r="FTA12377" s="102"/>
      <c r="FTB12377" s="101"/>
      <c r="FTC12377" s="99"/>
      <c r="FTD12377" s="100"/>
      <c r="FTE12377" s="205"/>
      <c r="FTF12377" s="149"/>
      <c r="FTG12377" s="102"/>
      <c r="FTH12377" s="101"/>
      <c r="FTI12377" s="99"/>
      <c r="FTJ12377" s="100"/>
      <c r="FTK12377" s="205"/>
      <c r="FTL12377" s="149"/>
      <c r="FTM12377" s="102"/>
      <c r="FTN12377" s="101"/>
      <c r="FTO12377" s="99"/>
      <c r="FTP12377" s="100"/>
      <c r="FTQ12377" s="205"/>
      <c r="FTR12377" s="149"/>
      <c r="FTS12377" s="102"/>
      <c r="FTT12377" s="101"/>
      <c r="FTU12377" s="99"/>
      <c r="FTV12377" s="100"/>
      <c r="FTW12377" s="205"/>
      <c r="FTX12377" s="149"/>
      <c r="FTY12377" s="102"/>
      <c r="FTZ12377" s="101"/>
      <c r="FUA12377" s="99"/>
      <c r="FUB12377" s="100"/>
      <c r="FUC12377" s="205"/>
      <c r="FUD12377" s="149"/>
      <c r="FUE12377" s="102"/>
      <c r="FUF12377" s="101"/>
      <c r="FUG12377" s="99"/>
      <c r="FUH12377" s="100"/>
      <c r="FUI12377" s="205"/>
      <c r="FUJ12377" s="149"/>
      <c r="FUK12377" s="102"/>
      <c r="FUL12377" s="101"/>
      <c r="FUM12377" s="99"/>
      <c r="FUN12377" s="100"/>
      <c r="FUO12377" s="205"/>
      <c r="FUP12377" s="149"/>
      <c r="FUQ12377" s="102"/>
      <c r="FUR12377" s="101"/>
      <c r="FUS12377" s="99"/>
      <c r="FUT12377" s="100"/>
      <c r="FUU12377" s="205"/>
      <c r="FUV12377" s="149"/>
      <c r="FUW12377" s="102"/>
      <c r="FUX12377" s="101"/>
      <c r="FUY12377" s="99"/>
      <c r="FUZ12377" s="100"/>
      <c r="FVA12377" s="205"/>
      <c r="FVB12377" s="149"/>
      <c r="FVC12377" s="102"/>
      <c r="FVD12377" s="101"/>
      <c r="FVE12377" s="99"/>
      <c r="FVF12377" s="100"/>
      <c r="FVG12377" s="205"/>
      <c r="FVH12377" s="149"/>
      <c r="FVI12377" s="102"/>
      <c r="FVJ12377" s="101"/>
      <c r="FVK12377" s="99"/>
      <c r="FVL12377" s="100"/>
      <c r="FVM12377" s="205"/>
      <c r="FVN12377" s="149"/>
      <c r="FVO12377" s="102"/>
      <c r="FVP12377" s="101"/>
      <c r="FVQ12377" s="99"/>
      <c r="FVR12377" s="100"/>
      <c r="FVS12377" s="205"/>
      <c r="FVT12377" s="149"/>
      <c r="FVU12377" s="102"/>
      <c r="FVV12377" s="101"/>
      <c r="FVW12377" s="99"/>
      <c r="FVX12377" s="100"/>
      <c r="FVY12377" s="205"/>
      <c r="FVZ12377" s="149"/>
      <c r="FWA12377" s="102"/>
      <c r="FWB12377" s="101"/>
      <c r="FWC12377" s="99"/>
      <c r="FWD12377" s="100"/>
      <c r="FWE12377" s="205"/>
      <c r="FWF12377" s="149"/>
      <c r="FWG12377" s="102"/>
      <c r="FWH12377" s="101"/>
      <c r="FWI12377" s="99"/>
      <c r="FWJ12377" s="100"/>
      <c r="FWK12377" s="205"/>
      <c r="FWL12377" s="149"/>
      <c r="FWM12377" s="102"/>
      <c r="FWN12377" s="101"/>
      <c r="FWO12377" s="99"/>
      <c r="FWP12377" s="100"/>
      <c r="FWQ12377" s="205"/>
      <c r="FWR12377" s="149"/>
      <c r="FWS12377" s="102"/>
      <c r="FWT12377" s="101"/>
      <c r="FWU12377" s="99"/>
      <c r="FWV12377" s="100"/>
      <c r="FWW12377" s="205"/>
      <c r="FWX12377" s="149"/>
      <c r="FWY12377" s="102"/>
      <c r="FWZ12377" s="101"/>
      <c r="FXA12377" s="99"/>
      <c r="FXB12377" s="100"/>
      <c r="FXC12377" s="205"/>
      <c r="FXD12377" s="149"/>
      <c r="FXE12377" s="102"/>
      <c r="FXF12377" s="101"/>
      <c r="FXG12377" s="99"/>
      <c r="FXH12377" s="100"/>
      <c r="FXI12377" s="205"/>
      <c r="FXJ12377" s="149"/>
      <c r="FXK12377" s="102"/>
      <c r="FXL12377" s="101"/>
      <c r="FXM12377" s="99"/>
      <c r="FXN12377" s="100"/>
      <c r="FXO12377" s="205"/>
      <c r="FXP12377" s="149"/>
      <c r="FXQ12377" s="102"/>
      <c r="FXR12377" s="101"/>
      <c r="FXS12377" s="99"/>
      <c r="FXT12377" s="100"/>
      <c r="FXU12377" s="205"/>
      <c r="FXV12377" s="149"/>
      <c r="FXW12377" s="102"/>
      <c r="FXX12377" s="101"/>
      <c r="FXY12377" s="99"/>
      <c r="FXZ12377" s="100"/>
      <c r="FYA12377" s="205"/>
      <c r="FYB12377" s="149"/>
      <c r="FYC12377" s="102"/>
      <c r="FYD12377" s="101"/>
      <c r="FYE12377" s="99"/>
      <c r="FYF12377" s="100"/>
      <c r="FYG12377" s="205"/>
      <c r="FYH12377" s="149"/>
      <c r="FYI12377" s="102"/>
      <c r="FYJ12377" s="101"/>
      <c r="FYK12377" s="99"/>
      <c r="FYL12377" s="100"/>
      <c r="FYM12377" s="205"/>
      <c r="FYN12377" s="149"/>
      <c r="FYO12377" s="102"/>
      <c r="FYP12377" s="101"/>
      <c r="FYQ12377" s="99"/>
      <c r="FYR12377" s="100"/>
      <c r="FYS12377" s="205"/>
      <c r="FYT12377" s="149"/>
      <c r="FYU12377" s="102"/>
      <c r="FYV12377" s="101"/>
      <c r="FYW12377" s="99"/>
      <c r="FYX12377" s="100"/>
      <c r="FYY12377" s="205"/>
      <c r="FYZ12377" s="149"/>
      <c r="FZA12377" s="102"/>
      <c r="FZB12377" s="101"/>
      <c r="FZC12377" s="99"/>
      <c r="FZD12377" s="100"/>
      <c r="FZE12377" s="205"/>
      <c r="FZF12377" s="149"/>
      <c r="FZG12377" s="102"/>
      <c r="FZH12377" s="101"/>
      <c r="FZI12377" s="99"/>
      <c r="FZJ12377" s="100"/>
      <c r="FZK12377" s="205"/>
      <c r="FZL12377" s="149"/>
      <c r="FZM12377" s="102"/>
      <c r="FZN12377" s="101"/>
      <c r="FZO12377" s="99"/>
      <c r="FZP12377" s="100"/>
      <c r="FZQ12377" s="205"/>
      <c r="FZR12377" s="149"/>
      <c r="FZS12377" s="102"/>
      <c r="FZT12377" s="101"/>
      <c r="FZU12377" s="99"/>
      <c r="FZV12377" s="100"/>
      <c r="FZW12377" s="205"/>
      <c r="FZX12377" s="149"/>
      <c r="FZY12377" s="102"/>
      <c r="FZZ12377" s="101"/>
      <c r="GAA12377" s="99"/>
      <c r="GAB12377" s="100"/>
      <c r="GAC12377" s="205"/>
      <c r="GAD12377" s="149"/>
      <c r="GAE12377" s="102"/>
      <c r="GAF12377" s="101"/>
      <c r="GAG12377" s="99"/>
      <c r="GAH12377" s="100"/>
      <c r="GAI12377" s="205"/>
      <c r="GAJ12377" s="149"/>
      <c r="GAK12377" s="102"/>
      <c r="GAL12377" s="101"/>
      <c r="GAM12377" s="99"/>
      <c r="GAN12377" s="100"/>
      <c r="GAO12377" s="205"/>
      <c r="GAP12377" s="149"/>
      <c r="GAQ12377" s="102"/>
      <c r="GAR12377" s="101"/>
      <c r="GAS12377" s="99"/>
      <c r="GAT12377" s="100"/>
      <c r="GAU12377" s="205"/>
      <c r="GAV12377" s="149"/>
      <c r="GAW12377" s="102"/>
      <c r="GAX12377" s="101"/>
      <c r="GAY12377" s="99"/>
      <c r="GAZ12377" s="100"/>
      <c r="GBA12377" s="205"/>
      <c r="GBB12377" s="149"/>
      <c r="GBC12377" s="102"/>
      <c r="GBD12377" s="101"/>
      <c r="GBE12377" s="99"/>
      <c r="GBF12377" s="100"/>
      <c r="GBG12377" s="205"/>
      <c r="GBH12377" s="149"/>
      <c r="GBI12377" s="102"/>
      <c r="GBJ12377" s="101"/>
      <c r="GBK12377" s="99"/>
      <c r="GBL12377" s="100"/>
      <c r="GBM12377" s="205"/>
      <c r="GBN12377" s="149"/>
      <c r="GBO12377" s="102"/>
      <c r="GBP12377" s="101"/>
      <c r="GBQ12377" s="99"/>
      <c r="GBR12377" s="100"/>
      <c r="GBS12377" s="205"/>
      <c r="GBT12377" s="149"/>
      <c r="GBU12377" s="102"/>
      <c r="GBV12377" s="101"/>
      <c r="GBW12377" s="99"/>
      <c r="GBX12377" s="100"/>
      <c r="GBY12377" s="205"/>
      <c r="GBZ12377" s="149"/>
      <c r="GCA12377" s="102"/>
      <c r="GCB12377" s="101"/>
      <c r="GCC12377" s="99"/>
      <c r="GCD12377" s="100"/>
      <c r="GCE12377" s="205"/>
      <c r="GCF12377" s="149"/>
      <c r="GCG12377" s="102"/>
      <c r="GCH12377" s="101"/>
      <c r="GCI12377" s="99"/>
      <c r="GCJ12377" s="100"/>
      <c r="GCK12377" s="205"/>
      <c r="GCL12377" s="149"/>
      <c r="GCM12377" s="102"/>
      <c r="GCN12377" s="101"/>
      <c r="GCO12377" s="99"/>
      <c r="GCP12377" s="100"/>
      <c r="GCQ12377" s="205"/>
      <c r="GCR12377" s="149"/>
      <c r="GCS12377" s="102"/>
      <c r="GCT12377" s="101"/>
      <c r="GCU12377" s="99"/>
      <c r="GCV12377" s="100"/>
      <c r="GCW12377" s="205"/>
      <c r="GCX12377" s="149"/>
      <c r="GCY12377" s="102"/>
      <c r="GCZ12377" s="101"/>
      <c r="GDA12377" s="99"/>
      <c r="GDB12377" s="100"/>
      <c r="GDC12377" s="205"/>
      <c r="GDD12377" s="149"/>
      <c r="GDE12377" s="102"/>
      <c r="GDF12377" s="101"/>
      <c r="GDG12377" s="99"/>
      <c r="GDH12377" s="100"/>
      <c r="GDI12377" s="205"/>
      <c r="GDJ12377" s="149"/>
      <c r="GDK12377" s="102"/>
      <c r="GDL12377" s="101"/>
      <c r="GDM12377" s="99"/>
      <c r="GDN12377" s="100"/>
      <c r="GDO12377" s="205"/>
      <c r="GDP12377" s="149"/>
      <c r="GDQ12377" s="102"/>
      <c r="GDR12377" s="101"/>
      <c r="GDS12377" s="99"/>
      <c r="GDT12377" s="100"/>
      <c r="GDU12377" s="205"/>
      <c r="GDV12377" s="149"/>
      <c r="GDW12377" s="102"/>
      <c r="GDX12377" s="101"/>
      <c r="GDY12377" s="99"/>
      <c r="GDZ12377" s="100"/>
      <c r="GEA12377" s="205"/>
      <c r="GEB12377" s="149"/>
      <c r="GEC12377" s="102"/>
      <c r="GED12377" s="101"/>
      <c r="GEE12377" s="99"/>
      <c r="GEF12377" s="100"/>
      <c r="GEG12377" s="205"/>
      <c r="GEH12377" s="149"/>
      <c r="GEI12377" s="102"/>
      <c r="GEJ12377" s="101"/>
      <c r="GEK12377" s="99"/>
      <c r="GEL12377" s="100"/>
      <c r="GEM12377" s="205"/>
      <c r="GEN12377" s="149"/>
      <c r="GEO12377" s="102"/>
      <c r="GEP12377" s="101"/>
      <c r="GEQ12377" s="99"/>
      <c r="GER12377" s="100"/>
      <c r="GES12377" s="205"/>
      <c r="GET12377" s="149"/>
      <c r="GEU12377" s="102"/>
      <c r="GEV12377" s="101"/>
      <c r="GEW12377" s="99"/>
      <c r="GEX12377" s="100"/>
      <c r="GEY12377" s="205"/>
      <c r="GEZ12377" s="149"/>
      <c r="GFA12377" s="102"/>
      <c r="GFB12377" s="101"/>
      <c r="GFC12377" s="99"/>
      <c r="GFD12377" s="100"/>
      <c r="GFE12377" s="205"/>
      <c r="GFF12377" s="149"/>
      <c r="GFG12377" s="102"/>
      <c r="GFH12377" s="101"/>
      <c r="GFI12377" s="99"/>
      <c r="GFJ12377" s="100"/>
      <c r="GFK12377" s="205"/>
      <c r="GFL12377" s="149"/>
      <c r="GFM12377" s="102"/>
      <c r="GFN12377" s="101"/>
      <c r="GFO12377" s="99"/>
      <c r="GFP12377" s="100"/>
      <c r="GFQ12377" s="205"/>
      <c r="GFR12377" s="149"/>
      <c r="GFS12377" s="102"/>
      <c r="GFT12377" s="101"/>
      <c r="GFU12377" s="99"/>
      <c r="GFV12377" s="100"/>
      <c r="GFW12377" s="205"/>
      <c r="GFX12377" s="149"/>
      <c r="GFY12377" s="102"/>
      <c r="GFZ12377" s="101"/>
      <c r="GGA12377" s="99"/>
      <c r="GGB12377" s="100"/>
      <c r="GGC12377" s="205"/>
      <c r="GGD12377" s="149"/>
      <c r="GGE12377" s="102"/>
      <c r="GGF12377" s="101"/>
      <c r="GGG12377" s="99"/>
      <c r="GGH12377" s="100"/>
      <c r="GGI12377" s="205"/>
      <c r="GGJ12377" s="149"/>
      <c r="GGK12377" s="102"/>
      <c r="GGL12377" s="101"/>
      <c r="GGM12377" s="99"/>
      <c r="GGN12377" s="100"/>
      <c r="GGO12377" s="205"/>
      <c r="GGP12377" s="149"/>
      <c r="GGQ12377" s="102"/>
      <c r="GGR12377" s="101"/>
      <c r="GGS12377" s="99"/>
      <c r="GGT12377" s="100"/>
      <c r="GGU12377" s="205"/>
      <c r="GGV12377" s="149"/>
      <c r="GGW12377" s="102"/>
      <c r="GGX12377" s="101"/>
      <c r="GGY12377" s="99"/>
      <c r="GGZ12377" s="100"/>
      <c r="GHA12377" s="205"/>
      <c r="GHB12377" s="149"/>
      <c r="GHC12377" s="102"/>
      <c r="GHD12377" s="101"/>
      <c r="GHE12377" s="99"/>
      <c r="GHF12377" s="100"/>
      <c r="GHG12377" s="205"/>
      <c r="GHH12377" s="149"/>
      <c r="GHI12377" s="102"/>
      <c r="GHJ12377" s="101"/>
      <c r="GHK12377" s="99"/>
      <c r="GHL12377" s="100"/>
      <c r="GHM12377" s="205"/>
      <c r="GHN12377" s="149"/>
      <c r="GHO12377" s="102"/>
      <c r="GHP12377" s="101"/>
      <c r="GHQ12377" s="99"/>
      <c r="GHR12377" s="100"/>
      <c r="GHS12377" s="205"/>
      <c r="GHT12377" s="149"/>
      <c r="GHU12377" s="102"/>
      <c r="GHV12377" s="101"/>
      <c r="GHW12377" s="99"/>
      <c r="GHX12377" s="100"/>
      <c r="GHY12377" s="205"/>
      <c r="GHZ12377" s="149"/>
      <c r="GIA12377" s="102"/>
      <c r="GIB12377" s="101"/>
      <c r="GIC12377" s="99"/>
      <c r="GID12377" s="100"/>
      <c r="GIE12377" s="205"/>
      <c r="GIF12377" s="149"/>
      <c r="GIG12377" s="102"/>
      <c r="GIH12377" s="101"/>
      <c r="GII12377" s="99"/>
      <c r="GIJ12377" s="100"/>
      <c r="GIK12377" s="205"/>
      <c r="GIL12377" s="149"/>
      <c r="GIM12377" s="102"/>
      <c r="GIN12377" s="101"/>
      <c r="GIO12377" s="99"/>
      <c r="GIP12377" s="100"/>
      <c r="GIQ12377" s="205"/>
      <c r="GIR12377" s="149"/>
      <c r="GIS12377" s="102"/>
      <c r="GIT12377" s="101"/>
      <c r="GIU12377" s="99"/>
      <c r="GIV12377" s="100"/>
      <c r="GIW12377" s="205"/>
      <c r="GIX12377" s="149"/>
      <c r="GIY12377" s="102"/>
      <c r="GIZ12377" s="101"/>
      <c r="GJA12377" s="99"/>
      <c r="GJB12377" s="100"/>
      <c r="GJC12377" s="205"/>
      <c r="GJD12377" s="149"/>
      <c r="GJE12377" s="102"/>
      <c r="GJF12377" s="101"/>
      <c r="GJG12377" s="99"/>
      <c r="GJH12377" s="100"/>
      <c r="GJI12377" s="205"/>
      <c r="GJJ12377" s="149"/>
      <c r="GJK12377" s="102"/>
      <c r="GJL12377" s="101"/>
      <c r="GJM12377" s="99"/>
      <c r="GJN12377" s="100"/>
      <c r="GJO12377" s="205"/>
      <c r="GJP12377" s="149"/>
      <c r="GJQ12377" s="102"/>
      <c r="GJR12377" s="101"/>
      <c r="GJS12377" s="99"/>
      <c r="GJT12377" s="100"/>
      <c r="GJU12377" s="205"/>
      <c r="GJV12377" s="149"/>
      <c r="GJW12377" s="102"/>
      <c r="GJX12377" s="101"/>
      <c r="GJY12377" s="99"/>
      <c r="GJZ12377" s="100"/>
      <c r="GKA12377" s="205"/>
      <c r="GKB12377" s="149"/>
      <c r="GKC12377" s="102"/>
      <c r="GKD12377" s="101"/>
      <c r="GKE12377" s="99"/>
      <c r="GKF12377" s="100"/>
      <c r="GKG12377" s="205"/>
      <c r="GKH12377" s="149"/>
      <c r="GKI12377" s="102"/>
      <c r="GKJ12377" s="101"/>
      <c r="GKK12377" s="99"/>
      <c r="GKL12377" s="100"/>
      <c r="GKM12377" s="205"/>
      <c r="GKN12377" s="149"/>
      <c r="GKO12377" s="102"/>
      <c r="GKP12377" s="101"/>
      <c r="GKQ12377" s="99"/>
      <c r="GKR12377" s="100"/>
      <c r="GKS12377" s="205"/>
      <c r="GKT12377" s="149"/>
      <c r="GKU12377" s="102"/>
      <c r="GKV12377" s="101"/>
      <c r="GKW12377" s="99"/>
      <c r="GKX12377" s="100"/>
      <c r="GKY12377" s="205"/>
      <c r="GKZ12377" s="149"/>
      <c r="GLA12377" s="102"/>
      <c r="GLB12377" s="101"/>
      <c r="GLC12377" s="99"/>
      <c r="GLD12377" s="100"/>
      <c r="GLE12377" s="205"/>
      <c r="GLF12377" s="149"/>
      <c r="GLG12377" s="102"/>
      <c r="GLH12377" s="101"/>
      <c r="GLI12377" s="99"/>
      <c r="GLJ12377" s="100"/>
      <c r="GLK12377" s="205"/>
      <c r="GLL12377" s="149"/>
      <c r="GLM12377" s="102"/>
      <c r="GLN12377" s="101"/>
      <c r="GLO12377" s="99"/>
      <c r="GLP12377" s="100"/>
      <c r="GLQ12377" s="205"/>
      <c r="GLR12377" s="149"/>
      <c r="GLS12377" s="102"/>
      <c r="GLT12377" s="101"/>
      <c r="GLU12377" s="99"/>
      <c r="GLV12377" s="100"/>
      <c r="GLW12377" s="205"/>
      <c r="GLX12377" s="149"/>
      <c r="GLY12377" s="102"/>
      <c r="GLZ12377" s="101"/>
      <c r="GMA12377" s="99"/>
      <c r="GMB12377" s="100"/>
      <c r="GMC12377" s="205"/>
      <c r="GMD12377" s="149"/>
      <c r="GME12377" s="102"/>
      <c r="GMF12377" s="101"/>
      <c r="GMG12377" s="99"/>
      <c r="GMH12377" s="100"/>
      <c r="GMI12377" s="205"/>
      <c r="GMJ12377" s="149"/>
      <c r="GMK12377" s="102"/>
      <c r="GML12377" s="101"/>
      <c r="GMM12377" s="99"/>
      <c r="GMN12377" s="100"/>
      <c r="GMO12377" s="205"/>
      <c r="GMP12377" s="149"/>
      <c r="GMQ12377" s="102"/>
      <c r="GMR12377" s="101"/>
      <c r="GMS12377" s="99"/>
      <c r="GMT12377" s="100"/>
      <c r="GMU12377" s="205"/>
      <c r="GMV12377" s="149"/>
      <c r="GMW12377" s="102"/>
      <c r="GMX12377" s="101"/>
      <c r="GMY12377" s="99"/>
      <c r="GMZ12377" s="100"/>
      <c r="GNA12377" s="205"/>
      <c r="GNB12377" s="149"/>
      <c r="GNC12377" s="102"/>
      <c r="GND12377" s="101"/>
      <c r="GNE12377" s="99"/>
      <c r="GNF12377" s="100"/>
      <c r="GNG12377" s="205"/>
      <c r="GNH12377" s="149"/>
      <c r="GNI12377" s="102"/>
      <c r="GNJ12377" s="101"/>
      <c r="GNK12377" s="99"/>
      <c r="GNL12377" s="100"/>
      <c r="GNM12377" s="205"/>
      <c r="GNN12377" s="149"/>
      <c r="GNO12377" s="102"/>
      <c r="GNP12377" s="101"/>
      <c r="GNQ12377" s="99"/>
      <c r="GNR12377" s="100"/>
      <c r="GNS12377" s="205"/>
      <c r="GNT12377" s="149"/>
      <c r="GNU12377" s="102"/>
      <c r="GNV12377" s="101"/>
      <c r="GNW12377" s="99"/>
      <c r="GNX12377" s="100"/>
      <c r="GNY12377" s="205"/>
      <c r="GNZ12377" s="149"/>
      <c r="GOA12377" s="102"/>
      <c r="GOB12377" s="101"/>
      <c r="GOC12377" s="99"/>
      <c r="GOD12377" s="100"/>
      <c r="GOE12377" s="205"/>
      <c r="GOF12377" s="149"/>
      <c r="GOG12377" s="102"/>
      <c r="GOH12377" s="101"/>
      <c r="GOI12377" s="99"/>
      <c r="GOJ12377" s="100"/>
      <c r="GOK12377" s="205"/>
      <c r="GOL12377" s="149"/>
      <c r="GOM12377" s="102"/>
      <c r="GON12377" s="101"/>
      <c r="GOO12377" s="99"/>
      <c r="GOP12377" s="100"/>
      <c r="GOQ12377" s="205"/>
      <c r="GOR12377" s="149"/>
      <c r="GOS12377" s="102"/>
      <c r="GOT12377" s="101"/>
      <c r="GOU12377" s="99"/>
      <c r="GOV12377" s="100"/>
      <c r="GOW12377" s="205"/>
      <c r="GOX12377" s="149"/>
      <c r="GOY12377" s="102"/>
      <c r="GOZ12377" s="101"/>
      <c r="GPA12377" s="99"/>
      <c r="GPB12377" s="100"/>
      <c r="GPC12377" s="205"/>
      <c r="GPD12377" s="149"/>
      <c r="GPE12377" s="102"/>
      <c r="GPF12377" s="101"/>
      <c r="GPG12377" s="99"/>
      <c r="GPH12377" s="100"/>
      <c r="GPI12377" s="205"/>
      <c r="GPJ12377" s="149"/>
      <c r="GPK12377" s="102"/>
      <c r="GPL12377" s="101"/>
      <c r="GPM12377" s="99"/>
      <c r="GPN12377" s="100"/>
      <c r="GPO12377" s="205"/>
      <c r="GPP12377" s="149"/>
      <c r="GPQ12377" s="102"/>
      <c r="GPR12377" s="101"/>
      <c r="GPS12377" s="99"/>
      <c r="GPT12377" s="100"/>
      <c r="GPU12377" s="205"/>
      <c r="GPV12377" s="149"/>
      <c r="GPW12377" s="102"/>
      <c r="GPX12377" s="101"/>
      <c r="GPY12377" s="99"/>
      <c r="GPZ12377" s="100"/>
      <c r="GQA12377" s="205"/>
      <c r="GQB12377" s="149"/>
      <c r="GQC12377" s="102"/>
      <c r="GQD12377" s="101"/>
      <c r="GQE12377" s="99"/>
      <c r="GQF12377" s="100"/>
      <c r="GQG12377" s="205"/>
      <c r="GQH12377" s="149"/>
      <c r="GQI12377" s="102"/>
      <c r="GQJ12377" s="101"/>
      <c r="GQK12377" s="99"/>
      <c r="GQL12377" s="100"/>
      <c r="GQM12377" s="205"/>
      <c r="GQN12377" s="149"/>
      <c r="GQO12377" s="102"/>
      <c r="GQP12377" s="101"/>
      <c r="GQQ12377" s="99"/>
      <c r="GQR12377" s="100"/>
      <c r="GQS12377" s="205"/>
      <c r="GQT12377" s="149"/>
      <c r="GQU12377" s="102"/>
      <c r="GQV12377" s="101"/>
      <c r="GQW12377" s="99"/>
      <c r="GQX12377" s="100"/>
      <c r="GQY12377" s="205"/>
      <c r="GQZ12377" s="149"/>
      <c r="GRA12377" s="102"/>
      <c r="GRB12377" s="101"/>
      <c r="GRC12377" s="99"/>
      <c r="GRD12377" s="100"/>
      <c r="GRE12377" s="205"/>
      <c r="GRF12377" s="149"/>
      <c r="GRG12377" s="102"/>
      <c r="GRH12377" s="101"/>
      <c r="GRI12377" s="99"/>
      <c r="GRJ12377" s="100"/>
      <c r="GRK12377" s="205"/>
      <c r="GRL12377" s="149"/>
      <c r="GRM12377" s="102"/>
      <c r="GRN12377" s="101"/>
      <c r="GRO12377" s="99"/>
      <c r="GRP12377" s="100"/>
      <c r="GRQ12377" s="205"/>
      <c r="GRR12377" s="149"/>
      <c r="GRS12377" s="102"/>
      <c r="GRT12377" s="101"/>
      <c r="GRU12377" s="99"/>
      <c r="GRV12377" s="100"/>
      <c r="GRW12377" s="205"/>
      <c r="GRX12377" s="149"/>
      <c r="GRY12377" s="102"/>
      <c r="GRZ12377" s="101"/>
      <c r="GSA12377" s="99"/>
      <c r="GSB12377" s="100"/>
      <c r="GSC12377" s="205"/>
      <c r="GSD12377" s="149"/>
      <c r="GSE12377" s="102"/>
      <c r="GSF12377" s="101"/>
      <c r="GSG12377" s="99"/>
      <c r="GSH12377" s="100"/>
      <c r="GSI12377" s="205"/>
      <c r="GSJ12377" s="149"/>
      <c r="GSK12377" s="102"/>
      <c r="GSL12377" s="101"/>
      <c r="GSM12377" s="99"/>
      <c r="GSN12377" s="100"/>
      <c r="GSO12377" s="205"/>
      <c r="GSP12377" s="149"/>
      <c r="GSQ12377" s="102"/>
      <c r="GSR12377" s="101"/>
      <c r="GSS12377" s="99"/>
      <c r="GST12377" s="100"/>
      <c r="GSU12377" s="205"/>
      <c r="GSV12377" s="149"/>
      <c r="GSW12377" s="102"/>
      <c r="GSX12377" s="101"/>
      <c r="GSY12377" s="99"/>
      <c r="GSZ12377" s="100"/>
      <c r="GTA12377" s="205"/>
      <c r="GTB12377" s="149"/>
      <c r="GTC12377" s="102"/>
      <c r="GTD12377" s="101"/>
      <c r="GTE12377" s="99"/>
      <c r="GTF12377" s="100"/>
      <c r="GTG12377" s="205"/>
      <c r="GTH12377" s="149"/>
      <c r="GTI12377" s="102"/>
      <c r="GTJ12377" s="101"/>
      <c r="GTK12377" s="99"/>
      <c r="GTL12377" s="100"/>
      <c r="GTM12377" s="205"/>
      <c r="GTN12377" s="149"/>
      <c r="GTO12377" s="102"/>
      <c r="GTP12377" s="101"/>
      <c r="GTQ12377" s="99"/>
      <c r="GTR12377" s="100"/>
      <c r="GTS12377" s="205"/>
      <c r="GTT12377" s="149"/>
      <c r="GTU12377" s="102"/>
      <c r="GTV12377" s="101"/>
      <c r="GTW12377" s="99"/>
      <c r="GTX12377" s="100"/>
      <c r="GTY12377" s="205"/>
      <c r="GTZ12377" s="149"/>
      <c r="GUA12377" s="102"/>
      <c r="GUB12377" s="101"/>
      <c r="GUC12377" s="99"/>
      <c r="GUD12377" s="100"/>
      <c r="GUE12377" s="205"/>
      <c r="GUF12377" s="149"/>
      <c r="GUG12377" s="102"/>
      <c r="GUH12377" s="101"/>
      <c r="GUI12377" s="99"/>
      <c r="GUJ12377" s="100"/>
      <c r="GUK12377" s="205"/>
      <c r="GUL12377" s="149"/>
      <c r="GUM12377" s="102"/>
      <c r="GUN12377" s="101"/>
      <c r="GUO12377" s="99"/>
      <c r="GUP12377" s="100"/>
      <c r="GUQ12377" s="205"/>
      <c r="GUR12377" s="149"/>
      <c r="GUS12377" s="102"/>
      <c r="GUT12377" s="101"/>
      <c r="GUU12377" s="99"/>
      <c r="GUV12377" s="100"/>
      <c r="GUW12377" s="205"/>
      <c r="GUX12377" s="149"/>
      <c r="GUY12377" s="102"/>
      <c r="GUZ12377" s="101"/>
      <c r="GVA12377" s="99"/>
      <c r="GVB12377" s="100"/>
      <c r="GVC12377" s="205"/>
      <c r="GVD12377" s="149"/>
      <c r="GVE12377" s="102"/>
      <c r="GVF12377" s="101"/>
      <c r="GVG12377" s="99"/>
      <c r="GVH12377" s="100"/>
      <c r="GVI12377" s="205"/>
      <c r="GVJ12377" s="149"/>
      <c r="GVK12377" s="102"/>
      <c r="GVL12377" s="101"/>
      <c r="GVM12377" s="99"/>
      <c r="GVN12377" s="100"/>
      <c r="GVO12377" s="205"/>
      <c r="GVP12377" s="149"/>
      <c r="GVQ12377" s="102"/>
      <c r="GVR12377" s="101"/>
      <c r="GVS12377" s="99"/>
      <c r="GVT12377" s="100"/>
      <c r="GVU12377" s="205"/>
      <c r="GVV12377" s="149"/>
      <c r="GVW12377" s="102"/>
      <c r="GVX12377" s="101"/>
      <c r="GVY12377" s="99"/>
      <c r="GVZ12377" s="100"/>
      <c r="GWA12377" s="205"/>
      <c r="GWB12377" s="149"/>
      <c r="GWC12377" s="102"/>
      <c r="GWD12377" s="101"/>
      <c r="GWE12377" s="99"/>
      <c r="GWF12377" s="100"/>
      <c r="GWG12377" s="205"/>
      <c r="GWH12377" s="149"/>
      <c r="GWI12377" s="102"/>
      <c r="GWJ12377" s="101"/>
      <c r="GWK12377" s="99"/>
      <c r="GWL12377" s="100"/>
      <c r="GWM12377" s="205"/>
      <c r="GWN12377" s="149"/>
      <c r="GWO12377" s="102"/>
      <c r="GWP12377" s="101"/>
      <c r="GWQ12377" s="99"/>
      <c r="GWR12377" s="100"/>
      <c r="GWS12377" s="205"/>
      <c r="GWT12377" s="149"/>
      <c r="GWU12377" s="102"/>
      <c r="GWV12377" s="101"/>
      <c r="GWW12377" s="99"/>
      <c r="GWX12377" s="100"/>
      <c r="GWY12377" s="205"/>
      <c r="GWZ12377" s="149"/>
      <c r="GXA12377" s="102"/>
      <c r="GXB12377" s="101"/>
      <c r="GXC12377" s="99"/>
      <c r="GXD12377" s="100"/>
      <c r="GXE12377" s="205"/>
      <c r="GXF12377" s="149"/>
      <c r="GXG12377" s="102"/>
      <c r="GXH12377" s="101"/>
      <c r="GXI12377" s="99"/>
      <c r="GXJ12377" s="100"/>
      <c r="GXK12377" s="205"/>
      <c r="GXL12377" s="149"/>
      <c r="GXM12377" s="102"/>
      <c r="GXN12377" s="101"/>
      <c r="GXO12377" s="99"/>
      <c r="GXP12377" s="100"/>
      <c r="GXQ12377" s="205"/>
      <c r="GXR12377" s="149"/>
      <c r="GXS12377" s="102"/>
      <c r="GXT12377" s="101"/>
      <c r="GXU12377" s="99"/>
      <c r="GXV12377" s="100"/>
      <c r="GXW12377" s="205"/>
      <c r="GXX12377" s="149"/>
      <c r="GXY12377" s="102"/>
      <c r="GXZ12377" s="101"/>
      <c r="GYA12377" s="99"/>
      <c r="GYB12377" s="100"/>
      <c r="GYC12377" s="205"/>
      <c r="GYD12377" s="149"/>
      <c r="GYE12377" s="102"/>
      <c r="GYF12377" s="101"/>
      <c r="GYG12377" s="99"/>
      <c r="GYH12377" s="100"/>
      <c r="GYI12377" s="205"/>
      <c r="GYJ12377" s="149"/>
      <c r="GYK12377" s="102"/>
      <c r="GYL12377" s="101"/>
      <c r="GYM12377" s="99"/>
      <c r="GYN12377" s="100"/>
      <c r="GYO12377" s="205"/>
      <c r="GYP12377" s="149"/>
      <c r="GYQ12377" s="102"/>
      <c r="GYR12377" s="101"/>
      <c r="GYS12377" s="99"/>
      <c r="GYT12377" s="100"/>
      <c r="GYU12377" s="205"/>
      <c r="GYV12377" s="149"/>
      <c r="GYW12377" s="102"/>
      <c r="GYX12377" s="101"/>
      <c r="GYY12377" s="99"/>
      <c r="GYZ12377" s="100"/>
      <c r="GZA12377" s="205"/>
      <c r="GZB12377" s="149"/>
      <c r="GZC12377" s="102"/>
      <c r="GZD12377" s="101"/>
      <c r="GZE12377" s="99"/>
      <c r="GZF12377" s="100"/>
      <c r="GZG12377" s="205"/>
      <c r="GZH12377" s="149"/>
      <c r="GZI12377" s="102"/>
      <c r="GZJ12377" s="101"/>
      <c r="GZK12377" s="99"/>
      <c r="GZL12377" s="100"/>
      <c r="GZM12377" s="205"/>
      <c r="GZN12377" s="149"/>
      <c r="GZO12377" s="102"/>
      <c r="GZP12377" s="101"/>
      <c r="GZQ12377" s="99"/>
      <c r="GZR12377" s="100"/>
      <c r="GZS12377" s="205"/>
      <c r="GZT12377" s="149"/>
      <c r="GZU12377" s="102"/>
      <c r="GZV12377" s="101"/>
      <c r="GZW12377" s="99"/>
      <c r="GZX12377" s="100"/>
      <c r="GZY12377" s="205"/>
      <c r="GZZ12377" s="149"/>
      <c r="HAA12377" s="102"/>
      <c r="HAB12377" s="101"/>
      <c r="HAC12377" s="99"/>
      <c r="HAD12377" s="100"/>
      <c r="HAE12377" s="205"/>
      <c r="HAF12377" s="149"/>
      <c r="HAG12377" s="102"/>
      <c r="HAH12377" s="101"/>
      <c r="HAI12377" s="99"/>
      <c r="HAJ12377" s="100"/>
      <c r="HAK12377" s="205"/>
      <c r="HAL12377" s="149"/>
      <c r="HAM12377" s="102"/>
      <c r="HAN12377" s="101"/>
      <c r="HAO12377" s="99"/>
      <c r="HAP12377" s="100"/>
      <c r="HAQ12377" s="205"/>
      <c r="HAR12377" s="149"/>
      <c r="HAS12377" s="102"/>
      <c r="HAT12377" s="101"/>
      <c r="HAU12377" s="99"/>
      <c r="HAV12377" s="100"/>
      <c r="HAW12377" s="205"/>
      <c r="HAX12377" s="149"/>
      <c r="HAY12377" s="102"/>
      <c r="HAZ12377" s="101"/>
      <c r="HBA12377" s="99"/>
      <c r="HBB12377" s="100"/>
      <c r="HBC12377" s="205"/>
      <c r="HBD12377" s="149"/>
      <c r="HBE12377" s="102"/>
      <c r="HBF12377" s="101"/>
      <c r="HBG12377" s="99"/>
      <c r="HBH12377" s="100"/>
      <c r="HBI12377" s="205"/>
      <c r="HBJ12377" s="149"/>
      <c r="HBK12377" s="102"/>
      <c r="HBL12377" s="101"/>
      <c r="HBM12377" s="99"/>
      <c r="HBN12377" s="100"/>
      <c r="HBO12377" s="205"/>
      <c r="HBP12377" s="149"/>
      <c r="HBQ12377" s="102"/>
      <c r="HBR12377" s="101"/>
      <c r="HBS12377" s="99"/>
      <c r="HBT12377" s="100"/>
      <c r="HBU12377" s="205"/>
      <c r="HBV12377" s="149"/>
      <c r="HBW12377" s="102"/>
      <c r="HBX12377" s="101"/>
      <c r="HBY12377" s="99"/>
      <c r="HBZ12377" s="100"/>
      <c r="HCA12377" s="205"/>
      <c r="HCB12377" s="149"/>
      <c r="HCC12377" s="102"/>
      <c r="HCD12377" s="101"/>
      <c r="HCE12377" s="99"/>
      <c r="HCF12377" s="100"/>
      <c r="HCG12377" s="205"/>
      <c r="HCH12377" s="149"/>
      <c r="HCI12377" s="102"/>
      <c r="HCJ12377" s="101"/>
      <c r="HCK12377" s="99"/>
      <c r="HCL12377" s="100"/>
      <c r="HCM12377" s="205"/>
      <c r="HCN12377" s="149"/>
      <c r="HCO12377" s="102"/>
      <c r="HCP12377" s="101"/>
      <c r="HCQ12377" s="99"/>
      <c r="HCR12377" s="100"/>
      <c r="HCS12377" s="205"/>
      <c r="HCT12377" s="149"/>
      <c r="HCU12377" s="102"/>
      <c r="HCV12377" s="101"/>
      <c r="HCW12377" s="99"/>
      <c r="HCX12377" s="100"/>
      <c r="HCY12377" s="205"/>
      <c r="HCZ12377" s="149"/>
      <c r="HDA12377" s="102"/>
      <c r="HDB12377" s="101"/>
      <c r="HDC12377" s="99"/>
      <c r="HDD12377" s="100"/>
      <c r="HDE12377" s="205"/>
      <c r="HDF12377" s="149"/>
      <c r="HDG12377" s="102"/>
      <c r="HDH12377" s="101"/>
      <c r="HDI12377" s="99"/>
      <c r="HDJ12377" s="100"/>
      <c r="HDK12377" s="205"/>
      <c r="HDL12377" s="149"/>
      <c r="HDM12377" s="102"/>
      <c r="HDN12377" s="101"/>
      <c r="HDO12377" s="99"/>
      <c r="HDP12377" s="100"/>
      <c r="HDQ12377" s="205"/>
      <c r="HDR12377" s="149"/>
      <c r="HDS12377" s="102"/>
      <c r="HDT12377" s="101"/>
      <c r="HDU12377" s="99"/>
      <c r="HDV12377" s="100"/>
      <c r="HDW12377" s="205"/>
      <c r="HDX12377" s="149"/>
      <c r="HDY12377" s="102"/>
      <c r="HDZ12377" s="101"/>
      <c r="HEA12377" s="99"/>
      <c r="HEB12377" s="100"/>
      <c r="HEC12377" s="205"/>
      <c r="HED12377" s="149"/>
      <c r="HEE12377" s="102"/>
      <c r="HEF12377" s="101"/>
      <c r="HEG12377" s="99"/>
      <c r="HEH12377" s="100"/>
      <c r="HEI12377" s="205"/>
      <c r="HEJ12377" s="149"/>
      <c r="HEK12377" s="102"/>
      <c r="HEL12377" s="101"/>
      <c r="HEM12377" s="99"/>
      <c r="HEN12377" s="100"/>
      <c r="HEO12377" s="205"/>
      <c r="HEP12377" s="149"/>
      <c r="HEQ12377" s="102"/>
      <c r="HER12377" s="101"/>
      <c r="HES12377" s="99"/>
      <c r="HET12377" s="100"/>
      <c r="HEU12377" s="205"/>
      <c r="HEV12377" s="149"/>
      <c r="HEW12377" s="102"/>
      <c r="HEX12377" s="101"/>
      <c r="HEY12377" s="99"/>
      <c r="HEZ12377" s="100"/>
      <c r="HFA12377" s="205"/>
      <c r="HFB12377" s="149"/>
      <c r="HFC12377" s="102"/>
      <c r="HFD12377" s="101"/>
      <c r="HFE12377" s="99"/>
      <c r="HFF12377" s="100"/>
      <c r="HFG12377" s="205"/>
      <c r="HFH12377" s="149"/>
      <c r="HFI12377" s="102"/>
      <c r="HFJ12377" s="101"/>
      <c r="HFK12377" s="99"/>
      <c r="HFL12377" s="100"/>
      <c r="HFM12377" s="205"/>
      <c r="HFN12377" s="149"/>
      <c r="HFO12377" s="102"/>
      <c r="HFP12377" s="101"/>
      <c r="HFQ12377" s="99"/>
      <c r="HFR12377" s="100"/>
      <c r="HFS12377" s="205"/>
      <c r="HFT12377" s="149"/>
      <c r="HFU12377" s="102"/>
      <c r="HFV12377" s="101"/>
      <c r="HFW12377" s="99"/>
      <c r="HFX12377" s="100"/>
      <c r="HFY12377" s="205"/>
      <c r="HFZ12377" s="149"/>
      <c r="HGA12377" s="102"/>
      <c r="HGB12377" s="101"/>
      <c r="HGC12377" s="99"/>
      <c r="HGD12377" s="100"/>
      <c r="HGE12377" s="205"/>
      <c r="HGF12377" s="149"/>
      <c r="HGG12377" s="102"/>
      <c r="HGH12377" s="101"/>
      <c r="HGI12377" s="99"/>
      <c r="HGJ12377" s="100"/>
      <c r="HGK12377" s="205"/>
      <c r="HGL12377" s="149"/>
      <c r="HGM12377" s="102"/>
      <c r="HGN12377" s="101"/>
      <c r="HGO12377" s="99"/>
      <c r="HGP12377" s="100"/>
      <c r="HGQ12377" s="205"/>
      <c r="HGR12377" s="149"/>
      <c r="HGS12377" s="102"/>
      <c r="HGT12377" s="101"/>
      <c r="HGU12377" s="99"/>
      <c r="HGV12377" s="100"/>
      <c r="HGW12377" s="205"/>
      <c r="HGX12377" s="149"/>
      <c r="HGY12377" s="102"/>
      <c r="HGZ12377" s="101"/>
      <c r="HHA12377" s="99"/>
      <c r="HHB12377" s="100"/>
      <c r="HHC12377" s="205"/>
      <c r="HHD12377" s="149"/>
      <c r="HHE12377" s="102"/>
      <c r="HHF12377" s="101"/>
      <c r="HHG12377" s="99"/>
      <c r="HHH12377" s="100"/>
      <c r="HHI12377" s="205"/>
      <c r="HHJ12377" s="149"/>
      <c r="HHK12377" s="102"/>
      <c r="HHL12377" s="101"/>
      <c r="HHM12377" s="99"/>
      <c r="HHN12377" s="100"/>
      <c r="HHO12377" s="205"/>
      <c r="HHP12377" s="149"/>
      <c r="HHQ12377" s="102"/>
      <c r="HHR12377" s="101"/>
      <c r="HHS12377" s="99"/>
      <c r="HHT12377" s="100"/>
      <c r="HHU12377" s="205"/>
      <c r="HHV12377" s="149"/>
      <c r="HHW12377" s="102"/>
      <c r="HHX12377" s="101"/>
      <c r="HHY12377" s="99"/>
      <c r="HHZ12377" s="100"/>
      <c r="HIA12377" s="205"/>
      <c r="HIB12377" s="149"/>
      <c r="HIC12377" s="102"/>
      <c r="HID12377" s="101"/>
      <c r="HIE12377" s="99"/>
      <c r="HIF12377" s="100"/>
      <c r="HIG12377" s="205"/>
      <c r="HIH12377" s="149"/>
      <c r="HII12377" s="102"/>
      <c r="HIJ12377" s="101"/>
      <c r="HIK12377" s="99"/>
      <c r="HIL12377" s="100"/>
      <c r="HIM12377" s="205"/>
      <c r="HIN12377" s="149"/>
      <c r="HIO12377" s="102"/>
      <c r="HIP12377" s="101"/>
      <c r="HIQ12377" s="99"/>
      <c r="HIR12377" s="100"/>
      <c r="HIS12377" s="205"/>
      <c r="HIT12377" s="149"/>
      <c r="HIU12377" s="102"/>
      <c r="HIV12377" s="101"/>
      <c r="HIW12377" s="99"/>
      <c r="HIX12377" s="100"/>
      <c r="HIY12377" s="205"/>
      <c r="HIZ12377" s="149"/>
      <c r="HJA12377" s="102"/>
      <c r="HJB12377" s="101"/>
      <c r="HJC12377" s="99"/>
      <c r="HJD12377" s="100"/>
      <c r="HJE12377" s="205"/>
      <c r="HJF12377" s="149"/>
      <c r="HJG12377" s="102"/>
      <c r="HJH12377" s="101"/>
      <c r="HJI12377" s="99"/>
      <c r="HJJ12377" s="100"/>
      <c r="HJK12377" s="205"/>
      <c r="HJL12377" s="149"/>
      <c r="HJM12377" s="102"/>
      <c r="HJN12377" s="101"/>
      <c r="HJO12377" s="99"/>
      <c r="HJP12377" s="100"/>
      <c r="HJQ12377" s="205"/>
      <c r="HJR12377" s="149"/>
      <c r="HJS12377" s="102"/>
      <c r="HJT12377" s="101"/>
      <c r="HJU12377" s="99"/>
      <c r="HJV12377" s="100"/>
      <c r="HJW12377" s="205"/>
      <c r="HJX12377" s="149"/>
      <c r="HJY12377" s="102"/>
      <c r="HJZ12377" s="101"/>
      <c r="HKA12377" s="99"/>
      <c r="HKB12377" s="100"/>
      <c r="HKC12377" s="205"/>
      <c r="HKD12377" s="149"/>
      <c r="HKE12377" s="102"/>
      <c r="HKF12377" s="101"/>
      <c r="HKG12377" s="99"/>
      <c r="HKH12377" s="100"/>
      <c r="HKI12377" s="205"/>
      <c r="HKJ12377" s="149"/>
      <c r="HKK12377" s="102"/>
      <c r="HKL12377" s="101"/>
      <c r="HKM12377" s="99"/>
      <c r="HKN12377" s="100"/>
      <c r="HKO12377" s="205"/>
      <c r="HKP12377" s="149"/>
      <c r="HKQ12377" s="102"/>
      <c r="HKR12377" s="101"/>
      <c r="HKS12377" s="99"/>
      <c r="HKT12377" s="100"/>
      <c r="HKU12377" s="205"/>
      <c r="HKV12377" s="149"/>
      <c r="HKW12377" s="102"/>
      <c r="HKX12377" s="101"/>
      <c r="HKY12377" s="99"/>
      <c r="HKZ12377" s="100"/>
      <c r="HLA12377" s="205"/>
      <c r="HLB12377" s="149"/>
      <c r="HLC12377" s="102"/>
      <c r="HLD12377" s="101"/>
      <c r="HLE12377" s="99"/>
      <c r="HLF12377" s="100"/>
      <c r="HLG12377" s="205"/>
      <c r="HLH12377" s="149"/>
      <c r="HLI12377" s="102"/>
      <c r="HLJ12377" s="101"/>
      <c r="HLK12377" s="99"/>
      <c r="HLL12377" s="100"/>
      <c r="HLM12377" s="205"/>
      <c r="HLN12377" s="149"/>
      <c r="HLO12377" s="102"/>
      <c r="HLP12377" s="101"/>
      <c r="HLQ12377" s="99"/>
      <c r="HLR12377" s="100"/>
      <c r="HLS12377" s="205"/>
      <c r="HLT12377" s="149"/>
      <c r="HLU12377" s="102"/>
      <c r="HLV12377" s="101"/>
      <c r="HLW12377" s="99"/>
      <c r="HLX12377" s="100"/>
      <c r="HLY12377" s="205"/>
      <c r="HLZ12377" s="149"/>
      <c r="HMA12377" s="102"/>
      <c r="HMB12377" s="101"/>
      <c r="HMC12377" s="99"/>
      <c r="HMD12377" s="100"/>
      <c r="HME12377" s="205"/>
      <c r="HMF12377" s="149"/>
      <c r="HMG12377" s="102"/>
      <c r="HMH12377" s="101"/>
      <c r="HMI12377" s="99"/>
      <c r="HMJ12377" s="100"/>
      <c r="HMK12377" s="205"/>
      <c r="HML12377" s="149"/>
      <c r="HMM12377" s="102"/>
      <c r="HMN12377" s="101"/>
      <c r="HMO12377" s="99"/>
      <c r="HMP12377" s="100"/>
      <c r="HMQ12377" s="205"/>
      <c r="HMR12377" s="149"/>
      <c r="HMS12377" s="102"/>
      <c r="HMT12377" s="101"/>
      <c r="HMU12377" s="99"/>
      <c r="HMV12377" s="100"/>
      <c r="HMW12377" s="205"/>
      <c r="HMX12377" s="149"/>
      <c r="HMY12377" s="102"/>
      <c r="HMZ12377" s="101"/>
      <c r="HNA12377" s="99"/>
      <c r="HNB12377" s="100"/>
      <c r="HNC12377" s="205"/>
      <c r="HND12377" s="149"/>
      <c r="HNE12377" s="102"/>
      <c r="HNF12377" s="101"/>
      <c r="HNG12377" s="99"/>
      <c r="HNH12377" s="100"/>
      <c r="HNI12377" s="205"/>
      <c r="HNJ12377" s="149"/>
      <c r="HNK12377" s="102"/>
      <c r="HNL12377" s="101"/>
      <c r="HNM12377" s="99"/>
      <c r="HNN12377" s="100"/>
      <c r="HNO12377" s="205"/>
      <c r="HNP12377" s="149"/>
      <c r="HNQ12377" s="102"/>
      <c r="HNR12377" s="101"/>
      <c r="HNS12377" s="99"/>
      <c r="HNT12377" s="100"/>
      <c r="HNU12377" s="205"/>
      <c r="HNV12377" s="149"/>
      <c r="HNW12377" s="102"/>
      <c r="HNX12377" s="101"/>
      <c r="HNY12377" s="99"/>
      <c r="HNZ12377" s="100"/>
      <c r="HOA12377" s="205"/>
      <c r="HOB12377" s="149"/>
      <c r="HOC12377" s="102"/>
      <c r="HOD12377" s="101"/>
      <c r="HOE12377" s="99"/>
      <c r="HOF12377" s="100"/>
      <c r="HOG12377" s="205"/>
      <c r="HOH12377" s="149"/>
      <c r="HOI12377" s="102"/>
      <c r="HOJ12377" s="101"/>
      <c r="HOK12377" s="99"/>
      <c r="HOL12377" s="100"/>
      <c r="HOM12377" s="205"/>
      <c r="HON12377" s="149"/>
      <c r="HOO12377" s="102"/>
      <c r="HOP12377" s="101"/>
      <c r="HOQ12377" s="99"/>
      <c r="HOR12377" s="100"/>
      <c r="HOS12377" s="205"/>
      <c r="HOT12377" s="149"/>
      <c r="HOU12377" s="102"/>
      <c r="HOV12377" s="101"/>
      <c r="HOW12377" s="99"/>
      <c r="HOX12377" s="100"/>
      <c r="HOY12377" s="205"/>
      <c r="HOZ12377" s="149"/>
      <c r="HPA12377" s="102"/>
      <c r="HPB12377" s="101"/>
      <c r="HPC12377" s="99"/>
      <c r="HPD12377" s="100"/>
      <c r="HPE12377" s="205"/>
      <c r="HPF12377" s="149"/>
      <c r="HPG12377" s="102"/>
      <c r="HPH12377" s="101"/>
      <c r="HPI12377" s="99"/>
      <c r="HPJ12377" s="100"/>
      <c r="HPK12377" s="205"/>
      <c r="HPL12377" s="149"/>
      <c r="HPM12377" s="102"/>
      <c r="HPN12377" s="101"/>
      <c r="HPO12377" s="99"/>
      <c r="HPP12377" s="100"/>
      <c r="HPQ12377" s="205"/>
      <c r="HPR12377" s="149"/>
      <c r="HPS12377" s="102"/>
      <c r="HPT12377" s="101"/>
      <c r="HPU12377" s="99"/>
      <c r="HPV12377" s="100"/>
      <c r="HPW12377" s="205"/>
      <c r="HPX12377" s="149"/>
      <c r="HPY12377" s="102"/>
      <c r="HPZ12377" s="101"/>
      <c r="HQA12377" s="99"/>
      <c r="HQB12377" s="100"/>
      <c r="HQC12377" s="205"/>
      <c r="HQD12377" s="149"/>
      <c r="HQE12377" s="102"/>
      <c r="HQF12377" s="101"/>
      <c r="HQG12377" s="99"/>
      <c r="HQH12377" s="100"/>
      <c r="HQI12377" s="205"/>
      <c r="HQJ12377" s="149"/>
      <c r="HQK12377" s="102"/>
      <c r="HQL12377" s="101"/>
      <c r="HQM12377" s="99"/>
      <c r="HQN12377" s="100"/>
      <c r="HQO12377" s="205"/>
      <c r="HQP12377" s="149"/>
      <c r="HQQ12377" s="102"/>
      <c r="HQR12377" s="101"/>
      <c r="HQS12377" s="99"/>
      <c r="HQT12377" s="100"/>
      <c r="HQU12377" s="205"/>
      <c r="HQV12377" s="149"/>
      <c r="HQW12377" s="102"/>
      <c r="HQX12377" s="101"/>
      <c r="HQY12377" s="99"/>
      <c r="HQZ12377" s="100"/>
      <c r="HRA12377" s="205"/>
      <c r="HRB12377" s="149"/>
      <c r="HRC12377" s="102"/>
      <c r="HRD12377" s="101"/>
      <c r="HRE12377" s="99"/>
      <c r="HRF12377" s="100"/>
      <c r="HRG12377" s="205"/>
      <c r="HRH12377" s="149"/>
      <c r="HRI12377" s="102"/>
      <c r="HRJ12377" s="101"/>
      <c r="HRK12377" s="99"/>
      <c r="HRL12377" s="100"/>
      <c r="HRM12377" s="205"/>
      <c r="HRN12377" s="149"/>
      <c r="HRO12377" s="102"/>
      <c r="HRP12377" s="101"/>
      <c r="HRQ12377" s="99"/>
      <c r="HRR12377" s="100"/>
      <c r="HRS12377" s="205"/>
      <c r="HRT12377" s="149"/>
      <c r="HRU12377" s="102"/>
      <c r="HRV12377" s="101"/>
      <c r="HRW12377" s="99"/>
      <c r="HRX12377" s="100"/>
      <c r="HRY12377" s="205"/>
      <c r="HRZ12377" s="149"/>
      <c r="HSA12377" s="102"/>
      <c r="HSB12377" s="101"/>
      <c r="HSC12377" s="99"/>
      <c r="HSD12377" s="100"/>
      <c r="HSE12377" s="205"/>
      <c r="HSF12377" s="149"/>
      <c r="HSG12377" s="102"/>
      <c r="HSH12377" s="101"/>
      <c r="HSI12377" s="99"/>
      <c r="HSJ12377" s="100"/>
      <c r="HSK12377" s="205"/>
      <c r="HSL12377" s="149"/>
      <c r="HSM12377" s="102"/>
      <c r="HSN12377" s="101"/>
      <c r="HSO12377" s="99"/>
      <c r="HSP12377" s="100"/>
      <c r="HSQ12377" s="205"/>
      <c r="HSR12377" s="149"/>
      <c r="HSS12377" s="102"/>
      <c r="HST12377" s="101"/>
      <c r="HSU12377" s="99"/>
      <c r="HSV12377" s="100"/>
      <c r="HSW12377" s="205"/>
      <c r="HSX12377" s="149"/>
      <c r="HSY12377" s="102"/>
      <c r="HSZ12377" s="101"/>
      <c r="HTA12377" s="99"/>
      <c r="HTB12377" s="100"/>
      <c r="HTC12377" s="205"/>
      <c r="HTD12377" s="149"/>
      <c r="HTE12377" s="102"/>
      <c r="HTF12377" s="101"/>
      <c r="HTG12377" s="99"/>
      <c r="HTH12377" s="100"/>
      <c r="HTI12377" s="205"/>
      <c r="HTJ12377" s="149"/>
      <c r="HTK12377" s="102"/>
      <c r="HTL12377" s="101"/>
      <c r="HTM12377" s="99"/>
      <c r="HTN12377" s="100"/>
      <c r="HTO12377" s="205"/>
      <c r="HTP12377" s="149"/>
      <c r="HTQ12377" s="102"/>
      <c r="HTR12377" s="101"/>
      <c r="HTS12377" s="99"/>
      <c r="HTT12377" s="100"/>
      <c r="HTU12377" s="205"/>
      <c r="HTV12377" s="149"/>
      <c r="HTW12377" s="102"/>
      <c r="HTX12377" s="101"/>
      <c r="HTY12377" s="99"/>
      <c r="HTZ12377" s="100"/>
      <c r="HUA12377" s="205"/>
      <c r="HUB12377" s="149"/>
      <c r="HUC12377" s="102"/>
      <c r="HUD12377" s="101"/>
      <c r="HUE12377" s="99"/>
      <c r="HUF12377" s="100"/>
      <c r="HUG12377" s="205"/>
      <c r="HUH12377" s="149"/>
      <c r="HUI12377" s="102"/>
      <c r="HUJ12377" s="101"/>
      <c r="HUK12377" s="99"/>
      <c r="HUL12377" s="100"/>
      <c r="HUM12377" s="205"/>
      <c r="HUN12377" s="149"/>
      <c r="HUO12377" s="102"/>
      <c r="HUP12377" s="101"/>
      <c r="HUQ12377" s="99"/>
      <c r="HUR12377" s="100"/>
      <c r="HUS12377" s="205"/>
      <c r="HUT12377" s="149"/>
      <c r="HUU12377" s="102"/>
      <c r="HUV12377" s="101"/>
      <c r="HUW12377" s="99"/>
      <c r="HUX12377" s="100"/>
      <c r="HUY12377" s="205"/>
      <c r="HUZ12377" s="149"/>
      <c r="HVA12377" s="102"/>
      <c r="HVB12377" s="101"/>
      <c r="HVC12377" s="99"/>
      <c r="HVD12377" s="100"/>
      <c r="HVE12377" s="205"/>
      <c r="HVF12377" s="149"/>
      <c r="HVG12377" s="102"/>
      <c r="HVH12377" s="101"/>
      <c r="HVI12377" s="99"/>
      <c r="HVJ12377" s="100"/>
      <c r="HVK12377" s="205"/>
      <c r="HVL12377" s="149"/>
      <c r="HVM12377" s="102"/>
      <c r="HVN12377" s="101"/>
      <c r="HVO12377" s="99"/>
      <c r="HVP12377" s="100"/>
      <c r="HVQ12377" s="205"/>
      <c r="HVR12377" s="149"/>
      <c r="HVS12377" s="102"/>
      <c r="HVT12377" s="101"/>
      <c r="HVU12377" s="99"/>
      <c r="HVV12377" s="100"/>
      <c r="HVW12377" s="205"/>
      <c r="HVX12377" s="149"/>
      <c r="HVY12377" s="102"/>
      <c r="HVZ12377" s="101"/>
      <c r="HWA12377" s="99"/>
      <c r="HWB12377" s="100"/>
      <c r="HWC12377" s="205"/>
      <c r="HWD12377" s="149"/>
      <c r="HWE12377" s="102"/>
      <c r="HWF12377" s="101"/>
      <c r="HWG12377" s="99"/>
      <c r="HWH12377" s="100"/>
      <c r="HWI12377" s="205"/>
      <c r="HWJ12377" s="149"/>
      <c r="HWK12377" s="102"/>
      <c r="HWL12377" s="101"/>
      <c r="HWM12377" s="99"/>
      <c r="HWN12377" s="100"/>
      <c r="HWO12377" s="205"/>
      <c r="HWP12377" s="149"/>
      <c r="HWQ12377" s="102"/>
      <c r="HWR12377" s="101"/>
      <c r="HWS12377" s="99"/>
      <c r="HWT12377" s="100"/>
      <c r="HWU12377" s="205"/>
      <c r="HWV12377" s="149"/>
      <c r="HWW12377" s="102"/>
      <c r="HWX12377" s="101"/>
      <c r="HWY12377" s="99"/>
      <c r="HWZ12377" s="100"/>
      <c r="HXA12377" s="205"/>
      <c r="HXB12377" s="149"/>
      <c r="HXC12377" s="102"/>
      <c r="HXD12377" s="101"/>
      <c r="HXE12377" s="99"/>
      <c r="HXF12377" s="100"/>
      <c r="HXG12377" s="205"/>
      <c r="HXH12377" s="149"/>
      <c r="HXI12377" s="102"/>
      <c r="HXJ12377" s="101"/>
      <c r="HXK12377" s="99"/>
      <c r="HXL12377" s="100"/>
      <c r="HXM12377" s="205"/>
      <c r="HXN12377" s="149"/>
      <c r="HXO12377" s="102"/>
      <c r="HXP12377" s="101"/>
      <c r="HXQ12377" s="99"/>
      <c r="HXR12377" s="100"/>
      <c r="HXS12377" s="205"/>
      <c r="HXT12377" s="149"/>
      <c r="HXU12377" s="102"/>
      <c r="HXV12377" s="101"/>
      <c r="HXW12377" s="99"/>
      <c r="HXX12377" s="100"/>
      <c r="HXY12377" s="205"/>
      <c r="HXZ12377" s="149"/>
      <c r="HYA12377" s="102"/>
      <c r="HYB12377" s="101"/>
      <c r="HYC12377" s="99"/>
      <c r="HYD12377" s="100"/>
      <c r="HYE12377" s="205"/>
      <c r="HYF12377" s="149"/>
      <c r="HYG12377" s="102"/>
      <c r="HYH12377" s="101"/>
      <c r="HYI12377" s="99"/>
      <c r="HYJ12377" s="100"/>
      <c r="HYK12377" s="205"/>
      <c r="HYL12377" s="149"/>
      <c r="HYM12377" s="102"/>
      <c r="HYN12377" s="101"/>
      <c r="HYO12377" s="99"/>
      <c r="HYP12377" s="100"/>
      <c r="HYQ12377" s="205"/>
      <c r="HYR12377" s="149"/>
      <c r="HYS12377" s="102"/>
      <c r="HYT12377" s="101"/>
      <c r="HYU12377" s="99"/>
      <c r="HYV12377" s="100"/>
      <c r="HYW12377" s="205"/>
      <c r="HYX12377" s="149"/>
      <c r="HYY12377" s="102"/>
      <c r="HYZ12377" s="101"/>
      <c r="HZA12377" s="99"/>
      <c r="HZB12377" s="100"/>
      <c r="HZC12377" s="205"/>
      <c r="HZD12377" s="149"/>
      <c r="HZE12377" s="102"/>
      <c r="HZF12377" s="101"/>
      <c r="HZG12377" s="99"/>
      <c r="HZH12377" s="100"/>
      <c r="HZI12377" s="205"/>
      <c r="HZJ12377" s="149"/>
      <c r="HZK12377" s="102"/>
      <c r="HZL12377" s="101"/>
      <c r="HZM12377" s="99"/>
      <c r="HZN12377" s="100"/>
      <c r="HZO12377" s="205"/>
      <c r="HZP12377" s="149"/>
      <c r="HZQ12377" s="102"/>
      <c r="HZR12377" s="101"/>
      <c r="HZS12377" s="99"/>
      <c r="HZT12377" s="100"/>
      <c r="HZU12377" s="205"/>
      <c r="HZV12377" s="149"/>
      <c r="HZW12377" s="102"/>
      <c r="HZX12377" s="101"/>
      <c r="HZY12377" s="99"/>
      <c r="HZZ12377" s="100"/>
      <c r="IAA12377" s="205"/>
      <c r="IAB12377" s="149"/>
      <c r="IAC12377" s="102"/>
      <c r="IAD12377" s="101"/>
      <c r="IAE12377" s="99"/>
      <c r="IAF12377" s="100"/>
      <c r="IAG12377" s="205"/>
      <c r="IAH12377" s="149"/>
      <c r="IAI12377" s="102"/>
      <c r="IAJ12377" s="101"/>
      <c r="IAK12377" s="99"/>
      <c r="IAL12377" s="100"/>
      <c r="IAM12377" s="205"/>
      <c r="IAN12377" s="149"/>
      <c r="IAO12377" s="102"/>
      <c r="IAP12377" s="101"/>
      <c r="IAQ12377" s="99"/>
      <c r="IAR12377" s="100"/>
      <c r="IAS12377" s="205"/>
      <c r="IAT12377" s="149"/>
      <c r="IAU12377" s="102"/>
      <c r="IAV12377" s="101"/>
      <c r="IAW12377" s="99"/>
      <c r="IAX12377" s="100"/>
      <c r="IAY12377" s="205"/>
      <c r="IAZ12377" s="149"/>
      <c r="IBA12377" s="102"/>
      <c r="IBB12377" s="101"/>
      <c r="IBC12377" s="99"/>
      <c r="IBD12377" s="100"/>
      <c r="IBE12377" s="205"/>
      <c r="IBF12377" s="149"/>
      <c r="IBG12377" s="102"/>
      <c r="IBH12377" s="101"/>
      <c r="IBI12377" s="99"/>
      <c r="IBJ12377" s="100"/>
      <c r="IBK12377" s="205"/>
      <c r="IBL12377" s="149"/>
      <c r="IBM12377" s="102"/>
      <c r="IBN12377" s="101"/>
      <c r="IBO12377" s="99"/>
      <c r="IBP12377" s="100"/>
      <c r="IBQ12377" s="205"/>
      <c r="IBR12377" s="149"/>
      <c r="IBS12377" s="102"/>
      <c r="IBT12377" s="101"/>
      <c r="IBU12377" s="99"/>
      <c r="IBV12377" s="100"/>
      <c r="IBW12377" s="205"/>
      <c r="IBX12377" s="149"/>
      <c r="IBY12377" s="102"/>
      <c r="IBZ12377" s="101"/>
      <c r="ICA12377" s="99"/>
      <c r="ICB12377" s="100"/>
      <c r="ICC12377" s="205"/>
      <c r="ICD12377" s="149"/>
      <c r="ICE12377" s="102"/>
      <c r="ICF12377" s="101"/>
      <c r="ICG12377" s="99"/>
      <c r="ICH12377" s="100"/>
      <c r="ICI12377" s="205"/>
      <c r="ICJ12377" s="149"/>
      <c r="ICK12377" s="102"/>
      <c r="ICL12377" s="101"/>
      <c r="ICM12377" s="99"/>
      <c r="ICN12377" s="100"/>
      <c r="ICO12377" s="205"/>
      <c r="ICP12377" s="149"/>
      <c r="ICQ12377" s="102"/>
      <c r="ICR12377" s="101"/>
      <c r="ICS12377" s="99"/>
      <c r="ICT12377" s="100"/>
      <c r="ICU12377" s="205"/>
      <c r="ICV12377" s="149"/>
      <c r="ICW12377" s="102"/>
      <c r="ICX12377" s="101"/>
      <c r="ICY12377" s="99"/>
      <c r="ICZ12377" s="100"/>
      <c r="IDA12377" s="205"/>
      <c r="IDB12377" s="149"/>
      <c r="IDC12377" s="102"/>
      <c r="IDD12377" s="101"/>
      <c r="IDE12377" s="99"/>
      <c r="IDF12377" s="100"/>
      <c r="IDG12377" s="205"/>
      <c r="IDH12377" s="149"/>
      <c r="IDI12377" s="102"/>
      <c r="IDJ12377" s="101"/>
      <c r="IDK12377" s="99"/>
      <c r="IDL12377" s="100"/>
      <c r="IDM12377" s="205"/>
      <c r="IDN12377" s="149"/>
      <c r="IDO12377" s="102"/>
      <c r="IDP12377" s="101"/>
      <c r="IDQ12377" s="99"/>
      <c r="IDR12377" s="100"/>
      <c r="IDS12377" s="205"/>
      <c r="IDT12377" s="149"/>
      <c r="IDU12377" s="102"/>
      <c r="IDV12377" s="101"/>
      <c r="IDW12377" s="99"/>
      <c r="IDX12377" s="100"/>
      <c r="IDY12377" s="205"/>
      <c r="IDZ12377" s="149"/>
      <c r="IEA12377" s="102"/>
      <c r="IEB12377" s="101"/>
      <c r="IEC12377" s="99"/>
      <c r="IED12377" s="100"/>
      <c r="IEE12377" s="205"/>
      <c r="IEF12377" s="149"/>
      <c r="IEG12377" s="102"/>
      <c r="IEH12377" s="101"/>
      <c r="IEI12377" s="99"/>
      <c r="IEJ12377" s="100"/>
      <c r="IEK12377" s="205"/>
      <c r="IEL12377" s="149"/>
      <c r="IEM12377" s="102"/>
      <c r="IEN12377" s="101"/>
      <c r="IEO12377" s="99"/>
      <c r="IEP12377" s="100"/>
      <c r="IEQ12377" s="205"/>
      <c r="IER12377" s="149"/>
      <c r="IES12377" s="102"/>
      <c r="IET12377" s="101"/>
      <c r="IEU12377" s="99"/>
      <c r="IEV12377" s="100"/>
      <c r="IEW12377" s="205"/>
      <c r="IEX12377" s="149"/>
      <c r="IEY12377" s="102"/>
      <c r="IEZ12377" s="101"/>
      <c r="IFA12377" s="99"/>
      <c r="IFB12377" s="100"/>
      <c r="IFC12377" s="205"/>
      <c r="IFD12377" s="149"/>
      <c r="IFE12377" s="102"/>
      <c r="IFF12377" s="101"/>
      <c r="IFG12377" s="99"/>
      <c r="IFH12377" s="100"/>
      <c r="IFI12377" s="205"/>
      <c r="IFJ12377" s="149"/>
      <c r="IFK12377" s="102"/>
      <c r="IFL12377" s="101"/>
      <c r="IFM12377" s="99"/>
      <c r="IFN12377" s="100"/>
      <c r="IFO12377" s="205"/>
      <c r="IFP12377" s="149"/>
      <c r="IFQ12377" s="102"/>
      <c r="IFR12377" s="101"/>
      <c r="IFS12377" s="99"/>
      <c r="IFT12377" s="100"/>
      <c r="IFU12377" s="205"/>
      <c r="IFV12377" s="149"/>
      <c r="IFW12377" s="102"/>
      <c r="IFX12377" s="101"/>
      <c r="IFY12377" s="99"/>
      <c r="IFZ12377" s="100"/>
      <c r="IGA12377" s="205"/>
      <c r="IGB12377" s="149"/>
      <c r="IGC12377" s="102"/>
      <c r="IGD12377" s="101"/>
      <c r="IGE12377" s="99"/>
      <c r="IGF12377" s="100"/>
      <c r="IGG12377" s="205"/>
      <c r="IGH12377" s="149"/>
      <c r="IGI12377" s="102"/>
      <c r="IGJ12377" s="101"/>
      <c r="IGK12377" s="99"/>
      <c r="IGL12377" s="100"/>
      <c r="IGM12377" s="205"/>
      <c r="IGN12377" s="149"/>
      <c r="IGO12377" s="102"/>
      <c r="IGP12377" s="101"/>
      <c r="IGQ12377" s="99"/>
      <c r="IGR12377" s="100"/>
      <c r="IGS12377" s="205"/>
      <c r="IGT12377" s="149"/>
      <c r="IGU12377" s="102"/>
      <c r="IGV12377" s="101"/>
      <c r="IGW12377" s="99"/>
      <c r="IGX12377" s="100"/>
      <c r="IGY12377" s="205"/>
      <c r="IGZ12377" s="149"/>
      <c r="IHA12377" s="102"/>
      <c r="IHB12377" s="101"/>
      <c r="IHC12377" s="99"/>
      <c r="IHD12377" s="100"/>
      <c r="IHE12377" s="205"/>
      <c r="IHF12377" s="149"/>
      <c r="IHG12377" s="102"/>
      <c r="IHH12377" s="101"/>
      <c r="IHI12377" s="99"/>
      <c r="IHJ12377" s="100"/>
      <c r="IHK12377" s="205"/>
      <c r="IHL12377" s="149"/>
      <c r="IHM12377" s="102"/>
      <c r="IHN12377" s="101"/>
      <c r="IHO12377" s="99"/>
      <c r="IHP12377" s="100"/>
      <c r="IHQ12377" s="205"/>
      <c r="IHR12377" s="149"/>
      <c r="IHS12377" s="102"/>
      <c r="IHT12377" s="101"/>
      <c r="IHU12377" s="99"/>
      <c r="IHV12377" s="100"/>
      <c r="IHW12377" s="205"/>
      <c r="IHX12377" s="149"/>
      <c r="IHY12377" s="102"/>
      <c r="IHZ12377" s="101"/>
      <c r="IIA12377" s="99"/>
      <c r="IIB12377" s="100"/>
      <c r="IIC12377" s="205"/>
      <c r="IID12377" s="149"/>
      <c r="IIE12377" s="102"/>
      <c r="IIF12377" s="101"/>
      <c r="IIG12377" s="99"/>
      <c r="IIH12377" s="100"/>
      <c r="III12377" s="205"/>
      <c r="IIJ12377" s="149"/>
      <c r="IIK12377" s="102"/>
      <c r="IIL12377" s="101"/>
      <c r="IIM12377" s="99"/>
      <c r="IIN12377" s="100"/>
      <c r="IIO12377" s="205"/>
      <c r="IIP12377" s="149"/>
      <c r="IIQ12377" s="102"/>
      <c r="IIR12377" s="101"/>
      <c r="IIS12377" s="99"/>
      <c r="IIT12377" s="100"/>
      <c r="IIU12377" s="205"/>
      <c r="IIV12377" s="149"/>
      <c r="IIW12377" s="102"/>
      <c r="IIX12377" s="101"/>
      <c r="IIY12377" s="99"/>
      <c r="IIZ12377" s="100"/>
      <c r="IJA12377" s="205"/>
      <c r="IJB12377" s="149"/>
      <c r="IJC12377" s="102"/>
      <c r="IJD12377" s="101"/>
      <c r="IJE12377" s="99"/>
      <c r="IJF12377" s="100"/>
      <c r="IJG12377" s="205"/>
      <c r="IJH12377" s="149"/>
      <c r="IJI12377" s="102"/>
      <c r="IJJ12377" s="101"/>
      <c r="IJK12377" s="99"/>
      <c r="IJL12377" s="100"/>
      <c r="IJM12377" s="205"/>
      <c r="IJN12377" s="149"/>
      <c r="IJO12377" s="102"/>
      <c r="IJP12377" s="101"/>
      <c r="IJQ12377" s="99"/>
      <c r="IJR12377" s="100"/>
      <c r="IJS12377" s="205"/>
      <c r="IJT12377" s="149"/>
      <c r="IJU12377" s="102"/>
      <c r="IJV12377" s="101"/>
      <c r="IJW12377" s="99"/>
      <c r="IJX12377" s="100"/>
      <c r="IJY12377" s="205"/>
      <c r="IJZ12377" s="149"/>
      <c r="IKA12377" s="102"/>
      <c r="IKB12377" s="101"/>
      <c r="IKC12377" s="99"/>
      <c r="IKD12377" s="100"/>
      <c r="IKE12377" s="205"/>
      <c r="IKF12377" s="149"/>
      <c r="IKG12377" s="102"/>
      <c r="IKH12377" s="101"/>
      <c r="IKI12377" s="99"/>
      <c r="IKJ12377" s="100"/>
      <c r="IKK12377" s="205"/>
      <c r="IKL12377" s="149"/>
      <c r="IKM12377" s="102"/>
      <c r="IKN12377" s="101"/>
      <c r="IKO12377" s="99"/>
      <c r="IKP12377" s="100"/>
      <c r="IKQ12377" s="205"/>
      <c r="IKR12377" s="149"/>
      <c r="IKS12377" s="102"/>
      <c r="IKT12377" s="101"/>
      <c r="IKU12377" s="99"/>
      <c r="IKV12377" s="100"/>
      <c r="IKW12377" s="205"/>
      <c r="IKX12377" s="149"/>
      <c r="IKY12377" s="102"/>
      <c r="IKZ12377" s="101"/>
      <c r="ILA12377" s="99"/>
      <c r="ILB12377" s="100"/>
      <c r="ILC12377" s="205"/>
      <c r="ILD12377" s="149"/>
      <c r="ILE12377" s="102"/>
      <c r="ILF12377" s="101"/>
      <c r="ILG12377" s="99"/>
      <c r="ILH12377" s="100"/>
      <c r="ILI12377" s="205"/>
      <c r="ILJ12377" s="149"/>
      <c r="ILK12377" s="102"/>
      <c r="ILL12377" s="101"/>
      <c r="ILM12377" s="99"/>
      <c r="ILN12377" s="100"/>
      <c r="ILO12377" s="205"/>
      <c r="ILP12377" s="149"/>
      <c r="ILQ12377" s="102"/>
      <c r="ILR12377" s="101"/>
      <c r="ILS12377" s="99"/>
      <c r="ILT12377" s="100"/>
      <c r="ILU12377" s="205"/>
      <c r="ILV12377" s="149"/>
      <c r="ILW12377" s="102"/>
      <c r="ILX12377" s="101"/>
      <c r="ILY12377" s="99"/>
      <c r="ILZ12377" s="100"/>
      <c r="IMA12377" s="205"/>
      <c r="IMB12377" s="149"/>
      <c r="IMC12377" s="102"/>
      <c r="IMD12377" s="101"/>
      <c r="IME12377" s="99"/>
      <c r="IMF12377" s="100"/>
      <c r="IMG12377" s="205"/>
      <c r="IMH12377" s="149"/>
      <c r="IMI12377" s="102"/>
      <c r="IMJ12377" s="101"/>
      <c r="IMK12377" s="99"/>
      <c r="IML12377" s="100"/>
      <c r="IMM12377" s="205"/>
      <c r="IMN12377" s="149"/>
      <c r="IMO12377" s="102"/>
      <c r="IMP12377" s="101"/>
      <c r="IMQ12377" s="99"/>
      <c r="IMR12377" s="100"/>
      <c r="IMS12377" s="205"/>
      <c r="IMT12377" s="149"/>
      <c r="IMU12377" s="102"/>
      <c r="IMV12377" s="101"/>
      <c r="IMW12377" s="99"/>
      <c r="IMX12377" s="100"/>
      <c r="IMY12377" s="205"/>
      <c r="IMZ12377" s="149"/>
      <c r="INA12377" s="102"/>
      <c r="INB12377" s="101"/>
      <c r="INC12377" s="99"/>
      <c r="IND12377" s="100"/>
      <c r="INE12377" s="205"/>
      <c r="INF12377" s="149"/>
      <c r="ING12377" s="102"/>
      <c r="INH12377" s="101"/>
      <c r="INI12377" s="99"/>
      <c r="INJ12377" s="100"/>
      <c r="INK12377" s="205"/>
      <c r="INL12377" s="149"/>
      <c r="INM12377" s="102"/>
      <c r="INN12377" s="101"/>
      <c r="INO12377" s="99"/>
      <c r="INP12377" s="100"/>
      <c r="INQ12377" s="205"/>
      <c r="INR12377" s="149"/>
      <c r="INS12377" s="102"/>
      <c r="INT12377" s="101"/>
      <c r="INU12377" s="99"/>
      <c r="INV12377" s="100"/>
      <c r="INW12377" s="205"/>
      <c r="INX12377" s="149"/>
      <c r="INY12377" s="102"/>
      <c r="INZ12377" s="101"/>
      <c r="IOA12377" s="99"/>
      <c r="IOB12377" s="100"/>
      <c r="IOC12377" s="205"/>
      <c r="IOD12377" s="149"/>
      <c r="IOE12377" s="102"/>
      <c r="IOF12377" s="101"/>
      <c r="IOG12377" s="99"/>
      <c r="IOH12377" s="100"/>
      <c r="IOI12377" s="205"/>
      <c r="IOJ12377" s="149"/>
      <c r="IOK12377" s="102"/>
      <c r="IOL12377" s="101"/>
      <c r="IOM12377" s="99"/>
      <c r="ION12377" s="100"/>
      <c r="IOO12377" s="205"/>
      <c r="IOP12377" s="149"/>
      <c r="IOQ12377" s="102"/>
      <c r="IOR12377" s="101"/>
      <c r="IOS12377" s="99"/>
      <c r="IOT12377" s="100"/>
      <c r="IOU12377" s="205"/>
      <c r="IOV12377" s="149"/>
      <c r="IOW12377" s="102"/>
      <c r="IOX12377" s="101"/>
      <c r="IOY12377" s="99"/>
      <c r="IOZ12377" s="100"/>
      <c r="IPA12377" s="205"/>
      <c r="IPB12377" s="149"/>
      <c r="IPC12377" s="102"/>
      <c r="IPD12377" s="101"/>
      <c r="IPE12377" s="99"/>
      <c r="IPF12377" s="100"/>
      <c r="IPG12377" s="205"/>
      <c r="IPH12377" s="149"/>
      <c r="IPI12377" s="102"/>
      <c r="IPJ12377" s="101"/>
      <c r="IPK12377" s="99"/>
      <c r="IPL12377" s="100"/>
      <c r="IPM12377" s="205"/>
      <c r="IPN12377" s="149"/>
      <c r="IPO12377" s="102"/>
      <c r="IPP12377" s="101"/>
      <c r="IPQ12377" s="99"/>
      <c r="IPR12377" s="100"/>
      <c r="IPS12377" s="205"/>
      <c r="IPT12377" s="149"/>
      <c r="IPU12377" s="102"/>
      <c r="IPV12377" s="101"/>
      <c r="IPW12377" s="99"/>
      <c r="IPX12377" s="100"/>
      <c r="IPY12377" s="205"/>
      <c r="IPZ12377" s="149"/>
      <c r="IQA12377" s="102"/>
      <c r="IQB12377" s="101"/>
      <c r="IQC12377" s="99"/>
      <c r="IQD12377" s="100"/>
      <c r="IQE12377" s="205"/>
      <c r="IQF12377" s="149"/>
      <c r="IQG12377" s="102"/>
      <c r="IQH12377" s="101"/>
      <c r="IQI12377" s="99"/>
      <c r="IQJ12377" s="100"/>
      <c r="IQK12377" s="205"/>
      <c r="IQL12377" s="149"/>
      <c r="IQM12377" s="102"/>
      <c r="IQN12377" s="101"/>
      <c r="IQO12377" s="99"/>
      <c r="IQP12377" s="100"/>
      <c r="IQQ12377" s="205"/>
      <c r="IQR12377" s="149"/>
      <c r="IQS12377" s="102"/>
      <c r="IQT12377" s="101"/>
      <c r="IQU12377" s="99"/>
      <c r="IQV12377" s="100"/>
      <c r="IQW12377" s="205"/>
      <c r="IQX12377" s="149"/>
      <c r="IQY12377" s="102"/>
      <c r="IQZ12377" s="101"/>
      <c r="IRA12377" s="99"/>
      <c r="IRB12377" s="100"/>
      <c r="IRC12377" s="205"/>
      <c r="IRD12377" s="149"/>
      <c r="IRE12377" s="102"/>
      <c r="IRF12377" s="101"/>
      <c r="IRG12377" s="99"/>
      <c r="IRH12377" s="100"/>
      <c r="IRI12377" s="205"/>
      <c r="IRJ12377" s="149"/>
      <c r="IRK12377" s="102"/>
      <c r="IRL12377" s="101"/>
      <c r="IRM12377" s="99"/>
      <c r="IRN12377" s="100"/>
      <c r="IRO12377" s="205"/>
      <c r="IRP12377" s="149"/>
      <c r="IRQ12377" s="102"/>
      <c r="IRR12377" s="101"/>
      <c r="IRS12377" s="99"/>
      <c r="IRT12377" s="100"/>
      <c r="IRU12377" s="205"/>
      <c r="IRV12377" s="149"/>
      <c r="IRW12377" s="102"/>
      <c r="IRX12377" s="101"/>
      <c r="IRY12377" s="99"/>
      <c r="IRZ12377" s="100"/>
      <c r="ISA12377" s="205"/>
      <c r="ISB12377" s="149"/>
      <c r="ISC12377" s="102"/>
      <c r="ISD12377" s="101"/>
      <c r="ISE12377" s="99"/>
      <c r="ISF12377" s="100"/>
      <c r="ISG12377" s="205"/>
      <c r="ISH12377" s="149"/>
      <c r="ISI12377" s="102"/>
      <c r="ISJ12377" s="101"/>
      <c r="ISK12377" s="99"/>
      <c r="ISL12377" s="100"/>
      <c r="ISM12377" s="205"/>
      <c r="ISN12377" s="149"/>
      <c r="ISO12377" s="102"/>
      <c r="ISP12377" s="101"/>
      <c r="ISQ12377" s="99"/>
      <c r="ISR12377" s="100"/>
      <c r="ISS12377" s="205"/>
      <c r="IST12377" s="149"/>
      <c r="ISU12377" s="102"/>
      <c r="ISV12377" s="101"/>
      <c r="ISW12377" s="99"/>
      <c r="ISX12377" s="100"/>
      <c r="ISY12377" s="205"/>
      <c r="ISZ12377" s="149"/>
      <c r="ITA12377" s="102"/>
      <c r="ITB12377" s="101"/>
      <c r="ITC12377" s="99"/>
      <c r="ITD12377" s="100"/>
      <c r="ITE12377" s="205"/>
      <c r="ITF12377" s="149"/>
      <c r="ITG12377" s="102"/>
      <c r="ITH12377" s="101"/>
      <c r="ITI12377" s="99"/>
      <c r="ITJ12377" s="100"/>
      <c r="ITK12377" s="205"/>
      <c r="ITL12377" s="149"/>
      <c r="ITM12377" s="102"/>
      <c r="ITN12377" s="101"/>
      <c r="ITO12377" s="99"/>
      <c r="ITP12377" s="100"/>
      <c r="ITQ12377" s="205"/>
      <c r="ITR12377" s="149"/>
      <c r="ITS12377" s="102"/>
      <c r="ITT12377" s="101"/>
      <c r="ITU12377" s="99"/>
      <c r="ITV12377" s="100"/>
      <c r="ITW12377" s="205"/>
      <c r="ITX12377" s="149"/>
      <c r="ITY12377" s="102"/>
      <c r="ITZ12377" s="101"/>
      <c r="IUA12377" s="99"/>
      <c r="IUB12377" s="100"/>
      <c r="IUC12377" s="205"/>
      <c r="IUD12377" s="149"/>
      <c r="IUE12377" s="102"/>
      <c r="IUF12377" s="101"/>
      <c r="IUG12377" s="99"/>
      <c r="IUH12377" s="100"/>
      <c r="IUI12377" s="205"/>
      <c r="IUJ12377" s="149"/>
      <c r="IUK12377" s="102"/>
      <c r="IUL12377" s="101"/>
      <c r="IUM12377" s="99"/>
      <c r="IUN12377" s="100"/>
      <c r="IUO12377" s="205"/>
      <c r="IUP12377" s="149"/>
      <c r="IUQ12377" s="102"/>
      <c r="IUR12377" s="101"/>
      <c r="IUS12377" s="99"/>
      <c r="IUT12377" s="100"/>
      <c r="IUU12377" s="205"/>
      <c r="IUV12377" s="149"/>
      <c r="IUW12377" s="102"/>
      <c r="IUX12377" s="101"/>
      <c r="IUY12377" s="99"/>
      <c r="IUZ12377" s="100"/>
      <c r="IVA12377" s="205"/>
      <c r="IVB12377" s="149"/>
      <c r="IVC12377" s="102"/>
      <c r="IVD12377" s="101"/>
      <c r="IVE12377" s="99"/>
      <c r="IVF12377" s="100"/>
      <c r="IVG12377" s="205"/>
      <c r="IVH12377" s="149"/>
      <c r="IVI12377" s="102"/>
      <c r="IVJ12377" s="101"/>
      <c r="IVK12377" s="99"/>
      <c r="IVL12377" s="100"/>
      <c r="IVM12377" s="205"/>
      <c r="IVN12377" s="149"/>
      <c r="IVO12377" s="102"/>
      <c r="IVP12377" s="101"/>
      <c r="IVQ12377" s="99"/>
      <c r="IVR12377" s="100"/>
      <c r="IVS12377" s="205"/>
      <c r="IVT12377" s="149"/>
      <c r="IVU12377" s="102"/>
      <c r="IVV12377" s="101"/>
      <c r="IVW12377" s="99"/>
      <c r="IVX12377" s="100"/>
      <c r="IVY12377" s="205"/>
      <c r="IVZ12377" s="149"/>
      <c r="IWA12377" s="102"/>
      <c r="IWB12377" s="101"/>
      <c r="IWC12377" s="99"/>
      <c r="IWD12377" s="100"/>
      <c r="IWE12377" s="205"/>
      <c r="IWF12377" s="149"/>
      <c r="IWG12377" s="102"/>
      <c r="IWH12377" s="101"/>
      <c r="IWI12377" s="99"/>
      <c r="IWJ12377" s="100"/>
      <c r="IWK12377" s="205"/>
      <c r="IWL12377" s="149"/>
      <c r="IWM12377" s="102"/>
      <c r="IWN12377" s="101"/>
      <c r="IWO12377" s="99"/>
      <c r="IWP12377" s="100"/>
      <c r="IWQ12377" s="205"/>
      <c r="IWR12377" s="149"/>
      <c r="IWS12377" s="102"/>
      <c r="IWT12377" s="101"/>
      <c r="IWU12377" s="99"/>
      <c r="IWV12377" s="100"/>
      <c r="IWW12377" s="205"/>
      <c r="IWX12377" s="149"/>
      <c r="IWY12377" s="102"/>
      <c r="IWZ12377" s="101"/>
      <c r="IXA12377" s="99"/>
      <c r="IXB12377" s="100"/>
      <c r="IXC12377" s="205"/>
      <c r="IXD12377" s="149"/>
      <c r="IXE12377" s="102"/>
      <c r="IXF12377" s="101"/>
      <c r="IXG12377" s="99"/>
      <c r="IXH12377" s="100"/>
      <c r="IXI12377" s="205"/>
      <c r="IXJ12377" s="149"/>
      <c r="IXK12377" s="102"/>
      <c r="IXL12377" s="101"/>
      <c r="IXM12377" s="99"/>
      <c r="IXN12377" s="100"/>
      <c r="IXO12377" s="205"/>
      <c r="IXP12377" s="149"/>
      <c r="IXQ12377" s="102"/>
      <c r="IXR12377" s="101"/>
      <c r="IXS12377" s="99"/>
      <c r="IXT12377" s="100"/>
      <c r="IXU12377" s="205"/>
      <c r="IXV12377" s="149"/>
      <c r="IXW12377" s="102"/>
      <c r="IXX12377" s="101"/>
      <c r="IXY12377" s="99"/>
      <c r="IXZ12377" s="100"/>
      <c r="IYA12377" s="205"/>
      <c r="IYB12377" s="149"/>
      <c r="IYC12377" s="102"/>
      <c r="IYD12377" s="101"/>
      <c r="IYE12377" s="99"/>
      <c r="IYF12377" s="100"/>
      <c r="IYG12377" s="205"/>
      <c r="IYH12377" s="149"/>
      <c r="IYI12377" s="102"/>
      <c r="IYJ12377" s="101"/>
      <c r="IYK12377" s="99"/>
      <c r="IYL12377" s="100"/>
      <c r="IYM12377" s="205"/>
      <c r="IYN12377" s="149"/>
      <c r="IYO12377" s="102"/>
      <c r="IYP12377" s="101"/>
      <c r="IYQ12377" s="99"/>
      <c r="IYR12377" s="100"/>
      <c r="IYS12377" s="205"/>
      <c r="IYT12377" s="149"/>
      <c r="IYU12377" s="102"/>
      <c r="IYV12377" s="101"/>
      <c r="IYW12377" s="99"/>
      <c r="IYX12377" s="100"/>
      <c r="IYY12377" s="205"/>
      <c r="IYZ12377" s="149"/>
      <c r="IZA12377" s="102"/>
      <c r="IZB12377" s="101"/>
      <c r="IZC12377" s="99"/>
      <c r="IZD12377" s="100"/>
      <c r="IZE12377" s="205"/>
      <c r="IZF12377" s="149"/>
      <c r="IZG12377" s="102"/>
      <c r="IZH12377" s="101"/>
      <c r="IZI12377" s="99"/>
      <c r="IZJ12377" s="100"/>
      <c r="IZK12377" s="205"/>
      <c r="IZL12377" s="149"/>
      <c r="IZM12377" s="102"/>
      <c r="IZN12377" s="101"/>
      <c r="IZO12377" s="99"/>
      <c r="IZP12377" s="100"/>
      <c r="IZQ12377" s="205"/>
      <c r="IZR12377" s="149"/>
      <c r="IZS12377" s="102"/>
      <c r="IZT12377" s="101"/>
      <c r="IZU12377" s="99"/>
      <c r="IZV12377" s="100"/>
      <c r="IZW12377" s="205"/>
      <c r="IZX12377" s="149"/>
      <c r="IZY12377" s="102"/>
      <c r="IZZ12377" s="101"/>
      <c r="JAA12377" s="99"/>
      <c r="JAB12377" s="100"/>
      <c r="JAC12377" s="205"/>
      <c r="JAD12377" s="149"/>
      <c r="JAE12377" s="102"/>
      <c r="JAF12377" s="101"/>
      <c r="JAG12377" s="99"/>
      <c r="JAH12377" s="100"/>
      <c r="JAI12377" s="205"/>
      <c r="JAJ12377" s="149"/>
      <c r="JAK12377" s="102"/>
      <c r="JAL12377" s="101"/>
      <c r="JAM12377" s="99"/>
      <c r="JAN12377" s="100"/>
      <c r="JAO12377" s="205"/>
      <c r="JAP12377" s="149"/>
      <c r="JAQ12377" s="102"/>
      <c r="JAR12377" s="101"/>
      <c r="JAS12377" s="99"/>
      <c r="JAT12377" s="100"/>
      <c r="JAU12377" s="205"/>
      <c r="JAV12377" s="149"/>
      <c r="JAW12377" s="102"/>
      <c r="JAX12377" s="101"/>
      <c r="JAY12377" s="99"/>
      <c r="JAZ12377" s="100"/>
      <c r="JBA12377" s="205"/>
      <c r="JBB12377" s="149"/>
      <c r="JBC12377" s="102"/>
      <c r="JBD12377" s="101"/>
      <c r="JBE12377" s="99"/>
      <c r="JBF12377" s="100"/>
      <c r="JBG12377" s="205"/>
      <c r="JBH12377" s="149"/>
      <c r="JBI12377" s="102"/>
      <c r="JBJ12377" s="101"/>
      <c r="JBK12377" s="99"/>
      <c r="JBL12377" s="100"/>
      <c r="JBM12377" s="205"/>
      <c r="JBN12377" s="149"/>
      <c r="JBO12377" s="102"/>
      <c r="JBP12377" s="101"/>
      <c r="JBQ12377" s="99"/>
      <c r="JBR12377" s="100"/>
      <c r="JBS12377" s="205"/>
      <c r="JBT12377" s="149"/>
      <c r="JBU12377" s="102"/>
      <c r="JBV12377" s="101"/>
      <c r="JBW12377" s="99"/>
      <c r="JBX12377" s="100"/>
      <c r="JBY12377" s="205"/>
      <c r="JBZ12377" s="149"/>
      <c r="JCA12377" s="102"/>
      <c r="JCB12377" s="101"/>
      <c r="JCC12377" s="99"/>
      <c r="JCD12377" s="100"/>
      <c r="JCE12377" s="205"/>
      <c r="JCF12377" s="149"/>
      <c r="JCG12377" s="102"/>
      <c r="JCH12377" s="101"/>
      <c r="JCI12377" s="99"/>
      <c r="JCJ12377" s="100"/>
      <c r="JCK12377" s="205"/>
      <c r="JCL12377" s="149"/>
      <c r="JCM12377" s="102"/>
      <c r="JCN12377" s="101"/>
      <c r="JCO12377" s="99"/>
      <c r="JCP12377" s="100"/>
      <c r="JCQ12377" s="205"/>
      <c r="JCR12377" s="149"/>
      <c r="JCS12377" s="102"/>
      <c r="JCT12377" s="101"/>
      <c r="JCU12377" s="99"/>
      <c r="JCV12377" s="100"/>
      <c r="JCW12377" s="205"/>
      <c r="JCX12377" s="149"/>
      <c r="JCY12377" s="102"/>
      <c r="JCZ12377" s="101"/>
      <c r="JDA12377" s="99"/>
      <c r="JDB12377" s="100"/>
      <c r="JDC12377" s="205"/>
      <c r="JDD12377" s="149"/>
      <c r="JDE12377" s="102"/>
      <c r="JDF12377" s="101"/>
      <c r="JDG12377" s="99"/>
      <c r="JDH12377" s="100"/>
      <c r="JDI12377" s="205"/>
      <c r="JDJ12377" s="149"/>
      <c r="JDK12377" s="102"/>
      <c r="JDL12377" s="101"/>
      <c r="JDM12377" s="99"/>
      <c r="JDN12377" s="100"/>
      <c r="JDO12377" s="205"/>
      <c r="JDP12377" s="149"/>
      <c r="JDQ12377" s="102"/>
      <c r="JDR12377" s="101"/>
      <c r="JDS12377" s="99"/>
      <c r="JDT12377" s="100"/>
      <c r="JDU12377" s="205"/>
      <c r="JDV12377" s="149"/>
      <c r="JDW12377" s="102"/>
      <c r="JDX12377" s="101"/>
      <c r="JDY12377" s="99"/>
      <c r="JDZ12377" s="100"/>
      <c r="JEA12377" s="205"/>
      <c r="JEB12377" s="149"/>
      <c r="JEC12377" s="102"/>
      <c r="JED12377" s="101"/>
      <c r="JEE12377" s="99"/>
      <c r="JEF12377" s="100"/>
      <c r="JEG12377" s="205"/>
      <c r="JEH12377" s="149"/>
      <c r="JEI12377" s="102"/>
      <c r="JEJ12377" s="101"/>
      <c r="JEK12377" s="99"/>
      <c r="JEL12377" s="100"/>
      <c r="JEM12377" s="205"/>
      <c r="JEN12377" s="149"/>
      <c r="JEO12377" s="102"/>
      <c r="JEP12377" s="101"/>
      <c r="JEQ12377" s="99"/>
      <c r="JER12377" s="100"/>
      <c r="JES12377" s="205"/>
      <c r="JET12377" s="149"/>
      <c r="JEU12377" s="102"/>
      <c r="JEV12377" s="101"/>
      <c r="JEW12377" s="99"/>
      <c r="JEX12377" s="100"/>
      <c r="JEY12377" s="205"/>
      <c r="JEZ12377" s="149"/>
      <c r="JFA12377" s="102"/>
      <c r="JFB12377" s="101"/>
      <c r="JFC12377" s="99"/>
      <c r="JFD12377" s="100"/>
      <c r="JFE12377" s="205"/>
      <c r="JFF12377" s="149"/>
      <c r="JFG12377" s="102"/>
      <c r="JFH12377" s="101"/>
      <c r="JFI12377" s="99"/>
      <c r="JFJ12377" s="100"/>
      <c r="JFK12377" s="205"/>
      <c r="JFL12377" s="149"/>
      <c r="JFM12377" s="102"/>
      <c r="JFN12377" s="101"/>
      <c r="JFO12377" s="99"/>
      <c r="JFP12377" s="100"/>
      <c r="JFQ12377" s="205"/>
      <c r="JFR12377" s="149"/>
      <c r="JFS12377" s="102"/>
      <c r="JFT12377" s="101"/>
      <c r="JFU12377" s="99"/>
      <c r="JFV12377" s="100"/>
      <c r="JFW12377" s="205"/>
      <c r="JFX12377" s="149"/>
      <c r="JFY12377" s="102"/>
      <c r="JFZ12377" s="101"/>
      <c r="JGA12377" s="99"/>
      <c r="JGB12377" s="100"/>
      <c r="JGC12377" s="205"/>
      <c r="JGD12377" s="149"/>
      <c r="JGE12377" s="102"/>
      <c r="JGF12377" s="101"/>
      <c r="JGG12377" s="99"/>
      <c r="JGH12377" s="100"/>
      <c r="JGI12377" s="205"/>
      <c r="JGJ12377" s="149"/>
      <c r="JGK12377" s="102"/>
      <c r="JGL12377" s="101"/>
      <c r="JGM12377" s="99"/>
      <c r="JGN12377" s="100"/>
      <c r="JGO12377" s="205"/>
      <c r="JGP12377" s="149"/>
      <c r="JGQ12377" s="102"/>
      <c r="JGR12377" s="101"/>
      <c r="JGS12377" s="99"/>
      <c r="JGT12377" s="100"/>
      <c r="JGU12377" s="205"/>
      <c r="JGV12377" s="149"/>
      <c r="JGW12377" s="102"/>
      <c r="JGX12377" s="101"/>
      <c r="JGY12377" s="99"/>
      <c r="JGZ12377" s="100"/>
      <c r="JHA12377" s="205"/>
      <c r="JHB12377" s="149"/>
      <c r="JHC12377" s="102"/>
      <c r="JHD12377" s="101"/>
      <c r="JHE12377" s="99"/>
      <c r="JHF12377" s="100"/>
      <c r="JHG12377" s="205"/>
      <c r="JHH12377" s="149"/>
      <c r="JHI12377" s="102"/>
      <c r="JHJ12377" s="101"/>
      <c r="JHK12377" s="99"/>
      <c r="JHL12377" s="100"/>
      <c r="JHM12377" s="205"/>
      <c r="JHN12377" s="149"/>
      <c r="JHO12377" s="102"/>
      <c r="JHP12377" s="101"/>
      <c r="JHQ12377" s="99"/>
      <c r="JHR12377" s="100"/>
      <c r="JHS12377" s="205"/>
      <c r="JHT12377" s="149"/>
      <c r="JHU12377" s="102"/>
      <c r="JHV12377" s="101"/>
      <c r="JHW12377" s="99"/>
      <c r="JHX12377" s="100"/>
      <c r="JHY12377" s="205"/>
      <c r="JHZ12377" s="149"/>
      <c r="JIA12377" s="102"/>
      <c r="JIB12377" s="101"/>
      <c r="JIC12377" s="99"/>
      <c r="JID12377" s="100"/>
      <c r="JIE12377" s="205"/>
      <c r="JIF12377" s="149"/>
      <c r="JIG12377" s="102"/>
      <c r="JIH12377" s="101"/>
      <c r="JII12377" s="99"/>
      <c r="JIJ12377" s="100"/>
      <c r="JIK12377" s="205"/>
      <c r="JIL12377" s="149"/>
      <c r="JIM12377" s="102"/>
      <c r="JIN12377" s="101"/>
      <c r="JIO12377" s="99"/>
      <c r="JIP12377" s="100"/>
      <c r="JIQ12377" s="205"/>
      <c r="JIR12377" s="149"/>
      <c r="JIS12377" s="102"/>
      <c r="JIT12377" s="101"/>
      <c r="JIU12377" s="99"/>
      <c r="JIV12377" s="100"/>
      <c r="JIW12377" s="205"/>
      <c r="JIX12377" s="149"/>
      <c r="JIY12377" s="102"/>
      <c r="JIZ12377" s="101"/>
      <c r="JJA12377" s="99"/>
      <c r="JJB12377" s="100"/>
      <c r="JJC12377" s="205"/>
      <c r="JJD12377" s="149"/>
      <c r="JJE12377" s="102"/>
      <c r="JJF12377" s="101"/>
      <c r="JJG12377" s="99"/>
      <c r="JJH12377" s="100"/>
      <c r="JJI12377" s="205"/>
      <c r="JJJ12377" s="149"/>
      <c r="JJK12377" s="102"/>
      <c r="JJL12377" s="101"/>
      <c r="JJM12377" s="99"/>
      <c r="JJN12377" s="100"/>
      <c r="JJO12377" s="205"/>
      <c r="JJP12377" s="149"/>
      <c r="JJQ12377" s="102"/>
      <c r="JJR12377" s="101"/>
      <c r="JJS12377" s="99"/>
      <c r="JJT12377" s="100"/>
      <c r="JJU12377" s="205"/>
      <c r="JJV12377" s="149"/>
      <c r="JJW12377" s="102"/>
      <c r="JJX12377" s="101"/>
      <c r="JJY12377" s="99"/>
      <c r="JJZ12377" s="100"/>
      <c r="JKA12377" s="205"/>
      <c r="JKB12377" s="149"/>
      <c r="JKC12377" s="102"/>
      <c r="JKD12377" s="101"/>
      <c r="JKE12377" s="99"/>
      <c r="JKF12377" s="100"/>
      <c r="JKG12377" s="205"/>
      <c r="JKH12377" s="149"/>
      <c r="JKI12377" s="102"/>
      <c r="JKJ12377" s="101"/>
      <c r="JKK12377" s="99"/>
      <c r="JKL12377" s="100"/>
      <c r="JKM12377" s="205"/>
      <c r="JKN12377" s="149"/>
      <c r="JKO12377" s="102"/>
      <c r="JKP12377" s="101"/>
      <c r="JKQ12377" s="99"/>
      <c r="JKR12377" s="100"/>
      <c r="JKS12377" s="205"/>
      <c r="JKT12377" s="149"/>
      <c r="JKU12377" s="102"/>
      <c r="JKV12377" s="101"/>
      <c r="JKW12377" s="99"/>
      <c r="JKX12377" s="100"/>
      <c r="JKY12377" s="205"/>
      <c r="JKZ12377" s="149"/>
      <c r="JLA12377" s="102"/>
      <c r="JLB12377" s="101"/>
      <c r="JLC12377" s="99"/>
      <c r="JLD12377" s="100"/>
      <c r="JLE12377" s="205"/>
      <c r="JLF12377" s="149"/>
      <c r="JLG12377" s="102"/>
      <c r="JLH12377" s="101"/>
      <c r="JLI12377" s="99"/>
      <c r="JLJ12377" s="100"/>
      <c r="JLK12377" s="205"/>
      <c r="JLL12377" s="149"/>
      <c r="JLM12377" s="102"/>
      <c r="JLN12377" s="101"/>
      <c r="JLO12377" s="99"/>
      <c r="JLP12377" s="100"/>
      <c r="JLQ12377" s="205"/>
      <c r="JLR12377" s="149"/>
      <c r="JLS12377" s="102"/>
      <c r="JLT12377" s="101"/>
      <c r="JLU12377" s="99"/>
      <c r="JLV12377" s="100"/>
      <c r="JLW12377" s="205"/>
      <c r="JLX12377" s="149"/>
      <c r="JLY12377" s="102"/>
      <c r="JLZ12377" s="101"/>
      <c r="JMA12377" s="99"/>
      <c r="JMB12377" s="100"/>
      <c r="JMC12377" s="205"/>
      <c r="JMD12377" s="149"/>
      <c r="JME12377" s="102"/>
      <c r="JMF12377" s="101"/>
      <c r="JMG12377" s="99"/>
      <c r="JMH12377" s="100"/>
      <c r="JMI12377" s="205"/>
      <c r="JMJ12377" s="149"/>
      <c r="JMK12377" s="102"/>
      <c r="JML12377" s="101"/>
      <c r="JMM12377" s="99"/>
      <c r="JMN12377" s="100"/>
      <c r="JMO12377" s="205"/>
      <c r="JMP12377" s="149"/>
      <c r="JMQ12377" s="102"/>
      <c r="JMR12377" s="101"/>
      <c r="JMS12377" s="99"/>
      <c r="JMT12377" s="100"/>
      <c r="JMU12377" s="205"/>
      <c r="JMV12377" s="149"/>
      <c r="JMW12377" s="102"/>
      <c r="JMX12377" s="101"/>
      <c r="JMY12377" s="99"/>
      <c r="JMZ12377" s="100"/>
      <c r="JNA12377" s="205"/>
      <c r="JNB12377" s="149"/>
      <c r="JNC12377" s="102"/>
      <c r="JND12377" s="101"/>
      <c r="JNE12377" s="99"/>
      <c r="JNF12377" s="100"/>
      <c r="JNG12377" s="205"/>
      <c r="JNH12377" s="149"/>
      <c r="JNI12377" s="102"/>
      <c r="JNJ12377" s="101"/>
      <c r="JNK12377" s="99"/>
      <c r="JNL12377" s="100"/>
      <c r="JNM12377" s="205"/>
      <c r="JNN12377" s="149"/>
      <c r="JNO12377" s="102"/>
      <c r="JNP12377" s="101"/>
      <c r="JNQ12377" s="99"/>
      <c r="JNR12377" s="100"/>
      <c r="JNS12377" s="205"/>
      <c r="JNT12377" s="149"/>
      <c r="JNU12377" s="102"/>
      <c r="JNV12377" s="101"/>
      <c r="JNW12377" s="99"/>
      <c r="JNX12377" s="100"/>
      <c r="JNY12377" s="205"/>
      <c r="JNZ12377" s="149"/>
      <c r="JOA12377" s="102"/>
      <c r="JOB12377" s="101"/>
      <c r="JOC12377" s="99"/>
      <c r="JOD12377" s="100"/>
      <c r="JOE12377" s="205"/>
      <c r="JOF12377" s="149"/>
      <c r="JOG12377" s="102"/>
      <c r="JOH12377" s="101"/>
      <c r="JOI12377" s="99"/>
      <c r="JOJ12377" s="100"/>
      <c r="JOK12377" s="205"/>
      <c r="JOL12377" s="149"/>
      <c r="JOM12377" s="102"/>
      <c r="JON12377" s="101"/>
      <c r="JOO12377" s="99"/>
      <c r="JOP12377" s="100"/>
      <c r="JOQ12377" s="205"/>
      <c r="JOR12377" s="149"/>
      <c r="JOS12377" s="102"/>
      <c r="JOT12377" s="101"/>
      <c r="JOU12377" s="99"/>
      <c r="JOV12377" s="100"/>
      <c r="JOW12377" s="205"/>
      <c r="JOX12377" s="149"/>
      <c r="JOY12377" s="102"/>
      <c r="JOZ12377" s="101"/>
      <c r="JPA12377" s="99"/>
      <c r="JPB12377" s="100"/>
      <c r="JPC12377" s="205"/>
      <c r="JPD12377" s="149"/>
      <c r="JPE12377" s="102"/>
      <c r="JPF12377" s="101"/>
      <c r="JPG12377" s="99"/>
      <c r="JPH12377" s="100"/>
      <c r="JPI12377" s="205"/>
      <c r="JPJ12377" s="149"/>
      <c r="JPK12377" s="102"/>
      <c r="JPL12377" s="101"/>
      <c r="JPM12377" s="99"/>
      <c r="JPN12377" s="100"/>
      <c r="JPO12377" s="205"/>
      <c r="JPP12377" s="149"/>
      <c r="JPQ12377" s="102"/>
      <c r="JPR12377" s="101"/>
      <c r="JPS12377" s="99"/>
      <c r="JPT12377" s="100"/>
      <c r="JPU12377" s="205"/>
      <c r="JPV12377" s="149"/>
      <c r="JPW12377" s="102"/>
      <c r="JPX12377" s="101"/>
      <c r="JPY12377" s="99"/>
      <c r="JPZ12377" s="100"/>
      <c r="JQA12377" s="205"/>
      <c r="JQB12377" s="149"/>
      <c r="JQC12377" s="102"/>
      <c r="JQD12377" s="101"/>
      <c r="JQE12377" s="99"/>
      <c r="JQF12377" s="100"/>
      <c r="JQG12377" s="205"/>
      <c r="JQH12377" s="149"/>
      <c r="JQI12377" s="102"/>
      <c r="JQJ12377" s="101"/>
      <c r="JQK12377" s="99"/>
      <c r="JQL12377" s="100"/>
      <c r="JQM12377" s="205"/>
      <c r="JQN12377" s="149"/>
      <c r="JQO12377" s="102"/>
      <c r="JQP12377" s="101"/>
      <c r="JQQ12377" s="99"/>
      <c r="JQR12377" s="100"/>
      <c r="JQS12377" s="205"/>
      <c r="JQT12377" s="149"/>
      <c r="JQU12377" s="102"/>
      <c r="JQV12377" s="101"/>
      <c r="JQW12377" s="99"/>
      <c r="JQX12377" s="100"/>
      <c r="JQY12377" s="205"/>
      <c r="JQZ12377" s="149"/>
      <c r="JRA12377" s="102"/>
      <c r="JRB12377" s="101"/>
      <c r="JRC12377" s="99"/>
      <c r="JRD12377" s="100"/>
      <c r="JRE12377" s="205"/>
      <c r="JRF12377" s="149"/>
      <c r="JRG12377" s="102"/>
      <c r="JRH12377" s="101"/>
      <c r="JRI12377" s="99"/>
      <c r="JRJ12377" s="100"/>
      <c r="JRK12377" s="205"/>
      <c r="JRL12377" s="149"/>
      <c r="JRM12377" s="102"/>
      <c r="JRN12377" s="101"/>
      <c r="JRO12377" s="99"/>
      <c r="JRP12377" s="100"/>
      <c r="JRQ12377" s="205"/>
      <c r="JRR12377" s="149"/>
      <c r="JRS12377" s="102"/>
      <c r="JRT12377" s="101"/>
      <c r="JRU12377" s="99"/>
      <c r="JRV12377" s="100"/>
      <c r="JRW12377" s="205"/>
      <c r="JRX12377" s="149"/>
      <c r="JRY12377" s="102"/>
      <c r="JRZ12377" s="101"/>
      <c r="JSA12377" s="99"/>
      <c r="JSB12377" s="100"/>
      <c r="JSC12377" s="205"/>
      <c r="JSD12377" s="149"/>
      <c r="JSE12377" s="102"/>
      <c r="JSF12377" s="101"/>
      <c r="JSG12377" s="99"/>
      <c r="JSH12377" s="100"/>
      <c r="JSI12377" s="205"/>
      <c r="JSJ12377" s="149"/>
      <c r="JSK12377" s="102"/>
      <c r="JSL12377" s="101"/>
      <c r="JSM12377" s="99"/>
      <c r="JSN12377" s="100"/>
      <c r="JSO12377" s="205"/>
      <c r="JSP12377" s="149"/>
      <c r="JSQ12377" s="102"/>
      <c r="JSR12377" s="101"/>
      <c r="JSS12377" s="99"/>
      <c r="JST12377" s="100"/>
      <c r="JSU12377" s="205"/>
      <c r="JSV12377" s="149"/>
      <c r="JSW12377" s="102"/>
      <c r="JSX12377" s="101"/>
      <c r="JSY12377" s="99"/>
      <c r="JSZ12377" s="100"/>
      <c r="JTA12377" s="205"/>
      <c r="JTB12377" s="149"/>
      <c r="JTC12377" s="102"/>
      <c r="JTD12377" s="101"/>
      <c r="JTE12377" s="99"/>
      <c r="JTF12377" s="100"/>
      <c r="JTG12377" s="205"/>
      <c r="JTH12377" s="149"/>
      <c r="JTI12377" s="102"/>
      <c r="JTJ12377" s="101"/>
      <c r="JTK12377" s="99"/>
      <c r="JTL12377" s="100"/>
      <c r="JTM12377" s="205"/>
      <c r="JTN12377" s="149"/>
      <c r="JTO12377" s="102"/>
      <c r="JTP12377" s="101"/>
      <c r="JTQ12377" s="99"/>
      <c r="JTR12377" s="100"/>
      <c r="JTS12377" s="205"/>
      <c r="JTT12377" s="149"/>
      <c r="JTU12377" s="102"/>
      <c r="JTV12377" s="101"/>
      <c r="JTW12377" s="99"/>
      <c r="JTX12377" s="100"/>
      <c r="JTY12377" s="205"/>
      <c r="JTZ12377" s="149"/>
      <c r="JUA12377" s="102"/>
      <c r="JUB12377" s="101"/>
      <c r="JUC12377" s="99"/>
      <c r="JUD12377" s="100"/>
      <c r="JUE12377" s="205"/>
      <c r="JUF12377" s="149"/>
      <c r="JUG12377" s="102"/>
      <c r="JUH12377" s="101"/>
      <c r="JUI12377" s="99"/>
      <c r="JUJ12377" s="100"/>
      <c r="JUK12377" s="205"/>
      <c r="JUL12377" s="149"/>
      <c r="JUM12377" s="102"/>
      <c r="JUN12377" s="101"/>
      <c r="JUO12377" s="99"/>
      <c r="JUP12377" s="100"/>
      <c r="JUQ12377" s="205"/>
      <c r="JUR12377" s="149"/>
      <c r="JUS12377" s="102"/>
      <c r="JUT12377" s="101"/>
      <c r="JUU12377" s="99"/>
      <c r="JUV12377" s="100"/>
      <c r="JUW12377" s="205"/>
      <c r="JUX12377" s="149"/>
      <c r="JUY12377" s="102"/>
      <c r="JUZ12377" s="101"/>
      <c r="JVA12377" s="99"/>
      <c r="JVB12377" s="100"/>
      <c r="JVC12377" s="205"/>
      <c r="JVD12377" s="149"/>
      <c r="JVE12377" s="102"/>
      <c r="JVF12377" s="101"/>
      <c r="JVG12377" s="99"/>
      <c r="JVH12377" s="100"/>
      <c r="JVI12377" s="205"/>
      <c r="JVJ12377" s="149"/>
      <c r="JVK12377" s="102"/>
      <c r="JVL12377" s="101"/>
      <c r="JVM12377" s="99"/>
      <c r="JVN12377" s="100"/>
      <c r="JVO12377" s="205"/>
      <c r="JVP12377" s="149"/>
      <c r="JVQ12377" s="102"/>
      <c r="JVR12377" s="101"/>
      <c r="JVS12377" s="99"/>
      <c r="JVT12377" s="100"/>
      <c r="JVU12377" s="205"/>
      <c r="JVV12377" s="149"/>
      <c r="JVW12377" s="102"/>
      <c r="JVX12377" s="101"/>
      <c r="JVY12377" s="99"/>
      <c r="JVZ12377" s="100"/>
      <c r="JWA12377" s="205"/>
      <c r="JWB12377" s="149"/>
      <c r="JWC12377" s="102"/>
      <c r="JWD12377" s="101"/>
      <c r="JWE12377" s="99"/>
      <c r="JWF12377" s="100"/>
      <c r="JWG12377" s="205"/>
      <c r="JWH12377" s="149"/>
      <c r="JWI12377" s="102"/>
      <c r="JWJ12377" s="101"/>
      <c r="JWK12377" s="99"/>
      <c r="JWL12377" s="100"/>
      <c r="JWM12377" s="205"/>
      <c r="JWN12377" s="149"/>
      <c r="JWO12377" s="102"/>
      <c r="JWP12377" s="101"/>
      <c r="JWQ12377" s="99"/>
      <c r="JWR12377" s="100"/>
      <c r="JWS12377" s="205"/>
      <c r="JWT12377" s="149"/>
      <c r="JWU12377" s="102"/>
      <c r="JWV12377" s="101"/>
      <c r="JWW12377" s="99"/>
      <c r="JWX12377" s="100"/>
      <c r="JWY12377" s="205"/>
      <c r="JWZ12377" s="149"/>
      <c r="JXA12377" s="102"/>
      <c r="JXB12377" s="101"/>
      <c r="JXC12377" s="99"/>
      <c r="JXD12377" s="100"/>
      <c r="JXE12377" s="205"/>
      <c r="JXF12377" s="149"/>
      <c r="JXG12377" s="102"/>
      <c r="JXH12377" s="101"/>
      <c r="JXI12377" s="99"/>
      <c r="JXJ12377" s="100"/>
      <c r="JXK12377" s="205"/>
      <c r="JXL12377" s="149"/>
      <c r="JXM12377" s="102"/>
      <c r="JXN12377" s="101"/>
      <c r="JXO12377" s="99"/>
      <c r="JXP12377" s="100"/>
      <c r="JXQ12377" s="205"/>
      <c r="JXR12377" s="149"/>
      <c r="JXS12377" s="102"/>
      <c r="JXT12377" s="101"/>
      <c r="JXU12377" s="99"/>
      <c r="JXV12377" s="100"/>
      <c r="JXW12377" s="205"/>
      <c r="JXX12377" s="149"/>
      <c r="JXY12377" s="102"/>
      <c r="JXZ12377" s="101"/>
      <c r="JYA12377" s="99"/>
      <c r="JYB12377" s="100"/>
      <c r="JYC12377" s="205"/>
      <c r="JYD12377" s="149"/>
      <c r="JYE12377" s="102"/>
      <c r="JYF12377" s="101"/>
      <c r="JYG12377" s="99"/>
      <c r="JYH12377" s="100"/>
      <c r="JYI12377" s="205"/>
      <c r="JYJ12377" s="149"/>
      <c r="JYK12377" s="102"/>
      <c r="JYL12377" s="101"/>
      <c r="JYM12377" s="99"/>
      <c r="JYN12377" s="100"/>
      <c r="JYO12377" s="205"/>
      <c r="JYP12377" s="149"/>
      <c r="JYQ12377" s="102"/>
      <c r="JYR12377" s="101"/>
      <c r="JYS12377" s="99"/>
      <c r="JYT12377" s="100"/>
      <c r="JYU12377" s="205"/>
      <c r="JYV12377" s="149"/>
      <c r="JYW12377" s="102"/>
      <c r="JYX12377" s="101"/>
      <c r="JYY12377" s="99"/>
      <c r="JYZ12377" s="100"/>
      <c r="JZA12377" s="205"/>
      <c r="JZB12377" s="149"/>
      <c r="JZC12377" s="102"/>
      <c r="JZD12377" s="101"/>
      <c r="JZE12377" s="99"/>
      <c r="JZF12377" s="100"/>
      <c r="JZG12377" s="205"/>
      <c r="JZH12377" s="149"/>
      <c r="JZI12377" s="102"/>
      <c r="JZJ12377" s="101"/>
      <c r="JZK12377" s="99"/>
      <c r="JZL12377" s="100"/>
      <c r="JZM12377" s="205"/>
      <c r="JZN12377" s="149"/>
      <c r="JZO12377" s="102"/>
      <c r="JZP12377" s="101"/>
      <c r="JZQ12377" s="99"/>
      <c r="JZR12377" s="100"/>
      <c r="JZS12377" s="205"/>
      <c r="JZT12377" s="149"/>
      <c r="JZU12377" s="102"/>
      <c r="JZV12377" s="101"/>
      <c r="JZW12377" s="99"/>
      <c r="JZX12377" s="100"/>
      <c r="JZY12377" s="205"/>
      <c r="JZZ12377" s="149"/>
      <c r="KAA12377" s="102"/>
      <c r="KAB12377" s="101"/>
      <c r="KAC12377" s="99"/>
      <c r="KAD12377" s="100"/>
      <c r="KAE12377" s="205"/>
      <c r="KAF12377" s="149"/>
      <c r="KAG12377" s="102"/>
      <c r="KAH12377" s="101"/>
      <c r="KAI12377" s="99"/>
      <c r="KAJ12377" s="100"/>
      <c r="KAK12377" s="205"/>
      <c r="KAL12377" s="149"/>
      <c r="KAM12377" s="102"/>
      <c r="KAN12377" s="101"/>
      <c r="KAO12377" s="99"/>
      <c r="KAP12377" s="100"/>
      <c r="KAQ12377" s="205"/>
      <c r="KAR12377" s="149"/>
      <c r="KAS12377" s="102"/>
      <c r="KAT12377" s="101"/>
      <c r="KAU12377" s="99"/>
      <c r="KAV12377" s="100"/>
      <c r="KAW12377" s="205"/>
      <c r="KAX12377" s="149"/>
      <c r="KAY12377" s="102"/>
      <c r="KAZ12377" s="101"/>
      <c r="KBA12377" s="99"/>
      <c r="KBB12377" s="100"/>
      <c r="KBC12377" s="205"/>
      <c r="KBD12377" s="149"/>
      <c r="KBE12377" s="102"/>
      <c r="KBF12377" s="101"/>
      <c r="KBG12377" s="99"/>
      <c r="KBH12377" s="100"/>
      <c r="KBI12377" s="205"/>
      <c r="KBJ12377" s="149"/>
      <c r="KBK12377" s="102"/>
      <c r="KBL12377" s="101"/>
      <c r="KBM12377" s="99"/>
      <c r="KBN12377" s="100"/>
      <c r="KBO12377" s="205"/>
      <c r="KBP12377" s="149"/>
      <c r="KBQ12377" s="102"/>
      <c r="KBR12377" s="101"/>
      <c r="KBS12377" s="99"/>
      <c r="KBT12377" s="100"/>
      <c r="KBU12377" s="205"/>
      <c r="KBV12377" s="149"/>
      <c r="KBW12377" s="102"/>
      <c r="KBX12377" s="101"/>
      <c r="KBY12377" s="99"/>
      <c r="KBZ12377" s="100"/>
      <c r="KCA12377" s="205"/>
      <c r="KCB12377" s="149"/>
      <c r="KCC12377" s="102"/>
      <c r="KCD12377" s="101"/>
      <c r="KCE12377" s="99"/>
      <c r="KCF12377" s="100"/>
      <c r="KCG12377" s="205"/>
      <c r="KCH12377" s="149"/>
      <c r="KCI12377" s="102"/>
      <c r="KCJ12377" s="101"/>
      <c r="KCK12377" s="99"/>
      <c r="KCL12377" s="100"/>
      <c r="KCM12377" s="205"/>
      <c r="KCN12377" s="149"/>
      <c r="KCO12377" s="102"/>
      <c r="KCP12377" s="101"/>
      <c r="KCQ12377" s="99"/>
      <c r="KCR12377" s="100"/>
      <c r="KCS12377" s="205"/>
      <c r="KCT12377" s="149"/>
      <c r="KCU12377" s="102"/>
      <c r="KCV12377" s="101"/>
      <c r="KCW12377" s="99"/>
      <c r="KCX12377" s="100"/>
      <c r="KCY12377" s="205"/>
      <c r="KCZ12377" s="149"/>
      <c r="KDA12377" s="102"/>
      <c r="KDB12377" s="101"/>
      <c r="KDC12377" s="99"/>
      <c r="KDD12377" s="100"/>
      <c r="KDE12377" s="205"/>
      <c r="KDF12377" s="149"/>
      <c r="KDG12377" s="102"/>
      <c r="KDH12377" s="101"/>
      <c r="KDI12377" s="99"/>
      <c r="KDJ12377" s="100"/>
      <c r="KDK12377" s="205"/>
      <c r="KDL12377" s="149"/>
      <c r="KDM12377" s="102"/>
      <c r="KDN12377" s="101"/>
      <c r="KDO12377" s="99"/>
      <c r="KDP12377" s="100"/>
      <c r="KDQ12377" s="205"/>
      <c r="KDR12377" s="149"/>
      <c r="KDS12377" s="102"/>
      <c r="KDT12377" s="101"/>
      <c r="KDU12377" s="99"/>
      <c r="KDV12377" s="100"/>
      <c r="KDW12377" s="205"/>
      <c r="KDX12377" s="149"/>
      <c r="KDY12377" s="102"/>
      <c r="KDZ12377" s="101"/>
      <c r="KEA12377" s="99"/>
      <c r="KEB12377" s="100"/>
      <c r="KEC12377" s="205"/>
      <c r="KED12377" s="149"/>
      <c r="KEE12377" s="102"/>
      <c r="KEF12377" s="101"/>
      <c r="KEG12377" s="99"/>
      <c r="KEH12377" s="100"/>
      <c r="KEI12377" s="205"/>
      <c r="KEJ12377" s="149"/>
      <c r="KEK12377" s="102"/>
      <c r="KEL12377" s="101"/>
      <c r="KEM12377" s="99"/>
      <c r="KEN12377" s="100"/>
      <c r="KEO12377" s="205"/>
      <c r="KEP12377" s="149"/>
      <c r="KEQ12377" s="102"/>
      <c r="KER12377" s="101"/>
      <c r="KES12377" s="99"/>
      <c r="KET12377" s="100"/>
      <c r="KEU12377" s="205"/>
      <c r="KEV12377" s="149"/>
      <c r="KEW12377" s="102"/>
      <c r="KEX12377" s="101"/>
      <c r="KEY12377" s="99"/>
      <c r="KEZ12377" s="100"/>
      <c r="KFA12377" s="205"/>
      <c r="KFB12377" s="149"/>
      <c r="KFC12377" s="102"/>
      <c r="KFD12377" s="101"/>
      <c r="KFE12377" s="99"/>
      <c r="KFF12377" s="100"/>
      <c r="KFG12377" s="205"/>
      <c r="KFH12377" s="149"/>
      <c r="KFI12377" s="102"/>
      <c r="KFJ12377" s="101"/>
      <c r="KFK12377" s="99"/>
      <c r="KFL12377" s="100"/>
      <c r="KFM12377" s="205"/>
      <c r="KFN12377" s="149"/>
      <c r="KFO12377" s="102"/>
      <c r="KFP12377" s="101"/>
      <c r="KFQ12377" s="99"/>
      <c r="KFR12377" s="100"/>
      <c r="KFS12377" s="205"/>
      <c r="KFT12377" s="149"/>
      <c r="KFU12377" s="102"/>
      <c r="KFV12377" s="101"/>
      <c r="KFW12377" s="99"/>
      <c r="KFX12377" s="100"/>
      <c r="KFY12377" s="205"/>
      <c r="KFZ12377" s="149"/>
      <c r="KGA12377" s="102"/>
      <c r="KGB12377" s="101"/>
      <c r="KGC12377" s="99"/>
      <c r="KGD12377" s="100"/>
      <c r="KGE12377" s="205"/>
      <c r="KGF12377" s="149"/>
      <c r="KGG12377" s="102"/>
      <c r="KGH12377" s="101"/>
      <c r="KGI12377" s="99"/>
      <c r="KGJ12377" s="100"/>
      <c r="KGK12377" s="205"/>
      <c r="KGL12377" s="149"/>
      <c r="KGM12377" s="102"/>
      <c r="KGN12377" s="101"/>
      <c r="KGO12377" s="99"/>
      <c r="KGP12377" s="100"/>
      <c r="KGQ12377" s="205"/>
      <c r="KGR12377" s="149"/>
      <c r="KGS12377" s="102"/>
      <c r="KGT12377" s="101"/>
      <c r="KGU12377" s="99"/>
      <c r="KGV12377" s="100"/>
      <c r="KGW12377" s="205"/>
      <c r="KGX12377" s="149"/>
      <c r="KGY12377" s="102"/>
      <c r="KGZ12377" s="101"/>
      <c r="KHA12377" s="99"/>
      <c r="KHB12377" s="100"/>
      <c r="KHC12377" s="205"/>
      <c r="KHD12377" s="149"/>
      <c r="KHE12377" s="102"/>
      <c r="KHF12377" s="101"/>
      <c r="KHG12377" s="99"/>
      <c r="KHH12377" s="100"/>
      <c r="KHI12377" s="205"/>
      <c r="KHJ12377" s="149"/>
      <c r="KHK12377" s="102"/>
      <c r="KHL12377" s="101"/>
      <c r="KHM12377" s="99"/>
      <c r="KHN12377" s="100"/>
      <c r="KHO12377" s="205"/>
      <c r="KHP12377" s="149"/>
      <c r="KHQ12377" s="102"/>
      <c r="KHR12377" s="101"/>
      <c r="KHS12377" s="99"/>
      <c r="KHT12377" s="100"/>
      <c r="KHU12377" s="205"/>
      <c r="KHV12377" s="149"/>
      <c r="KHW12377" s="102"/>
      <c r="KHX12377" s="101"/>
      <c r="KHY12377" s="99"/>
      <c r="KHZ12377" s="100"/>
      <c r="KIA12377" s="205"/>
      <c r="KIB12377" s="149"/>
      <c r="KIC12377" s="102"/>
      <c r="KID12377" s="101"/>
      <c r="KIE12377" s="99"/>
      <c r="KIF12377" s="100"/>
      <c r="KIG12377" s="205"/>
      <c r="KIH12377" s="149"/>
      <c r="KII12377" s="102"/>
      <c r="KIJ12377" s="101"/>
      <c r="KIK12377" s="99"/>
      <c r="KIL12377" s="100"/>
      <c r="KIM12377" s="205"/>
      <c r="KIN12377" s="149"/>
      <c r="KIO12377" s="102"/>
      <c r="KIP12377" s="101"/>
      <c r="KIQ12377" s="99"/>
      <c r="KIR12377" s="100"/>
      <c r="KIS12377" s="205"/>
      <c r="KIT12377" s="149"/>
      <c r="KIU12377" s="102"/>
      <c r="KIV12377" s="101"/>
      <c r="KIW12377" s="99"/>
      <c r="KIX12377" s="100"/>
      <c r="KIY12377" s="205"/>
      <c r="KIZ12377" s="149"/>
      <c r="KJA12377" s="102"/>
      <c r="KJB12377" s="101"/>
      <c r="KJC12377" s="99"/>
      <c r="KJD12377" s="100"/>
      <c r="KJE12377" s="205"/>
      <c r="KJF12377" s="149"/>
      <c r="KJG12377" s="102"/>
      <c r="KJH12377" s="101"/>
      <c r="KJI12377" s="99"/>
      <c r="KJJ12377" s="100"/>
      <c r="KJK12377" s="205"/>
      <c r="KJL12377" s="149"/>
      <c r="KJM12377" s="102"/>
      <c r="KJN12377" s="101"/>
      <c r="KJO12377" s="99"/>
      <c r="KJP12377" s="100"/>
      <c r="KJQ12377" s="205"/>
      <c r="KJR12377" s="149"/>
      <c r="KJS12377" s="102"/>
      <c r="KJT12377" s="101"/>
      <c r="KJU12377" s="99"/>
      <c r="KJV12377" s="100"/>
      <c r="KJW12377" s="205"/>
      <c r="KJX12377" s="149"/>
      <c r="KJY12377" s="102"/>
      <c r="KJZ12377" s="101"/>
      <c r="KKA12377" s="99"/>
      <c r="KKB12377" s="100"/>
      <c r="KKC12377" s="205"/>
      <c r="KKD12377" s="149"/>
      <c r="KKE12377" s="102"/>
      <c r="KKF12377" s="101"/>
      <c r="KKG12377" s="99"/>
      <c r="KKH12377" s="100"/>
      <c r="KKI12377" s="205"/>
      <c r="KKJ12377" s="149"/>
      <c r="KKK12377" s="102"/>
      <c r="KKL12377" s="101"/>
      <c r="KKM12377" s="99"/>
      <c r="KKN12377" s="100"/>
      <c r="KKO12377" s="205"/>
      <c r="KKP12377" s="149"/>
      <c r="KKQ12377" s="102"/>
      <c r="KKR12377" s="101"/>
      <c r="KKS12377" s="99"/>
      <c r="KKT12377" s="100"/>
      <c r="KKU12377" s="205"/>
      <c r="KKV12377" s="149"/>
      <c r="KKW12377" s="102"/>
      <c r="KKX12377" s="101"/>
      <c r="KKY12377" s="99"/>
      <c r="KKZ12377" s="100"/>
      <c r="KLA12377" s="205"/>
      <c r="KLB12377" s="149"/>
      <c r="KLC12377" s="102"/>
      <c r="KLD12377" s="101"/>
      <c r="KLE12377" s="99"/>
      <c r="KLF12377" s="100"/>
      <c r="KLG12377" s="205"/>
      <c r="KLH12377" s="149"/>
      <c r="KLI12377" s="102"/>
      <c r="KLJ12377" s="101"/>
      <c r="KLK12377" s="99"/>
      <c r="KLL12377" s="100"/>
      <c r="KLM12377" s="205"/>
      <c r="KLN12377" s="149"/>
      <c r="KLO12377" s="102"/>
      <c r="KLP12377" s="101"/>
      <c r="KLQ12377" s="99"/>
      <c r="KLR12377" s="100"/>
      <c r="KLS12377" s="205"/>
      <c r="KLT12377" s="149"/>
      <c r="KLU12377" s="102"/>
      <c r="KLV12377" s="101"/>
      <c r="KLW12377" s="99"/>
      <c r="KLX12377" s="100"/>
      <c r="KLY12377" s="205"/>
      <c r="KLZ12377" s="149"/>
      <c r="KMA12377" s="102"/>
      <c r="KMB12377" s="101"/>
      <c r="KMC12377" s="99"/>
      <c r="KMD12377" s="100"/>
      <c r="KME12377" s="205"/>
      <c r="KMF12377" s="149"/>
      <c r="KMG12377" s="102"/>
      <c r="KMH12377" s="101"/>
      <c r="KMI12377" s="99"/>
      <c r="KMJ12377" s="100"/>
      <c r="KMK12377" s="205"/>
      <c r="KML12377" s="149"/>
      <c r="KMM12377" s="102"/>
      <c r="KMN12377" s="101"/>
      <c r="KMO12377" s="99"/>
      <c r="KMP12377" s="100"/>
      <c r="KMQ12377" s="205"/>
      <c r="KMR12377" s="149"/>
      <c r="KMS12377" s="102"/>
      <c r="KMT12377" s="101"/>
      <c r="KMU12377" s="99"/>
      <c r="KMV12377" s="100"/>
      <c r="KMW12377" s="205"/>
      <c r="KMX12377" s="149"/>
      <c r="KMY12377" s="102"/>
      <c r="KMZ12377" s="101"/>
      <c r="KNA12377" s="99"/>
      <c r="KNB12377" s="100"/>
      <c r="KNC12377" s="205"/>
      <c r="KND12377" s="149"/>
      <c r="KNE12377" s="102"/>
      <c r="KNF12377" s="101"/>
      <c r="KNG12377" s="99"/>
      <c r="KNH12377" s="100"/>
      <c r="KNI12377" s="205"/>
      <c r="KNJ12377" s="149"/>
      <c r="KNK12377" s="102"/>
      <c r="KNL12377" s="101"/>
      <c r="KNM12377" s="99"/>
      <c r="KNN12377" s="100"/>
      <c r="KNO12377" s="205"/>
      <c r="KNP12377" s="149"/>
      <c r="KNQ12377" s="102"/>
      <c r="KNR12377" s="101"/>
      <c r="KNS12377" s="99"/>
      <c r="KNT12377" s="100"/>
      <c r="KNU12377" s="205"/>
      <c r="KNV12377" s="149"/>
      <c r="KNW12377" s="102"/>
      <c r="KNX12377" s="101"/>
      <c r="KNY12377" s="99"/>
      <c r="KNZ12377" s="100"/>
      <c r="KOA12377" s="205"/>
      <c r="KOB12377" s="149"/>
      <c r="KOC12377" s="102"/>
      <c r="KOD12377" s="101"/>
      <c r="KOE12377" s="99"/>
      <c r="KOF12377" s="100"/>
      <c r="KOG12377" s="205"/>
      <c r="KOH12377" s="149"/>
      <c r="KOI12377" s="102"/>
      <c r="KOJ12377" s="101"/>
      <c r="KOK12377" s="99"/>
      <c r="KOL12377" s="100"/>
      <c r="KOM12377" s="205"/>
      <c r="KON12377" s="149"/>
      <c r="KOO12377" s="102"/>
      <c r="KOP12377" s="101"/>
      <c r="KOQ12377" s="99"/>
      <c r="KOR12377" s="100"/>
      <c r="KOS12377" s="205"/>
      <c r="KOT12377" s="149"/>
      <c r="KOU12377" s="102"/>
      <c r="KOV12377" s="101"/>
      <c r="KOW12377" s="99"/>
      <c r="KOX12377" s="100"/>
      <c r="KOY12377" s="205"/>
      <c r="KOZ12377" s="149"/>
      <c r="KPA12377" s="102"/>
      <c r="KPB12377" s="101"/>
      <c r="KPC12377" s="99"/>
      <c r="KPD12377" s="100"/>
      <c r="KPE12377" s="205"/>
      <c r="KPF12377" s="149"/>
      <c r="KPG12377" s="102"/>
      <c r="KPH12377" s="101"/>
      <c r="KPI12377" s="99"/>
      <c r="KPJ12377" s="100"/>
      <c r="KPK12377" s="205"/>
      <c r="KPL12377" s="149"/>
      <c r="KPM12377" s="102"/>
      <c r="KPN12377" s="101"/>
      <c r="KPO12377" s="99"/>
      <c r="KPP12377" s="100"/>
      <c r="KPQ12377" s="205"/>
      <c r="KPR12377" s="149"/>
      <c r="KPS12377" s="102"/>
      <c r="KPT12377" s="101"/>
      <c r="KPU12377" s="99"/>
      <c r="KPV12377" s="100"/>
      <c r="KPW12377" s="205"/>
      <c r="KPX12377" s="149"/>
      <c r="KPY12377" s="102"/>
      <c r="KPZ12377" s="101"/>
      <c r="KQA12377" s="99"/>
      <c r="KQB12377" s="100"/>
      <c r="KQC12377" s="205"/>
      <c r="KQD12377" s="149"/>
      <c r="KQE12377" s="102"/>
      <c r="KQF12377" s="101"/>
      <c r="KQG12377" s="99"/>
      <c r="KQH12377" s="100"/>
      <c r="KQI12377" s="205"/>
      <c r="KQJ12377" s="149"/>
      <c r="KQK12377" s="102"/>
      <c r="KQL12377" s="101"/>
      <c r="KQM12377" s="99"/>
      <c r="KQN12377" s="100"/>
      <c r="KQO12377" s="205"/>
      <c r="KQP12377" s="149"/>
      <c r="KQQ12377" s="102"/>
      <c r="KQR12377" s="101"/>
      <c r="KQS12377" s="99"/>
      <c r="KQT12377" s="100"/>
      <c r="KQU12377" s="205"/>
      <c r="KQV12377" s="149"/>
      <c r="KQW12377" s="102"/>
      <c r="KQX12377" s="101"/>
      <c r="KQY12377" s="99"/>
      <c r="KQZ12377" s="100"/>
      <c r="KRA12377" s="205"/>
      <c r="KRB12377" s="149"/>
      <c r="KRC12377" s="102"/>
      <c r="KRD12377" s="101"/>
      <c r="KRE12377" s="99"/>
      <c r="KRF12377" s="100"/>
      <c r="KRG12377" s="205"/>
      <c r="KRH12377" s="149"/>
      <c r="KRI12377" s="102"/>
      <c r="KRJ12377" s="101"/>
      <c r="KRK12377" s="99"/>
      <c r="KRL12377" s="100"/>
      <c r="KRM12377" s="205"/>
      <c r="KRN12377" s="149"/>
      <c r="KRO12377" s="102"/>
      <c r="KRP12377" s="101"/>
      <c r="KRQ12377" s="99"/>
      <c r="KRR12377" s="100"/>
      <c r="KRS12377" s="205"/>
      <c r="KRT12377" s="149"/>
      <c r="KRU12377" s="102"/>
      <c r="KRV12377" s="101"/>
      <c r="KRW12377" s="99"/>
      <c r="KRX12377" s="100"/>
      <c r="KRY12377" s="205"/>
      <c r="KRZ12377" s="149"/>
      <c r="KSA12377" s="102"/>
      <c r="KSB12377" s="101"/>
      <c r="KSC12377" s="99"/>
      <c r="KSD12377" s="100"/>
      <c r="KSE12377" s="205"/>
      <c r="KSF12377" s="149"/>
      <c r="KSG12377" s="102"/>
      <c r="KSH12377" s="101"/>
      <c r="KSI12377" s="99"/>
      <c r="KSJ12377" s="100"/>
      <c r="KSK12377" s="205"/>
      <c r="KSL12377" s="149"/>
      <c r="KSM12377" s="102"/>
      <c r="KSN12377" s="101"/>
      <c r="KSO12377" s="99"/>
      <c r="KSP12377" s="100"/>
      <c r="KSQ12377" s="205"/>
      <c r="KSR12377" s="149"/>
      <c r="KSS12377" s="102"/>
      <c r="KST12377" s="101"/>
      <c r="KSU12377" s="99"/>
      <c r="KSV12377" s="100"/>
      <c r="KSW12377" s="205"/>
      <c r="KSX12377" s="149"/>
      <c r="KSY12377" s="102"/>
      <c r="KSZ12377" s="101"/>
      <c r="KTA12377" s="99"/>
      <c r="KTB12377" s="100"/>
      <c r="KTC12377" s="205"/>
      <c r="KTD12377" s="149"/>
      <c r="KTE12377" s="102"/>
      <c r="KTF12377" s="101"/>
      <c r="KTG12377" s="99"/>
      <c r="KTH12377" s="100"/>
      <c r="KTI12377" s="205"/>
      <c r="KTJ12377" s="149"/>
      <c r="KTK12377" s="102"/>
      <c r="KTL12377" s="101"/>
      <c r="KTM12377" s="99"/>
      <c r="KTN12377" s="100"/>
      <c r="KTO12377" s="205"/>
      <c r="KTP12377" s="149"/>
      <c r="KTQ12377" s="102"/>
      <c r="KTR12377" s="101"/>
      <c r="KTS12377" s="99"/>
      <c r="KTT12377" s="100"/>
      <c r="KTU12377" s="205"/>
      <c r="KTV12377" s="149"/>
      <c r="KTW12377" s="102"/>
      <c r="KTX12377" s="101"/>
      <c r="KTY12377" s="99"/>
      <c r="KTZ12377" s="100"/>
      <c r="KUA12377" s="205"/>
      <c r="KUB12377" s="149"/>
      <c r="KUC12377" s="102"/>
      <c r="KUD12377" s="101"/>
      <c r="KUE12377" s="99"/>
      <c r="KUF12377" s="100"/>
      <c r="KUG12377" s="205"/>
      <c r="KUH12377" s="149"/>
      <c r="KUI12377" s="102"/>
      <c r="KUJ12377" s="101"/>
      <c r="KUK12377" s="99"/>
      <c r="KUL12377" s="100"/>
      <c r="KUM12377" s="205"/>
      <c r="KUN12377" s="149"/>
      <c r="KUO12377" s="102"/>
      <c r="KUP12377" s="101"/>
      <c r="KUQ12377" s="99"/>
      <c r="KUR12377" s="100"/>
      <c r="KUS12377" s="205"/>
      <c r="KUT12377" s="149"/>
      <c r="KUU12377" s="102"/>
      <c r="KUV12377" s="101"/>
      <c r="KUW12377" s="99"/>
      <c r="KUX12377" s="100"/>
      <c r="KUY12377" s="205"/>
      <c r="KUZ12377" s="149"/>
      <c r="KVA12377" s="102"/>
      <c r="KVB12377" s="101"/>
      <c r="KVC12377" s="99"/>
      <c r="KVD12377" s="100"/>
      <c r="KVE12377" s="205"/>
      <c r="KVF12377" s="149"/>
      <c r="KVG12377" s="102"/>
      <c r="KVH12377" s="101"/>
      <c r="KVI12377" s="99"/>
      <c r="KVJ12377" s="100"/>
      <c r="KVK12377" s="205"/>
      <c r="KVL12377" s="149"/>
      <c r="KVM12377" s="102"/>
      <c r="KVN12377" s="101"/>
      <c r="KVO12377" s="99"/>
      <c r="KVP12377" s="100"/>
      <c r="KVQ12377" s="205"/>
      <c r="KVR12377" s="149"/>
      <c r="KVS12377" s="102"/>
      <c r="KVT12377" s="101"/>
      <c r="KVU12377" s="99"/>
      <c r="KVV12377" s="100"/>
      <c r="KVW12377" s="205"/>
      <c r="KVX12377" s="149"/>
      <c r="KVY12377" s="102"/>
      <c r="KVZ12377" s="101"/>
      <c r="KWA12377" s="99"/>
      <c r="KWB12377" s="100"/>
      <c r="KWC12377" s="205"/>
      <c r="KWD12377" s="149"/>
      <c r="KWE12377" s="102"/>
      <c r="KWF12377" s="101"/>
      <c r="KWG12377" s="99"/>
      <c r="KWH12377" s="100"/>
      <c r="KWI12377" s="205"/>
      <c r="KWJ12377" s="149"/>
      <c r="KWK12377" s="102"/>
      <c r="KWL12377" s="101"/>
      <c r="KWM12377" s="99"/>
      <c r="KWN12377" s="100"/>
      <c r="KWO12377" s="205"/>
      <c r="KWP12377" s="149"/>
      <c r="KWQ12377" s="102"/>
      <c r="KWR12377" s="101"/>
      <c r="KWS12377" s="99"/>
      <c r="KWT12377" s="100"/>
      <c r="KWU12377" s="205"/>
      <c r="KWV12377" s="149"/>
      <c r="KWW12377" s="102"/>
      <c r="KWX12377" s="101"/>
      <c r="KWY12377" s="99"/>
      <c r="KWZ12377" s="100"/>
      <c r="KXA12377" s="205"/>
      <c r="KXB12377" s="149"/>
      <c r="KXC12377" s="102"/>
      <c r="KXD12377" s="101"/>
      <c r="KXE12377" s="99"/>
      <c r="KXF12377" s="100"/>
      <c r="KXG12377" s="205"/>
      <c r="KXH12377" s="149"/>
      <c r="KXI12377" s="102"/>
      <c r="KXJ12377" s="101"/>
      <c r="KXK12377" s="99"/>
      <c r="KXL12377" s="100"/>
      <c r="KXM12377" s="205"/>
      <c r="KXN12377" s="149"/>
      <c r="KXO12377" s="102"/>
      <c r="KXP12377" s="101"/>
      <c r="KXQ12377" s="99"/>
      <c r="KXR12377" s="100"/>
      <c r="KXS12377" s="205"/>
      <c r="KXT12377" s="149"/>
      <c r="KXU12377" s="102"/>
      <c r="KXV12377" s="101"/>
      <c r="KXW12377" s="99"/>
      <c r="KXX12377" s="100"/>
      <c r="KXY12377" s="205"/>
      <c r="KXZ12377" s="149"/>
      <c r="KYA12377" s="102"/>
      <c r="KYB12377" s="101"/>
      <c r="KYC12377" s="99"/>
      <c r="KYD12377" s="100"/>
      <c r="KYE12377" s="205"/>
      <c r="KYF12377" s="149"/>
      <c r="KYG12377" s="102"/>
      <c r="KYH12377" s="101"/>
      <c r="KYI12377" s="99"/>
      <c r="KYJ12377" s="100"/>
      <c r="KYK12377" s="205"/>
      <c r="KYL12377" s="149"/>
      <c r="KYM12377" s="102"/>
      <c r="KYN12377" s="101"/>
      <c r="KYO12377" s="99"/>
      <c r="KYP12377" s="100"/>
      <c r="KYQ12377" s="205"/>
      <c r="KYR12377" s="149"/>
      <c r="KYS12377" s="102"/>
      <c r="KYT12377" s="101"/>
      <c r="KYU12377" s="99"/>
      <c r="KYV12377" s="100"/>
      <c r="KYW12377" s="205"/>
      <c r="KYX12377" s="149"/>
      <c r="KYY12377" s="102"/>
      <c r="KYZ12377" s="101"/>
      <c r="KZA12377" s="99"/>
      <c r="KZB12377" s="100"/>
      <c r="KZC12377" s="205"/>
      <c r="KZD12377" s="149"/>
      <c r="KZE12377" s="102"/>
      <c r="KZF12377" s="101"/>
      <c r="KZG12377" s="99"/>
      <c r="KZH12377" s="100"/>
      <c r="KZI12377" s="205"/>
      <c r="KZJ12377" s="149"/>
      <c r="KZK12377" s="102"/>
      <c r="KZL12377" s="101"/>
      <c r="KZM12377" s="99"/>
      <c r="KZN12377" s="100"/>
      <c r="KZO12377" s="205"/>
      <c r="KZP12377" s="149"/>
      <c r="KZQ12377" s="102"/>
      <c r="KZR12377" s="101"/>
      <c r="KZS12377" s="99"/>
      <c r="KZT12377" s="100"/>
      <c r="KZU12377" s="205"/>
      <c r="KZV12377" s="149"/>
      <c r="KZW12377" s="102"/>
      <c r="KZX12377" s="101"/>
      <c r="KZY12377" s="99"/>
      <c r="KZZ12377" s="100"/>
      <c r="LAA12377" s="205"/>
      <c r="LAB12377" s="149"/>
      <c r="LAC12377" s="102"/>
      <c r="LAD12377" s="101"/>
      <c r="LAE12377" s="99"/>
      <c r="LAF12377" s="100"/>
      <c r="LAG12377" s="205"/>
      <c r="LAH12377" s="149"/>
      <c r="LAI12377" s="102"/>
      <c r="LAJ12377" s="101"/>
      <c r="LAK12377" s="99"/>
      <c r="LAL12377" s="100"/>
      <c r="LAM12377" s="205"/>
      <c r="LAN12377" s="149"/>
      <c r="LAO12377" s="102"/>
      <c r="LAP12377" s="101"/>
      <c r="LAQ12377" s="99"/>
      <c r="LAR12377" s="100"/>
      <c r="LAS12377" s="205"/>
      <c r="LAT12377" s="149"/>
      <c r="LAU12377" s="102"/>
      <c r="LAV12377" s="101"/>
      <c r="LAW12377" s="99"/>
      <c r="LAX12377" s="100"/>
      <c r="LAY12377" s="205"/>
      <c r="LAZ12377" s="149"/>
      <c r="LBA12377" s="102"/>
      <c r="LBB12377" s="101"/>
      <c r="LBC12377" s="99"/>
      <c r="LBD12377" s="100"/>
      <c r="LBE12377" s="205"/>
      <c r="LBF12377" s="149"/>
      <c r="LBG12377" s="102"/>
      <c r="LBH12377" s="101"/>
      <c r="LBI12377" s="99"/>
      <c r="LBJ12377" s="100"/>
      <c r="LBK12377" s="205"/>
      <c r="LBL12377" s="149"/>
      <c r="LBM12377" s="102"/>
      <c r="LBN12377" s="101"/>
      <c r="LBO12377" s="99"/>
      <c r="LBP12377" s="100"/>
      <c r="LBQ12377" s="205"/>
      <c r="LBR12377" s="149"/>
      <c r="LBS12377" s="102"/>
      <c r="LBT12377" s="101"/>
      <c r="LBU12377" s="99"/>
      <c r="LBV12377" s="100"/>
      <c r="LBW12377" s="205"/>
      <c r="LBX12377" s="149"/>
      <c r="LBY12377" s="102"/>
      <c r="LBZ12377" s="101"/>
      <c r="LCA12377" s="99"/>
      <c r="LCB12377" s="100"/>
      <c r="LCC12377" s="205"/>
      <c r="LCD12377" s="149"/>
      <c r="LCE12377" s="102"/>
      <c r="LCF12377" s="101"/>
      <c r="LCG12377" s="99"/>
      <c r="LCH12377" s="100"/>
      <c r="LCI12377" s="205"/>
      <c r="LCJ12377" s="149"/>
      <c r="LCK12377" s="102"/>
      <c r="LCL12377" s="101"/>
      <c r="LCM12377" s="99"/>
      <c r="LCN12377" s="100"/>
      <c r="LCO12377" s="205"/>
      <c r="LCP12377" s="149"/>
      <c r="LCQ12377" s="102"/>
      <c r="LCR12377" s="101"/>
      <c r="LCS12377" s="99"/>
      <c r="LCT12377" s="100"/>
      <c r="LCU12377" s="205"/>
      <c r="LCV12377" s="149"/>
      <c r="LCW12377" s="102"/>
      <c r="LCX12377" s="101"/>
      <c r="LCY12377" s="99"/>
      <c r="LCZ12377" s="100"/>
      <c r="LDA12377" s="205"/>
      <c r="LDB12377" s="149"/>
      <c r="LDC12377" s="102"/>
      <c r="LDD12377" s="101"/>
      <c r="LDE12377" s="99"/>
      <c r="LDF12377" s="100"/>
      <c r="LDG12377" s="205"/>
      <c r="LDH12377" s="149"/>
      <c r="LDI12377" s="102"/>
      <c r="LDJ12377" s="101"/>
      <c r="LDK12377" s="99"/>
      <c r="LDL12377" s="100"/>
      <c r="LDM12377" s="205"/>
      <c r="LDN12377" s="149"/>
      <c r="LDO12377" s="102"/>
      <c r="LDP12377" s="101"/>
      <c r="LDQ12377" s="99"/>
      <c r="LDR12377" s="100"/>
      <c r="LDS12377" s="205"/>
      <c r="LDT12377" s="149"/>
      <c r="LDU12377" s="102"/>
      <c r="LDV12377" s="101"/>
      <c r="LDW12377" s="99"/>
      <c r="LDX12377" s="100"/>
      <c r="LDY12377" s="205"/>
      <c r="LDZ12377" s="149"/>
      <c r="LEA12377" s="102"/>
      <c r="LEB12377" s="101"/>
      <c r="LEC12377" s="99"/>
      <c r="LED12377" s="100"/>
      <c r="LEE12377" s="205"/>
      <c r="LEF12377" s="149"/>
      <c r="LEG12377" s="102"/>
      <c r="LEH12377" s="101"/>
      <c r="LEI12377" s="99"/>
      <c r="LEJ12377" s="100"/>
      <c r="LEK12377" s="205"/>
      <c r="LEL12377" s="149"/>
      <c r="LEM12377" s="102"/>
      <c r="LEN12377" s="101"/>
      <c r="LEO12377" s="99"/>
      <c r="LEP12377" s="100"/>
      <c r="LEQ12377" s="205"/>
      <c r="LER12377" s="149"/>
      <c r="LES12377" s="102"/>
      <c r="LET12377" s="101"/>
      <c r="LEU12377" s="99"/>
      <c r="LEV12377" s="100"/>
      <c r="LEW12377" s="205"/>
      <c r="LEX12377" s="149"/>
      <c r="LEY12377" s="102"/>
      <c r="LEZ12377" s="101"/>
      <c r="LFA12377" s="99"/>
      <c r="LFB12377" s="100"/>
      <c r="LFC12377" s="205"/>
      <c r="LFD12377" s="149"/>
      <c r="LFE12377" s="102"/>
      <c r="LFF12377" s="101"/>
      <c r="LFG12377" s="99"/>
      <c r="LFH12377" s="100"/>
      <c r="LFI12377" s="205"/>
      <c r="LFJ12377" s="149"/>
      <c r="LFK12377" s="102"/>
      <c r="LFL12377" s="101"/>
      <c r="LFM12377" s="99"/>
      <c r="LFN12377" s="100"/>
      <c r="LFO12377" s="205"/>
      <c r="LFP12377" s="149"/>
      <c r="LFQ12377" s="102"/>
      <c r="LFR12377" s="101"/>
      <c r="LFS12377" s="99"/>
      <c r="LFT12377" s="100"/>
      <c r="LFU12377" s="205"/>
      <c r="LFV12377" s="149"/>
      <c r="LFW12377" s="102"/>
      <c r="LFX12377" s="101"/>
      <c r="LFY12377" s="99"/>
      <c r="LFZ12377" s="100"/>
      <c r="LGA12377" s="205"/>
      <c r="LGB12377" s="149"/>
      <c r="LGC12377" s="102"/>
      <c r="LGD12377" s="101"/>
      <c r="LGE12377" s="99"/>
      <c r="LGF12377" s="100"/>
      <c r="LGG12377" s="205"/>
      <c r="LGH12377" s="149"/>
      <c r="LGI12377" s="102"/>
      <c r="LGJ12377" s="101"/>
      <c r="LGK12377" s="99"/>
      <c r="LGL12377" s="100"/>
      <c r="LGM12377" s="205"/>
      <c r="LGN12377" s="149"/>
      <c r="LGO12377" s="102"/>
      <c r="LGP12377" s="101"/>
      <c r="LGQ12377" s="99"/>
      <c r="LGR12377" s="100"/>
      <c r="LGS12377" s="205"/>
      <c r="LGT12377" s="149"/>
      <c r="LGU12377" s="102"/>
      <c r="LGV12377" s="101"/>
      <c r="LGW12377" s="99"/>
      <c r="LGX12377" s="100"/>
      <c r="LGY12377" s="205"/>
      <c r="LGZ12377" s="149"/>
      <c r="LHA12377" s="102"/>
      <c r="LHB12377" s="101"/>
      <c r="LHC12377" s="99"/>
      <c r="LHD12377" s="100"/>
      <c r="LHE12377" s="205"/>
      <c r="LHF12377" s="149"/>
      <c r="LHG12377" s="102"/>
      <c r="LHH12377" s="101"/>
      <c r="LHI12377" s="99"/>
      <c r="LHJ12377" s="100"/>
      <c r="LHK12377" s="205"/>
      <c r="LHL12377" s="149"/>
      <c r="LHM12377" s="102"/>
      <c r="LHN12377" s="101"/>
      <c r="LHO12377" s="99"/>
      <c r="LHP12377" s="100"/>
      <c r="LHQ12377" s="205"/>
      <c r="LHR12377" s="149"/>
      <c r="LHS12377" s="102"/>
      <c r="LHT12377" s="101"/>
      <c r="LHU12377" s="99"/>
      <c r="LHV12377" s="100"/>
      <c r="LHW12377" s="205"/>
      <c r="LHX12377" s="149"/>
      <c r="LHY12377" s="102"/>
      <c r="LHZ12377" s="101"/>
      <c r="LIA12377" s="99"/>
      <c r="LIB12377" s="100"/>
      <c r="LIC12377" s="205"/>
      <c r="LID12377" s="149"/>
      <c r="LIE12377" s="102"/>
      <c r="LIF12377" s="101"/>
      <c r="LIG12377" s="99"/>
      <c r="LIH12377" s="100"/>
      <c r="LII12377" s="205"/>
      <c r="LIJ12377" s="149"/>
      <c r="LIK12377" s="102"/>
      <c r="LIL12377" s="101"/>
      <c r="LIM12377" s="99"/>
      <c r="LIN12377" s="100"/>
      <c r="LIO12377" s="205"/>
      <c r="LIP12377" s="149"/>
      <c r="LIQ12377" s="102"/>
      <c r="LIR12377" s="101"/>
      <c r="LIS12377" s="99"/>
      <c r="LIT12377" s="100"/>
      <c r="LIU12377" s="205"/>
      <c r="LIV12377" s="149"/>
      <c r="LIW12377" s="102"/>
      <c r="LIX12377" s="101"/>
      <c r="LIY12377" s="99"/>
      <c r="LIZ12377" s="100"/>
      <c r="LJA12377" s="205"/>
      <c r="LJB12377" s="149"/>
      <c r="LJC12377" s="102"/>
      <c r="LJD12377" s="101"/>
      <c r="LJE12377" s="99"/>
      <c r="LJF12377" s="100"/>
      <c r="LJG12377" s="205"/>
      <c r="LJH12377" s="149"/>
      <c r="LJI12377" s="102"/>
      <c r="LJJ12377" s="101"/>
      <c r="LJK12377" s="99"/>
      <c r="LJL12377" s="100"/>
      <c r="LJM12377" s="205"/>
      <c r="LJN12377" s="149"/>
      <c r="LJO12377" s="102"/>
      <c r="LJP12377" s="101"/>
      <c r="LJQ12377" s="99"/>
      <c r="LJR12377" s="100"/>
      <c r="LJS12377" s="205"/>
      <c r="LJT12377" s="149"/>
      <c r="LJU12377" s="102"/>
      <c r="LJV12377" s="101"/>
      <c r="LJW12377" s="99"/>
      <c r="LJX12377" s="100"/>
      <c r="LJY12377" s="205"/>
      <c r="LJZ12377" s="149"/>
      <c r="LKA12377" s="102"/>
      <c r="LKB12377" s="101"/>
      <c r="LKC12377" s="99"/>
      <c r="LKD12377" s="100"/>
      <c r="LKE12377" s="205"/>
      <c r="LKF12377" s="149"/>
      <c r="LKG12377" s="102"/>
      <c r="LKH12377" s="101"/>
      <c r="LKI12377" s="99"/>
      <c r="LKJ12377" s="100"/>
      <c r="LKK12377" s="205"/>
      <c r="LKL12377" s="149"/>
      <c r="LKM12377" s="102"/>
      <c r="LKN12377" s="101"/>
      <c r="LKO12377" s="99"/>
      <c r="LKP12377" s="100"/>
      <c r="LKQ12377" s="205"/>
      <c r="LKR12377" s="149"/>
      <c r="LKS12377" s="102"/>
      <c r="LKT12377" s="101"/>
      <c r="LKU12377" s="99"/>
      <c r="LKV12377" s="100"/>
      <c r="LKW12377" s="205"/>
      <c r="LKX12377" s="149"/>
      <c r="LKY12377" s="102"/>
      <c r="LKZ12377" s="101"/>
      <c r="LLA12377" s="99"/>
      <c r="LLB12377" s="100"/>
      <c r="LLC12377" s="205"/>
      <c r="LLD12377" s="149"/>
      <c r="LLE12377" s="102"/>
      <c r="LLF12377" s="101"/>
      <c r="LLG12377" s="99"/>
      <c r="LLH12377" s="100"/>
      <c r="LLI12377" s="205"/>
      <c r="LLJ12377" s="149"/>
      <c r="LLK12377" s="102"/>
      <c r="LLL12377" s="101"/>
      <c r="LLM12377" s="99"/>
      <c r="LLN12377" s="100"/>
      <c r="LLO12377" s="205"/>
      <c r="LLP12377" s="149"/>
      <c r="LLQ12377" s="102"/>
      <c r="LLR12377" s="101"/>
      <c r="LLS12377" s="99"/>
      <c r="LLT12377" s="100"/>
      <c r="LLU12377" s="205"/>
      <c r="LLV12377" s="149"/>
      <c r="LLW12377" s="102"/>
      <c r="LLX12377" s="101"/>
      <c r="LLY12377" s="99"/>
      <c r="LLZ12377" s="100"/>
      <c r="LMA12377" s="205"/>
      <c r="LMB12377" s="149"/>
      <c r="LMC12377" s="102"/>
      <c r="LMD12377" s="101"/>
      <c r="LME12377" s="99"/>
      <c r="LMF12377" s="100"/>
      <c r="LMG12377" s="205"/>
      <c r="LMH12377" s="149"/>
      <c r="LMI12377" s="102"/>
      <c r="LMJ12377" s="101"/>
      <c r="LMK12377" s="99"/>
      <c r="LML12377" s="100"/>
      <c r="LMM12377" s="205"/>
      <c r="LMN12377" s="149"/>
      <c r="LMO12377" s="102"/>
      <c r="LMP12377" s="101"/>
      <c r="LMQ12377" s="99"/>
      <c r="LMR12377" s="100"/>
      <c r="LMS12377" s="205"/>
      <c r="LMT12377" s="149"/>
      <c r="LMU12377" s="102"/>
      <c r="LMV12377" s="101"/>
      <c r="LMW12377" s="99"/>
      <c r="LMX12377" s="100"/>
      <c r="LMY12377" s="205"/>
      <c r="LMZ12377" s="149"/>
      <c r="LNA12377" s="102"/>
      <c r="LNB12377" s="101"/>
      <c r="LNC12377" s="99"/>
      <c r="LND12377" s="100"/>
      <c r="LNE12377" s="205"/>
      <c r="LNF12377" s="149"/>
      <c r="LNG12377" s="102"/>
      <c r="LNH12377" s="101"/>
      <c r="LNI12377" s="99"/>
      <c r="LNJ12377" s="100"/>
      <c r="LNK12377" s="205"/>
      <c r="LNL12377" s="149"/>
      <c r="LNM12377" s="102"/>
      <c r="LNN12377" s="101"/>
      <c r="LNO12377" s="99"/>
      <c r="LNP12377" s="100"/>
      <c r="LNQ12377" s="205"/>
      <c r="LNR12377" s="149"/>
      <c r="LNS12377" s="102"/>
      <c r="LNT12377" s="101"/>
      <c r="LNU12377" s="99"/>
      <c r="LNV12377" s="100"/>
      <c r="LNW12377" s="205"/>
      <c r="LNX12377" s="149"/>
      <c r="LNY12377" s="102"/>
      <c r="LNZ12377" s="101"/>
      <c r="LOA12377" s="99"/>
      <c r="LOB12377" s="100"/>
      <c r="LOC12377" s="205"/>
      <c r="LOD12377" s="149"/>
      <c r="LOE12377" s="102"/>
      <c r="LOF12377" s="101"/>
      <c r="LOG12377" s="99"/>
      <c r="LOH12377" s="100"/>
      <c r="LOI12377" s="205"/>
      <c r="LOJ12377" s="149"/>
      <c r="LOK12377" s="102"/>
      <c r="LOL12377" s="101"/>
      <c r="LOM12377" s="99"/>
      <c r="LON12377" s="100"/>
      <c r="LOO12377" s="205"/>
      <c r="LOP12377" s="149"/>
      <c r="LOQ12377" s="102"/>
      <c r="LOR12377" s="101"/>
      <c r="LOS12377" s="99"/>
      <c r="LOT12377" s="100"/>
      <c r="LOU12377" s="205"/>
      <c r="LOV12377" s="149"/>
      <c r="LOW12377" s="102"/>
      <c r="LOX12377" s="101"/>
      <c r="LOY12377" s="99"/>
      <c r="LOZ12377" s="100"/>
      <c r="LPA12377" s="205"/>
      <c r="LPB12377" s="149"/>
      <c r="LPC12377" s="102"/>
      <c r="LPD12377" s="101"/>
      <c r="LPE12377" s="99"/>
      <c r="LPF12377" s="100"/>
      <c r="LPG12377" s="205"/>
      <c r="LPH12377" s="149"/>
      <c r="LPI12377" s="102"/>
      <c r="LPJ12377" s="101"/>
      <c r="LPK12377" s="99"/>
      <c r="LPL12377" s="100"/>
      <c r="LPM12377" s="205"/>
      <c r="LPN12377" s="149"/>
      <c r="LPO12377" s="102"/>
      <c r="LPP12377" s="101"/>
      <c r="LPQ12377" s="99"/>
      <c r="LPR12377" s="100"/>
      <c r="LPS12377" s="205"/>
      <c r="LPT12377" s="149"/>
      <c r="LPU12377" s="102"/>
      <c r="LPV12377" s="101"/>
      <c r="LPW12377" s="99"/>
      <c r="LPX12377" s="100"/>
      <c r="LPY12377" s="205"/>
      <c r="LPZ12377" s="149"/>
      <c r="LQA12377" s="102"/>
      <c r="LQB12377" s="101"/>
      <c r="LQC12377" s="99"/>
      <c r="LQD12377" s="100"/>
      <c r="LQE12377" s="205"/>
      <c r="LQF12377" s="149"/>
      <c r="LQG12377" s="102"/>
      <c r="LQH12377" s="101"/>
      <c r="LQI12377" s="99"/>
      <c r="LQJ12377" s="100"/>
      <c r="LQK12377" s="205"/>
      <c r="LQL12377" s="149"/>
      <c r="LQM12377" s="102"/>
      <c r="LQN12377" s="101"/>
      <c r="LQO12377" s="99"/>
      <c r="LQP12377" s="100"/>
      <c r="LQQ12377" s="205"/>
      <c r="LQR12377" s="149"/>
      <c r="LQS12377" s="102"/>
      <c r="LQT12377" s="101"/>
      <c r="LQU12377" s="99"/>
      <c r="LQV12377" s="100"/>
      <c r="LQW12377" s="205"/>
      <c r="LQX12377" s="149"/>
      <c r="LQY12377" s="102"/>
      <c r="LQZ12377" s="101"/>
      <c r="LRA12377" s="99"/>
      <c r="LRB12377" s="100"/>
      <c r="LRC12377" s="205"/>
      <c r="LRD12377" s="149"/>
      <c r="LRE12377" s="102"/>
      <c r="LRF12377" s="101"/>
      <c r="LRG12377" s="99"/>
      <c r="LRH12377" s="100"/>
      <c r="LRI12377" s="205"/>
      <c r="LRJ12377" s="149"/>
      <c r="LRK12377" s="102"/>
      <c r="LRL12377" s="101"/>
      <c r="LRM12377" s="99"/>
      <c r="LRN12377" s="100"/>
      <c r="LRO12377" s="205"/>
      <c r="LRP12377" s="149"/>
      <c r="LRQ12377" s="102"/>
      <c r="LRR12377" s="101"/>
      <c r="LRS12377" s="99"/>
      <c r="LRT12377" s="100"/>
      <c r="LRU12377" s="205"/>
      <c r="LRV12377" s="149"/>
      <c r="LRW12377" s="102"/>
      <c r="LRX12377" s="101"/>
      <c r="LRY12377" s="99"/>
      <c r="LRZ12377" s="100"/>
      <c r="LSA12377" s="205"/>
      <c r="LSB12377" s="149"/>
      <c r="LSC12377" s="102"/>
      <c r="LSD12377" s="101"/>
      <c r="LSE12377" s="99"/>
      <c r="LSF12377" s="100"/>
      <c r="LSG12377" s="205"/>
      <c r="LSH12377" s="149"/>
      <c r="LSI12377" s="102"/>
      <c r="LSJ12377" s="101"/>
      <c r="LSK12377" s="99"/>
      <c r="LSL12377" s="100"/>
      <c r="LSM12377" s="205"/>
      <c r="LSN12377" s="149"/>
      <c r="LSO12377" s="102"/>
      <c r="LSP12377" s="101"/>
      <c r="LSQ12377" s="99"/>
      <c r="LSR12377" s="100"/>
      <c r="LSS12377" s="205"/>
      <c r="LST12377" s="149"/>
      <c r="LSU12377" s="102"/>
      <c r="LSV12377" s="101"/>
      <c r="LSW12377" s="99"/>
      <c r="LSX12377" s="100"/>
      <c r="LSY12377" s="205"/>
      <c r="LSZ12377" s="149"/>
      <c r="LTA12377" s="102"/>
      <c r="LTB12377" s="101"/>
      <c r="LTC12377" s="99"/>
      <c r="LTD12377" s="100"/>
      <c r="LTE12377" s="205"/>
      <c r="LTF12377" s="149"/>
      <c r="LTG12377" s="102"/>
      <c r="LTH12377" s="101"/>
      <c r="LTI12377" s="99"/>
      <c r="LTJ12377" s="100"/>
      <c r="LTK12377" s="205"/>
      <c r="LTL12377" s="149"/>
      <c r="LTM12377" s="102"/>
      <c r="LTN12377" s="101"/>
      <c r="LTO12377" s="99"/>
      <c r="LTP12377" s="100"/>
      <c r="LTQ12377" s="205"/>
      <c r="LTR12377" s="149"/>
      <c r="LTS12377" s="102"/>
      <c r="LTT12377" s="101"/>
      <c r="LTU12377" s="99"/>
      <c r="LTV12377" s="100"/>
      <c r="LTW12377" s="205"/>
      <c r="LTX12377" s="149"/>
      <c r="LTY12377" s="102"/>
      <c r="LTZ12377" s="101"/>
      <c r="LUA12377" s="99"/>
      <c r="LUB12377" s="100"/>
      <c r="LUC12377" s="205"/>
      <c r="LUD12377" s="149"/>
      <c r="LUE12377" s="102"/>
      <c r="LUF12377" s="101"/>
      <c r="LUG12377" s="99"/>
      <c r="LUH12377" s="100"/>
      <c r="LUI12377" s="205"/>
      <c r="LUJ12377" s="149"/>
      <c r="LUK12377" s="102"/>
      <c r="LUL12377" s="101"/>
      <c r="LUM12377" s="99"/>
      <c r="LUN12377" s="100"/>
      <c r="LUO12377" s="205"/>
      <c r="LUP12377" s="149"/>
      <c r="LUQ12377" s="102"/>
      <c r="LUR12377" s="101"/>
      <c r="LUS12377" s="99"/>
      <c r="LUT12377" s="100"/>
      <c r="LUU12377" s="205"/>
      <c r="LUV12377" s="149"/>
      <c r="LUW12377" s="102"/>
      <c r="LUX12377" s="101"/>
      <c r="LUY12377" s="99"/>
      <c r="LUZ12377" s="100"/>
      <c r="LVA12377" s="205"/>
      <c r="LVB12377" s="149"/>
      <c r="LVC12377" s="102"/>
      <c r="LVD12377" s="101"/>
      <c r="LVE12377" s="99"/>
      <c r="LVF12377" s="100"/>
      <c r="LVG12377" s="205"/>
      <c r="LVH12377" s="149"/>
      <c r="LVI12377" s="102"/>
      <c r="LVJ12377" s="101"/>
      <c r="LVK12377" s="99"/>
      <c r="LVL12377" s="100"/>
      <c r="LVM12377" s="205"/>
      <c r="LVN12377" s="149"/>
      <c r="LVO12377" s="102"/>
      <c r="LVP12377" s="101"/>
      <c r="LVQ12377" s="99"/>
      <c r="LVR12377" s="100"/>
      <c r="LVS12377" s="205"/>
      <c r="LVT12377" s="149"/>
      <c r="LVU12377" s="102"/>
      <c r="LVV12377" s="101"/>
      <c r="LVW12377" s="99"/>
      <c r="LVX12377" s="100"/>
      <c r="LVY12377" s="205"/>
      <c r="LVZ12377" s="149"/>
      <c r="LWA12377" s="102"/>
      <c r="LWB12377" s="101"/>
      <c r="LWC12377" s="99"/>
      <c r="LWD12377" s="100"/>
      <c r="LWE12377" s="205"/>
      <c r="LWF12377" s="149"/>
      <c r="LWG12377" s="102"/>
      <c r="LWH12377" s="101"/>
      <c r="LWI12377" s="99"/>
      <c r="LWJ12377" s="100"/>
      <c r="LWK12377" s="205"/>
      <c r="LWL12377" s="149"/>
      <c r="LWM12377" s="102"/>
      <c r="LWN12377" s="101"/>
      <c r="LWO12377" s="99"/>
      <c r="LWP12377" s="100"/>
      <c r="LWQ12377" s="205"/>
      <c r="LWR12377" s="149"/>
      <c r="LWS12377" s="102"/>
      <c r="LWT12377" s="101"/>
      <c r="LWU12377" s="99"/>
      <c r="LWV12377" s="100"/>
      <c r="LWW12377" s="205"/>
      <c r="LWX12377" s="149"/>
      <c r="LWY12377" s="102"/>
      <c r="LWZ12377" s="101"/>
      <c r="LXA12377" s="99"/>
      <c r="LXB12377" s="100"/>
      <c r="LXC12377" s="205"/>
      <c r="LXD12377" s="149"/>
      <c r="LXE12377" s="102"/>
      <c r="LXF12377" s="101"/>
      <c r="LXG12377" s="99"/>
      <c r="LXH12377" s="100"/>
      <c r="LXI12377" s="205"/>
      <c r="LXJ12377" s="149"/>
      <c r="LXK12377" s="102"/>
      <c r="LXL12377" s="101"/>
      <c r="LXM12377" s="99"/>
      <c r="LXN12377" s="100"/>
      <c r="LXO12377" s="205"/>
      <c r="LXP12377" s="149"/>
      <c r="LXQ12377" s="102"/>
      <c r="LXR12377" s="101"/>
      <c r="LXS12377" s="99"/>
      <c r="LXT12377" s="100"/>
      <c r="LXU12377" s="205"/>
      <c r="LXV12377" s="149"/>
      <c r="LXW12377" s="102"/>
      <c r="LXX12377" s="101"/>
      <c r="LXY12377" s="99"/>
      <c r="LXZ12377" s="100"/>
      <c r="LYA12377" s="205"/>
      <c r="LYB12377" s="149"/>
      <c r="LYC12377" s="102"/>
      <c r="LYD12377" s="101"/>
      <c r="LYE12377" s="99"/>
      <c r="LYF12377" s="100"/>
      <c r="LYG12377" s="205"/>
      <c r="LYH12377" s="149"/>
      <c r="LYI12377" s="102"/>
      <c r="LYJ12377" s="101"/>
      <c r="LYK12377" s="99"/>
      <c r="LYL12377" s="100"/>
      <c r="LYM12377" s="205"/>
      <c r="LYN12377" s="149"/>
      <c r="LYO12377" s="102"/>
      <c r="LYP12377" s="101"/>
      <c r="LYQ12377" s="99"/>
      <c r="LYR12377" s="100"/>
      <c r="LYS12377" s="205"/>
      <c r="LYT12377" s="149"/>
      <c r="LYU12377" s="102"/>
      <c r="LYV12377" s="101"/>
      <c r="LYW12377" s="99"/>
      <c r="LYX12377" s="100"/>
      <c r="LYY12377" s="205"/>
      <c r="LYZ12377" s="149"/>
      <c r="LZA12377" s="102"/>
      <c r="LZB12377" s="101"/>
      <c r="LZC12377" s="99"/>
      <c r="LZD12377" s="100"/>
      <c r="LZE12377" s="205"/>
      <c r="LZF12377" s="149"/>
      <c r="LZG12377" s="102"/>
      <c r="LZH12377" s="101"/>
      <c r="LZI12377" s="99"/>
      <c r="LZJ12377" s="100"/>
      <c r="LZK12377" s="205"/>
      <c r="LZL12377" s="149"/>
      <c r="LZM12377" s="102"/>
      <c r="LZN12377" s="101"/>
      <c r="LZO12377" s="99"/>
      <c r="LZP12377" s="100"/>
      <c r="LZQ12377" s="205"/>
      <c r="LZR12377" s="149"/>
      <c r="LZS12377" s="102"/>
      <c r="LZT12377" s="101"/>
      <c r="LZU12377" s="99"/>
      <c r="LZV12377" s="100"/>
      <c r="LZW12377" s="205"/>
      <c r="LZX12377" s="149"/>
      <c r="LZY12377" s="102"/>
      <c r="LZZ12377" s="101"/>
      <c r="MAA12377" s="99"/>
      <c r="MAB12377" s="100"/>
      <c r="MAC12377" s="205"/>
      <c r="MAD12377" s="149"/>
      <c r="MAE12377" s="102"/>
      <c r="MAF12377" s="101"/>
      <c r="MAG12377" s="99"/>
      <c r="MAH12377" s="100"/>
      <c r="MAI12377" s="205"/>
      <c r="MAJ12377" s="149"/>
      <c r="MAK12377" s="102"/>
      <c r="MAL12377" s="101"/>
      <c r="MAM12377" s="99"/>
      <c r="MAN12377" s="100"/>
      <c r="MAO12377" s="205"/>
      <c r="MAP12377" s="149"/>
      <c r="MAQ12377" s="102"/>
      <c r="MAR12377" s="101"/>
      <c r="MAS12377" s="99"/>
      <c r="MAT12377" s="100"/>
      <c r="MAU12377" s="205"/>
      <c r="MAV12377" s="149"/>
      <c r="MAW12377" s="102"/>
      <c r="MAX12377" s="101"/>
      <c r="MAY12377" s="99"/>
      <c r="MAZ12377" s="100"/>
      <c r="MBA12377" s="205"/>
      <c r="MBB12377" s="149"/>
      <c r="MBC12377" s="102"/>
      <c r="MBD12377" s="101"/>
      <c r="MBE12377" s="99"/>
      <c r="MBF12377" s="100"/>
      <c r="MBG12377" s="205"/>
      <c r="MBH12377" s="149"/>
      <c r="MBI12377" s="102"/>
      <c r="MBJ12377" s="101"/>
      <c r="MBK12377" s="99"/>
      <c r="MBL12377" s="100"/>
      <c r="MBM12377" s="205"/>
      <c r="MBN12377" s="149"/>
      <c r="MBO12377" s="102"/>
      <c r="MBP12377" s="101"/>
      <c r="MBQ12377" s="99"/>
      <c r="MBR12377" s="100"/>
      <c r="MBS12377" s="205"/>
      <c r="MBT12377" s="149"/>
      <c r="MBU12377" s="102"/>
      <c r="MBV12377" s="101"/>
      <c r="MBW12377" s="99"/>
      <c r="MBX12377" s="100"/>
      <c r="MBY12377" s="205"/>
      <c r="MBZ12377" s="149"/>
      <c r="MCA12377" s="102"/>
      <c r="MCB12377" s="101"/>
      <c r="MCC12377" s="99"/>
      <c r="MCD12377" s="100"/>
      <c r="MCE12377" s="205"/>
      <c r="MCF12377" s="149"/>
      <c r="MCG12377" s="102"/>
      <c r="MCH12377" s="101"/>
      <c r="MCI12377" s="99"/>
      <c r="MCJ12377" s="100"/>
      <c r="MCK12377" s="205"/>
      <c r="MCL12377" s="149"/>
      <c r="MCM12377" s="102"/>
      <c r="MCN12377" s="101"/>
      <c r="MCO12377" s="99"/>
      <c r="MCP12377" s="100"/>
      <c r="MCQ12377" s="205"/>
      <c r="MCR12377" s="149"/>
      <c r="MCS12377" s="102"/>
      <c r="MCT12377" s="101"/>
      <c r="MCU12377" s="99"/>
      <c r="MCV12377" s="100"/>
      <c r="MCW12377" s="205"/>
      <c r="MCX12377" s="149"/>
      <c r="MCY12377" s="102"/>
      <c r="MCZ12377" s="101"/>
      <c r="MDA12377" s="99"/>
      <c r="MDB12377" s="100"/>
      <c r="MDC12377" s="205"/>
      <c r="MDD12377" s="149"/>
      <c r="MDE12377" s="102"/>
      <c r="MDF12377" s="101"/>
      <c r="MDG12377" s="99"/>
      <c r="MDH12377" s="100"/>
      <c r="MDI12377" s="205"/>
      <c r="MDJ12377" s="149"/>
      <c r="MDK12377" s="102"/>
      <c r="MDL12377" s="101"/>
      <c r="MDM12377" s="99"/>
      <c r="MDN12377" s="100"/>
      <c r="MDO12377" s="205"/>
      <c r="MDP12377" s="149"/>
      <c r="MDQ12377" s="102"/>
      <c r="MDR12377" s="101"/>
      <c r="MDS12377" s="99"/>
      <c r="MDT12377" s="100"/>
      <c r="MDU12377" s="205"/>
      <c r="MDV12377" s="149"/>
      <c r="MDW12377" s="102"/>
      <c r="MDX12377" s="101"/>
      <c r="MDY12377" s="99"/>
      <c r="MDZ12377" s="100"/>
      <c r="MEA12377" s="205"/>
      <c r="MEB12377" s="149"/>
      <c r="MEC12377" s="102"/>
      <c r="MED12377" s="101"/>
      <c r="MEE12377" s="99"/>
      <c r="MEF12377" s="100"/>
      <c r="MEG12377" s="205"/>
      <c r="MEH12377" s="149"/>
      <c r="MEI12377" s="102"/>
      <c r="MEJ12377" s="101"/>
      <c r="MEK12377" s="99"/>
      <c r="MEL12377" s="100"/>
      <c r="MEM12377" s="205"/>
      <c r="MEN12377" s="149"/>
      <c r="MEO12377" s="102"/>
      <c r="MEP12377" s="101"/>
      <c r="MEQ12377" s="99"/>
      <c r="MER12377" s="100"/>
      <c r="MES12377" s="205"/>
      <c r="MET12377" s="149"/>
      <c r="MEU12377" s="102"/>
      <c r="MEV12377" s="101"/>
      <c r="MEW12377" s="99"/>
      <c r="MEX12377" s="100"/>
      <c r="MEY12377" s="205"/>
      <c r="MEZ12377" s="149"/>
      <c r="MFA12377" s="102"/>
      <c r="MFB12377" s="101"/>
      <c r="MFC12377" s="99"/>
      <c r="MFD12377" s="100"/>
      <c r="MFE12377" s="205"/>
      <c r="MFF12377" s="149"/>
      <c r="MFG12377" s="102"/>
      <c r="MFH12377" s="101"/>
      <c r="MFI12377" s="99"/>
      <c r="MFJ12377" s="100"/>
      <c r="MFK12377" s="205"/>
      <c r="MFL12377" s="149"/>
      <c r="MFM12377" s="102"/>
      <c r="MFN12377" s="101"/>
      <c r="MFO12377" s="99"/>
      <c r="MFP12377" s="100"/>
      <c r="MFQ12377" s="205"/>
      <c r="MFR12377" s="149"/>
      <c r="MFS12377" s="102"/>
      <c r="MFT12377" s="101"/>
      <c r="MFU12377" s="99"/>
      <c r="MFV12377" s="100"/>
      <c r="MFW12377" s="205"/>
      <c r="MFX12377" s="149"/>
      <c r="MFY12377" s="102"/>
      <c r="MFZ12377" s="101"/>
      <c r="MGA12377" s="99"/>
      <c r="MGB12377" s="100"/>
      <c r="MGC12377" s="205"/>
      <c r="MGD12377" s="149"/>
      <c r="MGE12377" s="102"/>
      <c r="MGF12377" s="101"/>
      <c r="MGG12377" s="99"/>
      <c r="MGH12377" s="100"/>
      <c r="MGI12377" s="205"/>
      <c r="MGJ12377" s="149"/>
      <c r="MGK12377" s="102"/>
      <c r="MGL12377" s="101"/>
      <c r="MGM12377" s="99"/>
      <c r="MGN12377" s="100"/>
      <c r="MGO12377" s="205"/>
      <c r="MGP12377" s="149"/>
      <c r="MGQ12377" s="102"/>
      <c r="MGR12377" s="101"/>
      <c r="MGS12377" s="99"/>
      <c r="MGT12377" s="100"/>
      <c r="MGU12377" s="205"/>
      <c r="MGV12377" s="149"/>
      <c r="MGW12377" s="102"/>
      <c r="MGX12377" s="101"/>
      <c r="MGY12377" s="99"/>
      <c r="MGZ12377" s="100"/>
      <c r="MHA12377" s="205"/>
      <c r="MHB12377" s="149"/>
      <c r="MHC12377" s="102"/>
      <c r="MHD12377" s="101"/>
      <c r="MHE12377" s="99"/>
      <c r="MHF12377" s="100"/>
      <c r="MHG12377" s="205"/>
      <c r="MHH12377" s="149"/>
      <c r="MHI12377" s="102"/>
      <c r="MHJ12377" s="101"/>
      <c r="MHK12377" s="99"/>
      <c r="MHL12377" s="100"/>
      <c r="MHM12377" s="205"/>
      <c r="MHN12377" s="149"/>
      <c r="MHO12377" s="102"/>
      <c r="MHP12377" s="101"/>
      <c r="MHQ12377" s="99"/>
      <c r="MHR12377" s="100"/>
      <c r="MHS12377" s="205"/>
      <c r="MHT12377" s="149"/>
      <c r="MHU12377" s="102"/>
      <c r="MHV12377" s="101"/>
      <c r="MHW12377" s="99"/>
      <c r="MHX12377" s="100"/>
      <c r="MHY12377" s="205"/>
      <c r="MHZ12377" s="149"/>
      <c r="MIA12377" s="102"/>
      <c r="MIB12377" s="101"/>
      <c r="MIC12377" s="99"/>
      <c r="MID12377" s="100"/>
      <c r="MIE12377" s="205"/>
      <c r="MIF12377" s="149"/>
      <c r="MIG12377" s="102"/>
      <c r="MIH12377" s="101"/>
      <c r="MII12377" s="99"/>
      <c r="MIJ12377" s="100"/>
      <c r="MIK12377" s="205"/>
      <c r="MIL12377" s="149"/>
      <c r="MIM12377" s="102"/>
      <c r="MIN12377" s="101"/>
      <c r="MIO12377" s="99"/>
      <c r="MIP12377" s="100"/>
      <c r="MIQ12377" s="205"/>
      <c r="MIR12377" s="149"/>
      <c r="MIS12377" s="102"/>
      <c r="MIT12377" s="101"/>
      <c r="MIU12377" s="99"/>
      <c r="MIV12377" s="100"/>
      <c r="MIW12377" s="205"/>
      <c r="MIX12377" s="149"/>
      <c r="MIY12377" s="102"/>
      <c r="MIZ12377" s="101"/>
      <c r="MJA12377" s="99"/>
      <c r="MJB12377" s="100"/>
      <c r="MJC12377" s="205"/>
      <c r="MJD12377" s="149"/>
      <c r="MJE12377" s="102"/>
      <c r="MJF12377" s="101"/>
      <c r="MJG12377" s="99"/>
      <c r="MJH12377" s="100"/>
      <c r="MJI12377" s="205"/>
      <c r="MJJ12377" s="149"/>
      <c r="MJK12377" s="102"/>
      <c r="MJL12377" s="101"/>
      <c r="MJM12377" s="99"/>
      <c r="MJN12377" s="100"/>
      <c r="MJO12377" s="205"/>
      <c r="MJP12377" s="149"/>
      <c r="MJQ12377" s="102"/>
      <c r="MJR12377" s="101"/>
      <c r="MJS12377" s="99"/>
      <c r="MJT12377" s="100"/>
      <c r="MJU12377" s="205"/>
      <c r="MJV12377" s="149"/>
      <c r="MJW12377" s="102"/>
      <c r="MJX12377" s="101"/>
      <c r="MJY12377" s="99"/>
      <c r="MJZ12377" s="100"/>
      <c r="MKA12377" s="205"/>
      <c r="MKB12377" s="149"/>
      <c r="MKC12377" s="102"/>
      <c r="MKD12377" s="101"/>
      <c r="MKE12377" s="99"/>
      <c r="MKF12377" s="100"/>
      <c r="MKG12377" s="205"/>
      <c r="MKH12377" s="149"/>
      <c r="MKI12377" s="102"/>
      <c r="MKJ12377" s="101"/>
      <c r="MKK12377" s="99"/>
      <c r="MKL12377" s="100"/>
      <c r="MKM12377" s="205"/>
      <c r="MKN12377" s="149"/>
      <c r="MKO12377" s="102"/>
      <c r="MKP12377" s="101"/>
      <c r="MKQ12377" s="99"/>
      <c r="MKR12377" s="100"/>
      <c r="MKS12377" s="205"/>
      <c r="MKT12377" s="149"/>
      <c r="MKU12377" s="102"/>
      <c r="MKV12377" s="101"/>
      <c r="MKW12377" s="99"/>
      <c r="MKX12377" s="100"/>
      <c r="MKY12377" s="205"/>
      <c r="MKZ12377" s="149"/>
      <c r="MLA12377" s="102"/>
      <c r="MLB12377" s="101"/>
      <c r="MLC12377" s="99"/>
      <c r="MLD12377" s="100"/>
      <c r="MLE12377" s="205"/>
      <c r="MLF12377" s="149"/>
      <c r="MLG12377" s="102"/>
      <c r="MLH12377" s="101"/>
      <c r="MLI12377" s="99"/>
      <c r="MLJ12377" s="100"/>
      <c r="MLK12377" s="205"/>
      <c r="MLL12377" s="149"/>
      <c r="MLM12377" s="102"/>
      <c r="MLN12377" s="101"/>
      <c r="MLO12377" s="99"/>
      <c r="MLP12377" s="100"/>
      <c r="MLQ12377" s="205"/>
      <c r="MLR12377" s="149"/>
      <c r="MLS12377" s="102"/>
      <c r="MLT12377" s="101"/>
      <c r="MLU12377" s="99"/>
      <c r="MLV12377" s="100"/>
      <c r="MLW12377" s="205"/>
      <c r="MLX12377" s="149"/>
      <c r="MLY12377" s="102"/>
      <c r="MLZ12377" s="101"/>
      <c r="MMA12377" s="99"/>
      <c r="MMB12377" s="100"/>
      <c r="MMC12377" s="205"/>
      <c r="MMD12377" s="149"/>
      <c r="MME12377" s="102"/>
      <c r="MMF12377" s="101"/>
      <c r="MMG12377" s="99"/>
      <c r="MMH12377" s="100"/>
      <c r="MMI12377" s="205"/>
      <c r="MMJ12377" s="149"/>
      <c r="MMK12377" s="102"/>
      <c r="MML12377" s="101"/>
      <c r="MMM12377" s="99"/>
      <c r="MMN12377" s="100"/>
      <c r="MMO12377" s="205"/>
      <c r="MMP12377" s="149"/>
      <c r="MMQ12377" s="102"/>
      <c r="MMR12377" s="101"/>
      <c r="MMS12377" s="99"/>
      <c r="MMT12377" s="100"/>
      <c r="MMU12377" s="205"/>
      <c r="MMV12377" s="149"/>
      <c r="MMW12377" s="102"/>
      <c r="MMX12377" s="101"/>
      <c r="MMY12377" s="99"/>
      <c r="MMZ12377" s="100"/>
      <c r="MNA12377" s="205"/>
      <c r="MNB12377" s="149"/>
      <c r="MNC12377" s="102"/>
      <c r="MND12377" s="101"/>
      <c r="MNE12377" s="99"/>
      <c r="MNF12377" s="100"/>
      <c r="MNG12377" s="205"/>
      <c r="MNH12377" s="149"/>
      <c r="MNI12377" s="102"/>
      <c r="MNJ12377" s="101"/>
      <c r="MNK12377" s="99"/>
      <c r="MNL12377" s="100"/>
      <c r="MNM12377" s="205"/>
      <c r="MNN12377" s="149"/>
      <c r="MNO12377" s="102"/>
      <c r="MNP12377" s="101"/>
      <c r="MNQ12377" s="99"/>
      <c r="MNR12377" s="100"/>
      <c r="MNS12377" s="205"/>
      <c r="MNT12377" s="149"/>
      <c r="MNU12377" s="102"/>
      <c r="MNV12377" s="101"/>
      <c r="MNW12377" s="99"/>
      <c r="MNX12377" s="100"/>
      <c r="MNY12377" s="205"/>
      <c r="MNZ12377" s="149"/>
      <c r="MOA12377" s="102"/>
      <c r="MOB12377" s="101"/>
      <c r="MOC12377" s="99"/>
      <c r="MOD12377" s="100"/>
      <c r="MOE12377" s="205"/>
      <c r="MOF12377" s="149"/>
      <c r="MOG12377" s="102"/>
      <c r="MOH12377" s="101"/>
      <c r="MOI12377" s="99"/>
      <c r="MOJ12377" s="100"/>
      <c r="MOK12377" s="205"/>
      <c r="MOL12377" s="149"/>
      <c r="MOM12377" s="102"/>
      <c r="MON12377" s="101"/>
      <c r="MOO12377" s="99"/>
      <c r="MOP12377" s="100"/>
      <c r="MOQ12377" s="205"/>
      <c r="MOR12377" s="149"/>
      <c r="MOS12377" s="102"/>
      <c r="MOT12377" s="101"/>
      <c r="MOU12377" s="99"/>
      <c r="MOV12377" s="100"/>
      <c r="MOW12377" s="205"/>
      <c r="MOX12377" s="149"/>
      <c r="MOY12377" s="102"/>
      <c r="MOZ12377" s="101"/>
      <c r="MPA12377" s="99"/>
      <c r="MPB12377" s="100"/>
      <c r="MPC12377" s="205"/>
      <c r="MPD12377" s="149"/>
      <c r="MPE12377" s="102"/>
      <c r="MPF12377" s="101"/>
      <c r="MPG12377" s="99"/>
      <c r="MPH12377" s="100"/>
      <c r="MPI12377" s="205"/>
      <c r="MPJ12377" s="149"/>
      <c r="MPK12377" s="102"/>
      <c r="MPL12377" s="101"/>
      <c r="MPM12377" s="99"/>
      <c r="MPN12377" s="100"/>
      <c r="MPO12377" s="205"/>
      <c r="MPP12377" s="149"/>
      <c r="MPQ12377" s="102"/>
      <c r="MPR12377" s="101"/>
      <c r="MPS12377" s="99"/>
      <c r="MPT12377" s="100"/>
      <c r="MPU12377" s="205"/>
      <c r="MPV12377" s="149"/>
      <c r="MPW12377" s="102"/>
      <c r="MPX12377" s="101"/>
      <c r="MPY12377" s="99"/>
      <c r="MPZ12377" s="100"/>
      <c r="MQA12377" s="205"/>
      <c r="MQB12377" s="149"/>
      <c r="MQC12377" s="102"/>
      <c r="MQD12377" s="101"/>
      <c r="MQE12377" s="99"/>
      <c r="MQF12377" s="100"/>
      <c r="MQG12377" s="205"/>
      <c r="MQH12377" s="149"/>
      <c r="MQI12377" s="102"/>
      <c r="MQJ12377" s="101"/>
      <c r="MQK12377" s="99"/>
      <c r="MQL12377" s="100"/>
      <c r="MQM12377" s="205"/>
      <c r="MQN12377" s="149"/>
      <c r="MQO12377" s="102"/>
      <c r="MQP12377" s="101"/>
      <c r="MQQ12377" s="99"/>
      <c r="MQR12377" s="100"/>
      <c r="MQS12377" s="205"/>
      <c r="MQT12377" s="149"/>
      <c r="MQU12377" s="102"/>
      <c r="MQV12377" s="101"/>
      <c r="MQW12377" s="99"/>
      <c r="MQX12377" s="100"/>
      <c r="MQY12377" s="205"/>
      <c r="MQZ12377" s="149"/>
      <c r="MRA12377" s="102"/>
      <c r="MRB12377" s="101"/>
      <c r="MRC12377" s="99"/>
      <c r="MRD12377" s="100"/>
      <c r="MRE12377" s="205"/>
      <c r="MRF12377" s="149"/>
      <c r="MRG12377" s="102"/>
      <c r="MRH12377" s="101"/>
      <c r="MRI12377" s="99"/>
      <c r="MRJ12377" s="100"/>
      <c r="MRK12377" s="205"/>
      <c r="MRL12377" s="149"/>
      <c r="MRM12377" s="102"/>
      <c r="MRN12377" s="101"/>
      <c r="MRO12377" s="99"/>
      <c r="MRP12377" s="100"/>
      <c r="MRQ12377" s="205"/>
      <c r="MRR12377" s="149"/>
      <c r="MRS12377" s="102"/>
      <c r="MRT12377" s="101"/>
      <c r="MRU12377" s="99"/>
      <c r="MRV12377" s="100"/>
      <c r="MRW12377" s="205"/>
      <c r="MRX12377" s="149"/>
      <c r="MRY12377" s="102"/>
      <c r="MRZ12377" s="101"/>
      <c r="MSA12377" s="99"/>
      <c r="MSB12377" s="100"/>
      <c r="MSC12377" s="205"/>
      <c r="MSD12377" s="149"/>
      <c r="MSE12377" s="102"/>
      <c r="MSF12377" s="101"/>
      <c r="MSG12377" s="99"/>
      <c r="MSH12377" s="100"/>
      <c r="MSI12377" s="205"/>
      <c r="MSJ12377" s="149"/>
      <c r="MSK12377" s="102"/>
      <c r="MSL12377" s="101"/>
      <c r="MSM12377" s="99"/>
      <c r="MSN12377" s="100"/>
      <c r="MSO12377" s="205"/>
      <c r="MSP12377" s="149"/>
      <c r="MSQ12377" s="102"/>
      <c r="MSR12377" s="101"/>
      <c r="MSS12377" s="99"/>
      <c r="MST12377" s="100"/>
      <c r="MSU12377" s="205"/>
      <c r="MSV12377" s="149"/>
      <c r="MSW12377" s="102"/>
      <c r="MSX12377" s="101"/>
      <c r="MSY12377" s="99"/>
      <c r="MSZ12377" s="100"/>
      <c r="MTA12377" s="205"/>
      <c r="MTB12377" s="149"/>
      <c r="MTC12377" s="102"/>
      <c r="MTD12377" s="101"/>
      <c r="MTE12377" s="99"/>
      <c r="MTF12377" s="100"/>
      <c r="MTG12377" s="205"/>
      <c r="MTH12377" s="149"/>
      <c r="MTI12377" s="102"/>
      <c r="MTJ12377" s="101"/>
      <c r="MTK12377" s="99"/>
      <c r="MTL12377" s="100"/>
      <c r="MTM12377" s="205"/>
      <c r="MTN12377" s="149"/>
      <c r="MTO12377" s="102"/>
      <c r="MTP12377" s="101"/>
      <c r="MTQ12377" s="99"/>
      <c r="MTR12377" s="100"/>
      <c r="MTS12377" s="205"/>
      <c r="MTT12377" s="149"/>
      <c r="MTU12377" s="102"/>
      <c r="MTV12377" s="101"/>
      <c r="MTW12377" s="99"/>
      <c r="MTX12377" s="100"/>
      <c r="MTY12377" s="205"/>
      <c r="MTZ12377" s="149"/>
      <c r="MUA12377" s="102"/>
      <c r="MUB12377" s="101"/>
      <c r="MUC12377" s="99"/>
      <c r="MUD12377" s="100"/>
      <c r="MUE12377" s="205"/>
      <c r="MUF12377" s="149"/>
      <c r="MUG12377" s="102"/>
      <c r="MUH12377" s="101"/>
      <c r="MUI12377" s="99"/>
      <c r="MUJ12377" s="100"/>
      <c r="MUK12377" s="205"/>
      <c r="MUL12377" s="149"/>
      <c r="MUM12377" s="102"/>
      <c r="MUN12377" s="101"/>
      <c r="MUO12377" s="99"/>
      <c r="MUP12377" s="100"/>
      <c r="MUQ12377" s="205"/>
      <c r="MUR12377" s="149"/>
      <c r="MUS12377" s="102"/>
      <c r="MUT12377" s="101"/>
      <c r="MUU12377" s="99"/>
      <c r="MUV12377" s="100"/>
      <c r="MUW12377" s="205"/>
      <c r="MUX12377" s="149"/>
      <c r="MUY12377" s="102"/>
      <c r="MUZ12377" s="101"/>
      <c r="MVA12377" s="99"/>
      <c r="MVB12377" s="100"/>
      <c r="MVC12377" s="205"/>
      <c r="MVD12377" s="149"/>
      <c r="MVE12377" s="102"/>
      <c r="MVF12377" s="101"/>
      <c r="MVG12377" s="99"/>
      <c r="MVH12377" s="100"/>
      <c r="MVI12377" s="205"/>
      <c r="MVJ12377" s="149"/>
      <c r="MVK12377" s="102"/>
      <c r="MVL12377" s="101"/>
      <c r="MVM12377" s="99"/>
      <c r="MVN12377" s="100"/>
      <c r="MVO12377" s="205"/>
      <c r="MVP12377" s="149"/>
      <c r="MVQ12377" s="102"/>
      <c r="MVR12377" s="101"/>
      <c r="MVS12377" s="99"/>
      <c r="MVT12377" s="100"/>
      <c r="MVU12377" s="205"/>
      <c r="MVV12377" s="149"/>
      <c r="MVW12377" s="102"/>
      <c r="MVX12377" s="101"/>
      <c r="MVY12377" s="99"/>
      <c r="MVZ12377" s="100"/>
      <c r="MWA12377" s="205"/>
      <c r="MWB12377" s="149"/>
      <c r="MWC12377" s="102"/>
      <c r="MWD12377" s="101"/>
      <c r="MWE12377" s="99"/>
      <c r="MWF12377" s="100"/>
      <c r="MWG12377" s="205"/>
      <c r="MWH12377" s="149"/>
      <c r="MWI12377" s="102"/>
      <c r="MWJ12377" s="101"/>
      <c r="MWK12377" s="99"/>
      <c r="MWL12377" s="100"/>
      <c r="MWM12377" s="205"/>
      <c r="MWN12377" s="149"/>
      <c r="MWO12377" s="102"/>
      <c r="MWP12377" s="101"/>
      <c r="MWQ12377" s="99"/>
      <c r="MWR12377" s="100"/>
      <c r="MWS12377" s="205"/>
      <c r="MWT12377" s="149"/>
      <c r="MWU12377" s="102"/>
      <c r="MWV12377" s="101"/>
      <c r="MWW12377" s="99"/>
      <c r="MWX12377" s="100"/>
      <c r="MWY12377" s="205"/>
      <c r="MWZ12377" s="149"/>
      <c r="MXA12377" s="102"/>
      <c r="MXB12377" s="101"/>
      <c r="MXC12377" s="99"/>
      <c r="MXD12377" s="100"/>
      <c r="MXE12377" s="205"/>
      <c r="MXF12377" s="149"/>
      <c r="MXG12377" s="102"/>
      <c r="MXH12377" s="101"/>
      <c r="MXI12377" s="99"/>
      <c r="MXJ12377" s="100"/>
      <c r="MXK12377" s="205"/>
      <c r="MXL12377" s="149"/>
      <c r="MXM12377" s="102"/>
      <c r="MXN12377" s="101"/>
      <c r="MXO12377" s="99"/>
      <c r="MXP12377" s="100"/>
      <c r="MXQ12377" s="205"/>
      <c r="MXR12377" s="149"/>
      <c r="MXS12377" s="102"/>
      <c r="MXT12377" s="101"/>
      <c r="MXU12377" s="99"/>
      <c r="MXV12377" s="100"/>
      <c r="MXW12377" s="205"/>
      <c r="MXX12377" s="149"/>
      <c r="MXY12377" s="102"/>
      <c r="MXZ12377" s="101"/>
      <c r="MYA12377" s="99"/>
      <c r="MYB12377" s="100"/>
      <c r="MYC12377" s="205"/>
      <c r="MYD12377" s="149"/>
      <c r="MYE12377" s="102"/>
      <c r="MYF12377" s="101"/>
      <c r="MYG12377" s="99"/>
      <c r="MYH12377" s="100"/>
      <c r="MYI12377" s="205"/>
      <c r="MYJ12377" s="149"/>
      <c r="MYK12377" s="102"/>
      <c r="MYL12377" s="101"/>
      <c r="MYM12377" s="99"/>
      <c r="MYN12377" s="100"/>
      <c r="MYO12377" s="205"/>
      <c r="MYP12377" s="149"/>
      <c r="MYQ12377" s="102"/>
      <c r="MYR12377" s="101"/>
      <c r="MYS12377" s="99"/>
      <c r="MYT12377" s="100"/>
      <c r="MYU12377" s="205"/>
      <c r="MYV12377" s="149"/>
      <c r="MYW12377" s="102"/>
      <c r="MYX12377" s="101"/>
      <c r="MYY12377" s="99"/>
      <c r="MYZ12377" s="100"/>
      <c r="MZA12377" s="205"/>
      <c r="MZB12377" s="149"/>
      <c r="MZC12377" s="102"/>
      <c r="MZD12377" s="101"/>
      <c r="MZE12377" s="99"/>
      <c r="MZF12377" s="100"/>
      <c r="MZG12377" s="205"/>
      <c r="MZH12377" s="149"/>
      <c r="MZI12377" s="102"/>
      <c r="MZJ12377" s="101"/>
      <c r="MZK12377" s="99"/>
      <c r="MZL12377" s="100"/>
      <c r="MZM12377" s="205"/>
      <c r="MZN12377" s="149"/>
      <c r="MZO12377" s="102"/>
      <c r="MZP12377" s="101"/>
      <c r="MZQ12377" s="99"/>
      <c r="MZR12377" s="100"/>
      <c r="MZS12377" s="205"/>
      <c r="MZT12377" s="149"/>
      <c r="MZU12377" s="102"/>
      <c r="MZV12377" s="101"/>
      <c r="MZW12377" s="99"/>
      <c r="MZX12377" s="100"/>
      <c r="MZY12377" s="205"/>
      <c r="MZZ12377" s="149"/>
      <c r="NAA12377" s="102"/>
      <c r="NAB12377" s="101"/>
      <c r="NAC12377" s="99"/>
      <c r="NAD12377" s="100"/>
      <c r="NAE12377" s="205"/>
      <c r="NAF12377" s="149"/>
      <c r="NAG12377" s="102"/>
      <c r="NAH12377" s="101"/>
      <c r="NAI12377" s="99"/>
      <c r="NAJ12377" s="100"/>
      <c r="NAK12377" s="205"/>
      <c r="NAL12377" s="149"/>
      <c r="NAM12377" s="102"/>
      <c r="NAN12377" s="101"/>
      <c r="NAO12377" s="99"/>
      <c r="NAP12377" s="100"/>
      <c r="NAQ12377" s="205"/>
      <c r="NAR12377" s="149"/>
      <c r="NAS12377" s="102"/>
      <c r="NAT12377" s="101"/>
      <c r="NAU12377" s="99"/>
      <c r="NAV12377" s="100"/>
      <c r="NAW12377" s="205"/>
      <c r="NAX12377" s="149"/>
      <c r="NAY12377" s="102"/>
      <c r="NAZ12377" s="101"/>
      <c r="NBA12377" s="99"/>
      <c r="NBB12377" s="100"/>
      <c r="NBC12377" s="205"/>
      <c r="NBD12377" s="149"/>
      <c r="NBE12377" s="102"/>
      <c r="NBF12377" s="101"/>
      <c r="NBG12377" s="99"/>
      <c r="NBH12377" s="100"/>
      <c r="NBI12377" s="205"/>
      <c r="NBJ12377" s="149"/>
      <c r="NBK12377" s="102"/>
      <c r="NBL12377" s="101"/>
      <c r="NBM12377" s="99"/>
      <c r="NBN12377" s="100"/>
      <c r="NBO12377" s="205"/>
      <c r="NBP12377" s="149"/>
      <c r="NBQ12377" s="102"/>
      <c r="NBR12377" s="101"/>
      <c r="NBS12377" s="99"/>
      <c r="NBT12377" s="100"/>
      <c r="NBU12377" s="205"/>
      <c r="NBV12377" s="149"/>
      <c r="NBW12377" s="102"/>
      <c r="NBX12377" s="101"/>
      <c r="NBY12377" s="99"/>
      <c r="NBZ12377" s="100"/>
      <c r="NCA12377" s="205"/>
      <c r="NCB12377" s="149"/>
      <c r="NCC12377" s="102"/>
      <c r="NCD12377" s="101"/>
      <c r="NCE12377" s="99"/>
      <c r="NCF12377" s="100"/>
      <c r="NCG12377" s="205"/>
      <c r="NCH12377" s="149"/>
      <c r="NCI12377" s="102"/>
      <c r="NCJ12377" s="101"/>
      <c r="NCK12377" s="99"/>
      <c r="NCL12377" s="100"/>
      <c r="NCM12377" s="205"/>
      <c r="NCN12377" s="149"/>
      <c r="NCO12377" s="102"/>
      <c r="NCP12377" s="101"/>
      <c r="NCQ12377" s="99"/>
      <c r="NCR12377" s="100"/>
      <c r="NCS12377" s="205"/>
      <c r="NCT12377" s="149"/>
      <c r="NCU12377" s="102"/>
      <c r="NCV12377" s="101"/>
      <c r="NCW12377" s="99"/>
      <c r="NCX12377" s="100"/>
      <c r="NCY12377" s="205"/>
      <c r="NCZ12377" s="149"/>
      <c r="NDA12377" s="102"/>
      <c r="NDB12377" s="101"/>
      <c r="NDC12377" s="99"/>
      <c r="NDD12377" s="100"/>
      <c r="NDE12377" s="205"/>
      <c r="NDF12377" s="149"/>
      <c r="NDG12377" s="102"/>
      <c r="NDH12377" s="101"/>
      <c r="NDI12377" s="99"/>
      <c r="NDJ12377" s="100"/>
      <c r="NDK12377" s="205"/>
      <c r="NDL12377" s="149"/>
      <c r="NDM12377" s="102"/>
      <c r="NDN12377" s="101"/>
      <c r="NDO12377" s="99"/>
      <c r="NDP12377" s="100"/>
      <c r="NDQ12377" s="205"/>
      <c r="NDR12377" s="149"/>
      <c r="NDS12377" s="102"/>
      <c r="NDT12377" s="101"/>
      <c r="NDU12377" s="99"/>
      <c r="NDV12377" s="100"/>
      <c r="NDW12377" s="205"/>
      <c r="NDX12377" s="149"/>
      <c r="NDY12377" s="102"/>
      <c r="NDZ12377" s="101"/>
      <c r="NEA12377" s="99"/>
      <c r="NEB12377" s="100"/>
      <c r="NEC12377" s="205"/>
      <c r="NED12377" s="149"/>
      <c r="NEE12377" s="102"/>
      <c r="NEF12377" s="101"/>
      <c r="NEG12377" s="99"/>
      <c r="NEH12377" s="100"/>
      <c r="NEI12377" s="205"/>
      <c r="NEJ12377" s="149"/>
      <c r="NEK12377" s="102"/>
      <c r="NEL12377" s="101"/>
      <c r="NEM12377" s="99"/>
      <c r="NEN12377" s="100"/>
      <c r="NEO12377" s="205"/>
      <c r="NEP12377" s="149"/>
      <c r="NEQ12377" s="102"/>
      <c r="NER12377" s="101"/>
      <c r="NES12377" s="99"/>
      <c r="NET12377" s="100"/>
      <c r="NEU12377" s="205"/>
      <c r="NEV12377" s="149"/>
      <c r="NEW12377" s="102"/>
      <c r="NEX12377" s="101"/>
      <c r="NEY12377" s="99"/>
      <c r="NEZ12377" s="100"/>
      <c r="NFA12377" s="205"/>
      <c r="NFB12377" s="149"/>
      <c r="NFC12377" s="102"/>
      <c r="NFD12377" s="101"/>
      <c r="NFE12377" s="99"/>
      <c r="NFF12377" s="100"/>
      <c r="NFG12377" s="205"/>
      <c r="NFH12377" s="149"/>
      <c r="NFI12377" s="102"/>
      <c r="NFJ12377" s="101"/>
      <c r="NFK12377" s="99"/>
      <c r="NFL12377" s="100"/>
      <c r="NFM12377" s="205"/>
      <c r="NFN12377" s="149"/>
      <c r="NFO12377" s="102"/>
      <c r="NFP12377" s="101"/>
      <c r="NFQ12377" s="99"/>
      <c r="NFR12377" s="100"/>
      <c r="NFS12377" s="205"/>
      <c r="NFT12377" s="149"/>
      <c r="NFU12377" s="102"/>
      <c r="NFV12377" s="101"/>
      <c r="NFW12377" s="99"/>
      <c r="NFX12377" s="100"/>
      <c r="NFY12377" s="205"/>
      <c r="NFZ12377" s="149"/>
      <c r="NGA12377" s="102"/>
      <c r="NGB12377" s="101"/>
      <c r="NGC12377" s="99"/>
      <c r="NGD12377" s="100"/>
      <c r="NGE12377" s="205"/>
      <c r="NGF12377" s="149"/>
      <c r="NGG12377" s="102"/>
      <c r="NGH12377" s="101"/>
      <c r="NGI12377" s="99"/>
      <c r="NGJ12377" s="100"/>
      <c r="NGK12377" s="205"/>
      <c r="NGL12377" s="149"/>
      <c r="NGM12377" s="102"/>
      <c r="NGN12377" s="101"/>
      <c r="NGO12377" s="99"/>
      <c r="NGP12377" s="100"/>
      <c r="NGQ12377" s="205"/>
      <c r="NGR12377" s="149"/>
      <c r="NGS12377" s="102"/>
      <c r="NGT12377" s="101"/>
      <c r="NGU12377" s="99"/>
      <c r="NGV12377" s="100"/>
      <c r="NGW12377" s="205"/>
      <c r="NGX12377" s="149"/>
      <c r="NGY12377" s="102"/>
      <c r="NGZ12377" s="101"/>
      <c r="NHA12377" s="99"/>
      <c r="NHB12377" s="100"/>
      <c r="NHC12377" s="205"/>
      <c r="NHD12377" s="149"/>
      <c r="NHE12377" s="102"/>
      <c r="NHF12377" s="101"/>
      <c r="NHG12377" s="99"/>
      <c r="NHH12377" s="100"/>
      <c r="NHI12377" s="205"/>
      <c r="NHJ12377" s="149"/>
      <c r="NHK12377" s="102"/>
      <c r="NHL12377" s="101"/>
      <c r="NHM12377" s="99"/>
      <c r="NHN12377" s="100"/>
      <c r="NHO12377" s="205"/>
      <c r="NHP12377" s="149"/>
      <c r="NHQ12377" s="102"/>
      <c r="NHR12377" s="101"/>
      <c r="NHS12377" s="99"/>
      <c r="NHT12377" s="100"/>
      <c r="NHU12377" s="205"/>
      <c r="NHV12377" s="149"/>
      <c r="NHW12377" s="102"/>
      <c r="NHX12377" s="101"/>
      <c r="NHY12377" s="99"/>
      <c r="NHZ12377" s="100"/>
      <c r="NIA12377" s="205"/>
      <c r="NIB12377" s="149"/>
      <c r="NIC12377" s="102"/>
      <c r="NID12377" s="101"/>
      <c r="NIE12377" s="99"/>
      <c r="NIF12377" s="100"/>
      <c r="NIG12377" s="205"/>
      <c r="NIH12377" s="149"/>
      <c r="NII12377" s="102"/>
      <c r="NIJ12377" s="101"/>
      <c r="NIK12377" s="99"/>
      <c r="NIL12377" s="100"/>
      <c r="NIM12377" s="205"/>
      <c r="NIN12377" s="149"/>
      <c r="NIO12377" s="102"/>
      <c r="NIP12377" s="101"/>
      <c r="NIQ12377" s="99"/>
      <c r="NIR12377" s="100"/>
      <c r="NIS12377" s="205"/>
      <c r="NIT12377" s="149"/>
      <c r="NIU12377" s="102"/>
      <c r="NIV12377" s="101"/>
      <c r="NIW12377" s="99"/>
      <c r="NIX12377" s="100"/>
      <c r="NIY12377" s="205"/>
      <c r="NIZ12377" s="149"/>
      <c r="NJA12377" s="102"/>
      <c r="NJB12377" s="101"/>
      <c r="NJC12377" s="99"/>
      <c r="NJD12377" s="100"/>
      <c r="NJE12377" s="205"/>
      <c r="NJF12377" s="149"/>
      <c r="NJG12377" s="102"/>
      <c r="NJH12377" s="101"/>
      <c r="NJI12377" s="99"/>
      <c r="NJJ12377" s="100"/>
      <c r="NJK12377" s="205"/>
      <c r="NJL12377" s="149"/>
      <c r="NJM12377" s="102"/>
      <c r="NJN12377" s="101"/>
      <c r="NJO12377" s="99"/>
      <c r="NJP12377" s="100"/>
      <c r="NJQ12377" s="205"/>
      <c r="NJR12377" s="149"/>
      <c r="NJS12377" s="102"/>
      <c r="NJT12377" s="101"/>
      <c r="NJU12377" s="99"/>
      <c r="NJV12377" s="100"/>
      <c r="NJW12377" s="205"/>
      <c r="NJX12377" s="149"/>
      <c r="NJY12377" s="102"/>
      <c r="NJZ12377" s="101"/>
      <c r="NKA12377" s="99"/>
      <c r="NKB12377" s="100"/>
      <c r="NKC12377" s="205"/>
      <c r="NKD12377" s="149"/>
      <c r="NKE12377" s="102"/>
      <c r="NKF12377" s="101"/>
      <c r="NKG12377" s="99"/>
      <c r="NKH12377" s="100"/>
      <c r="NKI12377" s="205"/>
      <c r="NKJ12377" s="149"/>
      <c r="NKK12377" s="102"/>
      <c r="NKL12377" s="101"/>
      <c r="NKM12377" s="99"/>
      <c r="NKN12377" s="100"/>
      <c r="NKO12377" s="205"/>
      <c r="NKP12377" s="149"/>
      <c r="NKQ12377" s="102"/>
      <c r="NKR12377" s="101"/>
      <c r="NKS12377" s="99"/>
      <c r="NKT12377" s="100"/>
      <c r="NKU12377" s="205"/>
      <c r="NKV12377" s="149"/>
      <c r="NKW12377" s="102"/>
      <c r="NKX12377" s="101"/>
      <c r="NKY12377" s="99"/>
      <c r="NKZ12377" s="100"/>
      <c r="NLA12377" s="205"/>
      <c r="NLB12377" s="149"/>
      <c r="NLC12377" s="102"/>
      <c r="NLD12377" s="101"/>
      <c r="NLE12377" s="99"/>
      <c r="NLF12377" s="100"/>
      <c r="NLG12377" s="205"/>
      <c r="NLH12377" s="149"/>
      <c r="NLI12377" s="102"/>
      <c r="NLJ12377" s="101"/>
      <c r="NLK12377" s="99"/>
      <c r="NLL12377" s="100"/>
      <c r="NLM12377" s="205"/>
      <c r="NLN12377" s="149"/>
      <c r="NLO12377" s="102"/>
      <c r="NLP12377" s="101"/>
      <c r="NLQ12377" s="99"/>
      <c r="NLR12377" s="100"/>
      <c r="NLS12377" s="205"/>
      <c r="NLT12377" s="149"/>
      <c r="NLU12377" s="102"/>
      <c r="NLV12377" s="101"/>
      <c r="NLW12377" s="99"/>
      <c r="NLX12377" s="100"/>
      <c r="NLY12377" s="205"/>
      <c r="NLZ12377" s="149"/>
      <c r="NMA12377" s="102"/>
      <c r="NMB12377" s="101"/>
      <c r="NMC12377" s="99"/>
      <c r="NMD12377" s="100"/>
      <c r="NME12377" s="205"/>
      <c r="NMF12377" s="149"/>
      <c r="NMG12377" s="102"/>
      <c r="NMH12377" s="101"/>
      <c r="NMI12377" s="99"/>
      <c r="NMJ12377" s="100"/>
      <c r="NMK12377" s="205"/>
      <c r="NML12377" s="149"/>
      <c r="NMM12377" s="102"/>
      <c r="NMN12377" s="101"/>
      <c r="NMO12377" s="99"/>
      <c r="NMP12377" s="100"/>
      <c r="NMQ12377" s="205"/>
      <c r="NMR12377" s="149"/>
      <c r="NMS12377" s="102"/>
      <c r="NMT12377" s="101"/>
      <c r="NMU12377" s="99"/>
      <c r="NMV12377" s="100"/>
      <c r="NMW12377" s="205"/>
      <c r="NMX12377" s="149"/>
      <c r="NMY12377" s="102"/>
      <c r="NMZ12377" s="101"/>
      <c r="NNA12377" s="99"/>
      <c r="NNB12377" s="100"/>
      <c r="NNC12377" s="205"/>
      <c r="NND12377" s="149"/>
      <c r="NNE12377" s="102"/>
      <c r="NNF12377" s="101"/>
      <c r="NNG12377" s="99"/>
      <c r="NNH12377" s="100"/>
      <c r="NNI12377" s="205"/>
      <c r="NNJ12377" s="149"/>
      <c r="NNK12377" s="102"/>
      <c r="NNL12377" s="101"/>
      <c r="NNM12377" s="99"/>
      <c r="NNN12377" s="100"/>
      <c r="NNO12377" s="205"/>
      <c r="NNP12377" s="149"/>
      <c r="NNQ12377" s="102"/>
      <c r="NNR12377" s="101"/>
      <c r="NNS12377" s="99"/>
      <c r="NNT12377" s="100"/>
      <c r="NNU12377" s="205"/>
      <c r="NNV12377" s="149"/>
      <c r="NNW12377" s="102"/>
      <c r="NNX12377" s="101"/>
      <c r="NNY12377" s="99"/>
      <c r="NNZ12377" s="100"/>
      <c r="NOA12377" s="205"/>
      <c r="NOB12377" s="149"/>
      <c r="NOC12377" s="102"/>
      <c r="NOD12377" s="101"/>
      <c r="NOE12377" s="99"/>
      <c r="NOF12377" s="100"/>
      <c r="NOG12377" s="205"/>
      <c r="NOH12377" s="149"/>
      <c r="NOI12377" s="102"/>
      <c r="NOJ12377" s="101"/>
      <c r="NOK12377" s="99"/>
      <c r="NOL12377" s="100"/>
      <c r="NOM12377" s="205"/>
      <c r="NON12377" s="149"/>
      <c r="NOO12377" s="102"/>
      <c r="NOP12377" s="101"/>
      <c r="NOQ12377" s="99"/>
      <c r="NOR12377" s="100"/>
      <c r="NOS12377" s="205"/>
      <c r="NOT12377" s="149"/>
      <c r="NOU12377" s="102"/>
      <c r="NOV12377" s="101"/>
      <c r="NOW12377" s="99"/>
      <c r="NOX12377" s="100"/>
      <c r="NOY12377" s="205"/>
      <c r="NOZ12377" s="149"/>
      <c r="NPA12377" s="102"/>
      <c r="NPB12377" s="101"/>
      <c r="NPC12377" s="99"/>
      <c r="NPD12377" s="100"/>
      <c r="NPE12377" s="205"/>
      <c r="NPF12377" s="149"/>
      <c r="NPG12377" s="102"/>
      <c r="NPH12377" s="101"/>
      <c r="NPI12377" s="99"/>
      <c r="NPJ12377" s="100"/>
      <c r="NPK12377" s="205"/>
      <c r="NPL12377" s="149"/>
      <c r="NPM12377" s="102"/>
      <c r="NPN12377" s="101"/>
      <c r="NPO12377" s="99"/>
      <c r="NPP12377" s="100"/>
      <c r="NPQ12377" s="205"/>
      <c r="NPR12377" s="149"/>
      <c r="NPS12377" s="102"/>
      <c r="NPT12377" s="101"/>
      <c r="NPU12377" s="99"/>
      <c r="NPV12377" s="100"/>
      <c r="NPW12377" s="205"/>
      <c r="NPX12377" s="149"/>
      <c r="NPY12377" s="102"/>
      <c r="NPZ12377" s="101"/>
      <c r="NQA12377" s="99"/>
      <c r="NQB12377" s="100"/>
      <c r="NQC12377" s="205"/>
      <c r="NQD12377" s="149"/>
      <c r="NQE12377" s="102"/>
      <c r="NQF12377" s="101"/>
      <c r="NQG12377" s="99"/>
      <c r="NQH12377" s="100"/>
      <c r="NQI12377" s="205"/>
      <c r="NQJ12377" s="149"/>
      <c r="NQK12377" s="102"/>
      <c r="NQL12377" s="101"/>
      <c r="NQM12377" s="99"/>
      <c r="NQN12377" s="100"/>
      <c r="NQO12377" s="205"/>
      <c r="NQP12377" s="149"/>
      <c r="NQQ12377" s="102"/>
      <c r="NQR12377" s="101"/>
      <c r="NQS12377" s="99"/>
      <c r="NQT12377" s="100"/>
      <c r="NQU12377" s="205"/>
      <c r="NQV12377" s="149"/>
      <c r="NQW12377" s="102"/>
      <c r="NQX12377" s="101"/>
      <c r="NQY12377" s="99"/>
      <c r="NQZ12377" s="100"/>
      <c r="NRA12377" s="205"/>
      <c r="NRB12377" s="149"/>
      <c r="NRC12377" s="102"/>
      <c r="NRD12377" s="101"/>
      <c r="NRE12377" s="99"/>
      <c r="NRF12377" s="100"/>
      <c r="NRG12377" s="205"/>
      <c r="NRH12377" s="149"/>
      <c r="NRI12377" s="102"/>
      <c r="NRJ12377" s="101"/>
      <c r="NRK12377" s="99"/>
      <c r="NRL12377" s="100"/>
      <c r="NRM12377" s="205"/>
      <c r="NRN12377" s="149"/>
      <c r="NRO12377" s="102"/>
      <c r="NRP12377" s="101"/>
      <c r="NRQ12377" s="99"/>
      <c r="NRR12377" s="100"/>
      <c r="NRS12377" s="205"/>
      <c r="NRT12377" s="149"/>
      <c r="NRU12377" s="102"/>
      <c r="NRV12377" s="101"/>
      <c r="NRW12377" s="99"/>
      <c r="NRX12377" s="100"/>
      <c r="NRY12377" s="205"/>
      <c r="NRZ12377" s="149"/>
      <c r="NSA12377" s="102"/>
      <c r="NSB12377" s="101"/>
      <c r="NSC12377" s="99"/>
      <c r="NSD12377" s="100"/>
      <c r="NSE12377" s="205"/>
      <c r="NSF12377" s="149"/>
      <c r="NSG12377" s="102"/>
      <c r="NSH12377" s="101"/>
      <c r="NSI12377" s="99"/>
      <c r="NSJ12377" s="100"/>
      <c r="NSK12377" s="205"/>
      <c r="NSL12377" s="149"/>
      <c r="NSM12377" s="102"/>
      <c r="NSN12377" s="101"/>
      <c r="NSO12377" s="99"/>
      <c r="NSP12377" s="100"/>
      <c r="NSQ12377" s="205"/>
      <c r="NSR12377" s="149"/>
      <c r="NSS12377" s="102"/>
      <c r="NST12377" s="101"/>
      <c r="NSU12377" s="99"/>
      <c r="NSV12377" s="100"/>
      <c r="NSW12377" s="205"/>
      <c r="NSX12377" s="149"/>
      <c r="NSY12377" s="102"/>
      <c r="NSZ12377" s="101"/>
      <c r="NTA12377" s="99"/>
      <c r="NTB12377" s="100"/>
      <c r="NTC12377" s="205"/>
      <c r="NTD12377" s="149"/>
      <c r="NTE12377" s="102"/>
      <c r="NTF12377" s="101"/>
      <c r="NTG12377" s="99"/>
      <c r="NTH12377" s="100"/>
      <c r="NTI12377" s="205"/>
      <c r="NTJ12377" s="149"/>
      <c r="NTK12377" s="102"/>
      <c r="NTL12377" s="101"/>
      <c r="NTM12377" s="99"/>
      <c r="NTN12377" s="100"/>
      <c r="NTO12377" s="205"/>
      <c r="NTP12377" s="149"/>
      <c r="NTQ12377" s="102"/>
      <c r="NTR12377" s="101"/>
      <c r="NTS12377" s="99"/>
      <c r="NTT12377" s="100"/>
      <c r="NTU12377" s="205"/>
      <c r="NTV12377" s="149"/>
      <c r="NTW12377" s="102"/>
      <c r="NTX12377" s="101"/>
      <c r="NTY12377" s="99"/>
      <c r="NTZ12377" s="100"/>
      <c r="NUA12377" s="205"/>
      <c r="NUB12377" s="149"/>
      <c r="NUC12377" s="102"/>
      <c r="NUD12377" s="101"/>
      <c r="NUE12377" s="99"/>
      <c r="NUF12377" s="100"/>
      <c r="NUG12377" s="205"/>
      <c r="NUH12377" s="149"/>
      <c r="NUI12377" s="102"/>
      <c r="NUJ12377" s="101"/>
      <c r="NUK12377" s="99"/>
      <c r="NUL12377" s="100"/>
      <c r="NUM12377" s="205"/>
      <c r="NUN12377" s="149"/>
      <c r="NUO12377" s="102"/>
      <c r="NUP12377" s="101"/>
      <c r="NUQ12377" s="99"/>
      <c r="NUR12377" s="100"/>
      <c r="NUS12377" s="205"/>
      <c r="NUT12377" s="149"/>
      <c r="NUU12377" s="102"/>
      <c r="NUV12377" s="101"/>
      <c r="NUW12377" s="99"/>
      <c r="NUX12377" s="100"/>
      <c r="NUY12377" s="205"/>
      <c r="NUZ12377" s="149"/>
      <c r="NVA12377" s="102"/>
      <c r="NVB12377" s="101"/>
      <c r="NVC12377" s="99"/>
      <c r="NVD12377" s="100"/>
      <c r="NVE12377" s="205"/>
      <c r="NVF12377" s="149"/>
      <c r="NVG12377" s="102"/>
      <c r="NVH12377" s="101"/>
      <c r="NVI12377" s="99"/>
      <c r="NVJ12377" s="100"/>
      <c r="NVK12377" s="205"/>
      <c r="NVL12377" s="149"/>
      <c r="NVM12377" s="102"/>
      <c r="NVN12377" s="101"/>
      <c r="NVO12377" s="99"/>
      <c r="NVP12377" s="100"/>
      <c r="NVQ12377" s="205"/>
      <c r="NVR12377" s="149"/>
      <c r="NVS12377" s="102"/>
      <c r="NVT12377" s="101"/>
      <c r="NVU12377" s="99"/>
      <c r="NVV12377" s="100"/>
      <c r="NVW12377" s="205"/>
      <c r="NVX12377" s="149"/>
      <c r="NVY12377" s="102"/>
      <c r="NVZ12377" s="101"/>
      <c r="NWA12377" s="99"/>
      <c r="NWB12377" s="100"/>
      <c r="NWC12377" s="205"/>
      <c r="NWD12377" s="149"/>
      <c r="NWE12377" s="102"/>
      <c r="NWF12377" s="101"/>
      <c r="NWG12377" s="99"/>
      <c r="NWH12377" s="100"/>
      <c r="NWI12377" s="205"/>
      <c r="NWJ12377" s="149"/>
      <c r="NWK12377" s="102"/>
      <c r="NWL12377" s="101"/>
      <c r="NWM12377" s="99"/>
      <c r="NWN12377" s="100"/>
      <c r="NWO12377" s="205"/>
      <c r="NWP12377" s="149"/>
      <c r="NWQ12377" s="102"/>
      <c r="NWR12377" s="101"/>
      <c r="NWS12377" s="99"/>
      <c r="NWT12377" s="100"/>
      <c r="NWU12377" s="205"/>
      <c r="NWV12377" s="149"/>
      <c r="NWW12377" s="102"/>
      <c r="NWX12377" s="101"/>
      <c r="NWY12377" s="99"/>
      <c r="NWZ12377" s="100"/>
      <c r="NXA12377" s="205"/>
      <c r="NXB12377" s="149"/>
      <c r="NXC12377" s="102"/>
      <c r="NXD12377" s="101"/>
      <c r="NXE12377" s="99"/>
      <c r="NXF12377" s="100"/>
      <c r="NXG12377" s="205"/>
      <c r="NXH12377" s="149"/>
      <c r="NXI12377" s="102"/>
      <c r="NXJ12377" s="101"/>
      <c r="NXK12377" s="99"/>
      <c r="NXL12377" s="100"/>
      <c r="NXM12377" s="205"/>
      <c r="NXN12377" s="149"/>
      <c r="NXO12377" s="102"/>
      <c r="NXP12377" s="101"/>
      <c r="NXQ12377" s="99"/>
      <c r="NXR12377" s="100"/>
      <c r="NXS12377" s="205"/>
      <c r="NXT12377" s="149"/>
      <c r="NXU12377" s="102"/>
      <c r="NXV12377" s="101"/>
      <c r="NXW12377" s="99"/>
      <c r="NXX12377" s="100"/>
      <c r="NXY12377" s="205"/>
      <c r="NXZ12377" s="149"/>
      <c r="NYA12377" s="102"/>
      <c r="NYB12377" s="101"/>
      <c r="NYC12377" s="99"/>
      <c r="NYD12377" s="100"/>
      <c r="NYE12377" s="205"/>
      <c r="NYF12377" s="149"/>
      <c r="NYG12377" s="102"/>
      <c r="NYH12377" s="101"/>
      <c r="NYI12377" s="99"/>
      <c r="NYJ12377" s="100"/>
      <c r="NYK12377" s="205"/>
      <c r="NYL12377" s="149"/>
      <c r="NYM12377" s="102"/>
      <c r="NYN12377" s="101"/>
      <c r="NYO12377" s="99"/>
      <c r="NYP12377" s="100"/>
      <c r="NYQ12377" s="205"/>
      <c r="NYR12377" s="149"/>
      <c r="NYS12377" s="102"/>
      <c r="NYT12377" s="101"/>
      <c r="NYU12377" s="99"/>
      <c r="NYV12377" s="100"/>
      <c r="NYW12377" s="205"/>
      <c r="NYX12377" s="149"/>
      <c r="NYY12377" s="102"/>
      <c r="NYZ12377" s="101"/>
      <c r="NZA12377" s="99"/>
      <c r="NZB12377" s="100"/>
      <c r="NZC12377" s="205"/>
      <c r="NZD12377" s="149"/>
      <c r="NZE12377" s="102"/>
      <c r="NZF12377" s="101"/>
      <c r="NZG12377" s="99"/>
      <c r="NZH12377" s="100"/>
      <c r="NZI12377" s="205"/>
      <c r="NZJ12377" s="149"/>
      <c r="NZK12377" s="102"/>
      <c r="NZL12377" s="101"/>
      <c r="NZM12377" s="99"/>
      <c r="NZN12377" s="100"/>
      <c r="NZO12377" s="205"/>
      <c r="NZP12377" s="149"/>
      <c r="NZQ12377" s="102"/>
      <c r="NZR12377" s="101"/>
      <c r="NZS12377" s="99"/>
      <c r="NZT12377" s="100"/>
      <c r="NZU12377" s="205"/>
      <c r="NZV12377" s="149"/>
      <c r="NZW12377" s="102"/>
      <c r="NZX12377" s="101"/>
      <c r="NZY12377" s="99"/>
      <c r="NZZ12377" s="100"/>
      <c r="OAA12377" s="205"/>
      <c r="OAB12377" s="149"/>
      <c r="OAC12377" s="102"/>
      <c r="OAD12377" s="101"/>
      <c r="OAE12377" s="99"/>
      <c r="OAF12377" s="100"/>
      <c r="OAG12377" s="205"/>
      <c r="OAH12377" s="149"/>
      <c r="OAI12377" s="102"/>
      <c r="OAJ12377" s="101"/>
      <c r="OAK12377" s="99"/>
      <c r="OAL12377" s="100"/>
      <c r="OAM12377" s="205"/>
      <c r="OAN12377" s="149"/>
      <c r="OAO12377" s="102"/>
      <c r="OAP12377" s="101"/>
      <c r="OAQ12377" s="99"/>
      <c r="OAR12377" s="100"/>
      <c r="OAS12377" s="205"/>
      <c r="OAT12377" s="149"/>
      <c r="OAU12377" s="102"/>
      <c r="OAV12377" s="101"/>
      <c r="OAW12377" s="99"/>
      <c r="OAX12377" s="100"/>
      <c r="OAY12377" s="205"/>
      <c r="OAZ12377" s="149"/>
      <c r="OBA12377" s="102"/>
      <c r="OBB12377" s="101"/>
      <c r="OBC12377" s="99"/>
      <c r="OBD12377" s="100"/>
      <c r="OBE12377" s="205"/>
      <c r="OBF12377" s="149"/>
      <c r="OBG12377" s="102"/>
      <c r="OBH12377" s="101"/>
      <c r="OBI12377" s="99"/>
      <c r="OBJ12377" s="100"/>
      <c r="OBK12377" s="205"/>
      <c r="OBL12377" s="149"/>
      <c r="OBM12377" s="102"/>
      <c r="OBN12377" s="101"/>
      <c r="OBO12377" s="99"/>
      <c r="OBP12377" s="100"/>
      <c r="OBQ12377" s="205"/>
      <c r="OBR12377" s="149"/>
      <c r="OBS12377" s="102"/>
      <c r="OBT12377" s="101"/>
      <c r="OBU12377" s="99"/>
      <c r="OBV12377" s="100"/>
      <c r="OBW12377" s="205"/>
      <c r="OBX12377" s="149"/>
      <c r="OBY12377" s="102"/>
      <c r="OBZ12377" s="101"/>
      <c r="OCA12377" s="99"/>
      <c r="OCB12377" s="100"/>
      <c r="OCC12377" s="205"/>
      <c r="OCD12377" s="149"/>
      <c r="OCE12377" s="102"/>
      <c r="OCF12377" s="101"/>
      <c r="OCG12377" s="99"/>
      <c r="OCH12377" s="100"/>
      <c r="OCI12377" s="205"/>
      <c r="OCJ12377" s="149"/>
      <c r="OCK12377" s="102"/>
      <c r="OCL12377" s="101"/>
      <c r="OCM12377" s="99"/>
      <c r="OCN12377" s="100"/>
      <c r="OCO12377" s="205"/>
      <c r="OCP12377" s="149"/>
      <c r="OCQ12377" s="102"/>
      <c r="OCR12377" s="101"/>
      <c r="OCS12377" s="99"/>
      <c r="OCT12377" s="100"/>
      <c r="OCU12377" s="205"/>
      <c r="OCV12377" s="149"/>
      <c r="OCW12377" s="102"/>
      <c r="OCX12377" s="101"/>
      <c r="OCY12377" s="99"/>
      <c r="OCZ12377" s="100"/>
      <c r="ODA12377" s="205"/>
      <c r="ODB12377" s="149"/>
      <c r="ODC12377" s="102"/>
      <c r="ODD12377" s="101"/>
      <c r="ODE12377" s="99"/>
      <c r="ODF12377" s="100"/>
      <c r="ODG12377" s="205"/>
      <c r="ODH12377" s="149"/>
      <c r="ODI12377" s="102"/>
      <c r="ODJ12377" s="101"/>
      <c r="ODK12377" s="99"/>
      <c r="ODL12377" s="100"/>
      <c r="ODM12377" s="205"/>
      <c r="ODN12377" s="149"/>
      <c r="ODO12377" s="102"/>
      <c r="ODP12377" s="101"/>
      <c r="ODQ12377" s="99"/>
      <c r="ODR12377" s="100"/>
      <c r="ODS12377" s="205"/>
      <c r="ODT12377" s="149"/>
      <c r="ODU12377" s="102"/>
      <c r="ODV12377" s="101"/>
      <c r="ODW12377" s="99"/>
      <c r="ODX12377" s="100"/>
      <c r="ODY12377" s="205"/>
      <c r="ODZ12377" s="149"/>
      <c r="OEA12377" s="102"/>
      <c r="OEB12377" s="101"/>
      <c r="OEC12377" s="99"/>
      <c r="OED12377" s="100"/>
      <c r="OEE12377" s="205"/>
      <c r="OEF12377" s="149"/>
      <c r="OEG12377" s="102"/>
      <c r="OEH12377" s="101"/>
      <c r="OEI12377" s="99"/>
      <c r="OEJ12377" s="100"/>
      <c r="OEK12377" s="205"/>
      <c r="OEL12377" s="149"/>
      <c r="OEM12377" s="102"/>
      <c r="OEN12377" s="101"/>
      <c r="OEO12377" s="99"/>
      <c r="OEP12377" s="100"/>
      <c r="OEQ12377" s="205"/>
      <c r="OER12377" s="149"/>
      <c r="OES12377" s="102"/>
      <c r="OET12377" s="101"/>
      <c r="OEU12377" s="99"/>
      <c r="OEV12377" s="100"/>
      <c r="OEW12377" s="205"/>
      <c r="OEX12377" s="149"/>
      <c r="OEY12377" s="102"/>
      <c r="OEZ12377" s="101"/>
      <c r="OFA12377" s="99"/>
      <c r="OFB12377" s="100"/>
      <c r="OFC12377" s="205"/>
      <c r="OFD12377" s="149"/>
      <c r="OFE12377" s="102"/>
      <c r="OFF12377" s="101"/>
      <c r="OFG12377" s="99"/>
      <c r="OFH12377" s="100"/>
      <c r="OFI12377" s="205"/>
      <c r="OFJ12377" s="149"/>
      <c r="OFK12377" s="102"/>
      <c r="OFL12377" s="101"/>
      <c r="OFM12377" s="99"/>
      <c r="OFN12377" s="100"/>
      <c r="OFO12377" s="205"/>
      <c r="OFP12377" s="149"/>
      <c r="OFQ12377" s="102"/>
      <c r="OFR12377" s="101"/>
      <c r="OFS12377" s="99"/>
      <c r="OFT12377" s="100"/>
      <c r="OFU12377" s="205"/>
      <c r="OFV12377" s="149"/>
      <c r="OFW12377" s="102"/>
      <c r="OFX12377" s="101"/>
      <c r="OFY12377" s="99"/>
      <c r="OFZ12377" s="100"/>
      <c r="OGA12377" s="205"/>
      <c r="OGB12377" s="149"/>
      <c r="OGC12377" s="102"/>
      <c r="OGD12377" s="101"/>
      <c r="OGE12377" s="99"/>
      <c r="OGF12377" s="100"/>
      <c r="OGG12377" s="205"/>
      <c r="OGH12377" s="149"/>
      <c r="OGI12377" s="102"/>
      <c r="OGJ12377" s="101"/>
      <c r="OGK12377" s="99"/>
      <c r="OGL12377" s="100"/>
      <c r="OGM12377" s="205"/>
      <c r="OGN12377" s="149"/>
      <c r="OGO12377" s="102"/>
      <c r="OGP12377" s="101"/>
      <c r="OGQ12377" s="99"/>
      <c r="OGR12377" s="100"/>
      <c r="OGS12377" s="205"/>
      <c r="OGT12377" s="149"/>
      <c r="OGU12377" s="102"/>
      <c r="OGV12377" s="101"/>
      <c r="OGW12377" s="99"/>
      <c r="OGX12377" s="100"/>
      <c r="OGY12377" s="205"/>
      <c r="OGZ12377" s="149"/>
      <c r="OHA12377" s="102"/>
      <c r="OHB12377" s="101"/>
      <c r="OHC12377" s="99"/>
      <c r="OHD12377" s="100"/>
      <c r="OHE12377" s="205"/>
      <c r="OHF12377" s="149"/>
      <c r="OHG12377" s="102"/>
      <c r="OHH12377" s="101"/>
      <c r="OHI12377" s="99"/>
      <c r="OHJ12377" s="100"/>
      <c r="OHK12377" s="205"/>
      <c r="OHL12377" s="149"/>
      <c r="OHM12377" s="102"/>
      <c r="OHN12377" s="101"/>
      <c r="OHO12377" s="99"/>
      <c r="OHP12377" s="100"/>
      <c r="OHQ12377" s="205"/>
      <c r="OHR12377" s="149"/>
      <c r="OHS12377" s="102"/>
      <c r="OHT12377" s="101"/>
      <c r="OHU12377" s="99"/>
      <c r="OHV12377" s="100"/>
      <c r="OHW12377" s="205"/>
      <c r="OHX12377" s="149"/>
      <c r="OHY12377" s="102"/>
      <c r="OHZ12377" s="101"/>
      <c r="OIA12377" s="99"/>
      <c r="OIB12377" s="100"/>
      <c r="OIC12377" s="205"/>
      <c r="OID12377" s="149"/>
      <c r="OIE12377" s="102"/>
      <c r="OIF12377" s="101"/>
      <c r="OIG12377" s="99"/>
      <c r="OIH12377" s="100"/>
      <c r="OII12377" s="205"/>
      <c r="OIJ12377" s="149"/>
      <c r="OIK12377" s="102"/>
      <c r="OIL12377" s="101"/>
      <c r="OIM12377" s="99"/>
      <c r="OIN12377" s="100"/>
      <c r="OIO12377" s="205"/>
      <c r="OIP12377" s="149"/>
      <c r="OIQ12377" s="102"/>
      <c r="OIR12377" s="101"/>
      <c r="OIS12377" s="99"/>
      <c r="OIT12377" s="100"/>
      <c r="OIU12377" s="205"/>
      <c r="OIV12377" s="149"/>
      <c r="OIW12377" s="102"/>
      <c r="OIX12377" s="101"/>
      <c r="OIY12377" s="99"/>
      <c r="OIZ12377" s="100"/>
      <c r="OJA12377" s="205"/>
      <c r="OJB12377" s="149"/>
      <c r="OJC12377" s="102"/>
      <c r="OJD12377" s="101"/>
      <c r="OJE12377" s="99"/>
      <c r="OJF12377" s="100"/>
      <c r="OJG12377" s="205"/>
      <c r="OJH12377" s="149"/>
      <c r="OJI12377" s="102"/>
      <c r="OJJ12377" s="101"/>
      <c r="OJK12377" s="99"/>
      <c r="OJL12377" s="100"/>
      <c r="OJM12377" s="205"/>
      <c r="OJN12377" s="149"/>
      <c r="OJO12377" s="102"/>
      <c r="OJP12377" s="101"/>
      <c r="OJQ12377" s="99"/>
      <c r="OJR12377" s="100"/>
      <c r="OJS12377" s="205"/>
      <c r="OJT12377" s="149"/>
      <c r="OJU12377" s="102"/>
      <c r="OJV12377" s="101"/>
      <c r="OJW12377" s="99"/>
      <c r="OJX12377" s="100"/>
      <c r="OJY12377" s="205"/>
      <c r="OJZ12377" s="149"/>
      <c r="OKA12377" s="102"/>
      <c r="OKB12377" s="101"/>
      <c r="OKC12377" s="99"/>
      <c r="OKD12377" s="100"/>
      <c r="OKE12377" s="205"/>
      <c r="OKF12377" s="149"/>
      <c r="OKG12377" s="102"/>
      <c r="OKH12377" s="101"/>
      <c r="OKI12377" s="99"/>
      <c r="OKJ12377" s="100"/>
      <c r="OKK12377" s="205"/>
      <c r="OKL12377" s="149"/>
      <c r="OKM12377" s="102"/>
      <c r="OKN12377" s="101"/>
      <c r="OKO12377" s="99"/>
      <c r="OKP12377" s="100"/>
      <c r="OKQ12377" s="205"/>
      <c r="OKR12377" s="149"/>
      <c r="OKS12377" s="102"/>
      <c r="OKT12377" s="101"/>
      <c r="OKU12377" s="99"/>
      <c r="OKV12377" s="100"/>
      <c r="OKW12377" s="205"/>
      <c r="OKX12377" s="149"/>
      <c r="OKY12377" s="102"/>
      <c r="OKZ12377" s="101"/>
      <c r="OLA12377" s="99"/>
      <c r="OLB12377" s="100"/>
      <c r="OLC12377" s="205"/>
      <c r="OLD12377" s="149"/>
      <c r="OLE12377" s="102"/>
      <c r="OLF12377" s="101"/>
      <c r="OLG12377" s="99"/>
      <c r="OLH12377" s="100"/>
      <c r="OLI12377" s="205"/>
      <c r="OLJ12377" s="149"/>
      <c r="OLK12377" s="102"/>
      <c r="OLL12377" s="101"/>
      <c r="OLM12377" s="99"/>
      <c r="OLN12377" s="100"/>
      <c r="OLO12377" s="205"/>
      <c r="OLP12377" s="149"/>
      <c r="OLQ12377" s="102"/>
      <c r="OLR12377" s="101"/>
      <c r="OLS12377" s="99"/>
      <c r="OLT12377" s="100"/>
      <c r="OLU12377" s="205"/>
      <c r="OLV12377" s="149"/>
      <c r="OLW12377" s="102"/>
      <c r="OLX12377" s="101"/>
      <c r="OLY12377" s="99"/>
      <c r="OLZ12377" s="100"/>
      <c r="OMA12377" s="205"/>
      <c r="OMB12377" s="149"/>
      <c r="OMC12377" s="102"/>
      <c r="OMD12377" s="101"/>
      <c r="OME12377" s="99"/>
      <c r="OMF12377" s="100"/>
      <c r="OMG12377" s="205"/>
      <c r="OMH12377" s="149"/>
      <c r="OMI12377" s="102"/>
      <c r="OMJ12377" s="101"/>
      <c r="OMK12377" s="99"/>
      <c r="OML12377" s="100"/>
      <c r="OMM12377" s="205"/>
      <c r="OMN12377" s="149"/>
      <c r="OMO12377" s="102"/>
      <c r="OMP12377" s="101"/>
      <c r="OMQ12377" s="99"/>
      <c r="OMR12377" s="100"/>
      <c r="OMS12377" s="205"/>
      <c r="OMT12377" s="149"/>
      <c r="OMU12377" s="102"/>
      <c r="OMV12377" s="101"/>
      <c r="OMW12377" s="99"/>
      <c r="OMX12377" s="100"/>
      <c r="OMY12377" s="205"/>
      <c r="OMZ12377" s="149"/>
      <c r="ONA12377" s="102"/>
      <c r="ONB12377" s="101"/>
      <c r="ONC12377" s="99"/>
      <c r="OND12377" s="100"/>
      <c r="ONE12377" s="205"/>
      <c r="ONF12377" s="149"/>
      <c r="ONG12377" s="102"/>
      <c r="ONH12377" s="101"/>
      <c r="ONI12377" s="99"/>
      <c r="ONJ12377" s="100"/>
      <c r="ONK12377" s="205"/>
      <c r="ONL12377" s="149"/>
      <c r="ONM12377" s="102"/>
      <c r="ONN12377" s="101"/>
      <c r="ONO12377" s="99"/>
      <c r="ONP12377" s="100"/>
      <c r="ONQ12377" s="205"/>
      <c r="ONR12377" s="149"/>
      <c r="ONS12377" s="102"/>
      <c r="ONT12377" s="101"/>
      <c r="ONU12377" s="99"/>
      <c r="ONV12377" s="100"/>
      <c r="ONW12377" s="205"/>
      <c r="ONX12377" s="149"/>
      <c r="ONY12377" s="102"/>
      <c r="ONZ12377" s="101"/>
      <c r="OOA12377" s="99"/>
      <c r="OOB12377" s="100"/>
      <c r="OOC12377" s="205"/>
      <c r="OOD12377" s="149"/>
      <c r="OOE12377" s="102"/>
      <c r="OOF12377" s="101"/>
      <c r="OOG12377" s="99"/>
      <c r="OOH12377" s="100"/>
      <c r="OOI12377" s="205"/>
      <c r="OOJ12377" s="149"/>
      <c r="OOK12377" s="102"/>
      <c r="OOL12377" s="101"/>
      <c r="OOM12377" s="99"/>
      <c r="OON12377" s="100"/>
      <c r="OOO12377" s="205"/>
      <c r="OOP12377" s="149"/>
      <c r="OOQ12377" s="102"/>
      <c r="OOR12377" s="101"/>
      <c r="OOS12377" s="99"/>
      <c r="OOT12377" s="100"/>
      <c r="OOU12377" s="205"/>
      <c r="OOV12377" s="149"/>
      <c r="OOW12377" s="102"/>
      <c r="OOX12377" s="101"/>
      <c r="OOY12377" s="99"/>
      <c r="OOZ12377" s="100"/>
      <c r="OPA12377" s="205"/>
      <c r="OPB12377" s="149"/>
      <c r="OPC12377" s="102"/>
      <c r="OPD12377" s="101"/>
      <c r="OPE12377" s="99"/>
      <c r="OPF12377" s="100"/>
      <c r="OPG12377" s="205"/>
      <c r="OPH12377" s="149"/>
      <c r="OPI12377" s="102"/>
      <c r="OPJ12377" s="101"/>
      <c r="OPK12377" s="99"/>
      <c r="OPL12377" s="100"/>
      <c r="OPM12377" s="205"/>
      <c r="OPN12377" s="149"/>
      <c r="OPO12377" s="102"/>
      <c r="OPP12377" s="101"/>
      <c r="OPQ12377" s="99"/>
      <c r="OPR12377" s="100"/>
      <c r="OPS12377" s="205"/>
      <c r="OPT12377" s="149"/>
      <c r="OPU12377" s="102"/>
      <c r="OPV12377" s="101"/>
      <c r="OPW12377" s="99"/>
      <c r="OPX12377" s="100"/>
      <c r="OPY12377" s="205"/>
      <c r="OPZ12377" s="149"/>
      <c r="OQA12377" s="102"/>
      <c r="OQB12377" s="101"/>
      <c r="OQC12377" s="99"/>
      <c r="OQD12377" s="100"/>
      <c r="OQE12377" s="205"/>
      <c r="OQF12377" s="149"/>
      <c r="OQG12377" s="102"/>
      <c r="OQH12377" s="101"/>
      <c r="OQI12377" s="99"/>
      <c r="OQJ12377" s="100"/>
      <c r="OQK12377" s="205"/>
      <c r="OQL12377" s="149"/>
      <c r="OQM12377" s="102"/>
      <c r="OQN12377" s="101"/>
      <c r="OQO12377" s="99"/>
      <c r="OQP12377" s="100"/>
      <c r="OQQ12377" s="205"/>
      <c r="OQR12377" s="149"/>
      <c r="OQS12377" s="102"/>
      <c r="OQT12377" s="101"/>
      <c r="OQU12377" s="99"/>
      <c r="OQV12377" s="100"/>
      <c r="OQW12377" s="205"/>
      <c r="OQX12377" s="149"/>
      <c r="OQY12377" s="102"/>
      <c r="OQZ12377" s="101"/>
      <c r="ORA12377" s="99"/>
      <c r="ORB12377" s="100"/>
      <c r="ORC12377" s="205"/>
      <c r="ORD12377" s="149"/>
      <c r="ORE12377" s="102"/>
      <c r="ORF12377" s="101"/>
      <c r="ORG12377" s="99"/>
      <c r="ORH12377" s="100"/>
      <c r="ORI12377" s="205"/>
      <c r="ORJ12377" s="149"/>
      <c r="ORK12377" s="102"/>
      <c r="ORL12377" s="101"/>
      <c r="ORM12377" s="99"/>
      <c r="ORN12377" s="100"/>
      <c r="ORO12377" s="205"/>
      <c r="ORP12377" s="149"/>
      <c r="ORQ12377" s="102"/>
      <c r="ORR12377" s="101"/>
      <c r="ORS12377" s="99"/>
      <c r="ORT12377" s="100"/>
      <c r="ORU12377" s="205"/>
      <c r="ORV12377" s="149"/>
      <c r="ORW12377" s="102"/>
      <c r="ORX12377" s="101"/>
      <c r="ORY12377" s="99"/>
      <c r="ORZ12377" s="100"/>
      <c r="OSA12377" s="205"/>
      <c r="OSB12377" s="149"/>
      <c r="OSC12377" s="102"/>
      <c r="OSD12377" s="101"/>
      <c r="OSE12377" s="99"/>
      <c r="OSF12377" s="100"/>
      <c r="OSG12377" s="205"/>
      <c r="OSH12377" s="149"/>
      <c r="OSI12377" s="102"/>
      <c r="OSJ12377" s="101"/>
      <c r="OSK12377" s="99"/>
      <c r="OSL12377" s="100"/>
      <c r="OSM12377" s="205"/>
      <c r="OSN12377" s="149"/>
      <c r="OSO12377" s="102"/>
      <c r="OSP12377" s="101"/>
      <c r="OSQ12377" s="99"/>
      <c r="OSR12377" s="100"/>
      <c r="OSS12377" s="205"/>
      <c r="OST12377" s="149"/>
      <c r="OSU12377" s="102"/>
      <c r="OSV12377" s="101"/>
      <c r="OSW12377" s="99"/>
      <c r="OSX12377" s="100"/>
      <c r="OSY12377" s="205"/>
      <c r="OSZ12377" s="149"/>
      <c r="OTA12377" s="102"/>
      <c r="OTB12377" s="101"/>
      <c r="OTC12377" s="99"/>
      <c r="OTD12377" s="100"/>
      <c r="OTE12377" s="205"/>
      <c r="OTF12377" s="149"/>
      <c r="OTG12377" s="102"/>
      <c r="OTH12377" s="101"/>
      <c r="OTI12377" s="99"/>
      <c r="OTJ12377" s="100"/>
      <c r="OTK12377" s="205"/>
      <c r="OTL12377" s="149"/>
      <c r="OTM12377" s="102"/>
      <c r="OTN12377" s="101"/>
      <c r="OTO12377" s="99"/>
      <c r="OTP12377" s="100"/>
      <c r="OTQ12377" s="205"/>
      <c r="OTR12377" s="149"/>
      <c r="OTS12377" s="102"/>
      <c r="OTT12377" s="101"/>
      <c r="OTU12377" s="99"/>
      <c r="OTV12377" s="100"/>
      <c r="OTW12377" s="205"/>
      <c r="OTX12377" s="149"/>
      <c r="OTY12377" s="102"/>
      <c r="OTZ12377" s="101"/>
      <c r="OUA12377" s="99"/>
      <c r="OUB12377" s="100"/>
      <c r="OUC12377" s="205"/>
      <c r="OUD12377" s="149"/>
      <c r="OUE12377" s="102"/>
      <c r="OUF12377" s="101"/>
      <c r="OUG12377" s="99"/>
      <c r="OUH12377" s="100"/>
      <c r="OUI12377" s="205"/>
      <c r="OUJ12377" s="149"/>
      <c r="OUK12377" s="102"/>
      <c r="OUL12377" s="101"/>
      <c r="OUM12377" s="99"/>
      <c r="OUN12377" s="100"/>
      <c r="OUO12377" s="205"/>
      <c r="OUP12377" s="149"/>
      <c r="OUQ12377" s="102"/>
      <c r="OUR12377" s="101"/>
      <c r="OUS12377" s="99"/>
      <c r="OUT12377" s="100"/>
      <c r="OUU12377" s="205"/>
      <c r="OUV12377" s="149"/>
      <c r="OUW12377" s="102"/>
      <c r="OUX12377" s="101"/>
      <c r="OUY12377" s="99"/>
      <c r="OUZ12377" s="100"/>
      <c r="OVA12377" s="205"/>
      <c r="OVB12377" s="149"/>
      <c r="OVC12377" s="102"/>
      <c r="OVD12377" s="101"/>
      <c r="OVE12377" s="99"/>
      <c r="OVF12377" s="100"/>
      <c r="OVG12377" s="205"/>
      <c r="OVH12377" s="149"/>
      <c r="OVI12377" s="102"/>
      <c r="OVJ12377" s="101"/>
      <c r="OVK12377" s="99"/>
      <c r="OVL12377" s="100"/>
      <c r="OVM12377" s="205"/>
      <c r="OVN12377" s="149"/>
      <c r="OVO12377" s="102"/>
      <c r="OVP12377" s="101"/>
      <c r="OVQ12377" s="99"/>
      <c r="OVR12377" s="100"/>
      <c r="OVS12377" s="205"/>
      <c r="OVT12377" s="149"/>
      <c r="OVU12377" s="102"/>
      <c r="OVV12377" s="101"/>
      <c r="OVW12377" s="99"/>
      <c r="OVX12377" s="100"/>
      <c r="OVY12377" s="205"/>
      <c r="OVZ12377" s="149"/>
      <c r="OWA12377" s="102"/>
      <c r="OWB12377" s="101"/>
      <c r="OWC12377" s="99"/>
      <c r="OWD12377" s="100"/>
      <c r="OWE12377" s="205"/>
      <c r="OWF12377" s="149"/>
      <c r="OWG12377" s="102"/>
      <c r="OWH12377" s="101"/>
      <c r="OWI12377" s="99"/>
      <c r="OWJ12377" s="100"/>
      <c r="OWK12377" s="205"/>
      <c r="OWL12377" s="149"/>
      <c r="OWM12377" s="102"/>
      <c r="OWN12377" s="101"/>
      <c r="OWO12377" s="99"/>
      <c r="OWP12377" s="100"/>
      <c r="OWQ12377" s="205"/>
      <c r="OWR12377" s="149"/>
      <c r="OWS12377" s="102"/>
      <c r="OWT12377" s="101"/>
      <c r="OWU12377" s="99"/>
      <c r="OWV12377" s="100"/>
      <c r="OWW12377" s="205"/>
      <c r="OWX12377" s="149"/>
      <c r="OWY12377" s="102"/>
      <c r="OWZ12377" s="101"/>
      <c r="OXA12377" s="99"/>
      <c r="OXB12377" s="100"/>
      <c r="OXC12377" s="205"/>
      <c r="OXD12377" s="149"/>
      <c r="OXE12377" s="102"/>
      <c r="OXF12377" s="101"/>
      <c r="OXG12377" s="99"/>
      <c r="OXH12377" s="100"/>
      <c r="OXI12377" s="205"/>
      <c r="OXJ12377" s="149"/>
      <c r="OXK12377" s="102"/>
      <c r="OXL12377" s="101"/>
      <c r="OXM12377" s="99"/>
      <c r="OXN12377" s="100"/>
      <c r="OXO12377" s="205"/>
      <c r="OXP12377" s="149"/>
      <c r="OXQ12377" s="102"/>
      <c r="OXR12377" s="101"/>
      <c r="OXS12377" s="99"/>
      <c r="OXT12377" s="100"/>
      <c r="OXU12377" s="205"/>
      <c r="OXV12377" s="149"/>
      <c r="OXW12377" s="102"/>
      <c r="OXX12377" s="101"/>
      <c r="OXY12377" s="99"/>
      <c r="OXZ12377" s="100"/>
      <c r="OYA12377" s="205"/>
      <c r="OYB12377" s="149"/>
      <c r="OYC12377" s="102"/>
      <c r="OYD12377" s="101"/>
      <c r="OYE12377" s="99"/>
      <c r="OYF12377" s="100"/>
      <c r="OYG12377" s="205"/>
      <c r="OYH12377" s="149"/>
      <c r="OYI12377" s="102"/>
      <c r="OYJ12377" s="101"/>
      <c r="OYK12377" s="99"/>
      <c r="OYL12377" s="100"/>
      <c r="OYM12377" s="205"/>
      <c r="OYN12377" s="149"/>
      <c r="OYO12377" s="102"/>
      <c r="OYP12377" s="101"/>
      <c r="OYQ12377" s="99"/>
      <c r="OYR12377" s="100"/>
      <c r="OYS12377" s="205"/>
      <c r="OYT12377" s="149"/>
      <c r="OYU12377" s="102"/>
      <c r="OYV12377" s="101"/>
      <c r="OYW12377" s="99"/>
      <c r="OYX12377" s="100"/>
      <c r="OYY12377" s="205"/>
      <c r="OYZ12377" s="149"/>
      <c r="OZA12377" s="102"/>
      <c r="OZB12377" s="101"/>
      <c r="OZC12377" s="99"/>
      <c r="OZD12377" s="100"/>
      <c r="OZE12377" s="205"/>
      <c r="OZF12377" s="149"/>
      <c r="OZG12377" s="102"/>
      <c r="OZH12377" s="101"/>
      <c r="OZI12377" s="99"/>
      <c r="OZJ12377" s="100"/>
      <c r="OZK12377" s="205"/>
      <c r="OZL12377" s="149"/>
      <c r="OZM12377" s="102"/>
      <c r="OZN12377" s="101"/>
      <c r="OZO12377" s="99"/>
      <c r="OZP12377" s="100"/>
      <c r="OZQ12377" s="205"/>
      <c r="OZR12377" s="149"/>
      <c r="OZS12377" s="102"/>
      <c r="OZT12377" s="101"/>
      <c r="OZU12377" s="99"/>
      <c r="OZV12377" s="100"/>
      <c r="OZW12377" s="205"/>
      <c r="OZX12377" s="149"/>
      <c r="OZY12377" s="102"/>
      <c r="OZZ12377" s="101"/>
      <c r="PAA12377" s="99"/>
      <c r="PAB12377" s="100"/>
      <c r="PAC12377" s="205"/>
      <c r="PAD12377" s="149"/>
      <c r="PAE12377" s="102"/>
      <c r="PAF12377" s="101"/>
      <c r="PAG12377" s="99"/>
      <c r="PAH12377" s="100"/>
      <c r="PAI12377" s="205"/>
      <c r="PAJ12377" s="149"/>
      <c r="PAK12377" s="102"/>
      <c r="PAL12377" s="101"/>
      <c r="PAM12377" s="99"/>
      <c r="PAN12377" s="100"/>
      <c r="PAO12377" s="205"/>
      <c r="PAP12377" s="149"/>
      <c r="PAQ12377" s="102"/>
      <c r="PAR12377" s="101"/>
      <c r="PAS12377" s="99"/>
      <c r="PAT12377" s="100"/>
      <c r="PAU12377" s="205"/>
      <c r="PAV12377" s="149"/>
      <c r="PAW12377" s="102"/>
      <c r="PAX12377" s="101"/>
      <c r="PAY12377" s="99"/>
      <c r="PAZ12377" s="100"/>
      <c r="PBA12377" s="205"/>
      <c r="PBB12377" s="149"/>
      <c r="PBC12377" s="102"/>
      <c r="PBD12377" s="101"/>
      <c r="PBE12377" s="99"/>
      <c r="PBF12377" s="100"/>
      <c r="PBG12377" s="205"/>
      <c r="PBH12377" s="149"/>
      <c r="PBI12377" s="102"/>
      <c r="PBJ12377" s="101"/>
      <c r="PBK12377" s="99"/>
      <c r="PBL12377" s="100"/>
      <c r="PBM12377" s="205"/>
      <c r="PBN12377" s="149"/>
      <c r="PBO12377" s="102"/>
      <c r="PBP12377" s="101"/>
      <c r="PBQ12377" s="99"/>
      <c r="PBR12377" s="100"/>
      <c r="PBS12377" s="205"/>
      <c r="PBT12377" s="149"/>
      <c r="PBU12377" s="102"/>
      <c r="PBV12377" s="101"/>
      <c r="PBW12377" s="99"/>
      <c r="PBX12377" s="100"/>
      <c r="PBY12377" s="205"/>
      <c r="PBZ12377" s="149"/>
      <c r="PCA12377" s="102"/>
      <c r="PCB12377" s="101"/>
      <c r="PCC12377" s="99"/>
      <c r="PCD12377" s="100"/>
      <c r="PCE12377" s="205"/>
      <c r="PCF12377" s="149"/>
      <c r="PCG12377" s="102"/>
      <c r="PCH12377" s="101"/>
      <c r="PCI12377" s="99"/>
      <c r="PCJ12377" s="100"/>
      <c r="PCK12377" s="205"/>
      <c r="PCL12377" s="149"/>
      <c r="PCM12377" s="102"/>
      <c r="PCN12377" s="101"/>
      <c r="PCO12377" s="99"/>
      <c r="PCP12377" s="100"/>
      <c r="PCQ12377" s="205"/>
      <c r="PCR12377" s="149"/>
      <c r="PCS12377" s="102"/>
      <c r="PCT12377" s="101"/>
      <c r="PCU12377" s="99"/>
      <c r="PCV12377" s="100"/>
      <c r="PCW12377" s="205"/>
      <c r="PCX12377" s="149"/>
      <c r="PCY12377" s="102"/>
      <c r="PCZ12377" s="101"/>
      <c r="PDA12377" s="99"/>
      <c r="PDB12377" s="100"/>
      <c r="PDC12377" s="205"/>
      <c r="PDD12377" s="149"/>
      <c r="PDE12377" s="102"/>
      <c r="PDF12377" s="101"/>
      <c r="PDG12377" s="99"/>
      <c r="PDH12377" s="100"/>
      <c r="PDI12377" s="205"/>
      <c r="PDJ12377" s="149"/>
      <c r="PDK12377" s="102"/>
      <c r="PDL12377" s="101"/>
      <c r="PDM12377" s="99"/>
      <c r="PDN12377" s="100"/>
      <c r="PDO12377" s="205"/>
      <c r="PDP12377" s="149"/>
      <c r="PDQ12377" s="102"/>
      <c r="PDR12377" s="101"/>
      <c r="PDS12377" s="99"/>
      <c r="PDT12377" s="100"/>
      <c r="PDU12377" s="205"/>
      <c r="PDV12377" s="149"/>
      <c r="PDW12377" s="102"/>
      <c r="PDX12377" s="101"/>
      <c r="PDY12377" s="99"/>
      <c r="PDZ12377" s="100"/>
      <c r="PEA12377" s="205"/>
      <c r="PEB12377" s="149"/>
      <c r="PEC12377" s="102"/>
      <c r="PED12377" s="101"/>
      <c r="PEE12377" s="99"/>
      <c r="PEF12377" s="100"/>
      <c r="PEG12377" s="205"/>
      <c r="PEH12377" s="149"/>
      <c r="PEI12377" s="102"/>
      <c r="PEJ12377" s="101"/>
      <c r="PEK12377" s="99"/>
      <c r="PEL12377" s="100"/>
      <c r="PEM12377" s="205"/>
      <c r="PEN12377" s="149"/>
      <c r="PEO12377" s="102"/>
      <c r="PEP12377" s="101"/>
      <c r="PEQ12377" s="99"/>
      <c r="PER12377" s="100"/>
      <c r="PES12377" s="205"/>
      <c r="PET12377" s="149"/>
      <c r="PEU12377" s="102"/>
      <c r="PEV12377" s="101"/>
      <c r="PEW12377" s="99"/>
      <c r="PEX12377" s="100"/>
      <c r="PEY12377" s="205"/>
      <c r="PEZ12377" s="149"/>
      <c r="PFA12377" s="102"/>
      <c r="PFB12377" s="101"/>
      <c r="PFC12377" s="99"/>
      <c r="PFD12377" s="100"/>
      <c r="PFE12377" s="205"/>
      <c r="PFF12377" s="149"/>
      <c r="PFG12377" s="102"/>
      <c r="PFH12377" s="101"/>
      <c r="PFI12377" s="99"/>
      <c r="PFJ12377" s="100"/>
      <c r="PFK12377" s="205"/>
      <c r="PFL12377" s="149"/>
      <c r="PFM12377" s="102"/>
      <c r="PFN12377" s="101"/>
      <c r="PFO12377" s="99"/>
      <c r="PFP12377" s="100"/>
      <c r="PFQ12377" s="205"/>
      <c r="PFR12377" s="149"/>
      <c r="PFS12377" s="102"/>
      <c r="PFT12377" s="101"/>
      <c r="PFU12377" s="99"/>
      <c r="PFV12377" s="100"/>
      <c r="PFW12377" s="205"/>
      <c r="PFX12377" s="149"/>
      <c r="PFY12377" s="102"/>
      <c r="PFZ12377" s="101"/>
      <c r="PGA12377" s="99"/>
      <c r="PGB12377" s="100"/>
      <c r="PGC12377" s="205"/>
      <c r="PGD12377" s="149"/>
      <c r="PGE12377" s="102"/>
      <c r="PGF12377" s="101"/>
      <c r="PGG12377" s="99"/>
      <c r="PGH12377" s="100"/>
      <c r="PGI12377" s="205"/>
      <c r="PGJ12377" s="149"/>
      <c r="PGK12377" s="102"/>
      <c r="PGL12377" s="101"/>
      <c r="PGM12377" s="99"/>
      <c r="PGN12377" s="100"/>
      <c r="PGO12377" s="205"/>
      <c r="PGP12377" s="149"/>
      <c r="PGQ12377" s="102"/>
      <c r="PGR12377" s="101"/>
      <c r="PGS12377" s="99"/>
      <c r="PGT12377" s="100"/>
      <c r="PGU12377" s="205"/>
      <c r="PGV12377" s="149"/>
      <c r="PGW12377" s="102"/>
      <c r="PGX12377" s="101"/>
      <c r="PGY12377" s="99"/>
      <c r="PGZ12377" s="100"/>
      <c r="PHA12377" s="205"/>
      <c r="PHB12377" s="149"/>
      <c r="PHC12377" s="102"/>
      <c r="PHD12377" s="101"/>
      <c r="PHE12377" s="99"/>
      <c r="PHF12377" s="100"/>
      <c r="PHG12377" s="205"/>
      <c r="PHH12377" s="149"/>
      <c r="PHI12377" s="102"/>
      <c r="PHJ12377" s="101"/>
      <c r="PHK12377" s="99"/>
      <c r="PHL12377" s="100"/>
      <c r="PHM12377" s="205"/>
      <c r="PHN12377" s="149"/>
      <c r="PHO12377" s="102"/>
      <c r="PHP12377" s="101"/>
      <c r="PHQ12377" s="99"/>
      <c r="PHR12377" s="100"/>
      <c r="PHS12377" s="205"/>
      <c r="PHT12377" s="149"/>
      <c r="PHU12377" s="102"/>
      <c r="PHV12377" s="101"/>
      <c r="PHW12377" s="99"/>
      <c r="PHX12377" s="100"/>
      <c r="PHY12377" s="205"/>
      <c r="PHZ12377" s="149"/>
      <c r="PIA12377" s="102"/>
      <c r="PIB12377" s="101"/>
      <c r="PIC12377" s="99"/>
      <c r="PID12377" s="100"/>
      <c r="PIE12377" s="205"/>
      <c r="PIF12377" s="149"/>
      <c r="PIG12377" s="102"/>
      <c r="PIH12377" s="101"/>
      <c r="PII12377" s="99"/>
      <c r="PIJ12377" s="100"/>
      <c r="PIK12377" s="205"/>
      <c r="PIL12377" s="149"/>
      <c r="PIM12377" s="102"/>
      <c r="PIN12377" s="101"/>
      <c r="PIO12377" s="99"/>
      <c r="PIP12377" s="100"/>
      <c r="PIQ12377" s="205"/>
      <c r="PIR12377" s="149"/>
      <c r="PIS12377" s="102"/>
      <c r="PIT12377" s="101"/>
      <c r="PIU12377" s="99"/>
      <c r="PIV12377" s="100"/>
      <c r="PIW12377" s="205"/>
      <c r="PIX12377" s="149"/>
      <c r="PIY12377" s="102"/>
      <c r="PIZ12377" s="101"/>
      <c r="PJA12377" s="99"/>
      <c r="PJB12377" s="100"/>
      <c r="PJC12377" s="205"/>
      <c r="PJD12377" s="149"/>
      <c r="PJE12377" s="102"/>
      <c r="PJF12377" s="101"/>
      <c r="PJG12377" s="99"/>
      <c r="PJH12377" s="100"/>
      <c r="PJI12377" s="205"/>
      <c r="PJJ12377" s="149"/>
      <c r="PJK12377" s="102"/>
      <c r="PJL12377" s="101"/>
      <c r="PJM12377" s="99"/>
      <c r="PJN12377" s="100"/>
      <c r="PJO12377" s="205"/>
      <c r="PJP12377" s="149"/>
      <c r="PJQ12377" s="102"/>
      <c r="PJR12377" s="101"/>
      <c r="PJS12377" s="99"/>
      <c r="PJT12377" s="100"/>
      <c r="PJU12377" s="205"/>
      <c r="PJV12377" s="149"/>
      <c r="PJW12377" s="102"/>
      <c r="PJX12377" s="101"/>
      <c r="PJY12377" s="99"/>
      <c r="PJZ12377" s="100"/>
      <c r="PKA12377" s="205"/>
      <c r="PKB12377" s="149"/>
      <c r="PKC12377" s="102"/>
      <c r="PKD12377" s="101"/>
      <c r="PKE12377" s="99"/>
      <c r="PKF12377" s="100"/>
      <c r="PKG12377" s="205"/>
      <c r="PKH12377" s="149"/>
      <c r="PKI12377" s="102"/>
      <c r="PKJ12377" s="101"/>
      <c r="PKK12377" s="99"/>
      <c r="PKL12377" s="100"/>
      <c r="PKM12377" s="205"/>
      <c r="PKN12377" s="149"/>
      <c r="PKO12377" s="102"/>
      <c r="PKP12377" s="101"/>
      <c r="PKQ12377" s="99"/>
      <c r="PKR12377" s="100"/>
      <c r="PKS12377" s="205"/>
      <c r="PKT12377" s="149"/>
      <c r="PKU12377" s="102"/>
      <c r="PKV12377" s="101"/>
      <c r="PKW12377" s="99"/>
      <c r="PKX12377" s="100"/>
      <c r="PKY12377" s="205"/>
      <c r="PKZ12377" s="149"/>
      <c r="PLA12377" s="102"/>
      <c r="PLB12377" s="101"/>
      <c r="PLC12377" s="99"/>
      <c r="PLD12377" s="100"/>
      <c r="PLE12377" s="205"/>
      <c r="PLF12377" s="149"/>
      <c r="PLG12377" s="102"/>
      <c r="PLH12377" s="101"/>
      <c r="PLI12377" s="99"/>
      <c r="PLJ12377" s="100"/>
      <c r="PLK12377" s="205"/>
      <c r="PLL12377" s="149"/>
      <c r="PLM12377" s="102"/>
      <c r="PLN12377" s="101"/>
      <c r="PLO12377" s="99"/>
      <c r="PLP12377" s="100"/>
      <c r="PLQ12377" s="205"/>
      <c r="PLR12377" s="149"/>
      <c r="PLS12377" s="102"/>
      <c r="PLT12377" s="101"/>
      <c r="PLU12377" s="99"/>
      <c r="PLV12377" s="100"/>
      <c r="PLW12377" s="205"/>
      <c r="PLX12377" s="149"/>
      <c r="PLY12377" s="102"/>
      <c r="PLZ12377" s="101"/>
      <c r="PMA12377" s="99"/>
      <c r="PMB12377" s="100"/>
      <c r="PMC12377" s="205"/>
      <c r="PMD12377" s="149"/>
      <c r="PME12377" s="102"/>
      <c r="PMF12377" s="101"/>
      <c r="PMG12377" s="99"/>
      <c r="PMH12377" s="100"/>
      <c r="PMI12377" s="205"/>
      <c r="PMJ12377" s="149"/>
      <c r="PMK12377" s="102"/>
      <c r="PML12377" s="101"/>
      <c r="PMM12377" s="99"/>
      <c r="PMN12377" s="100"/>
      <c r="PMO12377" s="205"/>
      <c r="PMP12377" s="149"/>
      <c r="PMQ12377" s="102"/>
      <c r="PMR12377" s="101"/>
      <c r="PMS12377" s="99"/>
      <c r="PMT12377" s="100"/>
      <c r="PMU12377" s="205"/>
      <c r="PMV12377" s="149"/>
      <c r="PMW12377" s="102"/>
      <c r="PMX12377" s="101"/>
      <c r="PMY12377" s="99"/>
      <c r="PMZ12377" s="100"/>
      <c r="PNA12377" s="205"/>
      <c r="PNB12377" s="149"/>
      <c r="PNC12377" s="102"/>
      <c r="PND12377" s="101"/>
      <c r="PNE12377" s="99"/>
      <c r="PNF12377" s="100"/>
      <c r="PNG12377" s="205"/>
      <c r="PNH12377" s="149"/>
      <c r="PNI12377" s="102"/>
      <c r="PNJ12377" s="101"/>
      <c r="PNK12377" s="99"/>
      <c r="PNL12377" s="100"/>
      <c r="PNM12377" s="205"/>
      <c r="PNN12377" s="149"/>
      <c r="PNO12377" s="102"/>
      <c r="PNP12377" s="101"/>
      <c r="PNQ12377" s="99"/>
      <c r="PNR12377" s="100"/>
      <c r="PNS12377" s="205"/>
      <c r="PNT12377" s="149"/>
      <c r="PNU12377" s="102"/>
      <c r="PNV12377" s="101"/>
      <c r="PNW12377" s="99"/>
      <c r="PNX12377" s="100"/>
      <c r="PNY12377" s="205"/>
      <c r="PNZ12377" s="149"/>
      <c r="POA12377" s="102"/>
      <c r="POB12377" s="101"/>
      <c r="POC12377" s="99"/>
      <c r="POD12377" s="100"/>
      <c r="POE12377" s="205"/>
      <c r="POF12377" s="149"/>
      <c r="POG12377" s="102"/>
      <c r="POH12377" s="101"/>
      <c r="POI12377" s="99"/>
      <c r="POJ12377" s="100"/>
      <c r="POK12377" s="205"/>
      <c r="POL12377" s="149"/>
      <c r="POM12377" s="102"/>
      <c r="PON12377" s="101"/>
      <c r="POO12377" s="99"/>
      <c r="POP12377" s="100"/>
      <c r="POQ12377" s="205"/>
      <c r="POR12377" s="149"/>
      <c r="POS12377" s="102"/>
      <c r="POT12377" s="101"/>
      <c r="POU12377" s="99"/>
      <c r="POV12377" s="100"/>
      <c r="POW12377" s="205"/>
      <c r="POX12377" s="149"/>
      <c r="POY12377" s="102"/>
      <c r="POZ12377" s="101"/>
      <c r="PPA12377" s="99"/>
      <c r="PPB12377" s="100"/>
      <c r="PPC12377" s="205"/>
      <c r="PPD12377" s="149"/>
      <c r="PPE12377" s="102"/>
      <c r="PPF12377" s="101"/>
      <c r="PPG12377" s="99"/>
      <c r="PPH12377" s="100"/>
      <c r="PPI12377" s="205"/>
      <c r="PPJ12377" s="149"/>
      <c r="PPK12377" s="102"/>
      <c r="PPL12377" s="101"/>
      <c r="PPM12377" s="99"/>
      <c r="PPN12377" s="100"/>
      <c r="PPO12377" s="205"/>
      <c r="PPP12377" s="149"/>
      <c r="PPQ12377" s="102"/>
      <c r="PPR12377" s="101"/>
      <c r="PPS12377" s="99"/>
      <c r="PPT12377" s="100"/>
      <c r="PPU12377" s="205"/>
      <c r="PPV12377" s="149"/>
      <c r="PPW12377" s="102"/>
      <c r="PPX12377" s="101"/>
      <c r="PPY12377" s="99"/>
      <c r="PPZ12377" s="100"/>
      <c r="PQA12377" s="205"/>
      <c r="PQB12377" s="149"/>
      <c r="PQC12377" s="102"/>
      <c r="PQD12377" s="101"/>
      <c r="PQE12377" s="99"/>
      <c r="PQF12377" s="100"/>
      <c r="PQG12377" s="205"/>
      <c r="PQH12377" s="149"/>
      <c r="PQI12377" s="102"/>
      <c r="PQJ12377" s="101"/>
      <c r="PQK12377" s="99"/>
      <c r="PQL12377" s="100"/>
      <c r="PQM12377" s="205"/>
      <c r="PQN12377" s="149"/>
      <c r="PQO12377" s="102"/>
      <c r="PQP12377" s="101"/>
      <c r="PQQ12377" s="99"/>
      <c r="PQR12377" s="100"/>
      <c r="PQS12377" s="205"/>
      <c r="PQT12377" s="149"/>
      <c r="PQU12377" s="102"/>
      <c r="PQV12377" s="101"/>
      <c r="PQW12377" s="99"/>
      <c r="PQX12377" s="100"/>
      <c r="PQY12377" s="205"/>
      <c r="PQZ12377" s="149"/>
      <c r="PRA12377" s="102"/>
      <c r="PRB12377" s="101"/>
      <c r="PRC12377" s="99"/>
      <c r="PRD12377" s="100"/>
      <c r="PRE12377" s="205"/>
      <c r="PRF12377" s="149"/>
      <c r="PRG12377" s="102"/>
      <c r="PRH12377" s="101"/>
      <c r="PRI12377" s="99"/>
      <c r="PRJ12377" s="100"/>
      <c r="PRK12377" s="205"/>
      <c r="PRL12377" s="149"/>
      <c r="PRM12377" s="102"/>
      <c r="PRN12377" s="101"/>
      <c r="PRO12377" s="99"/>
      <c r="PRP12377" s="100"/>
      <c r="PRQ12377" s="205"/>
      <c r="PRR12377" s="149"/>
      <c r="PRS12377" s="102"/>
      <c r="PRT12377" s="101"/>
      <c r="PRU12377" s="99"/>
      <c r="PRV12377" s="100"/>
      <c r="PRW12377" s="205"/>
      <c r="PRX12377" s="149"/>
      <c r="PRY12377" s="102"/>
      <c r="PRZ12377" s="101"/>
      <c r="PSA12377" s="99"/>
      <c r="PSB12377" s="100"/>
      <c r="PSC12377" s="205"/>
      <c r="PSD12377" s="149"/>
      <c r="PSE12377" s="102"/>
      <c r="PSF12377" s="101"/>
      <c r="PSG12377" s="99"/>
      <c r="PSH12377" s="100"/>
      <c r="PSI12377" s="205"/>
      <c r="PSJ12377" s="149"/>
      <c r="PSK12377" s="102"/>
      <c r="PSL12377" s="101"/>
      <c r="PSM12377" s="99"/>
      <c r="PSN12377" s="100"/>
      <c r="PSO12377" s="205"/>
      <c r="PSP12377" s="149"/>
      <c r="PSQ12377" s="102"/>
      <c r="PSR12377" s="101"/>
      <c r="PSS12377" s="99"/>
      <c r="PST12377" s="100"/>
      <c r="PSU12377" s="205"/>
      <c r="PSV12377" s="149"/>
      <c r="PSW12377" s="102"/>
      <c r="PSX12377" s="101"/>
      <c r="PSY12377" s="99"/>
      <c r="PSZ12377" s="100"/>
      <c r="PTA12377" s="205"/>
      <c r="PTB12377" s="149"/>
      <c r="PTC12377" s="102"/>
      <c r="PTD12377" s="101"/>
      <c r="PTE12377" s="99"/>
      <c r="PTF12377" s="100"/>
      <c r="PTG12377" s="205"/>
      <c r="PTH12377" s="149"/>
      <c r="PTI12377" s="102"/>
      <c r="PTJ12377" s="101"/>
      <c r="PTK12377" s="99"/>
      <c r="PTL12377" s="100"/>
      <c r="PTM12377" s="205"/>
      <c r="PTN12377" s="149"/>
      <c r="PTO12377" s="102"/>
      <c r="PTP12377" s="101"/>
      <c r="PTQ12377" s="99"/>
      <c r="PTR12377" s="100"/>
      <c r="PTS12377" s="205"/>
      <c r="PTT12377" s="149"/>
      <c r="PTU12377" s="102"/>
      <c r="PTV12377" s="101"/>
      <c r="PTW12377" s="99"/>
      <c r="PTX12377" s="100"/>
      <c r="PTY12377" s="205"/>
      <c r="PTZ12377" s="149"/>
      <c r="PUA12377" s="102"/>
      <c r="PUB12377" s="101"/>
      <c r="PUC12377" s="99"/>
      <c r="PUD12377" s="100"/>
      <c r="PUE12377" s="205"/>
      <c r="PUF12377" s="149"/>
      <c r="PUG12377" s="102"/>
      <c r="PUH12377" s="101"/>
      <c r="PUI12377" s="99"/>
      <c r="PUJ12377" s="100"/>
      <c r="PUK12377" s="205"/>
      <c r="PUL12377" s="149"/>
      <c r="PUM12377" s="102"/>
      <c r="PUN12377" s="101"/>
      <c r="PUO12377" s="99"/>
      <c r="PUP12377" s="100"/>
      <c r="PUQ12377" s="205"/>
      <c r="PUR12377" s="149"/>
      <c r="PUS12377" s="102"/>
      <c r="PUT12377" s="101"/>
      <c r="PUU12377" s="99"/>
      <c r="PUV12377" s="100"/>
      <c r="PUW12377" s="205"/>
      <c r="PUX12377" s="149"/>
      <c r="PUY12377" s="102"/>
      <c r="PUZ12377" s="101"/>
      <c r="PVA12377" s="99"/>
      <c r="PVB12377" s="100"/>
      <c r="PVC12377" s="205"/>
      <c r="PVD12377" s="149"/>
      <c r="PVE12377" s="102"/>
      <c r="PVF12377" s="101"/>
      <c r="PVG12377" s="99"/>
      <c r="PVH12377" s="100"/>
      <c r="PVI12377" s="205"/>
      <c r="PVJ12377" s="149"/>
      <c r="PVK12377" s="102"/>
      <c r="PVL12377" s="101"/>
      <c r="PVM12377" s="99"/>
      <c r="PVN12377" s="100"/>
      <c r="PVO12377" s="205"/>
      <c r="PVP12377" s="149"/>
      <c r="PVQ12377" s="102"/>
      <c r="PVR12377" s="101"/>
      <c r="PVS12377" s="99"/>
      <c r="PVT12377" s="100"/>
      <c r="PVU12377" s="205"/>
      <c r="PVV12377" s="149"/>
      <c r="PVW12377" s="102"/>
      <c r="PVX12377" s="101"/>
      <c r="PVY12377" s="99"/>
      <c r="PVZ12377" s="100"/>
      <c r="PWA12377" s="205"/>
      <c r="PWB12377" s="149"/>
      <c r="PWC12377" s="102"/>
      <c r="PWD12377" s="101"/>
      <c r="PWE12377" s="99"/>
      <c r="PWF12377" s="100"/>
      <c r="PWG12377" s="205"/>
      <c r="PWH12377" s="149"/>
      <c r="PWI12377" s="102"/>
      <c r="PWJ12377" s="101"/>
      <c r="PWK12377" s="99"/>
      <c r="PWL12377" s="100"/>
      <c r="PWM12377" s="205"/>
      <c r="PWN12377" s="149"/>
      <c r="PWO12377" s="102"/>
      <c r="PWP12377" s="101"/>
      <c r="PWQ12377" s="99"/>
      <c r="PWR12377" s="100"/>
      <c r="PWS12377" s="205"/>
      <c r="PWT12377" s="149"/>
      <c r="PWU12377" s="102"/>
      <c r="PWV12377" s="101"/>
      <c r="PWW12377" s="99"/>
      <c r="PWX12377" s="100"/>
      <c r="PWY12377" s="205"/>
      <c r="PWZ12377" s="149"/>
      <c r="PXA12377" s="102"/>
      <c r="PXB12377" s="101"/>
      <c r="PXC12377" s="99"/>
      <c r="PXD12377" s="100"/>
      <c r="PXE12377" s="205"/>
      <c r="PXF12377" s="149"/>
      <c r="PXG12377" s="102"/>
      <c r="PXH12377" s="101"/>
      <c r="PXI12377" s="99"/>
      <c r="PXJ12377" s="100"/>
      <c r="PXK12377" s="205"/>
      <c r="PXL12377" s="149"/>
      <c r="PXM12377" s="102"/>
      <c r="PXN12377" s="101"/>
      <c r="PXO12377" s="99"/>
      <c r="PXP12377" s="100"/>
      <c r="PXQ12377" s="205"/>
      <c r="PXR12377" s="149"/>
      <c r="PXS12377" s="102"/>
      <c r="PXT12377" s="101"/>
      <c r="PXU12377" s="99"/>
      <c r="PXV12377" s="100"/>
      <c r="PXW12377" s="205"/>
      <c r="PXX12377" s="149"/>
      <c r="PXY12377" s="102"/>
      <c r="PXZ12377" s="101"/>
      <c r="PYA12377" s="99"/>
      <c r="PYB12377" s="100"/>
      <c r="PYC12377" s="205"/>
      <c r="PYD12377" s="149"/>
      <c r="PYE12377" s="102"/>
      <c r="PYF12377" s="101"/>
      <c r="PYG12377" s="99"/>
      <c r="PYH12377" s="100"/>
      <c r="PYI12377" s="205"/>
      <c r="PYJ12377" s="149"/>
      <c r="PYK12377" s="102"/>
      <c r="PYL12377" s="101"/>
      <c r="PYM12377" s="99"/>
      <c r="PYN12377" s="100"/>
      <c r="PYO12377" s="205"/>
      <c r="PYP12377" s="149"/>
      <c r="PYQ12377" s="102"/>
      <c r="PYR12377" s="101"/>
      <c r="PYS12377" s="99"/>
      <c r="PYT12377" s="100"/>
      <c r="PYU12377" s="205"/>
      <c r="PYV12377" s="149"/>
      <c r="PYW12377" s="102"/>
      <c r="PYX12377" s="101"/>
      <c r="PYY12377" s="99"/>
      <c r="PYZ12377" s="100"/>
      <c r="PZA12377" s="205"/>
      <c r="PZB12377" s="149"/>
      <c r="PZC12377" s="102"/>
      <c r="PZD12377" s="101"/>
      <c r="PZE12377" s="99"/>
      <c r="PZF12377" s="100"/>
      <c r="PZG12377" s="205"/>
      <c r="PZH12377" s="149"/>
      <c r="PZI12377" s="102"/>
      <c r="PZJ12377" s="101"/>
      <c r="PZK12377" s="99"/>
      <c r="PZL12377" s="100"/>
      <c r="PZM12377" s="205"/>
      <c r="PZN12377" s="149"/>
      <c r="PZO12377" s="102"/>
      <c r="PZP12377" s="101"/>
      <c r="PZQ12377" s="99"/>
      <c r="PZR12377" s="100"/>
      <c r="PZS12377" s="205"/>
      <c r="PZT12377" s="149"/>
      <c r="PZU12377" s="102"/>
      <c r="PZV12377" s="101"/>
      <c r="PZW12377" s="99"/>
      <c r="PZX12377" s="100"/>
      <c r="PZY12377" s="205"/>
      <c r="PZZ12377" s="149"/>
      <c r="QAA12377" s="102"/>
      <c r="QAB12377" s="101"/>
      <c r="QAC12377" s="99"/>
      <c r="QAD12377" s="100"/>
      <c r="QAE12377" s="205"/>
      <c r="QAF12377" s="149"/>
      <c r="QAG12377" s="102"/>
      <c r="QAH12377" s="101"/>
      <c r="QAI12377" s="99"/>
      <c r="QAJ12377" s="100"/>
      <c r="QAK12377" s="205"/>
      <c r="QAL12377" s="149"/>
      <c r="QAM12377" s="102"/>
      <c r="QAN12377" s="101"/>
      <c r="QAO12377" s="99"/>
      <c r="QAP12377" s="100"/>
      <c r="QAQ12377" s="205"/>
      <c r="QAR12377" s="149"/>
      <c r="QAS12377" s="102"/>
      <c r="QAT12377" s="101"/>
      <c r="QAU12377" s="99"/>
      <c r="QAV12377" s="100"/>
      <c r="QAW12377" s="205"/>
      <c r="QAX12377" s="149"/>
      <c r="QAY12377" s="102"/>
      <c r="QAZ12377" s="101"/>
      <c r="QBA12377" s="99"/>
      <c r="QBB12377" s="100"/>
      <c r="QBC12377" s="205"/>
      <c r="QBD12377" s="149"/>
      <c r="QBE12377" s="102"/>
      <c r="QBF12377" s="101"/>
      <c r="QBG12377" s="99"/>
      <c r="QBH12377" s="100"/>
      <c r="QBI12377" s="205"/>
      <c r="QBJ12377" s="149"/>
      <c r="QBK12377" s="102"/>
      <c r="QBL12377" s="101"/>
      <c r="QBM12377" s="99"/>
      <c r="QBN12377" s="100"/>
      <c r="QBO12377" s="205"/>
      <c r="QBP12377" s="149"/>
      <c r="QBQ12377" s="102"/>
      <c r="QBR12377" s="101"/>
      <c r="QBS12377" s="99"/>
      <c r="QBT12377" s="100"/>
      <c r="QBU12377" s="205"/>
      <c r="QBV12377" s="149"/>
      <c r="QBW12377" s="102"/>
      <c r="QBX12377" s="101"/>
      <c r="QBY12377" s="99"/>
      <c r="QBZ12377" s="100"/>
      <c r="QCA12377" s="205"/>
      <c r="QCB12377" s="149"/>
      <c r="QCC12377" s="102"/>
      <c r="QCD12377" s="101"/>
      <c r="QCE12377" s="99"/>
      <c r="QCF12377" s="100"/>
      <c r="QCG12377" s="205"/>
      <c r="QCH12377" s="149"/>
      <c r="QCI12377" s="102"/>
      <c r="QCJ12377" s="101"/>
      <c r="QCK12377" s="99"/>
      <c r="QCL12377" s="100"/>
      <c r="QCM12377" s="205"/>
      <c r="QCN12377" s="149"/>
      <c r="QCO12377" s="102"/>
      <c r="QCP12377" s="101"/>
      <c r="QCQ12377" s="99"/>
      <c r="QCR12377" s="100"/>
      <c r="QCS12377" s="205"/>
      <c r="QCT12377" s="149"/>
      <c r="QCU12377" s="102"/>
      <c r="QCV12377" s="101"/>
      <c r="QCW12377" s="99"/>
      <c r="QCX12377" s="100"/>
      <c r="QCY12377" s="205"/>
      <c r="QCZ12377" s="149"/>
      <c r="QDA12377" s="102"/>
      <c r="QDB12377" s="101"/>
      <c r="QDC12377" s="99"/>
      <c r="QDD12377" s="100"/>
      <c r="QDE12377" s="205"/>
      <c r="QDF12377" s="149"/>
      <c r="QDG12377" s="102"/>
      <c r="QDH12377" s="101"/>
      <c r="QDI12377" s="99"/>
      <c r="QDJ12377" s="100"/>
      <c r="QDK12377" s="205"/>
      <c r="QDL12377" s="149"/>
      <c r="QDM12377" s="102"/>
      <c r="QDN12377" s="101"/>
      <c r="QDO12377" s="99"/>
      <c r="QDP12377" s="100"/>
      <c r="QDQ12377" s="205"/>
      <c r="QDR12377" s="149"/>
      <c r="QDS12377" s="102"/>
      <c r="QDT12377" s="101"/>
      <c r="QDU12377" s="99"/>
      <c r="QDV12377" s="100"/>
      <c r="QDW12377" s="205"/>
      <c r="QDX12377" s="149"/>
      <c r="QDY12377" s="102"/>
      <c r="QDZ12377" s="101"/>
      <c r="QEA12377" s="99"/>
      <c r="QEB12377" s="100"/>
      <c r="QEC12377" s="205"/>
      <c r="QED12377" s="149"/>
      <c r="QEE12377" s="102"/>
      <c r="QEF12377" s="101"/>
      <c r="QEG12377" s="99"/>
      <c r="QEH12377" s="100"/>
      <c r="QEI12377" s="205"/>
      <c r="QEJ12377" s="149"/>
      <c r="QEK12377" s="102"/>
      <c r="QEL12377" s="101"/>
      <c r="QEM12377" s="99"/>
      <c r="QEN12377" s="100"/>
      <c r="QEO12377" s="205"/>
      <c r="QEP12377" s="149"/>
      <c r="QEQ12377" s="102"/>
      <c r="QER12377" s="101"/>
      <c r="QES12377" s="99"/>
      <c r="QET12377" s="100"/>
      <c r="QEU12377" s="205"/>
      <c r="QEV12377" s="149"/>
      <c r="QEW12377" s="102"/>
      <c r="QEX12377" s="101"/>
      <c r="QEY12377" s="99"/>
      <c r="QEZ12377" s="100"/>
      <c r="QFA12377" s="205"/>
      <c r="QFB12377" s="149"/>
      <c r="QFC12377" s="102"/>
      <c r="QFD12377" s="101"/>
      <c r="QFE12377" s="99"/>
      <c r="QFF12377" s="100"/>
      <c r="QFG12377" s="205"/>
      <c r="QFH12377" s="149"/>
      <c r="QFI12377" s="102"/>
      <c r="QFJ12377" s="101"/>
      <c r="QFK12377" s="99"/>
      <c r="QFL12377" s="100"/>
      <c r="QFM12377" s="205"/>
      <c r="QFN12377" s="149"/>
      <c r="QFO12377" s="102"/>
      <c r="QFP12377" s="101"/>
      <c r="QFQ12377" s="99"/>
      <c r="QFR12377" s="100"/>
      <c r="QFS12377" s="205"/>
      <c r="QFT12377" s="149"/>
      <c r="QFU12377" s="102"/>
      <c r="QFV12377" s="101"/>
      <c r="QFW12377" s="99"/>
      <c r="QFX12377" s="100"/>
      <c r="QFY12377" s="205"/>
      <c r="QFZ12377" s="149"/>
      <c r="QGA12377" s="102"/>
      <c r="QGB12377" s="101"/>
      <c r="QGC12377" s="99"/>
      <c r="QGD12377" s="100"/>
      <c r="QGE12377" s="205"/>
      <c r="QGF12377" s="149"/>
      <c r="QGG12377" s="102"/>
      <c r="QGH12377" s="101"/>
      <c r="QGI12377" s="99"/>
      <c r="QGJ12377" s="100"/>
      <c r="QGK12377" s="205"/>
      <c r="QGL12377" s="149"/>
      <c r="QGM12377" s="102"/>
      <c r="QGN12377" s="101"/>
      <c r="QGO12377" s="99"/>
      <c r="QGP12377" s="100"/>
      <c r="QGQ12377" s="205"/>
      <c r="QGR12377" s="149"/>
      <c r="QGS12377" s="102"/>
      <c r="QGT12377" s="101"/>
      <c r="QGU12377" s="99"/>
      <c r="QGV12377" s="100"/>
      <c r="QGW12377" s="205"/>
      <c r="QGX12377" s="149"/>
      <c r="QGY12377" s="102"/>
      <c r="QGZ12377" s="101"/>
      <c r="QHA12377" s="99"/>
      <c r="QHB12377" s="100"/>
      <c r="QHC12377" s="205"/>
      <c r="QHD12377" s="149"/>
      <c r="QHE12377" s="102"/>
      <c r="QHF12377" s="101"/>
      <c r="QHG12377" s="99"/>
      <c r="QHH12377" s="100"/>
      <c r="QHI12377" s="205"/>
      <c r="QHJ12377" s="149"/>
      <c r="QHK12377" s="102"/>
      <c r="QHL12377" s="101"/>
      <c r="QHM12377" s="99"/>
      <c r="QHN12377" s="100"/>
      <c r="QHO12377" s="205"/>
      <c r="QHP12377" s="149"/>
      <c r="QHQ12377" s="102"/>
      <c r="QHR12377" s="101"/>
      <c r="QHS12377" s="99"/>
      <c r="QHT12377" s="100"/>
      <c r="QHU12377" s="205"/>
      <c r="QHV12377" s="149"/>
      <c r="QHW12377" s="102"/>
      <c r="QHX12377" s="101"/>
      <c r="QHY12377" s="99"/>
      <c r="QHZ12377" s="100"/>
      <c r="QIA12377" s="205"/>
      <c r="QIB12377" s="149"/>
      <c r="QIC12377" s="102"/>
      <c r="QID12377" s="101"/>
      <c r="QIE12377" s="99"/>
      <c r="QIF12377" s="100"/>
      <c r="QIG12377" s="205"/>
      <c r="QIH12377" s="149"/>
      <c r="QII12377" s="102"/>
      <c r="QIJ12377" s="101"/>
      <c r="QIK12377" s="99"/>
      <c r="QIL12377" s="100"/>
      <c r="QIM12377" s="205"/>
      <c r="QIN12377" s="149"/>
      <c r="QIO12377" s="102"/>
      <c r="QIP12377" s="101"/>
      <c r="QIQ12377" s="99"/>
      <c r="QIR12377" s="100"/>
      <c r="QIS12377" s="205"/>
      <c r="QIT12377" s="149"/>
      <c r="QIU12377" s="102"/>
      <c r="QIV12377" s="101"/>
      <c r="QIW12377" s="99"/>
      <c r="QIX12377" s="100"/>
      <c r="QIY12377" s="205"/>
      <c r="QIZ12377" s="149"/>
      <c r="QJA12377" s="102"/>
      <c r="QJB12377" s="101"/>
      <c r="QJC12377" s="99"/>
      <c r="QJD12377" s="100"/>
      <c r="QJE12377" s="205"/>
      <c r="QJF12377" s="149"/>
      <c r="QJG12377" s="102"/>
      <c r="QJH12377" s="101"/>
      <c r="QJI12377" s="99"/>
      <c r="QJJ12377" s="100"/>
      <c r="QJK12377" s="205"/>
      <c r="QJL12377" s="149"/>
      <c r="QJM12377" s="102"/>
      <c r="QJN12377" s="101"/>
      <c r="QJO12377" s="99"/>
      <c r="QJP12377" s="100"/>
      <c r="QJQ12377" s="205"/>
      <c r="QJR12377" s="149"/>
      <c r="QJS12377" s="102"/>
      <c r="QJT12377" s="101"/>
      <c r="QJU12377" s="99"/>
      <c r="QJV12377" s="100"/>
      <c r="QJW12377" s="205"/>
      <c r="QJX12377" s="149"/>
      <c r="QJY12377" s="102"/>
      <c r="QJZ12377" s="101"/>
      <c r="QKA12377" s="99"/>
      <c r="QKB12377" s="100"/>
      <c r="QKC12377" s="205"/>
      <c r="QKD12377" s="149"/>
      <c r="QKE12377" s="102"/>
      <c r="QKF12377" s="101"/>
      <c r="QKG12377" s="99"/>
      <c r="QKH12377" s="100"/>
      <c r="QKI12377" s="205"/>
      <c r="QKJ12377" s="149"/>
      <c r="QKK12377" s="102"/>
      <c r="QKL12377" s="101"/>
      <c r="QKM12377" s="99"/>
      <c r="QKN12377" s="100"/>
      <c r="QKO12377" s="205"/>
      <c r="QKP12377" s="149"/>
      <c r="QKQ12377" s="102"/>
      <c r="QKR12377" s="101"/>
      <c r="QKS12377" s="99"/>
      <c r="QKT12377" s="100"/>
      <c r="QKU12377" s="205"/>
      <c r="QKV12377" s="149"/>
      <c r="QKW12377" s="102"/>
      <c r="QKX12377" s="101"/>
      <c r="QKY12377" s="99"/>
      <c r="QKZ12377" s="100"/>
      <c r="QLA12377" s="205"/>
      <c r="QLB12377" s="149"/>
      <c r="QLC12377" s="102"/>
      <c r="QLD12377" s="101"/>
      <c r="QLE12377" s="99"/>
      <c r="QLF12377" s="100"/>
      <c r="QLG12377" s="205"/>
      <c r="QLH12377" s="149"/>
      <c r="QLI12377" s="102"/>
      <c r="QLJ12377" s="101"/>
      <c r="QLK12377" s="99"/>
      <c r="QLL12377" s="100"/>
      <c r="QLM12377" s="205"/>
      <c r="QLN12377" s="149"/>
      <c r="QLO12377" s="102"/>
      <c r="QLP12377" s="101"/>
      <c r="QLQ12377" s="99"/>
      <c r="QLR12377" s="100"/>
      <c r="QLS12377" s="205"/>
      <c r="QLT12377" s="149"/>
      <c r="QLU12377" s="102"/>
      <c r="QLV12377" s="101"/>
      <c r="QLW12377" s="99"/>
      <c r="QLX12377" s="100"/>
      <c r="QLY12377" s="205"/>
      <c r="QLZ12377" s="149"/>
      <c r="QMA12377" s="102"/>
      <c r="QMB12377" s="101"/>
      <c r="QMC12377" s="99"/>
      <c r="QMD12377" s="100"/>
      <c r="QME12377" s="205"/>
      <c r="QMF12377" s="149"/>
      <c r="QMG12377" s="102"/>
      <c r="QMH12377" s="101"/>
      <c r="QMI12377" s="99"/>
      <c r="QMJ12377" s="100"/>
      <c r="QMK12377" s="205"/>
      <c r="QML12377" s="149"/>
      <c r="QMM12377" s="102"/>
      <c r="QMN12377" s="101"/>
      <c r="QMO12377" s="99"/>
      <c r="QMP12377" s="100"/>
      <c r="QMQ12377" s="205"/>
      <c r="QMR12377" s="149"/>
      <c r="QMS12377" s="102"/>
      <c r="QMT12377" s="101"/>
      <c r="QMU12377" s="99"/>
      <c r="QMV12377" s="100"/>
      <c r="QMW12377" s="205"/>
      <c r="QMX12377" s="149"/>
      <c r="QMY12377" s="102"/>
      <c r="QMZ12377" s="101"/>
      <c r="QNA12377" s="99"/>
      <c r="QNB12377" s="100"/>
      <c r="QNC12377" s="205"/>
      <c r="QND12377" s="149"/>
      <c r="QNE12377" s="102"/>
      <c r="QNF12377" s="101"/>
      <c r="QNG12377" s="99"/>
      <c r="QNH12377" s="100"/>
      <c r="QNI12377" s="205"/>
      <c r="QNJ12377" s="149"/>
      <c r="QNK12377" s="102"/>
      <c r="QNL12377" s="101"/>
      <c r="QNM12377" s="99"/>
      <c r="QNN12377" s="100"/>
      <c r="QNO12377" s="205"/>
      <c r="QNP12377" s="149"/>
      <c r="QNQ12377" s="102"/>
      <c r="QNR12377" s="101"/>
      <c r="QNS12377" s="99"/>
      <c r="QNT12377" s="100"/>
      <c r="QNU12377" s="205"/>
      <c r="QNV12377" s="149"/>
      <c r="QNW12377" s="102"/>
      <c r="QNX12377" s="101"/>
      <c r="QNY12377" s="99"/>
      <c r="QNZ12377" s="100"/>
      <c r="QOA12377" s="205"/>
      <c r="QOB12377" s="149"/>
      <c r="QOC12377" s="102"/>
      <c r="QOD12377" s="101"/>
      <c r="QOE12377" s="99"/>
      <c r="QOF12377" s="100"/>
      <c r="QOG12377" s="205"/>
      <c r="QOH12377" s="149"/>
      <c r="QOI12377" s="102"/>
      <c r="QOJ12377" s="101"/>
      <c r="QOK12377" s="99"/>
      <c r="QOL12377" s="100"/>
      <c r="QOM12377" s="205"/>
      <c r="QON12377" s="149"/>
      <c r="QOO12377" s="102"/>
      <c r="QOP12377" s="101"/>
      <c r="QOQ12377" s="99"/>
      <c r="QOR12377" s="100"/>
      <c r="QOS12377" s="205"/>
      <c r="QOT12377" s="149"/>
      <c r="QOU12377" s="102"/>
      <c r="QOV12377" s="101"/>
      <c r="QOW12377" s="99"/>
      <c r="QOX12377" s="100"/>
      <c r="QOY12377" s="205"/>
      <c r="QOZ12377" s="149"/>
      <c r="QPA12377" s="102"/>
      <c r="QPB12377" s="101"/>
      <c r="QPC12377" s="99"/>
      <c r="QPD12377" s="100"/>
      <c r="QPE12377" s="205"/>
      <c r="QPF12377" s="149"/>
      <c r="QPG12377" s="102"/>
      <c r="QPH12377" s="101"/>
      <c r="QPI12377" s="99"/>
      <c r="QPJ12377" s="100"/>
      <c r="QPK12377" s="205"/>
      <c r="QPL12377" s="149"/>
      <c r="QPM12377" s="102"/>
      <c r="QPN12377" s="101"/>
      <c r="QPO12377" s="99"/>
      <c r="QPP12377" s="100"/>
      <c r="QPQ12377" s="205"/>
      <c r="QPR12377" s="149"/>
      <c r="QPS12377" s="102"/>
      <c r="QPT12377" s="101"/>
      <c r="QPU12377" s="99"/>
      <c r="QPV12377" s="100"/>
      <c r="QPW12377" s="205"/>
      <c r="QPX12377" s="149"/>
      <c r="QPY12377" s="102"/>
      <c r="QPZ12377" s="101"/>
      <c r="QQA12377" s="99"/>
      <c r="QQB12377" s="100"/>
      <c r="QQC12377" s="205"/>
      <c r="QQD12377" s="149"/>
      <c r="QQE12377" s="102"/>
      <c r="QQF12377" s="101"/>
      <c r="QQG12377" s="99"/>
      <c r="QQH12377" s="100"/>
      <c r="QQI12377" s="205"/>
      <c r="QQJ12377" s="149"/>
      <c r="QQK12377" s="102"/>
      <c r="QQL12377" s="101"/>
      <c r="QQM12377" s="99"/>
      <c r="QQN12377" s="100"/>
      <c r="QQO12377" s="205"/>
      <c r="QQP12377" s="149"/>
      <c r="QQQ12377" s="102"/>
      <c r="QQR12377" s="101"/>
      <c r="QQS12377" s="99"/>
      <c r="QQT12377" s="100"/>
      <c r="QQU12377" s="205"/>
      <c r="QQV12377" s="149"/>
      <c r="QQW12377" s="102"/>
      <c r="QQX12377" s="101"/>
      <c r="QQY12377" s="99"/>
      <c r="QQZ12377" s="100"/>
      <c r="QRA12377" s="205"/>
      <c r="QRB12377" s="149"/>
      <c r="QRC12377" s="102"/>
      <c r="QRD12377" s="101"/>
      <c r="QRE12377" s="99"/>
      <c r="QRF12377" s="100"/>
      <c r="QRG12377" s="205"/>
      <c r="QRH12377" s="149"/>
      <c r="QRI12377" s="102"/>
      <c r="QRJ12377" s="101"/>
      <c r="QRK12377" s="99"/>
      <c r="QRL12377" s="100"/>
      <c r="QRM12377" s="205"/>
      <c r="QRN12377" s="149"/>
      <c r="QRO12377" s="102"/>
      <c r="QRP12377" s="101"/>
      <c r="QRQ12377" s="99"/>
      <c r="QRR12377" s="100"/>
      <c r="QRS12377" s="205"/>
      <c r="QRT12377" s="149"/>
      <c r="QRU12377" s="102"/>
      <c r="QRV12377" s="101"/>
      <c r="QRW12377" s="99"/>
      <c r="QRX12377" s="100"/>
      <c r="QRY12377" s="205"/>
      <c r="QRZ12377" s="149"/>
      <c r="QSA12377" s="102"/>
      <c r="QSB12377" s="101"/>
      <c r="QSC12377" s="99"/>
      <c r="QSD12377" s="100"/>
      <c r="QSE12377" s="205"/>
      <c r="QSF12377" s="149"/>
      <c r="QSG12377" s="102"/>
      <c r="QSH12377" s="101"/>
      <c r="QSI12377" s="99"/>
      <c r="QSJ12377" s="100"/>
      <c r="QSK12377" s="205"/>
      <c r="QSL12377" s="149"/>
      <c r="QSM12377" s="102"/>
      <c r="QSN12377" s="101"/>
      <c r="QSO12377" s="99"/>
      <c r="QSP12377" s="100"/>
      <c r="QSQ12377" s="205"/>
      <c r="QSR12377" s="149"/>
      <c r="QSS12377" s="102"/>
      <c r="QST12377" s="101"/>
      <c r="QSU12377" s="99"/>
      <c r="QSV12377" s="100"/>
      <c r="QSW12377" s="205"/>
      <c r="QSX12377" s="149"/>
      <c r="QSY12377" s="102"/>
      <c r="QSZ12377" s="101"/>
      <c r="QTA12377" s="99"/>
      <c r="QTB12377" s="100"/>
      <c r="QTC12377" s="205"/>
      <c r="QTD12377" s="149"/>
      <c r="QTE12377" s="102"/>
      <c r="QTF12377" s="101"/>
      <c r="QTG12377" s="99"/>
      <c r="QTH12377" s="100"/>
      <c r="QTI12377" s="205"/>
      <c r="QTJ12377" s="149"/>
      <c r="QTK12377" s="102"/>
      <c r="QTL12377" s="101"/>
      <c r="QTM12377" s="99"/>
      <c r="QTN12377" s="100"/>
      <c r="QTO12377" s="205"/>
      <c r="QTP12377" s="149"/>
      <c r="QTQ12377" s="102"/>
      <c r="QTR12377" s="101"/>
      <c r="QTS12377" s="99"/>
      <c r="QTT12377" s="100"/>
      <c r="QTU12377" s="205"/>
      <c r="QTV12377" s="149"/>
      <c r="QTW12377" s="102"/>
      <c r="QTX12377" s="101"/>
      <c r="QTY12377" s="99"/>
      <c r="QTZ12377" s="100"/>
      <c r="QUA12377" s="205"/>
      <c r="QUB12377" s="149"/>
      <c r="QUC12377" s="102"/>
      <c r="QUD12377" s="101"/>
      <c r="QUE12377" s="99"/>
      <c r="QUF12377" s="100"/>
      <c r="QUG12377" s="205"/>
      <c r="QUH12377" s="149"/>
      <c r="QUI12377" s="102"/>
      <c r="QUJ12377" s="101"/>
      <c r="QUK12377" s="99"/>
      <c r="QUL12377" s="100"/>
      <c r="QUM12377" s="205"/>
      <c r="QUN12377" s="149"/>
      <c r="QUO12377" s="102"/>
      <c r="QUP12377" s="101"/>
      <c r="QUQ12377" s="99"/>
      <c r="QUR12377" s="100"/>
      <c r="QUS12377" s="205"/>
      <c r="QUT12377" s="149"/>
      <c r="QUU12377" s="102"/>
      <c r="QUV12377" s="101"/>
      <c r="QUW12377" s="99"/>
      <c r="QUX12377" s="100"/>
      <c r="QUY12377" s="205"/>
      <c r="QUZ12377" s="149"/>
      <c r="QVA12377" s="102"/>
      <c r="QVB12377" s="101"/>
      <c r="QVC12377" s="99"/>
      <c r="QVD12377" s="100"/>
      <c r="QVE12377" s="205"/>
      <c r="QVF12377" s="149"/>
      <c r="QVG12377" s="102"/>
      <c r="QVH12377" s="101"/>
      <c r="QVI12377" s="99"/>
      <c r="QVJ12377" s="100"/>
      <c r="QVK12377" s="205"/>
      <c r="QVL12377" s="149"/>
      <c r="QVM12377" s="102"/>
      <c r="QVN12377" s="101"/>
      <c r="QVO12377" s="99"/>
      <c r="QVP12377" s="100"/>
      <c r="QVQ12377" s="205"/>
      <c r="QVR12377" s="149"/>
      <c r="QVS12377" s="102"/>
      <c r="QVT12377" s="101"/>
      <c r="QVU12377" s="99"/>
      <c r="QVV12377" s="100"/>
      <c r="QVW12377" s="205"/>
      <c r="QVX12377" s="149"/>
      <c r="QVY12377" s="102"/>
      <c r="QVZ12377" s="101"/>
      <c r="QWA12377" s="99"/>
      <c r="QWB12377" s="100"/>
      <c r="QWC12377" s="205"/>
      <c r="QWD12377" s="149"/>
      <c r="QWE12377" s="102"/>
      <c r="QWF12377" s="101"/>
      <c r="QWG12377" s="99"/>
      <c r="QWH12377" s="100"/>
      <c r="QWI12377" s="205"/>
      <c r="QWJ12377" s="149"/>
      <c r="QWK12377" s="102"/>
      <c r="QWL12377" s="101"/>
      <c r="QWM12377" s="99"/>
      <c r="QWN12377" s="100"/>
      <c r="QWO12377" s="205"/>
      <c r="QWP12377" s="149"/>
      <c r="QWQ12377" s="102"/>
      <c r="QWR12377" s="101"/>
      <c r="QWS12377" s="99"/>
      <c r="QWT12377" s="100"/>
      <c r="QWU12377" s="205"/>
      <c r="QWV12377" s="149"/>
      <c r="QWW12377" s="102"/>
      <c r="QWX12377" s="101"/>
      <c r="QWY12377" s="99"/>
      <c r="QWZ12377" s="100"/>
      <c r="QXA12377" s="205"/>
      <c r="QXB12377" s="149"/>
      <c r="QXC12377" s="102"/>
      <c r="QXD12377" s="101"/>
      <c r="QXE12377" s="99"/>
      <c r="QXF12377" s="100"/>
      <c r="QXG12377" s="205"/>
      <c r="QXH12377" s="149"/>
      <c r="QXI12377" s="102"/>
      <c r="QXJ12377" s="101"/>
      <c r="QXK12377" s="99"/>
      <c r="QXL12377" s="100"/>
      <c r="QXM12377" s="205"/>
      <c r="QXN12377" s="149"/>
      <c r="QXO12377" s="102"/>
      <c r="QXP12377" s="101"/>
      <c r="QXQ12377" s="99"/>
      <c r="QXR12377" s="100"/>
      <c r="QXS12377" s="205"/>
      <c r="QXT12377" s="149"/>
      <c r="QXU12377" s="102"/>
      <c r="QXV12377" s="101"/>
      <c r="QXW12377" s="99"/>
      <c r="QXX12377" s="100"/>
      <c r="QXY12377" s="205"/>
      <c r="QXZ12377" s="149"/>
      <c r="QYA12377" s="102"/>
      <c r="QYB12377" s="101"/>
      <c r="QYC12377" s="99"/>
      <c r="QYD12377" s="100"/>
      <c r="QYE12377" s="205"/>
      <c r="QYF12377" s="149"/>
      <c r="QYG12377" s="102"/>
      <c r="QYH12377" s="101"/>
      <c r="QYI12377" s="99"/>
      <c r="QYJ12377" s="100"/>
      <c r="QYK12377" s="205"/>
      <c r="QYL12377" s="149"/>
      <c r="QYM12377" s="102"/>
      <c r="QYN12377" s="101"/>
      <c r="QYO12377" s="99"/>
      <c r="QYP12377" s="100"/>
      <c r="QYQ12377" s="205"/>
      <c r="QYR12377" s="149"/>
      <c r="QYS12377" s="102"/>
      <c r="QYT12377" s="101"/>
      <c r="QYU12377" s="99"/>
      <c r="QYV12377" s="100"/>
      <c r="QYW12377" s="205"/>
      <c r="QYX12377" s="149"/>
      <c r="QYY12377" s="102"/>
      <c r="QYZ12377" s="101"/>
      <c r="QZA12377" s="99"/>
      <c r="QZB12377" s="100"/>
      <c r="QZC12377" s="205"/>
      <c r="QZD12377" s="149"/>
      <c r="QZE12377" s="102"/>
      <c r="QZF12377" s="101"/>
      <c r="QZG12377" s="99"/>
      <c r="QZH12377" s="100"/>
      <c r="QZI12377" s="205"/>
      <c r="QZJ12377" s="149"/>
      <c r="QZK12377" s="102"/>
      <c r="QZL12377" s="101"/>
      <c r="QZM12377" s="99"/>
      <c r="QZN12377" s="100"/>
      <c r="QZO12377" s="205"/>
      <c r="QZP12377" s="149"/>
      <c r="QZQ12377" s="102"/>
      <c r="QZR12377" s="101"/>
      <c r="QZS12377" s="99"/>
      <c r="QZT12377" s="100"/>
      <c r="QZU12377" s="205"/>
      <c r="QZV12377" s="149"/>
      <c r="QZW12377" s="102"/>
      <c r="QZX12377" s="101"/>
      <c r="QZY12377" s="99"/>
      <c r="QZZ12377" s="100"/>
      <c r="RAA12377" s="205"/>
      <c r="RAB12377" s="149"/>
      <c r="RAC12377" s="102"/>
      <c r="RAD12377" s="101"/>
      <c r="RAE12377" s="99"/>
      <c r="RAF12377" s="100"/>
      <c r="RAG12377" s="205"/>
      <c r="RAH12377" s="149"/>
      <c r="RAI12377" s="102"/>
      <c r="RAJ12377" s="101"/>
      <c r="RAK12377" s="99"/>
      <c r="RAL12377" s="100"/>
      <c r="RAM12377" s="205"/>
      <c r="RAN12377" s="149"/>
      <c r="RAO12377" s="102"/>
      <c r="RAP12377" s="101"/>
      <c r="RAQ12377" s="99"/>
      <c r="RAR12377" s="100"/>
      <c r="RAS12377" s="205"/>
      <c r="RAT12377" s="149"/>
      <c r="RAU12377" s="102"/>
      <c r="RAV12377" s="101"/>
      <c r="RAW12377" s="99"/>
      <c r="RAX12377" s="100"/>
      <c r="RAY12377" s="205"/>
      <c r="RAZ12377" s="149"/>
      <c r="RBA12377" s="102"/>
      <c r="RBB12377" s="101"/>
      <c r="RBC12377" s="99"/>
      <c r="RBD12377" s="100"/>
      <c r="RBE12377" s="205"/>
      <c r="RBF12377" s="149"/>
      <c r="RBG12377" s="102"/>
      <c r="RBH12377" s="101"/>
      <c r="RBI12377" s="99"/>
      <c r="RBJ12377" s="100"/>
      <c r="RBK12377" s="205"/>
      <c r="RBL12377" s="149"/>
      <c r="RBM12377" s="102"/>
      <c r="RBN12377" s="101"/>
      <c r="RBO12377" s="99"/>
      <c r="RBP12377" s="100"/>
      <c r="RBQ12377" s="205"/>
      <c r="RBR12377" s="149"/>
      <c r="RBS12377" s="102"/>
      <c r="RBT12377" s="101"/>
      <c r="RBU12377" s="99"/>
      <c r="RBV12377" s="100"/>
      <c r="RBW12377" s="205"/>
      <c r="RBX12377" s="149"/>
      <c r="RBY12377" s="102"/>
      <c r="RBZ12377" s="101"/>
      <c r="RCA12377" s="99"/>
      <c r="RCB12377" s="100"/>
      <c r="RCC12377" s="205"/>
      <c r="RCD12377" s="149"/>
      <c r="RCE12377" s="102"/>
      <c r="RCF12377" s="101"/>
      <c r="RCG12377" s="99"/>
      <c r="RCH12377" s="100"/>
      <c r="RCI12377" s="205"/>
      <c r="RCJ12377" s="149"/>
      <c r="RCK12377" s="102"/>
      <c r="RCL12377" s="101"/>
      <c r="RCM12377" s="99"/>
      <c r="RCN12377" s="100"/>
      <c r="RCO12377" s="205"/>
      <c r="RCP12377" s="149"/>
      <c r="RCQ12377" s="102"/>
      <c r="RCR12377" s="101"/>
      <c r="RCS12377" s="99"/>
      <c r="RCT12377" s="100"/>
      <c r="RCU12377" s="205"/>
      <c r="RCV12377" s="149"/>
      <c r="RCW12377" s="102"/>
      <c r="RCX12377" s="101"/>
      <c r="RCY12377" s="99"/>
      <c r="RCZ12377" s="100"/>
      <c r="RDA12377" s="205"/>
      <c r="RDB12377" s="149"/>
      <c r="RDC12377" s="102"/>
      <c r="RDD12377" s="101"/>
      <c r="RDE12377" s="99"/>
      <c r="RDF12377" s="100"/>
      <c r="RDG12377" s="205"/>
      <c r="RDH12377" s="149"/>
      <c r="RDI12377" s="102"/>
      <c r="RDJ12377" s="101"/>
      <c r="RDK12377" s="99"/>
      <c r="RDL12377" s="100"/>
      <c r="RDM12377" s="205"/>
      <c r="RDN12377" s="149"/>
      <c r="RDO12377" s="102"/>
      <c r="RDP12377" s="101"/>
      <c r="RDQ12377" s="99"/>
      <c r="RDR12377" s="100"/>
      <c r="RDS12377" s="205"/>
      <c r="RDT12377" s="149"/>
      <c r="RDU12377" s="102"/>
      <c r="RDV12377" s="101"/>
      <c r="RDW12377" s="99"/>
      <c r="RDX12377" s="100"/>
      <c r="RDY12377" s="205"/>
      <c r="RDZ12377" s="149"/>
      <c r="REA12377" s="102"/>
      <c r="REB12377" s="101"/>
      <c r="REC12377" s="99"/>
      <c r="RED12377" s="100"/>
      <c r="REE12377" s="205"/>
      <c r="REF12377" s="149"/>
      <c r="REG12377" s="102"/>
      <c r="REH12377" s="101"/>
      <c r="REI12377" s="99"/>
      <c r="REJ12377" s="100"/>
      <c r="REK12377" s="205"/>
      <c r="REL12377" s="149"/>
      <c r="REM12377" s="102"/>
      <c r="REN12377" s="101"/>
      <c r="REO12377" s="99"/>
      <c r="REP12377" s="100"/>
      <c r="REQ12377" s="205"/>
      <c r="RER12377" s="149"/>
      <c r="RES12377" s="102"/>
      <c r="RET12377" s="101"/>
      <c r="REU12377" s="99"/>
      <c r="REV12377" s="100"/>
      <c r="REW12377" s="205"/>
      <c r="REX12377" s="149"/>
      <c r="REY12377" s="102"/>
      <c r="REZ12377" s="101"/>
      <c r="RFA12377" s="99"/>
      <c r="RFB12377" s="100"/>
      <c r="RFC12377" s="205"/>
      <c r="RFD12377" s="149"/>
      <c r="RFE12377" s="102"/>
      <c r="RFF12377" s="101"/>
      <c r="RFG12377" s="99"/>
      <c r="RFH12377" s="100"/>
      <c r="RFI12377" s="205"/>
      <c r="RFJ12377" s="149"/>
      <c r="RFK12377" s="102"/>
      <c r="RFL12377" s="101"/>
      <c r="RFM12377" s="99"/>
      <c r="RFN12377" s="100"/>
      <c r="RFO12377" s="205"/>
      <c r="RFP12377" s="149"/>
      <c r="RFQ12377" s="102"/>
      <c r="RFR12377" s="101"/>
      <c r="RFS12377" s="99"/>
      <c r="RFT12377" s="100"/>
      <c r="RFU12377" s="205"/>
      <c r="RFV12377" s="149"/>
      <c r="RFW12377" s="102"/>
      <c r="RFX12377" s="101"/>
      <c r="RFY12377" s="99"/>
      <c r="RFZ12377" s="100"/>
      <c r="RGA12377" s="205"/>
      <c r="RGB12377" s="149"/>
      <c r="RGC12377" s="102"/>
      <c r="RGD12377" s="101"/>
      <c r="RGE12377" s="99"/>
      <c r="RGF12377" s="100"/>
      <c r="RGG12377" s="205"/>
      <c r="RGH12377" s="149"/>
      <c r="RGI12377" s="102"/>
      <c r="RGJ12377" s="101"/>
      <c r="RGK12377" s="99"/>
      <c r="RGL12377" s="100"/>
      <c r="RGM12377" s="205"/>
      <c r="RGN12377" s="149"/>
      <c r="RGO12377" s="102"/>
      <c r="RGP12377" s="101"/>
      <c r="RGQ12377" s="99"/>
      <c r="RGR12377" s="100"/>
      <c r="RGS12377" s="205"/>
      <c r="RGT12377" s="149"/>
      <c r="RGU12377" s="102"/>
      <c r="RGV12377" s="101"/>
      <c r="RGW12377" s="99"/>
      <c r="RGX12377" s="100"/>
      <c r="RGY12377" s="205"/>
      <c r="RGZ12377" s="149"/>
      <c r="RHA12377" s="102"/>
      <c r="RHB12377" s="101"/>
      <c r="RHC12377" s="99"/>
      <c r="RHD12377" s="100"/>
      <c r="RHE12377" s="205"/>
      <c r="RHF12377" s="149"/>
      <c r="RHG12377" s="102"/>
      <c r="RHH12377" s="101"/>
      <c r="RHI12377" s="99"/>
      <c r="RHJ12377" s="100"/>
      <c r="RHK12377" s="205"/>
      <c r="RHL12377" s="149"/>
      <c r="RHM12377" s="102"/>
      <c r="RHN12377" s="101"/>
      <c r="RHO12377" s="99"/>
      <c r="RHP12377" s="100"/>
      <c r="RHQ12377" s="205"/>
      <c r="RHR12377" s="149"/>
      <c r="RHS12377" s="102"/>
      <c r="RHT12377" s="101"/>
      <c r="RHU12377" s="99"/>
      <c r="RHV12377" s="100"/>
      <c r="RHW12377" s="205"/>
      <c r="RHX12377" s="149"/>
      <c r="RHY12377" s="102"/>
      <c r="RHZ12377" s="101"/>
      <c r="RIA12377" s="99"/>
      <c r="RIB12377" s="100"/>
      <c r="RIC12377" s="205"/>
      <c r="RID12377" s="149"/>
      <c r="RIE12377" s="102"/>
      <c r="RIF12377" s="101"/>
      <c r="RIG12377" s="99"/>
      <c r="RIH12377" s="100"/>
      <c r="RII12377" s="205"/>
      <c r="RIJ12377" s="149"/>
      <c r="RIK12377" s="102"/>
      <c r="RIL12377" s="101"/>
      <c r="RIM12377" s="99"/>
      <c r="RIN12377" s="100"/>
      <c r="RIO12377" s="205"/>
      <c r="RIP12377" s="149"/>
      <c r="RIQ12377" s="102"/>
      <c r="RIR12377" s="101"/>
      <c r="RIS12377" s="99"/>
      <c r="RIT12377" s="100"/>
      <c r="RIU12377" s="205"/>
      <c r="RIV12377" s="149"/>
      <c r="RIW12377" s="102"/>
      <c r="RIX12377" s="101"/>
      <c r="RIY12377" s="99"/>
      <c r="RIZ12377" s="100"/>
      <c r="RJA12377" s="205"/>
      <c r="RJB12377" s="149"/>
      <c r="RJC12377" s="102"/>
      <c r="RJD12377" s="101"/>
      <c r="RJE12377" s="99"/>
      <c r="RJF12377" s="100"/>
      <c r="RJG12377" s="205"/>
      <c r="RJH12377" s="149"/>
      <c r="RJI12377" s="102"/>
      <c r="RJJ12377" s="101"/>
      <c r="RJK12377" s="99"/>
      <c r="RJL12377" s="100"/>
      <c r="RJM12377" s="205"/>
      <c r="RJN12377" s="149"/>
      <c r="RJO12377" s="102"/>
      <c r="RJP12377" s="101"/>
      <c r="RJQ12377" s="99"/>
      <c r="RJR12377" s="100"/>
      <c r="RJS12377" s="205"/>
      <c r="RJT12377" s="149"/>
      <c r="RJU12377" s="102"/>
      <c r="RJV12377" s="101"/>
      <c r="RJW12377" s="99"/>
      <c r="RJX12377" s="100"/>
      <c r="RJY12377" s="205"/>
      <c r="RJZ12377" s="149"/>
      <c r="RKA12377" s="102"/>
      <c r="RKB12377" s="101"/>
      <c r="RKC12377" s="99"/>
      <c r="RKD12377" s="100"/>
      <c r="RKE12377" s="205"/>
      <c r="RKF12377" s="149"/>
      <c r="RKG12377" s="102"/>
      <c r="RKH12377" s="101"/>
      <c r="RKI12377" s="99"/>
      <c r="RKJ12377" s="100"/>
      <c r="RKK12377" s="205"/>
      <c r="RKL12377" s="149"/>
      <c r="RKM12377" s="102"/>
      <c r="RKN12377" s="101"/>
      <c r="RKO12377" s="99"/>
      <c r="RKP12377" s="100"/>
      <c r="RKQ12377" s="205"/>
      <c r="RKR12377" s="149"/>
      <c r="RKS12377" s="102"/>
      <c r="RKT12377" s="101"/>
      <c r="RKU12377" s="99"/>
      <c r="RKV12377" s="100"/>
      <c r="RKW12377" s="205"/>
      <c r="RKX12377" s="149"/>
      <c r="RKY12377" s="102"/>
      <c r="RKZ12377" s="101"/>
      <c r="RLA12377" s="99"/>
      <c r="RLB12377" s="100"/>
      <c r="RLC12377" s="205"/>
      <c r="RLD12377" s="149"/>
      <c r="RLE12377" s="102"/>
      <c r="RLF12377" s="101"/>
      <c r="RLG12377" s="99"/>
      <c r="RLH12377" s="100"/>
      <c r="RLI12377" s="205"/>
      <c r="RLJ12377" s="149"/>
      <c r="RLK12377" s="102"/>
      <c r="RLL12377" s="101"/>
      <c r="RLM12377" s="99"/>
      <c r="RLN12377" s="100"/>
      <c r="RLO12377" s="205"/>
      <c r="RLP12377" s="149"/>
      <c r="RLQ12377" s="102"/>
      <c r="RLR12377" s="101"/>
      <c r="RLS12377" s="99"/>
      <c r="RLT12377" s="100"/>
      <c r="RLU12377" s="205"/>
      <c r="RLV12377" s="149"/>
      <c r="RLW12377" s="102"/>
      <c r="RLX12377" s="101"/>
      <c r="RLY12377" s="99"/>
      <c r="RLZ12377" s="100"/>
      <c r="RMA12377" s="205"/>
      <c r="RMB12377" s="149"/>
      <c r="RMC12377" s="102"/>
      <c r="RMD12377" s="101"/>
      <c r="RME12377" s="99"/>
      <c r="RMF12377" s="100"/>
      <c r="RMG12377" s="205"/>
      <c r="RMH12377" s="149"/>
      <c r="RMI12377" s="102"/>
      <c r="RMJ12377" s="101"/>
      <c r="RMK12377" s="99"/>
      <c r="RML12377" s="100"/>
      <c r="RMM12377" s="205"/>
      <c r="RMN12377" s="149"/>
      <c r="RMO12377" s="102"/>
      <c r="RMP12377" s="101"/>
      <c r="RMQ12377" s="99"/>
      <c r="RMR12377" s="100"/>
      <c r="RMS12377" s="205"/>
      <c r="RMT12377" s="149"/>
      <c r="RMU12377" s="102"/>
      <c r="RMV12377" s="101"/>
      <c r="RMW12377" s="99"/>
      <c r="RMX12377" s="100"/>
      <c r="RMY12377" s="205"/>
      <c r="RMZ12377" s="149"/>
      <c r="RNA12377" s="102"/>
      <c r="RNB12377" s="101"/>
      <c r="RNC12377" s="99"/>
      <c r="RND12377" s="100"/>
      <c r="RNE12377" s="205"/>
      <c r="RNF12377" s="149"/>
      <c r="RNG12377" s="102"/>
      <c r="RNH12377" s="101"/>
      <c r="RNI12377" s="99"/>
      <c r="RNJ12377" s="100"/>
      <c r="RNK12377" s="205"/>
      <c r="RNL12377" s="149"/>
      <c r="RNM12377" s="102"/>
      <c r="RNN12377" s="101"/>
      <c r="RNO12377" s="99"/>
      <c r="RNP12377" s="100"/>
      <c r="RNQ12377" s="205"/>
      <c r="RNR12377" s="149"/>
      <c r="RNS12377" s="102"/>
      <c r="RNT12377" s="101"/>
      <c r="RNU12377" s="99"/>
      <c r="RNV12377" s="100"/>
      <c r="RNW12377" s="205"/>
      <c r="RNX12377" s="149"/>
      <c r="RNY12377" s="102"/>
      <c r="RNZ12377" s="101"/>
      <c r="ROA12377" s="99"/>
      <c r="ROB12377" s="100"/>
      <c r="ROC12377" s="205"/>
      <c r="ROD12377" s="149"/>
      <c r="ROE12377" s="102"/>
      <c r="ROF12377" s="101"/>
      <c r="ROG12377" s="99"/>
      <c r="ROH12377" s="100"/>
      <c r="ROI12377" s="205"/>
      <c r="ROJ12377" s="149"/>
      <c r="ROK12377" s="102"/>
      <c r="ROL12377" s="101"/>
      <c r="ROM12377" s="99"/>
      <c r="RON12377" s="100"/>
      <c r="ROO12377" s="205"/>
      <c r="ROP12377" s="149"/>
      <c r="ROQ12377" s="102"/>
      <c r="ROR12377" s="101"/>
      <c r="ROS12377" s="99"/>
      <c r="ROT12377" s="100"/>
      <c r="ROU12377" s="205"/>
      <c r="ROV12377" s="149"/>
      <c r="ROW12377" s="102"/>
      <c r="ROX12377" s="101"/>
      <c r="ROY12377" s="99"/>
      <c r="ROZ12377" s="100"/>
      <c r="RPA12377" s="205"/>
      <c r="RPB12377" s="149"/>
      <c r="RPC12377" s="102"/>
      <c r="RPD12377" s="101"/>
      <c r="RPE12377" s="99"/>
      <c r="RPF12377" s="100"/>
      <c r="RPG12377" s="205"/>
      <c r="RPH12377" s="149"/>
      <c r="RPI12377" s="102"/>
      <c r="RPJ12377" s="101"/>
      <c r="RPK12377" s="99"/>
      <c r="RPL12377" s="100"/>
      <c r="RPM12377" s="205"/>
      <c r="RPN12377" s="149"/>
      <c r="RPO12377" s="102"/>
      <c r="RPP12377" s="101"/>
      <c r="RPQ12377" s="99"/>
      <c r="RPR12377" s="100"/>
      <c r="RPS12377" s="205"/>
      <c r="RPT12377" s="149"/>
      <c r="RPU12377" s="102"/>
      <c r="RPV12377" s="101"/>
      <c r="RPW12377" s="99"/>
      <c r="RPX12377" s="100"/>
      <c r="RPY12377" s="205"/>
      <c r="RPZ12377" s="149"/>
      <c r="RQA12377" s="102"/>
      <c r="RQB12377" s="101"/>
      <c r="RQC12377" s="99"/>
      <c r="RQD12377" s="100"/>
      <c r="RQE12377" s="205"/>
      <c r="RQF12377" s="149"/>
      <c r="RQG12377" s="102"/>
      <c r="RQH12377" s="101"/>
      <c r="RQI12377" s="99"/>
      <c r="RQJ12377" s="100"/>
      <c r="RQK12377" s="205"/>
      <c r="RQL12377" s="149"/>
      <c r="RQM12377" s="102"/>
      <c r="RQN12377" s="101"/>
      <c r="RQO12377" s="99"/>
      <c r="RQP12377" s="100"/>
      <c r="RQQ12377" s="205"/>
      <c r="RQR12377" s="149"/>
      <c r="RQS12377" s="102"/>
      <c r="RQT12377" s="101"/>
      <c r="RQU12377" s="99"/>
      <c r="RQV12377" s="100"/>
      <c r="RQW12377" s="205"/>
      <c r="RQX12377" s="149"/>
      <c r="RQY12377" s="102"/>
      <c r="RQZ12377" s="101"/>
      <c r="RRA12377" s="99"/>
      <c r="RRB12377" s="100"/>
      <c r="RRC12377" s="205"/>
      <c r="RRD12377" s="149"/>
      <c r="RRE12377" s="102"/>
      <c r="RRF12377" s="101"/>
      <c r="RRG12377" s="99"/>
      <c r="RRH12377" s="100"/>
      <c r="RRI12377" s="205"/>
      <c r="RRJ12377" s="149"/>
      <c r="RRK12377" s="102"/>
      <c r="RRL12377" s="101"/>
      <c r="RRM12377" s="99"/>
      <c r="RRN12377" s="100"/>
      <c r="RRO12377" s="205"/>
      <c r="RRP12377" s="149"/>
      <c r="RRQ12377" s="102"/>
      <c r="RRR12377" s="101"/>
      <c r="RRS12377" s="99"/>
      <c r="RRT12377" s="100"/>
      <c r="RRU12377" s="205"/>
      <c r="RRV12377" s="149"/>
      <c r="RRW12377" s="102"/>
      <c r="RRX12377" s="101"/>
      <c r="RRY12377" s="99"/>
      <c r="RRZ12377" s="100"/>
      <c r="RSA12377" s="205"/>
      <c r="RSB12377" s="149"/>
      <c r="RSC12377" s="102"/>
      <c r="RSD12377" s="101"/>
      <c r="RSE12377" s="99"/>
      <c r="RSF12377" s="100"/>
      <c r="RSG12377" s="205"/>
      <c r="RSH12377" s="149"/>
      <c r="RSI12377" s="102"/>
      <c r="RSJ12377" s="101"/>
      <c r="RSK12377" s="99"/>
      <c r="RSL12377" s="100"/>
      <c r="RSM12377" s="205"/>
      <c r="RSN12377" s="149"/>
      <c r="RSO12377" s="102"/>
      <c r="RSP12377" s="101"/>
      <c r="RSQ12377" s="99"/>
      <c r="RSR12377" s="100"/>
      <c r="RSS12377" s="205"/>
      <c r="RST12377" s="149"/>
      <c r="RSU12377" s="102"/>
      <c r="RSV12377" s="101"/>
      <c r="RSW12377" s="99"/>
      <c r="RSX12377" s="100"/>
      <c r="RSY12377" s="205"/>
      <c r="RSZ12377" s="149"/>
      <c r="RTA12377" s="102"/>
      <c r="RTB12377" s="101"/>
      <c r="RTC12377" s="99"/>
      <c r="RTD12377" s="100"/>
      <c r="RTE12377" s="205"/>
      <c r="RTF12377" s="149"/>
      <c r="RTG12377" s="102"/>
      <c r="RTH12377" s="101"/>
      <c r="RTI12377" s="99"/>
      <c r="RTJ12377" s="100"/>
      <c r="RTK12377" s="205"/>
      <c r="RTL12377" s="149"/>
      <c r="RTM12377" s="102"/>
      <c r="RTN12377" s="101"/>
      <c r="RTO12377" s="99"/>
      <c r="RTP12377" s="100"/>
      <c r="RTQ12377" s="205"/>
      <c r="RTR12377" s="149"/>
      <c r="RTS12377" s="102"/>
      <c r="RTT12377" s="101"/>
      <c r="RTU12377" s="99"/>
      <c r="RTV12377" s="100"/>
      <c r="RTW12377" s="205"/>
      <c r="RTX12377" s="149"/>
      <c r="RTY12377" s="102"/>
      <c r="RTZ12377" s="101"/>
      <c r="RUA12377" s="99"/>
      <c r="RUB12377" s="100"/>
      <c r="RUC12377" s="205"/>
      <c r="RUD12377" s="149"/>
      <c r="RUE12377" s="102"/>
      <c r="RUF12377" s="101"/>
      <c r="RUG12377" s="99"/>
      <c r="RUH12377" s="100"/>
      <c r="RUI12377" s="205"/>
      <c r="RUJ12377" s="149"/>
      <c r="RUK12377" s="102"/>
      <c r="RUL12377" s="101"/>
      <c r="RUM12377" s="99"/>
      <c r="RUN12377" s="100"/>
      <c r="RUO12377" s="205"/>
      <c r="RUP12377" s="149"/>
      <c r="RUQ12377" s="102"/>
      <c r="RUR12377" s="101"/>
      <c r="RUS12377" s="99"/>
      <c r="RUT12377" s="100"/>
      <c r="RUU12377" s="205"/>
      <c r="RUV12377" s="149"/>
      <c r="RUW12377" s="102"/>
      <c r="RUX12377" s="101"/>
      <c r="RUY12377" s="99"/>
      <c r="RUZ12377" s="100"/>
      <c r="RVA12377" s="205"/>
      <c r="RVB12377" s="149"/>
      <c r="RVC12377" s="102"/>
      <c r="RVD12377" s="101"/>
      <c r="RVE12377" s="99"/>
      <c r="RVF12377" s="100"/>
      <c r="RVG12377" s="205"/>
      <c r="RVH12377" s="149"/>
      <c r="RVI12377" s="102"/>
      <c r="RVJ12377" s="101"/>
      <c r="RVK12377" s="99"/>
      <c r="RVL12377" s="100"/>
      <c r="RVM12377" s="205"/>
      <c r="RVN12377" s="149"/>
      <c r="RVO12377" s="102"/>
      <c r="RVP12377" s="101"/>
      <c r="RVQ12377" s="99"/>
      <c r="RVR12377" s="100"/>
      <c r="RVS12377" s="205"/>
      <c r="RVT12377" s="149"/>
      <c r="RVU12377" s="102"/>
      <c r="RVV12377" s="101"/>
      <c r="RVW12377" s="99"/>
      <c r="RVX12377" s="100"/>
      <c r="RVY12377" s="205"/>
      <c r="RVZ12377" s="149"/>
      <c r="RWA12377" s="102"/>
      <c r="RWB12377" s="101"/>
      <c r="RWC12377" s="99"/>
      <c r="RWD12377" s="100"/>
      <c r="RWE12377" s="205"/>
      <c r="RWF12377" s="149"/>
      <c r="RWG12377" s="102"/>
      <c r="RWH12377" s="101"/>
      <c r="RWI12377" s="99"/>
      <c r="RWJ12377" s="100"/>
      <c r="RWK12377" s="205"/>
      <c r="RWL12377" s="149"/>
      <c r="RWM12377" s="102"/>
      <c r="RWN12377" s="101"/>
      <c r="RWO12377" s="99"/>
      <c r="RWP12377" s="100"/>
      <c r="RWQ12377" s="205"/>
      <c r="RWR12377" s="149"/>
      <c r="RWS12377" s="102"/>
      <c r="RWT12377" s="101"/>
      <c r="RWU12377" s="99"/>
      <c r="RWV12377" s="100"/>
      <c r="RWW12377" s="205"/>
      <c r="RWX12377" s="149"/>
      <c r="RWY12377" s="102"/>
      <c r="RWZ12377" s="101"/>
      <c r="RXA12377" s="99"/>
      <c r="RXB12377" s="100"/>
      <c r="RXC12377" s="205"/>
      <c r="RXD12377" s="149"/>
      <c r="RXE12377" s="102"/>
      <c r="RXF12377" s="101"/>
      <c r="RXG12377" s="99"/>
      <c r="RXH12377" s="100"/>
      <c r="RXI12377" s="205"/>
      <c r="RXJ12377" s="149"/>
      <c r="RXK12377" s="102"/>
      <c r="RXL12377" s="101"/>
      <c r="RXM12377" s="99"/>
      <c r="RXN12377" s="100"/>
      <c r="RXO12377" s="205"/>
      <c r="RXP12377" s="149"/>
      <c r="RXQ12377" s="102"/>
      <c r="RXR12377" s="101"/>
      <c r="RXS12377" s="99"/>
      <c r="RXT12377" s="100"/>
      <c r="RXU12377" s="205"/>
      <c r="RXV12377" s="149"/>
      <c r="RXW12377" s="102"/>
      <c r="RXX12377" s="101"/>
      <c r="RXY12377" s="99"/>
      <c r="RXZ12377" s="100"/>
      <c r="RYA12377" s="205"/>
      <c r="RYB12377" s="149"/>
      <c r="RYC12377" s="102"/>
      <c r="RYD12377" s="101"/>
      <c r="RYE12377" s="99"/>
      <c r="RYF12377" s="100"/>
      <c r="RYG12377" s="205"/>
      <c r="RYH12377" s="149"/>
      <c r="RYI12377" s="102"/>
      <c r="RYJ12377" s="101"/>
      <c r="RYK12377" s="99"/>
      <c r="RYL12377" s="100"/>
      <c r="RYM12377" s="205"/>
      <c r="RYN12377" s="149"/>
      <c r="RYO12377" s="102"/>
      <c r="RYP12377" s="101"/>
      <c r="RYQ12377" s="99"/>
      <c r="RYR12377" s="100"/>
      <c r="RYS12377" s="205"/>
      <c r="RYT12377" s="149"/>
      <c r="RYU12377" s="102"/>
      <c r="RYV12377" s="101"/>
      <c r="RYW12377" s="99"/>
      <c r="RYX12377" s="100"/>
      <c r="RYY12377" s="205"/>
      <c r="RYZ12377" s="149"/>
      <c r="RZA12377" s="102"/>
      <c r="RZB12377" s="101"/>
      <c r="RZC12377" s="99"/>
      <c r="RZD12377" s="100"/>
      <c r="RZE12377" s="205"/>
      <c r="RZF12377" s="149"/>
      <c r="RZG12377" s="102"/>
      <c r="RZH12377" s="101"/>
      <c r="RZI12377" s="99"/>
      <c r="RZJ12377" s="100"/>
      <c r="RZK12377" s="205"/>
      <c r="RZL12377" s="149"/>
      <c r="RZM12377" s="102"/>
      <c r="RZN12377" s="101"/>
      <c r="RZO12377" s="99"/>
      <c r="RZP12377" s="100"/>
      <c r="RZQ12377" s="205"/>
      <c r="RZR12377" s="149"/>
      <c r="RZS12377" s="102"/>
      <c r="RZT12377" s="101"/>
      <c r="RZU12377" s="99"/>
      <c r="RZV12377" s="100"/>
      <c r="RZW12377" s="205"/>
      <c r="RZX12377" s="149"/>
      <c r="RZY12377" s="102"/>
      <c r="RZZ12377" s="101"/>
      <c r="SAA12377" s="99"/>
      <c r="SAB12377" s="100"/>
      <c r="SAC12377" s="205"/>
      <c r="SAD12377" s="149"/>
      <c r="SAE12377" s="102"/>
      <c r="SAF12377" s="101"/>
      <c r="SAG12377" s="99"/>
      <c r="SAH12377" s="100"/>
      <c r="SAI12377" s="205"/>
      <c r="SAJ12377" s="149"/>
      <c r="SAK12377" s="102"/>
      <c r="SAL12377" s="101"/>
      <c r="SAM12377" s="99"/>
      <c r="SAN12377" s="100"/>
      <c r="SAO12377" s="205"/>
      <c r="SAP12377" s="149"/>
      <c r="SAQ12377" s="102"/>
      <c r="SAR12377" s="101"/>
      <c r="SAS12377" s="99"/>
      <c r="SAT12377" s="100"/>
      <c r="SAU12377" s="205"/>
      <c r="SAV12377" s="149"/>
      <c r="SAW12377" s="102"/>
      <c r="SAX12377" s="101"/>
      <c r="SAY12377" s="99"/>
      <c r="SAZ12377" s="100"/>
      <c r="SBA12377" s="205"/>
      <c r="SBB12377" s="149"/>
      <c r="SBC12377" s="102"/>
      <c r="SBD12377" s="101"/>
      <c r="SBE12377" s="99"/>
      <c r="SBF12377" s="100"/>
      <c r="SBG12377" s="205"/>
      <c r="SBH12377" s="149"/>
      <c r="SBI12377" s="102"/>
      <c r="SBJ12377" s="101"/>
      <c r="SBK12377" s="99"/>
      <c r="SBL12377" s="100"/>
      <c r="SBM12377" s="205"/>
      <c r="SBN12377" s="149"/>
      <c r="SBO12377" s="102"/>
      <c r="SBP12377" s="101"/>
      <c r="SBQ12377" s="99"/>
      <c r="SBR12377" s="100"/>
      <c r="SBS12377" s="205"/>
      <c r="SBT12377" s="149"/>
      <c r="SBU12377" s="102"/>
      <c r="SBV12377" s="101"/>
      <c r="SBW12377" s="99"/>
      <c r="SBX12377" s="100"/>
      <c r="SBY12377" s="205"/>
      <c r="SBZ12377" s="149"/>
      <c r="SCA12377" s="102"/>
      <c r="SCB12377" s="101"/>
      <c r="SCC12377" s="99"/>
      <c r="SCD12377" s="100"/>
      <c r="SCE12377" s="205"/>
      <c r="SCF12377" s="149"/>
      <c r="SCG12377" s="102"/>
      <c r="SCH12377" s="101"/>
      <c r="SCI12377" s="99"/>
      <c r="SCJ12377" s="100"/>
      <c r="SCK12377" s="205"/>
      <c r="SCL12377" s="149"/>
      <c r="SCM12377" s="102"/>
      <c r="SCN12377" s="101"/>
      <c r="SCO12377" s="99"/>
      <c r="SCP12377" s="100"/>
      <c r="SCQ12377" s="205"/>
      <c r="SCR12377" s="149"/>
      <c r="SCS12377" s="102"/>
      <c r="SCT12377" s="101"/>
      <c r="SCU12377" s="99"/>
      <c r="SCV12377" s="100"/>
      <c r="SCW12377" s="205"/>
      <c r="SCX12377" s="149"/>
      <c r="SCY12377" s="102"/>
      <c r="SCZ12377" s="101"/>
      <c r="SDA12377" s="99"/>
      <c r="SDB12377" s="100"/>
      <c r="SDC12377" s="205"/>
      <c r="SDD12377" s="149"/>
      <c r="SDE12377" s="102"/>
      <c r="SDF12377" s="101"/>
      <c r="SDG12377" s="99"/>
      <c r="SDH12377" s="100"/>
      <c r="SDI12377" s="205"/>
      <c r="SDJ12377" s="149"/>
      <c r="SDK12377" s="102"/>
      <c r="SDL12377" s="101"/>
      <c r="SDM12377" s="99"/>
      <c r="SDN12377" s="100"/>
      <c r="SDO12377" s="205"/>
      <c r="SDP12377" s="149"/>
      <c r="SDQ12377" s="102"/>
      <c r="SDR12377" s="101"/>
      <c r="SDS12377" s="99"/>
      <c r="SDT12377" s="100"/>
      <c r="SDU12377" s="205"/>
      <c r="SDV12377" s="149"/>
      <c r="SDW12377" s="102"/>
      <c r="SDX12377" s="101"/>
      <c r="SDY12377" s="99"/>
      <c r="SDZ12377" s="100"/>
      <c r="SEA12377" s="205"/>
      <c r="SEB12377" s="149"/>
      <c r="SEC12377" s="102"/>
      <c r="SED12377" s="101"/>
      <c r="SEE12377" s="99"/>
      <c r="SEF12377" s="100"/>
      <c r="SEG12377" s="205"/>
      <c r="SEH12377" s="149"/>
      <c r="SEI12377" s="102"/>
      <c r="SEJ12377" s="101"/>
      <c r="SEK12377" s="99"/>
      <c r="SEL12377" s="100"/>
      <c r="SEM12377" s="205"/>
      <c r="SEN12377" s="149"/>
      <c r="SEO12377" s="102"/>
      <c r="SEP12377" s="101"/>
      <c r="SEQ12377" s="99"/>
      <c r="SER12377" s="100"/>
      <c r="SES12377" s="205"/>
      <c r="SET12377" s="149"/>
      <c r="SEU12377" s="102"/>
      <c r="SEV12377" s="101"/>
      <c r="SEW12377" s="99"/>
      <c r="SEX12377" s="100"/>
      <c r="SEY12377" s="205"/>
      <c r="SEZ12377" s="149"/>
      <c r="SFA12377" s="102"/>
      <c r="SFB12377" s="101"/>
      <c r="SFC12377" s="99"/>
      <c r="SFD12377" s="100"/>
      <c r="SFE12377" s="205"/>
      <c r="SFF12377" s="149"/>
      <c r="SFG12377" s="102"/>
      <c r="SFH12377" s="101"/>
      <c r="SFI12377" s="99"/>
      <c r="SFJ12377" s="100"/>
      <c r="SFK12377" s="205"/>
      <c r="SFL12377" s="149"/>
      <c r="SFM12377" s="102"/>
      <c r="SFN12377" s="101"/>
      <c r="SFO12377" s="99"/>
      <c r="SFP12377" s="100"/>
      <c r="SFQ12377" s="205"/>
      <c r="SFR12377" s="149"/>
      <c r="SFS12377" s="102"/>
      <c r="SFT12377" s="101"/>
      <c r="SFU12377" s="99"/>
      <c r="SFV12377" s="100"/>
      <c r="SFW12377" s="205"/>
      <c r="SFX12377" s="149"/>
      <c r="SFY12377" s="102"/>
      <c r="SFZ12377" s="101"/>
      <c r="SGA12377" s="99"/>
      <c r="SGB12377" s="100"/>
      <c r="SGC12377" s="205"/>
      <c r="SGD12377" s="149"/>
      <c r="SGE12377" s="102"/>
      <c r="SGF12377" s="101"/>
      <c r="SGG12377" s="99"/>
      <c r="SGH12377" s="100"/>
      <c r="SGI12377" s="205"/>
      <c r="SGJ12377" s="149"/>
      <c r="SGK12377" s="102"/>
      <c r="SGL12377" s="101"/>
      <c r="SGM12377" s="99"/>
      <c r="SGN12377" s="100"/>
      <c r="SGO12377" s="205"/>
      <c r="SGP12377" s="149"/>
      <c r="SGQ12377" s="102"/>
      <c r="SGR12377" s="101"/>
      <c r="SGS12377" s="99"/>
      <c r="SGT12377" s="100"/>
      <c r="SGU12377" s="205"/>
      <c r="SGV12377" s="149"/>
      <c r="SGW12377" s="102"/>
      <c r="SGX12377" s="101"/>
      <c r="SGY12377" s="99"/>
      <c r="SGZ12377" s="100"/>
      <c r="SHA12377" s="205"/>
      <c r="SHB12377" s="149"/>
      <c r="SHC12377" s="102"/>
      <c r="SHD12377" s="101"/>
      <c r="SHE12377" s="99"/>
      <c r="SHF12377" s="100"/>
      <c r="SHG12377" s="205"/>
      <c r="SHH12377" s="149"/>
      <c r="SHI12377" s="102"/>
      <c r="SHJ12377" s="101"/>
      <c r="SHK12377" s="99"/>
      <c r="SHL12377" s="100"/>
      <c r="SHM12377" s="205"/>
      <c r="SHN12377" s="149"/>
      <c r="SHO12377" s="102"/>
      <c r="SHP12377" s="101"/>
      <c r="SHQ12377" s="99"/>
      <c r="SHR12377" s="100"/>
      <c r="SHS12377" s="205"/>
      <c r="SHT12377" s="149"/>
      <c r="SHU12377" s="102"/>
      <c r="SHV12377" s="101"/>
      <c r="SHW12377" s="99"/>
      <c r="SHX12377" s="100"/>
      <c r="SHY12377" s="205"/>
      <c r="SHZ12377" s="149"/>
      <c r="SIA12377" s="102"/>
      <c r="SIB12377" s="101"/>
      <c r="SIC12377" s="99"/>
      <c r="SID12377" s="100"/>
      <c r="SIE12377" s="205"/>
      <c r="SIF12377" s="149"/>
      <c r="SIG12377" s="102"/>
      <c r="SIH12377" s="101"/>
      <c r="SII12377" s="99"/>
      <c r="SIJ12377" s="100"/>
      <c r="SIK12377" s="205"/>
      <c r="SIL12377" s="149"/>
      <c r="SIM12377" s="102"/>
      <c r="SIN12377" s="101"/>
      <c r="SIO12377" s="99"/>
      <c r="SIP12377" s="100"/>
      <c r="SIQ12377" s="205"/>
      <c r="SIR12377" s="149"/>
      <c r="SIS12377" s="102"/>
      <c r="SIT12377" s="101"/>
      <c r="SIU12377" s="99"/>
      <c r="SIV12377" s="100"/>
      <c r="SIW12377" s="205"/>
      <c r="SIX12377" s="149"/>
      <c r="SIY12377" s="102"/>
      <c r="SIZ12377" s="101"/>
      <c r="SJA12377" s="99"/>
      <c r="SJB12377" s="100"/>
      <c r="SJC12377" s="205"/>
      <c r="SJD12377" s="149"/>
      <c r="SJE12377" s="102"/>
      <c r="SJF12377" s="101"/>
      <c r="SJG12377" s="99"/>
      <c r="SJH12377" s="100"/>
      <c r="SJI12377" s="205"/>
      <c r="SJJ12377" s="149"/>
      <c r="SJK12377" s="102"/>
      <c r="SJL12377" s="101"/>
      <c r="SJM12377" s="99"/>
      <c r="SJN12377" s="100"/>
      <c r="SJO12377" s="205"/>
      <c r="SJP12377" s="149"/>
      <c r="SJQ12377" s="102"/>
      <c r="SJR12377" s="101"/>
      <c r="SJS12377" s="99"/>
      <c r="SJT12377" s="100"/>
      <c r="SJU12377" s="205"/>
      <c r="SJV12377" s="149"/>
      <c r="SJW12377" s="102"/>
      <c r="SJX12377" s="101"/>
      <c r="SJY12377" s="99"/>
      <c r="SJZ12377" s="100"/>
      <c r="SKA12377" s="205"/>
      <c r="SKB12377" s="149"/>
      <c r="SKC12377" s="102"/>
      <c r="SKD12377" s="101"/>
      <c r="SKE12377" s="99"/>
      <c r="SKF12377" s="100"/>
      <c r="SKG12377" s="205"/>
      <c r="SKH12377" s="149"/>
      <c r="SKI12377" s="102"/>
      <c r="SKJ12377" s="101"/>
      <c r="SKK12377" s="99"/>
      <c r="SKL12377" s="100"/>
      <c r="SKM12377" s="205"/>
      <c r="SKN12377" s="149"/>
      <c r="SKO12377" s="102"/>
      <c r="SKP12377" s="101"/>
      <c r="SKQ12377" s="99"/>
      <c r="SKR12377" s="100"/>
      <c r="SKS12377" s="205"/>
      <c r="SKT12377" s="149"/>
      <c r="SKU12377" s="102"/>
      <c r="SKV12377" s="101"/>
      <c r="SKW12377" s="99"/>
      <c r="SKX12377" s="100"/>
      <c r="SKY12377" s="205"/>
      <c r="SKZ12377" s="149"/>
      <c r="SLA12377" s="102"/>
      <c r="SLB12377" s="101"/>
      <c r="SLC12377" s="99"/>
      <c r="SLD12377" s="100"/>
      <c r="SLE12377" s="205"/>
      <c r="SLF12377" s="149"/>
      <c r="SLG12377" s="102"/>
      <c r="SLH12377" s="101"/>
      <c r="SLI12377" s="99"/>
      <c r="SLJ12377" s="100"/>
      <c r="SLK12377" s="205"/>
      <c r="SLL12377" s="149"/>
      <c r="SLM12377" s="102"/>
      <c r="SLN12377" s="101"/>
      <c r="SLO12377" s="99"/>
      <c r="SLP12377" s="100"/>
      <c r="SLQ12377" s="205"/>
      <c r="SLR12377" s="149"/>
      <c r="SLS12377" s="102"/>
      <c r="SLT12377" s="101"/>
      <c r="SLU12377" s="99"/>
      <c r="SLV12377" s="100"/>
      <c r="SLW12377" s="205"/>
      <c r="SLX12377" s="149"/>
      <c r="SLY12377" s="102"/>
      <c r="SLZ12377" s="101"/>
      <c r="SMA12377" s="99"/>
      <c r="SMB12377" s="100"/>
      <c r="SMC12377" s="205"/>
      <c r="SMD12377" s="149"/>
      <c r="SME12377" s="102"/>
      <c r="SMF12377" s="101"/>
      <c r="SMG12377" s="99"/>
      <c r="SMH12377" s="100"/>
      <c r="SMI12377" s="205"/>
      <c r="SMJ12377" s="149"/>
      <c r="SMK12377" s="102"/>
      <c r="SML12377" s="101"/>
      <c r="SMM12377" s="99"/>
      <c r="SMN12377" s="100"/>
      <c r="SMO12377" s="205"/>
      <c r="SMP12377" s="149"/>
      <c r="SMQ12377" s="102"/>
      <c r="SMR12377" s="101"/>
      <c r="SMS12377" s="99"/>
      <c r="SMT12377" s="100"/>
      <c r="SMU12377" s="205"/>
      <c r="SMV12377" s="149"/>
      <c r="SMW12377" s="102"/>
      <c r="SMX12377" s="101"/>
      <c r="SMY12377" s="99"/>
      <c r="SMZ12377" s="100"/>
      <c r="SNA12377" s="205"/>
      <c r="SNB12377" s="149"/>
      <c r="SNC12377" s="102"/>
      <c r="SND12377" s="101"/>
      <c r="SNE12377" s="99"/>
      <c r="SNF12377" s="100"/>
      <c r="SNG12377" s="205"/>
      <c r="SNH12377" s="149"/>
      <c r="SNI12377" s="102"/>
      <c r="SNJ12377" s="101"/>
      <c r="SNK12377" s="99"/>
      <c r="SNL12377" s="100"/>
      <c r="SNM12377" s="205"/>
      <c r="SNN12377" s="149"/>
      <c r="SNO12377" s="102"/>
      <c r="SNP12377" s="101"/>
      <c r="SNQ12377" s="99"/>
      <c r="SNR12377" s="100"/>
      <c r="SNS12377" s="205"/>
      <c r="SNT12377" s="149"/>
      <c r="SNU12377" s="102"/>
      <c r="SNV12377" s="101"/>
      <c r="SNW12377" s="99"/>
      <c r="SNX12377" s="100"/>
      <c r="SNY12377" s="205"/>
      <c r="SNZ12377" s="149"/>
      <c r="SOA12377" s="102"/>
      <c r="SOB12377" s="101"/>
      <c r="SOC12377" s="99"/>
      <c r="SOD12377" s="100"/>
      <c r="SOE12377" s="205"/>
      <c r="SOF12377" s="149"/>
      <c r="SOG12377" s="102"/>
      <c r="SOH12377" s="101"/>
      <c r="SOI12377" s="99"/>
      <c r="SOJ12377" s="100"/>
      <c r="SOK12377" s="205"/>
      <c r="SOL12377" s="149"/>
      <c r="SOM12377" s="102"/>
      <c r="SON12377" s="101"/>
      <c r="SOO12377" s="99"/>
      <c r="SOP12377" s="100"/>
      <c r="SOQ12377" s="205"/>
      <c r="SOR12377" s="149"/>
      <c r="SOS12377" s="102"/>
      <c r="SOT12377" s="101"/>
      <c r="SOU12377" s="99"/>
      <c r="SOV12377" s="100"/>
      <c r="SOW12377" s="205"/>
      <c r="SOX12377" s="149"/>
      <c r="SOY12377" s="102"/>
      <c r="SOZ12377" s="101"/>
      <c r="SPA12377" s="99"/>
      <c r="SPB12377" s="100"/>
      <c r="SPC12377" s="205"/>
      <c r="SPD12377" s="149"/>
      <c r="SPE12377" s="102"/>
      <c r="SPF12377" s="101"/>
      <c r="SPG12377" s="99"/>
      <c r="SPH12377" s="100"/>
      <c r="SPI12377" s="205"/>
      <c r="SPJ12377" s="149"/>
      <c r="SPK12377" s="102"/>
      <c r="SPL12377" s="101"/>
      <c r="SPM12377" s="99"/>
      <c r="SPN12377" s="100"/>
      <c r="SPO12377" s="205"/>
      <c r="SPP12377" s="149"/>
      <c r="SPQ12377" s="102"/>
      <c r="SPR12377" s="101"/>
      <c r="SPS12377" s="99"/>
      <c r="SPT12377" s="100"/>
      <c r="SPU12377" s="205"/>
      <c r="SPV12377" s="149"/>
      <c r="SPW12377" s="102"/>
      <c r="SPX12377" s="101"/>
      <c r="SPY12377" s="99"/>
      <c r="SPZ12377" s="100"/>
      <c r="SQA12377" s="205"/>
      <c r="SQB12377" s="149"/>
      <c r="SQC12377" s="102"/>
      <c r="SQD12377" s="101"/>
      <c r="SQE12377" s="99"/>
      <c r="SQF12377" s="100"/>
      <c r="SQG12377" s="205"/>
      <c r="SQH12377" s="149"/>
      <c r="SQI12377" s="102"/>
      <c r="SQJ12377" s="101"/>
      <c r="SQK12377" s="99"/>
      <c r="SQL12377" s="100"/>
      <c r="SQM12377" s="205"/>
      <c r="SQN12377" s="149"/>
      <c r="SQO12377" s="102"/>
      <c r="SQP12377" s="101"/>
      <c r="SQQ12377" s="99"/>
      <c r="SQR12377" s="100"/>
      <c r="SQS12377" s="205"/>
      <c r="SQT12377" s="149"/>
      <c r="SQU12377" s="102"/>
      <c r="SQV12377" s="101"/>
      <c r="SQW12377" s="99"/>
      <c r="SQX12377" s="100"/>
      <c r="SQY12377" s="205"/>
      <c r="SQZ12377" s="149"/>
      <c r="SRA12377" s="102"/>
      <c r="SRB12377" s="101"/>
      <c r="SRC12377" s="99"/>
      <c r="SRD12377" s="100"/>
      <c r="SRE12377" s="205"/>
      <c r="SRF12377" s="149"/>
      <c r="SRG12377" s="102"/>
      <c r="SRH12377" s="101"/>
      <c r="SRI12377" s="99"/>
      <c r="SRJ12377" s="100"/>
      <c r="SRK12377" s="205"/>
      <c r="SRL12377" s="149"/>
      <c r="SRM12377" s="102"/>
      <c r="SRN12377" s="101"/>
      <c r="SRO12377" s="99"/>
      <c r="SRP12377" s="100"/>
      <c r="SRQ12377" s="205"/>
      <c r="SRR12377" s="149"/>
      <c r="SRS12377" s="102"/>
      <c r="SRT12377" s="101"/>
      <c r="SRU12377" s="99"/>
      <c r="SRV12377" s="100"/>
      <c r="SRW12377" s="205"/>
      <c r="SRX12377" s="149"/>
      <c r="SRY12377" s="102"/>
      <c r="SRZ12377" s="101"/>
      <c r="SSA12377" s="99"/>
      <c r="SSB12377" s="100"/>
      <c r="SSC12377" s="205"/>
      <c r="SSD12377" s="149"/>
      <c r="SSE12377" s="102"/>
      <c r="SSF12377" s="101"/>
      <c r="SSG12377" s="99"/>
      <c r="SSH12377" s="100"/>
      <c r="SSI12377" s="205"/>
      <c r="SSJ12377" s="149"/>
      <c r="SSK12377" s="102"/>
      <c r="SSL12377" s="101"/>
      <c r="SSM12377" s="99"/>
      <c r="SSN12377" s="100"/>
      <c r="SSO12377" s="205"/>
      <c r="SSP12377" s="149"/>
      <c r="SSQ12377" s="102"/>
      <c r="SSR12377" s="101"/>
      <c r="SSS12377" s="99"/>
      <c r="SST12377" s="100"/>
      <c r="SSU12377" s="205"/>
      <c r="SSV12377" s="149"/>
      <c r="SSW12377" s="102"/>
      <c r="SSX12377" s="101"/>
      <c r="SSY12377" s="99"/>
      <c r="SSZ12377" s="100"/>
      <c r="STA12377" s="205"/>
      <c r="STB12377" s="149"/>
      <c r="STC12377" s="102"/>
      <c r="STD12377" s="101"/>
      <c r="STE12377" s="99"/>
      <c r="STF12377" s="100"/>
      <c r="STG12377" s="205"/>
      <c r="STH12377" s="149"/>
      <c r="STI12377" s="102"/>
      <c r="STJ12377" s="101"/>
      <c r="STK12377" s="99"/>
      <c r="STL12377" s="100"/>
      <c r="STM12377" s="205"/>
      <c r="STN12377" s="149"/>
      <c r="STO12377" s="102"/>
      <c r="STP12377" s="101"/>
      <c r="STQ12377" s="99"/>
      <c r="STR12377" s="100"/>
      <c r="STS12377" s="205"/>
      <c r="STT12377" s="149"/>
      <c r="STU12377" s="102"/>
      <c r="STV12377" s="101"/>
      <c r="STW12377" s="99"/>
      <c r="STX12377" s="100"/>
      <c r="STY12377" s="205"/>
      <c r="STZ12377" s="149"/>
      <c r="SUA12377" s="102"/>
      <c r="SUB12377" s="101"/>
      <c r="SUC12377" s="99"/>
      <c r="SUD12377" s="100"/>
      <c r="SUE12377" s="205"/>
      <c r="SUF12377" s="149"/>
      <c r="SUG12377" s="102"/>
      <c r="SUH12377" s="101"/>
      <c r="SUI12377" s="99"/>
      <c r="SUJ12377" s="100"/>
      <c r="SUK12377" s="205"/>
      <c r="SUL12377" s="149"/>
      <c r="SUM12377" s="102"/>
      <c r="SUN12377" s="101"/>
      <c r="SUO12377" s="99"/>
      <c r="SUP12377" s="100"/>
      <c r="SUQ12377" s="205"/>
      <c r="SUR12377" s="149"/>
      <c r="SUS12377" s="102"/>
      <c r="SUT12377" s="101"/>
      <c r="SUU12377" s="99"/>
      <c r="SUV12377" s="100"/>
      <c r="SUW12377" s="205"/>
      <c r="SUX12377" s="149"/>
      <c r="SUY12377" s="102"/>
      <c r="SUZ12377" s="101"/>
      <c r="SVA12377" s="99"/>
      <c r="SVB12377" s="100"/>
      <c r="SVC12377" s="205"/>
      <c r="SVD12377" s="149"/>
      <c r="SVE12377" s="102"/>
      <c r="SVF12377" s="101"/>
      <c r="SVG12377" s="99"/>
      <c r="SVH12377" s="100"/>
      <c r="SVI12377" s="205"/>
      <c r="SVJ12377" s="149"/>
      <c r="SVK12377" s="102"/>
      <c r="SVL12377" s="101"/>
      <c r="SVM12377" s="99"/>
      <c r="SVN12377" s="100"/>
      <c r="SVO12377" s="205"/>
      <c r="SVP12377" s="149"/>
      <c r="SVQ12377" s="102"/>
      <c r="SVR12377" s="101"/>
      <c r="SVS12377" s="99"/>
      <c r="SVT12377" s="100"/>
      <c r="SVU12377" s="205"/>
      <c r="SVV12377" s="149"/>
      <c r="SVW12377" s="102"/>
      <c r="SVX12377" s="101"/>
      <c r="SVY12377" s="99"/>
      <c r="SVZ12377" s="100"/>
      <c r="SWA12377" s="205"/>
      <c r="SWB12377" s="149"/>
      <c r="SWC12377" s="102"/>
      <c r="SWD12377" s="101"/>
      <c r="SWE12377" s="99"/>
      <c r="SWF12377" s="100"/>
      <c r="SWG12377" s="205"/>
      <c r="SWH12377" s="149"/>
      <c r="SWI12377" s="102"/>
      <c r="SWJ12377" s="101"/>
      <c r="SWK12377" s="99"/>
      <c r="SWL12377" s="100"/>
      <c r="SWM12377" s="205"/>
      <c r="SWN12377" s="149"/>
      <c r="SWO12377" s="102"/>
      <c r="SWP12377" s="101"/>
      <c r="SWQ12377" s="99"/>
      <c r="SWR12377" s="100"/>
      <c r="SWS12377" s="205"/>
      <c r="SWT12377" s="149"/>
      <c r="SWU12377" s="102"/>
      <c r="SWV12377" s="101"/>
      <c r="SWW12377" s="99"/>
      <c r="SWX12377" s="100"/>
      <c r="SWY12377" s="205"/>
      <c r="SWZ12377" s="149"/>
      <c r="SXA12377" s="102"/>
      <c r="SXB12377" s="101"/>
      <c r="SXC12377" s="99"/>
      <c r="SXD12377" s="100"/>
      <c r="SXE12377" s="205"/>
      <c r="SXF12377" s="149"/>
      <c r="SXG12377" s="102"/>
      <c r="SXH12377" s="101"/>
      <c r="SXI12377" s="99"/>
      <c r="SXJ12377" s="100"/>
      <c r="SXK12377" s="205"/>
      <c r="SXL12377" s="149"/>
      <c r="SXM12377" s="102"/>
      <c r="SXN12377" s="101"/>
      <c r="SXO12377" s="99"/>
      <c r="SXP12377" s="100"/>
      <c r="SXQ12377" s="205"/>
      <c r="SXR12377" s="149"/>
      <c r="SXS12377" s="102"/>
      <c r="SXT12377" s="101"/>
      <c r="SXU12377" s="99"/>
      <c r="SXV12377" s="100"/>
      <c r="SXW12377" s="205"/>
      <c r="SXX12377" s="149"/>
      <c r="SXY12377" s="102"/>
      <c r="SXZ12377" s="101"/>
      <c r="SYA12377" s="99"/>
      <c r="SYB12377" s="100"/>
      <c r="SYC12377" s="205"/>
      <c r="SYD12377" s="149"/>
      <c r="SYE12377" s="102"/>
      <c r="SYF12377" s="101"/>
      <c r="SYG12377" s="99"/>
      <c r="SYH12377" s="100"/>
      <c r="SYI12377" s="205"/>
      <c r="SYJ12377" s="149"/>
      <c r="SYK12377" s="102"/>
      <c r="SYL12377" s="101"/>
      <c r="SYM12377" s="99"/>
      <c r="SYN12377" s="100"/>
      <c r="SYO12377" s="205"/>
      <c r="SYP12377" s="149"/>
      <c r="SYQ12377" s="102"/>
      <c r="SYR12377" s="101"/>
      <c r="SYS12377" s="99"/>
      <c r="SYT12377" s="100"/>
      <c r="SYU12377" s="205"/>
      <c r="SYV12377" s="149"/>
      <c r="SYW12377" s="102"/>
      <c r="SYX12377" s="101"/>
      <c r="SYY12377" s="99"/>
      <c r="SYZ12377" s="100"/>
      <c r="SZA12377" s="205"/>
      <c r="SZB12377" s="149"/>
      <c r="SZC12377" s="102"/>
      <c r="SZD12377" s="101"/>
      <c r="SZE12377" s="99"/>
      <c r="SZF12377" s="100"/>
      <c r="SZG12377" s="205"/>
      <c r="SZH12377" s="149"/>
      <c r="SZI12377" s="102"/>
      <c r="SZJ12377" s="101"/>
      <c r="SZK12377" s="99"/>
      <c r="SZL12377" s="100"/>
      <c r="SZM12377" s="205"/>
      <c r="SZN12377" s="149"/>
      <c r="SZO12377" s="102"/>
      <c r="SZP12377" s="101"/>
      <c r="SZQ12377" s="99"/>
      <c r="SZR12377" s="100"/>
      <c r="SZS12377" s="205"/>
      <c r="SZT12377" s="149"/>
      <c r="SZU12377" s="102"/>
      <c r="SZV12377" s="101"/>
      <c r="SZW12377" s="99"/>
      <c r="SZX12377" s="100"/>
      <c r="SZY12377" s="205"/>
      <c r="SZZ12377" s="149"/>
      <c r="TAA12377" s="102"/>
      <c r="TAB12377" s="101"/>
      <c r="TAC12377" s="99"/>
      <c r="TAD12377" s="100"/>
      <c r="TAE12377" s="205"/>
      <c r="TAF12377" s="149"/>
      <c r="TAG12377" s="102"/>
      <c r="TAH12377" s="101"/>
      <c r="TAI12377" s="99"/>
      <c r="TAJ12377" s="100"/>
      <c r="TAK12377" s="205"/>
      <c r="TAL12377" s="149"/>
      <c r="TAM12377" s="102"/>
      <c r="TAN12377" s="101"/>
      <c r="TAO12377" s="99"/>
      <c r="TAP12377" s="100"/>
      <c r="TAQ12377" s="205"/>
      <c r="TAR12377" s="149"/>
      <c r="TAS12377" s="102"/>
      <c r="TAT12377" s="101"/>
      <c r="TAU12377" s="99"/>
      <c r="TAV12377" s="100"/>
      <c r="TAW12377" s="205"/>
      <c r="TAX12377" s="149"/>
      <c r="TAY12377" s="102"/>
      <c r="TAZ12377" s="101"/>
      <c r="TBA12377" s="99"/>
      <c r="TBB12377" s="100"/>
      <c r="TBC12377" s="205"/>
      <c r="TBD12377" s="149"/>
      <c r="TBE12377" s="102"/>
      <c r="TBF12377" s="101"/>
      <c r="TBG12377" s="99"/>
      <c r="TBH12377" s="100"/>
      <c r="TBI12377" s="205"/>
      <c r="TBJ12377" s="149"/>
      <c r="TBK12377" s="102"/>
      <c r="TBL12377" s="101"/>
      <c r="TBM12377" s="99"/>
      <c r="TBN12377" s="100"/>
      <c r="TBO12377" s="205"/>
      <c r="TBP12377" s="149"/>
      <c r="TBQ12377" s="102"/>
      <c r="TBR12377" s="101"/>
      <c r="TBS12377" s="99"/>
      <c r="TBT12377" s="100"/>
      <c r="TBU12377" s="205"/>
      <c r="TBV12377" s="149"/>
      <c r="TBW12377" s="102"/>
      <c r="TBX12377" s="101"/>
      <c r="TBY12377" s="99"/>
      <c r="TBZ12377" s="100"/>
      <c r="TCA12377" s="205"/>
      <c r="TCB12377" s="149"/>
      <c r="TCC12377" s="102"/>
      <c r="TCD12377" s="101"/>
      <c r="TCE12377" s="99"/>
      <c r="TCF12377" s="100"/>
      <c r="TCG12377" s="205"/>
      <c r="TCH12377" s="149"/>
      <c r="TCI12377" s="102"/>
      <c r="TCJ12377" s="101"/>
      <c r="TCK12377" s="99"/>
      <c r="TCL12377" s="100"/>
      <c r="TCM12377" s="205"/>
      <c r="TCN12377" s="149"/>
      <c r="TCO12377" s="102"/>
      <c r="TCP12377" s="101"/>
      <c r="TCQ12377" s="99"/>
      <c r="TCR12377" s="100"/>
      <c r="TCS12377" s="205"/>
      <c r="TCT12377" s="149"/>
      <c r="TCU12377" s="102"/>
      <c r="TCV12377" s="101"/>
      <c r="TCW12377" s="99"/>
      <c r="TCX12377" s="100"/>
      <c r="TCY12377" s="205"/>
      <c r="TCZ12377" s="149"/>
      <c r="TDA12377" s="102"/>
      <c r="TDB12377" s="101"/>
      <c r="TDC12377" s="99"/>
      <c r="TDD12377" s="100"/>
      <c r="TDE12377" s="205"/>
      <c r="TDF12377" s="149"/>
      <c r="TDG12377" s="102"/>
      <c r="TDH12377" s="101"/>
      <c r="TDI12377" s="99"/>
      <c r="TDJ12377" s="100"/>
      <c r="TDK12377" s="205"/>
      <c r="TDL12377" s="149"/>
      <c r="TDM12377" s="102"/>
      <c r="TDN12377" s="101"/>
      <c r="TDO12377" s="99"/>
      <c r="TDP12377" s="100"/>
      <c r="TDQ12377" s="205"/>
      <c r="TDR12377" s="149"/>
      <c r="TDS12377" s="102"/>
      <c r="TDT12377" s="101"/>
      <c r="TDU12377" s="99"/>
      <c r="TDV12377" s="100"/>
      <c r="TDW12377" s="205"/>
      <c r="TDX12377" s="149"/>
      <c r="TDY12377" s="102"/>
      <c r="TDZ12377" s="101"/>
      <c r="TEA12377" s="99"/>
      <c r="TEB12377" s="100"/>
      <c r="TEC12377" s="205"/>
      <c r="TED12377" s="149"/>
      <c r="TEE12377" s="102"/>
      <c r="TEF12377" s="101"/>
      <c r="TEG12377" s="99"/>
      <c r="TEH12377" s="100"/>
      <c r="TEI12377" s="205"/>
      <c r="TEJ12377" s="149"/>
      <c r="TEK12377" s="102"/>
      <c r="TEL12377" s="101"/>
      <c r="TEM12377" s="99"/>
      <c r="TEN12377" s="100"/>
      <c r="TEO12377" s="205"/>
      <c r="TEP12377" s="149"/>
      <c r="TEQ12377" s="102"/>
      <c r="TER12377" s="101"/>
      <c r="TES12377" s="99"/>
      <c r="TET12377" s="100"/>
      <c r="TEU12377" s="205"/>
      <c r="TEV12377" s="149"/>
      <c r="TEW12377" s="102"/>
      <c r="TEX12377" s="101"/>
      <c r="TEY12377" s="99"/>
      <c r="TEZ12377" s="100"/>
      <c r="TFA12377" s="205"/>
      <c r="TFB12377" s="149"/>
      <c r="TFC12377" s="102"/>
      <c r="TFD12377" s="101"/>
      <c r="TFE12377" s="99"/>
      <c r="TFF12377" s="100"/>
      <c r="TFG12377" s="205"/>
      <c r="TFH12377" s="149"/>
      <c r="TFI12377" s="102"/>
      <c r="TFJ12377" s="101"/>
      <c r="TFK12377" s="99"/>
      <c r="TFL12377" s="100"/>
      <c r="TFM12377" s="205"/>
      <c r="TFN12377" s="149"/>
      <c r="TFO12377" s="102"/>
      <c r="TFP12377" s="101"/>
      <c r="TFQ12377" s="99"/>
      <c r="TFR12377" s="100"/>
      <c r="TFS12377" s="205"/>
      <c r="TFT12377" s="149"/>
      <c r="TFU12377" s="102"/>
      <c r="TFV12377" s="101"/>
      <c r="TFW12377" s="99"/>
      <c r="TFX12377" s="100"/>
      <c r="TFY12377" s="205"/>
      <c r="TFZ12377" s="149"/>
      <c r="TGA12377" s="102"/>
      <c r="TGB12377" s="101"/>
      <c r="TGC12377" s="99"/>
      <c r="TGD12377" s="100"/>
      <c r="TGE12377" s="205"/>
      <c r="TGF12377" s="149"/>
      <c r="TGG12377" s="102"/>
      <c r="TGH12377" s="101"/>
      <c r="TGI12377" s="99"/>
      <c r="TGJ12377" s="100"/>
      <c r="TGK12377" s="205"/>
      <c r="TGL12377" s="149"/>
      <c r="TGM12377" s="102"/>
      <c r="TGN12377" s="101"/>
      <c r="TGO12377" s="99"/>
      <c r="TGP12377" s="100"/>
      <c r="TGQ12377" s="205"/>
      <c r="TGR12377" s="149"/>
      <c r="TGS12377" s="102"/>
      <c r="TGT12377" s="101"/>
      <c r="TGU12377" s="99"/>
      <c r="TGV12377" s="100"/>
      <c r="TGW12377" s="205"/>
      <c r="TGX12377" s="149"/>
      <c r="TGY12377" s="102"/>
      <c r="TGZ12377" s="101"/>
      <c r="THA12377" s="99"/>
      <c r="THB12377" s="100"/>
      <c r="THC12377" s="205"/>
      <c r="THD12377" s="149"/>
      <c r="THE12377" s="102"/>
      <c r="THF12377" s="101"/>
      <c r="THG12377" s="99"/>
      <c r="THH12377" s="100"/>
      <c r="THI12377" s="205"/>
      <c r="THJ12377" s="149"/>
      <c r="THK12377" s="102"/>
      <c r="THL12377" s="101"/>
      <c r="THM12377" s="99"/>
      <c r="THN12377" s="100"/>
      <c r="THO12377" s="205"/>
      <c r="THP12377" s="149"/>
      <c r="THQ12377" s="102"/>
      <c r="THR12377" s="101"/>
      <c r="THS12377" s="99"/>
      <c r="THT12377" s="100"/>
      <c r="THU12377" s="205"/>
      <c r="THV12377" s="149"/>
      <c r="THW12377" s="102"/>
      <c r="THX12377" s="101"/>
      <c r="THY12377" s="99"/>
      <c r="THZ12377" s="100"/>
      <c r="TIA12377" s="205"/>
      <c r="TIB12377" s="149"/>
      <c r="TIC12377" s="102"/>
      <c r="TID12377" s="101"/>
      <c r="TIE12377" s="99"/>
      <c r="TIF12377" s="100"/>
      <c r="TIG12377" s="205"/>
      <c r="TIH12377" s="149"/>
      <c r="TII12377" s="102"/>
      <c r="TIJ12377" s="101"/>
      <c r="TIK12377" s="99"/>
      <c r="TIL12377" s="100"/>
      <c r="TIM12377" s="205"/>
      <c r="TIN12377" s="149"/>
      <c r="TIO12377" s="102"/>
      <c r="TIP12377" s="101"/>
      <c r="TIQ12377" s="99"/>
      <c r="TIR12377" s="100"/>
      <c r="TIS12377" s="205"/>
      <c r="TIT12377" s="149"/>
      <c r="TIU12377" s="102"/>
      <c r="TIV12377" s="101"/>
      <c r="TIW12377" s="99"/>
      <c r="TIX12377" s="100"/>
      <c r="TIY12377" s="205"/>
      <c r="TIZ12377" s="149"/>
      <c r="TJA12377" s="102"/>
      <c r="TJB12377" s="101"/>
      <c r="TJC12377" s="99"/>
      <c r="TJD12377" s="100"/>
      <c r="TJE12377" s="205"/>
      <c r="TJF12377" s="149"/>
      <c r="TJG12377" s="102"/>
      <c r="TJH12377" s="101"/>
      <c r="TJI12377" s="99"/>
      <c r="TJJ12377" s="100"/>
      <c r="TJK12377" s="205"/>
      <c r="TJL12377" s="149"/>
      <c r="TJM12377" s="102"/>
      <c r="TJN12377" s="101"/>
      <c r="TJO12377" s="99"/>
      <c r="TJP12377" s="100"/>
      <c r="TJQ12377" s="205"/>
      <c r="TJR12377" s="149"/>
      <c r="TJS12377" s="102"/>
      <c r="TJT12377" s="101"/>
      <c r="TJU12377" s="99"/>
      <c r="TJV12377" s="100"/>
      <c r="TJW12377" s="205"/>
      <c r="TJX12377" s="149"/>
      <c r="TJY12377" s="102"/>
      <c r="TJZ12377" s="101"/>
      <c r="TKA12377" s="99"/>
      <c r="TKB12377" s="100"/>
      <c r="TKC12377" s="205"/>
      <c r="TKD12377" s="149"/>
      <c r="TKE12377" s="102"/>
      <c r="TKF12377" s="101"/>
      <c r="TKG12377" s="99"/>
      <c r="TKH12377" s="100"/>
      <c r="TKI12377" s="205"/>
      <c r="TKJ12377" s="149"/>
      <c r="TKK12377" s="102"/>
      <c r="TKL12377" s="101"/>
      <c r="TKM12377" s="99"/>
      <c r="TKN12377" s="100"/>
      <c r="TKO12377" s="205"/>
      <c r="TKP12377" s="149"/>
      <c r="TKQ12377" s="102"/>
      <c r="TKR12377" s="101"/>
      <c r="TKS12377" s="99"/>
      <c r="TKT12377" s="100"/>
      <c r="TKU12377" s="205"/>
      <c r="TKV12377" s="149"/>
      <c r="TKW12377" s="102"/>
      <c r="TKX12377" s="101"/>
      <c r="TKY12377" s="99"/>
      <c r="TKZ12377" s="100"/>
      <c r="TLA12377" s="205"/>
      <c r="TLB12377" s="149"/>
      <c r="TLC12377" s="102"/>
      <c r="TLD12377" s="101"/>
      <c r="TLE12377" s="99"/>
      <c r="TLF12377" s="100"/>
      <c r="TLG12377" s="205"/>
      <c r="TLH12377" s="149"/>
      <c r="TLI12377" s="102"/>
      <c r="TLJ12377" s="101"/>
      <c r="TLK12377" s="99"/>
      <c r="TLL12377" s="100"/>
      <c r="TLM12377" s="205"/>
      <c r="TLN12377" s="149"/>
      <c r="TLO12377" s="102"/>
      <c r="TLP12377" s="101"/>
      <c r="TLQ12377" s="99"/>
      <c r="TLR12377" s="100"/>
      <c r="TLS12377" s="205"/>
      <c r="TLT12377" s="149"/>
      <c r="TLU12377" s="102"/>
      <c r="TLV12377" s="101"/>
      <c r="TLW12377" s="99"/>
      <c r="TLX12377" s="100"/>
      <c r="TLY12377" s="205"/>
      <c r="TLZ12377" s="149"/>
      <c r="TMA12377" s="102"/>
      <c r="TMB12377" s="101"/>
      <c r="TMC12377" s="99"/>
      <c r="TMD12377" s="100"/>
      <c r="TME12377" s="205"/>
      <c r="TMF12377" s="149"/>
      <c r="TMG12377" s="102"/>
      <c r="TMH12377" s="101"/>
      <c r="TMI12377" s="99"/>
      <c r="TMJ12377" s="100"/>
      <c r="TMK12377" s="205"/>
      <c r="TML12377" s="149"/>
      <c r="TMM12377" s="102"/>
      <c r="TMN12377" s="101"/>
      <c r="TMO12377" s="99"/>
      <c r="TMP12377" s="100"/>
      <c r="TMQ12377" s="205"/>
      <c r="TMR12377" s="149"/>
      <c r="TMS12377" s="102"/>
      <c r="TMT12377" s="101"/>
      <c r="TMU12377" s="99"/>
      <c r="TMV12377" s="100"/>
      <c r="TMW12377" s="205"/>
      <c r="TMX12377" s="149"/>
      <c r="TMY12377" s="102"/>
      <c r="TMZ12377" s="101"/>
      <c r="TNA12377" s="99"/>
      <c r="TNB12377" s="100"/>
      <c r="TNC12377" s="205"/>
      <c r="TND12377" s="149"/>
      <c r="TNE12377" s="102"/>
      <c r="TNF12377" s="101"/>
      <c r="TNG12377" s="99"/>
      <c r="TNH12377" s="100"/>
      <c r="TNI12377" s="205"/>
      <c r="TNJ12377" s="149"/>
      <c r="TNK12377" s="102"/>
      <c r="TNL12377" s="101"/>
      <c r="TNM12377" s="99"/>
      <c r="TNN12377" s="100"/>
      <c r="TNO12377" s="205"/>
      <c r="TNP12377" s="149"/>
      <c r="TNQ12377" s="102"/>
      <c r="TNR12377" s="101"/>
      <c r="TNS12377" s="99"/>
      <c r="TNT12377" s="100"/>
      <c r="TNU12377" s="205"/>
      <c r="TNV12377" s="149"/>
      <c r="TNW12377" s="102"/>
      <c r="TNX12377" s="101"/>
      <c r="TNY12377" s="99"/>
      <c r="TNZ12377" s="100"/>
      <c r="TOA12377" s="205"/>
      <c r="TOB12377" s="149"/>
      <c r="TOC12377" s="102"/>
      <c r="TOD12377" s="101"/>
      <c r="TOE12377" s="99"/>
      <c r="TOF12377" s="100"/>
      <c r="TOG12377" s="205"/>
      <c r="TOH12377" s="149"/>
      <c r="TOI12377" s="102"/>
      <c r="TOJ12377" s="101"/>
      <c r="TOK12377" s="99"/>
      <c r="TOL12377" s="100"/>
      <c r="TOM12377" s="205"/>
      <c r="TON12377" s="149"/>
      <c r="TOO12377" s="102"/>
      <c r="TOP12377" s="101"/>
      <c r="TOQ12377" s="99"/>
      <c r="TOR12377" s="100"/>
      <c r="TOS12377" s="205"/>
      <c r="TOT12377" s="149"/>
      <c r="TOU12377" s="102"/>
      <c r="TOV12377" s="101"/>
      <c r="TOW12377" s="99"/>
      <c r="TOX12377" s="100"/>
      <c r="TOY12377" s="205"/>
      <c r="TOZ12377" s="149"/>
      <c r="TPA12377" s="102"/>
      <c r="TPB12377" s="101"/>
      <c r="TPC12377" s="99"/>
      <c r="TPD12377" s="100"/>
      <c r="TPE12377" s="205"/>
      <c r="TPF12377" s="149"/>
      <c r="TPG12377" s="102"/>
      <c r="TPH12377" s="101"/>
      <c r="TPI12377" s="99"/>
      <c r="TPJ12377" s="100"/>
      <c r="TPK12377" s="205"/>
      <c r="TPL12377" s="149"/>
      <c r="TPM12377" s="102"/>
      <c r="TPN12377" s="101"/>
      <c r="TPO12377" s="99"/>
      <c r="TPP12377" s="100"/>
      <c r="TPQ12377" s="205"/>
      <c r="TPR12377" s="149"/>
      <c r="TPS12377" s="102"/>
      <c r="TPT12377" s="101"/>
      <c r="TPU12377" s="99"/>
      <c r="TPV12377" s="100"/>
      <c r="TPW12377" s="205"/>
      <c r="TPX12377" s="149"/>
      <c r="TPY12377" s="102"/>
      <c r="TPZ12377" s="101"/>
      <c r="TQA12377" s="99"/>
      <c r="TQB12377" s="100"/>
      <c r="TQC12377" s="205"/>
      <c r="TQD12377" s="149"/>
      <c r="TQE12377" s="102"/>
      <c r="TQF12377" s="101"/>
      <c r="TQG12377" s="99"/>
      <c r="TQH12377" s="100"/>
      <c r="TQI12377" s="205"/>
      <c r="TQJ12377" s="149"/>
      <c r="TQK12377" s="102"/>
      <c r="TQL12377" s="101"/>
      <c r="TQM12377" s="99"/>
      <c r="TQN12377" s="100"/>
      <c r="TQO12377" s="205"/>
      <c r="TQP12377" s="149"/>
      <c r="TQQ12377" s="102"/>
      <c r="TQR12377" s="101"/>
      <c r="TQS12377" s="99"/>
      <c r="TQT12377" s="100"/>
      <c r="TQU12377" s="205"/>
      <c r="TQV12377" s="149"/>
      <c r="TQW12377" s="102"/>
      <c r="TQX12377" s="101"/>
      <c r="TQY12377" s="99"/>
      <c r="TQZ12377" s="100"/>
      <c r="TRA12377" s="205"/>
      <c r="TRB12377" s="149"/>
      <c r="TRC12377" s="102"/>
      <c r="TRD12377" s="101"/>
      <c r="TRE12377" s="99"/>
      <c r="TRF12377" s="100"/>
      <c r="TRG12377" s="205"/>
      <c r="TRH12377" s="149"/>
      <c r="TRI12377" s="102"/>
      <c r="TRJ12377" s="101"/>
      <c r="TRK12377" s="99"/>
      <c r="TRL12377" s="100"/>
      <c r="TRM12377" s="205"/>
      <c r="TRN12377" s="149"/>
      <c r="TRO12377" s="102"/>
      <c r="TRP12377" s="101"/>
      <c r="TRQ12377" s="99"/>
      <c r="TRR12377" s="100"/>
      <c r="TRS12377" s="205"/>
      <c r="TRT12377" s="149"/>
      <c r="TRU12377" s="102"/>
      <c r="TRV12377" s="101"/>
      <c r="TRW12377" s="99"/>
      <c r="TRX12377" s="100"/>
      <c r="TRY12377" s="205"/>
      <c r="TRZ12377" s="149"/>
      <c r="TSA12377" s="102"/>
      <c r="TSB12377" s="101"/>
      <c r="TSC12377" s="99"/>
      <c r="TSD12377" s="100"/>
      <c r="TSE12377" s="205"/>
      <c r="TSF12377" s="149"/>
      <c r="TSG12377" s="102"/>
      <c r="TSH12377" s="101"/>
      <c r="TSI12377" s="99"/>
      <c r="TSJ12377" s="100"/>
      <c r="TSK12377" s="205"/>
      <c r="TSL12377" s="149"/>
      <c r="TSM12377" s="102"/>
      <c r="TSN12377" s="101"/>
      <c r="TSO12377" s="99"/>
      <c r="TSP12377" s="100"/>
      <c r="TSQ12377" s="205"/>
      <c r="TSR12377" s="149"/>
      <c r="TSS12377" s="102"/>
      <c r="TST12377" s="101"/>
      <c r="TSU12377" s="99"/>
      <c r="TSV12377" s="100"/>
      <c r="TSW12377" s="205"/>
      <c r="TSX12377" s="149"/>
      <c r="TSY12377" s="102"/>
      <c r="TSZ12377" s="101"/>
      <c r="TTA12377" s="99"/>
      <c r="TTB12377" s="100"/>
      <c r="TTC12377" s="205"/>
      <c r="TTD12377" s="149"/>
      <c r="TTE12377" s="102"/>
      <c r="TTF12377" s="101"/>
      <c r="TTG12377" s="99"/>
      <c r="TTH12377" s="100"/>
      <c r="TTI12377" s="205"/>
      <c r="TTJ12377" s="149"/>
      <c r="TTK12377" s="102"/>
      <c r="TTL12377" s="101"/>
      <c r="TTM12377" s="99"/>
      <c r="TTN12377" s="100"/>
      <c r="TTO12377" s="205"/>
      <c r="TTP12377" s="149"/>
      <c r="TTQ12377" s="102"/>
      <c r="TTR12377" s="101"/>
      <c r="TTS12377" s="99"/>
      <c r="TTT12377" s="100"/>
      <c r="TTU12377" s="205"/>
      <c r="TTV12377" s="149"/>
      <c r="TTW12377" s="102"/>
      <c r="TTX12377" s="101"/>
      <c r="TTY12377" s="99"/>
      <c r="TTZ12377" s="100"/>
      <c r="TUA12377" s="205"/>
      <c r="TUB12377" s="149"/>
      <c r="TUC12377" s="102"/>
      <c r="TUD12377" s="101"/>
      <c r="TUE12377" s="99"/>
      <c r="TUF12377" s="100"/>
      <c r="TUG12377" s="205"/>
      <c r="TUH12377" s="149"/>
      <c r="TUI12377" s="102"/>
      <c r="TUJ12377" s="101"/>
      <c r="TUK12377" s="99"/>
      <c r="TUL12377" s="100"/>
      <c r="TUM12377" s="205"/>
      <c r="TUN12377" s="149"/>
      <c r="TUO12377" s="102"/>
      <c r="TUP12377" s="101"/>
      <c r="TUQ12377" s="99"/>
      <c r="TUR12377" s="100"/>
      <c r="TUS12377" s="205"/>
      <c r="TUT12377" s="149"/>
      <c r="TUU12377" s="102"/>
      <c r="TUV12377" s="101"/>
      <c r="TUW12377" s="99"/>
      <c r="TUX12377" s="100"/>
      <c r="TUY12377" s="205"/>
      <c r="TUZ12377" s="149"/>
      <c r="TVA12377" s="102"/>
      <c r="TVB12377" s="101"/>
      <c r="TVC12377" s="99"/>
      <c r="TVD12377" s="100"/>
      <c r="TVE12377" s="205"/>
      <c r="TVF12377" s="149"/>
      <c r="TVG12377" s="102"/>
      <c r="TVH12377" s="101"/>
      <c r="TVI12377" s="99"/>
      <c r="TVJ12377" s="100"/>
      <c r="TVK12377" s="205"/>
      <c r="TVL12377" s="149"/>
      <c r="TVM12377" s="102"/>
      <c r="TVN12377" s="101"/>
      <c r="TVO12377" s="99"/>
      <c r="TVP12377" s="100"/>
      <c r="TVQ12377" s="205"/>
      <c r="TVR12377" s="149"/>
      <c r="TVS12377" s="102"/>
      <c r="TVT12377" s="101"/>
      <c r="TVU12377" s="99"/>
      <c r="TVV12377" s="100"/>
      <c r="TVW12377" s="205"/>
      <c r="TVX12377" s="149"/>
      <c r="TVY12377" s="102"/>
      <c r="TVZ12377" s="101"/>
      <c r="TWA12377" s="99"/>
      <c r="TWB12377" s="100"/>
      <c r="TWC12377" s="205"/>
      <c r="TWD12377" s="149"/>
      <c r="TWE12377" s="102"/>
      <c r="TWF12377" s="101"/>
      <c r="TWG12377" s="99"/>
      <c r="TWH12377" s="100"/>
      <c r="TWI12377" s="205"/>
      <c r="TWJ12377" s="149"/>
      <c r="TWK12377" s="102"/>
      <c r="TWL12377" s="101"/>
      <c r="TWM12377" s="99"/>
      <c r="TWN12377" s="100"/>
      <c r="TWO12377" s="205"/>
      <c r="TWP12377" s="149"/>
      <c r="TWQ12377" s="102"/>
      <c r="TWR12377" s="101"/>
      <c r="TWS12377" s="99"/>
      <c r="TWT12377" s="100"/>
      <c r="TWU12377" s="205"/>
      <c r="TWV12377" s="149"/>
      <c r="TWW12377" s="102"/>
      <c r="TWX12377" s="101"/>
      <c r="TWY12377" s="99"/>
      <c r="TWZ12377" s="100"/>
      <c r="TXA12377" s="205"/>
      <c r="TXB12377" s="149"/>
      <c r="TXC12377" s="102"/>
      <c r="TXD12377" s="101"/>
      <c r="TXE12377" s="99"/>
      <c r="TXF12377" s="100"/>
      <c r="TXG12377" s="205"/>
      <c r="TXH12377" s="149"/>
      <c r="TXI12377" s="102"/>
      <c r="TXJ12377" s="101"/>
      <c r="TXK12377" s="99"/>
      <c r="TXL12377" s="100"/>
      <c r="TXM12377" s="205"/>
      <c r="TXN12377" s="149"/>
      <c r="TXO12377" s="102"/>
      <c r="TXP12377" s="101"/>
      <c r="TXQ12377" s="99"/>
      <c r="TXR12377" s="100"/>
      <c r="TXS12377" s="205"/>
      <c r="TXT12377" s="149"/>
      <c r="TXU12377" s="102"/>
      <c r="TXV12377" s="101"/>
      <c r="TXW12377" s="99"/>
      <c r="TXX12377" s="100"/>
      <c r="TXY12377" s="205"/>
      <c r="TXZ12377" s="149"/>
      <c r="TYA12377" s="102"/>
      <c r="TYB12377" s="101"/>
      <c r="TYC12377" s="99"/>
      <c r="TYD12377" s="100"/>
      <c r="TYE12377" s="205"/>
      <c r="TYF12377" s="149"/>
      <c r="TYG12377" s="102"/>
      <c r="TYH12377" s="101"/>
      <c r="TYI12377" s="99"/>
      <c r="TYJ12377" s="100"/>
      <c r="TYK12377" s="205"/>
      <c r="TYL12377" s="149"/>
      <c r="TYM12377" s="102"/>
      <c r="TYN12377" s="101"/>
      <c r="TYO12377" s="99"/>
      <c r="TYP12377" s="100"/>
      <c r="TYQ12377" s="205"/>
      <c r="TYR12377" s="149"/>
      <c r="TYS12377" s="102"/>
      <c r="TYT12377" s="101"/>
      <c r="TYU12377" s="99"/>
      <c r="TYV12377" s="100"/>
      <c r="TYW12377" s="205"/>
      <c r="TYX12377" s="149"/>
      <c r="TYY12377" s="102"/>
      <c r="TYZ12377" s="101"/>
      <c r="TZA12377" s="99"/>
      <c r="TZB12377" s="100"/>
      <c r="TZC12377" s="205"/>
      <c r="TZD12377" s="149"/>
      <c r="TZE12377" s="102"/>
      <c r="TZF12377" s="101"/>
      <c r="TZG12377" s="99"/>
      <c r="TZH12377" s="100"/>
      <c r="TZI12377" s="205"/>
      <c r="TZJ12377" s="149"/>
      <c r="TZK12377" s="102"/>
      <c r="TZL12377" s="101"/>
      <c r="TZM12377" s="99"/>
      <c r="TZN12377" s="100"/>
      <c r="TZO12377" s="205"/>
      <c r="TZP12377" s="149"/>
      <c r="TZQ12377" s="102"/>
      <c r="TZR12377" s="101"/>
      <c r="TZS12377" s="99"/>
      <c r="TZT12377" s="100"/>
      <c r="TZU12377" s="205"/>
      <c r="TZV12377" s="149"/>
      <c r="TZW12377" s="102"/>
      <c r="TZX12377" s="101"/>
      <c r="TZY12377" s="99"/>
      <c r="TZZ12377" s="100"/>
      <c r="UAA12377" s="205"/>
      <c r="UAB12377" s="149"/>
      <c r="UAC12377" s="102"/>
      <c r="UAD12377" s="101"/>
      <c r="UAE12377" s="99"/>
      <c r="UAF12377" s="100"/>
      <c r="UAG12377" s="205"/>
      <c r="UAH12377" s="149"/>
      <c r="UAI12377" s="102"/>
      <c r="UAJ12377" s="101"/>
      <c r="UAK12377" s="99"/>
      <c r="UAL12377" s="100"/>
      <c r="UAM12377" s="205"/>
      <c r="UAN12377" s="149"/>
      <c r="UAO12377" s="102"/>
      <c r="UAP12377" s="101"/>
      <c r="UAQ12377" s="99"/>
      <c r="UAR12377" s="100"/>
      <c r="UAS12377" s="205"/>
      <c r="UAT12377" s="149"/>
      <c r="UAU12377" s="102"/>
      <c r="UAV12377" s="101"/>
      <c r="UAW12377" s="99"/>
      <c r="UAX12377" s="100"/>
      <c r="UAY12377" s="205"/>
      <c r="UAZ12377" s="149"/>
      <c r="UBA12377" s="102"/>
      <c r="UBB12377" s="101"/>
      <c r="UBC12377" s="99"/>
      <c r="UBD12377" s="100"/>
      <c r="UBE12377" s="205"/>
      <c r="UBF12377" s="149"/>
      <c r="UBG12377" s="102"/>
      <c r="UBH12377" s="101"/>
      <c r="UBI12377" s="99"/>
      <c r="UBJ12377" s="100"/>
      <c r="UBK12377" s="205"/>
      <c r="UBL12377" s="149"/>
      <c r="UBM12377" s="102"/>
      <c r="UBN12377" s="101"/>
      <c r="UBO12377" s="99"/>
      <c r="UBP12377" s="100"/>
      <c r="UBQ12377" s="205"/>
      <c r="UBR12377" s="149"/>
      <c r="UBS12377" s="102"/>
      <c r="UBT12377" s="101"/>
      <c r="UBU12377" s="99"/>
      <c r="UBV12377" s="100"/>
      <c r="UBW12377" s="205"/>
      <c r="UBX12377" s="149"/>
      <c r="UBY12377" s="102"/>
      <c r="UBZ12377" s="101"/>
      <c r="UCA12377" s="99"/>
      <c r="UCB12377" s="100"/>
      <c r="UCC12377" s="205"/>
      <c r="UCD12377" s="149"/>
      <c r="UCE12377" s="102"/>
      <c r="UCF12377" s="101"/>
      <c r="UCG12377" s="99"/>
      <c r="UCH12377" s="100"/>
      <c r="UCI12377" s="205"/>
      <c r="UCJ12377" s="149"/>
      <c r="UCK12377" s="102"/>
      <c r="UCL12377" s="101"/>
      <c r="UCM12377" s="99"/>
      <c r="UCN12377" s="100"/>
      <c r="UCO12377" s="205"/>
      <c r="UCP12377" s="149"/>
      <c r="UCQ12377" s="102"/>
      <c r="UCR12377" s="101"/>
      <c r="UCS12377" s="99"/>
      <c r="UCT12377" s="100"/>
      <c r="UCU12377" s="205"/>
      <c r="UCV12377" s="149"/>
      <c r="UCW12377" s="102"/>
      <c r="UCX12377" s="101"/>
      <c r="UCY12377" s="99"/>
      <c r="UCZ12377" s="100"/>
      <c r="UDA12377" s="205"/>
      <c r="UDB12377" s="149"/>
      <c r="UDC12377" s="102"/>
      <c r="UDD12377" s="101"/>
      <c r="UDE12377" s="99"/>
      <c r="UDF12377" s="100"/>
      <c r="UDG12377" s="205"/>
      <c r="UDH12377" s="149"/>
      <c r="UDI12377" s="102"/>
      <c r="UDJ12377" s="101"/>
      <c r="UDK12377" s="99"/>
      <c r="UDL12377" s="100"/>
      <c r="UDM12377" s="205"/>
      <c r="UDN12377" s="149"/>
      <c r="UDO12377" s="102"/>
      <c r="UDP12377" s="101"/>
      <c r="UDQ12377" s="99"/>
      <c r="UDR12377" s="100"/>
      <c r="UDS12377" s="205"/>
      <c r="UDT12377" s="149"/>
      <c r="UDU12377" s="102"/>
      <c r="UDV12377" s="101"/>
      <c r="UDW12377" s="99"/>
      <c r="UDX12377" s="100"/>
      <c r="UDY12377" s="205"/>
      <c r="UDZ12377" s="149"/>
      <c r="UEA12377" s="102"/>
      <c r="UEB12377" s="101"/>
      <c r="UEC12377" s="99"/>
      <c r="UED12377" s="100"/>
      <c r="UEE12377" s="205"/>
      <c r="UEF12377" s="149"/>
      <c r="UEG12377" s="102"/>
      <c r="UEH12377" s="101"/>
      <c r="UEI12377" s="99"/>
      <c r="UEJ12377" s="100"/>
      <c r="UEK12377" s="205"/>
      <c r="UEL12377" s="149"/>
      <c r="UEM12377" s="102"/>
      <c r="UEN12377" s="101"/>
      <c r="UEO12377" s="99"/>
      <c r="UEP12377" s="100"/>
      <c r="UEQ12377" s="205"/>
      <c r="UER12377" s="149"/>
      <c r="UES12377" s="102"/>
      <c r="UET12377" s="101"/>
      <c r="UEU12377" s="99"/>
      <c r="UEV12377" s="100"/>
      <c r="UEW12377" s="205"/>
      <c r="UEX12377" s="149"/>
      <c r="UEY12377" s="102"/>
      <c r="UEZ12377" s="101"/>
      <c r="UFA12377" s="99"/>
      <c r="UFB12377" s="100"/>
      <c r="UFC12377" s="205"/>
      <c r="UFD12377" s="149"/>
      <c r="UFE12377" s="102"/>
      <c r="UFF12377" s="101"/>
      <c r="UFG12377" s="99"/>
      <c r="UFH12377" s="100"/>
      <c r="UFI12377" s="205"/>
      <c r="UFJ12377" s="149"/>
      <c r="UFK12377" s="102"/>
      <c r="UFL12377" s="101"/>
      <c r="UFM12377" s="99"/>
      <c r="UFN12377" s="100"/>
      <c r="UFO12377" s="205"/>
      <c r="UFP12377" s="149"/>
      <c r="UFQ12377" s="102"/>
      <c r="UFR12377" s="101"/>
      <c r="UFS12377" s="99"/>
      <c r="UFT12377" s="100"/>
      <c r="UFU12377" s="205"/>
      <c r="UFV12377" s="149"/>
      <c r="UFW12377" s="102"/>
      <c r="UFX12377" s="101"/>
      <c r="UFY12377" s="99"/>
      <c r="UFZ12377" s="100"/>
      <c r="UGA12377" s="205"/>
      <c r="UGB12377" s="149"/>
      <c r="UGC12377" s="102"/>
      <c r="UGD12377" s="101"/>
      <c r="UGE12377" s="99"/>
      <c r="UGF12377" s="100"/>
      <c r="UGG12377" s="205"/>
      <c r="UGH12377" s="149"/>
      <c r="UGI12377" s="102"/>
      <c r="UGJ12377" s="101"/>
      <c r="UGK12377" s="99"/>
      <c r="UGL12377" s="100"/>
      <c r="UGM12377" s="205"/>
      <c r="UGN12377" s="149"/>
      <c r="UGO12377" s="102"/>
      <c r="UGP12377" s="101"/>
      <c r="UGQ12377" s="99"/>
      <c r="UGR12377" s="100"/>
      <c r="UGS12377" s="205"/>
      <c r="UGT12377" s="149"/>
      <c r="UGU12377" s="102"/>
      <c r="UGV12377" s="101"/>
      <c r="UGW12377" s="99"/>
      <c r="UGX12377" s="100"/>
      <c r="UGY12377" s="205"/>
      <c r="UGZ12377" s="149"/>
      <c r="UHA12377" s="102"/>
      <c r="UHB12377" s="101"/>
      <c r="UHC12377" s="99"/>
      <c r="UHD12377" s="100"/>
      <c r="UHE12377" s="205"/>
      <c r="UHF12377" s="149"/>
      <c r="UHG12377" s="102"/>
      <c r="UHH12377" s="101"/>
      <c r="UHI12377" s="99"/>
      <c r="UHJ12377" s="100"/>
      <c r="UHK12377" s="205"/>
      <c r="UHL12377" s="149"/>
      <c r="UHM12377" s="102"/>
      <c r="UHN12377" s="101"/>
      <c r="UHO12377" s="99"/>
      <c r="UHP12377" s="100"/>
      <c r="UHQ12377" s="205"/>
      <c r="UHR12377" s="149"/>
      <c r="UHS12377" s="102"/>
      <c r="UHT12377" s="101"/>
      <c r="UHU12377" s="99"/>
      <c r="UHV12377" s="100"/>
      <c r="UHW12377" s="205"/>
      <c r="UHX12377" s="149"/>
      <c r="UHY12377" s="102"/>
      <c r="UHZ12377" s="101"/>
      <c r="UIA12377" s="99"/>
      <c r="UIB12377" s="100"/>
      <c r="UIC12377" s="205"/>
      <c r="UID12377" s="149"/>
      <c r="UIE12377" s="102"/>
      <c r="UIF12377" s="101"/>
      <c r="UIG12377" s="99"/>
      <c r="UIH12377" s="100"/>
      <c r="UII12377" s="205"/>
      <c r="UIJ12377" s="149"/>
      <c r="UIK12377" s="102"/>
      <c r="UIL12377" s="101"/>
      <c r="UIM12377" s="99"/>
      <c r="UIN12377" s="100"/>
      <c r="UIO12377" s="205"/>
      <c r="UIP12377" s="149"/>
      <c r="UIQ12377" s="102"/>
      <c r="UIR12377" s="101"/>
      <c r="UIS12377" s="99"/>
      <c r="UIT12377" s="100"/>
      <c r="UIU12377" s="205"/>
      <c r="UIV12377" s="149"/>
      <c r="UIW12377" s="102"/>
      <c r="UIX12377" s="101"/>
      <c r="UIY12377" s="99"/>
      <c r="UIZ12377" s="100"/>
      <c r="UJA12377" s="205"/>
      <c r="UJB12377" s="149"/>
      <c r="UJC12377" s="102"/>
      <c r="UJD12377" s="101"/>
      <c r="UJE12377" s="99"/>
      <c r="UJF12377" s="100"/>
      <c r="UJG12377" s="205"/>
      <c r="UJH12377" s="149"/>
      <c r="UJI12377" s="102"/>
      <c r="UJJ12377" s="101"/>
      <c r="UJK12377" s="99"/>
      <c r="UJL12377" s="100"/>
      <c r="UJM12377" s="205"/>
      <c r="UJN12377" s="149"/>
      <c r="UJO12377" s="102"/>
      <c r="UJP12377" s="101"/>
      <c r="UJQ12377" s="99"/>
      <c r="UJR12377" s="100"/>
      <c r="UJS12377" s="205"/>
      <c r="UJT12377" s="149"/>
      <c r="UJU12377" s="102"/>
      <c r="UJV12377" s="101"/>
      <c r="UJW12377" s="99"/>
      <c r="UJX12377" s="100"/>
      <c r="UJY12377" s="205"/>
      <c r="UJZ12377" s="149"/>
      <c r="UKA12377" s="102"/>
      <c r="UKB12377" s="101"/>
      <c r="UKC12377" s="99"/>
      <c r="UKD12377" s="100"/>
      <c r="UKE12377" s="205"/>
      <c r="UKF12377" s="149"/>
      <c r="UKG12377" s="102"/>
      <c r="UKH12377" s="101"/>
      <c r="UKI12377" s="99"/>
      <c r="UKJ12377" s="100"/>
      <c r="UKK12377" s="205"/>
      <c r="UKL12377" s="149"/>
      <c r="UKM12377" s="102"/>
      <c r="UKN12377" s="101"/>
      <c r="UKO12377" s="99"/>
      <c r="UKP12377" s="100"/>
      <c r="UKQ12377" s="205"/>
      <c r="UKR12377" s="149"/>
      <c r="UKS12377" s="102"/>
      <c r="UKT12377" s="101"/>
      <c r="UKU12377" s="99"/>
      <c r="UKV12377" s="100"/>
      <c r="UKW12377" s="205"/>
      <c r="UKX12377" s="149"/>
      <c r="UKY12377" s="102"/>
      <c r="UKZ12377" s="101"/>
      <c r="ULA12377" s="99"/>
      <c r="ULB12377" s="100"/>
      <c r="ULC12377" s="205"/>
      <c r="ULD12377" s="149"/>
      <c r="ULE12377" s="102"/>
      <c r="ULF12377" s="101"/>
      <c r="ULG12377" s="99"/>
      <c r="ULH12377" s="100"/>
      <c r="ULI12377" s="205"/>
      <c r="ULJ12377" s="149"/>
      <c r="ULK12377" s="102"/>
      <c r="ULL12377" s="101"/>
      <c r="ULM12377" s="99"/>
      <c r="ULN12377" s="100"/>
      <c r="ULO12377" s="205"/>
      <c r="ULP12377" s="149"/>
      <c r="ULQ12377" s="102"/>
      <c r="ULR12377" s="101"/>
      <c r="ULS12377" s="99"/>
      <c r="ULT12377" s="100"/>
      <c r="ULU12377" s="205"/>
      <c r="ULV12377" s="149"/>
      <c r="ULW12377" s="102"/>
      <c r="ULX12377" s="101"/>
      <c r="ULY12377" s="99"/>
      <c r="ULZ12377" s="100"/>
      <c r="UMA12377" s="205"/>
      <c r="UMB12377" s="149"/>
      <c r="UMC12377" s="102"/>
      <c r="UMD12377" s="101"/>
      <c r="UME12377" s="99"/>
      <c r="UMF12377" s="100"/>
      <c r="UMG12377" s="205"/>
      <c r="UMH12377" s="149"/>
      <c r="UMI12377" s="102"/>
      <c r="UMJ12377" s="101"/>
      <c r="UMK12377" s="99"/>
      <c r="UML12377" s="100"/>
      <c r="UMM12377" s="205"/>
      <c r="UMN12377" s="149"/>
      <c r="UMO12377" s="102"/>
      <c r="UMP12377" s="101"/>
      <c r="UMQ12377" s="99"/>
      <c r="UMR12377" s="100"/>
      <c r="UMS12377" s="205"/>
      <c r="UMT12377" s="149"/>
      <c r="UMU12377" s="102"/>
      <c r="UMV12377" s="101"/>
      <c r="UMW12377" s="99"/>
      <c r="UMX12377" s="100"/>
      <c r="UMY12377" s="205"/>
      <c r="UMZ12377" s="149"/>
      <c r="UNA12377" s="102"/>
      <c r="UNB12377" s="101"/>
      <c r="UNC12377" s="99"/>
      <c r="UND12377" s="100"/>
      <c r="UNE12377" s="205"/>
      <c r="UNF12377" s="149"/>
      <c r="UNG12377" s="102"/>
      <c r="UNH12377" s="101"/>
      <c r="UNI12377" s="99"/>
      <c r="UNJ12377" s="100"/>
      <c r="UNK12377" s="205"/>
      <c r="UNL12377" s="149"/>
      <c r="UNM12377" s="102"/>
      <c r="UNN12377" s="101"/>
      <c r="UNO12377" s="99"/>
      <c r="UNP12377" s="100"/>
      <c r="UNQ12377" s="205"/>
      <c r="UNR12377" s="149"/>
      <c r="UNS12377" s="102"/>
      <c r="UNT12377" s="101"/>
      <c r="UNU12377" s="99"/>
      <c r="UNV12377" s="100"/>
      <c r="UNW12377" s="205"/>
      <c r="UNX12377" s="149"/>
      <c r="UNY12377" s="102"/>
      <c r="UNZ12377" s="101"/>
      <c r="UOA12377" s="99"/>
      <c r="UOB12377" s="100"/>
      <c r="UOC12377" s="205"/>
      <c r="UOD12377" s="149"/>
      <c r="UOE12377" s="102"/>
      <c r="UOF12377" s="101"/>
      <c r="UOG12377" s="99"/>
      <c r="UOH12377" s="100"/>
      <c r="UOI12377" s="205"/>
      <c r="UOJ12377" s="149"/>
      <c r="UOK12377" s="102"/>
      <c r="UOL12377" s="101"/>
      <c r="UOM12377" s="99"/>
      <c r="UON12377" s="100"/>
      <c r="UOO12377" s="205"/>
      <c r="UOP12377" s="149"/>
      <c r="UOQ12377" s="102"/>
      <c r="UOR12377" s="101"/>
      <c r="UOS12377" s="99"/>
      <c r="UOT12377" s="100"/>
      <c r="UOU12377" s="205"/>
      <c r="UOV12377" s="149"/>
      <c r="UOW12377" s="102"/>
      <c r="UOX12377" s="101"/>
      <c r="UOY12377" s="99"/>
      <c r="UOZ12377" s="100"/>
      <c r="UPA12377" s="205"/>
      <c r="UPB12377" s="149"/>
      <c r="UPC12377" s="102"/>
      <c r="UPD12377" s="101"/>
      <c r="UPE12377" s="99"/>
      <c r="UPF12377" s="100"/>
      <c r="UPG12377" s="205"/>
      <c r="UPH12377" s="149"/>
      <c r="UPI12377" s="102"/>
      <c r="UPJ12377" s="101"/>
      <c r="UPK12377" s="99"/>
      <c r="UPL12377" s="100"/>
      <c r="UPM12377" s="205"/>
      <c r="UPN12377" s="149"/>
      <c r="UPO12377" s="102"/>
      <c r="UPP12377" s="101"/>
      <c r="UPQ12377" s="99"/>
      <c r="UPR12377" s="100"/>
      <c r="UPS12377" s="205"/>
      <c r="UPT12377" s="149"/>
      <c r="UPU12377" s="102"/>
      <c r="UPV12377" s="101"/>
      <c r="UPW12377" s="99"/>
      <c r="UPX12377" s="100"/>
      <c r="UPY12377" s="205"/>
      <c r="UPZ12377" s="149"/>
      <c r="UQA12377" s="102"/>
      <c r="UQB12377" s="101"/>
      <c r="UQC12377" s="99"/>
      <c r="UQD12377" s="100"/>
      <c r="UQE12377" s="205"/>
      <c r="UQF12377" s="149"/>
      <c r="UQG12377" s="102"/>
      <c r="UQH12377" s="101"/>
      <c r="UQI12377" s="99"/>
      <c r="UQJ12377" s="100"/>
      <c r="UQK12377" s="205"/>
      <c r="UQL12377" s="149"/>
      <c r="UQM12377" s="102"/>
      <c r="UQN12377" s="101"/>
      <c r="UQO12377" s="99"/>
      <c r="UQP12377" s="100"/>
      <c r="UQQ12377" s="205"/>
      <c r="UQR12377" s="149"/>
      <c r="UQS12377" s="102"/>
      <c r="UQT12377" s="101"/>
      <c r="UQU12377" s="99"/>
      <c r="UQV12377" s="100"/>
      <c r="UQW12377" s="205"/>
      <c r="UQX12377" s="149"/>
      <c r="UQY12377" s="102"/>
      <c r="UQZ12377" s="101"/>
      <c r="URA12377" s="99"/>
      <c r="URB12377" s="100"/>
      <c r="URC12377" s="205"/>
      <c r="URD12377" s="149"/>
      <c r="URE12377" s="102"/>
      <c r="URF12377" s="101"/>
      <c r="URG12377" s="99"/>
      <c r="URH12377" s="100"/>
      <c r="URI12377" s="205"/>
      <c r="URJ12377" s="149"/>
      <c r="URK12377" s="102"/>
      <c r="URL12377" s="101"/>
      <c r="URM12377" s="99"/>
      <c r="URN12377" s="100"/>
      <c r="URO12377" s="205"/>
      <c r="URP12377" s="149"/>
      <c r="URQ12377" s="102"/>
      <c r="URR12377" s="101"/>
      <c r="URS12377" s="99"/>
      <c r="URT12377" s="100"/>
      <c r="URU12377" s="205"/>
      <c r="URV12377" s="149"/>
      <c r="URW12377" s="102"/>
      <c r="URX12377" s="101"/>
      <c r="URY12377" s="99"/>
      <c r="URZ12377" s="100"/>
      <c r="USA12377" s="205"/>
      <c r="USB12377" s="149"/>
      <c r="USC12377" s="102"/>
      <c r="USD12377" s="101"/>
      <c r="USE12377" s="99"/>
      <c r="USF12377" s="100"/>
      <c r="USG12377" s="205"/>
      <c r="USH12377" s="149"/>
      <c r="USI12377" s="102"/>
      <c r="USJ12377" s="101"/>
      <c r="USK12377" s="99"/>
      <c r="USL12377" s="100"/>
      <c r="USM12377" s="205"/>
      <c r="USN12377" s="149"/>
      <c r="USO12377" s="102"/>
      <c r="USP12377" s="101"/>
      <c r="USQ12377" s="99"/>
      <c r="USR12377" s="100"/>
      <c r="USS12377" s="205"/>
      <c r="UST12377" s="149"/>
      <c r="USU12377" s="102"/>
      <c r="USV12377" s="101"/>
      <c r="USW12377" s="99"/>
      <c r="USX12377" s="100"/>
      <c r="USY12377" s="205"/>
      <c r="USZ12377" s="149"/>
      <c r="UTA12377" s="102"/>
      <c r="UTB12377" s="101"/>
      <c r="UTC12377" s="99"/>
      <c r="UTD12377" s="100"/>
      <c r="UTE12377" s="205"/>
      <c r="UTF12377" s="149"/>
      <c r="UTG12377" s="102"/>
      <c r="UTH12377" s="101"/>
      <c r="UTI12377" s="99"/>
      <c r="UTJ12377" s="100"/>
      <c r="UTK12377" s="205"/>
      <c r="UTL12377" s="149"/>
      <c r="UTM12377" s="102"/>
      <c r="UTN12377" s="101"/>
      <c r="UTO12377" s="99"/>
      <c r="UTP12377" s="100"/>
      <c r="UTQ12377" s="205"/>
      <c r="UTR12377" s="149"/>
      <c r="UTS12377" s="102"/>
      <c r="UTT12377" s="101"/>
      <c r="UTU12377" s="99"/>
      <c r="UTV12377" s="100"/>
      <c r="UTW12377" s="205"/>
      <c r="UTX12377" s="149"/>
      <c r="UTY12377" s="102"/>
      <c r="UTZ12377" s="101"/>
      <c r="UUA12377" s="99"/>
      <c r="UUB12377" s="100"/>
      <c r="UUC12377" s="205"/>
      <c r="UUD12377" s="149"/>
      <c r="UUE12377" s="102"/>
      <c r="UUF12377" s="101"/>
      <c r="UUG12377" s="99"/>
      <c r="UUH12377" s="100"/>
      <c r="UUI12377" s="205"/>
      <c r="UUJ12377" s="149"/>
      <c r="UUK12377" s="102"/>
      <c r="UUL12377" s="101"/>
      <c r="UUM12377" s="99"/>
      <c r="UUN12377" s="100"/>
      <c r="UUO12377" s="205"/>
      <c r="UUP12377" s="149"/>
      <c r="UUQ12377" s="102"/>
      <c r="UUR12377" s="101"/>
      <c r="UUS12377" s="99"/>
      <c r="UUT12377" s="100"/>
      <c r="UUU12377" s="205"/>
      <c r="UUV12377" s="149"/>
      <c r="UUW12377" s="102"/>
      <c r="UUX12377" s="101"/>
      <c r="UUY12377" s="99"/>
      <c r="UUZ12377" s="100"/>
      <c r="UVA12377" s="205"/>
      <c r="UVB12377" s="149"/>
      <c r="UVC12377" s="102"/>
      <c r="UVD12377" s="101"/>
      <c r="UVE12377" s="99"/>
      <c r="UVF12377" s="100"/>
      <c r="UVG12377" s="205"/>
      <c r="UVH12377" s="149"/>
      <c r="UVI12377" s="102"/>
      <c r="UVJ12377" s="101"/>
      <c r="UVK12377" s="99"/>
      <c r="UVL12377" s="100"/>
      <c r="UVM12377" s="205"/>
      <c r="UVN12377" s="149"/>
      <c r="UVO12377" s="102"/>
      <c r="UVP12377" s="101"/>
      <c r="UVQ12377" s="99"/>
      <c r="UVR12377" s="100"/>
      <c r="UVS12377" s="205"/>
      <c r="UVT12377" s="149"/>
      <c r="UVU12377" s="102"/>
      <c r="UVV12377" s="101"/>
      <c r="UVW12377" s="99"/>
      <c r="UVX12377" s="100"/>
      <c r="UVY12377" s="205"/>
      <c r="UVZ12377" s="149"/>
      <c r="UWA12377" s="102"/>
      <c r="UWB12377" s="101"/>
      <c r="UWC12377" s="99"/>
      <c r="UWD12377" s="100"/>
      <c r="UWE12377" s="205"/>
      <c r="UWF12377" s="149"/>
      <c r="UWG12377" s="102"/>
      <c r="UWH12377" s="101"/>
      <c r="UWI12377" s="99"/>
      <c r="UWJ12377" s="100"/>
      <c r="UWK12377" s="205"/>
      <c r="UWL12377" s="149"/>
      <c r="UWM12377" s="102"/>
      <c r="UWN12377" s="101"/>
      <c r="UWO12377" s="99"/>
      <c r="UWP12377" s="100"/>
      <c r="UWQ12377" s="205"/>
      <c r="UWR12377" s="149"/>
      <c r="UWS12377" s="102"/>
      <c r="UWT12377" s="101"/>
      <c r="UWU12377" s="99"/>
      <c r="UWV12377" s="100"/>
      <c r="UWW12377" s="205"/>
      <c r="UWX12377" s="149"/>
      <c r="UWY12377" s="102"/>
      <c r="UWZ12377" s="101"/>
      <c r="UXA12377" s="99"/>
      <c r="UXB12377" s="100"/>
      <c r="UXC12377" s="205"/>
      <c r="UXD12377" s="149"/>
      <c r="UXE12377" s="102"/>
      <c r="UXF12377" s="101"/>
      <c r="UXG12377" s="99"/>
      <c r="UXH12377" s="100"/>
      <c r="UXI12377" s="205"/>
      <c r="UXJ12377" s="149"/>
      <c r="UXK12377" s="102"/>
      <c r="UXL12377" s="101"/>
      <c r="UXM12377" s="99"/>
      <c r="UXN12377" s="100"/>
      <c r="UXO12377" s="205"/>
      <c r="UXP12377" s="149"/>
      <c r="UXQ12377" s="102"/>
      <c r="UXR12377" s="101"/>
      <c r="UXS12377" s="99"/>
      <c r="UXT12377" s="100"/>
      <c r="UXU12377" s="205"/>
      <c r="UXV12377" s="149"/>
      <c r="UXW12377" s="102"/>
      <c r="UXX12377" s="101"/>
      <c r="UXY12377" s="99"/>
      <c r="UXZ12377" s="100"/>
      <c r="UYA12377" s="205"/>
      <c r="UYB12377" s="149"/>
      <c r="UYC12377" s="102"/>
      <c r="UYD12377" s="101"/>
      <c r="UYE12377" s="99"/>
      <c r="UYF12377" s="100"/>
      <c r="UYG12377" s="205"/>
      <c r="UYH12377" s="149"/>
      <c r="UYI12377" s="102"/>
      <c r="UYJ12377" s="101"/>
      <c r="UYK12377" s="99"/>
      <c r="UYL12377" s="100"/>
      <c r="UYM12377" s="205"/>
      <c r="UYN12377" s="149"/>
      <c r="UYO12377" s="102"/>
      <c r="UYP12377" s="101"/>
      <c r="UYQ12377" s="99"/>
      <c r="UYR12377" s="100"/>
      <c r="UYS12377" s="205"/>
      <c r="UYT12377" s="149"/>
      <c r="UYU12377" s="102"/>
      <c r="UYV12377" s="101"/>
      <c r="UYW12377" s="99"/>
      <c r="UYX12377" s="100"/>
      <c r="UYY12377" s="205"/>
      <c r="UYZ12377" s="149"/>
      <c r="UZA12377" s="102"/>
      <c r="UZB12377" s="101"/>
      <c r="UZC12377" s="99"/>
      <c r="UZD12377" s="100"/>
      <c r="UZE12377" s="205"/>
      <c r="UZF12377" s="149"/>
      <c r="UZG12377" s="102"/>
      <c r="UZH12377" s="101"/>
      <c r="UZI12377" s="99"/>
      <c r="UZJ12377" s="100"/>
      <c r="UZK12377" s="205"/>
      <c r="UZL12377" s="149"/>
      <c r="UZM12377" s="102"/>
      <c r="UZN12377" s="101"/>
      <c r="UZO12377" s="99"/>
      <c r="UZP12377" s="100"/>
      <c r="UZQ12377" s="205"/>
      <c r="UZR12377" s="149"/>
      <c r="UZS12377" s="102"/>
      <c r="UZT12377" s="101"/>
      <c r="UZU12377" s="99"/>
      <c r="UZV12377" s="100"/>
      <c r="UZW12377" s="205"/>
      <c r="UZX12377" s="149"/>
      <c r="UZY12377" s="102"/>
      <c r="UZZ12377" s="101"/>
      <c r="VAA12377" s="99"/>
      <c r="VAB12377" s="100"/>
      <c r="VAC12377" s="205"/>
      <c r="VAD12377" s="149"/>
      <c r="VAE12377" s="102"/>
      <c r="VAF12377" s="101"/>
      <c r="VAG12377" s="99"/>
      <c r="VAH12377" s="100"/>
      <c r="VAI12377" s="205"/>
      <c r="VAJ12377" s="149"/>
      <c r="VAK12377" s="102"/>
      <c r="VAL12377" s="101"/>
      <c r="VAM12377" s="99"/>
      <c r="VAN12377" s="100"/>
      <c r="VAO12377" s="205"/>
      <c r="VAP12377" s="149"/>
      <c r="VAQ12377" s="102"/>
      <c r="VAR12377" s="101"/>
      <c r="VAS12377" s="99"/>
      <c r="VAT12377" s="100"/>
      <c r="VAU12377" s="205"/>
      <c r="VAV12377" s="149"/>
      <c r="VAW12377" s="102"/>
      <c r="VAX12377" s="101"/>
      <c r="VAY12377" s="99"/>
      <c r="VAZ12377" s="100"/>
      <c r="VBA12377" s="205"/>
      <c r="VBB12377" s="149"/>
      <c r="VBC12377" s="102"/>
      <c r="VBD12377" s="101"/>
      <c r="VBE12377" s="99"/>
      <c r="VBF12377" s="100"/>
      <c r="VBG12377" s="205"/>
      <c r="VBH12377" s="149"/>
      <c r="VBI12377" s="102"/>
      <c r="VBJ12377" s="101"/>
      <c r="VBK12377" s="99"/>
      <c r="VBL12377" s="100"/>
      <c r="VBM12377" s="205"/>
      <c r="VBN12377" s="149"/>
      <c r="VBO12377" s="102"/>
      <c r="VBP12377" s="101"/>
      <c r="VBQ12377" s="99"/>
      <c r="VBR12377" s="100"/>
      <c r="VBS12377" s="205"/>
      <c r="VBT12377" s="149"/>
      <c r="VBU12377" s="102"/>
      <c r="VBV12377" s="101"/>
      <c r="VBW12377" s="99"/>
      <c r="VBX12377" s="100"/>
      <c r="VBY12377" s="205"/>
      <c r="VBZ12377" s="149"/>
      <c r="VCA12377" s="102"/>
      <c r="VCB12377" s="101"/>
      <c r="VCC12377" s="99"/>
      <c r="VCD12377" s="100"/>
      <c r="VCE12377" s="205"/>
      <c r="VCF12377" s="149"/>
      <c r="VCG12377" s="102"/>
      <c r="VCH12377" s="101"/>
      <c r="VCI12377" s="99"/>
      <c r="VCJ12377" s="100"/>
      <c r="VCK12377" s="205"/>
      <c r="VCL12377" s="149"/>
      <c r="VCM12377" s="102"/>
      <c r="VCN12377" s="101"/>
      <c r="VCO12377" s="99"/>
      <c r="VCP12377" s="100"/>
      <c r="VCQ12377" s="205"/>
      <c r="VCR12377" s="149"/>
      <c r="VCS12377" s="102"/>
      <c r="VCT12377" s="101"/>
      <c r="VCU12377" s="99"/>
      <c r="VCV12377" s="100"/>
      <c r="VCW12377" s="205"/>
      <c r="VCX12377" s="149"/>
      <c r="VCY12377" s="102"/>
      <c r="VCZ12377" s="101"/>
      <c r="VDA12377" s="99"/>
      <c r="VDB12377" s="100"/>
      <c r="VDC12377" s="205"/>
      <c r="VDD12377" s="149"/>
      <c r="VDE12377" s="102"/>
      <c r="VDF12377" s="101"/>
      <c r="VDG12377" s="99"/>
      <c r="VDH12377" s="100"/>
      <c r="VDI12377" s="205"/>
      <c r="VDJ12377" s="149"/>
      <c r="VDK12377" s="102"/>
      <c r="VDL12377" s="101"/>
      <c r="VDM12377" s="99"/>
      <c r="VDN12377" s="100"/>
      <c r="VDO12377" s="205"/>
      <c r="VDP12377" s="149"/>
      <c r="VDQ12377" s="102"/>
      <c r="VDR12377" s="101"/>
      <c r="VDS12377" s="99"/>
      <c r="VDT12377" s="100"/>
      <c r="VDU12377" s="205"/>
      <c r="VDV12377" s="149"/>
      <c r="VDW12377" s="102"/>
      <c r="VDX12377" s="101"/>
      <c r="VDY12377" s="99"/>
      <c r="VDZ12377" s="100"/>
      <c r="VEA12377" s="205"/>
      <c r="VEB12377" s="149"/>
      <c r="VEC12377" s="102"/>
      <c r="VED12377" s="101"/>
      <c r="VEE12377" s="99"/>
      <c r="VEF12377" s="100"/>
      <c r="VEG12377" s="205"/>
      <c r="VEH12377" s="149"/>
      <c r="VEI12377" s="102"/>
      <c r="VEJ12377" s="101"/>
      <c r="VEK12377" s="99"/>
      <c r="VEL12377" s="100"/>
      <c r="VEM12377" s="205"/>
      <c r="VEN12377" s="149"/>
      <c r="VEO12377" s="102"/>
      <c r="VEP12377" s="101"/>
      <c r="VEQ12377" s="99"/>
      <c r="VER12377" s="100"/>
      <c r="VES12377" s="205"/>
      <c r="VET12377" s="149"/>
      <c r="VEU12377" s="102"/>
      <c r="VEV12377" s="101"/>
      <c r="VEW12377" s="99"/>
      <c r="VEX12377" s="100"/>
      <c r="VEY12377" s="205"/>
      <c r="VEZ12377" s="149"/>
      <c r="VFA12377" s="102"/>
      <c r="VFB12377" s="101"/>
      <c r="VFC12377" s="99"/>
      <c r="VFD12377" s="100"/>
      <c r="VFE12377" s="205"/>
      <c r="VFF12377" s="149"/>
      <c r="VFG12377" s="102"/>
      <c r="VFH12377" s="101"/>
      <c r="VFI12377" s="99"/>
      <c r="VFJ12377" s="100"/>
      <c r="VFK12377" s="205"/>
      <c r="VFL12377" s="149"/>
      <c r="VFM12377" s="102"/>
      <c r="VFN12377" s="101"/>
      <c r="VFO12377" s="99"/>
      <c r="VFP12377" s="100"/>
      <c r="VFQ12377" s="205"/>
      <c r="VFR12377" s="149"/>
      <c r="VFS12377" s="102"/>
      <c r="VFT12377" s="101"/>
      <c r="VFU12377" s="99"/>
      <c r="VFV12377" s="100"/>
      <c r="VFW12377" s="205"/>
      <c r="VFX12377" s="149"/>
      <c r="VFY12377" s="102"/>
      <c r="VFZ12377" s="101"/>
      <c r="VGA12377" s="99"/>
      <c r="VGB12377" s="100"/>
      <c r="VGC12377" s="205"/>
      <c r="VGD12377" s="149"/>
      <c r="VGE12377" s="102"/>
      <c r="VGF12377" s="101"/>
      <c r="VGG12377" s="99"/>
      <c r="VGH12377" s="100"/>
      <c r="VGI12377" s="205"/>
      <c r="VGJ12377" s="149"/>
      <c r="VGK12377" s="102"/>
      <c r="VGL12377" s="101"/>
      <c r="VGM12377" s="99"/>
      <c r="VGN12377" s="100"/>
      <c r="VGO12377" s="205"/>
      <c r="VGP12377" s="149"/>
      <c r="VGQ12377" s="102"/>
      <c r="VGR12377" s="101"/>
      <c r="VGS12377" s="99"/>
      <c r="VGT12377" s="100"/>
      <c r="VGU12377" s="205"/>
      <c r="VGV12377" s="149"/>
      <c r="VGW12377" s="102"/>
      <c r="VGX12377" s="101"/>
      <c r="VGY12377" s="99"/>
      <c r="VGZ12377" s="100"/>
      <c r="VHA12377" s="205"/>
      <c r="VHB12377" s="149"/>
      <c r="VHC12377" s="102"/>
      <c r="VHD12377" s="101"/>
      <c r="VHE12377" s="99"/>
      <c r="VHF12377" s="100"/>
      <c r="VHG12377" s="205"/>
      <c r="VHH12377" s="149"/>
      <c r="VHI12377" s="102"/>
      <c r="VHJ12377" s="101"/>
      <c r="VHK12377" s="99"/>
      <c r="VHL12377" s="100"/>
      <c r="VHM12377" s="205"/>
      <c r="VHN12377" s="149"/>
      <c r="VHO12377" s="102"/>
      <c r="VHP12377" s="101"/>
      <c r="VHQ12377" s="99"/>
      <c r="VHR12377" s="100"/>
      <c r="VHS12377" s="205"/>
      <c r="VHT12377" s="149"/>
      <c r="VHU12377" s="102"/>
      <c r="VHV12377" s="101"/>
      <c r="VHW12377" s="99"/>
      <c r="VHX12377" s="100"/>
      <c r="VHY12377" s="205"/>
      <c r="VHZ12377" s="149"/>
      <c r="VIA12377" s="102"/>
      <c r="VIB12377" s="101"/>
      <c r="VIC12377" s="99"/>
      <c r="VID12377" s="100"/>
      <c r="VIE12377" s="205"/>
      <c r="VIF12377" s="149"/>
      <c r="VIG12377" s="102"/>
      <c r="VIH12377" s="101"/>
      <c r="VII12377" s="99"/>
      <c r="VIJ12377" s="100"/>
      <c r="VIK12377" s="205"/>
      <c r="VIL12377" s="149"/>
      <c r="VIM12377" s="102"/>
      <c r="VIN12377" s="101"/>
      <c r="VIO12377" s="99"/>
      <c r="VIP12377" s="100"/>
      <c r="VIQ12377" s="205"/>
      <c r="VIR12377" s="149"/>
      <c r="VIS12377" s="102"/>
      <c r="VIT12377" s="101"/>
      <c r="VIU12377" s="99"/>
      <c r="VIV12377" s="100"/>
      <c r="VIW12377" s="205"/>
      <c r="VIX12377" s="149"/>
      <c r="VIY12377" s="102"/>
      <c r="VIZ12377" s="101"/>
      <c r="VJA12377" s="99"/>
      <c r="VJB12377" s="100"/>
      <c r="VJC12377" s="205"/>
      <c r="VJD12377" s="149"/>
      <c r="VJE12377" s="102"/>
      <c r="VJF12377" s="101"/>
      <c r="VJG12377" s="99"/>
      <c r="VJH12377" s="100"/>
      <c r="VJI12377" s="205"/>
      <c r="VJJ12377" s="149"/>
      <c r="VJK12377" s="102"/>
      <c r="VJL12377" s="101"/>
      <c r="VJM12377" s="99"/>
      <c r="VJN12377" s="100"/>
      <c r="VJO12377" s="205"/>
      <c r="VJP12377" s="149"/>
      <c r="VJQ12377" s="102"/>
      <c r="VJR12377" s="101"/>
      <c r="VJS12377" s="99"/>
      <c r="VJT12377" s="100"/>
      <c r="VJU12377" s="205"/>
      <c r="VJV12377" s="149"/>
      <c r="VJW12377" s="102"/>
      <c r="VJX12377" s="101"/>
      <c r="VJY12377" s="99"/>
      <c r="VJZ12377" s="100"/>
      <c r="VKA12377" s="205"/>
      <c r="VKB12377" s="149"/>
      <c r="VKC12377" s="102"/>
      <c r="VKD12377" s="101"/>
      <c r="VKE12377" s="99"/>
      <c r="VKF12377" s="100"/>
      <c r="VKG12377" s="205"/>
      <c r="VKH12377" s="149"/>
      <c r="VKI12377" s="102"/>
      <c r="VKJ12377" s="101"/>
      <c r="VKK12377" s="99"/>
      <c r="VKL12377" s="100"/>
      <c r="VKM12377" s="205"/>
      <c r="VKN12377" s="149"/>
      <c r="VKO12377" s="102"/>
      <c r="VKP12377" s="101"/>
      <c r="VKQ12377" s="99"/>
      <c r="VKR12377" s="100"/>
      <c r="VKS12377" s="205"/>
      <c r="VKT12377" s="149"/>
      <c r="VKU12377" s="102"/>
      <c r="VKV12377" s="101"/>
      <c r="VKW12377" s="99"/>
      <c r="VKX12377" s="100"/>
      <c r="VKY12377" s="205"/>
      <c r="VKZ12377" s="149"/>
      <c r="VLA12377" s="102"/>
      <c r="VLB12377" s="101"/>
      <c r="VLC12377" s="99"/>
      <c r="VLD12377" s="100"/>
      <c r="VLE12377" s="205"/>
      <c r="VLF12377" s="149"/>
      <c r="VLG12377" s="102"/>
      <c r="VLH12377" s="101"/>
      <c r="VLI12377" s="99"/>
      <c r="VLJ12377" s="100"/>
      <c r="VLK12377" s="205"/>
      <c r="VLL12377" s="149"/>
      <c r="VLM12377" s="102"/>
      <c r="VLN12377" s="101"/>
      <c r="VLO12377" s="99"/>
      <c r="VLP12377" s="100"/>
      <c r="VLQ12377" s="205"/>
      <c r="VLR12377" s="149"/>
      <c r="VLS12377" s="102"/>
      <c r="VLT12377" s="101"/>
      <c r="VLU12377" s="99"/>
      <c r="VLV12377" s="100"/>
      <c r="VLW12377" s="205"/>
      <c r="VLX12377" s="149"/>
      <c r="VLY12377" s="102"/>
      <c r="VLZ12377" s="101"/>
      <c r="VMA12377" s="99"/>
      <c r="VMB12377" s="100"/>
      <c r="VMC12377" s="205"/>
      <c r="VMD12377" s="149"/>
      <c r="VME12377" s="102"/>
      <c r="VMF12377" s="101"/>
      <c r="VMG12377" s="99"/>
      <c r="VMH12377" s="100"/>
      <c r="VMI12377" s="205"/>
      <c r="VMJ12377" s="149"/>
      <c r="VMK12377" s="102"/>
      <c r="VML12377" s="101"/>
      <c r="VMM12377" s="99"/>
      <c r="VMN12377" s="100"/>
      <c r="VMO12377" s="205"/>
      <c r="VMP12377" s="149"/>
      <c r="VMQ12377" s="102"/>
      <c r="VMR12377" s="101"/>
      <c r="VMS12377" s="99"/>
      <c r="VMT12377" s="100"/>
      <c r="VMU12377" s="205"/>
      <c r="VMV12377" s="149"/>
      <c r="VMW12377" s="102"/>
      <c r="VMX12377" s="101"/>
      <c r="VMY12377" s="99"/>
      <c r="VMZ12377" s="100"/>
      <c r="VNA12377" s="205"/>
      <c r="VNB12377" s="149"/>
      <c r="VNC12377" s="102"/>
      <c r="VND12377" s="101"/>
      <c r="VNE12377" s="99"/>
      <c r="VNF12377" s="100"/>
      <c r="VNG12377" s="205"/>
      <c r="VNH12377" s="149"/>
      <c r="VNI12377" s="102"/>
      <c r="VNJ12377" s="101"/>
      <c r="VNK12377" s="99"/>
      <c r="VNL12377" s="100"/>
      <c r="VNM12377" s="205"/>
      <c r="VNN12377" s="149"/>
      <c r="VNO12377" s="102"/>
      <c r="VNP12377" s="101"/>
      <c r="VNQ12377" s="99"/>
      <c r="VNR12377" s="100"/>
      <c r="VNS12377" s="205"/>
      <c r="VNT12377" s="149"/>
      <c r="VNU12377" s="102"/>
      <c r="VNV12377" s="101"/>
      <c r="VNW12377" s="99"/>
      <c r="VNX12377" s="100"/>
      <c r="VNY12377" s="205"/>
      <c r="VNZ12377" s="149"/>
      <c r="VOA12377" s="102"/>
      <c r="VOB12377" s="101"/>
      <c r="VOC12377" s="99"/>
      <c r="VOD12377" s="100"/>
      <c r="VOE12377" s="205"/>
      <c r="VOF12377" s="149"/>
      <c r="VOG12377" s="102"/>
      <c r="VOH12377" s="101"/>
      <c r="VOI12377" s="99"/>
      <c r="VOJ12377" s="100"/>
      <c r="VOK12377" s="205"/>
      <c r="VOL12377" s="149"/>
      <c r="VOM12377" s="102"/>
      <c r="VON12377" s="101"/>
      <c r="VOO12377" s="99"/>
      <c r="VOP12377" s="100"/>
      <c r="VOQ12377" s="205"/>
      <c r="VOR12377" s="149"/>
      <c r="VOS12377" s="102"/>
      <c r="VOT12377" s="101"/>
      <c r="VOU12377" s="99"/>
      <c r="VOV12377" s="100"/>
      <c r="VOW12377" s="205"/>
      <c r="VOX12377" s="149"/>
      <c r="VOY12377" s="102"/>
      <c r="VOZ12377" s="101"/>
      <c r="VPA12377" s="99"/>
      <c r="VPB12377" s="100"/>
      <c r="VPC12377" s="205"/>
      <c r="VPD12377" s="149"/>
      <c r="VPE12377" s="102"/>
      <c r="VPF12377" s="101"/>
      <c r="VPG12377" s="99"/>
      <c r="VPH12377" s="100"/>
      <c r="VPI12377" s="205"/>
      <c r="VPJ12377" s="149"/>
      <c r="VPK12377" s="102"/>
      <c r="VPL12377" s="101"/>
      <c r="VPM12377" s="99"/>
      <c r="VPN12377" s="100"/>
      <c r="VPO12377" s="205"/>
      <c r="VPP12377" s="149"/>
      <c r="VPQ12377" s="102"/>
      <c r="VPR12377" s="101"/>
      <c r="VPS12377" s="99"/>
      <c r="VPT12377" s="100"/>
      <c r="VPU12377" s="205"/>
      <c r="VPV12377" s="149"/>
      <c r="VPW12377" s="102"/>
      <c r="VPX12377" s="101"/>
      <c r="VPY12377" s="99"/>
      <c r="VPZ12377" s="100"/>
      <c r="VQA12377" s="205"/>
      <c r="VQB12377" s="149"/>
      <c r="VQC12377" s="102"/>
      <c r="VQD12377" s="101"/>
      <c r="VQE12377" s="99"/>
      <c r="VQF12377" s="100"/>
      <c r="VQG12377" s="205"/>
      <c r="VQH12377" s="149"/>
      <c r="VQI12377" s="102"/>
      <c r="VQJ12377" s="101"/>
      <c r="VQK12377" s="99"/>
      <c r="VQL12377" s="100"/>
      <c r="VQM12377" s="205"/>
      <c r="VQN12377" s="149"/>
      <c r="VQO12377" s="102"/>
      <c r="VQP12377" s="101"/>
      <c r="VQQ12377" s="99"/>
      <c r="VQR12377" s="100"/>
      <c r="VQS12377" s="205"/>
      <c r="VQT12377" s="149"/>
      <c r="VQU12377" s="102"/>
      <c r="VQV12377" s="101"/>
      <c r="VQW12377" s="99"/>
      <c r="VQX12377" s="100"/>
      <c r="VQY12377" s="205"/>
      <c r="VQZ12377" s="149"/>
      <c r="VRA12377" s="102"/>
      <c r="VRB12377" s="101"/>
      <c r="VRC12377" s="99"/>
      <c r="VRD12377" s="100"/>
      <c r="VRE12377" s="205"/>
      <c r="VRF12377" s="149"/>
      <c r="VRG12377" s="102"/>
      <c r="VRH12377" s="101"/>
      <c r="VRI12377" s="99"/>
      <c r="VRJ12377" s="100"/>
      <c r="VRK12377" s="205"/>
      <c r="VRL12377" s="149"/>
      <c r="VRM12377" s="102"/>
      <c r="VRN12377" s="101"/>
      <c r="VRO12377" s="99"/>
      <c r="VRP12377" s="100"/>
      <c r="VRQ12377" s="205"/>
      <c r="VRR12377" s="149"/>
      <c r="VRS12377" s="102"/>
      <c r="VRT12377" s="101"/>
      <c r="VRU12377" s="99"/>
      <c r="VRV12377" s="100"/>
      <c r="VRW12377" s="205"/>
      <c r="VRX12377" s="149"/>
      <c r="VRY12377" s="102"/>
      <c r="VRZ12377" s="101"/>
      <c r="VSA12377" s="99"/>
      <c r="VSB12377" s="100"/>
      <c r="VSC12377" s="205"/>
      <c r="VSD12377" s="149"/>
      <c r="VSE12377" s="102"/>
      <c r="VSF12377" s="101"/>
      <c r="VSG12377" s="99"/>
      <c r="VSH12377" s="100"/>
      <c r="VSI12377" s="205"/>
      <c r="VSJ12377" s="149"/>
      <c r="VSK12377" s="102"/>
      <c r="VSL12377" s="101"/>
      <c r="VSM12377" s="99"/>
      <c r="VSN12377" s="100"/>
      <c r="VSO12377" s="205"/>
      <c r="VSP12377" s="149"/>
      <c r="VSQ12377" s="102"/>
      <c r="VSR12377" s="101"/>
      <c r="VSS12377" s="99"/>
      <c r="VST12377" s="100"/>
      <c r="VSU12377" s="205"/>
      <c r="VSV12377" s="149"/>
      <c r="VSW12377" s="102"/>
      <c r="VSX12377" s="101"/>
      <c r="VSY12377" s="99"/>
      <c r="VSZ12377" s="100"/>
      <c r="VTA12377" s="205"/>
      <c r="VTB12377" s="149"/>
      <c r="VTC12377" s="102"/>
      <c r="VTD12377" s="101"/>
      <c r="VTE12377" s="99"/>
      <c r="VTF12377" s="100"/>
      <c r="VTG12377" s="205"/>
      <c r="VTH12377" s="149"/>
      <c r="VTI12377" s="102"/>
      <c r="VTJ12377" s="101"/>
      <c r="VTK12377" s="99"/>
      <c r="VTL12377" s="100"/>
      <c r="VTM12377" s="205"/>
      <c r="VTN12377" s="149"/>
      <c r="VTO12377" s="102"/>
      <c r="VTP12377" s="101"/>
      <c r="VTQ12377" s="99"/>
      <c r="VTR12377" s="100"/>
      <c r="VTS12377" s="205"/>
      <c r="VTT12377" s="149"/>
      <c r="VTU12377" s="102"/>
      <c r="VTV12377" s="101"/>
      <c r="VTW12377" s="99"/>
      <c r="VTX12377" s="100"/>
      <c r="VTY12377" s="205"/>
      <c r="VTZ12377" s="149"/>
      <c r="VUA12377" s="102"/>
      <c r="VUB12377" s="101"/>
      <c r="VUC12377" s="99"/>
      <c r="VUD12377" s="100"/>
      <c r="VUE12377" s="205"/>
      <c r="VUF12377" s="149"/>
      <c r="VUG12377" s="102"/>
      <c r="VUH12377" s="101"/>
      <c r="VUI12377" s="99"/>
      <c r="VUJ12377" s="100"/>
      <c r="VUK12377" s="205"/>
      <c r="VUL12377" s="149"/>
      <c r="VUM12377" s="102"/>
      <c r="VUN12377" s="101"/>
      <c r="VUO12377" s="99"/>
      <c r="VUP12377" s="100"/>
      <c r="VUQ12377" s="205"/>
      <c r="VUR12377" s="149"/>
      <c r="VUS12377" s="102"/>
      <c r="VUT12377" s="101"/>
      <c r="VUU12377" s="99"/>
      <c r="VUV12377" s="100"/>
      <c r="VUW12377" s="205"/>
      <c r="VUX12377" s="149"/>
      <c r="VUY12377" s="102"/>
      <c r="VUZ12377" s="101"/>
      <c r="VVA12377" s="99"/>
      <c r="VVB12377" s="100"/>
      <c r="VVC12377" s="205"/>
      <c r="VVD12377" s="149"/>
      <c r="VVE12377" s="102"/>
      <c r="VVF12377" s="101"/>
      <c r="VVG12377" s="99"/>
      <c r="VVH12377" s="100"/>
      <c r="VVI12377" s="205"/>
      <c r="VVJ12377" s="149"/>
      <c r="VVK12377" s="102"/>
      <c r="VVL12377" s="101"/>
      <c r="VVM12377" s="99"/>
      <c r="VVN12377" s="100"/>
      <c r="VVO12377" s="205"/>
      <c r="VVP12377" s="149"/>
      <c r="VVQ12377" s="102"/>
      <c r="VVR12377" s="101"/>
      <c r="VVS12377" s="99"/>
      <c r="VVT12377" s="100"/>
      <c r="VVU12377" s="205"/>
      <c r="VVV12377" s="149"/>
      <c r="VVW12377" s="102"/>
      <c r="VVX12377" s="101"/>
      <c r="VVY12377" s="99"/>
      <c r="VVZ12377" s="100"/>
      <c r="VWA12377" s="205"/>
      <c r="VWB12377" s="149"/>
      <c r="VWC12377" s="102"/>
      <c r="VWD12377" s="101"/>
      <c r="VWE12377" s="99"/>
      <c r="VWF12377" s="100"/>
      <c r="VWG12377" s="205"/>
      <c r="VWH12377" s="149"/>
      <c r="VWI12377" s="102"/>
      <c r="VWJ12377" s="101"/>
      <c r="VWK12377" s="99"/>
      <c r="VWL12377" s="100"/>
      <c r="VWM12377" s="205"/>
      <c r="VWN12377" s="149"/>
      <c r="VWO12377" s="102"/>
      <c r="VWP12377" s="101"/>
      <c r="VWQ12377" s="99"/>
      <c r="VWR12377" s="100"/>
      <c r="VWS12377" s="205"/>
      <c r="VWT12377" s="149"/>
      <c r="VWU12377" s="102"/>
      <c r="VWV12377" s="101"/>
      <c r="VWW12377" s="99"/>
      <c r="VWX12377" s="100"/>
      <c r="VWY12377" s="205"/>
      <c r="VWZ12377" s="149"/>
      <c r="VXA12377" s="102"/>
      <c r="VXB12377" s="101"/>
      <c r="VXC12377" s="99"/>
      <c r="VXD12377" s="100"/>
      <c r="VXE12377" s="205"/>
      <c r="VXF12377" s="149"/>
      <c r="VXG12377" s="102"/>
      <c r="VXH12377" s="101"/>
      <c r="VXI12377" s="99"/>
      <c r="VXJ12377" s="100"/>
      <c r="VXK12377" s="205"/>
      <c r="VXL12377" s="149"/>
      <c r="VXM12377" s="102"/>
      <c r="VXN12377" s="101"/>
      <c r="VXO12377" s="99"/>
      <c r="VXP12377" s="100"/>
      <c r="VXQ12377" s="205"/>
      <c r="VXR12377" s="149"/>
      <c r="VXS12377" s="102"/>
      <c r="VXT12377" s="101"/>
      <c r="VXU12377" s="99"/>
      <c r="VXV12377" s="100"/>
      <c r="VXW12377" s="205"/>
      <c r="VXX12377" s="149"/>
      <c r="VXY12377" s="102"/>
      <c r="VXZ12377" s="101"/>
      <c r="VYA12377" s="99"/>
      <c r="VYB12377" s="100"/>
      <c r="VYC12377" s="205"/>
      <c r="VYD12377" s="149"/>
      <c r="VYE12377" s="102"/>
      <c r="VYF12377" s="101"/>
      <c r="VYG12377" s="99"/>
      <c r="VYH12377" s="100"/>
      <c r="VYI12377" s="205"/>
      <c r="VYJ12377" s="149"/>
      <c r="VYK12377" s="102"/>
      <c r="VYL12377" s="101"/>
      <c r="VYM12377" s="99"/>
      <c r="VYN12377" s="100"/>
      <c r="VYO12377" s="205"/>
      <c r="VYP12377" s="149"/>
      <c r="VYQ12377" s="102"/>
      <c r="VYR12377" s="101"/>
      <c r="VYS12377" s="99"/>
      <c r="VYT12377" s="100"/>
      <c r="VYU12377" s="205"/>
      <c r="VYV12377" s="149"/>
      <c r="VYW12377" s="102"/>
      <c r="VYX12377" s="101"/>
      <c r="VYY12377" s="99"/>
      <c r="VYZ12377" s="100"/>
      <c r="VZA12377" s="205"/>
      <c r="VZB12377" s="149"/>
      <c r="VZC12377" s="102"/>
      <c r="VZD12377" s="101"/>
      <c r="VZE12377" s="99"/>
      <c r="VZF12377" s="100"/>
      <c r="VZG12377" s="205"/>
      <c r="VZH12377" s="149"/>
      <c r="VZI12377" s="102"/>
      <c r="VZJ12377" s="101"/>
      <c r="VZK12377" s="99"/>
      <c r="VZL12377" s="100"/>
      <c r="VZM12377" s="205"/>
      <c r="VZN12377" s="149"/>
      <c r="VZO12377" s="102"/>
      <c r="VZP12377" s="101"/>
      <c r="VZQ12377" s="99"/>
      <c r="VZR12377" s="100"/>
      <c r="VZS12377" s="205"/>
      <c r="VZT12377" s="149"/>
      <c r="VZU12377" s="102"/>
      <c r="VZV12377" s="101"/>
      <c r="VZW12377" s="99"/>
      <c r="VZX12377" s="100"/>
      <c r="VZY12377" s="205"/>
      <c r="VZZ12377" s="149"/>
      <c r="WAA12377" s="102"/>
      <c r="WAB12377" s="101"/>
      <c r="WAC12377" s="99"/>
      <c r="WAD12377" s="100"/>
      <c r="WAE12377" s="205"/>
      <c r="WAF12377" s="149"/>
      <c r="WAG12377" s="102"/>
      <c r="WAH12377" s="101"/>
      <c r="WAI12377" s="99"/>
      <c r="WAJ12377" s="100"/>
      <c r="WAK12377" s="205"/>
      <c r="WAL12377" s="149"/>
      <c r="WAM12377" s="102"/>
      <c r="WAN12377" s="101"/>
      <c r="WAO12377" s="99"/>
      <c r="WAP12377" s="100"/>
      <c r="WAQ12377" s="205"/>
      <c r="WAR12377" s="149"/>
      <c r="WAS12377" s="102"/>
      <c r="WAT12377" s="101"/>
      <c r="WAU12377" s="99"/>
      <c r="WAV12377" s="100"/>
      <c r="WAW12377" s="205"/>
      <c r="WAX12377" s="149"/>
      <c r="WAY12377" s="102"/>
      <c r="WAZ12377" s="101"/>
      <c r="WBA12377" s="99"/>
      <c r="WBB12377" s="100"/>
      <c r="WBC12377" s="205"/>
      <c r="WBD12377" s="149"/>
      <c r="WBE12377" s="102"/>
      <c r="WBF12377" s="101"/>
      <c r="WBG12377" s="99"/>
      <c r="WBH12377" s="100"/>
      <c r="WBI12377" s="205"/>
      <c r="WBJ12377" s="149"/>
      <c r="WBK12377" s="102"/>
      <c r="WBL12377" s="101"/>
      <c r="WBM12377" s="99"/>
      <c r="WBN12377" s="100"/>
      <c r="WBO12377" s="205"/>
      <c r="WBP12377" s="149"/>
      <c r="WBQ12377" s="102"/>
      <c r="WBR12377" s="101"/>
      <c r="WBS12377" s="99"/>
      <c r="WBT12377" s="100"/>
      <c r="WBU12377" s="205"/>
      <c r="WBV12377" s="149"/>
      <c r="WBW12377" s="102"/>
      <c r="WBX12377" s="101"/>
      <c r="WBY12377" s="99"/>
      <c r="WBZ12377" s="100"/>
      <c r="WCA12377" s="205"/>
      <c r="WCB12377" s="149"/>
      <c r="WCC12377" s="102"/>
      <c r="WCD12377" s="101"/>
      <c r="WCE12377" s="99"/>
      <c r="WCF12377" s="100"/>
      <c r="WCG12377" s="205"/>
      <c r="WCH12377" s="149"/>
      <c r="WCI12377" s="102"/>
      <c r="WCJ12377" s="101"/>
      <c r="WCK12377" s="99"/>
      <c r="WCL12377" s="100"/>
      <c r="WCM12377" s="205"/>
      <c r="WCN12377" s="149"/>
      <c r="WCO12377" s="102"/>
      <c r="WCP12377" s="101"/>
      <c r="WCQ12377" s="99"/>
      <c r="WCR12377" s="100"/>
      <c r="WCS12377" s="205"/>
      <c r="WCT12377" s="149"/>
      <c r="WCU12377" s="102"/>
      <c r="WCV12377" s="101"/>
      <c r="WCW12377" s="99"/>
      <c r="WCX12377" s="100"/>
      <c r="WCY12377" s="205"/>
      <c r="WCZ12377" s="149"/>
      <c r="WDA12377" s="102"/>
      <c r="WDB12377" s="101"/>
      <c r="WDC12377" s="99"/>
      <c r="WDD12377" s="100"/>
      <c r="WDE12377" s="205"/>
      <c r="WDF12377" s="149"/>
      <c r="WDG12377" s="102"/>
      <c r="WDH12377" s="101"/>
      <c r="WDI12377" s="99"/>
      <c r="WDJ12377" s="100"/>
      <c r="WDK12377" s="205"/>
      <c r="WDL12377" s="149"/>
      <c r="WDM12377" s="102"/>
      <c r="WDN12377" s="101"/>
      <c r="WDO12377" s="99"/>
      <c r="WDP12377" s="100"/>
      <c r="WDQ12377" s="205"/>
      <c r="WDR12377" s="149"/>
      <c r="WDS12377" s="102"/>
      <c r="WDT12377" s="101"/>
      <c r="WDU12377" s="99"/>
      <c r="WDV12377" s="100"/>
      <c r="WDW12377" s="205"/>
      <c r="WDX12377" s="149"/>
      <c r="WDY12377" s="102"/>
      <c r="WDZ12377" s="101"/>
      <c r="WEA12377" s="99"/>
      <c r="WEB12377" s="100"/>
      <c r="WEC12377" s="205"/>
      <c r="WED12377" s="149"/>
      <c r="WEE12377" s="102"/>
      <c r="WEF12377" s="101"/>
      <c r="WEG12377" s="99"/>
      <c r="WEH12377" s="100"/>
      <c r="WEI12377" s="205"/>
      <c r="WEJ12377" s="149"/>
      <c r="WEK12377" s="102"/>
      <c r="WEL12377" s="101"/>
      <c r="WEM12377" s="99"/>
      <c r="WEN12377" s="100"/>
      <c r="WEO12377" s="205"/>
      <c r="WEP12377" s="149"/>
      <c r="WEQ12377" s="102"/>
      <c r="WER12377" s="101"/>
      <c r="WES12377" s="99"/>
      <c r="WET12377" s="100"/>
      <c r="WEU12377" s="205"/>
      <c r="WEV12377" s="149"/>
      <c r="WEW12377" s="102"/>
      <c r="WEX12377" s="101"/>
      <c r="WEY12377" s="99"/>
      <c r="WEZ12377" s="100"/>
      <c r="WFA12377" s="205"/>
      <c r="WFB12377" s="149"/>
      <c r="WFC12377" s="102"/>
      <c r="WFD12377" s="101"/>
      <c r="WFE12377" s="99"/>
      <c r="WFF12377" s="100"/>
      <c r="WFG12377" s="205"/>
      <c r="WFH12377" s="149"/>
      <c r="WFI12377" s="102"/>
      <c r="WFJ12377" s="101"/>
      <c r="WFK12377" s="99"/>
      <c r="WFL12377" s="100"/>
      <c r="WFM12377" s="205"/>
      <c r="WFN12377" s="149"/>
      <c r="WFO12377" s="102"/>
      <c r="WFP12377" s="101"/>
      <c r="WFQ12377" s="99"/>
      <c r="WFR12377" s="100"/>
      <c r="WFS12377" s="205"/>
      <c r="WFT12377" s="149"/>
      <c r="WFU12377" s="102"/>
      <c r="WFV12377" s="101"/>
      <c r="WFW12377" s="99"/>
      <c r="WFX12377" s="100"/>
      <c r="WFY12377" s="205"/>
      <c r="WFZ12377" s="149"/>
      <c r="WGA12377" s="102"/>
      <c r="WGB12377" s="101"/>
      <c r="WGC12377" s="99"/>
      <c r="WGD12377" s="100"/>
      <c r="WGE12377" s="205"/>
      <c r="WGF12377" s="149"/>
      <c r="WGG12377" s="102"/>
      <c r="WGH12377" s="101"/>
      <c r="WGI12377" s="99"/>
      <c r="WGJ12377" s="100"/>
      <c r="WGK12377" s="205"/>
      <c r="WGL12377" s="149"/>
      <c r="WGM12377" s="102"/>
      <c r="WGN12377" s="101"/>
      <c r="WGO12377" s="99"/>
      <c r="WGP12377" s="100"/>
      <c r="WGQ12377" s="205"/>
      <c r="WGR12377" s="149"/>
      <c r="WGS12377" s="102"/>
      <c r="WGT12377" s="101"/>
      <c r="WGU12377" s="99"/>
      <c r="WGV12377" s="100"/>
      <c r="WGW12377" s="205"/>
      <c r="WGX12377" s="149"/>
      <c r="WGY12377" s="102"/>
      <c r="WGZ12377" s="101"/>
      <c r="WHA12377" s="99"/>
      <c r="WHB12377" s="100"/>
      <c r="WHC12377" s="205"/>
      <c r="WHD12377" s="149"/>
      <c r="WHE12377" s="102"/>
      <c r="WHF12377" s="101"/>
      <c r="WHG12377" s="99"/>
      <c r="WHH12377" s="100"/>
      <c r="WHI12377" s="205"/>
      <c r="WHJ12377" s="149"/>
      <c r="WHK12377" s="102"/>
      <c r="WHL12377" s="101"/>
      <c r="WHM12377" s="99"/>
      <c r="WHN12377" s="100"/>
      <c r="WHO12377" s="205"/>
      <c r="WHP12377" s="149"/>
      <c r="WHQ12377" s="102"/>
      <c r="WHR12377" s="101"/>
      <c r="WHS12377" s="99"/>
      <c r="WHT12377" s="100"/>
      <c r="WHU12377" s="205"/>
      <c r="WHV12377" s="149"/>
      <c r="WHW12377" s="102"/>
      <c r="WHX12377" s="101"/>
      <c r="WHY12377" s="99"/>
      <c r="WHZ12377" s="100"/>
      <c r="WIA12377" s="205"/>
      <c r="WIB12377" s="149"/>
      <c r="WIC12377" s="102"/>
      <c r="WID12377" s="101"/>
      <c r="WIE12377" s="99"/>
      <c r="WIF12377" s="100"/>
      <c r="WIG12377" s="205"/>
      <c r="WIH12377" s="149"/>
      <c r="WII12377" s="102"/>
      <c r="WIJ12377" s="101"/>
      <c r="WIK12377" s="99"/>
      <c r="WIL12377" s="100"/>
      <c r="WIM12377" s="205"/>
      <c r="WIN12377" s="149"/>
      <c r="WIO12377" s="102"/>
      <c r="WIP12377" s="101"/>
      <c r="WIQ12377" s="99"/>
      <c r="WIR12377" s="100"/>
      <c r="WIS12377" s="205"/>
      <c r="WIT12377" s="149"/>
      <c r="WIU12377" s="102"/>
      <c r="WIV12377" s="101"/>
      <c r="WIW12377" s="99"/>
      <c r="WIX12377" s="100"/>
      <c r="WIY12377" s="205"/>
      <c r="WIZ12377" s="149"/>
      <c r="WJA12377" s="102"/>
      <c r="WJB12377" s="101"/>
      <c r="WJC12377" s="99"/>
      <c r="WJD12377" s="100"/>
      <c r="WJE12377" s="205"/>
      <c r="WJF12377" s="149"/>
      <c r="WJG12377" s="102"/>
      <c r="WJH12377" s="101"/>
      <c r="WJI12377" s="99"/>
      <c r="WJJ12377" s="100"/>
      <c r="WJK12377" s="205"/>
      <c r="WJL12377" s="149"/>
      <c r="WJM12377" s="102"/>
      <c r="WJN12377" s="101"/>
      <c r="WJO12377" s="99"/>
      <c r="WJP12377" s="100"/>
      <c r="WJQ12377" s="205"/>
      <c r="WJR12377" s="149"/>
      <c r="WJS12377" s="102"/>
      <c r="WJT12377" s="101"/>
      <c r="WJU12377" s="99"/>
      <c r="WJV12377" s="100"/>
      <c r="WJW12377" s="205"/>
      <c r="WJX12377" s="149"/>
      <c r="WJY12377" s="102"/>
      <c r="WJZ12377" s="101"/>
      <c r="WKA12377" s="99"/>
      <c r="WKB12377" s="100"/>
      <c r="WKC12377" s="205"/>
      <c r="WKD12377" s="149"/>
      <c r="WKE12377" s="102"/>
      <c r="WKF12377" s="101"/>
      <c r="WKG12377" s="99"/>
      <c r="WKH12377" s="100"/>
      <c r="WKI12377" s="205"/>
      <c r="WKJ12377" s="149"/>
      <c r="WKK12377" s="102"/>
      <c r="WKL12377" s="101"/>
      <c r="WKM12377" s="99"/>
      <c r="WKN12377" s="100"/>
      <c r="WKO12377" s="205"/>
      <c r="WKP12377" s="149"/>
      <c r="WKQ12377" s="102"/>
      <c r="WKR12377" s="101"/>
      <c r="WKS12377" s="99"/>
      <c r="WKT12377" s="100"/>
      <c r="WKU12377" s="205"/>
      <c r="WKV12377" s="149"/>
      <c r="WKW12377" s="102"/>
      <c r="WKX12377" s="101"/>
      <c r="WKY12377" s="99"/>
      <c r="WKZ12377" s="100"/>
      <c r="WLA12377" s="205"/>
      <c r="WLB12377" s="149"/>
      <c r="WLC12377" s="102"/>
      <c r="WLD12377" s="101"/>
      <c r="WLE12377" s="99"/>
      <c r="WLF12377" s="100"/>
      <c r="WLG12377" s="205"/>
      <c r="WLH12377" s="149"/>
      <c r="WLI12377" s="102"/>
      <c r="WLJ12377" s="101"/>
      <c r="WLK12377" s="99"/>
      <c r="WLL12377" s="100"/>
      <c r="WLM12377" s="205"/>
      <c r="WLN12377" s="149"/>
      <c r="WLO12377" s="102"/>
      <c r="WLP12377" s="101"/>
      <c r="WLQ12377" s="99"/>
      <c r="WLR12377" s="100"/>
      <c r="WLS12377" s="205"/>
      <c r="WLT12377" s="149"/>
      <c r="WLU12377" s="102"/>
      <c r="WLV12377" s="101"/>
      <c r="WLW12377" s="99"/>
      <c r="WLX12377" s="100"/>
      <c r="WLY12377" s="205"/>
      <c r="WLZ12377" s="149"/>
      <c r="WMA12377" s="102"/>
      <c r="WMB12377" s="101"/>
      <c r="WMC12377" s="99"/>
      <c r="WMD12377" s="100"/>
      <c r="WME12377" s="205"/>
      <c r="WMF12377" s="149"/>
      <c r="WMG12377" s="102"/>
      <c r="WMH12377" s="101"/>
      <c r="WMI12377" s="99"/>
      <c r="WMJ12377" s="100"/>
      <c r="WMK12377" s="205"/>
      <c r="WML12377" s="149"/>
      <c r="WMM12377" s="102"/>
      <c r="WMN12377" s="101"/>
      <c r="WMO12377" s="99"/>
      <c r="WMP12377" s="100"/>
      <c r="WMQ12377" s="205"/>
      <c r="WMR12377" s="149"/>
      <c r="WMS12377" s="102"/>
      <c r="WMT12377" s="101"/>
      <c r="WMU12377" s="99"/>
      <c r="WMV12377" s="100"/>
      <c r="WMW12377" s="205"/>
      <c r="WMX12377" s="149"/>
      <c r="WMY12377" s="102"/>
      <c r="WMZ12377" s="101"/>
      <c r="WNA12377" s="99"/>
      <c r="WNB12377" s="100"/>
      <c r="WNC12377" s="205"/>
      <c r="WND12377" s="149"/>
      <c r="WNE12377" s="102"/>
      <c r="WNF12377" s="101"/>
      <c r="WNG12377" s="99"/>
      <c r="WNH12377" s="100"/>
      <c r="WNI12377" s="205"/>
      <c r="WNJ12377" s="149"/>
      <c r="WNK12377" s="102"/>
      <c r="WNL12377" s="101"/>
      <c r="WNM12377" s="99"/>
      <c r="WNN12377" s="100"/>
      <c r="WNO12377" s="205"/>
      <c r="WNP12377" s="149"/>
      <c r="WNQ12377" s="102"/>
      <c r="WNR12377" s="101"/>
      <c r="WNS12377" s="99"/>
      <c r="WNT12377" s="100"/>
      <c r="WNU12377" s="205"/>
      <c r="WNV12377" s="149"/>
      <c r="WNW12377" s="102"/>
      <c r="WNX12377" s="101"/>
      <c r="WNY12377" s="99"/>
      <c r="WNZ12377" s="100"/>
      <c r="WOA12377" s="205"/>
      <c r="WOB12377" s="149"/>
      <c r="WOC12377" s="102"/>
      <c r="WOD12377" s="101"/>
      <c r="WOE12377" s="99"/>
      <c r="WOF12377" s="100"/>
      <c r="WOG12377" s="205"/>
      <c r="WOH12377" s="149"/>
      <c r="WOI12377" s="102"/>
      <c r="WOJ12377" s="101"/>
      <c r="WOK12377" s="99"/>
      <c r="WOL12377" s="100"/>
      <c r="WOM12377" s="205"/>
      <c r="WON12377" s="149"/>
      <c r="WOO12377" s="102"/>
      <c r="WOP12377" s="101"/>
      <c r="WOQ12377" s="99"/>
      <c r="WOR12377" s="100"/>
      <c r="WOS12377" s="205"/>
      <c r="WOT12377" s="149"/>
      <c r="WOU12377" s="102"/>
      <c r="WOV12377" s="101"/>
      <c r="WOW12377" s="99"/>
      <c r="WOX12377" s="100"/>
      <c r="WOY12377" s="205"/>
      <c r="WOZ12377" s="149"/>
      <c r="WPA12377" s="102"/>
      <c r="WPB12377" s="101"/>
      <c r="WPC12377" s="99"/>
      <c r="WPD12377" s="100"/>
      <c r="WPE12377" s="205"/>
      <c r="WPF12377" s="149"/>
      <c r="WPG12377" s="102"/>
      <c r="WPH12377" s="101"/>
      <c r="WPI12377" s="99"/>
      <c r="WPJ12377" s="100"/>
      <c r="WPK12377" s="205"/>
      <c r="WPL12377" s="149"/>
      <c r="WPM12377" s="102"/>
      <c r="WPN12377" s="101"/>
      <c r="WPO12377" s="99"/>
      <c r="WPP12377" s="100"/>
      <c r="WPQ12377" s="205"/>
      <c r="WPR12377" s="149"/>
      <c r="WPS12377" s="102"/>
      <c r="WPT12377" s="101"/>
      <c r="WPU12377" s="99"/>
      <c r="WPV12377" s="100"/>
      <c r="WPW12377" s="205"/>
      <c r="WPX12377" s="149"/>
      <c r="WPY12377" s="102"/>
      <c r="WPZ12377" s="101"/>
      <c r="WQA12377" s="99"/>
      <c r="WQB12377" s="100"/>
      <c r="WQC12377" s="205"/>
      <c r="WQD12377" s="149"/>
      <c r="WQE12377" s="102"/>
      <c r="WQF12377" s="101"/>
      <c r="WQG12377" s="99"/>
      <c r="WQH12377" s="100"/>
      <c r="WQI12377" s="205"/>
      <c r="WQJ12377" s="149"/>
      <c r="WQK12377" s="102"/>
      <c r="WQL12377" s="101"/>
      <c r="WQM12377" s="99"/>
      <c r="WQN12377" s="100"/>
      <c r="WQO12377" s="205"/>
      <c r="WQP12377" s="149"/>
      <c r="WQQ12377" s="102"/>
      <c r="WQR12377" s="101"/>
      <c r="WQS12377" s="99"/>
      <c r="WQT12377" s="100"/>
      <c r="WQU12377" s="205"/>
      <c r="WQV12377" s="149"/>
      <c r="WQW12377" s="102"/>
      <c r="WQX12377" s="101"/>
      <c r="WQY12377" s="99"/>
      <c r="WQZ12377" s="100"/>
      <c r="WRA12377" s="205"/>
      <c r="WRB12377" s="149"/>
      <c r="WRC12377" s="102"/>
      <c r="WRD12377" s="101"/>
      <c r="WRE12377" s="99"/>
      <c r="WRF12377" s="100"/>
      <c r="WRG12377" s="205"/>
      <c r="WRH12377" s="149"/>
      <c r="WRI12377" s="102"/>
      <c r="WRJ12377" s="101"/>
      <c r="WRK12377" s="99"/>
      <c r="WRL12377" s="100"/>
      <c r="WRM12377" s="205"/>
      <c r="WRN12377" s="149"/>
      <c r="WRO12377" s="102"/>
      <c r="WRP12377" s="101"/>
      <c r="WRQ12377" s="99"/>
      <c r="WRR12377" s="100"/>
      <c r="WRS12377" s="205"/>
      <c r="WRT12377" s="149"/>
      <c r="WRU12377" s="102"/>
      <c r="WRV12377" s="101"/>
      <c r="WRW12377" s="99"/>
      <c r="WRX12377" s="100"/>
      <c r="WRY12377" s="205"/>
      <c r="WRZ12377" s="149"/>
      <c r="WSA12377" s="102"/>
      <c r="WSB12377" s="101"/>
      <c r="WSC12377" s="99"/>
      <c r="WSD12377" s="100"/>
      <c r="WSE12377" s="205"/>
      <c r="WSF12377" s="149"/>
      <c r="WSG12377" s="102"/>
      <c r="WSH12377" s="101"/>
      <c r="WSI12377" s="99"/>
      <c r="WSJ12377" s="100"/>
      <c r="WSK12377" s="205"/>
      <c r="WSL12377" s="149"/>
      <c r="WSM12377" s="102"/>
      <c r="WSN12377" s="101"/>
      <c r="WSO12377" s="99"/>
      <c r="WSP12377" s="100"/>
      <c r="WSQ12377" s="205"/>
      <c r="WSR12377" s="149"/>
      <c r="WSS12377" s="102"/>
      <c r="WST12377" s="101"/>
      <c r="WSU12377" s="99"/>
      <c r="WSV12377" s="100"/>
      <c r="WSW12377" s="205"/>
      <c r="WSX12377" s="149"/>
      <c r="WSY12377" s="102"/>
      <c r="WSZ12377" s="101"/>
      <c r="WTA12377" s="99"/>
      <c r="WTB12377" s="100"/>
      <c r="WTC12377" s="205"/>
      <c r="WTD12377" s="149"/>
      <c r="WTE12377" s="102"/>
      <c r="WTF12377" s="101"/>
      <c r="WTG12377" s="99"/>
      <c r="WTH12377" s="100"/>
      <c r="WTI12377" s="205"/>
      <c r="WTJ12377" s="149"/>
      <c r="WTK12377" s="102"/>
      <c r="WTL12377" s="101"/>
      <c r="WTM12377" s="99"/>
      <c r="WTN12377" s="100"/>
      <c r="WTO12377" s="205"/>
      <c r="WTP12377" s="149"/>
      <c r="WTQ12377" s="102"/>
      <c r="WTR12377" s="101"/>
      <c r="WTS12377" s="99"/>
      <c r="WTT12377" s="100"/>
      <c r="WTU12377" s="205"/>
      <c r="WTV12377" s="149"/>
      <c r="WTW12377" s="102"/>
      <c r="WTX12377" s="101"/>
      <c r="WTY12377" s="99"/>
      <c r="WTZ12377" s="100"/>
      <c r="WUA12377" s="205"/>
      <c r="WUB12377" s="149"/>
      <c r="WUC12377" s="102"/>
      <c r="WUD12377" s="101"/>
      <c r="WUE12377" s="99"/>
      <c r="WUF12377" s="100"/>
      <c r="WUG12377" s="205"/>
      <c r="WUH12377" s="149"/>
      <c r="WUI12377" s="102"/>
      <c r="WUJ12377" s="101"/>
      <c r="WUK12377" s="99"/>
      <c r="WUL12377" s="100"/>
      <c r="WUM12377" s="205"/>
      <c r="WUN12377" s="149"/>
      <c r="WUO12377" s="102"/>
      <c r="WUP12377" s="101"/>
      <c r="WUQ12377" s="99"/>
      <c r="WUR12377" s="100"/>
      <c r="WUS12377" s="205"/>
      <c r="WUT12377" s="149"/>
      <c r="WUU12377" s="102"/>
      <c r="WUV12377" s="101"/>
      <c r="WUW12377" s="99"/>
      <c r="WUX12377" s="100"/>
      <c r="WUY12377" s="205"/>
      <c r="WUZ12377" s="149"/>
      <c r="WVA12377" s="102"/>
      <c r="WVB12377" s="101"/>
      <c r="WVC12377" s="99"/>
      <c r="WVD12377" s="100"/>
      <c r="WVE12377" s="205"/>
      <c r="WVF12377" s="149"/>
      <c r="WVG12377" s="102"/>
      <c r="WVH12377" s="101"/>
      <c r="WVI12377" s="99"/>
      <c r="WVJ12377" s="100"/>
      <c r="WVK12377" s="205"/>
      <c r="WVL12377" s="149"/>
      <c r="WVM12377" s="102"/>
      <c r="WVN12377" s="101"/>
      <c r="WVO12377" s="99"/>
      <c r="WVP12377" s="100"/>
      <c r="WVQ12377" s="205"/>
      <c r="WVR12377" s="149"/>
      <c r="WVS12377" s="102"/>
      <c r="WVT12377" s="101"/>
      <c r="WVU12377" s="99"/>
      <c r="WVV12377" s="100"/>
      <c r="WVW12377" s="205"/>
      <c r="WVX12377" s="149"/>
      <c r="WVY12377" s="102"/>
      <c r="WVZ12377" s="101"/>
      <c r="WWA12377" s="99"/>
      <c r="WWB12377" s="100"/>
      <c r="WWC12377" s="205"/>
      <c r="WWD12377" s="149"/>
      <c r="WWE12377" s="102"/>
      <c r="WWF12377" s="101"/>
      <c r="WWG12377" s="99"/>
      <c r="WWH12377" s="100"/>
      <c r="WWI12377" s="205"/>
      <c r="WWJ12377" s="149"/>
      <c r="WWK12377" s="102"/>
      <c r="WWL12377" s="101"/>
      <c r="WWM12377" s="99"/>
      <c r="WWN12377" s="100"/>
      <c r="WWO12377" s="205"/>
      <c r="WWP12377" s="149"/>
      <c r="WWQ12377" s="102"/>
      <c r="WWR12377" s="101"/>
      <c r="WWS12377" s="99"/>
      <c r="WWT12377" s="100"/>
      <c r="WWU12377" s="205"/>
      <c r="WWV12377" s="149"/>
      <c r="WWW12377" s="102"/>
      <c r="WWX12377" s="101"/>
      <c r="WWY12377" s="99"/>
      <c r="WWZ12377" s="100"/>
      <c r="WXA12377" s="205"/>
      <c r="WXB12377" s="149"/>
      <c r="WXC12377" s="102"/>
      <c r="WXD12377" s="101"/>
      <c r="WXE12377" s="99"/>
      <c r="WXF12377" s="100"/>
      <c r="WXG12377" s="205"/>
      <c r="WXH12377" s="149"/>
      <c r="WXI12377" s="102"/>
      <c r="WXJ12377" s="101"/>
      <c r="WXK12377" s="99"/>
      <c r="WXL12377" s="100"/>
      <c r="WXM12377" s="205"/>
      <c r="WXN12377" s="149"/>
      <c r="WXO12377" s="102"/>
      <c r="WXP12377" s="101"/>
      <c r="WXQ12377" s="99"/>
      <c r="WXR12377" s="100"/>
      <c r="WXS12377" s="205"/>
      <c r="WXT12377" s="149"/>
      <c r="WXU12377" s="102"/>
      <c r="WXV12377" s="101"/>
      <c r="WXW12377" s="99"/>
      <c r="WXX12377" s="100"/>
      <c r="WXY12377" s="205"/>
      <c r="WXZ12377" s="149"/>
      <c r="WYA12377" s="102"/>
      <c r="WYB12377" s="101"/>
      <c r="WYC12377" s="99"/>
      <c r="WYD12377" s="100"/>
      <c r="WYE12377" s="205"/>
      <c r="WYF12377" s="149"/>
      <c r="WYG12377" s="102"/>
      <c r="WYH12377" s="101"/>
      <c r="WYI12377" s="99"/>
      <c r="WYJ12377" s="100"/>
      <c r="WYK12377" s="205"/>
      <c r="WYL12377" s="149"/>
      <c r="WYM12377" s="102"/>
      <c r="WYN12377" s="101"/>
      <c r="WYO12377" s="99"/>
      <c r="WYP12377" s="100"/>
      <c r="WYQ12377" s="205"/>
      <c r="WYR12377" s="149"/>
      <c r="WYS12377" s="102"/>
      <c r="WYT12377" s="101"/>
      <c r="WYU12377" s="99"/>
      <c r="WYV12377" s="100"/>
      <c r="WYW12377" s="205"/>
      <c r="WYX12377" s="149"/>
      <c r="WYY12377" s="102"/>
      <c r="WYZ12377" s="101"/>
      <c r="WZA12377" s="99"/>
      <c r="WZB12377" s="100"/>
      <c r="WZC12377" s="205"/>
      <c r="WZD12377" s="149"/>
      <c r="WZE12377" s="102"/>
      <c r="WZF12377" s="101"/>
      <c r="WZG12377" s="99"/>
      <c r="WZH12377" s="100"/>
      <c r="WZI12377" s="205"/>
      <c r="WZJ12377" s="149"/>
      <c r="WZK12377" s="102"/>
      <c r="WZL12377" s="101"/>
      <c r="WZM12377" s="99"/>
      <c r="WZN12377" s="100"/>
      <c r="WZO12377" s="205"/>
      <c r="WZP12377" s="149"/>
      <c r="WZQ12377" s="102"/>
      <c r="WZR12377" s="101"/>
      <c r="WZS12377" s="99"/>
      <c r="WZT12377" s="100"/>
      <c r="WZU12377" s="205"/>
      <c r="WZV12377" s="149"/>
      <c r="WZW12377" s="102"/>
      <c r="WZX12377" s="101"/>
      <c r="WZY12377" s="99"/>
      <c r="WZZ12377" s="100"/>
      <c r="XAA12377" s="205"/>
      <c r="XAB12377" s="149"/>
      <c r="XAC12377" s="102"/>
      <c r="XAD12377" s="101"/>
      <c r="XAE12377" s="99"/>
      <c r="XAF12377" s="100"/>
      <c r="XAG12377" s="205"/>
      <c r="XAH12377" s="149"/>
      <c r="XAI12377" s="102"/>
      <c r="XAJ12377" s="101"/>
      <c r="XAK12377" s="99"/>
      <c r="XAL12377" s="100"/>
      <c r="XAM12377" s="205"/>
      <c r="XAN12377" s="149"/>
      <c r="XAO12377" s="102"/>
      <c r="XAP12377" s="101"/>
      <c r="XAQ12377" s="99"/>
      <c r="XAR12377" s="100"/>
      <c r="XAS12377" s="205"/>
      <c r="XAT12377" s="149"/>
      <c r="XAU12377" s="102"/>
      <c r="XAV12377" s="101"/>
      <c r="XAW12377" s="99"/>
      <c r="XAX12377" s="100"/>
      <c r="XAY12377" s="205"/>
      <c r="XAZ12377" s="149"/>
      <c r="XBA12377" s="102"/>
      <c r="XBB12377" s="101"/>
      <c r="XBC12377" s="99"/>
      <c r="XBD12377" s="100"/>
      <c r="XBE12377" s="205"/>
      <c r="XBF12377" s="149"/>
      <c r="XBG12377" s="102"/>
      <c r="XBH12377" s="101"/>
      <c r="XBI12377" s="99"/>
      <c r="XBJ12377" s="100"/>
      <c r="XBK12377" s="205"/>
      <c r="XBL12377" s="149"/>
      <c r="XBM12377" s="102"/>
      <c r="XBN12377" s="101"/>
      <c r="XBO12377" s="99"/>
      <c r="XBP12377" s="100"/>
      <c r="XBQ12377" s="205"/>
      <c r="XBR12377" s="149"/>
      <c r="XBS12377" s="102"/>
      <c r="XBT12377" s="101"/>
      <c r="XBU12377" s="99"/>
      <c r="XBV12377" s="100"/>
      <c r="XBW12377" s="205"/>
      <c r="XBX12377" s="149"/>
      <c r="XBY12377" s="102"/>
      <c r="XBZ12377" s="101"/>
      <c r="XCA12377" s="99"/>
      <c r="XCB12377" s="100"/>
      <c r="XCC12377" s="205"/>
      <c r="XCD12377" s="149"/>
      <c r="XCE12377" s="102"/>
      <c r="XCF12377" s="101"/>
      <c r="XCG12377" s="99"/>
      <c r="XCH12377" s="100"/>
      <c r="XCI12377" s="205"/>
      <c r="XCJ12377" s="149"/>
      <c r="XCK12377" s="102"/>
      <c r="XCL12377" s="101"/>
      <c r="XCM12377" s="99"/>
      <c r="XCN12377" s="100"/>
      <c r="XCO12377" s="205"/>
      <c r="XCP12377" s="149"/>
      <c r="XCQ12377" s="102"/>
      <c r="XCR12377" s="101"/>
      <c r="XCS12377" s="99"/>
      <c r="XCT12377" s="100"/>
      <c r="XCU12377" s="205"/>
      <c r="XCV12377" s="149"/>
      <c r="XCW12377" s="102"/>
      <c r="XCX12377" s="101"/>
      <c r="XCY12377" s="99"/>
      <c r="XCZ12377" s="100"/>
      <c r="XDA12377" s="205"/>
      <c r="XDB12377" s="149"/>
      <c r="XDC12377" s="102"/>
      <c r="XDD12377" s="101"/>
      <c r="XDE12377" s="99"/>
      <c r="XDF12377" s="100"/>
      <c r="XDG12377" s="205"/>
      <c r="XDH12377" s="149"/>
      <c r="XDI12377" s="102"/>
      <c r="XDJ12377" s="101"/>
      <c r="XDK12377" s="99"/>
      <c r="XDL12377" s="100"/>
      <c r="XDM12377" s="205"/>
      <c r="XDN12377" s="149"/>
      <c r="XDO12377" s="102"/>
      <c r="XDP12377" s="101"/>
      <c r="XDQ12377" s="99"/>
      <c r="XDR12377" s="100"/>
      <c r="XDS12377" s="205"/>
      <c r="XDT12377" s="149"/>
      <c r="XDU12377" s="102"/>
      <c r="XDV12377" s="101"/>
      <c r="XDW12377" s="99"/>
      <c r="XDX12377" s="100"/>
      <c r="XDY12377" s="205"/>
      <c r="XDZ12377" s="149"/>
      <c r="XEA12377" s="102"/>
      <c r="XEB12377" s="101"/>
      <c r="XEC12377" s="99"/>
      <c r="XED12377" s="100"/>
      <c r="XEE12377" s="205"/>
      <c r="XEF12377" s="149"/>
      <c r="XEG12377" s="102"/>
      <c r="XEH12377" s="101"/>
      <c r="XEI12377" s="99"/>
      <c r="XEJ12377" s="100"/>
      <c r="XEK12377" s="205"/>
      <c r="XEL12377" s="149"/>
      <c r="XEM12377" s="102"/>
      <c r="XEN12377" s="101"/>
      <c r="XEO12377" s="99"/>
      <c r="XEP12377" s="100"/>
      <c r="XEQ12377" s="205"/>
      <c r="XER12377" s="149"/>
      <c r="XES12377" s="102"/>
      <c r="XET12377" s="101"/>
      <c r="XEU12377" s="99"/>
      <c r="XEV12377" s="100"/>
      <c r="XEW12377" s="205"/>
      <c r="XEX12377" s="149"/>
      <c r="XEY12377" s="102"/>
      <c r="XEZ12377" s="101"/>
      <c r="XFA12377" s="99"/>
      <c r="XFB12377" s="100"/>
      <c r="XFC12377" s="205"/>
      <c r="XFD12377" s="149"/>
    </row>
    <row r="12378" spans="1:16384" s="168" customFormat="1" ht="15.75" x14ac:dyDescent="0.25">
      <c r="A12378" s="81"/>
      <c r="B12378" s="81"/>
      <c r="C12378" s="137"/>
      <c r="D12378" s="81"/>
      <c r="E12378" s="81"/>
      <c r="F12378" s="81"/>
      <c r="G12378" s="243"/>
      <c r="H12378" s="243"/>
      <c r="I12378" s="243"/>
      <c r="J12378" s="243"/>
      <c r="K12378" s="243"/>
      <c r="L12378" s="243"/>
      <c r="M12378" s="243"/>
      <c r="N12378" s="243"/>
    </row>
    <row r="12379" spans="1:16384" s="168" customFormat="1" ht="15.75" x14ac:dyDescent="0.25">
      <c r="A12379" s="134"/>
      <c r="B12379" s="135"/>
      <c r="C12379" s="135"/>
      <c r="D12379" s="135"/>
      <c r="E12379" s="135"/>
      <c r="F12379" s="136"/>
      <c r="G12379" s="243"/>
      <c r="H12379" s="243"/>
      <c r="I12379" s="243"/>
      <c r="J12379" s="243"/>
      <c r="K12379" s="243"/>
      <c r="L12379" s="243"/>
      <c r="M12379" s="243"/>
      <c r="N12379" s="243"/>
    </row>
    <row r="12380" spans="1:16384" s="168" customFormat="1" ht="15.75" x14ac:dyDescent="0.25">
      <c r="A12380" s="134"/>
      <c r="B12380" s="135"/>
      <c r="C12380" s="135"/>
      <c r="D12380" s="135"/>
      <c r="E12380" s="135"/>
      <c r="F12380" s="136"/>
      <c r="G12380" s="243"/>
      <c r="H12380" s="243"/>
      <c r="I12380" s="243"/>
      <c r="J12380" s="243"/>
      <c r="K12380" s="243"/>
      <c r="L12380" s="243"/>
      <c r="M12380" s="243"/>
      <c r="N12380" s="243"/>
    </row>
    <row r="12381" spans="1:16384" s="168" customFormat="1" ht="15.75" x14ac:dyDescent="0.25">
      <c r="A12381" s="134"/>
      <c r="B12381" s="135"/>
      <c r="C12381" s="135"/>
      <c r="D12381" s="135"/>
      <c r="E12381" s="135"/>
      <c r="F12381" s="135"/>
      <c r="G12381" s="243"/>
      <c r="H12381" s="243"/>
      <c r="I12381" s="243"/>
      <c r="J12381" s="243"/>
      <c r="K12381" s="243"/>
      <c r="L12381" s="243"/>
      <c r="M12381" s="243"/>
      <c r="N12381" s="243"/>
    </row>
    <row r="12382" spans="1:16384" ht="14.25" customHeight="1" thickBot="1" x14ac:dyDescent="0.3">
      <c r="A12382" s="81"/>
      <c r="B12382" s="81"/>
      <c r="C12382" s="81"/>
      <c r="D12382" s="81"/>
      <c r="E12382" s="81"/>
      <c r="F12382" s="81"/>
      <c r="G12382" s="81"/>
      <c r="H12382" s="81"/>
      <c r="I12382" s="81"/>
      <c r="J12382" s="81"/>
      <c r="K12382" s="81"/>
      <c r="L12382" s="81"/>
      <c r="M12382" s="81"/>
      <c r="N12382" s="81"/>
    </row>
    <row r="12383" spans="1:16384" ht="14.25" customHeight="1" x14ac:dyDescent="0.25">
      <c r="A12383" s="83"/>
      <c r="B12383" s="84"/>
      <c r="C12383" s="85"/>
      <c r="D12383" s="86"/>
      <c r="E12383" s="86"/>
      <c r="F12383" s="87"/>
      <c r="G12383" s="81"/>
      <c r="H12383" s="81"/>
      <c r="I12383" s="81"/>
      <c r="J12383" s="81"/>
      <c r="K12383" s="81"/>
      <c r="L12383" s="81"/>
      <c r="M12383" s="81"/>
      <c r="N12383" s="81"/>
    </row>
    <row r="12384" spans="1:16384" ht="14.25" customHeight="1" x14ac:dyDescent="0.25">
      <c r="A12384" s="599"/>
      <c r="B12384" s="600"/>
      <c r="C12384" s="600"/>
      <c r="D12384" s="600"/>
      <c r="E12384" s="600"/>
      <c r="F12384" s="601"/>
      <c r="G12384" s="81"/>
      <c r="H12384" s="81"/>
      <c r="I12384" s="81"/>
      <c r="J12384" s="81"/>
      <c r="K12384" s="81"/>
      <c r="L12384" s="81"/>
      <c r="M12384" s="81"/>
      <c r="N12384" s="81"/>
    </row>
    <row r="12385" spans="1:14" ht="14.25" customHeight="1" x14ac:dyDescent="0.25">
      <c r="A12385" s="602" t="s">
        <v>561</v>
      </c>
      <c r="B12385" s="600"/>
      <c r="C12385" s="600"/>
      <c r="D12385" s="600"/>
      <c r="E12385" s="600"/>
      <c r="F12385" s="601"/>
      <c r="G12385" s="81"/>
      <c r="H12385" s="81"/>
      <c r="I12385" s="81"/>
      <c r="J12385" s="81"/>
      <c r="K12385" s="81"/>
      <c r="L12385" s="81"/>
      <c r="M12385" s="81"/>
      <c r="N12385" s="81"/>
    </row>
    <row r="12386" spans="1:14" ht="14.25" customHeight="1" thickBot="1" x14ac:dyDescent="0.3">
      <c r="A12386" s="603"/>
      <c r="B12386" s="604"/>
      <c r="C12386" s="604"/>
      <c r="D12386" s="604"/>
      <c r="E12386" s="604"/>
      <c r="F12386" s="605"/>
      <c r="G12386" s="81"/>
      <c r="H12386" s="81"/>
      <c r="I12386" s="81"/>
      <c r="J12386" s="81"/>
      <c r="K12386" s="81"/>
      <c r="L12386" s="81"/>
      <c r="M12386" s="81"/>
      <c r="N12386" s="81"/>
    </row>
    <row r="12387" spans="1:14" ht="14.25" customHeight="1" x14ac:dyDescent="0.25">
      <c r="A12387" s="88"/>
      <c r="B12387" s="88"/>
      <c r="C12387" s="89"/>
      <c r="D12387" s="89"/>
      <c r="E12387" s="89"/>
      <c r="F12387" s="89"/>
      <c r="G12387" s="81"/>
      <c r="H12387" s="81"/>
      <c r="I12387" s="81"/>
      <c r="J12387" s="81"/>
      <c r="K12387" s="81"/>
      <c r="L12387" s="81"/>
      <c r="M12387" s="81"/>
      <c r="N12387" s="81"/>
    </row>
    <row r="12388" spans="1:14" ht="14.25" customHeight="1" x14ac:dyDescent="0.25">
      <c r="A12388" s="90" t="s">
        <v>47</v>
      </c>
      <c r="B12388" s="613" t="s">
        <v>435</v>
      </c>
      <c r="C12388" s="600"/>
      <c r="D12388" s="600"/>
      <c r="E12388" s="600"/>
      <c r="F12388" s="600"/>
      <c r="G12388" s="81"/>
      <c r="H12388" s="81"/>
      <c r="I12388" s="81"/>
      <c r="J12388" s="81"/>
      <c r="K12388" s="81"/>
      <c r="L12388" s="81"/>
      <c r="M12388" s="81"/>
      <c r="N12388" s="81"/>
    </row>
    <row r="12389" spans="1:14" ht="14.25" customHeight="1" x14ac:dyDescent="0.25">
      <c r="A12389" s="91"/>
      <c r="B12389" s="91"/>
      <c r="C12389" s="91"/>
      <c r="D12389" s="91"/>
      <c r="E12389" s="91"/>
      <c r="F12389" s="91"/>
      <c r="G12389" s="81"/>
      <c r="H12389" s="81"/>
      <c r="I12389" s="81"/>
      <c r="J12389" s="81"/>
      <c r="K12389" s="81"/>
      <c r="L12389" s="81"/>
      <c r="M12389" s="81"/>
      <c r="N12389" s="81"/>
    </row>
    <row r="12390" spans="1:14" ht="14.25" customHeight="1" x14ac:dyDescent="0.25">
      <c r="A12390" s="88" t="s">
        <v>49</v>
      </c>
      <c r="B12390" s="92" t="s">
        <v>99</v>
      </c>
      <c r="C12390" s="89"/>
      <c r="D12390" s="89"/>
      <c r="E12390" s="89"/>
      <c r="F12390" s="93"/>
      <c r="G12390" s="81"/>
      <c r="H12390" s="81"/>
      <c r="I12390" s="81"/>
      <c r="J12390" s="81"/>
      <c r="K12390" s="81"/>
      <c r="L12390" s="81"/>
      <c r="M12390" s="81"/>
      <c r="N12390" s="81"/>
    </row>
    <row r="12391" spans="1:14" ht="14.25" customHeight="1" x14ac:dyDescent="0.25">
      <c r="A12391" s="88"/>
      <c r="B12391" s="94"/>
      <c r="C12391" s="89"/>
      <c r="D12391" s="89"/>
      <c r="E12391" s="89"/>
      <c r="F12391" s="93"/>
      <c r="G12391" s="81"/>
      <c r="H12391" s="81"/>
      <c r="I12391" s="81"/>
      <c r="J12391" s="81"/>
      <c r="K12391" s="81"/>
      <c r="L12391" s="81"/>
      <c r="M12391" s="81"/>
      <c r="N12391" s="81"/>
    </row>
    <row r="12392" spans="1:14" ht="14.25" customHeight="1" x14ac:dyDescent="0.25">
      <c r="A12392" s="95" t="s">
        <v>562</v>
      </c>
      <c r="B12392" s="96"/>
      <c r="C12392" s="92"/>
      <c r="D12392" s="92"/>
      <c r="E12392" s="92"/>
      <c r="F12392" s="92"/>
      <c r="G12392" s="81"/>
      <c r="H12392" s="81"/>
      <c r="I12392" s="81"/>
      <c r="J12392" s="81"/>
      <c r="K12392" s="81"/>
      <c r="L12392" s="81"/>
      <c r="M12392" s="81"/>
      <c r="N12392" s="81"/>
    </row>
    <row r="12393" spans="1:14" ht="14.25" customHeight="1" x14ac:dyDescent="0.25">
      <c r="A12393" s="97" t="s">
        <v>563</v>
      </c>
      <c r="B12393" s="98" t="s">
        <v>564</v>
      </c>
      <c r="C12393" s="98" t="s">
        <v>565</v>
      </c>
      <c r="D12393" s="98" t="s">
        <v>566</v>
      </c>
      <c r="E12393" s="98" t="s">
        <v>567</v>
      </c>
      <c r="F12393" s="98" t="s">
        <v>568</v>
      </c>
      <c r="G12393" s="81"/>
      <c r="H12393" s="81"/>
      <c r="I12393" s="81"/>
      <c r="J12393" s="81"/>
      <c r="K12393" s="81"/>
      <c r="L12393" s="81"/>
      <c r="M12393" s="81"/>
      <c r="N12393" s="81"/>
    </row>
    <row r="12394" spans="1:14" ht="14.25" customHeight="1" x14ac:dyDescent="0.25">
      <c r="A12394" s="99" t="s">
        <v>851</v>
      </c>
      <c r="B12394" s="100" t="s">
        <v>99</v>
      </c>
      <c r="C12394" s="101">
        <v>3000</v>
      </c>
      <c r="D12394" s="149">
        <v>0.2</v>
      </c>
      <c r="E12394" s="102">
        <v>0.05</v>
      </c>
      <c r="F12394" s="101">
        <f t="shared" ref="F12394:F12400" si="608">C12394*(D12394+(D12394*E12394))</f>
        <v>630.00000000000011</v>
      </c>
      <c r="G12394" s="81"/>
      <c r="H12394" s="81"/>
      <c r="I12394" s="81"/>
      <c r="J12394" s="81"/>
      <c r="K12394" s="81"/>
      <c r="L12394" s="81"/>
      <c r="M12394" s="81"/>
      <c r="N12394" s="81"/>
    </row>
    <row r="12395" spans="1:14" ht="14.25" customHeight="1" x14ac:dyDescent="0.25">
      <c r="A12395" s="99" t="s">
        <v>852</v>
      </c>
      <c r="B12395" s="100" t="s">
        <v>99</v>
      </c>
      <c r="C12395" s="101">
        <v>1050</v>
      </c>
      <c r="D12395" s="104">
        <v>1</v>
      </c>
      <c r="E12395" s="102"/>
      <c r="F12395" s="101">
        <f t="shared" si="608"/>
        <v>1050</v>
      </c>
      <c r="G12395" s="81"/>
      <c r="H12395" s="81"/>
      <c r="I12395" s="81"/>
      <c r="J12395" s="81"/>
      <c r="K12395" s="81"/>
      <c r="L12395" s="81"/>
      <c r="M12395" s="81"/>
      <c r="N12395" s="81"/>
    </row>
    <row r="12396" spans="1:14" ht="14.25" customHeight="1" x14ac:dyDescent="0.25">
      <c r="A12396" s="99" t="s">
        <v>853</v>
      </c>
      <c r="B12396" s="100" t="s">
        <v>99</v>
      </c>
      <c r="C12396" s="101">
        <v>1800</v>
      </c>
      <c r="D12396" s="149">
        <v>1</v>
      </c>
      <c r="E12396" s="102"/>
      <c r="F12396" s="101">
        <f t="shared" si="608"/>
        <v>1800</v>
      </c>
      <c r="G12396" s="81"/>
      <c r="H12396" s="81"/>
      <c r="I12396" s="81"/>
      <c r="J12396" s="81"/>
      <c r="K12396" s="81"/>
      <c r="L12396" s="81"/>
      <c r="M12396" s="81"/>
      <c r="N12396" s="81"/>
    </row>
    <row r="12397" spans="1:14" ht="14.25" customHeight="1" x14ac:dyDescent="0.25">
      <c r="A12397" s="99" t="s">
        <v>854</v>
      </c>
      <c r="B12397" s="100" t="s">
        <v>59</v>
      </c>
      <c r="C12397" s="101">
        <v>3150</v>
      </c>
      <c r="D12397" s="104">
        <v>2.25</v>
      </c>
      <c r="E12397" s="102">
        <v>0.05</v>
      </c>
      <c r="F12397" s="101">
        <f t="shared" si="608"/>
        <v>7441.8749999999991</v>
      </c>
      <c r="G12397" s="81"/>
      <c r="H12397" s="81"/>
      <c r="I12397" s="81"/>
      <c r="J12397" s="81"/>
      <c r="K12397" s="81"/>
      <c r="L12397" s="81"/>
      <c r="M12397" s="81"/>
      <c r="N12397" s="81"/>
    </row>
    <row r="12398" spans="1:14" ht="14.25" customHeight="1" x14ac:dyDescent="0.25">
      <c r="A12398" s="99" t="s">
        <v>855</v>
      </c>
      <c r="B12398" s="100" t="s">
        <v>99</v>
      </c>
      <c r="C12398" s="101">
        <v>1000</v>
      </c>
      <c r="D12398" s="104">
        <v>1</v>
      </c>
      <c r="E12398" s="102"/>
      <c r="F12398" s="101">
        <f t="shared" si="608"/>
        <v>1000</v>
      </c>
      <c r="G12398" s="81"/>
      <c r="H12398" s="81"/>
      <c r="I12398" s="81"/>
      <c r="J12398" s="81"/>
      <c r="K12398" s="81"/>
      <c r="L12398" s="81"/>
      <c r="M12398" s="81"/>
      <c r="N12398" s="81"/>
    </row>
    <row r="12399" spans="1:14" ht="14.25" customHeight="1" x14ac:dyDescent="0.25">
      <c r="A12399" s="99" t="s">
        <v>856</v>
      </c>
      <c r="B12399" s="100" t="s">
        <v>59</v>
      </c>
      <c r="C12399" s="101">
        <v>6400</v>
      </c>
      <c r="D12399" s="104">
        <v>2.25</v>
      </c>
      <c r="E12399" s="102">
        <v>0.05</v>
      </c>
      <c r="F12399" s="101">
        <f t="shared" si="608"/>
        <v>15119.999999999998</v>
      </c>
      <c r="G12399" s="81"/>
      <c r="H12399" s="81"/>
      <c r="I12399" s="81"/>
      <c r="J12399" s="81"/>
      <c r="K12399" s="81"/>
      <c r="L12399" s="81"/>
      <c r="M12399" s="81"/>
      <c r="N12399" s="81"/>
    </row>
    <row r="12400" spans="1:14" ht="14.25" customHeight="1" x14ac:dyDescent="0.25">
      <c r="A12400" s="99" t="s">
        <v>856</v>
      </c>
      <c r="B12400" s="100" t="s">
        <v>59</v>
      </c>
      <c r="C12400" s="101">
        <v>5400</v>
      </c>
      <c r="D12400" s="104">
        <v>2.25</v>
      </c>
      <c r="E12400" s="102">
        <v>0.05</v>
      </c>
      <c r="F12400" s="101">
        <f t="shared" si="608"/>
        <v>12757.499999999998</v>
      </c>
      <c r="G12400" s="81"/>
      <c r="H12400" s="81"/>
      <c r="I12400" s="81"/>
      <c r="J12400" s="81"/>
      <c r="K12400" s="81"/>
      <c r="L12400" s="81"/>
      <c r="M12400" s="81"/>
      <c r="N12400" s="81"/>
    </row>
    <row r="12401" spans="1:14" ht="14.25" customHeight="1" x14ac:dyDescent="0.25">
      <c r="A12401" s="99"/>
      <c r="B12401" s="100"/>
      <c r="C12401" s="106"/>
      <c r="D12401" s="107"/>
      <c r="E12401" s="108"/>
      <c r="F12401" s="106"/>
      <c r="G12401" s="81"/>
      <c r="H12401" s="81"/>
      <c r="I12401" s="81"/>
      <c r="J12401" s="81"/>
      <c r="K12401" s="81"/>
      <c r="L12401" s="81"/>
      <c r="M12401" s="81"/>
      <c r="N12401" s="81"/>
    </row>
    <row r="12402" spans="1:14" ht="14.25" customHeight="1" x14ac:dyDescent="0.25">
      <c r="A12402" s="97" t="s">
        <v>548</v>
      </c>
      <c r="B12402" s="97"/>
      <c r="C12402" s="109"/>
      <c r="D12402" s="110"/>
      <c r="E12402" s="111"/>
      <c r="F12402" s="112">
        <f>SUM(F12394:F12401)</f>
        <v>39799.375</v>
      </c>
      <c r="G12402" s="81"/>
      <c r="H12402" s="81"/>
      <c r="I12402" s="81"/>
      <c r="J12402" s="81"/>
      <c r="K12402" s="81"/>
      <c r="L12402" s="81"/>
      <c r="M12402" s="81"/>
      <c r="N12402" s="81"/>
    </row>
    <row r="12403" spans="1:14" ht="14.25" customHeight="1" x14ac:dyDescent="0.25">
      <c r="A12403" s="88"/>
      <c r="B12403" s="88"/>
      <c r="C12403" s="113"/>
      <c r="D12403" s="113"/>
      <c r="E12403" s="114"/>
      <c r="F12403" s="113"/>
      <c r="G12403" s="81"/>
      <c r="H12403" s="81"/>
      <c r="I12403" s="81"/>
      <c r="J12403" s="81"/>
      <c r="K12403" s="81"/>
      <c r="L12403" s="81"/>
      <c r="M12403" s="81"/>
      <c r="N12403" s="81"/>
    </row>
    <row r="12404" spans="1:14" ht="14.25" customHeight="1" x14ac:dyDescent="0.25">
      <c r="A12404" s="96" t="s">
        <v>573</v>
      </c>
      <c r="B12404" s="96"/>
      <c r="C12404" s="92"/>
      <c r="D12404" s="92"/>
      <c r="E12404" s="92"/>
      <c r="F12404" s="92"/>
      <c r="G12404" s="81"/>
      <c r="H12404" s="81"/>
      <c r="I12404" s="81"/>
      <c r="J12404" s="81"/>
      <c r="K12404" s="81"/>
      <c r="L12404" s="81"/>
      <c r="M12404" s="81"/>
      <c r="N12404" s="81"/>
    </row>
    <row r="12405" spans="1:14" ht="14.25" customHeight="1" x14ac:dyDescent="0.25">
      <c r="A12405" s="611" t="s">
        <v>563</v>
      </c>
      <c r="B12405" s="608"/>
      <c r="C12405" s="609"/>
      <c r="D12405" s="98" t="s">
        <v>574</v>
      </c>
      <c r="E12405" s="98" t="s">
        <v>575</v>
      </c>
      <c r="F12405" s="98" t="s">
        <v>568</v>
      </c>
      <c r="G12405" s="81"/>
      <c r="H12405" s="81"/>
      <c r="I12405" s="81"/>
      <c r="J12405" s="81"/>
      <c r="K12405" s="81"/>
      <c r="L12405" s="81"/>
      <c r="M12405" s="81"/>
      <c r="N12405" s="81"/>
    </row>
    <row r="12406" spans="1:14" ht="14.25" customHeight="1" x14ac:dyDescent="0.25">
      <c r="A12406" s="607" t="s">
        <v>577</v>
      </c>
      <c r="B12406" s="608"/>
      <c r="C12406" s="609"/>
      <c r="D12406" s="116"/>
      <c r="E12406" s="107"/>
      <c r="F12406" s="106">
        <f>+F12423*5%</f>
        <v>1421.9110055547924</v>
      </c>
      <c r="G12406" s="81"/>
      <c r="H12406" s="81"/>
      <c r="I12406" s="81"/>
      <c r="J12406" s="81"/>
      <c r="K12406" s="81"/>
      <c r="L12406" s="81"/>
      <c r="M12406" s="81"/>
      <c r="N12406" s="81"/>
    </row>
    <row r="12407" spans="1:14" ht="14.25" customHeight="1" x14ac:dyDescent="0.25">
      <c r="A12407" s="607"/>
      <c r="B12407" s="608"/>
      <c r="C12407" s="609"/>
      <c r="D12407" s="142"/>
      <c r="E12407" s="105"/>
      <c r="F12407" s="106"/>
      <c r="G12407" s="81"/>
      <c r="H12407" s="81"/>
      <c r="I12407" s="81"/>
      <c r="J12407" s="81"/>
      <c r="K12407" s="81"/>
      <c r="L12407" s="81"/>
      <c r="M12407" s="81"/>
      <c r="N12407" s="81"/>
    </row>
    <row r="12408" spans="1:14" ht="14.25" customHeight="1" x14ac:dyDescent="0.25">
      <c r="A12408" s="607"/>
      <c r="B12408" s="608"/>
      <c r="C12408" s="609"/>
      <c r="D12408" s="142"/>
      <c r="E12408" s="105"/>
      <c r="F12408" s="106"/>
      <c r="G12408" s="81"/>
      <c r="H12408" s="81"/>
      <c r="I12408" s="81"/>
      <c r="J12408" s="81"/>
      <c r="K12408" s="81"/>
      <c r="L12408" s="81"/>
      <c r="M12408" s="81"/>
      <c r="N12408" s="81"/>
    </row>
    <row r="12409" spans="1:14" ht="14.25" customHeight="1" x14ac:dyDescent="0.25">
      <c r="A12409" s="607"/>
      <c r="B12409" s="608"/>
      <c r="C12409" s="609"/>
      <c r="D12409" s="142"/>
      <c r="E12409" s="107"/>
      <c r="F12409" s="106"/>
      <c r="G12409" s="81"/>
      <c r="H12409" s="81"/>
      <c r="I12409" s="81"/>
      <c r="J12409" s="81"/>
      <c r="K12409" s="81"/>
      <c r="L12409" s="81"/>
      <c r="M12409" s="81"/>
      <c r="N12409" s="81"/>
    </row>
    <row r="12410" spans="1:14" ht="14.25" customHeight="1" x14ac:dyDescent="0.25">
      <c r="A12410" s="607"/>
      <c r="B12410" s="608"/>
      <c r="C12410" s="609"/>
      <c r="D12410" s="142"/>
      <c r="E12410" s="107"/>
      <c r="F12410" s="106"/>
      <c r="G12410" s="81"/>
      <c r="H12410" s="81"/>
      <c r="I12410" s="81"/>
      <c r="J12410" s="81"/>
      <c r="K12410" s="81"/>
      <c r="L12410" s="81"/>
      <c r="M12410" s="81"/>
      <c r="N12410" s="81"/>
    </row>
    <row r="12411" spans="1:14" ht="14.25" customHeight="1" x14ac:dyDescent="0.25">
      <c r="A12411" s="607"/>
      <c r="B12411" s="608"/>
      <c r="C12411" s="609"/>
      <c r="D12411" s="142"/>
      <c r="E12411" s="107"/>
      <c r="F12411" s="106"/>
      <c r="G12411" s="81"/>
      <c r="H12411" s="81"/>
      <c r="I12411" s="81"/>
      <c r="J12411" s="81"/>
      <c r="K12411" s="81"/>
      <c r="L12411" s="81"/>
      <c r="M12411" s="81"/>
      <c r="N12411" s="81"/>
    </row>
    <row r="12412" spans="1:14" ht="14.25" customHeight="1" x14ac:dyDescent="0.25">
      <c r="A12412" s="607"/>
      <c r="B12412" s="608"/>
      <c r="C12412" s="609"/>
      <c r="D12412" s="142"/>
      <c r="E12412" s="107"/>
      <c r="F12412" s="106"/>
      <c r="G12412" s="81"/>
      <c r="H12412" s="81"/>
      <c r="I12412" s="81"/>
      <c r="J12412" s="81"/>
      <c r="K12412" s="81"/>
      <c r="L12412" s="81"/>
      <c r="M12412" s="81"/>
      <c r="N12412" s="81"/>
    </row>
    <row r="12413" spans="1:14" ht="14.25" customHeight="1" x14ac:dyDescent="0.25">
      <c r="A12413" s="607"/>
      <c r="B12413" s="608"/>
      <c r="C12413" s="609"/>
      <c r="D12413" s="142"/>
      <c r="E12413" s="107"/>
      <c r="F12413" s="106"/>
      <c r="G12413" s="81"/>
      <c r="H12413" s="81"/>
      <c r="I12413" s="81"/>
      <c r="J12413" s="81"/>
      <c r="K12413" s="81"/>
      <c r="L12413" s="81"/>
      <c r="M12413" s="81"/>
      <c r="N12413" s="81"/>
    </row>
    <row r="12414" spans="1:14" ht="14.25" customHeight="1" x14ac:dyDescent="0.25">
      <c r="A12414" s="610"/>
      <c r="B12414" s="608"/>
      <c r="C12414" s="609"/>
      <c r="D12414" s="115"/>
      <c r="E12414" s="107"/>
      <c r="F12414" s="106"/>
      <c r="G12414" s="81"/>
      <c r="H12414" s="81"/>
      <c r="I12414" s="81"/>
      <c r="J12414" s="81"/>
      <c r="K12414" s="81"/>
      <c r="L12414" s="81"/>
      <c r="M12414" s="81"/>
      <c r="N12414" s="81"/>
    </row>
    <row r="12415" spans="1:14" ht="14.25" customHeight="1" x14ac:dyDescent="0.25">
      <c r="A12415" s="611" t="s">
        <v>548</v>
      </c>
      <c r="B12415" s="608"/>
      <c r="C12415" s="609"/>
      <c r="D12415" s="110"/>
      <c r="E12415" s="110"/>
      <c r="F12415" s="112">
        <f>SUM(F12406:F12413)</f>
        <v>1421.9110055547924</v>
      </c>
      <c r="G12415" s="81"/>
      <c r="H12415" s="81"/>
      <c r="I12415" s="81"/>
      <c r="J12415" s="81"/>
      <c r="K12415" s="81"/>
      <c r="L12415" s="81"/>
      <c r="M12415" s="81"/>
      <c r="N12415" s="81"/>
    </row>
    <row r="12416" spans="1:14" ht="14.25" customHeight="1" x14ac:dyDescent="0.25">
      <c r="A12416" s="88"/>
      <c r="B12416" s="88"/>
      <c r="C12416" s="89"/>
      <c r="D12416" s="113"/>
      <c r="E12416" s="113"/>
      <c r="F12416" s="113"/>
      <c r="G12416" s="81"/>
      <c r="H12416" s="81"/>
      <c r="I12416" s="81"/>
      <c r="J12416" s="81"/>
      <c r="K12416" s="81"/>
      <c r="L12416" s="81"/>
      <c r="M12416" s="81"/>
      <c r="N12416" s="81"/>
    </row>
    <row r="12417" spans="1:14" ht="14.25" customHeight="1" x14ac:dyDescent="0.25">
      <c r="A12417" s="96" t="s">
        <v>578</v>
      </c>
      <c r="B12417" s="96"/>
      <c r="C12417" s="92"/>
      <c r="D12417" s="118"/>
      <c r="E12417" s="118"/>
      <c r="F12417" s="118"/>
      <c r="G12417" s="81"/>
      <c r="H12417" s="81"/>
      <c r="I12417" s="81"/>
      <c r="J12417" s="81"/>
      <c r="K12417" s="81"/>
      <c r="L12417" s="81"/>
      <c r="M12417" s="81"/>
      <c r="N12417" s="81"/>
    </row>
    <row r="12418" spans="1:14" ht="14.25" customHeight="1" x14ac:dyDescent="0.25">
      <c r="A12418" s="119" t="s">
        <v>563</v>
      </c>
      <c r="B12418" s="120" t="s">
        <v>579</v>
      </c>
      <c r="C12418" s="120" t="s">
        <v>580</v>
      </c>
      <c r="D12418" s="121" t="s">
        <v>581</v>
      </c>
      <c r="E12418" s="121" t="s">
        <v>575</v>
      </c>
      <c r="F12418" s="121" t="s">
        <v>568</v>
      </c>
      <c r="G12418" s="81"/>
      <c r="H12418" s="117"/>
      <c r="I12418" s="81"/>
      <c r="J12418" s="81"/>
      <c r="K12418" s="81"/>
      <c r="L12418" s="81"/>
      <c r="M12418" s="81"/>
      <c r="N12418" s="81"/>
    </row>
    <row r="12419" spans="1:14" ht="14.25" customHeight="1" x14ac:dyDescent="0.25">
      <c r="A12419" s="122" t="s">
        <v>593</v>
      </c>
      <c r="B12419" s="127">
        <v>1</v>
      </c>
      <c r="C12419" s="101">
        <v>32688</v>
      </c>
      <c r="D12419" s="101">
        <f t="shared" ref="D12419:D12420" si="609">+C12419*1.7</f>
        <v>55569.599999999999</v>
      </c>
      <c r="E12419" s="107">
        <v>5.0946999999999996</v>
      </c>
      <c r="F12419" s="106">
        <f t="shared" ref="F12419:F12420" si="610">+B12419*(D12419)/E12419</f>
        <v>10907.335073704045</v>
      </c>
      <c r="G12419" s="81"/>
      <c r="H12419" s="81"/>
      <c r="I12419" s="81"/>
      <c r="J12419" s="81"/>
      <c r="K12419" s="81"/>
      <c r="L12419" s="81"/>
      <c r="M12419" s="81"/>
      <c r="N12419" s="81"/>
    </row>
    <row r="12420" spans="1:14" ht="14.25" customHeight="1" x14ac:dyDescent="0.25">
      <c r="A12420" s="122" t="s">
        <v>594</v>
      </c>
      <c r="B12420" s="127">
        <v>1</v>
      </c>
      <c r="C12420" s="101">
        <v>52538</v>
      </c>
      <c r="D12420" s="101">
        <f t="shared" si="609"/>
        <v>89314.599999999991</v>
      </c>
      <c r="E12420" s="107">
        <f>E12419</f>
        <v>5.0946999999999996</v>
      </c>
      <c r="F12420" s="106">
        <f t="shared" si="610"/>
        <v>17530.885037391799</v>
      </c>
      <c r="G12420" s="81"/>
      <c r="H12420" s="81"/>
      <c r="I12420" s="81"/>
      <c r="J12420" s="81"/>
      <c r="K12420" s="81"/>
      <c r="L12420" s="81"/>
      <c r="M12420" s="81"/>
      <c r="N12420" s="81"/>
    </row>
    <row r="12421" spans="1:14" ht="14.25" customHeight="1" x14ac:dyDescent="0.25">
      <c r="A12421" s="122"/>
      <c r="B12421" s="127"/>
      <c r="C12421" s="101"/>
      <c r="D12421" s="101"/>
      <c r="E12421" s="105"/>
      <c r="F12421" s="106"/>
      <c r="G12421" s="81"/>
      <c r="H12421" s="81"/>
      <c r="I12421" s="81"/>
      <c r="J12421" s="81"/>
      <c r="K12421" s="81"/>
      <c r="L12421" s="81"/>
      <c r="M12421" s="81"/>
      <c r="N12421" s="81"/>
    </row>
    <row r="12422" spans="1:14" ht="14.25" customHeight="1" x14ac:dyDescent="0.25">
      <c r="A12422" s="122"/>
      <c r="B12422" s="127"/>
      <c r="C12422" s="101"/>
      <c r="D12422" s="101"/>
      <c r="E12422" s="125"/>
      <c r="F12422" s="106"/>
      <c r="G12422" s="81"/>
      <c r="H12422" s="143"/>
      <c r="I12422" s="81"/>
      <c r="J12422" s="81"/>
      <c r="K12422" s="81"/>
      <c r="L12422" s="81"/>
      <c r="M12422" s="81"/>
      <c r="N12422" s="81"/>
    </row>
    <row r="12423" spans="1:14" ht="14.25" customHeight="1" x14ac:dyDescent="0.25">
      <c r="A12423" s="97" t="s">
        <v>548</v>
      </c>
      <c r="B12423" s="128"/>
      <c r="C12423" s="110"/>
      <c r="D12423" s="110"/>
      <c r="E12423" s="110"/>
      <c r="F12423" s="112">
        <f>SUM(F12419:F12422)</f>
        <v>28438.220111095845</v>
      </c>
      <c r="G12423" s="81"/>
      <c r="H12423" s="81"/>
      <c r="I12423" s="81"/>
      <c r="J12423" s="81"/>
      <c r="K12423" s="81"/>
      <c r="L12423" s="81"/>
      <c r="M12423" s="81"/>
      <c r="N12423" s="81"/>
    </row>
    <row r="12424" spans="1:14" ht="14.25" customHeight="1" x14ac:dyDescent="0.25">
      <c r="A12424" s="96"/>
      <c r="B12424" s="129"/>
      <c r="C12424" s="118"/>
      <c r="D12424" s="118"/>
      <c r="E12424" s="118"/>
      <c r="F12424" s="118"/>
      <c r="G12424" s="81"/>
      <c r="H12424" s="81"/>
      <c r="I12424" s="81"/>
      <c r="J12424" s="81"/>
      <c r="K12424" s="81"/>
      <c r="L12424" s="81"/>
      <c r="M12424" s="81"/>
      <c r="N12424" s="81"/>
    </row>
    <row r="12425" spans="1:14" ht="14.25" customHeight="1" x14ac:dyDescent="0.25">
      <c r="A12425" s="95" t="s">
        <v>583</v>
      </c>
      <c r="B12425" s="96"/>
      <c r="C12425" s="92"/>
      <c r="D12425" s="92"/>
      <c r="E12425" s="92" t="s">
        <v>584</v>
      </c>
      <c r="F12425" s="92"/>
      <c r="G12425" s="81"/>
      <c r="H12425" s="81"/>
      <c r="I12425" s="81"/>
      <c r="J12425" s="81"/>
      <c r="K12425" s="81"/>
      <c r="L12425" s="81"/>
      <c r="M12425" s="81"/>
      <c r="N12425" s="81"/>
    </row>
    <row r="12426" spans="1:14" ht="14.25" customHeight="1" x14ac:dyDescent="0.25">
      <c r="A12426" s="97" t="s">
        <v>563</v>
      </c>
      <c r="B12426" s="98" t="s">
        <v>564</v>
      </c>
      <c r="C12426" s="98" t="s">
        <v>585</v>
      </c>
      <c r="D12426" s="98" t="s">
        <v>586</v>
      </c>
      <c r="E12426" s="120" t="s">
        <v>587</v>
      </c>
      <c r="F12426" s="98" t="s">
        <v>568</v>
      </c>
      <c r="G12426" s="81"/>
      <c r="H12426" s="81"/>
      <c r="I12426" s="81"/>
      <c r="J12426" s="81"/>
      <c r="K12426" s="81"/>
      <c r="L12426" s="81"/>
      <c r="M12426" s="81"/>
      <c r="N12426" s="81"/>
    </row>
    <row r="12427" spans="1:14" ht="14.25" customHeight="1" x14ac:dyDescent="0.25">
      <c r="A12427" s="103"/>
      <c r="B12427" s="100"/>
      <c r="C12427" s="101"/>
      <c r="D12427" s="140"/>
      <c r="E12427" s="107"/>
      <c r="F12427" s="109"/>
      <c r="G12427" s="81"/>
      <c r="H12427" s="81"/>
      <c r="I12427" s="81"/>
      <c r="J12427" s="81"/>
      <c r="K12427" s="81"/>
      <c r="L12427" s="81"/>
      <c r="M12427" s="81"/>
      <c r="N12427" s="81"/>
    </row>
    <row r="12428" spans="1:14" ht="14.25" customHeight="1" x14ac:dyDescent="0.25">
      <c r="A12428" s="103"/>
      <c r="B12428" s="100"/>
      <c r="C12428" s="107"/>
      <c r="D12428" s="107"/>
      <c r="E12428" s="108"/>
      <c r="F12428" s="109"/>
      <c r="G12428" s="81"/>
      <c r="H12428" s="81"/>
      <c r="I12428" s="81"/>
      <c r="J12428" s="81"/>
      <c r="K12428" s="81"/>
      <c r="L12428" s="81"/>
      <c r="M12428" s="81"/>
      <c r="N12428" s="81"/>
    </row>
    <row r="12429" spans="1:14" ht="14.25" customHeight="1" x14ac:dyDescent="0.25">
      <c r="A12429" s="97" t="s">
        <v>548</v>
      </c>
      <c r="B12429" s="98"/>
      <c r="C12429" s="110"/>
      <c r="D12429" s="110"/>
      <c r="E12429" s="111"/>
      <c r="F12429" s="112">
        <f>SUM(F12427:F12428)</f>
        <v>0</v>
      </c>
      <c r="G12429" s="81"/>
      <c r="H12429" s="81"/>
      <c r="I12429" s="81"/>
      <c r="J12429" s="81"/>
      <c r="K12429" s="81"/>
      <c r="L12429" s="81"/>
      <c r="M12429" s="81"/>
      <c r="N12429" s="81"/>
    </row>
    <row r="12430" spans="1:14" ht="14.25" customHeight="1" x14ac:dyDescent="0.25">
      <c r="A12430" s="88"/>
      <c r="B12430" s="89"/>
      <c r="C12430" s="113"/>
      <c r="D12430" s="113"/>
      <c r="E12430" s="114"/>
      <c r="F12430" s="113"/>
      <c r="G12430" s="81"/>
      <c r="H12430" s="81"/>
      <c r="I12430" s="81"/>
      <c r="J12430" s="81"/>
      <c r="K12430" s="81"/>
      <c r="L12430" s="81"/>
      <c r="M12430" s="81"/>
      <c r="N12430" s="81"/>
    </row>
    <row r="12431" spans="1:14" ht="14.25" customHeight="1" x14ac:dyDescent="0.25">
      <c r="A12431" s="88"/>
      <c r="B12431" s="89"/>
      <c r="C12431" s="113"/>
      <c r="D12431" s="113"/>
      <c r="E12431" s="114"/>
      <c r="F12431" s="113"/>
      <c r="G12431" s="81"/>
      <c r="H12431" s="81"/>
      <c r="I12431" s="81"/>
      <c r="J12431" s="81"/>
      <c r="K12431" s="81"/>
      <c r="L12431" s="81"/>
      <c r="M12431" s="81"/>
      <c r="N12431" s="81"/>
    </row>
    <row r="12432" spans="1:14" ht="14.25" customHeight="1" x14ac:dyDescent="0.25">
      <c r="A12432" s="612" t="s">
        <v>588</v>
      </c>
      <c r="B12432" s="608"/>
      <c r="C12432" s="608"/>
      <c r="D12432" s="608"/>
      <c r="E12432" s="609"/>
      <c r="F12432" s="131">
        <f>ROUND(F12402+F12415+F12423+F12429,0)</f>
        <v>69660</v>
      </c>
      <c r="G12432" s="81"/>
      <c r="H12432" s="81"/>
      <c r="I12432" s="81"/>
      <c r="J12432" s="81"/>
      <c r="K12432" s="81"/>
      <c r="L12432" s="81"/>
      <c r="M12432" s="81"/>
      <c r="N12432" s="81"/>
    </row>
    <row r="12433" spans="1:14" ht="14.25" customHeight="1" x14ac:dyDescent="0.25">
      <c r="A12433" s="612" t="s">
        <v>589</v>
      </c>
      <c r="B12433" s="608"/>
      <c r="C12433" s="608"/>
      <c r="D12433" s="608"/>
      <c r="E12433" s="609"/>
      <c r="F12433" s="132"/>
      <c r="G12433" s="81"/>
      <c r="H12433" s="81"/>
      <c r="I12433" s="81"/>
      <c r="J12433" s="81"/>
      <c r="K12433" s="81"/>
      <c r="L12433" s="81"/>
      <c r="M12433" s="81"/>
      <c r="N12433" s="81"/>
    </row>
    <row r="12434" spans="1:14" ht="14.25" customHeight="1" x14ac:dyDescent="0.25">
      <c r="A12434" s="146" t="s">
        <v>556</v>
      </c>
      <c r="B12434" s="147"/>
      <c r="C12434" s="147"/>
      <c r="D12434" s="147"/>
      <c r="E12434" s="148"/>
      <c r="F12434" s="133"/>
      <c r="G12434" s="81"/>
      <c r="H12434" s="81"/>
      <c r="I12434" s="81"/>
      <c r="J12434" s="81"/>
      <c r="K12434" s="81"/>
      <c r="L12434" s="81"/>
      <c r="M12434" s="81"/>
      <c r="N12434" s="81"/>
    </row>
    <row r="12435" spans="1:14" ht="69" customHeight="1" x14ac:dyDescent="0.25">
      <c r="A12435" s="134"/>
      <c r="B12435" s="135"/>
      <c r="C12435" s="135"/>
      <c r="D12435" s="135"/>
      <c r="E12435" s="135"/>
      <c r="F12435" s="136"/>
      <c r="G12435" s="81"/>
      <c r="H12435" s="81"/>
      <c r="I12435" s="81"/>
      <c r="J12435" s="81"/>
      <c r="K12435" s="81"/>
      <c r="L12435" s="81"/>
      <c r="M12435" s="81"/>
      <c r="N12435" s="81"/>
    </row>
    <row r="12436" spans="1:14" ht="14.25" customHeight="1" x14ac:dyDescent="0.25">
      <c r="A12436" s="81"/>
      <c r="B12436" s="81"/>
      <c r="C12436" s="137"/>
      <c r="D12436" s="81"/>
      <c r="E12436" s="81"/>
      <c r="F12436" s="81"/>
      <c r="G12436" s="81"/>
      <c r="H12436" s="81"/>
      <c r="I12436" s="81"/>
      <c r="J12436" s="81"/>
      <c r="K12436" s="81"/>
      <c r="L12436" s="81"/>
      <c r="M12436" s="81"/>
      <c r="N12436" s="81"/>
    </row>
    <row r="12437" spans="1:14" ht="14.25" customHeight="1" x14ac:dyDescent="0.25">
      <c r="A12437" s="81"/>
      <c r="B12437" s="81"/>
      <c r="C12437" s="137"/>
      <c r="D12437" s="81"/>
      <c r="E12437" s="81"/>
      <c r="F12437" s="81"/>
      <c r="G12437" s="81"/>
      <c r="H12437" s="81"/>
      <c r="I12437" s="81"/>
      <c r="J12437" s="81"/>
      <c r="K12437" s="81"/>
      <c r="L12437" s="81"/>
      <c r="M12437" s="81"/>
      <c r="N12437" s="81"/>
    </row>
    <row r="12438" spans="1:14" ht="14.25" customHeight="1" x14ac:dyDescent="0.25">
      <c r="A12438" s="81"/>
      <c r="B12438" s="81"/>
      <c r="C12438" s="137"/>
      <c r="D12438" s="81"/>
      <c r="E12438" s="81"/>
      <c r="F12438" s="81"/>
      <c r="G12438" s="81"/>
      <c r="H12438" s="81"/>
      <c r="I12438" s="81"/>
      <c r="J12438" s="81"/>
      <c r="K12438" s="81"/>
      <c r="L12438" s="81"/>
      <c r="M12438" s="81"/>
      <c r="N12438" s="81"/>
    </row>
    <row r="12439" spans="1:14" ht="14.25" customHeight="1" x14ac:dyDescent="0.25">
      <c r="A12439" s="81"/>
      <c r="B12439" s="81"/>
      <c r="C12439" s="137"/>
      <c r="D12439" s="81"/>
      <c r="E12439" s="81"/>
      <c r="F12439" s="81"/>
      <c r="G12439" s="81"/>
      <c r="H12439" s="81"/>
      <c r="I12439" s="81"/>
      <c r="J12439" s="81"/>
      <c r="K12439" s="81"/>
      <c r="L12439" s="81"/>
      <c r="M12439" s="81"/>
      <c r="N12439" s="81"/>
    </row>
    <row r="12440" spans="1:14" ht="14.25" customHeight="1" x14ac:dyDescent="0.25">
      <c r="A12440" s="134"/>
      <c r="B12440" s="135"/>
      <c r="C12440" s="135"/>
      <c r="D12440" s="135"/>
      <c r="E12440" s="135"/>
      <c r="F12440" s="136"/>
      <c r="G12440" s="81"/>
      <c r="H12440" s="81"/>
      <c r="I12440" s="81"/>
      <c r="J12440" s="81"/>
      <c r="K12440" s="81"/>
      <c r="L12440" s="81"/>
      <c r="M12440" s="81"/>
      <c r="N12440" s="81"/>
    </row>
    <row r="12441" spans="1:14" s="168" customFormat="1" ht="15.75" x14ac:dyDescent="0.25">
      <c r="A12441" s="134"/>
      <c r="B12441" s="135"/>
      <c r="C12441" s="135"/>
      <c r="D12441" s="135"/>
      <c r="E12441" s="135"/>
      <c r="F12441" s="136"/>
      <c r="G12441" s="243"/>
      <c r="H12441" s="243"/>
      <c r="I12441" s="243"/>
      <c r="J12441" s="243"/>
      <c r="K12441" s="243"/>
      <c r="L12441" s="243"/>
      <c r="M12441" s="243"/>
      <c r="N12441" s="243"/>
    </row>
    <row r="12442" spans="1:14" s="168" customFormat="1" ht="15.75" x14ac:dyDescent="0.25">
      <c r="A12442" s="134"/>
      <c r="B12442" s="135"/>
      <c r="C12442" s="135"/>
      <c r="D12442" s="135"/>
      <c r="E12442" s="135"/>
      <c r="F12442" s="135"/>
      <c r="G12442" s="243"/>
      <c r="H12442" s="243"/>
      <c r="I12442" s="243"/>
      <c r="J12442" s="243"/>
      <c r="K12442" s="243"/>
      <c r="L12442" s="243"/>
      <c r="M12442" s="243"/>
      <c r="N12442" s="243"/>
    </row>
    <row r="12443" spans="1:14" s="250" customFormat="1" ht="14.25" customHeight="1" thickBot="1" x14ac:dyDescent="0.3">
      <c r="A12443" s="81"/>
      <c r="B12443" s="81"/>
      <c r="C12443" s="81"/>
      <c r="D12443" s="81"/>
      <c r="E12443" s="81"/>
      <c r="F12443" s="81"/>
      <c r="G12443" s="249"/>
      <c r="H12443" s="249"/>
      <c r="I12443" s="249"/>
      <c r="J12443" s="249"/>
      <c r="K12443" s="249"/>
      <c r="L12443" s="249"/>
      <c r="M12443" s="249"/>
      <c r="N12443" s="249"/>
    </row>
    <row r="12444" spans="1:14" ht="14.25" customHeight="1" x14ac:dyDescent="0.25">
      <c r="A12444" s="83"/>
      <c r="B12444" s="84"/>
      <c r="C12444" s="85"/>
      <c r="D12444" s="86"/>
      <c r="E12444" s="86"/>
      <c r="F12444" s="87"/>
      <c r="G12444" s="81"/>
      <c r="H12444" s="81"/>
      <c r="I12444" s="81"/>
      <c r="J12444" s="81"/>
      <c r="K12444" s="81"/>
      <c r="L12444" s="81"/>
      <c r="M12444" s="81"/>
      <c r="N12444" s="81"/>
    </row>
    <row r="12445" spans="1:14" ht="14.25" customHeight="1" x14ac:dyDescent="0.25">
      <c r="A12445" s="599"/>
      <c r="B12445" s="600"/>
      <c r="C12445" s="600"/>
      <c r="D12445" s="600"/>
      <c r="E12445" s="600"/>
      <c r="F12445" s="601"/>
      <c r="G12445" s="81"/>
      <c r="H12445" s="81"/>
      <c r="I12445" s="81"/>
      <c r="J12445" s="81"/>
      <c r="K12445" s="81"/>
      <c r="L12445" s="81"/>
      <c r="M12445" s="81"/>
      <c r="N12445" s="81"/>
    </row>
    <row r="12446" spans="1:14" ht="14.25" customHeight="1" x14ac:dyDescent="0.25">
      <c r="A12446" s="602" t="s">
        <v>561</v>
      </c>
      <c r="B12446" s="600"/>
      <c r="C12446" s="600"/>
      <c r="D12446" s="600"/>
      <c r="E12446" s="600"/>
      <c r="F12446" s="601"/>
      <c r="G12446" s="81"/>
      <c r="H12446" s="81"/>
      <c r="I12446" s="81"/>
      <c r="J12446" s="81"/>
      <c r="K12446" s="81"/>
      <c r="L12446" s="81"/>
      <c r="M12446" s="81"/>
      <c r="N12446" s="81"/>
    </row>
    <row r="12447" spans="1:14" ht="14.25" customHeight="1" thickBot="1" x14ac:dyDescent="0.3">
      <c r="A12447" s="603"/>
      <c r="B12447" s="604"/>
      <c r="C12447" s="604"/>
      <c r="D12447" s="604"/>
      <c r="E12447" s="604"/>
      <c r="F12447" s="605"/>
      <c r="G12447" s="81"/>
      <c r="H12447" s="81"/>
      <c r="I12447" s="81"/>
      <c r="J12447" s="81"/>
      <c r="K12447" s="81"/>
      <c r="L12447" s="81"/>
      <c r="M12447" s="81"/>
      <c r="N12447" s="81"/>
    </row>
    <row r="12448" spans="1:14" ht="14.25" customHeight="1" x14ac:dyDescent="0.25">
      <c r="A12448" s="88"/>
      <c r="B12448" s="88"/>
      <c r="C12448" s="89"/>
      <c r="D12448" s="89"/>
      <c r="E12448" s="89"/>
      <c r="F12448" s="89"/>
      <c r="G12448" s="81"/>
      <c r="H12448" s="81"/>
      <c r="I12448" s="81"/>
      <c r="J12448" s="81"/>
      <c r="K12448" s="81"/>
      <c r="L12448" s="81"/>
      <c r="M12448" s="81"/>
      <c r="N12448" s="81"/>
    </row>
    <row r="12449" spans="1:14" ht="14.25" customHeight="1" x14ac:dyDescent="0.25">
      <c r="A12449" s="90" t="s">
        <v>47</v>
      </c>
      <c r="B12449" s="613" t="s">
        <v>436</v>
      </c>
      <c r="C12449" s="600"/>
      <c r="D12449" s="600"/>
      <c r="E12449" s="600"/>
      <c r="F12449" s="600"/>
      <c r="G12449" s="81"/>
      <c r="H12449" s="81"/>
      <c r="I12449" s="81"/>
      <c r="J12449" s="81"/>
      <c r="K12449" s="81"/>
      <c r="L12449" s="81"/>
      <c r="M12449" s="81"/>
      <c r="N12449" s="81"/>
    </row>
    <row r="12450" spans="1:14" ht="14.25" customHeight="1" x14ac:dyDescent="0.25">
      <c r="A12450" s="91"/>
      <c r="B12450" s="91"/>
      <c r="C12450" s="91"/>
      <c r="D12450" s="91"/>
      <c r="E12450" s="91"/>
      <c r="F12450" s="91"/>
      <c r="G12450" s="81"/>
      <c r="H12450" s="81"/>
      <c r="I12450" s="81"/>
      <c r="J12450" s="81"/>
      <c r="K12450" s="81"/>
      <c r="L12450" s="81"/>
      <c r="M12450" s="81"/>
      <c r="N12450" s="81"/>
    </row>
    <row r="12451" spans="1:14" ht="14.25" customHeight="1" x14ac:dyDescent="0.25">
      <c r="A12451" s="88" t="s">
        <v>49</v>
      </c>
      <c r="B12451" s="92" t="s">
        <v>99</v>
      </c>
      <c r="C12451" s="89"/>
      <c r="D12451" s="89"/>
      <c r="E12451" s="89"/>
      <c r="F12451" s="93"/>
      <c r="G12451" s="81"/>
      <c r="H12451" s="81"/>
      <c r="I12451" s="81"/>
      <c r="J12451" s="81"/>
      <c r="K12451" s="81"/>
      <c r="L12451" s="81"/>
      <c r="M12451" s="81"/>
      <c r="N12451" s="81"/>
    </row>
    <row r="12452" spans="1:14" ht="14.25" customHeight="1" x14ac:dyDescent="0.25">
      <c r="A12452" s="88"/>
      <c r="B12452" s="94"/>
      <c r="C12452" s="89"/>
      <c r="D12452" s="89"/>
      <c r="E12452" s="89"/>
      <c r="F12452" s="93"/>
      <c r="G12452" s="81"/>
      <c r="H12452" s="81"/>
      <c r="I12452" s="81"/>
      <c r="J12452" s="81"/>
      <c r="K12452" s="81"/>
      <c r="L12452" s="81"/>
      <c r="M12452" s="81"/>
      <c r="N12452" s="81"/>
    </row>
    <row r="12453" spans="1:14" ht="14.25" customHeight="1" x14ac:dyDescent="0.25">
      <c r="A12453" s="95" t="s">
        <v>562</v>
      </c>
      <c r="B12453" s="96"/>
      <c r="C12453" s="92"/>
      <c r="D12453" s="92"/>
      <c r="E12453" s="92"/>
      <c r="F12453" s="92"/>
      <c r="G12453" s="81"/>
      <c r="H12453" s="81"/>
      <c r="I12453" s="81"/>
      <c r="J12453" s="81"/>
      <c r="K12453" s="81"/>
      <c r="L12453" s="81"/>
      <c r="M12453" s="81"/>
      <c r="N12453" s="81"/>
    </row>
    <row r="12454" spans="1:14" ht="14.25" customHeight="1" x14ac:dyDescent="0.25">
      <c r="A12454" s="97" t="s">
        <v>563</v>
      </c>
      <c r="B12454" s="98" t="s">
        <v>564</v>
      </c>
      <c r="C12454" s="98" t="s">
        <v>565</v>
      </c>
      <c r="D12454" s="98" t="s">
        <v>566</v>
      </c>
      <c r="E12454" s="98" t="s">
        <v>567</v>
      </c>
      <c r="F12454" s="98" t="s">
        <v>568</v>
      </c>
      <c r="G12454" s="81"/>
      <c r="H12454" s="81"/>
      <c r="I12454" s="81"/>
      <c r="J12454" s="81"/>
      <c r="K12454" s="81"/>
      <c r="L12454" s="81"/>
      <c r="M12454" s="81"/>
      <c r="N12454" s="81"/>
    </row>
    <row r="12455" spans="1:14" ht="14.25" customHeight="1" x14ac:dyDescent="0.25">
      <c r="A12455" s="99" t="s">
        <v>622</v>
      </c>
      <c r="B12455" s="100" t="s">
        <v>99</v>
      </c>
      <c r="C12455" s="101">
        <v>85900</v>
      </c>
      <c r="D12455" s="149">
        <v>3.0000000000000001E-3</v>
      </c>
      <c r="E12455" s="102">
        <v>0.05</v>
      </c>
      <c r="F12455" s="101">
        <f t="shared" ref="F12455:F12466" si="611">C12455*(D12455+(D12455*E12455))</f>
        <v>270.58499999999998</v>
      </c>
      <c r="G12455" s="81"/>
      <c r="H12455" s="81"/>
      <c r="I12455" s="81"/>
      <c r="J12455" s="81"/>
      <c r="K12455" s="81"/>
      <c r="L12455" s="81"/>
      <c r="M12455" s="81"/>
      <c r="N12455" s="81"/>
    </row>
    <row r="12456" spans="1:14" ht="14.25" customHeight="1" x14ac:dyDescent="0.25">
      <c r="A12456" s="99" t="s">
        <v>857</v>
      </c>
      <c r="B12456" s="100" t="s">
        <v>59</v>
      </c>
      <c r="C12456" s="101">
        <v>3900</v>
      </c>
      <c r="D12456" s="149">
        <v>2</v>
      </c>
      <c r="E12456" s="102">
        <v>0.05</v>
      </c>
      <c r="F12456" s="101">
        <f t="shared" si="611"/>
        <v>8190</v>
      </c>
      <c r="G12456" s="81"/>
      <c r="H12456" s="81"/>
      <c r="I12456" s="81"/>
      <c r="J12456" s="81"/>
      <c r="K12456" s="81"/>
      <c r="L12456" s="81"/>
      <c r="M12456" s="81"/>
      <c r="N12456" s="81"/>
    </row>
    <row r="12457" spans="1:14" ht="14.25" customHeight="1" x14ac:dyDescent="0.25">
      <c r="A12457" s="99" t="s">
        <v>855</v>
      </c>
      <c r="B12457" s="100" t="s">
        <v>99</v>
      </c>
      <c r="C12457" s="101">
        <v>1050</v>
      </c>
      <c r="D12457" s="149">
        <v>0.5</v>
      </c>
      <c r="E12457" s="102"/>
      <c r="F12457" s="101">
        <f t="shared" si="611"/>
        <v>525</v>
      </c>
      <c r="G12457" s="81"/>
      <c r="H12457" s="81"/>
      <c r="I12457" s="81"/>
      <c r="J12457" s="81"/>
      <c r="K12457" s="81"/>
      <c r="L12457" s="81"/>
      <c r="M12457" s="81"/>
      <c r="N12457" s="81"/>
    </row>
    <row r="12458" spans="1:14" s="168" customFormat="1" ht="15.75" x14ac:dyDescent="0.25">
      <c r="A12458" s="99" t="s">
        <v>858</v>
      </c>
      <c r="B12458" s="100" t="s">
        <v>99</v>
      </c>
      <c r="C12458" s="101">
        <v>1500</v>
      </c>
      <c r="D12458" s="149">
        <v>1</v>
      </c>
      <c r="E12458" s="102"/>
      <c r="F12458" s="101">
        <f t="shared" si="611"/>
        <v>1500</v>
      </c>
      <c r="G12458" s="243"/>
      <c r="H12458" s="243"/>
      <c r="I12458" s="243"/>
      <c r="J12458" s="243"/>
      <c r="K12458" s="243"/>
      <c r="L12458" s="243"/>
      <c r="M12458" s="243"/>
      <c r="N12458" s="243"/>
    </row>
    <row r="12459" spans="1:14" s="168" customFormat="1" ht="15.75" x14ac:dyDescent="0.25">
      <c r="A12459" s="99" t="s">
        <v>859</v>
      </c>
      <c r="B12459" s="100" t="s">
        <v>99</v>
      </c>
      <c r="C12459" s="101">
        <v>600</v>
      </c>
      <c r="D12459" s="149">
        <v>1</v>
      </c>
      <c r="E12459" s="102"/>
      <c r="F12459" s="101">
        <f t="shared" si="611"/>
        <v>600</v>
      </c>
      <c r="G12459" s="243"/>
      <c r="H12459" s="243"/>
      <c r="I12459" s="243"/>
      <c r="J12459" s="243"/>
      <c r="K12459" s="243"/>
      <c r="L12459" s="243"/>
      <c r="M12459" s="243"/>
      <c r="N12459" s="243"/>
    </row>
    <row r="12460" spans="1:14" ht="14.25" customHeight="1" x14ac:dyDescent="0.25">
      <c r="A12460" s="99" t="s">
        <v>860</v>
      </c>
      <c r="B12460" s="100" t="s">
        <v>99</v>
      </c>
      <c r="C12460" s="101">
        <v>50</v>
      </c>
      <c r="D12460" s="149">
        <v>4</v>
      </c>
      <c r="E12460" s="102"/>
      <c r="F12460" s="101">
        <f t="shared" si="611"/>
        <v>200</v>
      </c>
      <c r="G12460" s="81"/>
      <c r="H12460" s="81"/>
      <c r="I12460" s="81"/>
      <c r="J12460" s="81"/>
      <c r="K12460" s="81"/>
      <c r="L12460" s="81"/>
      <c r="M12460" s="81"/>
      <c r="N12460" s="81"/>
    </row>
    <row r="12461" spans="1:14" ht="14.25" customHeight="1" x14ac:dyDescent="0.25">
      <c r="A12461" s="99" t="s">
        <v>861</v>
      </c>
      <c r="B12461" s="100" t="s">
        <v>99</v>
      </c>
      <c r="C12461" s="101">
        <v>3650</v>
      </c>
      <c r="D12461" s="149">
        <v>2</v>
      </c>
      <c r="E12461" s="102">
        <v>0.05</v>
      </c>
      <c r="F12461" s="101">
        <f t="shared" si="611"/>
        <v>7665</v>
      </c>
      <c r="G12461" s="81"/>
      <c r="H12461" s="81"/>
      <c r="I12461" s="81"/>
      <c r="J12461" s="81"/>
      <c r="K12461" s="81"/>
      <c r="L12461" s="81"/>
      <c r="M12461" s="81"/>
      <c r="N12461" s="81"/>
    </row>
    <row r="12462" spans="1:14" ht="14.25" customHeight="1" x14ac:dyDescent="0.25">
      <c r="A12462" s="99" t="s">
        <v>862</v>
      </c>
      <c r="B12462" s="100" t="s">
        <v>99</v>
      </c>
      <c r="C12462" s="101">
        <v>6800</v>
      </c>
      <c r="D12462" s="149">
        <v>0.2</v>
      </c>
      <c r="E12462" s="102">
        <v>0.05</v>
      </c>
      <c r="F12462" s="101">
        <f t="shared" si="611"/>
        <v>1428.0000000000002</v>
      </c>
      <c r="G12462" s="81"/>
      <c r="H12462" s="81"/>
      <c r="I12462" s="81"/>
      <c r="J12462" s="81"/>
      <c r="K12462" s="81"/>
      <c r="L12462" s="81"/>
      <c r="M12462" s="81"/>
      <c r="N12462" s="81"/>
    </row>
    <row r="12463" spans="1:14" ht="14.25" customHeight="1" x14ac:dyDescent="0.25">
      <c r="A12463" s="99" t="s">
        <v>863</v>
      </c>
      <c r="B12463" s="100" t="s">
        <v>864</v>
      </c>
      <c r="C12463" s="101">
        <v>990000</v>
      </c>
      <c r="D12463" s="149">
        <v>0.04</v>
      </c>
      <c r="E12463" s="102">
        <v>0.05</v>
      </c>
      <c r="F12463" s="101">
        <f t="shared" si="611"/>
        <v>41580</v>
      </c>
      <c r="G12463" s="81"/>
      <c r="H12463" s="81"/>
      <c r="I12463" s="81"/>
      <c r="J12463" s="81"/>
      <c r="K12463" s="81"/>
      <c r="L12463" s="81"/>
      <c r="M12463" s="81"/>
      <c r="N12463" s="81"/>
    </row>
    <row r="12464" spans="1:14" ht="14.25" customHeight="1" x14ac:dyDescent="0.25">
      <c r="A12464" s="99" t="s">
        <v>865</v>
      </c>
      <c r="B12464" s="100" t="s">
        <v>99</v>
      </c>
      <c r="C12464" s="101">
        <v>10500</v>
      </c>
      <c r="D12464" s="149">
        <v>1</v>
      </c>
      <c r="E12464" s="102"/>
      <c r="F12464" s="101">
        <f t="shared" si="611"/>
        <v>10500</v>
      </c>
      <c r="G12464" s="81"/>
      <c r="H12464" s="81"/>
      <c r="I12464" s="81"/>
      <c r="J12464" s="81"/>
      <c r="K12464" s="81"/>
      <c r="L12464" s="81"/>
      <c r="M12464" s="81"/>
      <c r="N12464" s="81"/>
    </row>
    <row r="12465" spans="1:14" ht="14.25" customHeight="1" x14ac:dyDescent="0.25">
      <c r="A12465" s="99" t="s">
        <v>866</v>
      </c>
      <c r="B12465" s="100" t="s">
        <v>99</v>
      </c>
      <c r="C12465" s="101">
        <v>7000</v>
      </c>
      <c r="D12465" s="149">
        <v>1</v>
      </c>
      <c r="E12465" s="102"/>
      <c r="F12465" s="101">
        <f t="shared" si="611"/>
        <v>7000</v>
      </c>
      <c r="G12465" s="81"/>
      <c r="H12465" s="81"/>
      <c r="I12465" s="81"/>
      <c r="J12465" s="81"/>
      <c r="K12465" s="81"/>
      <c r="L12465" s="81"/>
      <c r="M12465" s="81"/>
      <c r="N12465" s="81"/>
    </row>
    <row r="12466" spans="1:14" ht="14.25" customHeight="1" x14ac:dyDescent="0.25">
      <c r="A12466" s="99" t="s">
        <v>867</v>
      </c>
      <c r="B12466" s="100" t="s">
        <v>99</v>
      </c>
      <c r="C12466" s="101">
        <v>8950</v>
      </c>
      <c r="D12466" s="149">
        <v>2</v>
      </c>
      <c r="E12466" s="102"/>
      <c r="F12466" s="101">
        <f t="shared" si="611"/>
        <v>17900</v>
      </c>
      <c r="G12466" s="81"/>
      <c r="H12466" s="81"/>
      <c r="I12466" s="81"/>
      <c r="J12466" s="81"/>
      <c r="K12466" s="81"/>
      <c r="L12466" s="81"/>
      <c r="M12466" s="81"/>
      <c r="N12466" s="81"/>
    </row>
    <row r="12467" spans="1:14" ht="14.25" customHeight="1" x14ac:dyDescent="0.25">
      <c r="A12467" s="99"/>
      <c r="B12467" s="100"/>
      <c r="C12467" s="106"/>
      <c r="D12467" s="107"/>
      <c r="E12467" s="108"/>
      <c r="F12467" s="106"/>
      <c r="G12467" s="81"/>
      <c r="H12467" s="81"/>
      <c r="I12467" s="81"/>
      <c r="J12467" s="81"/>
      <c r="K12467" s="81"/>
      <c r="L12467" s="81"/>
      <c r="M12467" s="81"/>
      <c r="N12467" s="81"/>
    </row>
    <row r="12468" spans="1:14" ht="14.25" customHeight="1" x14ac:dyDescent="0.25">
      <c r="A12468" s="97" t="s">
        <v>548</v>
      </c>
      <c r="B12468" s="97"/>
      <c r="C12468" s="109"/>
      <c r="D12468" s="110"/>
      <c r="E12468" s="111"/>
      <c r="F12468" s="112">
        <f>SUM(F12455:F12467)</f>
        <v>97358.584999999992</v>
      </c>
      <c r="G12468" s="81"/>
      <c r="H12468" s="81"/>
      <c r="I12468" s="81"/>
      <c r="J12468" s="81"/>
      <c r="K12468" s="81"/>
      <c r="L12468" s="81"/>
      <c r="M12468" s="81"/>
      <c r="N12468" s="81"/>
    </row>
    <row r="12469" spans="1:14" ht="14.25" customHeight="1" x14ac:dyDescent="0.25">
      <c r="A12469" s="88"/>
      <c r="B12469" s="88"/>
      <c r="C12469" s="113"/>
      <c r="D12469" s="113"/>
      <c r="E12469" s="114"/>
      <c r="F12469" s="113"/>
      <c r="G12469" s="81"/>
      <c r="H12469" s="81"/>
      <c r="I12469" s="81"/>
      <c r="J12469" s="81"/>
      <c r="K12469" s="81"/>
      <c r="L12469" s="81"/>
      <c r="M12469" s="81"/>
      <c r="N12469" s="81"/>
    </row>
    <row r="12470" spans="1:14" ht="14.25" customHeight="1" x14ac:dyDescent="0.25">
      <c r="A12470" s="96" t="s">
        <v>573</v>
      </c>
      <c r="B12470" s="96"/>
      <c r="C12470" s="92"/>
      <c r="D12470" s="92"/>
      <c r="E12470" s="92"/>
      <c r="F12470" s="92"/>
      <c r="G12470" s="81"/>
      <c r="H12470" s="81"/>
      <c r="I12470" s="81"/>
      <c r="J12470" s="81"/>
      <c r="K12470" s="81"/>
      <c r="L12470" s="81"/>
      <c r="M12470" s="81"/>
      <c r="N12470" s="81"/>
    </row>
    <row r="12471" spans="1:14" ht="14.25" customHeight="1" x14ac:dyDescent="0.25">
      <c r="A12471" s="611" t="s">
        <v>563</v>
      </c>
      <c r="B12471" s="608"/>
      <c r="C12471" s="609"/>
      <c r="D12471" s="98" t="s">
        <v>574</v>
      </c>
      <c r="E12471" s="98" t="s">
        <v>575</v>
      </c>
      <c r="F12471" s="98" t="s">
        <v>568</v>
      </c>
      <c r="G12471" s="81"/>
      <c r="H12471" s="81"/>
      <c r="I12471" s="81"/>
      <c r="J12471" s="81"/>
      <c r="K12471" s="81"/>
      <c r="L12471" s="81"/>
      <c r="M12471" s="81"/>
      <c r="N12471" s="81"/>
    </row>
    <row r="12472" spans="1:14" ht="14.25" customHeight="1" x14ac:dyDescent="0.25">
      <c r="A12472" s="607" t="s">
        <v>577</v>
      </c>
      <c r="B12472" s="608"/>
      <c r="C12472" s="609"/>
      <c r="D12472" s="116"/>
      <c r="E12472" s="107"/>
      <c r="F12472" s="106">
        <f>+F12489*5%</f>
        <v>1506.7305892385448</v>
      </c>
      <c r="G12472" s="81"/>
      <c r="H12472" s="81"/>
      <c r="I12472" s="81"/>
      <c r="J12472" s="81"/>
      <c r="K12472" s="81"/>
      <c r="L12472" s="81"/>
      <c r="M12472" s="81"/>
      <c r="N12472" s="81"/>
    </row>
    <row r="12473" spans="1:14" ht="14.25" customHeight="1" x14ac:dyDescent="0.25">
      <c r="A12473" s="607"/>
      <c r="B12473" s="608"/>
      <c r="C12473" s="609"/>
      <c r="D12473" s="142"/>
      <c r="E12473" s="105"/>
      <c r="F12473" s="106"/>
      <c r="G12473" s="81"/>
      <c r="H12473" s="81"/>
      <c r="I12473" s="81"/>
      <c r="J12473" s="81"/>
      <c r="K12473" s="81"/>
      <c r="L12473" s="81"/>
      <c r="M12473" s="81"/>
      <c r="N12473" s="81"/>
    </row>
    <row r="12474" spans="1:14" ht="14.25" customHeight="1" x14ac:dyDescent="0.25">
      <c r="A12474" s="607"/>
      <c r="B12474" s="608"/>
      <c r="C12474" s="609"/>
      <c r="D12474" s="142"/>
      <c r="E12474" s="105"/>
      <c r="F12474" s="106"/>
      <c r="G12474" s="81"/>
      <c r="H12474" s="81"/>
      <c r="I12474" s="81"/>
      <c r="J12474" s="81"/>
      <c r="K12474" s="81"/>
      <c r="L12474" s="81"/>
      <c r="M12474" s="81"/>
      <c r="N12474" s="81"/>
    </row>
    <row r="12475" spans="1:14" ht="14.25" customHeight="1" x14ac:dyDescent="0.25">
      <c r="A12475" s="607"/>
      <c r="B12475" s="608"/>
      <c r="C12475" s="609"/>
      <c r="D12475" s="142"/>
      <c r="E12475" s="107"/>
      <c r="F12475" s="106"/>
      <c r="G12475" s="81"/>
      <c r="H12475" s="81"/>
      <c r="I12475" s="81"/>
      <c r="J12475" s="81"/>
      <c r="K12475" s="81"/>
      <c r="L12475" s="81"/>
      <c r="M12475" s="81"/>
      <c r="N12475" s="81"/>
    </row>
    <row r="12476" spans="1:14" ht="14.25" customHeight="1" x14ac:dyDescent="0.25">
      <c r="A12476" s="607"/>
      <c r="B12476" s="608"/>
      <c r="C12476" s="609"/>
      <c r="D12476" s="142"/>
      <c r="E12476" s="107"/>
      <c r="F12476" s="106"/>
      <c r="G12476" s="81"/>
      <c r="H12476" s="81"/>
      <c r="I12476" s="81"/>
      <c r="J12476" s="81"/>
      <c r="K12476" s="81"/>
      <c r="L12476" s="81"/>
      <c r="M12476" s="81"/>
      <c r="N12476" s="81"/>
    </row>
    <row r="12477" spans="1:14" ht="14.25" customHeight="1" x14ac:dyDescent="0.25">
      <c r="A12477" s="607"/>
      <c r="B12477" s="608"/>
      <c r="C12477" s="609"/>
      <c r="D12477" s="142"/>
      <c r="E12477" s="107"/>
      <c r="F12477" s="106"/>
      <c r="G12477" s="81"/>
      <c r="H12477" s="81"/>
      <c r="I12477" s="81"/>
      <c r="J12477" s="81"/>
      <c r="K12477" s="81"/>
      <c r="L12477" s="81"/>
      <c r="M12477" s="81"/>
      <c r="N12477" s="81"/>
    </row>
    <row r="12478" spans="1:14" ht="14.25" customHeight="1" x14ac:dyDescent="0.25">
      <c r="A12478" s="607"/>
      <c r="B12478" s="608"/>
      <c r="C12478" s="609"/>
      <c r="D12478" s="142"/>
      <c r="E12478" s="107"/>
      <c r="F12478" s="106"/>
      <c r="G12478" s="81"/>
      <c r="H12478" s="81"/>
      <c r="I12478" s="81"/>
      <c r="J12478" s="81"/>
      <c r="K12478" s="81"/>
      <c r="L12478" s="81"/>
      <c r="M12478" s="81"/>
      <c r="N12478" s="81"/>
    </row>
    <row r="12479" spans="1:14" ht="14.25" customHeight="1" x14ac:dyDescent="0.25">
      <c r="A12479" s="607"/>
      <c r="B12479" s="608"/>
      <c r="C12479" s="609"/>
      <c r="D12479" s="142"/>
      <c r="E12479" s="107"/>
      <c r="F12479" s="106"/>
      <c r="G12479" s="81"/>
      <c r="H12479" s="81"/>
      <c r="I12479" s="81"/>
      <c r="J12479" s="81"/>
      <c r="K12479" s="81"/>
      <c r="L12479" s="81"/>
      <c r="M12479" s="81"/>
      <c r="N12479" s="81"/>
    </row>
    <row r="12480" spans="1:14" ht="14.25" customHeight="1" x14ac:dyDescent="0.25">
      <c r="A12480" s="610"/>
      <c r="B12480" s="608"/>
      <c r="C12480" s="609"/>
      <c r="D12480" s="115"/>
      <c r="E12480" s="107"/>
      <c r="F12480" s="106"/>
      <c r="G12480" s="81"/>
      <c r="H12480" s="81"/>
      <c r="I12480" s="81"/>
      <c r="J12480" s="81"/>
      <c r="K12480" s="81"/>
      <c r="L12480" s="81"/>
      <c r="M12480" s="81"/>
      <c r="N12480" s="81"/>
    </row>
    <row r="12481" spans="1:14" ht="14.25" customHeight="1" x14ac:dyDescent="0.25">
      <c r="A12481" s="611" t="s">
        <v>548</v>
      </c>
      <c r="B12481" s="608"/>
      <c r="C12481" s="609"/>
      <c r="D12481" s="110"/>
      <c r="E12481" s="110"/>
      <c r="F12481" s="112">
        <f>SUM(F12472:F12479)</f>
        <v>1506.7305892385448</v>
      </c>
      <c r="G12481" s="81"/>
      <c r="H12481" s="81"/>
      <c r="I12481" s="81"/>
      <c r="J12481" s="81"/>
      <c r="K12481" s="81"/>
      <c r="L12481" s="81"/>
      <c r="M12481" s="81"/>
      <c r="N12481" s="81"/>
    </row>
    <row r="12482" spans="1:14" ht="14.25" customHeight="1" x14ac:dyDescent="0.25">
      <c r="A12482" s="88"/>
      <c r="B12482" s="88"/>
      <c r="C12482" s="89"/>
      <c r="D12482" s="113"/>
      <c r="E12482" s="113"/>
      <c r="F12482" s="113"/>
      <c r="G12482" s="81"/>
      <c r="H12482" s="81"/>
      <c r="I12482" s="81"/>
      <c r="J12482" s="81"/>
      <c r="K12482" s="81"/>
      <c r="L12482" s="81"/>
      <c r="M12482" s="81"/>
      <c r="N12482" s="81"/>
    </row>
    <row r="12483" spans="1:14" ht="14.25" customHeight="1" x14ac:dyDescent="0.25">
      <c r="A12483" s="96" t="s">
        <v>578</v>
      </c>
      <c r="B12483" s="96"/>
      <c r="C12483" s="92"/>
      <c r="D12483" s="118"/>
      <c r="E12483" s="118"/>
      <c r="F12483" s="118"/>
      <c r="G12483" s="81"/>
      <c r="H12483" s="81"/>
      <c r="I12483" s="81"/>
      <c r="J12483" s="81"/>
      <c r="K12483" s="81"/>
      <c r="L12483" s="81"/>
      <c r="M12483" s="81"/>
      <c r="N12483" s="81"/>
    </row>
    <row r="12484" spans="1:14" ht="14.25" customHeight="1" x14ac:dyDescent="0.25">
      <c r="A12484" s="119" t="s">
        <v>563</v>
      </c>
      <c r="B12484" s="120" t="s">
        <v>579</v>
      </c>
      <c r="C12484" s="120" t="s">
        <v>580</v>
      </c>
      <c r="D12484" s="121" t="s">
        <v>581</v>
      </c>
      <c r="E12484" s="121" t="s">
        <v>575</v>
      </c>
      <c r="F12484" s="121" t="s">
        <v>568</v>
      </c>
      <c r="G12484" s="81"/>
      <c r="H12484" s="117"/>
      <c r="I12484" s="81"/>
      <c r="J12484" s="81"/>
      <c r="K12484" s="81"/>
      <c r="L12484" s="81"/>
      <c r="M12484" s="81"/>
      <c r="N12484" s="81"/>
    </row>
    <row r="12485" spans="1:14" ht="14.25" customHeight="1" x14ac:dyDescent="0.25">
      <c r="A12485" s="122" t="s">
        <v>593</v>
      </c>
      <c r="B12485" s="127">
        <v>1</v>
      </c>
      <c r="C12485" s="101">
        <v>32688</v>
      </c>
      <c r="D12485" s="101">
        <f t="shared" ref="D12485:D12486" si="612">+C12485*1.7</f>
        <v>55569.599999999999</v>
      </c>
      <c r="E12485" s="107">
        <v>4.8079000000000001</v>
      </c>
      <c r="F12485" s="106">
        <f t="shared" ref="F12485:F12486" si="613">+B12485*(D12485)/E12485</f>
        <v>11557.977495372199</v>
      </c>
      <c r="G12485" s="81"/>
      <c r="H12485" s="81"/>
      <c r="I12485" s="81"/>
      <c r="J12485" s="81"/>
      <c r="K12485" s="81"/>
      <c r="L12485" s="81"/>
      <c r="M12485" s="81"/>
      <c r="N12485" s="81"/>
    </row>
    <row r="12486" spans="1:14" ht="14.25" customHeight="1" x14ac:dyDescent="0.25">
      <c r="A12486" s="122" t="s">
        <v>594</v>
      </c>
      <c r="B12486" s="127">
        <v>1</v>
      </c>
      <c r="C12486" s="101">
        <v>52538</v>
      </c>
      <c r="D12486" s="101">
        <f t="shared" si="612"/>
        <v>89314.599999999991</v>
      </c>
      <c r="E12486" s="107">
        <f>E12485</f>
        <v>4.8079000000000001</v>
      </c>
      <c r="F12486" s="106">
        <f t="shared" si="613"/>
        <v>18576.634289398695</v>
      </c>
      <c r="G12486" s="81"/>
      <c r="H12486" s="81"/>
      <c r="I12486" s="81"/>
      <c r="J12486" s="81"/>
      <c r="K12486" s="81"/>
      <c r="L12486" s="81"/>
      <c r="M12486" s="81"/>
      <c r="N12486" s="81"/>
    </row>
    <row r="12487" spans="1:14" ht="14.25" customHeight="1" x14ac:dyDescent="0.25">
      <c r="A12487" s="122"/>
      <c r="B12487" s="127"/>
      <c r="C12487" s="101"/>
      <c r="D12487" s="101"/>
      <c r="E12487" s="105"/>
      <c r="F12487" s="106"/>
      <c r="G12487" s="81"/>
      <c r="H12487" s="143"/>
      <c r="I12487" s="81"/>
      <c r="J12487" s="81"/>
      <c r="K12487" s="81"/>
      <c r="L12487" s="81"/>
      <c r="M12487" s="81"/>
      <c r="N12487" s="81"/>
    </row>
    <row r="12488" spans="1:14" ht="14.25" customHeight="1" x14ac:dyDescent="0.25">
      <c r="A12488" s="122"/>
      <c r="B12488" s="127"/>
      <c r="C12488" s="101"/>
      <c r="D12488" s="101"/>
      <c r="E12488" s="125"/>
      <c r="F12488" s="106"/>
      <c r="G12488" s="81"/>
      <c r="H12488" s="81"/>
      <c r="I12488" s="81"/>
      <c r="J12488" s="81"/>
      <c r="K12488" s="81"/>
      <c r="L12488" s="81"/>
      <c r="M12488" s="81"/>
      <c r="N12488" s="81"/>
    </row>
    <row r="12489" spans="1:14" ht="14.25" customHeight="1" x14ac:dyDescent="0.25">
      <c r="A12489" s="97" t="s">
        <v>548</v>
      </c>
      <c r="B12489" s="128"/>
      <c r="C12489" s="110"/>
      <c r="D12489" s="110"/>
      <c r="E12489" s="110"/>
      <c r="F12489" s="112">
        <f>SUM(F12485:F12488)</f>
        <v>30134.611784770896</v>
      </c>
      <c r="G12489" s="81"/>
      <c r="H12489" s="81"/>
      <c r="I12489" s="81"/>
      <c r="J12489" s="81"/>
      <c r="K12489" s="81"/>
      <c r="L12489" s="81"/>
      <c r="M12489" s="81"/>
      <c r="N12489" s="81"/>
    </row>
    <row r="12490" spans="1:14" ht="14.25" customHeight="1" x14ac:dyDescent="0.25">
      <c r="A12490" s="96"/>
      <c r="B12490" s="129"/>
      <c r="C12490" s="118"/>
      <c r="D12490" s="118"/>
      <c r="E12490" s="118"/>
      <c r="F12490" s="118"/>
      <c r="G12490" s="81"/>
      <c r="H12490" s="81"/>
      <c r="I12490" s="81"/>
      <c r="J12490" s="81"/>
      <c r="K12490" s="81"/>
      <c r="L12490" s="81"/>
      <c r="M12490" s="81"/>
      <c r="N12490" s="81"/>
    </row>
    <row r="12491" spans="1:14" ht="14.25" customHeight="1" x14ac:dyDescent="0.25">
      <c r="A12491" s="95" t="s">
        <v>583</v>
      </c>
      <c r="B12491" s="96"/>
      <c r="C12491" s="92"/>
      <c r="D12491" s="92"/>
      <c r="E12491" s="92" t="s">
        <v>584</v>
      </c>
      <c r="F12491" s="92"/>
      <c r="G12491" s="81"/>
      <c r="H12491" s="81"/>
      <c r="I12491" s="81"/>
      <c r="J12491" s="81"/>
      <c r="K12491" s="81"/>
      <c r="L12491" s="81"/>
      <c r="M12491" s="81"/>
      <c r="N12491" s="81"/>
    </row>
    <row r="12492" spans="1:14" ht="14.25" customHeight="1" x14ac:dyDescent="0.25">
      <c r="A12492" s="97" t="s">
        <v>563</v>
      </c>
      <c r="B12492" s="98" t="s">
        <v>564</v>
      </c>
      <c r="C12492" s="98" t="s">
        <v>585</v>
      </c>
      <c r="D12492" s="98" t="s">
        <v>586</v>
      </c>
      <c r="E12492" s="120" t="s">
        <v>587</v>
      </c>
      <c r="F12492" s="98" t="s">
        <v>568</v>
      </c>
      <c r="G12492" s="81"/>
      <c r="H12492" s="81"/>
      <c r="I12492" s="81"/>
      <c r="J12492" s="81"/>
      <c r="K12492" s="81"/>
      <c r="L12492" s="81"/>
      <c r="M12492" s="81"/>
      <c r="N12492" s="81"/>
    </row>
    <row r="12493" spans="1:14" ht="14.25" customHeight="1" x14ac:dyDescent="0.25">
      <c r="A12493" s="103"/>
      <c r="B12493" s="100"/>
      <c r="C12493" s="101"/>
      <c r="D12493" s="140"/>
      <c r="E12493" s="107"/>
      <c r="F12493" s="109"/>
      <c r="G12493" s="81"/>
      <c r="H12493" s="81"/>
      <c r="I12493" s="81"/>
      <c r="J12493" s="81"/>
      <c r="K12493" s="81"/>
      <c r="L12493" s="81"/>
      <c r="M12493" s="81"/>
      <c r="N12493" s="81"/>
    </row>
    <row r="12494" spans="1:14" ht="14.25" customHeight="1" x14ac:dyDescent="0.25">
      <c r="A12494" s="103"/>
      <c r="B12494" s="100"/>
      <c r="C12494" s="107"/>
      <c r="D12494" s="107"/>
      <c r="E12494" s="108"/>
      <c r="F12494" s="109"/>
      <c r="G12494" s="81"/>
      <c r="H12494" s="81"/>
      <c r="I12494" s="81"/>
      <c r="J12494" s="81"/>
      <c r="K12494" s="81"/>
      <c r="L12494" s="81"/>
      <c r="M12494" s="81"/>
      <c r="N12494" s="81"/>
    </row>
    <row r="12495" spans="1:14" ht="14.25" customHeight="1" x14ac:dyDescent="0.25">
      <c r="A12495" s="97" t="s">
        <v>548</v>
      </c>
      <c r="B12495" s="98"/>
      <c r="C12495" s="110"/>
      <c r="D12495" s="110"/>
      <c r="E12495" s="111"/>
      <c r="F12495" s="112">
        <f>SUM(F12493:F12494)</f>
        <v>0</v>
      </c>
      <c r="G12495" s="81"/>
      <c r="H12495" s="81"/>
      <c r="I12495" s="81"/>
      <c r="J12495" s="81"/>
      <c r="K12495" s="81"/>
      <c r="L12495" s="81"/>
      <c r="M12495" s="81"/>
      <c r="N12495" s="81"/>
    </row>
    <row r="12496" spans="1:14" ht="14.25" customHeight="1" x14ac:dyDescent="0.25">
      <c r="A12496" s="88"/>
      <c r="B12496" s="89"/>
      <c r="C12496" s="113"/>
      <c r="D12496" s="113"/>
      <c r="E12496" s="114"/>
      <c r="F12496" s="113"/>
      <c r="G12496" s="81"/>
      <c r="H12496" s="81"/>
      <c r="I12496" s="81"/>
      <c r="J12496" s="81"/>
      <c r="K12496" s="81"/>
      <c r="L12496" s="81"/>
      <c r="M12496" s="81"/>
      <c r="N12496" s="81"/>
    </row>
    <row r="12497" spans="1:14" ht="14.25" customHeight="1" x14ac:dyDescent="0.25">
      <c r="A12497" s="88"/>
      <c r="B12497" s="89"/>
      <c r="C12497" s="113"/>
      <c r="D12497" s="113"/>
      <c r="E12497" s="114"/>
      <c r="F12497" s="113"/>
      <c r="G12497" s="81"/>
      <c r="H12497" s="81"/>
      <c r="I12497" s="81"/>
      <c r="J12497" s="81"/>
      <c r="K12497" s="81"/>
      <c r="L12497" s="81"/>
      <c r="M12497" s="81"/>
      <c r="N12497" s="81"/>
    </row>
    <row r="12498" spans="1:14" ht="14.25" customHeight="1" x14ac:dyDescent="0.25">
      <c r="A12498" s="612" t="s">
        <v>588</v>
      </c>
      <c r="B12498" s="608"/>
      <c r="C12498" s="608"/>
      <c r="D12498" s="608"/>
      <c r="E12498" s="609"/>
      <c r="F12498" s="131">
        <f>ROUND(F12468+F12481+F12489+F12495,0)</f>
        <v>129000</v>
      </c>
      <c r="G12498" s="81"/>
      <c r="H12498" s="81"/>
      <c r="I12498" s="81"/>
      <c r="J12498" s="81"/>
      <c r="K12498" s="81"/>
      <c r="L12498" s="81"/>
      <c r="M12498" s="81"/>
      <c r="N12498" s="81"/>
    </row>
    <row r="12499" spans="1:14" ht="14.25" customHeight="1" x14ac:dyDescent="0.25">
      <c r="A12499" s="612" t="s">
        <v>589</v>
      </c>
      <c r="B12499" s="608"/>
      <c r="C12499" s="608"/>
      <c r="D12499" s="608"/>
      <c r="E12499" s="609"/>
      <c r="F12499" s="132"/>
      <c r="G12499" s="81"/>
      <c r="H12499" s="81"/>
      <c r="I12499" s="81"/>
      <c r="J12499" s="81"/>
      <c r="K12499" s="81"/>
      <c r="L12499" s="81"/>
      <c r="M12499" s="81"/>
      <c r="N12499" s="81"/>
    </row>
    <row r="12500" spans="1:14" ht="14.25" customHeight="1" x14ac:dyDescent="0.25">
      <c r="A12500" s="146" t="s">
        <v>556</v>
      </c>
      <c r="B12500" s="147"/>
      <c r="C12500" s="147"/>
      <c r="D12500" s="147"/>
      <c r="E12500" s="148"/>
      <c r="F12500" s="133"/>
      <c r="G12500" s="81"/>
      <c r="H12500" s="81"/>
      <c r="I12500" s="81"/>
      <c r="J12500" s="81"/>
      <c r="K12500" s="81"/>
      <c r="L12500" s="81"/>
      <c r="M12500" s="81"/>
      <c r="N12500" s="81"/>
    </row>
    <row r="12501" spans="1:14" ht="28.5" customHeight="1" x14ac:dyDescent="0.25">
      <c r="A12501" s="134"/>
      <c r="B12501" s="135"/>
      <c r="C12501" s="135"/>
      <c r="D12501" s="135"/>
      <c r="E12501" s="135"/>
      <c r="F12501" s="136"/>
      <c r="G12501" s="81"/>
      <c r="H12501" s="81"/>
      <c r="I12501" s="81"/>
      <c r="J12501" s="81"/>
      <c r="K12501" s="81"/>
      <c r="L12501" s="81"/>
      <c r="M12501" s="81"/>
      <c r="N12501" s="81"/>
    </row>
    <row r="12502" spans="1:14" ht="14.25" customHeight="1" x14ac:dyDescent="0.25">
      <c r="A12502" s="81"/>
      <c r="B12502" s="81"/>
      <c r="C12502" s="137"/>
      <c r="D12502" s="81"/>
      <c r="E12502" s="81"/>
      <c r="F12502" s="81"/>
      <c r="G12502" s="81"/>
      <c r="H12502" s="81"/>
      <c r="I12502" s="81"/>
      <c r="J12502" s="81"/>
      <c r="K12502" s="81"/>
      <c r="L12502" s="81"/>
      <c r="M12502" s="81"/>
      <c r="N12502" s="81"/>
    </row>
    <row r="12503" spans="1:14" ht="14.25" customHeight="1" x14ac:dyDescent="0.25">
      <c r="A12503" s="81"/>
      <c r="B12503" s="81"/>
      <c r="C12503" s="137"/>
      <c r="D12503" s="81"/>
      <c r="E12503" s="81"/>
      <c r="F12503" s="81"/>
      <c r="G12503" s="81"/>
      <c r="H12503" s="81"/>
      <c r="I12503" s="81"/>
      <c r="J12503" s="81"/>
      <c r="K12503" s="81"/>
      <c r="L12503" s="81"/>
      <c r="M12503" s="81"/>
      <c r="N12503" s="81"/>
    </row>
    <row r="12504" spans="1:14" ht="14.25" customHeight="1" x14ac:dyDescent="0.25">
      <c r="A12504" s="81"/>
      <c r="B12504" s="81"/>
      <c r="C12504" s="137"/>
      <c r="D12504" s="81"/>
      <c r="E12504" s="81"/>
      <c r="F12504" s="81"/>
      <c r="G12504" s="81"/>
      <c r="H12504" s="81"/>
      <c r="I12504" s="81"/>
      <c r="J12504" s="81"/>
      <c r="K12504" s="81"/>
      <c r="L12504" s="81"/>
      <c r="M12504" s="81"/>
      <c r="N12504" s="81"/>
    </row>
    <row r="12505" spans="1:14" ht="14.25" customHeight="1" x14ac:dyDescent="0.25">
      <c r="A12505" s="81"/>
      <c r="B12505" s="81"/>
      <c r="C12505" s="137"/>
      <c r="D12505" s="81"/>
      <c r="E12505" s="81"/>
      <c r="F12505" s="81"/>
      <c r="G12505" s="81"/>
      <c r="H12505" s="81"/>
      <c r="I12505" s="81"/>
      <c r="J12505" s="81"/>
      <c r="K12505" s="81"/>
      <c r="L12505" s="81"/>
      <c r="M12505" s="81"/>
      <c r="N12505" s="81"/>
    </row>
    <row r="12506" spans="1:14" ht="14.25" customHeight="1" x14ac:dyDescent="0.25">
      <c r="A12506" s="134"/>
      <c r="B12506" s="135"/>
      <c r="C12506" s="135"/>
      <c r="D12506" s="135"/>
      <c r="E12506" s="135"/>
      <c r="F12506" s="136"/>
      <c r="G12506" s="81"/>
      <c r="H12506" s="81"/>
      <c r="I12506" s="81"/>
      <c r="J12506" s="81"/>
      <c r="K12506" s="81"/>
      <c r="L12506" s="81"/>
      <c r="M12506" s="81"/>
      <c r="N12506" s="81"/>
    </row>
    <row r="12507" spans="1:14" ht="15.75" x14ac:dyDescent="0.25">
      <c r="A12507" s="134"/>
      <c r="B12507" s="135"/>
      <c r="C12507" s="135"/>
      <c r="D12507" s="135"/>
      <c r="E12507" s="135"/>
      <c r="F12507" s="136"/>
      <c r="G12507" s="81"/>
      <c r="H12507" s="81"/>
      <c r="I12507" s="81"/>
      <c r="J12507" s="81"/>
      <c r="K12507" s="81"/>
      <c r="L12507" s="81"/>
      <c r="M12507" s="81"/>
      <c r="N12507" s="81"/>
    </row>
    <row r="12508" spans="1:14" ht="15.75" x14ac:dyDescent="0.25">
      <c r="A12508" s="134"/>
      <c r="B12508" s="135"/>
      <c r="C12508" s="135"/>
      <c r="D12508" s="135"/>
      <c r="E12508" s="135"/>
      <c r="F12508" s="135"/>
      <c r="G12508" s="81"/>
      <c r="H12508" s="81"/>
      <c r="I12508" s="81"/>
      <c r="J12508" s="81"/>
      <c r="K12508" s="81"/>
      <c r="L12508" s="81"/>
      <c r="M12508" s="81"/>
      <c r="N12508" s="81"/>
    </row>
    <row r="12509" spans="1:14" s="168" customFormat="1" ht="16.5" thickBot="1" x14ac:dyDescent="0.3">
      <c r="A12509" s="81"/>
      <c r="B12509" s="81"/>
      <c r="C12509" s="81"/>
      <c r="D12509" s="81"/>
      <c r="E12509" s="81"/>
      <c r="F12509" s="81"/>
      <c r="G12509" s="243"/>
      <c r="H12509" s="243"/>
      <c r="I12509" s="243"/>
      <c r="J12509" s="243"/>
      <c r="K12509" s="243"/>
      <c r="L12509" s="243"/>
      <c r="M12509" s="243"/>
      <c r="N12509" s="243"/>
    </row>
    <row r="12510" spans="1:14" s="168" customFormat="1" ht="15.75" x14ac:dyDescent="0.25">
      <c r="A12510" s="83"/>
      <c r="B12510" s="84"/>
      <c r="C12510" s="85"/>
      <c r="D12510" s="86"/>
      <c r="E12510" s="86"/>
      <c r="F12510" s="87"/>
      <c r="G12510" s="243"/>
      <c r="H12510" s="243"/>
      <c r="I12510" s="243"/>
      <c r="J12510" s="243"/>
      <c r="K12510" s="243"/>
      <c r="L12510" s="243"/>
      <c r="M12510" s="243"/>
      <c r="N12510" s="243"/>
    </row>
    <row r="12511" spans="1:14" ht="14.25" customHeight="1" x14ac:dyDescent="0.25">
      <c r="A12511" s="599"/>
      <c r="B12511" s="600"/>
      <c r="C12511" s="600"/>
      <c r="D12511" s="600"/>
      <c r="E12511" s="600"/>
      <c r="F12511" s="601"/>
      <c r="G12511" s="81"/>
      <c r="H12511" s="81"/>
      <c r="I12511" s="81"/>
      <c r="J12511" s="81"/>
      <c r="K12511" s="81"/>
      <c r="L12511" s="81"/>
      <c r="M12511" s="81"/>
      <c r="N12511" s="81"/>
    </row>
    <row r="12512" spans="1:14" ht="14.25" customHeight="1" x14ac:dyDescent="0.25">
      <c r="A12512" s="602" t="s">
        <v>561</v>
      </c>
      <c r="B12512" s="600"/>
      <c r="C12512" s="600"/>
      <c r="D12512" s="600"/>
      <c r="E12512" s="600"/>
      <c r="F12512" s="601"/>
      <c r="G12512" s="81"/>
      <c r="H12512" s="81"/>
      <c r="I12512" s="81"/>
      <c r="J12512" s="81"/>
      <c r="K12512" s="81"/>
      <c r="L12512" s="81"/>
      <c r="M12512" s="81"/>
      <c r="N12512" s="81"/>
    </row>
    <row r="12513" spans="1:14" ht="14.25" customHeight="1" thickBot="1" x14ac:dyDescent="0.3">
      <c r="A12513" s="603"/>
      <c r="B12513" s="604"/>
      <c r="C12513" s="604"/>
      <c r="D12513" s="604"/>
      <c r="E12513" s="604"/>
      <c r="F12513" s="605"/>
      <c r="G12513" s="81"/>
      <c r="H12513" s="81"/>
      <c r="I12513" s="81"/>
      <c r="J12513" s="81"/>
      <c r="K12513" s="81"/>
      <c r="L12513" s="81"/>
      <c r="M12513" s="81"/>
      <c r="N12513" s="81"/>
    </row>
    <row r="12514" spans="1:14" ht="14.25" customHeight="1" x14ac:dyDescent="0.25">
      <c r="A12514" s="88"/>
      <c r="B12514" s="88"/>
      <c r="C12514" s="89"/>
      <c r="D12514" s="89"/>
      <c r="E12514" s="89"/>
      <c r="F12514" s="89"/>
      <c r="G12514" s="81"/>
      <c r="H12514" s="81"/>
      <c r="I12514" s="81"/>
      <c r="J12514" s="81"/>
      <c r="K12514" s="81"/>
      <c r="L12514" s="81"/>
      <c r="M12514" s="81"/>
      <c r="N12514" s="81"/>
    </row>
    <row r="12515" spans="1:14" ht="14.25" customHeight="1" x14ac:dyDescent="0.25">
      <c r="A12515" s="90" t="s">
        <v>47</v>
      </c>
      <c r="B12515" s="613" t="s">
        <v>437</v>
      </c>
      <c r="C12515" s="600"/>
      <c r="D12515" s="600"/>
      <c r="E12515" s="600"/>
      <c r="F12515" s="600"/>
      <c r="G12515" s="81"/>
      <c r="H12515" s="81"/>
      <c r="I12515" s="81"/>
      <c r="J12515" s="81"/>
      <c r="K12515" s="81"/>
      <c r="L12515" s="81"/>
      <c r="M12515" s="81"/>
      <c r="N12515" s="81"/>
    </row>
    <row r="12516" spans="1:14" ht="14.25" customHeight="1" x14ac:dyDescent="0.25">
      <c r="A12516" s="91"/>
      <c r="B12516" s="91"/>
      <c r="C12516" s="91"/>
      <c r="D12516" s="91"/>
      <c r="E12516" s="91"/>
      <c r="F12516" s="91"/>
      <c r="G12516" s="81"/>
      <c r="H12516" s="81"/>
      <c r="I12516" s="81"/>
      <c r="J12516" s="81"/>
      <c r="K12516" s="81"/>
      <c r="L12516" s="81"/>
      <c r="M12516" s="81"/>
      <c r="N12516" s="81"/>
    </row>
    <row r="12517" spans="1:14" ht="14.25" customHeight="1" x14ac:dyDescent="0.25">
      <c r="A12517" s="88" t="s">
        <v>49</v>
      </c>
      <c r="B12517" s="92" t="s">
        <v>99</v>
      </c>
      <c r="C12517" s="89"/>
      <c r="D12517" s="89"/>
      <c r="E12517" s="89"/>
      <c r="F12517" s="93"/>
      <c r="G12517" s="81"/>
      <c r="H12517" s="81"/>
      <c r="I12517" s="81"/>
      <c r="J12517" s="81"/>
      <c r="K12517" s="81"/>
      <c r="L12517" s="81"/>
      <c r="M12517" s="81"/>
      <c r="N12517" s="81"/>
    </row>
    <row r="12518" spans="1:14" ht="14.25" customHeight="1" x14ac:dyDescent="0.25">
      <c r="A12518" s="88"/>
      <c r="B12518" s="94"/>
      <c r="C12518" s="89"/>
      <c r="D12518" s="89"/>
      <c r="E12518" s="89"/>
      <c r="F12518" s="93"/>
      <c r="G12518" s="81"/>
      <c r="H12518" s="81"/>
      <c r="I12518" s="81"/>
      <c r="J12518" s="81"/>
      <c r="K12518" s="81"/>
      <c r="L12518" s="81"/>
      <c r="M12518" s="81"/>
      <c r="N12518" s="81"/>
    </row>
    <row r="12519" spans="1:14" ht="14.25" customHeight="1" x14ac:dyDescent="0.25">
      <c r="A12519" s="95" t="s">
        <v>562</v>
      </c>
      <c r="B12519" s="96"/>
      <c r="C12519" s="92"/>
      <c r="D12519" s="92"/>
      <c r="E12519" s="92"/>
      <c r="F12519" s="92"/>
      <c r="G12519" s="81"/>
      <c r="H12519" s="81"/>
      <c r="I12519" s="81"/>
      <c r="J12519" s="81"/>
      <c r="K12519" s="81"/>
      <c r="L12519" s="81"/>
      <c r="M12519" s="81"/>
      <c r="N12519" s="81"/>
    </row>
    <row r="12520" spans="1:14" ht="14.25" customHeight="1" x14ac:dyDescent="0.25">
      <c r="A12520" s="97" t="s">
        <v>563</v>
      </c>
      <c r="B12520" s="98" t="s">
        <v>564</v>
      </c>
      <c r="C12520" s="98" t="s">
        <v>565</v>
      </c>
      <c r="D12520" s="98" t="s">
        <v>566</v>
      </c>
      <c r="E12520" s="98" t="s">
        <v>567</v>
      </c>
      <c r="F12520" s="98" t="s">
        <v>568</v>
      </c>
      <c r="G12520" s="81"/>
      <c r="H12520" s="81"/>
      <c r="I12520" s="81"/>
      <c r="J12520" s="81"/>
      <c r="K12520" s="81"/>
      <c r="L12520" s="81"/>
      <c r="M12520" s="81"/>
      <c r="N12520" s="81"/>
    </row>
    <row r="12521" spans="1:14" ht="14.25" customHeight="1" x14ac:dyDescent="0.25">
      <c r="A12521" s="99" t="s">
        <v>868</v>
      </c>
      <c r="B12521" s="100" t="s">
        <v>99</v>
      </c>
      <c r="C12521" s="101">
        <v>34200</v>
      </c>
      <c r="D12521" s="149">
        <v>1</v>
      </c>
      <c r="E12521" s="102"/>
      <c r="F12521" s="101">
        <f t="shared" ref="F12521:F12524" si="614">C12521*(D12521+(D12521*E12521))</f>
        <v>34200</v>
      </c>
      <c r="G12521" s="81"/>
      <c r="H12521" s="81"/>
      <c r="I12521" s="81"/>
      <c r="J12521" s="81"/>
      <c r="K12521" s="81"/>
      <c r="L12521" s="81"/>
      <c r="M12521" s="81"/>
      <c r="N12521" s="81"/>
    </row>
    <row r="12522" spans="1:14" ht="14.25" customHeight="1" x14ac:dyDescent="0.25">
      <c r="A12522" s="99"/>
      <c r="B12522" s="100"/>
      <c r="C12522" s="101"/>
      <c r="D12522" s="149"/>
      <c r="E12522" s="102"/>
      <c r="F12522" s="101">
        <f t="shared" si="614"/>
        <v>0</v>
      </c>
      <c r="G12522" s="81"/>
      <c r="H12522" s="81"/>
      <c r="I12522" s="81"/>
      <c r="J12522" s="81"/>
      <c r="K12522" s="81"/>
      <c r="L12522" s="81"/>
      <c r="M12522" s="81"/>
      <c r="N12522" s="81"/>
    </row>
    <row r="12523" spans="1:14" ht="14.25" customHeight="1" x14ac:dyDescent="0.25">
      <c r="A12523" s="99"/>
      <c r="B12523" s="100"/>
      <c r="C12523" s="101"/>
      <c r="D12523" s="149"/>
      <c r="E12523" s="102"/>
      <c r="F12523" s="101">
        <f t="shared" si="614"/>
        <v>0</v>
      </c>
      <c r="G12523" s="81"/>
      <c r="H12523" s="81"/>
      <c r="I12523" s="81"/>
      <c r="J12523" s="81"/>
      <c r="K12523" s="81"/>
      <c r="L12523" s="81"/>
      <c r="M12523" s="81"/>
      <c r="N12523" s="81"/>
    </row>
    <row r="12524" spans="1:14" ht="14.25" customHeight="1" x14ac:dyDescent="0.25">
      <c r="A12524" s="99"/>
      <c r="B12524" s="100"/>
      <c r="C12524" s="101"/>
      <c r="D12524" s="149"/>
      <c r="E12524" s="102"/>
      <c r="F12524" s="101">
        <f t="shared" si="614"/>
        <v>0</v>
      </c>
      <c r="G12524" s="81"/>
      <c r="H12524" s="81"/>
      <c r="I12524" s="81"/>
      <c r="J12524" s="81"/>
      <c r="K12524" s="81"/>
      <c r="L12524" s="81"/>
      <c r="M12524" s="81"/>
      <c r="N12524" s="81"/>
    </row>
    <row r="12525" spans="1:14" s="168" customFormat="1" ht="15.75" x14ac:dyDescent="0.25">
      <c r="A12525" s="99"/>
      <c r="B12525" s="100"/>
      <c r="C12525" s="101"/>
      <c r="D12525" s="149"/>
      <c r="E12525" s="102"/>
      <c r="F12525" s="101"/>
      <c r="G12525" s="243"/>
      <c r="H12525" s="243"/>
      <c r="I12525" s="243"/>
      <c r="J12525" s="243"/>
      <c r="K12525" s="243"/>
      <c r="L12525" s="243"/>
      <c r="M12525" s="243"/>
      <c r="N12525" s="243"/>
    </row>
    <row r="12526" spans="1:14" s="168" customFormat="1" ht="15.75" x14ac:dyDescent="0.25">
      <c r="A12526" s="99"/>
      <c r="B12526" s="100"/>
      <c r="C12526" s="101"/>
      <c r="D12526" s="149"/>
      <c r="E12526" s="102"/>
      <c r="F12526" s="101"/>
      <c r="G12526" s="243"/>
      <c r="H12526" s="243"/>
      <c r="I12526" s="243"/>
      <c r="J12526" s="243"/>
      <c r="K12526" s="243"/>
      <c r="L12526" s="243"/>
      <c r="M12526" s="243"/>
      <c r="N12526" s="243"/>
    </row>
    <row r="12527" spans="1:14" s="168" customFormat="1" ht="15.75" x14ac:dyDescent="0.25">
      <c r="A12527" s="99"/>
      <c r="B12527" s="100"/>
      <c r="C12527" s="101"/>
      <c r="D12527" s="149"/>
      <c r="E12527" s="102"/>
      <c r="F12527" s="101"/>
      <c r="G12527" s="243"/>
      <c r="H12527" s="251"/>
      <c r="I12527" s="251"/>
      <c r="J12527" s="252"/>
      <c r="K12527" s="243"/>
      <c r="L12527" s="243"/>
      <c r="M12527" s="243"/>
      <c r="N12527" s="243"/>
    </row>
    <row r="12528" spans="1:14" ht="14.25" customHeight="1" x14ac:dyDescent="0.25">
      <c r="A12528" s="99"/>
      <c r="B12528" s="100"/>
      <c r="C12528" s="106"/>
      <c r="D12528" s="107"/>
      <c r="E12528" s="108"/>
      <c r="F12528" s="106"/>
      <c r="G12528" s="81"/>
      <c r="H12528" s="81"/>
      <c r="I12528" s="81"/>
      <c r="J12528" s="81"/>
      <c r="K12528" s="81"/>
      <c r="L12528" s="81"/>
      <c r="M12528" s="81"/>
      <c r="N12528" s="81"/>
    </row>
    <row r="12529" spans="1:14" ht="14.25" customHeight="1" x14ac:dyDescent="0.25">
      <c r="A12529" s="97" t="s">
        <v>548</v>
      </c>
      <c r="B12529" s="97"/>
      <c r="C12529" s="109"/>
      <c r="D12529" s="110"/>
      <c r="E12529" s="111"/>
      <c r="F12529" s="112">
        <f>SUM(F12521:F12528)</f>
        <v>34200</v>
      </c>
      <c r="G12529" s="81"/>
      <c r="H12529" s="81"/>
      <c r="I12529" s="81"/>
      <c r="J12529" s="81"/>
      <c r="K12529" s="81"/>
      <c r="L12529" s="81"/>
      <c r="M12529" s="81"/>
      <c r="N12529" s="81"/>
    </row>
    <row r="12530" spans="1:14" ht="14.25" customHeight="1" x14ac:dyDescent="0.25">
      <c r="A12530" s="88"/>
      <c r="B12530" s="88"/>
      <c r="C12530" s="113"/>
      <c r="D12530" s="113"/>
      <c r="E12530" s="114"/>
      <c r="F12530" s="113"/>
      <c r="G12530" s="81"/>
      <c r="H12530" s="81"/>
      <c r="I12530" s="81"/>
      <c r="J12530" s="81"/>
      <c r="K12530" s="81"/>
      <c r="L12530" s="81"/>
      <c r="M12530" s="81"/>
      <c r="N12530" s="81"/>
    </row>
    <row r="12531" spans="1:14" ht="14.25" customHeight="1" x14ac:dyDescent="0.25">
      <c r="A12531" s="96" t="s">
        <v>573</v>
      </c>
      <c r="B12531" s="96"/>
      <c r="C12531" s="92"/>
      <c r="D12531" s="92"/>
      <c r="E12531" s="92"/>
      <c r="F12531" s="92"/>
      <c r="G12531" s="81"/>
      <c r="H12531" s="81"/>
      <c r="I12531" s="81"/>
      <c r="J12531" s="81"/>
      <c r="K12531" s="81"/>
      <c r="L12531" s="81"/>
      <c r="M12531" s="81"/>
      <c r="N12531" s="81"/>
    </row>
    <row r="12532" spans="1:14" ht="14.25" customHeight="1" x14ac:dyDescent="0.25">
      <c r="A12532" s="611" t="s">
        <v>563</v>
      </c>
      <c r="B12532" s="608"/>
      <c r="C12532" s="609"/>
      <c r="D12532" s="98" t="s">
        <v>574</v>
      </c>
      <c r="E12532" s="98" t="s">
        <v>575</v>
      </c>
      <c r="F12532" s="98" t="s">
        <v>568</v>
      </c>
      <c r="G12532" s="81"/>
      <c r="H12532" s="81"/>
      <c r="I12532" s="81"/>
      <c r="J12532" s="81"/>
      <c r="K12532" s="81"/>
      <c r="L12532" s="81"/>
      <c r="M12532" s="81"/>
      <c r="N12532" s="81"/>
    </row>
    <row r="12533" spans="1:14" ht="14.25" customHeight="1" x14ac:dyDescent="0.25">
      <c r="A12533" s="607" t="s">
        <v>577</v>
      </c>
      <c r="B12533" s="608"/>
      <c r="C12533" s="609"/>
      <c r="D12533" s="116"/>
      <c r="E12533" s="107"/>
      <c r="F12533" s="106">
        <f>+F12550*5%</f>
        <v>378.09029227557409</v>
      </c>
      <c r="G12533" s="81"/>
      <c r="H12533" s="81"/>
      <c r="I12533" s="81"/>
      <c r="J12533" s="81"/>
      <c r="K12533" s="81"/>
      <c r="L12533" s="81"/>
      <c r="M12533" s="81"/>
      <c r="N12533" s="81"/>
    </row>
    <row r="12534" spans="1:14" ht="14.25" customHeight="1" x14ac:dyDescent="0.25">
      <c r="A12534" s="607"/>
      <c r="B12534" s="608"/>
      <c r="C12534" s="609"/>
      <c r="D12534" s="142"/>
      <c r="E12534" s="105"/>
      <c r="F12534" s="106"/>
      <c r="G12534" s="81"/>
      <c r="H12534" s="81"/>
      <c r="I12534" s="81"/>
      <c r="J12534" s="81"/>
      <c r="K12534" s="81"/>
      <c r="L12534" s="81"/>
      <c r="M12534" s="81"/>
      <c r="N12534" s="81"/>
    </row>
    <row r="12535" spans="1:14" ht="14.25" customHeight="1" x14ac:dyDescent="0.25">
      <c r="A12535" s="607"/>
      <c r="B12535" s="608"/>
      <c r="C12535" s="609"/>
      <c r="D12535" s="142"/>
      <c r="E12535" s="105"/>
      <c r="F12535" s="106"/>
      <c r="G12535" s="81"/>
      <c r="H12535" s="81"/>
      <c r="I12535" s="81"/>
      <c r="J12535" s="81"/>
      <c r="K12535" s="81"/>
      <c r="L12535" s="81"/>
      <c r="M12535" s="81"/>
      <c r="N12535" s="81"/>
    </row>
    <row r="12536" spans="1:14" ht="14.25" customHeight="1" x14ac:dyDescent="0.25">
      <c r="A12536" s="607"/>
      <c r="B12536" s="608"/>
      <c r="C12536" s="609"/>
      <c r="D12536" s="142"/>
      <c r="E12536" s="107"/>
      <c r="F12536" s="106"/>
      <c r="G12536" s="81"/>
      <c r="H12536" s="81"/>
      <c r="I12536" s="81"/>
      <c r="J12536" s="81"/>
      <c r="K12536" s="81"/>
      <c r="L12536" s="81"/>
      <c r="M12536" s="81"/>
      <c r="N12536" s="81"/>
    </row>
    <row r="12537" spans="1:14" ht="14.25" customHeight="1" x14ac:dyDescent="0.25">
      <c r="A12537" s="607"/>
      <c r="B12537" s="608"/>
      <c r="C12537" s="609"/>
      <c r="D12537" s="142"/>
      <c r="E12537" s="107"/>
      <c r="F12537" s="106"/>
      <c r="G12537" s="81"/>
      <c r="H12537" s="81"/>
      <c r="I12537" s="81"/>
      <c r="J12537" s="81"/>
      <c r="K12537" s="81"/>
      <c r="L12537" s="81"/>
      <c r="M12537" s="81"/>
      <c r="N12537" s="81"/>
    </row>
    <row r="12538" spans="1:14" ht="14.25" customHeight="1" x14ac:dyDescent="0.25">
      <c r="A12538" s="607"/>
      <c r="B12538" s="608"/>
      <c r="C12538" s="609"/>
      <c r="D12538" s="142"/>
      <c r="E12538" s="107"/>
      <c r="F12538" s="106"/>
      <c r="G12538" s="81"/>
      <c r="H12538" s="81"/>
      <c r="I12538" s="81"/>
      <c r="J12538" s="81"/>
      <c r="K12538" s="81"/>
      <c r="L12538" s="81"/>
      <c r="M12538" s="81"/>
      <c r="N12538" s="81"/>
    </row>
    <row r="12539" spans="1:14" ht="14.25" customHeight="1" x14ac:dyDescent="0.25">
      <c r="A12539" s="607"/>
      <c r="B12539" s="608"/>
      <c r="C12539" s="609"/>
      <c r="D12539" s="142"/>
      <c r="E12539" s="107"/>
      <c r="F12539" s="106"/>
      <c r="G12539" s="81"/>
      <c r="H12539" s="81"/>
      <c r="I12539" s="81"/>
      <c r="J12539" s="81"/>
      <c r="K12539" s="81"/>
      <c r="L12539" s="81"/>
      <c r="M12539" s="81"/>
      <c r="N12539" s="81"/>
    </row>
    <row r="12540" spans="1:14" ht="14.25" customHeight="1" x14ac:dyDescent="0.25">
      <c r="A12540" s="607"/>
      <c r="B12540" s="608"/>
      <c r="C12540" s="609"/>
      <c r="D12540" s="142"/>
      <c r="E12540" s="107"/>
      <c r="F12540" s="106"/>
      <c r="G12540" s="81"/>
      <c r="H12540" s="81"/>
      <c r="I12540" s="81"/>
      <c r="J12540" s="81"/>
      <c r="K12540" s="81"/>
      <c r="L12540" s="81"/>
      <c r="M12540" s="81"/>
      <c r="N12540" s="81"/>
    </row>
    <row r="12541" spans="1:14" ht="14.25" customHeight="1" x14ac:dyDescent="0.25">
      <c r="A12541" s="610"/>
      <c r="B12541" s="608"/>
      <c r="C12541" s="609"/>
      <c r="D12541" s="115"/>
      <c r="E12541" s="107"/>
      <c r="F12541" s="106"/>
      <c r="G12541" s="81"/>
      <c r="H12541" s="81"/>
      <c r="I12541" s="81"/>
      <c r="J12541" s="81"/>
      <c r="K12541" s="81"/>
      <c r="L12541" s="81"/>
      <c r="M12541" s="81"/>
      <c r="N12541" s="81"/>
    </row>
    <row r="12542" spans="1:14" ht="14.25" customHeight="1" x14ac:dyDescent="0.25">
      <c r="A12542" s="611" t="s">
        <v>548</v>
      </c>
      <c r="B12542" s="608"/>
      <c r="C12542" s="609"/>
      <c r="D12542" s="110"/>
      <c r="E12542" s="110"/>
      <c r="F12542" s="112">
        <f>SUM(F12533:F12540)</f>
        <v>378.09029227557409</v>
      </c>
      <c r="G12542" s="81"/>
      <c r="H12542" s="81"/>
      <c r="I12542" s="81"/>
      <c r="J12542" s="81"/>
      <c r="K12542" s="81"/>
      <c r="L12542" s="81"/>
      <c r="M12542" s="81"/>
      <c r="N12542" s="81"/>
    </row>
    <row r="12543" spans="1:14" ht="14.25" customHeight="1" x14ac:dyDescent="0.25">
      <c r="A12543" s="88"/>
      <c r="B12543" s="88"/>
      <c r="C12543" s="89"/>
      <c r="D12543" s="113"/>
      <c r="E12543" s="113"/>
      <c r="F12543" s="113"/>
      <c r="G12543" s="81"/>
      <c r="H12543" s="81"/>
      <c r="I12543" s="81"/>
      <c r="J12543" s="81"/>
      <c r="K12543" s="81"/>
      <c r="L12543" s="81"/>
      <c r="M12543" s="81"/>
      <c r="N12543" s="81"/>
    </row>
    <row r="12544" spans="1:14" ht="14.25" customHeight="1" x14ac:dyDescent="0.25">
      <c r="A12544" s="96" t="s">
        <v>578</v>
      </c>
      <c r="B12544" s="96"/>
      <c r="C12544" s="92"/>
      <c r="D12544" s="118"/>
      <c r="E12544" s="118"/>
      <c r="F12544" s="118"/>
      <c r="G12544" s="81"/>
      <c r="H12544" s="81"/>
      <c r="I12544" s="81"/>
      <c r="J12544" s="81"/>
      <c r="K12544" s="81"/>
      <c r="L12544" s="81"/>
      <c r="M12544" s="81"/>
      <c r="N12544" s="81"/>
    </row>
    <row r="12545" spans="1:14" ht="14.25" customHeight="1" x14ac:dyDescent="0.25">
      <c r="A12545" s="119" t="s">
        <v>563</v>
      </c>
      <c r="B12545" s="120" t="s">
        <v>579</v>
      </c>
      <c r="C12545" s="120" t="s">
        <v>580</v>
      </c>
      <c r="D12545" s="121" t="s">
        <v>581</v>
      </c>
      <c r="E12545" s="121" t="s">
        <v>575</v>
      </c>
      <c r="F12545" s="121" t="s">
        <v>568</v>
      </c>
      <c r="G12545" s="81"/>
      <c r="H12545" s="81"/>
      <c r="I12545" s="81"/>
      <c r="J12545" s="81"/>
      <c r="K12545" s="81"/>
      <c r="L12545" s="81"/>
      <c r="M12545" s="81"/>
      <c r="N12545" s="81"/>
    </row>
    <row r="12546" spans="1:14" ht="14.25" customHeight="1" x14ac:dyDescent="0.25">
      <c r="A12546" s="122" t="s">
        <v>593</v>
      </c>
      <c r="B12546" s="127">
        <v>1</v>
      </c>
      <c r="C12546" s="101">
        <v>32688</v>
      </c>
      <c r="D12546" s="101">
        <f t="shared" ref="D12546:D12547" si="615">+C12546*1.7</f>
        <v>55569.599999999999</v>
      </c>
      <c r="E12546" s="107">
        <v>19.16</v>
      </c>
      <c r="F12546" s="106">
        <f t="shared" ref="F12546:F12547" si="616">+B12546*(D12546)/E12546</f>
        <v>2900.2922755741129</v>
      </c>
      <c r="G12546" s="81"/>
      <c r="H12546" s="81"/>
      <c r="I12546" s="81"/>
      <c r="J12546" s="81"/>
      <c r="K12546" s="81"/>
      <c r="L12546" s="81"/>
      <c r="M12546" s="81"/>
      <c r="N12546" s="81"/>
    </row>
    <row r="12547" spans="1:14" ht="14.25" customHeight="1" x14ac:dyDescent="0.25">
      <c r="A12547" s="122" t="s">
        <v>594</v>
      </c>
      <c r="B12547" s="127">
        <v>1</v>
      </c>
      <c r="C12547" s="101">
        <v>52538</v>
      </c>
      <c r="D12547" s="101">
        <f t="shared" si="615"/>
        <v>89314.599999999991</v>
      </c>
      <c r="E12547" s="107">
        <f>E12546</f>
        <v>19.16</v>
      </c>
      <c r="F12547" s="106">
        <f t="shared" si="616"/>
        <v>4661.5135699373686</v>
      </c>
      <c r="G12547" s="81"/>
      <c r="H12547" s="81"/>
      <c r="I12547" s="81"/>
      <c r="J12547" s="81"/>
      <c r="K12547" s="81"/>
      <c r="L12547" s="81"/>
      <c r="M12547" s="81"/>
      <c r="N12547" s="81"/>
    </row>
    <row r="12548" spans="1:14" ht="14.25" customHeight="1" x14ac:dyDescent="0.25">
      <c r="A12548" s="122"/>
      <c r="B12548" s="127"/>
      <c r="C12548" s="101"/>
      <c r="D12548" s="101"/>
      <c r="E12548" s="105"/>
      <c r="F12548" s="106"/>
      <c r="G12548" s="81"/>
      <c r="H12548" s="81"/>
      <c r="I12548" s="81"/>
      <c r="J12548" s="81"/>
      <c r="K12548" s="81"/>
      <c r="L12548" s="81"/>
      <c r="M12548" s="81"/>
      <c r="N12548" s="81"/>
    </row>
    <row r="12549" spans="1:14" ht="14.25" customHeight="1" x14ac:dyDescent="0.25">
      <c r="A12549" s="122"/>
      <c r="B12549" s="127"/>
      <c r="C12549" s="101"/>
      <c r="D12549" s="101"/>
      <c r="E12549" s="125"/>
      <c r="F12549" s="106"/>
      <c r="G12549" s="81"/>
      <c r="H12549" s="81"/>
      <c r="I12549" s="81"/>
      <c r="J12549" s="81"/>
      <c r="K12549" s="81"/>
      <c r="L12549" s="81"/>
      <c r="M12549" s="81"/>
      <c r="N12549" s="81"/>
    </row>
    <row r="12550" spans="1:14" ht="14.25" customHeight="1" x14ac:dyDescent="0.25">
      <c r="A12550" s="97" t="s">
        <v>548</v>
      </c>
      <c r="B12550" s="128"/>
      <c r="C12550" s="110"/>
      <c r="D12550" s="110"/>
      <c r="E12550" s="110"/>
      <c r="F12550" s="112">
        <f>SUM(F12546:F12549)</f>
        <v>7561.8058455114815</v>
      </c>
      <c r="G12550" s="81"/>
      <c r="H12550" s="81"/>
      <c r="I12550" s="81"/>
      <c r="J12550" s="81"/>
      <c r="K12550" s="81"/>
      <c r="L12550" s="81"/>
      <c r="M12550" s="81"/>
      <c r="N12550" s="81"/>
    </row>
    <row r="12551" spans="1:14" ht="14.25" customHeight="1" x14ac:dyDescent="0.25">
      <c r="A12551" s="96"/>
      <c r="B12551" s="129"/>
      <c r="C12551" s="118"/>
      <c r="D12551" s="118"/>
      <c r="E12551" s="118"/>
      <c r="F12551" s="118"/>
      <c r="G12551" s="81"/>
      <c r="H12551" s="81"/>
      <c r="I12551" s="81"/>
      <c r="J12551" s="81"/>
      <c r="K12551" s="81"/>
      <c r="L12551" s="81"/>
      <c r="M12551" s="81"/>
      <c r="N12551" s="81"/>
    </row>
    <row r="12552" spans="1:14" ht="14.25" customHeight="1" x14ac:dyDescent="0.25">
      <c r="A12552" s="95" t="s">
        <v>583</v>
      </c>
      <c r="B12552" s="96"/>
      <c r="C12552" s="92"/>
      <c r="D12552" s="92"/>
      <c r="E12552" s="92" t="s">
        <v>584</v>
      </c>
      <c r="F12552" s="92"/>
      <c r="G12552" s="81"/>
      <c r="H12552" s="81"/>
      <c r="I12552" s="81"/>
      <c r="J12552" s="81"/>
      <c r="K12552" s="81"/>
      <c r="L12552" s="81"/>
      <c r="M12552" s="81"/>
      <c r="N12552" s="81"/>
    </row>
    <row r="12553" spans="1:14" ht="14.25" customHeight="1" x14ac:dyDescent="0.25">
      <c r="A12553" s="97" t="s">
        <v>563</v>
      </c>
      <c r="B12553" s="98" t="s">
        <v>564</v>
      </c>
      <c r="C12553" s="98" t="s">
        <v>585</v>
      </c>
      <c r="D12553" s="98" t="s">
        <v>586</v>
      </c>
      <c r="E12553" s="120" t="s">
        <v>587</v>
      </c>
      <c r="F12553" s="98" t="s">
        <v>568</v>
      </c>
      <c r="G12553" s="81"/>
      <c r="H12553" s="143"/>
      <c r="I12553" s="81"/>
      <c r="J12553" s="81"/>
      <c r="K12553" s="81"/>
      <c r="L12553" s="81"/>
      <c r="M12553" s="81"/>
      <c r="N12553" s="81"/>
    </row>
    <row r="12554" spans="1:14" ht="14.25" customHeight="1" x14ac:dyDescent="0.25">
      <c r="A12554" s="103"/>
      <c r="B12554" s="100"/>
      <c r="C12554" s="101"/>
      <c r="D12554" s="140"/>
      <c r="E12554" s="107"/>
      <c r="F12554" s="109"/>
      <c r="G12554" s="81"/>
      <c r="H12554" s="81"/>
      <c r="I12554" s="81"/>
      <c r="J12554" s="81"/>
      <c r="K12554" s="81"/>
      <c r="L12554" s="81"/>
      <c r="M12554" s="81"/>
      <c r="N12554" s="81"/>
    </row>
    <row r="12555" spans="1:14" ht="14.25" customHeight="1" x14ac:dyDescent="0.25">
      <c r="A12555" s="103"/>
      <c r="B12555" s="100"/>
      <c r="C12555" s="107"/>
      <c r="D12555" s="107"/>
      <c r="E12555" s="108"/>
      <c r="F12555" s="109"/>
      <c r="G12555" s="81"/>
      <c r="H12555" s="81"/>
      <c r="I12555" s="81"/>
      <c r="J12555" s="81"/>
      <c r="K12555" s="81"/>
      <c r="L12555" s="81"/>
      <c r="M12555" s="81"/>
      <c r="N12555" s="81"/>
    </row>
    <row r="12556" spans="1:14" ht="14.25" customHeight="1" x14ac:dyDescent="0.25">
      <c r="A12556" s="97" t="s">
        <v>548</v>
      </c>
      <c r="B12556" s="98"/>
      <c r="C12556" s="110"/>
      <c r="D12556" s="110"/>
      <c r="E12556" s="111"/>
      <c r="F12556" s="112">
        <f>SUM(F12554:F12555)</f>
        <v>0</v>
      </c>
      <c r="G12556" s="81"/>
      <c r="H12556" s="81"/>
      <c r="I12556" s="81"/>
      <c r="J12556" s="81"/>
      <c r="K12556" s="81"/>
      <c r="L12556" s="81"/>
      <c r="M12556" s="81"/>
      <c r="N12556" s="81"/>
    </row>
    <row r="12557" spans="1:14" ht="14.25" customHeight="1" x14ac:dyDescent="0.25">
      <c r="A12557" s="88"/>
      <c r="B12557" s="89"/>
      <c r="C12557" s="113"/>
      <c r="D12557" s="113"/>
      <c r="E12557" s="114"/>
      <c r="F12557" s="113"/>
      <c r="G12557" s="81"/>
      <c r="H12557" s="81"/>
      <c r="I12557" s="81"/>
      <c r="J12557" s="81"/>
      <c r="K12557" s="81"/>
      <c r="L12557" s="81"/>
      <c r="M12557" s="81"/>
      <c r="N12557" s="81"/>
    </row>
    <row r="12558" spans="1:14" ht="14.25" customHeight="1" x14ac:dyDescent="0.25">
      <c r="A12558" s="88"/>
      <c r="B12558" s="89"/>
      <c r="C12558" s="113"/>
      <c r="D12558" s="113"/>
      <c r="E12558" s="114"/>
      <c r="F12558" s="113"/>
      <c r="G12558" s="81"/>
      <c r="H12558" s="81"/>
      <c r="I12558" s="81"/>
      <c r="J12558" s="81"/>
      <c r="K12558" s="81"/>
      <c r="L12558" s="81"/>
      <c r="M12558" s="81"/>
      <c r="N12558" s="81"/>
    </row>
    <row r="12559" spans="1:14" ht="14.25" customHeight="1" x14ac:dyDescent="0.25">
      <c r="A12559" s="612" t="s">
        <v>588</v>
      </c>
      <c r="B12559" s="608"/>
      <c r="C12559" s="608"/>
      <c r="D12559" s="608"/>
      <c r="E12559" s="609"/>
      <c r="F12559" s="131">
        <f>ROUND(F12529+F12542+F12550+F12556,0)</f>
        <v>42140</v>
      </c>
      <c r="G12559" s="81"/>
      <c r="H12559" s="81"/>
      <c r="I12559" s="81"/>
      <c r="J12559" s="81"/>
      <c r="K12559" s="81"/>
      <c r="L12559" s="81"/>
      <c r="M12559" s="81"/>
      <c r="N12559" s="81"/>
    </row>
    <row r="12560" spans="1:14" ht="14.25" customHeight="1" x14ac:dyDescent="0.25">
      <c r="A12560" s="612" t="s">
        <v>589</v>
      </c>
      <c r="B12560" s="608"/>
      <c r="C12560" s="608"/>
      <c r="D12560" s="608"/>
      <c r="E12560" s="609"/>
      <c r="F12560" s="132"/>
      <c r="G12560" s="81"/>
      <c r="H12560" s="81"/>
      <c r="I12560" s="81"/>
      <c r="J12560" s="81"/>
      <c r="K12560" s="81"/>
      <c r="L12560" s="81"/>
      <c r="M12560" s="81"/>
      <c r="N12560" s="81"/>
    </row>
    <row r="12561" spans="1:14" ht="14.25" customHeight="1" x14ac:dyDescent="0.25">
      <c r="A12561" s="146" t="s">
        <v>556</v>
      </c>
      <c r="B12561" s="147"/>
      <c r="C12561" s="147"/>
      <c r="D12561" s="147"/>
      <c r="E12561" s="148"/>
      <c r="F12561" s="133"/>
      <c r="G12561" s="81"/>
      <c r="H12561" s="81"/>
      <c r="I12561" s="81"/>
      <c r="J12561" s="81"/>
      <c r="K12561" s="81"/>
      <c r="L12561" s="81"/>
      <c r="M12561" s="81"/>
      <c r="N12561" s="81"/>
    </row>
    <row r="12562" spans="1:14" ht="14.25" customHeight="1" x14ac:dyDescent="0.25">
      <c r="A12562" s="134"/>
      <c r="B12562" s="135"/>
      <c r="C12562" s="135"/>
      <c r="D12562" s="135"/>
      <c r="E12562" s="135"/>
      <c r="F12562" s="136"/>
      <c r="G12562" s="81"/>
      <c r="H12562" s="81"/>
      <c r="I12562" s="81"/>
      <c r="J12562" s="81"/>
      <c r="K12562" s="81"/>
      <c r="L12562" s="81"/>
      <c r="M12562" s="81"/>
      <c r="N12562" s="81"/>
    </row>
    <row r="12563" spans="1:14" ht="14.25" customHeight="1" x14ac:dyDescent="0.25">
      <c r="A12563" s="81"/>
      <c r="B12563" s="81"/>
      <c r="C12563" s="137"/>
      <c r="D12563" s="81"/>
      <c r="E12563" s="81"/>
      <c r="F12563" s="81"/>
      <c r="G12563" s="81"/>
      <c r="H12563" s="81"/>
      <c r="I12563" s="81"/>
      <c r="J12563" s="81"/>
      <c r="K12563" s="81"/>
      <c r="L12563" s="81"/>
      <c r="M12563" s="81"/>
      <c r="N12563" s="81"/>
    </row>
    <row r="12564" spans="1:14" ht="14.25" customHeight="1" x14ac:dyDescent="0.25">
      <c r="A12564" s="81"/>
      <c r="B12564" s="81"/>
      <c r="C12564" s="137"/>
      <c r="D12564" s="81"/>
      <c r="E12564" s="81"/>
      <c r="F12564" s="81"/>
      <c r="G12564" s="81"/>
      <c r="H12564" s="81"/>
      <c r="I12564" s="81"/>
      <c r="J12564" s="81"/>
      <c r="K12564" s="81"/>
      <c r="L12564" s="81"/>
      <c r="M12564" s="81"/>
      <c r="N12564" s="81"/>
    </row>
    <row r="12565" spans="1:14" ht="14.25" customHeight="1" x14ac:dyDescent="0.25">
      <c r="A12565" s="81"/>
      <c r="B12565" s="81"/>
      <c r="C12565" s="137"/>
      <c r="D12565" s="81"/>
      <c r="E12565" s="81"/>
      <c r="F12565" s="81"/>
      <c r="G12565" s="81"/>
      <c r="H12565" s="81"/>
      <c r="I12565" s="81"/>
      <c r="J12565" s="81"/>
      <c r="K12565" s="81"/>
      <c r="L12565" s="81"/>
      <c r="M12565" s="81"/>
      <c r="N12565" s="81"/>
    </row>
    <row r="12566" spans="1:14" ht="14.25" customHeight="1" x14ac:dyDescent="0.25">
      <c r="A12566" s="81"/>
      <c r="B12566" s="81"/>
      <c r="C12566" s="137"/>
      <c r="D12566" s="81"/>
      <c r="E12566" s="81"/>
      <c r="F12566" s="81"/>
      <c r="G12566" s="81"/>
      <c r="H12566" s="81"/>
      <c r="I12566" s="81"/>
      <c r="J12566" s="81"/>
      <c r="K12566" s="81"/>
      <c r="L12566" s="81"/>
      <c r="M12566" s="81"/>
      <c r="N12566" s="81"/>
    </row>
    <row r="12567" spans="1:14" ht="42.75" customHeight="1" x14ac:dyDescent="0.25">
      <c r="A12567" s="134"/>
      <c r="B12567" s="135"/>
      <c r="C12567" s="135"/>
      <c r="D12567" s="135"/>
      <c r="E12567" s="135"/>
      <c r="F12567" s="136"/>
      <c r="G12567" s="81"/>
      <c r="H12567" s="81"/>
      <c r="I12567" s="81"/>
      <c r="J12567" s="81"/>
      <c r="K12567" s="81"/>
      <c r="L12567" s="81"/>
      <c r="M12567" s="81"/>
      <c r="N12567" s="81"/>
    </row>
    <row r="12568" spans="1:14" ht="14.25" customHeight="1" x14ac:dyDescent="0.25">
      <c r="A12568" s="134"/>
      <c r="B12568" s="135"/>
      <c r="C12568" s="135"/>
      <c r="D12568" s="135"/>
      <c r="E12568" s="135"/>
      <c r="F12568" s="136"/>
      <c r="G12568" s="81"/>
      <c r="H12568" s="81"/>
      <c r="I12568" s="81"/>
      <c r="J12568" s="81"/>
      <c r="K12568" s="81"/>
      <c r="L12568" s="81"/>
      <c r="M12568" s="81"/>
      <c r="N12568" s="81"/>
    </row>
    <row r="12569" spans="1:14" ht="14.25" customHeight="1" x14ac:dyDescent="0.25">
      <c r="A12569" s="134"/>
      <c r="B12569" s="135"/>
      <c r="C12569" s="135"/>
      <c r="D12569" s="135"/>
      <c r="E12569" s="135"/>
      <c r="F12569" s="135"/>
      <c r="G12569" s="81"/>
      <c r="H12569" s="81"/>
      <c r="I12569" s="81"/>
      <c r="J12569" s="81"/>
      <c r="K12569" s="81"/>
      <c r="L12569" s="81"/>
      <c r="M12569" s="81"/>
      <c r="N12569" s="81"/>
    </row>
    <row r="12570" spans="1:14" ht="14.25" customHeight="1" thickBot="1" x14ac:dyDescent="0.3">
      <c r="A12570" s="81"/>
      <c r="B12570" s="81"/>
      <c r="C12570" s="81"/>
      <c r="D12570" s="81"/>
      <c r="E12570" s="81"/>
      <c r="F12570" s="81"/>
      <c r="G12570" s="81"/>
      <c r="H12570" s="81"/>
      <c r="I12570" s="81"/>
      <c r="J12570" s="81"/>
      <c r="K12570" s="81"/>
      <c r="L12570" s="81"/>
      <c r="M12570" s="81"/>
      <c r="N12570" s="81"/>
    </row>
    <row r="12571" spans="1:14" ht="14.25" customHeight="1" x14ac:dyDescent="0.25">
      <c r="A12571" s="83"/>
      <c r="B12571" s="84"/>
      <c r="C12571" s="85"/>
      <c r="D12571" s="86"/>
      <c r="E12571" s="86"/>
      <c r="F12571" s="87"/>
      <c r="G12571" s="81"/>
      <c r="H12571" s="81"/>
      <c r="I12571" s="81"/>
      <c r="J12571" s="81"/>
      <c r="K12571" s="81"/>
      <c r="L12571" s="81"/>
      <c r="M12571" s="81"/>
      <c r="N12571" s="81"/>
    </row>
    <row r="12572" spans="1:14" ht="14.25" customHeight="1" x14ac:dyDescent="0.25">
      <c r="A12572" s="599"/>
      <c r="B12572" s="600"/>
      <c r="C12572" s="600"/>
      <c r="D12572" s="600"/>
      <c r="E12572" s="600"/>
      <c r="F12572" s="601"/>
      <c r="G12572" s="81"/>
      <c r="H12572" s="81"/>
      <c r="I12572" s="81"/>
      <c r="J12572" s="81"/>
      <c r="K12572" s="81"/>
      <c r="L12572" s="81"/>
      <c r="M12572" s="81"/>
      <c r="N12572" s="81"/>
    </row>
    <row r="12573" spans="1:14" ht="14.25" customHeight="1" x14ac:dyDescent="0.25">
      <c r="A12573" s="602" t="s">
        <v>561</v>
      </c>
      <c r="B12573" s="600"/>
      <c r="C12573" s="600"/>
      <c r="D12573" s="600"/>
      <c r="E12573" s="600"/>
      <c r="F12573" s="601"/>
      <c r="G12573" s="81"/>
      <c r="H12573" s="81"/>
      <c r="I12573" s="81"/>
      <c r="J12573" s="81"/>
      <c r="K12573" s="81"/>
      <c r="L12573" s="81"/>
      <c r="M12573" s="81"/>
      <c r="N12573" s="81"/>
    </row>
    <row r="12574" spans="1:14" ht="14.25" customHeight="1" thickBot="1" x14ac:dyDescent="0.3">
      <c r="A12574" s="603"/>
      <c r="B12574" s="604"/>
      <c r="C12574" s="604"/>
      <c r="D12574" s="604"/>
      <c r="E12574" s="604"/>
      <c r="F12574" s="605"/>
      <c r="G12574" s="81"/>
      <c r="H12574" s="81"/>
      <c r="I12574" s="81"/>
      <c r="J12574" s="81"/>
      <c r="K12574" s="81"/>
      <c r="L12574" s="81"/>
      <c r="M12574" s="81"/>
      <c r="N12574" s="81"/>
    </row>
    <row r="12575" spans="1:14" ht="14.25" customHeight="1" x14ac:dyDescent="0.25">
      <c r="A12575" s="88"/>
      <c r="B12575" s="88"/>
      <c r="C12575" s="89"/>
      <c r="D12575" s="89"/>
      <c r="E12575" s="89"/>
      <c r="F12575" s="89"/>
      <c r="G12575" s="81"/>
      <c r="H12575" s="81"/>
      <c r="I12575" s="81"/>
      <c r="J12575" s="81"/>
      <c r="K12575" s="81"/>
      <c r="L12575" s="81"/>
      <c r="M12575" s="81"/>
      <c r="N12575" s="81"/>
    </row>
    <row r="12576" spans="1:14" ht="14.25" customHeight="1" x14ac:dyDescent="0.25">
      <c r="A12576" s="90" t="s">
        <v>47</v>
      </c>
      <c r="B12576" s="613" t="s">
        <v>439</v>
      </c>
      <c r="C12576" s="600"/>
      <c r="D12576" s="600"/>
      <c r="E12576" s="600"/>
      <c r="F12576" s="600"/>
      <c r="G12576" s="81"/>
      <c r="H12576" s="81"/>
      <c r="I12576" s="81"/>
      <c r="J12576" s="81"/>
      <c r="K12576" s="81"/>
      <c r="L12576" s="81"/>
      <c r="M12576" s="81"/>
      <c r="N12576" s="81"/>
    </row>
    <row r="12577" spans="1:14" s="168" customFormat="1" ht="15.75" x14ac:dyDescent="0.25">
      <c r="A12577" s="91"/>
      <c r="B12577" s="91"/>
      <c r="C12577" s="91"/>
      <c r="D12577" s="91"/>
      <c r="E12577" s="91"/>
      <c r="F12577" s="91"/>
      <c r="G12577" s="243"/>
      <c r="H12577" s="243"/>
      <c r="I12577" s="243"/>
      <c r="J12577" s="243"/>
      <c r="K12577" s="243"/>
      <c r="L12577" s="243"/>
      <c r="M12577" s="243"/>
      <c r="N12577" s="243"/>
    </row>
    <row r="12578" spans="1:14" ht="14.25" customHeight="1" x14ac:dyDescent="0.25">
      <c r="A12578" s="88" t="s">
        <v>49</v>
      </c>
      <c r="B12578" s="92" t="s">
        <v>99</v>
      </c>
      <c r="C12578" s="89"/>
      <c r="D12578" s="89"/>
      <c r="E12578" s="89"/>
      <c r="F12578" s="93"/>
      <c r="G12578" s="81"/>
      <c r="H12578" s="81"/>
      <c r="I12578" s="81"/>
      <c r="J12578" s="81"/>
      <c r="K12578" s="81"/>
      <c r="L12578" s="81"/>
      <c r="M12578" s="81"/>
      <c r="N12578" s="81"/>
    </row>
    <row r="12579" spans="1:14" ht="14.25" customHeight="1" x14ac:dyDescent="0.25">
      <c r="A12579" s="88"/>
      <c r="B12579" s="94"/>
      <c r="C12579" s="89"/>
      <c r="D12579" s="89"/>
      <c r="E12579" s="89"/>
      <c r="F12579" s="93"/>
      <c r="G12579" s="81"/>
      <c r="H12579" s="81"/>
      <c r="I12579" s="81"/>
      <c r="J12579" s="81"/>
      <c r="K12579" s="81"/>
      <c r="L12579" s="81"/>
      <c r="M12579" s="81"/>
      <c r="N12579" s="81"/>
    </row>
    <row r="12580" spans="1:14" ht="14.25" customHeight="1" x14ac:dyDescent="0.25">
      <c r="A12580" s="95" t="s">
        <v>562</v>
      </c>
      <c r="B12580" s="96"/>
      <c r="C12580" s="92"/>
      <c r="D12580" s="92"/>
      <c r="E12580" s="92"/>
      <c r="F12580" s="92"/>
      <c r="G12580" s="81"/>
      <c r="H12580" s="81"/>
      <c r="I12580" s="81"/>
      <c r="J12580" s="81"/>
      <c r="K12580" s="81"/>
      <c r="L12580" s="81"/>
      <c r="M12580" s="81"/>
      <c r="N12580" s="81"/>
    </row>
    <row r="12581" spans="1:14" ht="14.25" customHeight="1" x14ac:dyDescent="0.25">
      <c r="A12581" s="97" t="s">
        <v>563</v>
      </c>
      <c r="B12581" s="98" t="s">
        <v>564</v>
      </c>
      <c r="C12581" s="98" t="s">
        <v>565</v>
      </c>
      <c r="D12581" s="98" t="s">
        <v>566</v>
      </c>
      <c r="E12581" s="98" t="s">
        <v>567</v>
      </c>
      <c r="F12581" s="98" t="s">
        <v>568</v>
      </c>
      <c r="G12581" s="81"/>
      <c r="H12581" s="81"/>
      <c r="I12581" s="81"/>
      <c r="J12581" s="81"/>
      <c r="K12581" s="81"/>
      <c r="L12581" s="81"/>
      <c r="M12581" s="81"/>
      <c r="N12581" s="81"/>
    </row>
    <row r="12582" spans="1:14" ht="14.25" customHeight="1" x14ac:dyDescent="0.25">
      <c r="A12582" s="99" t="s">
        <v>869</v>
      </c>
      <c r="B12582" s="100" t="s">
        <v>99</v>
      </c>
      <c r="C12582" s="101">
        <v>30120</v>
      </c>
      <c r="D12582" s="149">
        <v>1</v>
      </c>
      <c r="E12582" s="102"/>
      <c r="F12582" s="101">
        <f t="shared" ref="F12582:F12585" si="617">C12582*(D12582+(D12582*E12582))</f>
        <v>30120</v>
      </c>
      <c r="G12582" s="81"/>
      <c r="H12582" s="81"/>
      <c r="I12582" s="81"/>
      <c r="J12582" s="81"/>
      <c r="K12582" s="81"/>
      <c r="L12582" s="81"/>
      <c r="M12582" s="81"/>
      <c r="N12582" s="81"/>
    </row>
    <row r="12583" spans="1:14" ht="14.25" customHeight="1" x14ac:dyDescent="0.25">
      <c r="A12583" s="99"/>
      <c r="B12583" s="100"/>
      <c r="C12583" s="101"/>
      <c r="D12583" s="149"/>
      <c r="E12583" s="102"/>
      <c r="F12583" s="101">
        <f t="shared" si="617"/>
        <v>0</v>
      </c>
      <c r="G12583" s="81"/>
      <c r="H12583" s="81"/>
      <c r="I12583" s="81"/>
      <c r="J12583" s="81"/>
      <c r="K12583" s="81"/>
      <c r="L12583" s="81"/>
      <c r="M12583" s="81"/>
      <c r="N12583" s="81"/>
    </row>
    <row r="12584" spans="1:14" ht="14.25" customHeight="1" x14ac:dyDescent="0.25">
      <c r="A12584" s="99"/>
      <c r="B12584" s="100"/>
      <c r="C12584" s="101"/>
      <c r="D12584" s="149"/>
      <c r="E12584" s="102"/>
      <c r="F12584" s="101">
        <f t="shared" si="617"/>
        <v>0</v>
      </c>
      <c r="G12584" s="81"/>
      <c r="H12584" s="81"/>
      <c r="I12584" s="81"/>
      <c r="J12584" s="81"/>
      <c r="K12584" s="81"/>
      <c r="L12584" s="81"/>
      <c r="M12584" s="81"/>
      <c r="N12584" s="81"/>
    </row>
    <row r="12585" spans="1:14" ht="14.25" customHeight="1" x14ac:dyDescent="0.25">
      <c r="A12585" s="99"/>
      <c r="B12585" s="100"/>
      <c r="C12585" s="101"/>
      <c r="D12585" s="149"/>
      <c r="E12585" s="102"/>
      <c r="F12585" s="101">
        <f t="shared" si="617"/>
        <v>0</v>
      </c>
      <c r="G12585" s="81"/>
      <c r="H12585" s="81"/>
      <c r="I12585" s="81"/>
      <c r="J12585" s="81"/>
      <c r="K12585" s="81"/>
      <c r="L12585" s="81"/>
      <c r="M12585" s="81"/>
      <c r="N12585" s="81"/>
    </row>
    <row r="12586" spans="1:14" ht="14.25" customHeight="1" x14ac:dyDescent="0.25">
      <c r="A12586" s="99"/>
      <c r="B12586" s="100"/>
      <c r="C12586" s="101"/>
      <c r="D12586" s="149"/>
      <c r="E12586" s="102"/>
      <c r="F12586" s="101"/>
      <c r="G12586" s="81"/>
      <c r="H12586" s="81"/>
      <c r="I12586" s="81"/>
      <c r="J12586" s="81"/>
      <c r="K12586" s="81"/>
      <c r="L12586" s="81"/>
      <c r="M12586" s="81"/>
      <c r="N12586" s="81"/>
    </row>
    <row r="12587" spans="1:14" ht="14.25" customHeight="1" x14ac:dyDescent="0.25">
      <c r="A12587" s="99"/>
      <c r="B12587" s="100"/>
      <c r="C12587" s="101"/>
      <c r="D12587" s="149"/>
      <c r="E12587" s="102"/>
      <c r="F12587" s="101"/>
      <c r="G12587" s="81"/>
      <c r="H12587" s="81"/>
      <c r="I12587" s="81"/>
      <c r="J12587" s="81"/>
      <c r="K12587" s="81"/>
      <c r="L12587" s="81"/>
      <c r="M12587" s="81"/>
      <c r="N12587" s="81"/>
    </row>
    <row r="12588" spans="1:14" ht="14.25" customHeight="1" x14ac:dyDescent="0.25">
      <c r="A12588" s="99"/>
      <c r="B12588" s="100"/>
      <c r="C12588" s="101"/>
      <c r="D12588" s="149"/>
      <c r="E12588" s="102"/>
      <c r="F12588" s="101"/>
      <c r="G12588" s="81"/>
      <c r="H12588" s="81"/>
      <c r="I12588" s="81"/>
      <c r="J12588" s="81"/>
      <c r="K12588" s="81"/>
      <c r="L12588" s="81"/>
      <c r="M12588" s="81"/>
      <c r="N12588" s="81"/>
    </row>
    <row r="12589" spans="1:14" ht="14.25" customHeight="1" x14ac:dyDescent="0.25">
      <c r="A12589" s="99"/>
      <c r="B12589" s="100"/>
      <c r="C12589" s="106"/>
      <c r="D12589" s="107"/>
      <c r="E12589" s="108"/>
      <c r="F12589" s="106"/>
      <c r="G12589" s="81"/>
      <c r="H12589" s="81"/>
      <c r="I12589" s="81"/>
      <c r="J12589" s="81"/>
      <c r="K12589" s="81"/>
      <c r="L12589" s="81"/>
      <c r="M12589" s="81"/>
      <c r="N12589" s="81"/>
    </row>
    <row r="12590" spans="1:14" ht="14.25" customHeight="1" x14ac:dyDescent="0.25">
      <c r="A12590" s="97" t="s">
        <v>548</v>
      </c>
      <c r="B12590" s="97"/>
      <c r="C12590" s="109"/>
      <c r="D12590" s="110"/>
      <c r="E12590" s="111"/>
      <c r="F12590" s="112">
        <f>SUM(F12582:F12589)</f>
        <v>30120</v>
      </c>
      <c r="G12590" s="81"/>
      <c r="H12590" s="81"/>
      <c r="I12590" s="81"/>
      <c r="J12590" s="81"/>
      <c r="K12590" s="81"/>
      <c r="L12590" s="81"/>
      <c r="M12590" s="81"/>
      <c r="N12590" s="81"/>
    </row>
    <row r="12591" spans="1:14" ht="14.25" customHeight="1" x14ac:dyDescent="0.25">
      <c r="A12591" s="88"/>
      <c r="B12591" s="88"/>
      <c r="C12591" s="113"/>
      <c r="D12591" s="113"/>
      <c r="E12591" s="114"/>
      <c r="F12591" s="113"/>
      <c r="G12591" s="81"/>
      <c r="H12591" s="81"/>
      <c r="I12591" s="81"/>
      <c r="J12591" s="81"/>
      <c r="K12591" s="81"/>
      <c r="L12591" s="81"/>
      <c r="M12591" s="81"/>
      <c r="N12591" s="81"/>
    </row>
    <row r="12592" spans="1:14" ht="14.25" customHeight="1" x14ac:dyDescent="0.25">
      <c r="A12592" s="96" t="s">
        <v>573</v>
      </c>
      <c r="B12592" s="96"/>
      <c r="C12592" s="92"/>
      <c r="D12592" s="92"/>
      <c r="E12592" s="92"/>
      <c r="F12592" s="92"/>
      <c r="G12592" s="81"/>
      <c r="H12592" s="81"/>
      <c r="I12592" s="81"/>
      <c r="J12592" s="81"/>
      <c r="K12592" s="81"/>
      <c r="L12592" s="81"/>
      <c r="M12592" s="81"/>
      <c r="N12592" s="81"/>
    </row>
    <row r="12593" spans="1:14" ht="14.25" customHeight="1" x14ac:dyDescent="0.25">
      <c r="A12593" s="611" t="s">
        <v>563</v>
      </c>
      <c r="B12593" s="608"/>
      <c r="C12593" s="609"/>
      <c r="D12593" s="98" t="s">
        <v>574</v>
      </c>
      <c r="E12593" s="98" t="s">
        <v>575</v>
      </c>
      <c r="F12593" s="98" t="s">
        <v>568</v>
      </c>
      <c r="G12593" s="81"/>
      <c r="H12593" s="81"/>
      <c r="I12593" s="81"/>
      <c r="J12593" s="81"/>
      <c r="K12593" s="81"/>
      <c r="L12593" s="81"/>
      <c r="M12593" s="81"/>
      <c r="N12593" s="81"/>
    </row>
    <row r="12594" spans="1:14" ht="14.25" customHeight="1" x14ac:dyDescent="0.25">
      <c r="A12594" s="607" t="s">
        <v>577</v>
      </c>
      <c r="B12594" s="608"/>
      <c r="C12594" s="609"/>
      <c r="D12594" s="116"/>
      <c r="E12594" s="107"/>
      <c r="F12594" s="106">
        <f>+F12611*5%</f>
        <v>367.59577814989598</v>
      </c>
      <c r="G12594" s="81"/>
      <c r="H12594" s="81"/>
      <c r="I12594" s="81"/>
      <c r="J12594" s="81"/>
      <c r="K12594" s="81"/>
      <c r="L12594" s="81"/>
      <c r="M12594" s="81"/>
      <c r="N12594" s="81"/>
    </row>
    <row r="12595" spans="1:14" ht="14.25" customHeight="1" x14ac:dyDescent="0.25">
      <c r="A12595" s="607"/>
      <c r="B12595" s="608"/>
      <c r="C12595" s="609"/>
      <c r="D12595" s="142"/>
      <c r="E12595" s="105"/>
      <c r="F12595" s="106"/>
      <c r="G12595" s="81"/>
      <c r="H12595" s="81"/>
      <c r="I12595" s="81"/>
      <c r="J12595" s="81"/>
      <c r="K12595" s="81"/>
      <c r="L12595" s="81"/>
      <c r="M12595" s="81"/>
      <c r="N12595" s="81"/>
    </row>
    <row r="12596" spans="1:14" ht="14.25" customHeight="1" x14ac:dyDescent="0.25">
      <c r="A12596" s="607"/>
      <c r="B12596" s="608"/>
      <c r="C12596" s="609"/>
      <c r="D12596" s="142"/>
      <c r="E12596" s="105"/>
      <c r="F12596" s="106"/>
      <c r="G12596" s="81"/>
      <c r="H12596" s="81"/>
      <c r="I12596" s="81"/>
      <c r="J12596" s="81"/>
      <c r="K12596" s="81"/>
      <c r="L12596" s="81"/>
      <c r="M12596" s="81"/>
      <c r="N12596" s="81"/>
    </row>
    <row r="12597" spans="1:14" ht="14.25" customHeight="1" x14ac:dyDescent="0.25">
      <c r="A12597" s="607"/>
      <c r="B12597" s="608"/>
      <c r="C12597" s="609"/>
      <c r="D12597" s="142"/>
      <c r="E12597" s="107"/>
      <c r="F12597" s="106"/>
      <c r="G12597" s="81"/>
      <c r="H12597" s="81"/>
      <c r="I12597" s="81"/>
      <c r="J12597" s="81"/>
      <c r="K12597" s="81"/>
      <c r="L12597" s="81"/>
      <c r="M12597" s="81"/>
      <c r="N12597" s="81"/>
    </row>
    <row r="12598" spans="1:14" ht="14.25" customHeight="1" x14ac:dyDescent="0.25">
      <c r="A12598" s="607"/>
      <c r="B12598" s="608"/>
      <c r="C12598" s="609"/>
      <c r="D12598" s="142"/>
      <c r="E12598" s="107"/>
      <c r="F12598" s="106"/>
      <c r="G12598" s="81"/>
      <c r="H12598" s="81"/>
      <c r="I12598" s="81"/>
      <c r="J12598" s="81"/>
      <c r="K12598" s="81"/>
      <c r="L12598" s="81"/>
      <c r="M12598" s="81"/>
      <c r="N12598" s="81"/>
    </row>
    <row r="12599" spans="1:14" ht="14.25" customHeight="1" x14ac:dyDescent="0.25">
      <c r="A12599" s="607"/>
      <c r="B12599" s="608"/>
      <c r="C12599" s="609"/>
      <c r="D12599" s="142"/>
      <c r="E12599" s="107"/>
      <c r="F12599" s="106"/>
      <c r="G12599" s="81"/>
      <c r="H12599" s="81"/>
      <c r="I12599" s="81"/>
      <c r="J12599" s="81"/>
      <c r="K12599" s="81"/>
      <c r="L12599" s="81"/>
      <c r="M12599" s="81"/>
      <c r="N12599" s="81"/>
    </row>
    <row r="12600" spans="1:14" ht="14.25" customHeight="1" x14ac:dyDescent="0.25">
      <c r="A12600" s="607"/>
      <c r="B12600" s="608"/>
      <c r="C12600" s="609"/>
      <c r="D12600" s="142"/>
      <c r="E12600" s="107"/>
      <c r="F12600" s="106"/>
      <c r="G12600" s="81"/>
      <c r="H12600" s="81"/>
      <c r="I12600" s="81"/>
      <c r="J12600" s="81"/>
      <c r="K12600" s="81"/>
      <c r="L12600" s="81"/>
      <c r="M12600" s="81"/>
      <c r="N12600" s="81"/>
    </row>
    <row r="12601" spans="1:14" ht="14.25" customHeight="1" x14ac:dyDescent="0.25">
      <c r="A12601" s="607"/>
      <c r="B12601" s="608"/>
      <c r="C12601" s="609"/>
      <c r="D12601" s="142"/>
      <c r="E12601" s="107"/>
      <c r="F12601" s="106"/>
      <c r="G12601" s="81"/>
      <c r="H12601" s="81"/>
      <c r="I12601" s="81"/>
      <c r="J12601" s="81"/>
      <c r="K12601" s="81"/>
      <c r="L12601" s="81"/>
      <c r="M12601" s="81"/>
      <c r="N12601" s="81"/>
    </row>
    <row r="12602" spans="1:14" ht="14.25" customHeight="1" x14ac:dyDescent="0.25">
      <c r="A12602" s="610"/>
      <c r="B12602" s="608"/>
      <c r="C12602" s="609"/>
      <c r="D12602" s="115"/>
      <c r="E12602" s="107"/>
      <c r="F12602" s="106"/>
      <c r="G12602" s="81"/>
      <c r="H12602" s="81"/>
      <c r="I12602" s="81"/>
      <c r="J12602" s="81"/>
      <c r="K12602" s="81"/>
      <c r="L12602" s="81"/>
      <c r="M12602" s="81"/>
      <c r="N12602" s="81"/>
    </row>
    <row r="12603" spans="1:14" ht="14.25" customHeight="1" x14ac:dyDescent="0.25">
      <c r="A12603" s="611" t="s">
        <v>548</v>
      </c>
      <c r="B12603" s="608"/>
      <c r="C12603" s="609"/>
      <c r="D12603" s="110"/>
      <c r="E12603" s="110"/>
      <c r="F12603" s="112">
        <f>SUM(F12594:F12601)</f>
        <v>367.59577814989598</v>
      </c>
      <c r="G12603" s="81"/>
      <c r="H12603" s="81"/>
      <c r="I12603" s="81"/>
      <c r="J12603" s="81"/>
      <c r="K12603" s="81"/>
      <c r="L12603" s="81"/>
      <c r="M12603" s="81"/>
      <c r="N12603" s="81"/>
    </row>
    <row r="12604" spans="1:14" ht="14.25" customHeight="1" x14ac:dyDescent="0.25">
      <c r="A12604" s="88"/>
      <c r="B12604" s="88"/>
      <c r="C12604" s="89"/>
      <c r="D12604" s="113"/>
      <c r="E12604" s="113"/>
      <c r="F12604" s="113"/>
      <c r="G12604" s="81"/>
      <c r="H12604" s="81"/>
      <c r="I12604" s="81"/>
      <c r="J12604" s="81"/>
      <c r="K12604" s="81"/>
      <c r="L12604" s="81"/>
      <c r="M12604" s="81"/>
      <c r="N12604" s="81"/>
    </row>
    <row r="12605" spans="1:14" ht="14.25" customHeight="1" x14ac:dyDescent="0.25">
      <c r="A12605" s="96" t="s">
        <v>578</v>
      </c>
      <c r="B12605" s="96"/>
      <c r="C12605" s="92"/>
      <c r="D12605" s="118"/>
      <c r="E12605" s="118"/>
      <c r="F12605" s="118"/>
      <c r="G12605" s="81"/>
      <c r="H12605" s="81"/>
      <c r="I12605" s="81"/>
      <c r="J12605" s="81"/>
      <c r="K12605" s="81"/>
      <c r="L12605" s="81"/>
      <c r="M12605" s="81"/>
      <c r="N12605" s="81"/>
    </row>
    <row r="12606" spans="1:14" ht="14.25" customHeight="1" x14ac:dyDescent="0.25">
      <c r="A12606" s="119" t="s">
        <v>563</v>
      </c>
      <c r="B12606" s="120" t="s">
        <v>579</v>
      </c>
      <c r="C12606" s="120" t="s">
        <v>580</v>
      </c>
      <c r="D12606" s="121" t="s">
        <v>581</v>
      </c>
      <c r="E12606" s="121" t="s">
        <v>575</v>
      </c>
      <c r="F12606" s="121" t="s">
        <v>568</v>
      </c>
      <c r="G12606" s="81"/>
      <c r="H12606" s="81"/>
      <c r="I12606" s="81"/>
      <c r="J12606" s="81"/>
      <c r="K12606" s="81"/>
      <c r="L12606" s="81"/>
      <c r="M12606" s="81"/>
      <c r="N12606" s="81"/>
    </row>
    <row r="12607" spans="1:14" ht="14.25" customHeight="1" x14ac:dyDescent="0.25">
      <c r="A12607" s="122" t="s">
        <v>593</v>
      </c>
      <c r="B12607" s="127">
        <v>1</v>
      </c>
      <c r="C12607" s="101">
        <v>32688</v>
      </c>
      <c r="D12607" s="101">
        <f t="shared" ref="D12607:D12608" si="618">+C12607*1.7</f>
        <v>55569.599999999999</v>
      </c>
      <c r="E12607" s="107">
        <v>19.707000000000001</v>
      </c>
      <c r="F12607" s="106">
        <f t="shared" ref="F12607:F12608" si="619">+B12607*(D12607)/E12607</f>
        <v>2819.7899223626123</v>
      </c>
      <c r="G12607" s="81"/>
      <c r="H12607" s="81"/>
      <c r="I12607" s="81"/>
      <c r="J12607" s="81"/>
      <c r="K12607" s="81"/>
      <c r="L12607" s="81"/>
      <c r="M12607" s="81"/>
      <c r="N12607" s="81"/>
    </row>
    <row r="12608" spans="1:14" ht="14.25" customHeight="1" x14ac:dyDescent="0.25">
      <c r="A12608" s="122" t="s">
        <v>594</v>
      </c>
      <c r="B12608" s="127">
        <v>1</v>
      </c>
      <c r="C12608" s="101">
        <v>52538</v>
      </c>
      <c r="D12608" s="101">
        <f t="shared" si="618"/>
        <v>89314.599999999991</v>
      </c>
      <c r="E12608" s="107">
        <f>E12607</f>
        <v>19.707000000000001</v>
      </c>
      <c r="F12608" s="106">
        <f t="shared" si="619"/>
        <v>4532.1256406353068</v>
      </c>
      <c r="G12608" s="81"/>
      <c r="H12608" s="81"/>
      <c r="I12608" s="81"/>
      <c r="J12608" s="81"/>
      <c r="K12608" s="81"/>
      <c r="L12608" s="81"/>
      <c r="M12608" s="81"/>
      <c r="N12608" s="81"/>
    </row>
    <row r="12609" spans="1:14" ht="14.25" customHeight="1" x14ac:dyDescent="0.25">
      <c r="A12609" s="122"/>
      <c r="B12609" s="127"/>
      <c r="C12609" s="101"/>
      <c r="D12609" s="101"/>
      <c r="E12609" s="105"/>
      <c r="F12609" s="106"/>
      <c r="G12609" s="81"/>
      <c r="H12609" s="81"/>
      <c r="I12609" s="81"/>
      <c r="J12609" s="81"/>
      <c r="K12609" s="81"/>
      <c r="L12609" s="81"/>
      <c r="M12609" s="81"/>
      <c r="N12609" s="81"/>
    </row>
    <row r="12610" spans="1:14" ht="14.25" customHeight="1" x14ac:dyDescent="0.25">
      <c r="A12610" s="122"/>
      <c r="B12610" s="127"/>
      <c r="C12610" s="101"/>
      <c r="D12610" s="101"/>
      <c r="E12610" s="125"/>
      <c r="F12610" s="106"/>
      <c r="G12610" s="81"/>
      <c r="H12610" s="81"/>
      <c r="I12610" s="81"/>
      <c r="J12610" s="81"/>
      <c r="K12610" s="81"/>
      <c r="L12610" s="81"/>
      <c r="M12610" s="81"/>
      <c r="N12610" s="81"/>
    </row>
    <row r="12611" spans="1:14" ht="14.25" customHeight="1" x14ac:dyDescent="0.25">
      <c r="A12611" s="97" t="s">
        <v>548</v>
      </c>
      <c r="B12611" s="128"/>
      <c r="C12611" s="110"/>
      <c r="D12611" s="110"/>
      <c r="E12611" s="110"/>
      <c r="F12611" s="112">
        <f>SUM(F12607:F12610)</f>
        <v>7351.9155629979196</v>
      </c>
      <c r="G12611" s="81"/>
      <c r="H12611" s="81"/>
      <c r="I12611" s="81"/>
      <c r="J12611" s="81"/>
      <c r="K12611" s="81"/>
      <c r="L12611" s="81"/>
      <c r="M12611" s="81"/>
      <c r="N12611" s="81"/>
    </row>
    <row r="12612" spans="1:14" ht="14.25" customHeight="1" x14ac:dyDescent="0.25">
      <c r="A12612" s="96"/>
      <c r="B12612" s="129"/>
      <c r="C12612" s="118"/>
      <c r="D12612" s="118"/>
      <c r="E12612" s="118"/>
      <c r="F12612" s="118"/>
      <c r="G12612" s="81"/>
      <c r="H12612" s="81"/>
      <c r="I12612" s="81"/>
      <c r="J12612" s="81"/>
      <c r="K12612" s="81"/>
      <c r="L12612" s="81"/>
      <c r="M12612" s="81"/>
      <c r="N12612" s="81"/>
    </row>
    <row r="12613" spans="1:14" ht="14.25" customHeight="1" x14ac:dyDescent="0.25">
      <c r="A12613" s="95" t="s">
        <v>583</v>
      </c>
      <c r="B12613" s="96"/>
      <c r="C12613" s="92"/>
      <c r="D12613" s="92"/>
      <c r="E12613" s="92" t="s">
        <v>584</v>
      </c>
      <c r="F12613" s="92"/>
      <c r="G12613" s="81"/>
      <c r="H12613" s="81"/>
      <c r="I12613" s="81"/>
      <c r="J12613" s="81"/>
      <c r="K12613" s="81"/>
      <c r="L12613" s="81"/>
      <c r="M12613" s="81"/>
      <c r="N12613" s="81"/>
    </row>
    <row r="12614" spans="1:14" ht="14.25" customHeight="1" x14ac:dyDescent="0.25">
      <c r="A12614" s="97" t="s">
        <v>563</v>
      </c>
      <c r="B12614" s="98" t="s">
        <v>564</v>
      </c>
      <c r="C12614" s="98" t="s">
        <v>585</v>
      </c>
      <c r="D12614" s="98" t="s">
        <v>586</v>
      </c>
      <c r="E12614" s="120" t="s">
        <v>587</v>
      </c>
      <c r="F12614" s="98" t="s">
        <v>568</v>
      </c>
      <c r="G12614" s="81"/>
      <c r="H12614" s="117"/>
      <c r="I12614" s="81"/>
      <c r="J12614" s="81"/>
      <c r="K12614" s="81"/>
      <c r="L12614" s="81"/>
      <c r="M12614" s="81"/>
      <c r="N12614" s="81"/>
    </row>
    <row r="12615" spans="1:14" ht="14.25" customHeight="1" x14ac:dyDescent="0.25">
      <c r="A12615" s="103"/>
      <c r="B12615" s="100"/>
      <c r="C12615" s="101"/>
      <c r="D12615" s="140"/>
      <c r="E12615" s="107"/>
      <c r="F12615" s="109"/>
      <c r="G12615" s="81"/>
      <c r="H12615" s="81"/>
      <c r="I12615" s="81"/>
      <c r="J12615" s="81"/>
      <c r="K12615" s="81"/>
      <c r="L12615" s="81"/>
      <c r="M12615" s="81"/>
      <c r="N12615" s="81"/>
    </row>
    <row r="12616" spans="1:14" ht="14.25" customHeight="1" x14ac:dyDescent="0.25">
      <c r="A12616" s="103"/>
      <c r="B12616" s="100"/>
      <c r="C12616" s="107"/>
      <c r="D12616" s="107"/>
      <c r="E12616" s="108"/>
      <c r="F12616" s="109"/>
      <c r="G12616" s="81"/>
      <c r="H12616" s="81"/>
      <c r="I12616" s="81"/>
      <c r="J12616" s="81"/>
      <c r="K12616" s="81"/>
      <c r="L12616" s="81"/>
      <c r="M12616" s="81"/>
      <c r="N12616" s="81"/>
    </row>
    <row r="12617" spans="1:14" ht="14.25" customHeight="1" x14ac:dyDescent="0.25">
      <c r="A12617" s="97" t="s">
        <v>548</v>
      </c>
      <c r="B12617" s="98"/>
      <c r="C12617" s="110"/>
      <c r="D12617" s="110"/>
      <c r="E12617" s="111"/>
      <c r="F12617" s="112">
        <f>SUM(F12615:F12616)</f>
        <v>0</v>
      </c>
      <c r="G12617" s="81"/>
      <c r="H12617" s="81"/>
      <c r="I12617" s="81"/>
      <c r="J12617" s="81"/>
      <c r="K12617" s="81"/>
      <c r="L12617" s="81"/>
      <c r="M12617" s="81"/>
      <c r="N12617" s="81"/>
    </row>
    <row r="12618" spans="1:14" ht="14.25" customHeight="1" x14ac:dyDescent="0.25">
      <c r="A12618" s="88"/>
      <c r="B12618" s="89"/>
      <c r="C12618" s="113"/>
      <c r="D12618" s="113"/>
      <c r="E12618" s="114"/>
      <c r="F12618" s="113"/>
      <c r="G12618" s="81"/>
      <c r="H12618" s="81"/>
      <c r="I12618" s="81"/>
      <c r="J12618" s="81"/>
      <c r="K12618" s="81"/>
      <c r="L12618" s="81"/>
      <c r="M12618" s="81"/>
      <c r="N12618" s="81"/>
    </row>
    <row r="12619" spans="1:14" ht="14.25" customHeight="1" x14ac:dyDescent="0.25">
      <c r="A12619" s="88"/>
      <c r="B12619" s="89"/>
      <c r="C12619" s="113"/>
      <c r="D12619" s="113"/>
      <c r="E12619" s="114"/>
      <c r="F12619" s="113"/>
      <c r="G12619" s="81"/>
      <c r="H12619" s="81"/>
      <c r="I12619" s="81"/>
      <c r="J12619" s="81"/>
      <c r="K12619" s="81"/>
      <c r="L12619" s="81"/>
      <c r="M12619" s="81"/>
      <c r="N12619" s="81"/>
    </row>
    <row r="12620" spans="1:14" ht="14.25" customHeight="1" x14ac:dyDescent="0.25">
      <c r="A12620" s="612" t="s">
        <v>588</v>
      </c>
      <c r="B12620" s="608"/>
      <c r="C12620" s="608"/>
      <c r="D12620" s="608"/>
      <c r="E12620" s="609"/>
      <c r="F12620" s="131">
        <f>ROUND(F12590+F12603+F12611+F12617,0)</f>
        <v>37840</v>
      </c>
      <c r="G12620" s="81"/>
      <c r="H12620" s="81"/>
      <c r="I12620" s="81"/>
      <c r="J12620" s="81"/>
      <c r="K12620" s="81"/>
      <c r="L12620" s="81"/>
      <c r="M12620" s="81"/>
      <c r="N12620" s="81"/>
    </row>
    <row r="12621" spans="1:14" ht="14.25" customHeight="1" x14ac:dyDescent="0.25">
      <c r="A12621" s="612" t="s">
        <v>589</v>
      </c>
      <c r="B12621" s="608"/>
      <c r="C12621" s="608"/>
      <c r="D12621" s="608"/>
      <c r="E12621" s="609"/>
      <c r="F12621" s="132"/>
      <c r="G12621" s="81"/>
      <c r="H12621" s="81"/>
      <c r="I12621" s="81"/>
      <c r="J12621" s="81"/>
      <c r="K12621" s="81"/>
      <c r="L12621" s="81"/>
      <c r="M12621" s="81"/>
      <c r="N12621" s="81"/>
    </row>
    <row r="12622" spans="1:14" ht="14.25" customHeight="1" x14ac:dyDescent="0.25">
      <c r="A12622" s="146" t="s">
        <v>556</v>
      </c>
      <c r="B12622" s="147"/>
      <c r="C12622" s="147"/>
      <c r="D12622" s="147"/>
      <c r="E12622" s="148"/>
      <c r="F12622" s="133"/>
      <c r="G12622" s="81"/>
      <c r="H12622" s="81"/>
      <c r="I12622" s="81"/>
      <c r="J12622" s="81"/>
      <c r="K12622" s="81"/>
      <c r="L12622" s="81"/>
      <c r="M12622" s="81"/>
      <c r="N12622" s="81"/>
    </row>
    <row r="12623" spans="1:14" ht="14.25" customHeight="1" x14ac:dyDescent="0.25">
      <c r="A12623" s="134"/>
      <c r="B12623" s="135"/>
      <c r="C12623" s="135"/>
      <c r="D12623" s="135"/>
      <c r="E12623" s="135"/>
      <c r="F12623" s="136"/>
      <c r="G12623" s="81"/>
      <c r="H12623" s="81"/>
      <c r="I12623" s="81"/>
      <c r="J12623" s="81"/>
      <c r="K12623" s="81"/>
      <c r="L12623" s="81"/>
      <c r="M12623" s="81"/>
      <c r="N12623" s="81"/>
    </row>
    <row r="12624" spans="1:14" ht="14.25" customHeight="1" x14ac:dyDescent="0.25">
      <c r="A12624" s="81"/>
      <c r="B12624" s="81"/>
      <c r="C12624" s="137"/>
      <c r="D12624" s="81"/>
      <c r="E12624" s="81"/>
      <c r="F12624" s="81"/>
      <c r="G12624" s="81"/>
      <c r="H12624" s="81"/>
      <c r="I12624" s="81"/>
      <c r="J12624" s="81"/>
      <c r="K12624" s="81"/>
      <c r="L12624" s="81"/>
      <c r="M12624" s="81"/>
      <c r="N12624" s="81"/>
    </row>
    <row r="12625" spans="1:14" ht="14.25" customHeight="1" x14ac:dyDescent="0.25">
      <c r="A12625" s="81"/>
      <c r="B12625" s="81"/>
      <c r="C12625" s="137"/>
      <c r="D12625" s="81"/>
      <c r="E12625" s="81"/>
      <c r="F12625" s="81"/>
      <c r="G12625" s="81"/>
      <c r="H12625" s="81"/>
      <c r="I12625" s="81"/>
      <c r="J12625" s="81"/>
      <c r="K12625" s="81"/>
      <c r="L12625" s="81"/>
      <c r="M12625" s="81"/>
      <c r="N12625" s="81"/>
    </row>
    <row r="12626" spans="1:14" ht="14.25" customHeight="1" x14ac:dyDescent="0.25">
      <c r="A12626" s="81"/>
      <c r="B12626" s="81"/>
      <c r="C12626" s="137"/>
      <c r="D12626" s="81"/>
      <c r="E12626" s="81"/>
      <c r="F12626" s="81"/>
      <c r="G12626" s="81"/>
      <c r="H12626" s="81"/>
      <c r="I12626" s="81"/>
      <c r="J12626" s="81"/>
      <c r="K12626" s="81"/>
      <c r="L12626" s="81"/>
      <c r="M12626" s="81"/>
      <c r="N12626" s="81"/>
    </row>
    <row r="12627" spans="1:14" ht="14.25" customHeight="1" x14ac:dyDescent="0.25">
      <c r="A12627" s="81"/>
      <c r="B12627" s="81"/>
      <c r="C12627" s="137"/>
      <c r="D12627" s="81"/>
      <c r="E12627" s="81"/>
      <c r="F12627" s="81"/>
      <c r="G12627" s="81"/>
      <c r="H12627" s="81"/>
      <c r="I12627" s="81"/>
      <c r="J12627" s="81"/>
      <c r="K12627" s="81"/>
      <c r="L12627" s="81"/>
      <c r="M12627" s="81"/>
      <c r="N12627" s="81"/>
    </row>
    <row r="12628" spans="1:14" ht="14.25" customHeight="1" x14ac:dyDescent="0.25">
      <c r="A12628" s="134"/>
      <c r="B12628" s="135"/>
      <c r="C12628" s="135"/>
      <c r="D12628" s="135"/>
      <c r="E12628" s="135"/>
      <c r="F12628" s="136"/>
      <c r="G12628" s="81"/>
      <c r="H12628" s="81"/>
      <c r="I12628" s="81"/>
      <c r="J12628" s="81"/>
      <c r="K12628" s="81"/>
      <c r="L12628" s="81"/>
      <c r="M12628" s="81"/>
      <c r="N12628" s="81"/>
    </row>
    <row r="12629" spans="1:14" ht="14.25" customHeight="1" x14ac:dyDescent="0.25">
      <c r="A12629" s="134"/>
      <c r="B12629" s="135"/>
      <c r="C12629" s="135"/>
      <c r="D12629" s="135"/>
      <c r="E12629" s="135"/>
      <c r="F12629" s="136"/>
      <c r="G12629" s="81"/>
      <c r="H12629" s="81"/>
      <c r="I12629" s="81"/>
      <c r="J12629" s="81"/>
      <c r="K12629" s="81"/>
      <c r="L12629" s="81"/>
      <c r="M12629" s="81"/>
      <c r="N12629" s="81"/>
    </row>
    <row r="12630" spans="1:14" ht="14.25" customHeight="1" x14ac:dyDescent="0.25">
      <c r="A12630" s="134"/>
      <c r="B12630" s="135"/>
      <c r="C12630" s="135"/>
      <c r="D12630" s="135"/>
      <c r="E12630" s="135"/>
      <c r="F12630" s="135"/>
      <c r="G12630" s="81"/>
      <c r="H12630" s="81"/>
      <c r="I12630" s="81"/>
      <c r="J12630" s="81"/>
      <c r="K12630" s="81"/>
      <c r="L12630" s="81"/>
      <c r="M12630" s="81"/>
      <c r="N12630" s="81"/>
    </row>
    <row r="12631" spans="1:14" ht="14.25" customHeight="1" thickBot="1" x14ac:dyDescent="0.3">
      <c r="A12631" s="81"/>
      <c r="B12631" s="81"/>
      <c r="C12631" s="81"/>
      <c r="D12631" s="81"/>
      <c r="E12631" s="81"/>
      <c r="F12631" s="81"/>
      <c r="G12631" s="81"/>
      <c r="H12631" s="81"/>
      <c r="I12631" s="81"/>
      <c r="J12631" s="81"/>
      <c r="K12631" s="81"/>
      <c r="L12631" s="81"/>
      <c r="M12631" s="81"/>
      <c r="N12631" s="81"/>
    </row>
    <row r="12632" spans="1:14" ht="14.25" customHeight="1" x14ac:dyDescent="0.25">
      <c r="A12632" s="83"/>
      <c r="B12632" s="84"/>
      <c r="C12632" s="85"/>
      <c r="D12632" s="86"/>
      <c r="E12632" s="86"/>
      <c r="F12632" s="87"/>
      <c r="G12632" s="81"/>
      <c r="H12632" s="81"/>
      <c r="I12632" s="81"/>
      <c r="J12632" s="81"/>
      <c r="K12632" s="81"/>
      <c r="L12632" s="81"/>
      <c r="M12632" s="81"/>
      <c r="N12632" s="81"/>
    </row>
    <row r="12633" spans="1:14" ht="14.25" customHeight="1" x14ac:dyDescent="0.25">
      <c r="A12633" s="599"/>
      <c r="B12633" s="600"/>
      <c r="C12633" s="600"/>
      <c r="D12633" s="600"/>
      <c r="E12633" s="600"/>
      <c r="F12633" s="601"/>
      <c r="G12633" s="81"/>
      <c r="H12633" s="81"/>
      <c r="I12633" s="81"/>
      <c r="J12633" s="81"/>
      <c r="K12633" s="81"/>
      <c r="L12633" s="81"/>
      <c r="M12633" s="81"/>
      <c r="N12633" s="81"/>
    </row>
    <row r="12634" spans="1:14" ht="14.25" customHeight="1" x14ac:dyDescent="0.25">
      <c r="A12634" s="602" t="s">
        <v>561</v>
      </c>
      <c r="B12634" s="600"/>
      <c r="C12634" s="600"/>
      <c r="D12634" s="600"/>
      <c r="E12634" s="600"/>
      <c r="F12634" s="601"/>
      <c r="G12634" s="81"/>
      <c r="H12634" s="81"/>
      <c r="I12634" s="81"/>
      <c r="J12634" s="81"/>
      <c r="K12634" s="81"/>
      <c r="L12634" s="81"/>
      <c r="M12634" s="81"/>
      <c r="N12634" s="81"/>
    </row>
    <row r="12635" spans="1:14" ht="14.25" customHeight="1" thickBot="1" x14ac:dyDescent="0.3">
      <c r="A12635" s="603"/>
      <c r="B12635" s="604"/>
      <c r="C12635" s="604"/>
      <c r="D12635" s="604"/>
      <c r="E12635" s="604"/>
      <c r="F12635" s="605"/>
      <c r="G12635" s="81"/>
      <c r="H12635" s="81"/>
      <c r="I12635" s="81"/>
      <c r="J12635" s="81"/>
      <c r="K12635" s="81"/>
      <c r="L12635" s="81"/>
      <c r="M12635" s="81"/>
      <c r="N12635" s="81"/>
    </row>
    <row r="12636" spans="1:14" ht="14.25" customHeight="1" x14ac:dyDescent="0.25">
      <c r="A12636" s="88"/>
      <c r="B12636" s="88"/>
      <c r="C12636" s="89"/>
      <c r="D12636" s="89"/>
      <c r="E12636" s="89"/>
      <c r="F12636" s="89"/>
      <c r="G12636" s="81"/>
      <c r="H12636" s="81"/>
      <c r="I12636" s="81"/>
      <c r="J12636" s="81"/>
      <c r="K12636" s="81"/>
      <c r="L12636" s="81"/>
      <c r="M12636" s="81"/>
      <c r="N12636" s="81"/>
    </row>
    <row r="12637" spans="1:14" ht="14.25" customHeight="1" x14ac:dyDescent="0.25">
      <c r="A12637" s="90" t="s">
        <v>47</v>
      </c>
      <c r="B12637" s="613" t="s">
        <v>440</v>
      </c>
      <c r="C12637" s="600"/>
      <c r="D12637" s="600"/>
      <c r="E12637" s="600"/>
      <c r="F12637" s="600"/>
      <c r="G12637" s="81"/>
      <c r="H12637" s="81"/>
      <c r="I12637" s="81"/>
      <c r="J12637" s="81"/>
      <c r="K12637" s="81"/>
      <c r="L12637" s="81"/>
      <c r="M12637" s="81"/>
      <c r="N12637" s="81"/>
    </row>
    <row r="12638" spans="1:14" ht="14.25" customHeight="1" x14ac:dyDescent="0.25">
      <c r="A12638" s="91"/>
      <c r="B12638" s="91"/>
      <c r="C12638" s="91"/>
      <c r="D12638" s="91"/>
      <c r="E12638" s="91"/>
      <c r="F12638" s="91"/>
      <c r="G12638" s="81"/>
      <c r="H12638" s="81"/>
      <c r="I12638" s="81"/>
      <c r="J12638" s="81"/>
      <c r="K12638" s="81"/>
      <c r="L12638" s="81"/>
      <c r="M12638" s="81"/>
      <c r="N12638" s="81"/>
    </row>
    <row r="12639" spans="1:14" ht="14.25" customHeight="1" x14ac:dyDescent="0.25">
      <c r="A12639" s="88" t="s">
        <v>49</v>
      </c>
      <c r="B12639" s="92" t="s">
        <v>99</v>
      </c>
      <c r="C12639" s="89"/>
      <c r="D12639" s="89"/>
      <c r="E12639" s="89"/>
      <c r="F12639" s="93"/>
      <c r="G12639" s="81"/>
      <c r="H12639" s="81"/>
      <c r="I12639" s="81"/>
      <c r="J12639" s="81"/>
      <c r="K12639" s="81"/>
      <c r="L12639" s="81"/>
      <c r="M12639" s="81"/>
      <c r="N12639" s="81"/>
    </row>
    <row r="12640" spans="1:14" ht="14.25" customHeight="1" x14ac:dyDescent="0.25">
      <c r="A12640" s="88"/>
      <c r="B12640" s="94"/>
      <c r="C12640" s="89"/>
      <c r="D12640" s="89"/>
      <c r="E12640" s="89"/>
      <c r="F12640" s="93"/>
      <c r="G12640" s="81"/>
      <c r="H12640" s="81"/>
      <c r="I12640" s="81"/>
      <c r="J12640" s="81"/>
      <c r="K12640" s="81"/>
      <c r="L12640" s="81"/>
      <c r="M12640" s="81"/>
      <c r="N12640" s="81"/>
    </row>
    <row r="12641" spans="1:14" ht="14.25" customHeight="1" x14ac:dyDescent="0.25">
      <c r="A12641" s="95" t="s">
        <v>562</v>
      </c>
      <c r="B12641" s="96"/>
      <c r="C12641" s="92"/>
      <c r="D12641" s="92"/>
      <c r="E12641" s="92"/>
      <c r="F12641" s="92"/>
      <c r="G12641" s="81"/>
      <c r="H12641" s="81"/>
      <c r="I12641" s="81"/>
      <c r="J12641" s="81"/>
      <c r="K12641" s="81"/>
      <c r="L12641" s="81"/>
      <c r="M12641" s="81"/>
      <c r="N12641" s="81"/>
    </row>
    <row r="12642" spans="1:14" ht="14.25" customHeight="1" x14ac:dyDescent="0.25">
      <c r="A12642" s="97" t="s">
        <v>563</v>
      </c>
      <c r="B12642" s="98" t="s">
        <v>564</v>
      </c>
      <c r="C12642" s="98" t="s">
        <v>565</v>
      </c>
      <c r="D12642" s="98" t="s">
        <v>566</v>
      </c>
      <c r="E12642" s="98" t="s">
        <v>567</v>
      </c>
      <c r="F12642" s="98" t="s">
        <v>568</v>
      </c>
      <c r="G12642" s="81"/>
      <c r="H12642" s="81"/>
      <c r="I12642" s="81"/>
      <c r="J12642" s="81"/>
      <c r="K12642" s="81"/>
      <c r="L12642" s="81"/>
      <c r="M12642" s="81"/>
      <c r="N12642" s="81"/>
    </row>
    <row r="12643" spans="1:14" ht="14.25" customHeight="1" x14ac:dyDescent="0.25">
      <c r="A12643" s="99" t="s">
        <v>870</v>
      </c>
      <c r="B12643" s="100" t="s">
        <v>99</v>
      </c>
      <c r="C12643" s="101">
        <v>1644554</v>
      </c>
      <c r="D12643" s="149">
        <v>1</v>
      </c>
      <c r="E12643" s="102"/>
      <c r="F12643" s="101">
        <f t="shared" ref="F12643:F12646" si="620">C12643*(D12643+(D12643*E12643))</f>
        <v>1644554</v>
      </c>
      <c r="G12643" s="81"/>
      <c r="H12643" s="81"/>
      <c r="I12643" s="81"/>
      <c r="J12643" s="81"/>
      <c r="K12643" s="81"/>
      <c r="L12643" s="81"/>
      <c r="M12643" s="81"/>
      <c r="N12643" s="81"/>
    </row>
    <row r="12644" spans="1:14" ht="14.25" customHeight="1" x14ac:dyDescent="0.25">
      <c r="A12644" s="99"/>
      <c r="B12644" s="100"/>
      <c r="C12644" s="101"/>
      <c r="D12644" s="149"/>
      <c r="E12644" s="102"/>
      <c r="F12644" s="101">
        <f t="shared" si="620"/>
        <v>0</v>
      </c>
      <c r="G12644" s="81"/>
      <c r="H12644" s="81"/>
      <c r="I12644" s="81"/>
      <c r="J12644" s="81"/>
      <c r="K12644" s="81"/>
      <c r="L12644" s="81"/>
      <c r="M12644" s="81"/>
      <c r="N12644" s="81"/>
    </row>
    <row r="12645" spans="1:14" ht="14.25" customHeight="1" x14ac:dyDescent="0.25">
      <c r="A12645" s="99"/>
      <c r="B12645" s="100"/>
      <c r="C12645" s="101"/>
      <c r="D12645" s="149"/>
      <c r="E12645" s="102"/>
      <c r="F12645" s="101">
        <f t="shared" si="620"/>
        <v>0</v>
      </c>
      <c r="G12645" s="81"/>
      <c r="H12645" s="81"/>
      <c r="I12645" s="81"/>
      <c r="J12645" s="81"/>
      <c r="K12645" s="81"/>
      <c r="L12645" s="81"/>
      <c r="M12645" s="81"/>
      <c r="N12645" s="81"/>
    </row>
    <row r="12646" spans="1:14" ht="14.25" customHeight="1" x14ac:dyDescent="0.25">
      <c r="A12646" s="99"/>
      <c r="B12646" s="100"/>
      <c r="C12646" s="101"/>
      <c r="D12646" s="149"/>
      <c r="E12646" s="102"/>
      <c r="F12646" s="101">
        <f t="shared" si="620"/>
        <v>0</v>
      </c>
      <c r="G12646" s="81"/>
      <c r="H12646" s="81"/>
      <c r="I12646" s="81"/>
      <c r="J12646" s="81"/>
      <c r="K12646" s="81"/>
      <c r="L12646" s="81"/>
      <c r="M12646" s="81"/>
      <c r="N12646" s="81"/>
    </row>
    <row r="12647" spans="1:14" ht="14.25" customHeight="1" x14ac:dyDescent="0.25">
      <c r="A12647" s="99"/>
      <c r="B12647" s="100"/>
      <c r="C12647" s="101"/>
      <c r="D12647" s="149"/>
      <c r="E12647" s="102"/>
      <c r="F12647" s="101"/>
      <c r="G12647" s="81"/>
      <c r="H12647" s="81"/>
      <c r="I12647" s="81"/>
      <c r="J12647" s="81"/>
      <c r="K12647" s="81"/>
      <c r="L12647" s="81"/>
      <c r="M12647" s="81"/>
      <c r="N12647" s="81"/>
    </row>
    <row r="12648" spans="1:14" ht="14.25" customHeight="1" x14ac:dyDescent="0.25">
      <c r="A12648" s="99"/>
      <c r="B12648" s="100"/>
      <c r="C12648" s="101"/>
      <c r="D12648" s="149"/>
      <c r="E12648" s="102"/>
      <c r="F12648" s="101"/>
      <c r="G12648" s="81"/>
      <c r="H12648" s="81"/>
      <c r="I12648" s="81"/>
      <c r="J12648" s="81"/>
      <c r="K12648" s="81"/>
      <c r="L12648" s="81"/>
      <c r="M12648" s="81"/>
      <c r="N12648" s="81"/>
    </row>
    <row r="12649" spans="1:14" ht="14.25" customHeight="1" x14ac:dyDescent="0.25">
      <c r="A12649" s="99"/>
      <c r="B12649" s="100"/>
      <c r="C12649" s="101"/>
      <c r="D12649" s="149"/>
      <c r="E12649" s="102"/>
      <c r="F12649" s="101"/>
      <c r="G12649" s="81"/>
      <c r="H12649" s="81"/>
      <c r="I12649" s="81"/>
      <c r="J12649" s="81"/>
      <c r="K12649" s="81"/>
      <c r="L12649" s="81"/>
      <c r="M12649" s="81"/>
      <c r="N12649" s="81"/>
    </row>
    <row r="12650" spans="1:14" ht="14.25" customHeight="1" x14ac:dyDescent="0.25">
      <c r="A12650" s="99"/>
      <c r="B12650" s="100"/>
      <c r="C12650" s="106"/>
      <c r="D12650" s="107"/>
      <c r="E12650" s="108"/>
      <c r="F12650" s="106"/>
      <c r="G12650" s="81"/>
      <c r="H12650" s="81"/>
      <c r="I12650" s="81"/>
      <c r="J12650" s="81"/>
      <c r="K12650" s="81"/>
      <c r="L12650" s="81"/>
      <c r="M12650" s="81"/>
      <c r="N12650" s="81"/>
    </row>
    <row r="12651" spans="1:14" ht="14.25" customHeight="1" x14ac:dyDescent="0.25">
      <c r="A12651" s="97" t="s">
        <v>548</v>
      </c>
      <c r="B12651" s="97"/>
      <c r="C12651" s="109"/>
      <c r="D12651" s="110"/>
      <c r="E12651" s="111"/>
      <c r="F12651" s="112">
        <f>SUM(F12643:F12650)</f>
        <v>1644554</v>
      </c>
      <c r="G12651" s="81"/>
      <c r="H12651" s="81"/>
      <c r="I12651" s="81"/>
      <c r="J12651" s="81"/>
      <c r="K12651" s="81"/>
      <c r="L12651" s="81"/>
      <c r="M12651" s="81"/>
      <c r="N12651" s="81"/>
    </row>
    <row r="12652" spans="1:14" ht="14.25" customHeight="1" x14ac:dyDescent="0.25">
      <c r="A12652" s="88"/>
      <c r="B12652" s="88"/>
      <c r="C12652" s="113"/>
      <c r="D12652" s="113"/>
      <c r="E12652" s="114"/>
      <c r="F12652" s="113"/>
      <c r="G12652" s="81"/>
      <c r="H12652" s="81"/>
      <c r="I12652" s="81"/>
      <c r="J12652" s="81"/>
      <c r="K12652" s="81"/>
      <c r="L12652" s="81"/>
      <c r="M12652" s="81"/>
      <c r="N12652" s="81"/>
    </row>
    <row r="12653" spans="1:14" ht="14.25" customHeight="1" x14ac:dyDescent="0.25">
      <c r="A12653" s="96" t="s">
        <v>573</v>
      </c>
      <c r="B12653" s="96"/>
      <c r="C12653" s="92"/>
      <c r="D12653" s="92"/>
      <c r="E12653" s="92"/>
      <c r="F12653" s="92"/>
      <c r="G12653" s="81"/>
      <c r="H12653" s="81"/>
      <c r="I12653" s="81"/>
      <c r="J12653" s="81"/>
      <c r="K12653" s="81"/>
      <c r="L12653" s="81"/>
      <c r="M12653" s="81"/>
      <c r="N12653" s="81"/>
    </row>
    <row r="12654" spans="1:14" ht="14.25" customHeight="1" x14ac:dyDescent="0.25">
      <c r="A12654" s="611" t="s">
        <v>563</v>
      </c>
      <c r="B12654" s="608"/>
      <c r="C12654" s="609"/>
      <c r="D12654" s="98" t="s">
        <v>574</v>
      </c>
      <c r="E12654" s="98" t="s">
        <v>575</v>
      </c>
      <c r="F12654" s="98" t="s">
        <v>568</v>
      </c>
      <c r="G12654" s="81"/>
      <c r="H12654" s="81"/>
      <c r="I12654" s="81"/>
      <c r="J12654" s="81"/>
      <c r="K12654" s="81"/>
      <c r="L12654" s="81"/>
      <c r="M12654" s="81"/>
      <c r="N12654" s="81"/>
    </row>
    <row r="12655" spans="1:14" ht="14.25" customHeight="1" x14ac:dyDescent="0.25">
      <c r="A12655" s="607" t="s">
        <v>577</v>
      </c>
      <c r="B12655" s="608"/>
      <c r="C12655" s="609"/>
      <c r="D12655" s="116"/>
      <c r="E12655" s="107"/>
      <c r="F12655" s="106">
        <f>+F12672*5%</f>
        <v>11783.130962353305</v>
      </c>
      <c r="G12655" s="81"/>
      <c r="H12655" s="81"/>
      <c r="I12655" s="81"/>
      <c r="J12655" s="81"/>
      <c r="K12655" s="81"/>
      <c r="L12655" s="81"/>
      <c r="M12655" s="81"/>
      <c r="N12655" s="81"/>
    </row>
    <row r="12656" spans="1:14" ht="14.25" customHeight="1" x14ac:dyDescent="0.25">
      <c r="A12656" s="607"/>
      <c r="B12656" s="608"/>
      <c r="C12656" s="609"/>
      <c r="D12656" s="142"/>
      <c r="E12656" s="105"/>
      <c r="F12656" s="106"/>
      <c r="G12656" s="81"/>
      <c r="H12656" s="81"/>
      <c r="I12656" s="81"/>
      <c r="J12656" s="81"/>
      <c r="K12656" s="81"/>
      <c r="L12656" s="81"/>
      <c r="M12656" s="81"/>
      <c r="N12656" s="81"/>
    </row>
    <row r="12657" spans="1:14" ht="14.25" customHeight="1" x14ac:dyDescent="0.25">
      <c r="A12657" s="607"/>
      <c r="B12657" s="608"/>
      <c r="C12657" s="609"/>
      <c r="D12657" s="142"/>
      <c r="E12657" s="105"/>
      <c r="F12657" s="106"/>
      <c r="G12657" s="81"/>
      <c r="H12657" s="81"/>
      <c r="I12657" s="81"/>
      <c r="J12657" s="81"/>
      <c r="K12657" s="81"/>
      <c r="L12657" s="81"/>
      <c r="M12657" s="81"/>
      <c r="N12657" s="81"/>
    </row>
    <row r="12658" spans="1:14" ht="14.25" customHeight="1" x14ac:dyDescent="0.25">
      <c r="A12658" s="607"/>
      <c r="B12658" s="608"/>
      <c r="C12658" s="609"/>
      <c r="D12658" s="142"/>
      <c r="E12658" s="107"/>
      <c r="F12658" s="106"/>
      <c r="G12658" s="81"/>
      <c r="H12658" s="81"/>
      <c r="I12658" s="81"/>
      <c r="J12658" s="81"/>
      <c r="K12658" s="81"/>
      <c r="L12658" s="81"/>
      <c r="M12658" s="81"/>
      <c r="N12658" s="81"/>
    </row>
    <row r="12659" spans="1:14" ht="14.25" customHeight="1" x14ac:dyDescent="0.25">
      <c r="A12659" s="607"/>
      <c r="B12659" s="608"/>
      <c r="C12659" s="609"/>
      <c r="D12659" s="142"/>
      <c r="E12659" s="107"/>
      <c r="F12659" s="106"/>
      <c r="G12659" s="81"/>
      <c r="H12659" s="81"/>
      <c r="I12659" s="81"/>
      <c r="J12659" s="81"/>
      <c r="K12659" s="81"/>
      <c r="L12659" s="81"/>
      <c r="M12659" s="81"/>
      <c r="N12659" s="81"/>
    </row>
    <row r="12660" spans="1:14" ht="14.25" customHeight="1" x14ac:dyDescent="0.25">
      <c r="A12660" s="607"/>
      <c r="B12660" s="608"/>
      <c r="C12660" s="609"/>
      <c r="D12660" s="142"/>
      <c r="E12660" s="107"/>
      <c r="F12660" s="106"/>
      <c r="G12660" s="81"/>
      <c r="H12660" s="81"/>
      <c r="I12660" s="81"/>
      <c r="J12660" s="81"/>
      <c r="K12660" s="81"/>
      <c r="L12660" s="81"/>
      <c r="M12660" s="81"/>
      <c r="N12660" s="81"/>
    </row>
    <row r="12661" spans="1:14" ht="14.25" customHeight="1" x14ac:dyDescent="0.25">
      <c r="A12661" s="607"/>
      <c r="B12661" s="608"/>
      <c r="C12661" s="609"/>
      <c r="D12661" s="142"/>
      <c r="E12661" s="107"/>
      <c r="F12661" s="106"/>
      <c r="G12661" s="81"/>
      <c r="H12661" s="81"/>
      <c r="I12661" s="81"/>
      <c r="J12661" s="81"/>
      <c r="K12661" s="81"/>
      <c r="L12661" s="81"/>
      <c r="M12661" s="81"/>
      <c r="N12661" s="81"/>
    </row>
    <row r="12662" spans="1:14" ht="14.25" customHeight="1" x14ac:dyDescent="0.25">
      <c r="A12662" s="607"/>
      <c r="B12662" s="608"/>
      <c r="C12662" s="609"/>
      <c r="D12662" s="142"/>
      <c r="E12662" s="107"/>
      <c r="F12662" s="106"/>
      <c r="G12662" s="81"/>
      <c r="H12662" s="81"/>
      <c r="I12662" s="81"/>
      <c r="J12662" s="81"/>
      <c r="K12662" s="81"/>
      <c r="L12662" s="81"/>
      <c r="M12662" s="81"/>
      <c r="N12662" s="81"/>
    </row>
    <row r="12663" spans="1:14" ht="14.25" customHeight="1" x14ac:dyDescent="0.25">
      <c r="A12663" s="610"/>
      <c r="B12663" s="608"/>
      <c r="C12663" s="609"/>
      <c r="D12663" s="115"/>
      <c r="E12663" s="107"/>
      <c r="F12663" s="106"/>
      <c r="G12663" s="81"/>
      <c r="H12663" s="81"/>
      <c r="I12663" s="81"/>
      <c r="J12663" s="81"/>
      <c r="K12663" s="81"/>
      <c r="L12663" s="81"/>
      <c r="M12663" s="81"/>
      <c r="N12663" s="81"/>
    </row>
    <row r="12664" spans="1:14" ht="14.25" customHeight="1" x14ac:dyDescent="0.25">
      <c r="A12664" s="611" t="s">
        <v>548</v>
      </c>
      <c r="B12664" s="608"/>
      <c r="C12664" s="609"/>
      <c r="D12664" s="110"/>
      <c r="E12664" s="110"/>
      <c r="F12664" s="112">
        <f>SUM(F12655:F12662)</f>
        <v>11783.130962353305</v>
      </c>
      <c r="G12664" s="81"/>
      <c r="H12664" s="81"/>
      <c r="I12664" s="81"/>
      <c r="J12664" s="81"/>
      <c r="K12664" s="81"/>
      <c r="L12664" s="81"/>
      <c r="M12664" s="81"/>
      <c r="N12664" s="81"/>
    </row>
    <row r="12665" spans="1:14" ht="14.25" customHeight="1" x14ac:dyDescent="0.25">
      <c r="A12665" s="88"/>
      <c r="B12665" s="88"/>
      <c r="C12665" s="89"/>
      <c r="D12665" s="113"/>
      <c r="E12665" s="113"/>
      <c r="F12665" s="113"/>
      <c r="G12665" s="81"/>
      <c r="H12665" s="81"/>
      <c r="I12665" s="81"/>
      <c r="J12665" s="81"/>
      <c r="K12665" s="81"/>
      <c r="L12665" s="81"/>
      <c r="M12665" s="81"/>
      <c r="N12665" s="81"/>
    </row>
    <row r="12666" spans="1:14" ht="14.25" customHeight="1" x14ac:dyDescent="0.25">
      <c r="A12666" s="96" t="s">
        <v>578</v>
      </c>
      <c r="B12666" s="96"/>
      <c r="C12666" s="92"/>
      <c r="D12666" s="118"/>
      <c r="E12666" s="118"/>
      <c r="F12666" s="118"/>
      <c r="G12666" s="81"/>
      <c r="H12666" s="81"/>
      <c r="I12666" s="81"/>
      <c r="J12666" s="81"/>
      <c r="K12666" s="81"/>
      <c r="L12666" s="81"/>
      <c r="M12666" s="81"/>
      <c r="N12666" s="81"/>
    </row>
    <row r="12667" spans="1:14" ht="14.25" customHeight="1" x14ac:dyDescent="0.25">
      <c r="A12667" s="119" t="s">
        <v>563</v>
      </c>
      <c r="B12667" s="120" t="s">
        <v>579</v>
      </c>
      <c r="C12667" s="120" t="s">
        <v>580</v>
      </c>
      <c r="D12667" s="121" t="s">
        <v>581</v>
      </c>
      <c r="E12667" s="121" t="s">
        <v>575</v>
      </c>
      <c r="F12667" s="121" t="s">
        <v>568</v>
      </c>
      <c r="G12667" s="81"/>
      <c r="H12667" s="81"/>
      <c r="I12667" s="81"/>
      <c r="J12667" s="81"/>
      <c r="K12667" s="81"/>
      <c r="L12667" s="81"/>
      <c r="M12667" s="81"/>
      <c r="N12667" s="81"/>
    </row>
    <row r="12668" spans="1:14" ht="14.25" customHeight="1" x14ac:dyDescent="0.25">
      <c r="A12668" s="122" t="s">
        <v>593</v>
      </c>
      <c r="B12668" s="127">
        <v>1</v>
      </c>
      <c r="C12668" s="101">
        <v>32688</v>
      </c>
      <c r="D12668" s="101">
        <f t="shared" ref="D12668:D12669" si="621">+C12668*1.7</f>
        <v>55569.599999999999</v>
      </c>
      <c r="E12668" s="107">
        <v>0.61479499999999998</v>
      </c>
      <c r="F12668" s="106">
        <f t="shared" ref="F12668:F12669" si="622">+B12668*(D12668)/E12668</f>
        <v>90387.202238144426</v>
      </c>
      <c r="G12668" s="81"/>
      <c r="H12668" s="81"/>
      <c r="I12668" s="81"/>
      <c r="J12668" s="81"/>
      <c r="K12668" s="81"/>
      <c r="L12668" s="81"/>
      <c r="M12668" s="81"/>
      <c r="N12668" s="81"/>
    </row>
    <row r="12669" spans="1:14" ht="14.25" customHeight="1" x14ac:dyDescent="0.25">
      <c r="A12669" s="122" t="s">
        <v>594</v>
      </c>
      <c r="B12669" s="127">
        <v>1</v>
      </c>
      <c r="C12669" s="101">
        <v>52538</v>
      </c>
      <c r="D12669" s="101">
        <f t="shared" si="621"/>
        <v>89314.599999999991</v>
      </c>
      <c r="E12669" s="107">
        <f>E12668</f>
        <v>0.61479499999999998</v>
      </c>
      <c r="F12669" s="106">
        <f t="shared" si="622"/>
        <v>145275.41700892165</v>
      </c>
      <c r="G12669" s="81"/>
      <c r="H12669" s="81"/>
      <c r="I12669" s="81"/>
      <c r="J12669" s="81"/>
      <c r="K12669" s="81"/>
      <c r="L12669" s="81"/>
      <c r="M12669" s="81"/>
      <c r="N12669" s="81"/>
    </row>
    <row r="12670" spans="1:14" ht="14.25" customHeight="1" x14ac:dyDescent="0.25">
      <c r="A12670" s="122"/>
      <c r="B12670" s="127"/>
      <c r="C12670" s="101"/>
      <c r="D12670" s="101"/>
      <c r="E12670" s="105"/>
      <c r="F12670" s="106"/>
      <c r="G12670" s="81"/>
      <c r="H12670" s="81"/>
      <c r="I12670" s="81"/>
      <c r="J12670" s="81"/>
      <c r="K12670" s="81"/>
      <c r="L12670" s="81"/>
      <c r="M12670" s="81"/>
      <c r="N12670" s="81"/>
    </row>
    <row r="12671" spans="1:14" ht="14.25" customHeight="1" x14ac:dyDescent="0.25">
      <c r="A12671" s="122"/>
      <c r="B12671" s="127"/>
      <c r="C12671" s="101"/>
      <c r="D12671" s="101"/>
      <c r="E12671" s="125"/>
      <c r="F12671" s="106"/>
      <c r="G12671" s="81"/>
      <c r="H12671" s="81"/>
      <c r="I12671" s="81"/>
      <c r="J12671" s="81"/>
      <c r="K12671" s="81"/>
      <c r="L12671" s="81"/>
      <c r="M12671" s="81"/>
      <c r="N12671" s="81"/>
    </row>
    <row r="12672" spans="1:14" ht="14.25" customHeight="1" x14ac:dyDescent="0.25">
      <c r="A12672" s="97" t="s">
        <v>548</v>
      </c>
      <c r="B12672" s="128"/>
      <c r="C12672" s="110"/>
      <c r="D12672" s="110"/>
      <c r="E12672" s="110"/>
      <c r="F12672" s="112">
        <f>SUM(F12668:F12671)</f>
        <v>235662.61924706609</v>
      </c>
      <c r="G12672" s="81"/>
      <c r="H12672" s="81"/>
      <c r="I12672" s="81"/>
      <c r="J12672" s="81"/>
      <c r="K12672" s="81"/>
      <c r="L12672" s="81"/>
      <c r="M12672" s="81"/>
      <c r="N12672" s="81"/>
    </row>
    <row r="12673" spans="1:14" ht="14.25" customHeight="1" x14ac:dyDescent="0.25">
      <c r="A12673" s="96"/>
      <c r="B12673" s="129"/>
      <c r="C12673" s="118"/>
      <c r="D12673" s="118"/>
      <c r="E12673" s="118"/>
      <c r="F12673" s="118"/>
      <c r="G12673" s="81"/>
      <c r="H12673" s="81"/>
      <c r="I12673" s="81"/>
      <c r="J12673" s="81"/>
      <c r="K12673" s="81"/>
      <c r="L12673" s="81"/>
      <c r="M12673" s="81"/>
      <c r="N12673" s="81"/>
    </row>
    <row r="12674" spans="1:14" ht="14.25" customHeight="1" x14ac:dyDescent="0.25">
      <c r="A12674" s="95" t="s">
        <v>583</v>
      </c>
      <c r="B12674" s="96"/>
      <c r="C12674" s="92"/>
      <c r="D12674" s="92"/>
      <c r="E12674" s="92" t="s">
        <v>584</v>
      </c>
      <c r="F12674" s="92"/>
      <c r="G12674" s="81"/>
      <c r="H12674" s="81"/>
      <c r="I12674" s="81"/>
      <c r="J12674" s="81"/>
      <c r="K12674" s="81"/>
      <c r="L12674" s="81"/>
      <c r="M12674" s="81"/>
      <c r="N12674" s="81"/>
    </row>
    <row r="12675" spans="1:14" ht="14.25" customHeight="1" x14ac:dyDescent="0.25">
      <c r="A12675" s="97" t="s">
        <v>563</v>
      </c>
      <c r="B12675" s="98" t="s">
        <v>564</v>
      </c>
      <c r="C12675" s="98" t="s">
        <v>585</v>
      </c>
      <c r="D12675" s="98" t="s">
        <v>586</v>
      </c>
      <c r="E12675" s="120" t="s">
        <v>587</v>
      </c>
      <c r="F12675" s="98" t="s">
        <v>568</v>
      </c>
      <c r="G12675" s="81"/>
      <c r="H12675" s="81"/>
      <c r="I12675" s="81"/>
      <c r="J12675" s="81"/>
      <c r="K12675" s="81"/>
      <c r="L12675" s="81"/>
      <c r="M12675" s="81"/>
      <c r="N12675" s="81"/>
    </row>
    <row r="12676" spans="1:14" ht="14.25" customHeight="1" x14ac:dyDescent="0.25">
      <c r="A12676" s="103"/>
      <c r="B12676" s="100"/>
      <c r="C12676" s="101"/>
      <c r="D12676" s="140"/>
      <c r="E12676" s="107"/>
      <c r="F12676" s="109"/>
      <c r="G12676" s="81"/>
      <c r="H12676" s="81"/>
      <c r="I12676" s="81"/>
      <c r="J12676" s="81"/>
      <c r="K12676" s="81"/>
      <c r="L12676" s="81"/>
      <c r="M12676" s="81"/>
      <c r="N12676" s="81"/>
    </row>
    <row r="12677" spans="1:14" ht="14.25" customHeight="1" x14ac:dyDescent="0.25">
      <c r="A12677" s="103"/>
      <c r="B12677" s="100"/>
      <c r="C12677" s="107"/>
      <c r="D12677" s="107"/>
      <c r="E12677" s="108"/>
      <c r="F12677" s="109"/>
      <c r="G12677" s="81"/>
      <c r="H12677" s="81"/>
      <c r="I12677" s="81"/>
      <c r="J12677" s="81"/>
      <c r="K12677" s="81"/>
      <c r="L12677" s="81"/>
      <c r="M12677" s="81"/>
      <c r="N12677" s="81"/>
    </row>
    <row r="12678" spans="1:14" ht="14.25" customHeight="1" x14ac:dyDescent="0.25">
      <c r="A12678" s="97" t="s">
        <v>548</v>
      </c>
      <c r="B12678" s="98"/>
      <c r="C12678" s="110"/>
      <c r="D12678" s="110"/>
      <c r="E12678" s="111"/>
      <c r="F12678" s="112">
        <f>SUM(F12676:F12677)</f>
        <v>0</v>
      </c>
      <c r="G12678" s="81"/>
      <c r="H12678" s="81"/>
      <c r="I12678" s="81"/>
      <c r="J12678" s="81"/>
      <c r="K12678" s="81"/>
      <c r="L12678" s="81"/>
      <c r="M12678" s="81"/>
      <c r="N12678" s="81"/>
    </row>
    <row r="12679" spans="1:14" ht="14.25" customHeight="1" x14ac:dyDescent="0.25">
      <c r="A12679" s="88"/>
      <c r="B12679" s="89"/>
      <c r="C12679" s="113"/>
      <c r="D12679" s="113"/>
      <c r="E12679" s="114"/>
      <c r="F12679" s="113"/>
      <c r="G12679" s="81"/>
      <c r="H12679" s="143"/>
      <c r="I12679" s="81"/>
      <c r="J12679" s="81"/>
      <c r="K12679" s="81"/>
      <c r="L12679" s="81"/>
      <c r="M12679" s="81"/>
      <c r="N12679" s="81"/>
    </row>
    <row r="12680" spans="1:14" ht="14.25" customHeight="1" x14ac:dyDescent="0.25">
      <c r="A12680" s="88"/>
      <c r="B12680" s="89"/>
      <c r="C12680" s="113"/>
      <c r="D12680" s="113"/>
      <c r="E12680" s="114"/>
      <c r="F12680" s="113"/>
      <c r="G12680" s="81"/>
      <c r="H12680" s="81"/>
      <c r="I12680" s="81"/>
      <c r="J12680" s="81"/>
      <c r="K12680" s="81"/>
      <c r="L12680" s="81"/>
      <c r="M12680" s="81"/>
      <c r="N12680" s="81"/>
    </row>
    <row r="12681" spans="1:14" ht="14.25" customHeight="1" x14ac:dyDescent="0.25">
      <c r="A12681" s="612" t="s">
        <v>588</v>
      </c>
      <c r="B12681" s="608"/>
      <c r="C12681" s="608"/>
      <c r="D12681" s="608"/>
      <c r="E12681" s="609"/>
      <c r="F12681" s="131">
        <f>ROUND(F12651+F12664+F12672+F12678,0)</f>
        <v>1892000</v>
      </c>
      <c r="G12681" s="81"/>
      <c r="H12681" s="81"/>
      <c r="I12681" s="81"/>
      <c r="J12681" s="81"/>
      <c r="K12681" s="81"/>
      <c r="L12681" s="81"/>
      <c r="M12681" s="81"/>
      <c r="N12681" s="81"/>
    </row>
    <row r="12682" spans="1:14" ht="14.25" customHeight="1" x14ac:dyDescent="0.25">
      <c r="A12682" s="612" t="s">
        <v>589</v>
      </c>
      <c r="B12682" s="608"/>
      <c r="C12682" s="608"/>
      <c r="D12682" s="608"/>
      <c r="E12682" s="609"/>
      <c r="F12682" s="132"/>
      <c r="G12682" s="81"/>
      <c r="H12682" s="81"/>
      <c r="I12682" s="81"/>
      <c r="J12682" s="81"/>
      <c r="K12682" s="81"/>
      <c r="L12682" s="81"/>
      <c r="M12682" s="81"/>
      <c r="N12682" s="81"/>
    </row>
    <row r="12683" spans="1:14" ht="14.25" customHeight="1" x14ac:dyDescent="0.25">
      <c r="A12683" s="146" t="s">
        <v>556</v>
      </c>
      <c r="B12683" s="147"/>
      <c r="C12683" s="147"/>
      <c r="D12683" s="147"/>
      <c r="E12683" s="148"/>
      <c r="F12683" s="133"/>
      <c r="G12683" s="81"/>
      <c r="H12683" s="81"/>
      <c r="I12683" s="81"/>
      <c r="J12683" s="81"/>
      <c r="K12683" s="81"/>
      <c r="L12683" s="81"/>
      <c r="M12683" s="81"/>
      <c r="N12683" s="81"/>
    </row>
    <row r="12684" spans="1:14" ht="14.25" customHeight="1" x14ac:dyDescent="0.25">
      <c r="A12684" s="134"/>
      <c r="B12684" s="135"/>
      <c r="C12684" s="135"/>
      <c r="D12684" s="135"/>
      <c r="E12684" s="135"/>
      <c r="F12684" s="136"/>
      <c r="G12684" s="81"/>
      <c r="H12684" s="81"/>
      <c r="I12684" s="81"/>
      <c r="J12684" s="81"/>
      <c r="K12684" s="81"/>
      <c r="L12684" s="81"/>
      <c r="M12684" s="81"/>
      <c r="N12684" s="81"/>
    </row>
    <row r="12685" spans="1:14" ht="14.25" customHeight="1" x14ac:dyDescent="0.25">
      <c r="A12685" s="81"/>
      <c r="B12685" s="81"/>
      <c r="C12685" s="137"/>
      <c r="D12685" s="81"/>
      <c r="E12685" s="81"/>
      <c r="F12685" s="81"/>
      <c r="G12685" s="81"/>
      <c r="H12685" s="81"/>
      <c r="I12685" s="81"/>
      <c r="J12685" s="81"/>
      <c r="K12685" s="81"/>
      <c r="L12685" s="81"/>
      <c r="M12685" s="81"/>
      <c r="N12685" s="81"/>
    </row>
    <row r="12686" spans="1:14" ht="14.25" customHeight="1" x14ac:dyDescent="0.25">
      <c r="A12686" s="81"/>
      <c r="B12686" s="81"/>
      <c r="C12686" s="137"/>
      <c r="D12686" s="81"/>
      <c r="E12686" s="81"/>
      <c r="F12686" s="81"/>
      <c r="G12686" s="81"/>
      <c r="H12686" s="81"/>
      <c r="I12686" s="81"/>
      <c r="J12686" s="81"/>
      <c r="K12686" s="81"/>
      <c r="L12686" s="81"/>
      <c r="M12686" s="81"/>
      <c r="N12686" s="81"/>
    </row>
    <row r="12687" spans="1:14" ht="14.25" customHeight="1" x14ac:dyDescent="0.25">
      <c r="A12687" s="81"/>
      <c r="B12687" s="81"/>
      <c r="C12687" s="137"/>
      <c r="D12687" s="81"/>
      <c r="E12687" s="81"/>
      <c r="F12687" s="81"/>
      <c r="G12687" s="81"/>
      <c r="H12687" s="81"/>
      <c r="I12687" s="81"/>
      <c r="J12687" s="81"/>
      <c r="K12687" s="81"/>
      <c r="L12687" s="81"/>
      <c r="M12687" s="81"/>
      <c r="N12687" s="81"/>
    </row>
    <row r="12688" spans="1:14" ht="14.25" customHeight="1" x14ac:dyDescent="0.25">
      <c r="A12688" s="81"/>
      <c r="B12688" s="81"/>
      <c r="C12688" s="137"/>
      <c r="D12688" s="81"/>
      <c r="E12688" s="81"/>
      <c r="F12688" s="81"/>
      <c r="G12688" s="81"/>
      <c r="H12688" s="81"/>
      <c r="I12688" s="81"/>
      <c r="J12688" s="81"/>
      <c r="K12688" s="81"/>
      <c r="L12688" s="81"/>
      <c r="M12688" s="81"/>
      <c r="N12688" s="81"/>
    </row>
    <row r="12689" spans="1:14" ht="14.25" customHeight="1" x14ac:dyDescent="0.25">
      <c r="A12689" s="134"/>
      <c r="B12689" s="135"/>
      <c r="C12689" s="135"/>
      <c r="D12689" s="135"/>
      <c r="E12689" s="135"/>
      <c r="F12689" s="136"/>
      <c r="G12689" s="81"/>
      <c r="H12689" s="81"/>
      <c r="I12689" s="81"/>
      <c r="J12689" s="81"/>
      <c r="K12689" s="81"/>
      <c r="L12689" s="81"/>
      <c r="M12689" s="81"/>
      <c r="N12689" s="81"/>
    </row>
    <row r="12690" spans="1:14" ht="14.25" customHeight="1" x14ac:dyDescent="0.25">
      <c r="A12690" s="134"/>
      <c r="B12690" s="135"/>
      <c r="C12690" s="135"/>
      <c r="D12690" s="135"/>
      <c r="E12690" s="135"/>
      <c r="F12690" s="136"/>
      <c r="G12690" s="81"/>
      <c r="H12690" s="81"/>
      <c r="I12690" s="81"/>
      <c r="J12690" s="81"/>
      <c r="K12690" s="81"/>
      <c r="L12690" s="81"/>
      <c r="M12690" s="81"/>
      <c r="N12690" s="81"/>
    </row>
    <row r="12691" spans="1:14" ht="14.25" customHeight="1" x14ac:dyDescent="0.25">
      <c r="A12691" s="134"/>
      <c r="B12691" s="135"/>
      <c r="C12691" s="135"/>
      <c r="D12691" s="135"/>
      <c r="E12691" s="135"/>
      <c r="F12691" s="135"/>
      <c r="G12691" s="81"/>
      <c r="H12691" s="81"/>
      <c r="I12691" s="81"/>
      <c r="J12691" s="81"/>
      <c r="K12691" s="81"/>
      <c r="L12691" s="81"/>
      <c r="M12691" s="81"/>
      <c r="N12691" s="81"/>
    </row>
    <row r="12692" spans="1:14" ht="14.25" customHeight="1" thickBot="1" x14ac:dyDescent="0.3">
      <c r="A12692" s="81"/>
      <c r="B12692" s="81"/>
      <c r="C12692" s="81"/>
      <c r="D12692" s="81"/>
      <c r="E12692" s="81"/>
      <c r="F12692" s="81"/>
      <c r="G12692" s="81"/>
      <c r="H12692" s="81"/>
      <c r="I12692" s="81"/>
      <c r="J12692" s="81"/>
      <c r="K12692" s="81"/>
      <c r="L12692" s="81"/>
      <c r="M12692" s="81"/>
      <c r="N12692" s="81"/>
    </row>
    <row r="12693" spans="1:14" ht="14.25" customHeight="1" x14ac:dyDescent="0.25">
      <c r="A12693" s="83"/>
      <c r="B12693" s="84"/>
      <c r="C12693" s="85"/>
      <c r="D12693" s="86"/>
      <c r="E12693" s="86"/>
      <c r="F12693" s="87"/>
      <c r="G12693" s="81"/>
      <c r="H12693" s="81"/>
      <c r="I12693" s="81"/>
      <c r="J12693" s="81"/>
      <c r="K12693" s="81"/>
      <c r="L12693" s="81"/>
      <c r="M12693" s="81"/>
      <c r="N12693" s="81"/>
    </row>
    <row r="12694" spans="1:14" ht="14.25" customHeight="1" x14ac:dyDescent="0.25">
      <c r="A12694" s="599"/>
      <c r="B12694" s="600"/>
      <c r="C12694" s="600"/>
      <c r="D12694" s="600"/>
      <c r="E12694" s="600"/>
      <c r="F12694" s="601"/>
      <c r="G12694" s="81"/>
      <c r="H12694" s="81"/>
      <c r="I12694" s="81"/>
      <c r="J12694" s="81"/>
      <c r="K12694" s="81"/>
      <c r="L12694" s="81"/>
      <c r="M12694" s="81"/>
      <c r="N12694" s="81"/>
    </row>
    <row r="12695" spans="1:14" ht="14.25" customHeight="1" x14ac:dyDescent="0.25">
      <c r="A12695" s="602" t="s">
        <v>561</v>
      </c>
      <c r="B12695" s="600"/>
      <c r="C12695" s="600"/>
      <c r="D12695" s="600"/>
      <c r="E12695" s="600"/>
      <c r="F12695" s="601"/>
      <c r="G12695" s="81"/>
      <c r="H12695" s="81"/>
      <c r="I12695" s="81"/>
      <c r="J12695" s="81"/>
      <c r="K12695" s="81"/>
      <c r="L12695" s="81"/>
      <c r="M12695" s="81"/>
      <c r="N12695" s="81"/>
    </row>
    <row r="12696" spans="1:14" ht="14.25" customHeight="1" thickBot="1" x14ac:dyDescent="0.3">
      <c r="A12696" s="603"/>
      <c r="B12696" s="604"/>
      <c r="C12696" s="604"/>
      <c r="D12696" s="604"/>
      <c r="E12696" s="604"/>
      <c r="F12696" s="605"/>
      <c r="G12696" s="81"/>
      <c r="H12696" s="81"/>
      <c r="I12696" s="81"/>
      <c r="J12696" s="81"/>
      <c r="K12696" s="81"/>
      <c r="L12696" s="81"/>
      <c r="M12696" s="81"/>
      <c r="N12696" s="81"/>
    </row>
    <row r="12697" spans="1:14" ht="14.25" customHeight="1" x14ac:dyDescent="0.25">
      <c r="A12697" s="88"/>
      <c r="B12697" s="88"/>
      <c r="C12697" s="89"/>
      <c r="D12697" s="89"/>
      <c r="E12697" s="89"/>
      <c r="F12697" s="89"/>
      <c r="G12697" s="81"/>
      <c r="H12697" s="81"/>
      <c r="I12697" s="81"/>
      <c r="J12697" s="81"/>
      <c r="K12697" s="81"/>
      <c r="L12697" s="81"/>
      <c r="M12697" s="81"/>
      <c r="N12697" s="81"/>
    </row>
    <row r="12698" spans="1:14" ht="14.25" customHeight="1" x14ac:dyDescent="0.25">
      <c r="A12698" s="90" t="s">
        <v>47</v>
      </c>
      <c r="B12698" s="613" t="s">
        <v>441</v>
      </c>
      <c r="C12698" s="600"/>
      <c r="D12698" s="600"/>
      <c r="E12698" s="600"/>
      <c r="F12698" s="600"/>
      <c r="G12698" s="81"/>
      <c r="H12698" s="81"/>
      <c r="I12698" s="81"/>
      <c r="J12698" s="81"/>
      <c r="K12698" s="81"/>
      <c r="L12698" s="81"/>
      <c r="M12698" s="81"/>
      <c r="N12698" s="81"/>
    </row>
    <row r="12699" spans="1:14" ht="14.25" customHeight="1" x14ac:dyDescent="0.25">
      <c r="A12699" s="91"/>
      <c r="B12699" s="91"/>
      <c r="C12699" s="91"/>
      <c r="D12699" s="91"/>
      <c r="E12699" s="91"/>
      <c r="F12699" s="91"/>
      <c r="G12699" s="81"/>
      <c r="H12699" s="81"/>
      <c r="I12699" s="81"/>
      <c r="J12699" s="81"/>
      <c r="K12699" s="81"/>
      <c r="L12699" s="81"/>
      <c r="M12699" s="81"/>
      <c r="N12699" s="81"/>
    </row>
    <row r="12700" spans="1:14" ht="14.25" customHeight="1" x14ac:dyDescent="0.25">
      <c r="A12700" s="88" t="s">
        <v>49</v>
      </c>
      <c r="B12700" s="92" t="s">
        <v>99</v>
      </c>
      <c r="C12700" s="89"/>
      <c r="D12700" s="89"/>
      <c r="E12700" s="89"/>
      <c r="F12700" s="93"/>
      <c r="G12700" s="81"/>
      <c r="H12700" s="81"/>
      <c r="I12700" s="81"/>
      <c r="J12700" s="81"/>
      <c r="K12700" s="81"/>
      <c r="L12700" s="81"/>
      <c r="M12700" s="81"/>
      <c r="N12700" s="81"/>
    </row>
    <row r="12701" spans="1:14" ht="14.25" customHeight="1" x14ac:dyDescent="0.25">
      <c r="A12701" s="88"/>
      <c r="B12701" s="94"/>
      <c r="C12701" s="89"/>
      <c r="D12701" s="89"/>
      <c r="E12701" s="89"/>
      <c r="F12701" s="93"/>
      <c r="G12701" s="81"/>
      <c r="H12701" s="81"/>
      <c r="I12701" s="81"/>
      <c r="J12701" s="81"/>
      <c r="K12701" s="81"/>
      <c r="L12701" s="81"/>
      <c r="M12701" s="81"/>
      <c r="N12701" s="81"/>
    </row>
    <row r="12702" spans="1:14" ht="14.25" customHeight="1" x14ac:dyDescent="0.25">
      <c r="A12702" s="95" t="s">
        <v>562</v>
      </c>
      <c r="B12702" s="96"/>
      <c r="C12702" s="92"/>
      <c r="D12702" s="92"/>
      <c r="E12702" s="92"/>
      <c r="F12702" s="92"/>
      <c r="G12702" s="81"/>
      <c r="H12702" s="81"/>
      <c r="I12702" s="81"/>
      <c r="J12702" s="81"/>
      <c r="K12702" s="81"/>
      <c r="L12702" s="81"/>
      <c r="M12702" s="81"/>
      <c r="N12702" s="81"/>
    </row>
    <row r="12703" spans="1:14" ht="14.25" customHeight="1" x14ac:dyDescent="0.25">
      <c r="A12703" s="97" t="s">
        <v>563</v>
      </c>
      <c r="B12703" s="98" t="s">
        <v>564</v>
      </c>
      <c r="C12703" s="98" t="s">
        <v>565</v>
      </c>
      <c r="D12703" s="98" t="s">
        <v>566</v>
      </c>
      <c r="E12703" s="98" t="s">
        <v>567</v>
      </c>
      <c r="F12703" s="98" t="s">
        <v>568</v>
      </c>
      <c r="G12703" s="81"/>
      <c r="H12703" s="81"/>
      <c r="I12703" s="81"/>
      <c r="J12703" s="81"/>
      <c r="K12703" s="81"/>
      <c r="L12703" s="81"/>
      <c r="M12703" s="81"/>
      <c r="N12703" s="81"/>
    </row>
    <row r="12704" spans="1:14" ht="14.25" customHeight="1" x14ac:dyDescent="0.25">
      <c r="A12704" s="99" t="s">
        <v>871</v>
      </c>
      <c r="B12704" s="100" t="s">
        <v>99</v>
      </c>
      <c r="C12704" s="101">
        <v>675860</v>
      </c>
      <c r="D12704" s="149">
        <v>1</v>
      </c>
      <c r="E12704" s="102"/>
      <c r="F12704" s="101">
        <f t="shared" ref="F12704:F12707" si="623">C12704*(D12704+(D12704*E12704))</f>
        <v>675860</v>
      </c>
      <c r="G12704" s="81"/>
      <c r="H12704" s="81"/>
      <c r="I12704" s="81"/>
      <c r="J12704" s="81"/>
      <c r="K12704" s="81"/>
      <c r="L12704" s="81"/>
      <c r="M12704" s="81"/>
      <c r="N12704" s="81"/>
    </row>
    <row r="12705" spans="1:14" ht="14.25" customHeight="1" x14ac:dyDescent="0.25">
      <c r="A12705" s="99"/>
      <c r="B12705" s="100"/>
      <c r="C12705" s="101"/>
      <c r="D12705" s="149"/>
      <c r="E12705" s="102"/>
      <c r="F12705" s="101">
        <f t="shared" si="623"/>
        <v>0</v>
      </c>
      <c r="G12705" s="81"/>
      <c r="H12705" s="81"/>
      <c r="I12705" s="81"/>
      <c r="J12705" s="81"/>
      <c r="K12705" s="81"/>
      <c r="L12705" s="81"/>
      <c r="M12705" s="81"/>
      <c r="N12705" s="81"/>
    </row>
    <row r="12706" spans="1:14" ht="14.25" customHeight="1" x14ac:dyDescent="0.25">
      <c r="A12706" s="99"/>
      <c r="B12706" s="100"/>
      <c r="C12706" s="101"/>
      <c r="D12706" s="149"/>
      <c r="E12706" s="102"/>
      <c r="F12706" s="101">
        <f t="shared" si="623"/>
        <v>0</v>
      </c>
      <c r="G12706" s="81"/>
      <c r="H12706" s="81"/>
      <c r="I12706" s="81"/>
      <c r="J12706" s="81"/>
      <c r="K12706" s="81"/>
      <c r="L12706" s="81"/>
      <c r="M12706" s="81"/>
      <c r="N12706" s="81"/>
    </row>
    <row r="12707" spans="1:14" ht="14.25" customHeight="1" x14ac:dyDescent="0.25">
      <c r="A12707" s="99"/>
      <c r="B12707" s="100"/>
      <c r="C12707" s="101"/>
      <c r="D12707" s="149"/>
      <c r="E12707" s="102"/>
      <c r="F12707" s="101">
        <f t="shared" si="623"/>
        <v>0</v>
      </c>
      <c r="G12707" s="81"/>
      <c r="H12707" s="81"/>
      <c r="I12707" s="81"/>
      <c r="J12707" s="81"/>
      <c r="K12707" s="81"/>
      <c r="L12707" s="81"/>
      <c r="M12707" s="81"/>
      <c r="N12707" s="81"/>
    </row>
    <row r="12708" spans="1:14" ht="14.25" customHeight="1" x14ac:dyDescent="0.25">
      <c r="A12708" s="99"/>
      <c r="B12708" s="100"/>
      <c r="C12708" s="101"/>
      <c r="D12708" s="149"/>
      <c r="E12708" s="102"/>
      <c r="F12708" s="101"/>
      <c r="G12708" s="81"/>
      <c r="H12708" s="81"/>
      <c r="I12708" s="81"/>
      <c r="J12708" s="81"/>
      <c r="K12708" s="81"/>
      <c r="L12708" s="81"/>
      <c r="M12708" s="81"/>
      <c r="N12708" s="81"/>
    </row>
    <row r="12709" spans="1:14" ht="14.25" customHeight="1" x14ac:dyDescent="0.25">
      <c r="A12709" s="99"/>
      <c r="B12709" s="100"/>
      <c r="C12709" s="101"/>
      <c r="D12709" s="149"/>
      <c r="E12709" s="102"/>
      <c r="F12709" s="101"/>
      <c r="G12709" s="81"/>
      <c r="H12709" s="81"/>
      <c r="I12709" s="81"/>
      <c r="J12709" s="81"/>
      <c r="K12709" s="81"/>
      <c r="L12709" s="81"/>
      <c r="M12709" s="81"/>
      <c r="N12709" s="81"/>
    </row>
    <row r="12710" spans="1:14" ht="14.25" customHeight="1" x14ac:dyDescent="0.25">
      <c r="A12710" s="99"/>
      <c r="B12710" s="100"/>
      <c r="C12710" s="101"/>
      <c r="D12710" s="149"/>
      <c r="E12710" s="102"/>
      <c r="F12710" s="101"/>
      <c r="G12710" s="81"/>
      <c r="H12710" s="81"/>
      <c r="I12710" s="81"/>
      <c r="J12710" s="81"/>
      <c r="K12710" s="81"/>
      <c r="L12710" s="81"/>
      <c r="M12710" s="81"/>
      <c r="N12710" s="81"/>
    </row>
    <row r="12711" spans="1:14" ht="14.25" customHeight="1" x14ac:dyDescent="0.25">
      <c r="A12711" s="99"/>
      <c r="B12711" s="100"/>
      <c r="C12711" s="106"/>
      <c r="D12711" s="107"/>
      <c r="E12711" s="108"/>
      <c r="F12711" s="106"/>
      <c r="G12711" s="81"/>
      <c r="H12711" s="81"/>
      <c r="I12711" s="81"/>
      <c r="J12711" s="81"/>
      <c r="K12711" s="81"/>
      <c r="L12711" s="81"/>
      <c r="M12711" s="81"/>
      <c r="N12711" s="81"/>
    </row>
    <row r="12712" spans="1:14" ht="14.25" customHeight="1" x14ac:dyDescent="0.25">
      <c r="A12712" s="97" t="s">
        <v>548</v>
      </c>
      <c r="B12712" s="97"/>
      <c r="C12712" s="109"/>
      <c r="D12712" s="110"/>
      <c r="E12712" s="111"/>
      <c r="F12712" s="112">
        <f>SUM(F12704:F12711)</f>
        <v>675860</v>
      </c>
      <c r="G12712" s="81"/>
      <c r="H12712" s="81"/>
      <c r="I12712" s="81"/>
      <c r="J12712" s="81"/>
      <c r="K12712" s="81"/>
      <c r="L12712" s="81"/>
      <c r="M12712" s="81"/>
      <c r="N12712" s="81"/>
    </row>
    <row r="12713" spans="1:14" ht="14.25" customHeight="1" x14ac:dyDescent="0.25">
      <c r="A12713" s="88"/>
      <c r="B12713" s="88"/>
      <c r="C12713" s="113"/>
      <c r="D12713" s="113"/>
      <c r="E12713" s="114"/>
      <c r="F12713" s="113"/>
      <c r="G12713" s="81"/>
      <c r="H12713" s="81"/>
      <c r="I12713" s="81"/>
      <c r="J12713" s="81"/>
      <c r="K12713" s="81"/>
      <c r="L12713" s="81"/>
      <c r="M12713" s="81"/>
      <c r="N12713" s="81"/>
    </row>
    <row r="12714" spans="1:14" ht="14.25" customHeight="1" x14ac:dyDescent="0.25">
      <c r="A12714" s="96" t="s">
        <v>573</v>
      </c>
      <c r="B12714" s="96"/>
      <c r="C12714" s="92"/>
      <c r="D12714" s="92"/>
      <c r="E12714" s="92"/>
      <c r="F12714" s="92"/>
      <c r="G12714" s="81"/>
      <c r="H12714" s="81"/>
      <c r="I12714" s="81"/>
      <c r="J12714" s="81"/>
      <c r="K12714" s="81"/>
      <c r="L12714" s="81"/>
      <c r="M12714" s="81"/>
      <c r="N12714" s="81"/>
    </row>
    <row r="12715" spans="1:14" ht="14.25" customHeight="1" x14ac:dyDescent="0.25">
      <c r="A12715" s="611" t="s">
        <v>563</v>
      </c>
      <c r="B12715" s="608"/>
      <c r="C12715" s="609"/>
      <c r="D12715" s="98" t="s">
        <v>574</v>
      </c>
      <c r="E12715" s="98" t="s">
        <v>575</v>
      </c>
      <c r="F12715" s="98" t="s">
        <v>568</v>
      </c>
      <c r="G12715" s="81"/>
      <c r="H12715" s="81"/>
      <c r="I12715" s="81"/>
      <c r="J12715" s="81"/>
      <c r="K12715" s="81"/>
      <c r="L12715" s="81"/>
      <c r="M12715" s="81"/>
      <c r="N12715" s="81"/>
    </row>
    <row r="12716" spans="1:14" ht="14.25" customHeight="1" x14ac:dyDescent="0.25">
      <c r="A12716" s="607" t="s">
        <v>577</v>
      </c>
      <c r="B12716" s="608"/>
      <c r="C12716" s="609"/>
      <c r="D12716" s="116"/>
      <c r="E12716" s="107"/>
      <c r="F12716" s="106">
        <f>+F12733*5%</f>
        <v>8256.6861376264424</v>
      </c>
      <c r="G12716" s="81"/>
      <c r="H12716" s="81"/>
      <c r="I12716" s="81"/>
      <c r="J12716" s="81"/>
      <c r="K12716" s="81"/>
      <c r="L12716" s="81"/>
      <c r="M12716" s="81"/>
      <c r="N12716" s="81"/>
    </row>
    <row r="12717" spans="1:14" ht="14.25" customHeight="1" x14ac:dyDescent="0.25">
      <c r="A12717" s="607"/>
      <c r="B12717" s="608"/>
      <c r="C12717" s="609"/>
      <c r="D12717" s="142"/>
      <c r="E12717" s="105"/>
      <c r="F12717" s="106"/>
      <c r="G12717" s="81"/>
      <c r="H12717" s="81"/>
      <c r="I12717" s="81"/>
      <c r="J12717" s="81"/>
      <c r="K12717" s="81"/>
      <c r="L12717" s="81"/>
      <c r="M12717" s="81"/>
      <c r="N12717" s="81"/>
    </row>
    <row r="12718" spans="1:14" ht="14.25" customHeight="1" x14ac:dyDescent="0.25">
      <c r="A12718" s="607"/>
      <c r="B12718" s="608"/>
      <c r="C12718" s="609"/>
      <c r="D12718" s="142"/>
      <c r="E12718" s="105"/>
      <c r="F12718" s="106"/>
      <c r="G12718" s="81"/>
      <c r="H12718" s="81"/>
      <c r="I12718" s="81"/>
      <c r="J12718" s="81"/>
      <c r="K12718" s="81"/>
      <c r="L12718" s="81"/>
      <c r="M12718" s="81"/>
      <c r="N12718" s="81"/>
    </row>
    <row r="12719" spans="1:14" ht="14.25" customHeight="1" x14ac:dyDescent="0.25">
      <c r="A12719" s="607"/>
      <c r="B12719" s="608"/>
      <c r="C12719" s="609"/>
      <c r="D12719" s="142"/>
      <c r="E12719" s="107"/>
      <c r="F12719" s="106"/>
      <c r="G12719" s="81"/>
      <c r="H12719" s="81"/>
      <c r="I12719" s="81"/>
      <c r="J12719" s="81"/>
      <c r="K12719" s="81"/>
      <c r="L12719" s="81"/>
      <c r="M12719" s="81"/>
      <c r="N12719" s="81"/>
    </row>
    <row r="12720" spans="1:14" ht="14.25" customHeight="1" x14ac:dyDescent="0.25">
      <c r="A12720" s="607"/>
      <c r="B12720" s="608"/>
      <c r="C12720" s="609"/>
      <c r="D12720" s="142"/>
      <c r="E12720" s="107"/>
      <c r="F12720" s="106"/>
      <c r="G12720" s="81"/>
      <c r="H12720" s="81"/>
      <c r="I12720" s="81"/>
      <c r="J12720" s="81"/>
      <c r="K12720" s="81"/>
      <c r="L12720" s="81"/>
      <c r="M12720" s="81"/>
      <c r="N12720" s="81"/>
    </row>
    <row r="12721" spans="1:14" ht="14.25" customHeight="1" x14ac:dyDescent="0.25">
      <c r="A12721" s="607"/>
      <c r="B12721" s="608"/>
      <c r="C12721" s="609"/>
      <c r="D12721" s="142"/>
      <c r="E12721" s="107"/>
      <c r="F12721" s="106"/>
      <c r="G12721" s="81"/>
      <c r="H12721" s="81"/>
      <c r="I12721" s="81"/>
      <c r="J12721" s="81"/>
      <c r="K12721" s="81"/>
      <c r="L12721" s="81"/>
      <c r="M12721" s="81"/>
      <c r="N12721" s="81"/>
    </row>
    <row r="12722" spans="1:14" ht="14.25" customHeight="1" x14ac:dyDescent="0.25">
      <c r="A12722" s="607"/>
      <c r="B12722" s="608"/>
      <c r="C12722" s="609"/>
      <c r="D12722" s="142"/>
      <c r="E12722" s="107"/>
      <c r="F12722" s="106"/>
      <c r="G12722" s="81"/>
      <c r="H12722" s="81"/>
      <c r="I12722" s="81"/>
      <c r="J12722" s="81"/>
      <c r="K12722" s="81"/>
      <c r="L12722" s="81"/>
      <c r="M12722" s="81"/>
      <c r="N12722" s="81"/>
    </row>
    <row r="12723" spans="1:14" ht="14.25" customHeight="1" x14ac:dyDescent="0.25">
      <c r="A12723" s="607"/>
      <c r="B12723" s="608"/>
      <c r="C12723" s="609"/>
      <c r="D12723" s="142"/>
      <c r="E12723" s="107"/>
      <c r="F12723" s="106"/>
      <c r="G12723" s="81"/>
      <c r="H12723" s="81"/>
      <c r="I12723" s="81"/>
      <c r="J12723" s="81"/>
      <c r="K12723" s="81"/>
      <c r="L12723" s="81"/>
      <c r="M12723" s="81"/>
      <c r="N12723" s="81"/>
    </row>
    <row r="12724" spans="1:14" ht="14.25" customHeight="1" x14ac:dyDescent="0.25">
      <c r="A12724" s="610"/>
      <c r="B12724" s="608"/>
      <c r="C12724" s="609"/>
      <c r="D12724" s="115"/>
      <c r="E12724" s="107"/>
      <c r="F12724" s="106"/>
      <c r="G12724" s="81"/>
      <c r="H12724" s="81"/>
      <c r="I12724" s="81"/>
      <c r="J12724" s="81"/>
      <c r="K12724" s="81"/>
      <c r="L12724" s="81"/>
      <c r="M12724" s="81"/>
      <c r="N12724" s="81"/>
    </row>
    <row r="12725" spans="1:14" ht="14.25" customHeight="1" x14ac:dyDescent="0.25">
      <c r="A12725" s="611" t="s">
        <v>548</v>
      </c>
      <c r="B12725" s="608"/>
      <c r="C12725" s="609"/>
      <c r="D12725" s="110"/>
      <c r="E12725" s="110"/>
      <c r="F12725" s="112">
        <f>SUM(F12716:F12723)</f>
        <v>8256.6861376264424</v>
      </c>
      <c r="G12725" s="81"/>
      <c r="H12725" s="81"/>
      <c r="I12725" s="81"/>
      <c r="J12725" s="81"/>
      <c r="K12725" s="81"/>
      <c r="L12725" s="81"/>
      <c r="M12725" s="81"/>
      <c r="N12725" s="81"/>
    </row>
    <row r="12726" spans="1:14" ht="14.25" customHeight="1" x14ac:dyDescent="0.25">
      <c r="A12726" s="88"/>
      <c r="B12726" s="88"/>
      <c r="C12726" s="89"/>
      <c r="D12726" s="113"/>
      <c r="E12726" s="113"/>
      <c r="F12726" s="113"/>
      <c r="G12726" s="81"/>
      <c r="H12726" s="81"/>
      <c r="I12726" s="81"/>
      <c r="J12726" s="81"/>
      <c r="K12726" s="81"/>
      <c r="L12726" s="81"/>
      <c r="M12726" s="81"/>
      <c r="N12726" s="81"/>
    </row>
    <row r="12727" spans="1:14" ht="14.25" customHeight="1" x14ac:dyDescent="0.25">
      <c r="A12727" s="96" t="s">
        <v>578</v>
      </c>
      <c r="B12727" s="96"/>
      <c r="C12727" s="92"/>
      <c r="D12727" s="118"/>
      <c r="E12727" s="118"/>
      <c r="F12727" s="118"/>
      <c r="G12727" s="81"/>
      <c r="H12727" s="81"/>
      <c r="I12727" s="81"/>
      <c r="J12727" s="81"/>
      <c r="K12727" s="81"/>
      <c r="L12727" s="81"/>
      <c r="M12727" s="81"/>
      <c r="N12727" s="81"/>
    </row>
    <row r="12728" spans="1:14" ht="14.25" customHeight="1" x14ac:dyDescent="0.25">
      <c r="A12728" s="119" t="s">
        <v>563</v>
      </c>
      <c r="B12728" s="120" t="s">
        <v>579</v>
      </c>
      <c r="C12728" s="120" t="s">
        <v>580</v>
      </c>
      <c r="D12728" s="121" t="s">
        <v>581</v>
      </c>
      <c r="E12728" s="121" t="s">
        <v>575</v>
      </c>
      <c r="F12728" s="121" t="s">
        <v>568</v>
      </c>
      <c r="G12728" s="81"/>
      <c r="H12728" s="81"/>
      <c r="I12728" s="81"/>
      <c r="J12728" s="81"/>
      <c r="K12728" s="81"/>
      <c r="L12728" s="81"/>
      <c r="M12728" s="81"/>
      <c r="N12728" s="81"/>
    </row>
    <row r="12729" spans="1:14" ht="14.25" customHeight="1" x14ac:dyDescent="0.25">
      <c r="A12729" s="122" t="s">
        <v>593</v>
      </c>
      <c r="B12729" s="127">
        <v>1</v>
      </c>
      <c r="C12729" s="101">
        <v>32688</v>
      </c>
      <c r="D12729" s="101">
        <f t="shared" ref="D12729:D12730" si="624">+C12729*1.7</f>
        <v>55569.599999999999</v>
      </c>
      <c r="E12729" s="107">
        <v>0.87737500000000002</v>
      </c>
      <c r="F12729" s="106">
        <f t="shared" ref="F12729:F12730" si="625">+B12729*(D12729)/E12729</f>
        <v>63336.201738139331</v>
      </c>
      <c r="G12729" s="81"/>
      <c r="H12729" s="81"/>
      <c r="I12729" s="81"/>
      <c r="J12729" s="81"/>
      <c r="K12729" s="81"/>
      <c r="L12729" s="81"/>
      <c r="M12729" s="81"/>
      <c r="N12729" s="81"/>
    </row>
    <row r="12730" spans="1:14" ht="14.25" customHeight="1" x14ac:dyDescent="0.25">
      <c r="A12730" s="122" t="s">
        <v>594</v>
      </c>
      <c r="B12730" s="127">
        <v>1</v>
      </c>
      <c r="C12730" s="101">
        <v>52538</v>
      </c>
      <c r="D12730" s="101">
        <f t="shared" si="624"/>
        <v>89314.599999999991</v>
      </c>
      <c r="E12730" s="107">
        <f>E12729</f>
        <v>0.87737500000000002</v>
      </c>
      <c r="F12730" s="106">
        <f t="shared" si="625"/>
        <v>101797.52101438951</v>
      </c>
      <c r="G12730" s="81"/>
      <c r="H12730" s="81"/>
      <c r="I12730" s="81"/>
      <c r="J12730" s="81"/>
      <c r="K12730" s="81"/>
      <c r="L12730" s="81"/>
      <c r="M12730" s="81"/>
      <c r="N12730" s="81"/>
    </row>
    <row r="12731" spans="1:14" ht="14.25" customHeight="1" x14ac:dyDescent="0.25">
      <c r="A12731" s="122"/>
      <c r="B12731" s="127"/>
      <c r="C12731" s="101"/>
      <c r="D12731" s="101"/>
      <c r="E12731" s="105"/>
      <c r="F12731" s="106"/>
      <c r="G12731" s="81"/>
      <c r="H12731" s="81"/>
      <c r="I12731" s="81"/>
      <c r="J12731" s="81"/>
      <c r="K12731" s="81"/>
      <c r="L12731" s="81"/>
      <c r="M12731" s="81"/>
      <c r="N12731" s="81"/>
    </row>
    <row r="12732" spans="1:14" ht="14.25" customHeight="1" x14ac:dyDescent="0.25">
      <c r="A12732" s="122"/>
      <c r="B12732" s="127"/>
      <c r="C12732" s="101"/>
      <c r="D12732" s="101"/>
      <c r="E12732" s="125"/>
      <c r="F12732" s="106"/>
      <c r="G12732" s="81"/>
      <c r="H12732" s="81"/>
      <c r="I12732" s="81"/>
      <c r="J12732" s="81"/>
      <c r="K12732" s="81"/>
      <c r="L12732" s="81"/>
      <c r="M12732" s="81"/>
      <c r="N12732" s="81"/>
    </row>
    <row r="12733" spans="1:14" ht="14.25" customHeight="1" x14ac:dyDescent="0.25">
      <c r="A12733" s="97" t="s">
        <v>548</v>
      </c>
      <c r="B12733" s="128"/>
      <c r="C12733" s="110"/>
      <c r="D12733" s="110"/>
      <c r="E12733" s="110"/>
      <c r="F12733" s="112">
        <f>SUM(F12729:F12732)</f>
        <v>165133.72275252885</v>
      </c>
      <c r="G12733" s="81"/>
      <c r="H12733" s="81"/>
      <c r="I12733" s="81"/>
      <c r="J12733" s="81"/>
      <c r="K12733" s="81"/>
      <c r="L12733" s="81"/>
      <c r="M12733" s="81"/>
      <c r="N12733" s="81"/>
    </row>
    <row r="12734" spans="1:14" ht="14.25" customHeight="1" x14ac:dyDescent="0.25">
      <c r="A12734" s="96"/>
      <c r="B12734" s="129"/>
      <c r="C12734" s="118"/>
      <c r="D12734" s="118"/>
      <c r="E12734" s="118"/>
      <c r="F12734" s="118"/>
      <c r="G12734" s="81"/>
      <c r="H12734" s="81"/>
      <c r="I12734" s="81"/>
      <c r="J12734" s="81"/>
      <c r="K12734" s="81"/>
      <c r="L12734" s="81"/>
      <c r="M12734" s="81"/>
      <c r="N12734" s="81"/>
    </row>
    <row r="12735" spans="1:14" ht="14.25" customHeight="1" x14ac:dyDescent="0.25">
      <c r="A12735" s="95" t="s">
        <v>583</v>
      </c>
      <c r="B12735" s="96"/>
      <c r="C12735" s="92"/>
      <c r="D12735" s="92"/>
      <c r="E12735" s="92" t="s">
        <v>584</v>
      </c>
      <c r="F12735" s="92"/>
      <c r="G12735" s="81"/>
      <c r="H12735" s="81"/>
      <c r="I12735" s="81"/>
      <c r="J12735" s="81"/>
      <c r="K12735" s="81"/>
      <c r="L12735" s="81"/>
      <c r="M12735" s="81"/>
      <c r="N12735" s="81"/>
    </row>
    <row r="12736" spans="1:14" ht="14.25" customHeight="1" x14ac:dyDescent="0.25">
      <c r="A12736" s="97" t="s">
        <v>563</v>
      </c>
      <c r="B12736" s="98" t="s">
        <v>564</v>
      </c>
      <c r="C12736" s="98" t="s">
        <v>585</v>
      </c>
      <c r="D12736" s="98" t="s">
        <v>586</v>
      </c>
      <c r="E12736" s="120" t="s">
        <v>587</v>
      </c>
      <c r="F12736" s="98" t="s">
        <v>568</v>
      </c>
      <c r="G12736" s="81"/>
      <c r="H12736" s="81"/>
      <c r="I12736" s="81"/>
      <c r="J12736" s="81"/>
      <c r="K12736" s="81"/>
      <c r="L12736" s="81"/>
      <c r="M12736" s="81"/>
      <c r="N12736" s="81"/>
    </row>
    <row r="12737" spans="1:14" ht="14.25" customHeight="1" x14ac:dyDescent="0.25">
      <c r="A12737" s="103"/>
      <c r="B12737" s="100"/>
      <c r="C12737" s="101"/>
      <c r="D12737" s="140"/>
      <c r="E12737" s="107"/>
      <c r="F12737" s="109"/>
      <c r="G12737" s="81"/>
      <c r="H12737" s="81"/>
      <c r="I12737" s="81"/>
      <c r="J12737" s="81"/>
      <c r="K12737" s="81"/>
      <c r="L12737" s="81"/>
      <c r="M12737" s="81"/>
      <c r="N12737" s="81"/>
    </row>
    <row r="12738" spans="1:14" ht="14.25" customHeight="1" x14ac:dyDescent="0.25">
      <c r="A12738" s="103"/>
      <c r="B12738" s="100"/>
      <c r="C12738" s="107"/>
      <c r="D12738" s="107"/>
      <c r="E12738" s="108"/>
      <c r="F12738" s="109"/>
      <c r="G12738" s="81"/>
      <c r="H12738" s="81"/>
      <c r="I12738" s="81"/>
      <c r="J12738" s="81"/>
      <c r="K12738" s="81"/>
      <c r="L12738" s="81"/>
      <c r="M12738" s="81"/>
      <c r="N12738" s="81"/>
    </row>
    <row r="12739" spans="1:14" ht="14.25" customHeight="1" x14ac:dyDescent="0.25">
      <c r="A12739" s="97" t="s">
        <v>548</v>
      </c>
      <c r="B12739" s="98"/>
      <c r="C12739" s="110"/>
      <c r="D12739" s="110"/>
      <c r="E12739" s="111"/>
      <c r="F12739" s="112">
        <f>SUM(F12737:F12738)</f>
        <v>0</v>
      </c>
      <c r="G12739" s="81"/>
      <c r="H12739" s="81"/>
      <c r="I12739" s="81"/>
      <c r="J12739" s="81"/>
      <c r="K12739" s="81"/>
      <c r="L12739" s="81"/>
      <c r="M12739" s="81"/>
      <c r="N12739" s="81"/>
    </row>
    <row r="12740" spans="1:14" ht="14.25" customHeight="1" x14ac:dyDescent="0.25">
      <c r="A12740" s="88"/>
      <c r="B12740" s="89"/>
      <c r="C12740" s="113"/>
      <c r="D12740" s="113"/>
      <c r="E12740" s="114"/>
      <c r="F12740" s="113"/>
      <c r="G12740" s="81"/>
      <c r="H12740" s="81"/>
      <c r="I12740" s="81"/>
      <c r="J12740" s="81"/>
      <c r="K12740" s="81"/>
      <c r="L12740" s="81"/>
      <c r="M12740" s="81"/>
      <c r="N12740" s="81"/>
    </row>
    <row r="12741" spans="1:14" ht="14.25" customHeight="1" x14ac:dyDescent="0.25">
      <c r="A12741" s="88"/>
      <c r="B12741" s="89"/>
      <c r="C12741" s="113"/>
      <c r="D12741" s="113"/>
      <c r="E12741" s="114"/>
      <c r="F12741" s="113"/>
      <c r="G12741" s="81"/>
      <c r="H12741" s="81"/>
      <c r="I12741" s="81"/>
      <c r="J12741" s="81"/>
      <c r="K12741" s="81"/>
      <c r="L12741" s="81"/>
      <c r="M12741" s="81"/>
      <c r="N12741" s="81"/>
    </row>
    <row r="12742" spans="1:14" ht="14.25" customHeight="1" x14ac:dyDescent="0.25">
      <c r="A12742" s="612" t="s">
        <v>588</v>
      </c>
      <c r="B12742" s="608"/>
      <c r="C12742" s="608"/>
      <c r="D12742" s="608"/>
      <c r="E12742" s="609"/>
      <c r="F12742" s="131">
        <f>ROUND(F12712+F12725+F12733+F12739,0)</f>
        <v>849250</v>
      </c>
      <c r="G12742" s="81"/>
      <c r="H12742" s="81"/>
      <c r="I12742" s="81"/>
      <c r="J12742" s="81"/>
      <c r="K12742" s="81"/>
      <c r="L12742" s="81"/>
      <c r="M12742" s="81"/>
      <c r="N12742" s="81"/>
    </row>
    <row r="12743" spans="1:14" ht="14.25" customHeight="1" x14ac:dyDescent="0.25">
      <c r="A12743" s="612" t="s">
        <v>589</v>
      </c>
      <c r="B12743" s="608"/>
      <c r="C12743" s="608"/>
      <c r="D12743" s="608"/>
      <c r="E12743" s="609"/>
      <c r="F12743" s="132"/>
      <c r="G12743" s="81"/>
      <c r="H12743" s="81"/>
      <c r="I12743" s="81"/>
      <c r="J12743" s="81"/>
      <c r="K12743" s="81"/>
      <c r="L12743" s="81"/>
      <c r="M12743" s="81"/>
      <c r="N12743" s="81"/>
    </row>
    <row r="12744" spans="1:14" ht="14.25" customHeight="1" x14ac:dyDescent="0.25">
      <c r="A12744" s="146" t="s">
        <v>556</v>
      </c>
      <c r="B12744" s="147"/>
      <c r="C12744" s="147"/>
      <c r="D12744" s="147"/>
      <c r="E12744" s="148"/>
      <c r="F12744" s="133"/>
      <c r="G12744" s="81"/>
      <c r="H12744" s="143"/>
      <c r="I12744" s="81"/>
      <c r="J12744" s="81"/>
      <c r="K12744" s="81"/>
      <c r="L12744" s="81"/>
      <c r="M12744" s="81"/>
      <c r="N12744" s="81"/>
    </row>
    <row r="12745" spans="1:14" ht="14.25" customHeight="1" x14ac:dyDescent="0.25">
      <c r="A12745" s="134"/>
      <c r="B12745" s="135"/>
      <c r="C12745" s="135"/>
      <c r="D12745" s="135"/>
      <c r="E12745" s="135"/>
      <c r="F12745" s="136"/>
      <c r="G12745" s="81"/>
      <c r="H12745" s="81"/>
      <c r="I12745" s="81"/>
      <c r="J12745" s="81"/>
      <c r="K12745" s="81"/>
      <c r="L12745" s="81"/>
      <c r="M12745" s="81"/>
      <c r="N12745" s="81"/>
    </row>
    <row r="12746" spans="1:14" ht="14.25" customHeight="1" x14ac:dyDescent="0.25">
      <c r="A12746" s="81"/>
      <c r="B12746" s="81"/>
      <c r="C12746" s="137"/>
      <c r="D12746" s="81"/>
      <c r="E12746" s="81"/>
      <c r="F12746" s="81"/>
      <c r="G12746" s="81"/>
      <c r="H12746" s="81"/>
      <c r="I12746" s="81"/>
      <c r="J12746" s="81"/>
      <c r="K12746" s="81"/>
      <c r="L12746" s="81"/>
      <c r="M12746" s="81"/>
      <c r="N12746" s="81"/>
    </row>
    <row r="12747" spans="1:14" ht="14.25" customHeight="1" x14ac:dyDescent="0.25">
      <c r="A12747" s="81"/>
      <c r="B12747" s="81"/>
      <c r="C12747" s="137"/>
      <c r="D12747" s="81"/>
      <c r="E12747" s="81"/>
      <c r="F12747" s="81"/>
      <c r="G12747" s="81"/>
      <c r="H12747" s="81"/>
      <c r="I12747" s="81"/>
      <c r="J12747" s="81"/>
      <c r="K12747" s="81"/>
      <c r="L12747" s="81"/>
      <c r="M12747" s="81"/>
      <c r="N12747" s="81"/>
    </row>
    <row r="12748" spans="1:14" ht="14.25" customHeight="1" x14ac:dyDescent="0.25">
      <c r="A12748" s="81"/>
      <c r="B12748" s="81"/>
      <c r="C12748" s="137"/>
      <c r="D12748" s="81"/>
      <c r="E12748" s="81"/>
      <c r="F12748" s="81"/>
      <c r="G12748" s="81"/>
      <c r="H12748" s="81"/>
      <c r="I12748" s="81"/>
      <c r="J12748" s="81"/>
      <c r="K12748" s="81"/>
      <c r="L12748" s="81"/>
      <c r="M12748" s="81"/>
      <c r="N12748" s="81"/>
    </row>
    <row r="12749" spans="1:14" ht="14.25" customHeight="1" x14ac:dyDescent="0.25">
      <c r="A12749" s="81"/>
      <c r="B12749" s="81"/>
      <c r="C12749" s="137"/>
      <c r="D12749" s="81"/>
      <c r="E12749" s="81"/>
      <c r="F12749" s="81"/>
      <c r="G12749" s="81"/>
      <c r="H12749" s="81"/>
      <c r="I12749" s="81"/>
      <c r="J12749" s="81"/>
      <c r="K12749" s="81"/>
      <c r="L12749" s="81"/>
      <c r="M12749" s="81"/>
      <c r="N12749" s="81"/>
    </row>
    <row r="12750" spans="1:14" ht="14.25" customHeight="1" x14ac:dyDescent="0.25">
      <c r="A12750" s="81"/>
      <c r="B12750" s="81"/>
      <c r="C12750" s="137"/>
      <c r="D12750" s="81"/>
      <c r="E12750" s="81"/>
      <c r="F12750" s="81"/>
      <c r="G12750" s="81"/>
      <c r="H12750" s="81"/>
      <c r="I12750" s="81"/>
      <c r="J12750" s="81"/>
      <c r="K12750" s="81"/>
      <c r="L12750" s="81"/>
      <c r="M12750" s="81"/>
      <c r="N12750" s="81"/>
    </row>
    <row r="12751" spans="1:14" ht="14.25" customHeight="1" x14ac:dyDescent="0.25">
      <c r="A12751" s="134"/>
      <c r="B12751" s="135"/>
      <c r="C12751" s="135"/>
      <c r="D12751" s="135"/>
      <c r="E12751" s="135"/>
      <c r="F12751" s="136"/>
      <c r="G12751" s="81"/>
      <c r="H12751" s="81"/>
      <c r="I12751" s="81"/>
      <c r="J12751" s="81"/>
      <c r="K12751" s="81"/>
      <c r="L12751" s="81"/>
      <c r="M12751" s="81"/>
      <c r="N12751" s="81"/>
    </row>
    <row r="12752" spans="1:14" ht="14.25" customHeight="1" x14ac:dyDescent="0.25">
      <c r="A12752" s="134"/>
      <c r="B12752" s="135"/>
      <c r="C12752" s="135"/>
      <c r="D12752" s="135"/>
      <c r="E12752" s="135"/>
      <c r="F12752" s="136"/>
      <c r="G12752" s="81"/>
      <c r="H12752" s="81"/>
      <c r="I12752" s="81"/>
      <c r="J12752" s="81"/>
      <c r="K12752" s="81"/>
      <c r="L12752" s="81"/>
      <c r="M12752" s="81"/>
      <c r="N12752" s="81"/>
    </row>
    <row r="12753" spans="1:14" ht="14.25" customHeight="1" x14ac:dyDescent="0.25">
      <c r="A12753" s="134"/>
      <c r="B12753" s="135"/>
      <c r="C12753" s="135"/>
      <c r="D12753" s="135"/>
      <c r="E12753" s="135"/>
      <c r="F12753" s="135"/>
      <c r="G12753" s="81"/>
      <c r="H12753" s="81"/>
      <c r="I12753" s="81"/>
      <c r="J12753" s="81"/>
      <c r="K12753" s="81"/>
      <c r="L12753" s="81"/>
      <c r="M12753" s="81"/>
      <c r="N12753" s="81"/>
    </row>
    <row r="12754" spans="1:14" ht="14.25" customHeight="1" thickBot="1" x14ac:dyDescent="0.3">
      <c r="A12754" s="81"/>
      <c r="B12754" s="81"/>
      <c r="C12754" s="81"/>
      <c r="D12754" s="81"/>
      <c r="E12754" s="81"/>
      <c r="F12754" s="81"/>
      <c r="G12754" s="81"/>
      <c r="H12754" s="81"/>
      <c r="I12754" s="81"/>
      <c r="J12754" s="81"/>
      <c r="K12754" s="81"/>
      <c r="L12754" s="81"/>
      <c r="M12754" s="81"/>
      <c r="N12754" s="81"/>
    </row>
    <row r="12755" spans="1:14" ht="14.25" customHeight="1" x14ac:dyDescent="0.25">
      <c r="A12755" s="83"/>
      <c r="B12755" s="84"/>
      <c r="C12755" s="85"/>
      <c r="D12755" s="86"/>
      <c r="E12755" s="86"/>
      <c r="F12755" s="87"/>
      <c r="G12755" s="81"/>
      <c r="H12755" s="81"/>
      <c r="I12755" s="81"/>
      <c r="J12755" s="81"/>
      <c r="K12755" s="81"/>
      <c r="L12755" s="81"/>
      <c r="M12755" s="81"/>
      <c r="N12755" s="81"/>
    </row>
    <row r="12756" spans="1:14" ht="14.25" customHeight="1" x14ac:dyDescent="0.25">
      <c r="A12756" s="599"/>
      <c r="B12756" s="600"/>
      <c r="C12756" s="600"/>
      <c r="D12756" s="600"/>
      <c r="E12756" s="600"/>
      <c r="F12756" s="601"/>
      <c r="G12756" s="81"/>
      <c r="H12756" s="81"/>
      <c r="I12756" s="81"/>
      <c r="J12756" s="81"/>
      <c r="K12756" s="81"/>
      <c r="L12756" s="81"/>
      <c r="M12756" s="81"/>
      <c r="N12756" s="81"/>
    </row>
    <row r="12757" spans="1:14" ht="14.25" customHeight="1" x14ac:dyDescent="0.25">
      <c r="A12757" s="602" t="s">
        <v>561</v>
      </c>
      <c r="B12757" s="600"/>
      <c r="C12757" s="600"/>
      <c r="D12757" s="600"/>
      <c r="E12757" s="600"/>
      <c r="F12757" s="601"/>
      <c r="G12757" s="81"/>
      <c r="H12757" s="81"/>
      <c r="I12757" s="81"/>
      <c r="J12757" s="81"/>
      <c r="K12757" s="81"/>
      <c r="L12757" s="81"/>
      <c r="M12757" s="81"/>
      <c r="N12757" s="81"/>
    </row>
    <row r="12758" spans="1:14" ht="14.25" customHeight="1" thickBot="1" x14ac:dyDescent="0.3">
      <c r="A12758" s="603"/>
      <c r="B12758" s="604"/>
      <c r="C12758" s="604"/>
      <c r="D12758" s="604"/>
      <c r="E12758" s="604"/>
      <c r="F12758" s="605"/>
      <c r="G12758" s="81"/>
      <c r="H12758" s="81"/>
      <c r="I12758" s="81"/>
      <c r="J12758" s="81"/>
      <c r="K12758" s="81"/>
      <c r="L12758" s="81"/>
      <c r="M12758" s="81"/>
      <c r="N12758" s="81"/>
    </row>
    <row r="12759" spans="1:14" ht="14.25" customHeight="1" x14ac:dyDescent="0.25">
      <c r="A12759" s="88"/>
      <c r="B12759" s="88"/>
      <c r="C12759" s="89"/>
      <c r="D12759" s="89"/>
      <c r="E12759" s="89"/>
      <c r="F12759" s="89"/>
      <c r="G12759" s="81"/>
      <c r="H12759" s="81"/>
      <c r="I12759" s="81"/>
      <c r="J12759" s="81"/>
      <c r="K12759" s="81"/>
      <c r="L12759" s="81"/>
      <c r="M12759" s="81"/>
      <c r="N12759" s="81"/>
    </row>
    <row r="12760" spans="1:14" ht="14.25" customHeight="1" x14ac:dyDescent="0.25">
      <c r="A12760" s="90" t="s">
        <v>47</v>
      </c>
      <c r="B12760" s="613" t="s">
        <v>442</v>
      </c>
      <c r="C12760" s="600"/>
      <c r="D12760" s="600"/>
      <c r="E12760" s="600"/>
      <c r="F12760" s="600"/>
      <c r="G12760" s="81"/>
      <c r="H12760" s="81"/>
      <c r="I12760" s="81"/>
      <c r="J12760" s="81"/>
      <c r="K12760" s="81"/>
      <c r="L12760" s="81"/>
      <c r="M12760" s="81"/>
      <c r="N12760" s="81"/>
    </row>
    <row r="12761" spans="1:14" ht="14.25" customHeight="1" x14ac:dyDescent="0.25">
      <c r="A12761" s="91"/>
      <c r="B12761" s="91"/>
      <c r="C12761" s="91"/>
      <c r="D12761" s="91"/>
      <c r="E12761" s="91"/>
      <c r="F12761" s="91"/>
      <c r="G12761" s="81"/>
      <c r="H12761" s="81"/>
      <c r="I12761" s="81"/>
      <c r="J12761" s="81"/>
      <c r="K12761" s="81"/>
      <c r="L12761" s="81"/>
      <c r="M12761" s="81"/>
      <c r="N12761" s="81"/>
    </row>
    <row r="12762" spans="1:14" ht="14.25" customHeight="1" x14ac:dyDescent="0.25">
      <c r="A12762" s="88" t="s">
        <v>49</v>
      </c>
      <c r="B12762" s="92" t="s">
        <v>99</v>
      </c>
      <c r="C12762" s="89"/>
      <c r="D12762" s="89"/>
      <c r="E12762" s="89"/>
      <c r="F12762" s="93"/>
      <c r="G12762" s="81"/>
      <c r="H12762" s="81"/>
      <c r="I12762" s="81"/>
      <c r="J12762" s="81"/>
      <c r="K12762" s="81"/>
      <c r="L12762" s="81"/>
      <c r="M12762" s="81"/>
      <c r="N12762" s="81"/>
    </row>
    <row r="12763" spans="1:14" ht="15.75" x14ac:dyDescent="0.25">
      <c r="A12763" s="88"/>
      <c r="B12763" s="94"/>
      <c r="C12763" s="89"/>
      <c r="D12763" s="89"/>
      <c r="E12763" s="89"/>
      <c r="F12763" s="93"/>
      <c r="G12763" s="81"/>
      <c r="H12763" s="81"/>
      <c r="I12763" s="81"/>
      <c r="J12763" s="81"/>
      <c r="K12763" s="81"/>
      <c r="L12763" s="81"/>
      <c r="M12763" s="81"/>
      <c r="N12763" s="81"/>
    </row>
    <row r="12764" spans="1:14" ht="15.75" x14ac:dyDescent="0.25">
      <c r="A12764" s="95" t="s">
        <v>562</v>
      </c>
      <c r="B12764" s="96"/>
      <c r="C12764" s="92"/>
      <c r="D12764" s="92"/>
      <c r="E12764" s="92"/>
      <c r="F12764" s="92"/>
      <c r="G12764" s="81"/>
      <c r="H12764" s="81"/>
      <c r="I12764" s="81"/>
      <c r="J12764" s="81"/>
      <c r="K12764" s="81"/>
      <c r="L12764" s="81"/>
      <c r="M12764" s="81"/>
      <c r="N12764" s="81"/>
    </row>
    <row r="12765" spans="1:14" ht="15.75" x14ac:dyDescent="0.25">
      <c r="A12765" s="97" t="s">
        <v>563</v>
      </c>
      <c r="B12765" s="98" t="s">
        <v>564</v>
      </c>
      <c r="C12765" s="98" t="s">
        <v>565</v>
      </c>
      <c r="D12765" s="98" t="s">
        <v>566</v>
      </c>
      <c r="E12765" s="98" t="s">
        <v>567</v>
      </c>
      <c r="F12765" s="98" t="s">
        <v>568</v>
      </c>
      <c r="G12765" s="81"/>
      <c r="H12765" s="81"/>
      <c r="I12765" s="81"/>
      <c r="J12765" s="81"/>
      <c r="K12765" s="81"/>
      <c r="L12765" s="81"/>
      <c r="M12765" s="81"/>
      <c r="N12765" s="81"/>
    </row>
    <row r="12766" spans="1:14" ht="15.75" x14ac:dyDescent="0.25">
      <c r="A12766" s="99" t="s">
        <v>872</v>
      </c>
      <c r="B12766" s="100" t="s">
        <v>99</v>
      </c>
      <c r="C12766" s="101">
        <v>1795000</v>
      </c>
      <c r="D12766" s="149">
        <v>1</v>
      </c>
      <c r="E12766" s="102"/>
      <c r="F12766" s="101">
        <f t="shared" ref="F12766:F12769" si="626">C12766*(D12766+(D12766*E12766))</f>
        <v>1795000</v>
      </c>
      <c r="G12766" s="81"/>
      <c r="H12766" s="81"/>
      <c r="I12766" s="81"/>
      <c r="J12766" s="81"/>
      <c r="K12766" s="81"/>
      <c r="L12766" s="81"/>
      <c r="M12766" s="81"/>
      <c r="N12766" s="81"/>
    </row>
    <row r="12767" spans="1:14" ht="14.25" customHeight="1" x14ac:dyDescent="0.25">
      <c r="A12767" s="99"/>
      <c r="B12767" s="100"/>
      <c r="C12767" s="101"/>
      <c r="D12767" s="149"/>
      <c r="E12767" s="102"/>
      <c r="F12767" s="101">
        <f t="shared" si="626"/>
        <v>0</v>
      </c>
      <c r="G12767" s="81"/>
      <c r="H12767" s="81"/>
      <c r="I12767" s="81"/>
      <c r="J12767" s="81"/>
      <c r="K12767" s="81"/>
      <c r="L12767" s="81"/>
      <c r="M12767" s="81"/>
      <c r="N12767" s="81"/>
    </row>
    <row r="12768" spans="1:14" ht="14.25" customHeight="1" x14ac:dyDescent="0.25">
      <c r="A12768" s="99"/>
      <c r="B12768" s="100"/>
      <c r="C12768" s="101"/>
      <c r="D12768" s="149"/>
      <c r="E12768" s="102"/>
      <c r="F12768" s="101">
        <f t="shared" si="626"/>
        <v>0</v>
      </c>
      <c r="G12768" s="81"/>
      <c r="H12768" s="81"/>
      <c r="I12768" s="81"/>
      <c r="J12768" s="81"/>
      <c r="K12768" s="81"/>
      <c r="L12768" s="81"/>
      <c r="M12768" s="81"/>
      <c r="N12768" s="81"/>
    </row>
    <row r="12769" spans="1:14" ht="14.25" customHeight="1" x14ac:dyDescent="0.25">
      <c r="A12769" s="99"/>
      <c r="B12769" s="100"/>
      <c r="C12769" s="101"/>
      <c r="D12769" s="149"/>
      <c r="E12769" s="102"/>
      <c r="F12769" s="101">
        <f t="shared" si="626"/>
        <v>0</v>
      </c>
      <c r="G12769" s="81"/>
      <c r="H12769" s="81"/>
      <c r="I12769" s="81"/>
      <c r="J12769" s="81"/>
      <c r="K12769" s="81"/>
      <c r="L12769" s="81"/>
      <c r="M12769" s="81"/>
      <c r="N12769" s="81"/>
    </row>
    <row r="12770" spans="1:14" ht="14.25" customHeight="1" x14ac:dyDescent="0.25">
      <c r="A12770" s="99"/>
      <c r="B12770" s="100"/>
      <c r="C12770" s="101"/>
      <c r="D12770" s="149"/>
      <c r="E12770" s="102"/>
      <c r="F12770" s="101"/>
      <c r="G12770" s="81"/>
      <c r="H12770" s="81"/>
      <c r="I12770" s="81"/>
      <c r="J12770" s="81"/>
      <c r="K12770" s="81"/>
      <c r="L12770" s="81"/>
      <c r="M12770" s="81"/>
      <c r="N12770" s="81"/>
    </row>
    <row r="12771" spans="1:14" ht="14.25" customHeight="1" x14ac:dyDescent="0.25">
      <c r="A12771" s="99"/>
      <c r="B12771" s="100"/>
      <c r="C12771" s="101"/>
      <c r="D12771" s="149"/>
      <c r="E12771" s="102"/>
      <c r="F12771" s="101"/>
      <c r="G12771" s="81"/>
      <c r="H12771" s="81"/>
      <c r="I12771" s="81"/>
      <c r="J12771" s="81"/>
      <c r="K12771" s="81"/>
      <c r="L12771" s="81"/>
      <c r="M12771" s="81"/>
      <c r="N12771" s="81"/>
    </row>
    <row r="12772" spans="1:14" ht="14.25" customHeight="1" x14ac:dyDescent="0.25">
      <c r="A12772" s="99"/>
      <c r="B12772" s="100"/>
      <c r="C12772" s="101"/>
      <c r="D12772" s="149"/>
      <c r="E12772" s="102"/>
      <c r="F12772" s="101"/>
      <c r="G12772" s="81"/>
      <c r="H12772" s="81"/>
      <c r="I12772" s="81"/>
      <c r="J12772" s="81"/>
      <c r="K12772" s="81"/>
      <c r="L12772" s="81"/>
      <c r="M12772" s="81"/>
      <c r="N12772" s="81"/>
    </row>
    <row r="12773" spans="1:14" ht="14.25" customHeight="1" x14ac:dyDescent="0.25">
      <c r="A12773" s="99"/>
      <c r="B12773" s="100"/>
      <c r="C12773" s="106"/>
      <c r="D12773" s="107"/>
      <c r="E12773" s="108"/>
      <c r="F12773" s="106"/>
      <c r="G12773" s="81"/>
      <c r="H12773" s="81"/>
      <c r="I12773" s="81"/>
      <c r="J12773" s="81"/>
      <c r="K12773" s="81"/>
      <c r="L12773" s="81"/>
      <c r="M12773" s="81"/>
      <c r="N12773" s="81"/>
    </row>
    <row r="12774" spans="1:14" ht="14.25" customHeight="1" x14ac:dyDescent="0.25">
      <c r="A12774" s="97" t="s">
        <v>548</v>
      </c>
      <c r="B12774" s="97"/>
      <c r="C12774" s="109"/>
      <c r="D12774" s="110"/>
      <c r="E12774" s="111"/>
      <c r="F12774" s="112">
        <f>SUM(F12766:F12773)</f>
        <v>1795000</v>
      </c>
      <c r="G12774" s="81"/>
      <c r="H12774" s="81"/>
      <c r="I12774" s="81"/>
      <c r="J12774" s="81"/>
      <c r="K12774" s="81"/>
      <c r="L12774" s="81"/>
      <c r="M12774" s="81"/>
      <c r="N12774" s="81"/>
    </row>
    <row r="12775" spans="1:14" ht="14.25" customHeight="1" x14ac:dyDescent="0.25">
      <c r="A12775" s="88"/>
      <c r="B12775" s="88"/>
      <c r="C12775" s="113"/>
      <c r="D12775" s="113"/>
      <c r="E12775" s="114"/>
      <c r="F12775" s="113"/>
      <c r="G12775" s="81"/>
      <c r="H12775" s="81"/>
      <c r="I12775" s="81"/>
      <c r="J12775" s="81"/>
      <c r="K12775" s="81"/>
      <c r="L12775" s="81"/>
      <c r="M12775" s="81"/>
      <c r="N12775" s="81"/>
    </row>
    <row r="12776" spans="1:14" ht="14.25" customHeight="1" x14ac:dyDescent="0.25">
      <c r="A12776" s="96" t="s">
        <v>573</v>
      </c>
      <c r="B12776" s="96"/>
      <c r="C12776" s="92"/>
      <c r="D12776" s="92"/>
      <c r="E12776" s="92"/>
      <c r="F12776" s="92"/>
      <c r="G12776" s="81"/>
      <c r="H12776" s="81"/>
      <c r="I12776" s="81"/>
      <c r="J12776" s="81"/>
      <c r="K12776" s="81"/>
      <c r="L12776" s="81"/>
      <c r="M12776" s="81"/>
      <c r="N12776" s="81"/>
    </row>
    <row r="12777" spans="1:14" ht="14.25" customHeight="1" x14ac:dyDescent="0.25">
      <c r="A12777" s="611" t="s">
        <v>563</v>
      </c>
      <c r="B12777" s="608"/>
      <c r="C12777" s="609"/>
      <c r="D12777" s="98" t="s">
        <v>574</v>
      </c>
      <c r="E12777" s="98" t="s">
        <v>575</v>
      </c>
      <c r="F12777" s="98" t="s">
        <v>568</v>
      </c>
      <c r="G12777" s="81"/>
      <c r="H12777" s="81"/>
      <c r="I12777" s="81"/>
      <c r="J12777" s="81"/>
      <c r="K12777" s="81"/>
      <c r="L12777" s="81"/>
      <c r="M12777" s="81"/>
      <c r="N12777" s="81"/>
    </row>
    <row r="12778" spans="1:14" s="168" customFormat="1" ht="15.75" x14ac:dyDescent="0.25">
      <c r="A12778" s="607" t="s">
        <v>577</v>
      </c>
      <c r="B12778" s="608"/>
      <c r="C12778" s="609"/>
      <c r="D12778" s="116"/>
      <c r="E12778" s="107"/>
      <c r="F12778" s="106">
        <f>+F12795*5%</f>
        <v>10761.881699983363</v>
      </c>
      <c r="G12778" s="243"/>
      <c r="H12778" s="243"/>
      <c r="I12778" s="243"/>
      <c r="J12778" s="243"/>
      <c r="K12778" s="243"/>
      <c r="L12778" s="243"/>
      <c r="M12778" s="243"/>
      <c r="N12778" s="243"/>
    </row>
    <row r="12779" spans="1:14" ht="14.25" customHeight="1" x14ac:dyDescent="0.25">
      <c r="A12779" s="607"/>
      <c r="B12779" s="608"/>
      <c r="C12779" s="609"/>
      <c r="D12779" s="142"/>
      <c r="E12779" s="105"/>
      <c r="F12779" s="106"/>
      <c r="G12779" s="81"/>
      <c r="H12779" s="81"/>
      <c r="I12779" s="81"/>
      <c r="J12779" s="81"/>
      <c r="K12779" s="81"/>
      <c r="L12779" s="81"/>
      <c r="M12779" s="81"/>
      <c r="N12779" s="81"/>
    </row>
    <row r="12780" spans="1:14" ht="14.25" customHeight="1" x14ac:dyDescent="0.25">
      <c r="A12780" s="607"/>
      <c r="B12780" s="608"/>
      <c r="C12780" s="609"/>
      <c r="D12780" s="142"/>
      <c r="E12780" s="105"/>
      <c r="F12780" s="106"/>
      <c r="G12780" s="81"/>
      <c r="H12780" s="81"/>
      <c r="I12780" s="81"/>
      <c r="J12780" s="81"/>
      <c r="K12780" s="81"/>
      <c r="L12780" s="81"/>
      <c r="M12780" s="81"/>
      <c r="N12780" s="81"/>
    </row>
    <row r="12781" spans="1:14" ht="14.25" customHeight="1" x14ac:dyDescent="0.25">
      <c r="A12781" s="607"/>
      <c r="B12781" s="608"/>
      <c r="C12781" s="609"/>
      <c r="D12781" s="142"/>
      <c r="E12781" s="107"/>
      <c r="F12781" s="106"/>
      <c r="G12781" s="81"/>
      <c r="H12781" s="81"/>
      <c r="I12781" s="81"/>
      <c r="J12781" s="81"/>
      <c r="K12781" s="81"/>
      <c r="L12781" s="81"/>
      <c r="M12781" s="81"/>
      <c r="N12781" s="81"/>
    </row>
    <row r="12782" spans="1:14" ht="14.25" customHeight="1" x14ac:dyDescent="0.25">
      <c r="A12782" s="607"/>
      <c r="B12782" s="608"/>
      <c r="C12782" s="609"/>
      <c r="D12782" s="142"/>
      <c r="E12782" s="107"/>
      <c r="F12782" s="106"/>
      <c r="G12782" s="81"/>
      <c r="H12782" s="81"/>
      <c r="I12782" s="81"/>
      <c r="J12782" s="81"/>
      <c r="K12782" s="81"/>
      <c r="L12782" s="81"/>
      <c r="M12782" s="81"/>
      <c r="N12782" s="81"/>
    </row>
    <row r="12783" spans="1:14" ht="14.25" customHeight="1" x14ac:dyDescent="0.25">
      <c r="A12783" s="607"/>
      <c r="B12783" s="608"/>
      <c r="C12783" s="609"/>
      <c r="D12783" s="142"/>
      <c r="E12783" s="107"/>
      <c r="F12783" s="106"/>
      <c r="G12783" s="81"/>
      <c r="H12783" s="81"/>
      <c r="I12783" s="81"/>
      <c r="J12783" s="81"/>
      <c r="K12783" s="81"/>
      <c r="L12783" s="81"/>
      <c r="M12783" s="81"/>
      <c r="N12783" s="81"/>
    </row>
    <row r="12784" spans="1:14" ht="14.25" customHeight="1" x14ac:dyDescent="0.25">
      <c r="A12784" s="607"/>
      <c r="B12784" s="608"/>
      <c r="C12784" s="609"/>
      <c r="D12784" s="142"/>
      <c r="E12784" s="107"/>
      <c r="F12784" s="106"/>
      <c r="G12784" s="81"/>
      <c r="H12784" s="81"/>
      <c r="I12784" s="81"/>
      <c r="J12784" s="81"/>
      <c r="K12784" s="81"/>
      <c r="L12784" s="81"/>
      <c r="M12784" s="81"/>
      <c r="N12784" s="81"/>
    </row>
    <row r="12785" spans="1:14" ht="14.25" customHeight="1" x14ac:dyDescent="0.25">
      <c r="A12785" s="607"/>
      <c r="B12785" s="608"/>
      <c r="C12785" s="609"/>
      <c r="D12785" s="142"/>
      <c r="E12785" s="107"/>
      <c r="F12785" s="106"/>
      <c r="G12785" s="81"/>
      <c r="H12785" s="81"/>
      <c r="I12785" s="81"/>
      <c r="J12785" s="81"/>
      <c r="K12785" s="81"/>
      <c r="L12785" s="81"/>
      <c r="M12785" s="81"/>
      <c r="N12785" s="81"/>
    </row>
    <row r="12786" spans="1:14" ht="14.25" customHeight="1" x14ac:dyDescent="0.25">
      <c r="A12786" s="610"/>
      <c r="B12786" s="608"/>
      <c r="C12786" s="609"/>
      <c r="D12786" s="115"/>
      <c r="E12786" s="107"/>
      <c r="F12786" s="106"/>
      <c r="G12786" s="81"/>
      <c r="H12786" s="81"/>
      <c r="I12786" s="81"/>
      <c r="J12786" s="81"/>
      <c r="K12786" s="81"/>
      <c r="L12786" s="81"/>
      <c r="M12786" s="81"/>
      <c r="N12786" s="81"/>
    </row>
    <row r="12787" spans="1:14" ht="14.25" customHeight="1" x14ac:dyDescent="0.25">
      <c r="A12787" s="611" t="s">
        <v>548</v>
      </c>
      <c r="B12787" s="608"/>
      <c r="C12787" s="609"/>
      <c r="D12787" s="110"/>
      <c r="E12787" s="110"/>
      <c r="F12787" s="112">
        <f>SUM(F12778:F12785)</f>
        <v>10761.881699983363</v>
      </c>
      <c r="G12787" s="81"/>
      <c r="H12787" s="81"/>
      <c r="I12787" s="81"/>
      <c r="J12787" s="81"/>
      <c r="K12787" s="81"/>
      <c r="L12787" s="81"/>
      <c r="M12787" s="81"/>
      <c r="N12787" s="81"/>
    </row>
    <row r="12788" spans="1:14" ht="14.25" customHeight="1" x14ac:dyDescent="0.25">
      <c r="A12788" s="88"/>
      <c r="B12788" s="88"/>
      <c r="C12788" s="89"/>
      <c r="D12788" s="113"/>
      <c r="E12788" s="113"/>
      <c r="F12788" s="113"/>
      <c r="G12788" s="81"/>
      <c r="H12788" s="81"/>
      <c r="I12788" s="81"/>
      <c r="J12788" s="81"/>
      <c r="K12788" s="81"/>
      <c r="L12788" s="81"/>
      <c r="M12788" s="81"/>
      <c r="N12788" s="81"/>
    </row>
    <row r="12789" spans="1:14" ht="14.25" customHeight="1" x14ac:dyDescent="0.25">
      <c r="A12789" s="96" t="s">
        <v>578</v>
      </c>
      <c r="B12789" s="96"/>
      <c r="C12789" s="92"/>
      <c r="D12789" s="118"/>
      <c r="E12789" s="118"/>
      <c r="F12789" s="118"/>
      <c r="G12789" s="81"/>
      <c r="H12789" s="81"/>
      <c r="I12789" s="81"/>
      <c r="J12789" s="81"/>
      <c r="K12789" s="81"/>
      <c r="L12789" s="81"/>
      <c r="M12789" s="81"/>
      <c r="N12789" s="81"/>
    </row>
    <row r="12790" spans="1:14" ht="14.25" customHeight="1" x14ac:dyDescent="0.25">
      <c r="A12790" s="119" t="s">
        <v>563</v>
      </c>
      <c r="B12790" s="120" t="s">
        <v>579</v>
      </c>
      <c r="C12790" s="120" t="s">
        <v>580</v>
      </c>
      <c r="D12790" s="121" t="s">
        <v>581</v>
      </c>
      <c r="E12790" s="121" t="s">
        <v>575</v>
      </c>
      <c r="F12790" s="121" t="s">
        <v>568</v>
      </c>
      <c r="G12790" s="81"/>
      <c r="H12790" s="81"/>
      <c r="I12790" s="81"/>
      <c r="J12790" s="81"/>
      <c r="K12790" s="81"/>
      <c r="L12790" s="81"/>
      <c r="M12790" s="81"/>
      <c r="N12790" s="81"/>
    </row>
    <row r="12791" spans="1:14" ht="14.25" customHeight="1" x14ac:dyDescent="0.25">
      <c r="A12791" s="122" t="s">
        <v>593</v>
      </c>
      <c r="B12791" s="127">
        <v>1</v>
      </c>
      <c r="C12791" s="101">
        <v>32688</v>
      </c>
      <c r="D12791" s="101">
        <f t="shared" ref="D12791:D12792" si="627">+C12791*1.7</f>
        <v>55569.599999999999</v>
      </c>
      <c r="E12791" s="107">
        <v>0.67313599999999996</v>
      </c>
      <c r="F12791" s="106">
        <f t="shared" ref="F12791:F12792" si="628">+B12791*(D12791)/E12791</f>
        <v>82553.302750112911</v>
      </c>
      <c r="G12791" s="81"/>
      <c r="H12791" s="81"/>
      <c r="I12791" s="81"/>
      <c r="J12791" s="81"/>
      <c r="K12791" s="81"/>
      <c r="L12791" s="81"/>
      <c r="M12791" s="81"/>
      <c r="N12791" s="81"/>
    </row>
    <row r="12792" spans="1:14" ht="14.25" customHeight="1" x14ac:dyDescent="0.25">
      <c r="A12792" s="122" t="s">
        <v>594</v>
      </c>
      <c r="B12792" s="127">
        <v>1</v>
      </c>
      <c r="C12792" s="101">
        <v>52538</v>
      </c>
      <c r="D12792" s="101">
        <f t="shared" si="627"/>
        <v>89314.599999999991</v>
      </c>
      <c r="E12792" s="107">
        <f>E12791</f>
        <v>0.67313599999999996</v>
      </c>
      <c r="F12792" s="106">
        <f t="shared" si="628"/>
        <v>132684.33124955432</v>
      </c>
      <c r="G12792" s="81"/>
      <c r="H12792" s="81"/>
      <c r="I12792" s="81"/>
      <c r="J12792" s="81"/>
      <c r="K12792" s="81"/>
      <c r="L12792" s="81"/>
      <c r="M12792" s="81"/>
      <c r="N12792" s="81"/>
    </row>
    <row r="12793" spans="1:14" ht="14.25" customHeight="1" x14ac:dyDescent="0.25">
      <c r="A12793" s="122"/>
      <c r="B12793" s="127"/>
      <c r="C12793" s="101"/>
      <c r="D12793" s="101"/>
      <c r="E12793" s="105"/>
      <c r="F12793" s="106"/>
      <c r="G12793" s="81"/>
      <c r="H12793" s="81"/>
      <c r="I12793" s="81"/>
      <c r="J12793" s="81"/>
      <c r="K12793" s="81"/>
      <c r="L12793" s="81"/>
      <c r="M12793" s="81"/>
      <c r="N12793" s="81"/>
    </row>
    <row r="12794" spans="1:14" ht="14.25" customHeight="1" x14ac:dyDescent="0.25">
      <c r="A12794" s="122"/>
      <c r="B12794" s="127"/>
      <c r="C12794" s="101"/>
      <c r="D12794" s="101"/>
      <c r="E12794" s="125"/>
      <c r="F12794" s="106"/>
      <c r="G12794" s="81"/>
      <c r="H12794" s="81"/>
      <c r="I12794" s="81"/>
      <c r="J12794" s="81"/>
      <c r="K12794" s="81"/>
      <c r="L12794" s="81"/>
      <c r="M12794" s="81"/>
      <c r="N12794" s="81"/>
    </row>
    <row r="12795" spans="1:14" ht="14.25" customHeight="1" x14ac:dyDescent="0.25">
      <c r="A12795" s="97" t="s">
        <v>548</v>
      </c>
      <c r="B12795" s="128"/>
      <c r="C12795" s="110"/>
      <c r="D12795" s="110"/>
      <c r="E12795" s="110"/>
      <c r="F12795" s="112">
        <f>SUM(F12791:F12794)</f>
        <v>215237.63399966725</v>
      </c>
      <c r="G12795" s="81"/>
      <c r="H12795" s="81"/>
      <c r="I12795" s="81"/>
      <c r="J12795" s="81"/>
      <c r="K12795" s="81"/>
      <c r="L12795" s="81"/>
      <c r="M12795" s="81"/>
      <c r="N12795" s="81"/>
    </row>
    <row r="12796" spans="1:14" ht="14.25" customHeight="1" x14ac:dyDescent="0.25">
      <c r="A12796" s="96"/>
      <c r="B12796" s="129"/>
      <c r="C12796" s="118"/>
      <c r="D12796" s="118"/>
      <c r="E12796" s="118"/>
      <c r="F12796" s="118"/>
      <c r="G12796" s="81"/>
      <c r="H12796" s="81"/>
      <c r="I12796" s="81"/>
      <c r="J12796" s="81"/>
      <c r="K12796" s="81"/>
      <c r="L12796" s="81"/>
      <c r="M12796" s="81"/>
      <c r="N12796" s="81"/>
    </row>
    <row r="12797" spans="1:14" ht="14.25" customHeight="1" x14ac:dyDescent="0.25">
      <c r="A12797" s="95" t="s">
        <v>583</v>
      </c>
      <c r="B12797" s="96"/>
      <c r="C12797" s="92"/>
      <c r="D12797" s="92"/>
      <c r="E12797" s="92" t="s">
        <v>584</v>
      </c>
      <c r="F12797" s="92"/>
      <c r="G12797" s="81"/>
      <c r="H12797" s="81"/>
      <c r="I12797" s="81"/>
      <c r="J12797" s="81"/>
      <c r="K12797" s="81"/>
      <c r="L12797" s="81"/>
      <c r="M12797" s="81"/>
      <c r="N12797" s="81"/>
    </row>
    <row r="12798" spans="1:14" ht="14.25" customHeight="1" x14ac:dyDescent="0.25">
      <c r="A12798" s="97" t="s">
        <v>563</v>
      </c>
      <c r="B12798" s="98" t="s">
        <v>564</v>
      </c>
      <c r="C12798" s="98" t="s">
        <v>585</v>
      </c>
      <c r="D12798" s="98" t="s">
        <v>586</v>
      </c>
      <c r="E12798" s="120" t="s">
        <v>587</v>
      </c>
      <c r="F12798" s="98" t="s">
        <v>568</v>
      </c>
      <c r="G12798" s="81"/>
      <c r="H12798" s="81"/>
      <c r="I12798" s="81"/>
      <c r="J12798" s="81"/>
      <c r="K12798" s="81"/>
      <c r="L12798" s="81"/>
      <c r="M12798" s="81"/>
      <c r="N12798" s="81"/>
    </row>
    <row r="12799" spans="1:14" ht="14.25" customHeight="1" x14ac:dyDescent="0.25">
      <c r="A12799" s="103"/>
      <c r="B12799" s="100"/>
      <c r="C12799" s="101"/>
      <c r="D12799" s="140"/>
      <c r="E12799" s="107"/>
      <c r="F12799" s="109"/>
      <c r="G12799" s="81"/>
      <c r="H12799" s="81"/>
      <c r="I12799" s="81"/>
      <c r="J12799" s="81"/>
      <c r="K12799" s="81"/>
      <c r="L12799" s="81"/>
      <c r="M12799" s="81"/>
      <c r="N12799" s="81"/>
    </row>
    <row r="12800" spans="1:14" ht="14.25" customHeight="1" x14ac:dyDescent="0.25">
      <c r="A12800" s="103"/>
      <c r="B12800" s="100"/>
      <c r="C12800" s="107"/>
      <c r="D12800" s="107"/>
      <c r="E12800" s="108"/>
      <c r="F12800" s="109"/>
      <c r="G12800" s="81"/>
      <c r="H12800" s="81"/>
      <c r="I12800" s="81"/>
      <c r="J12800" s="81"/>
      <c r="K12800" s="81"/>
      <c r="L12800" s="81"/>
      <c r="M12800" s="81"/>
      <c r="N12800" s="81"/>
    </row>
    <row r="12801" spans="1:14" ht="14.25" customHeight="1" x14ac:dyDescent="0.25">
      <c r="A12801" s="97" t="s">
        <v>548</v>
      </c>
      <c r="B12801" s="98"/>
      <c r="C12801" s="110"/>
      <c r="D12801" s="110"/>
      <c r="E12801" s="111"/>
      <c r="F12801" s="112">
        <f>SUM(F12799:F12800)</f>
        <v>0</v>
      </c>
      <c r="G12801" s="81"/>
      <c r="H12801" s="81"/>
      <c r="I12801" s="81"/>
      <c r="J12801" s="81"/>
      <c r="K12801" s="81"/>
      <c r="L12801" s="81"/>
      <c r="M12801" s="81"/>
      <c r="N12801" s="81"/>
    </row>
    <row r="12802" spans="1:14" ht="14.25" customHeight="1" x14ac:dyDescent="0.25">
      <c r="A12802" s="88"/>
      <c r="B12802" s="89"/>
      <c r="C12802" s="113"/>
      <c r="D12802" s="113"/>
      <c r="E12802" s="114"/>
      <c r="F12802" s="113"/>
      <c r="G12802" s="81"/>
      <c r="H12802" s="81"/>
      <c r="I12802" s="81"/>
      <c r="J12802" s="81"/>
      <c r="K12802" s="81"/>
      <c r="L12802" s="81"/>
      <c r="M12802" s="81"/>
      <c r="N12802" s="81"/>
    </row>
    <row r="12803" spans="1:14" ht="14.25" customHeight="1" x14ac:dyDescent="0.25">
      <c r="A12803" s="88"/>
      <c r="B12803" s="89"/>
      <c r="C12803" s="113"/>
      <c r="D12803" s="113"/>
      <c r="E12803" s="114"/>
      <c r="F12803" s="113"/>
      <c r="G12803" s="81"/>
      <c r="H12803" s="117"/>
      <c r="I12803" s="81"/>
      <c r="J12803" s="81"/>
      <c r="K12803" s="81"/>
      <c r="L12803" s="81"/>
      <c r="M12803" s="81"/>
      <c r="N12803" s="81"/>
    </row>
    <row r="12804" spans="1:14" ht="14.25" customHeight="1" x14ac:dyDescent="0.25">
      <c r="A12804" s="612" t="s">
        <v>588</v>
      </c>
      <c r="B12804" s="608"/>
      <c r="C12804" s="608"/>
      <c r="D12804" s="608"/>
      <c r="E12804" s="609"/>
      <c r="F12804" s="131">
        <f>ROUND(F12774+F12787+F12795+F12801,0)</f>
        <v>2021000</v>
      </c>
      <c r="G12804" s="81"/>
      <c r="H12804" s="81"/>
      <c r="I12804" s="81"/>
      <c r="J12804" s="81"/>
      <c r="K12804" s="81"/>
      <c r="L12804" s="81"/>
      <c r="M12804" s="81"/>
      <c r="N12804" s="81"/>
    </row>
    <row r="12805" spans="1:14" ht="14.25" customHeight="1" x14ac:dyDescent="0.25">
      <c r="A12805" s="612" t="s">
        <v>589</v>
      </c>
      <c r="B12805" s="608"/>
      <c r="C12805" s="608"/>
      <c r="D12805" s="608"/>
      <c r="E12805" s="609"/>
      <c r="F12805" s="132"/>
      <c r="G12805" s="81"/>
      <c r="H12805" s="81"/>
      <c r="I12805" s="81"/>
      <c r="J12805" s="81"/>
      <c r="K12805" s="81"/>
      <c r="L12805" s="81"/>
      <c r="M12805" s="81"/>
      <c r="N12805" s="81"/>
    </row>
    <row r="12806" spans="1:14" ht="14.25" customHeight="1" x14ac:dyDescent="0.25">
      <c r="A12806" s="146" t="s">
        <v>556</v>
      </c>
      <c r="B12806" s="147"/>
      <c r="C12806" s="147"/>
      <c r="D12806" s="147"/>
      <c r="E12806" s="148"/>
      <c r="F12806" s="133"/>
      <c r="G12806" s="81"/>
      <c r="H12806" s="143"/>
      <c r="I12806" s="81"/>
      <c r="J12806" s="81"/>
      <c r="K12806" s="81"/>
      <c r="L12806" s="81"/>
      <c r="M12806" s="81"/>
      <c r="N12806" s="81"/>
    </row>
    <row r="12807" spans="1:14" ht="14.25" customHeight="1" x14ac:dyDescent="0.25">
      <c r="A12807" s="134"/>
      <c r="B12807" s="135"/>
      <c r="C12807" s="135"/>
      <c r="D12807" s="135"/>
      <c r="E12807" s="135"/>
      <c r="F12807" s="136"/>
      <c r="G12807" s="81"/>
      <c r="H12807" s="81"/>
      <c r="I12807" s="81"/>
      <c r="J12807" s="81"/>
      <c r="K12807" s="81"/>
      <c r="L12807" s="81"/>
      <c r="M12807" s="81"/>
      <c r="N12807" s="81"/>
    </row>
    <row r="12808" spans="1:14" ht="14.25" customHeight="1" x14ac:dyDescent="0.25">
      <c r="A12808" s="81"/>
      <c r="B12808" s="81"/>
      <c r="C12808" s="137"/>
      <c r="D12808" s="81"/>
      <c r="E12808" s="81"/>
      <c r="F12808" s="81"/>
      <c r="G12808" s="81"/>
      <c r="H12808" s="81"/>
      <c r="I12808" s="81"/>
      <c r="J12808" s="81"/>
      <c r="K12808" s="81"/>
      <c r="L12808" s="81"/>
      <c r="M12808" s="81"/>
      <c r="N12808" s="81"/>
    </row>
    <row r="12809" spans="1:14" ht="14.25" customHeight="1" x14ac:dyDescent="0.25">
      <c r="A12809" s="81"/>
      <c r="B12809" s="81"/>
      <c r="C12809" s="137"/>
      <c r="D12809" s="81"/>
      <c r="E12809" s="81"/>
      <c r="F12809" s="81"/>
      <c r="G12809" s="81"/>
      <c r="H12809" s="81"/>
      <c r="I12809" s="81"/>
      <c r="J12809" s="81"/>
      <c r="K12809" s="81"/>
      <c r="L12809" s="81"/>
      <c r="M12809" s="81"/>
      <c r="N12809" s="81"/>
    </row>
    <row r="12810" spans="1:14" ht="14.25" customHeight="1" x14ac:dyDescent="0.25">
      <c r="A12810" s="81"/>
      <c r="B12810" s="81"/>
      <c r="C12810" s="137"/>
      <c r="D12810" s="81"/>
      <c r="E12810" s="81"/>
      <c r="F12810" s="81"/>
      <c r="G12810" s="81"/>
      <c r="H12810" s="81"/>
      <c r="I12810" s="81"/>
      <c r="J12810" s="81"/>
      <c r="K12810" s="81"/>
      <c r="L12810" s="81"/>
      <c r="M12810" s="81"/>
      <c r="N12810" s="81"/>
    </row>
    <row r="12811" spans="1:14" ht="14.25" customHeight="1" x14ac:dyDescent="0.25">
      <c r="A12811" s="81"/>
      <c r="B12811" s="81"/>
      <c r="C12811" s="137"/>
      <c r="D12811" s="81"/>
      <c r="E12811" s="81"/>
      <c r="F12811" s="81"/>
      <c r="G12811" s="81"/>
      <c r="H12811" s="81"/>
      <c r="I12811" s="81"/>
      <c r="J12811" s="81"/>
      <c r="K12811" s="81"/>
      <c r="L12811" s="81"/>
      <c r="M12811" s="81"/>
      <c r="N12811" s="81"/>
    </row>
    <row r="12812" spans="1:14" ht="14.25" customHeight="1" x14ac:dyDescent="0.25">
      <c r="A12812" s="81"/>
      <c r="B12812" s="81"/>
      <c r="C12812" s="137"/>
      <c r="D12812" s="81"/>
      <c r="E12812" s="81"/>
      <c r="F12812" s="81"/>
      <c r="G12812" s="81"/>
      <c r="H12812" s="81"/>
      <c r="I12812" s="81"/>
      <c r="J12812" s="81"/>
      <c r="K12812" s="81"/>
      <c r="L12812" s="81"/>
      <c r="M12812" s="81"/>
      <c r="N12812" s="81"/>
    </row>
    <row r="12813" spans="1:14" ht="14.25" customHeight="1" x14ac:dyDescent="0.25">
      <c r="A12813" s="134"/>
      <c r="B12813" s="135"/>
      <c r="C12813" s="135"/>
      <c r="D12813" s="135"/>
      <c r="E12813" s="135"/>
      <c r="F12813" s="136"/>
      <c r="G12813" s="81"/>
      <c r="H12813" s="81"/>
      <c r="I12813" s="81"/>
      <c r="J12813" s="81"/>
      <c r="K12813" s="81"/>
      <c r="L12813" s="81"/>
      <c r="M12813" s="81"/>
      <c r="N12813" s="81"/>
    </row>
    <row r="12814" spans="1:14" ht="14.25" customHeight="1" x14ac:dyDescent="0.25">
      <c r="A12814" s="134"/>
      <c r="B12814" s="135"/>
      <c r="C12814" s="135"/>
      <c r="D12814" s="135"/>
      <c r="E12814" s="135"/>
      <c r="F12814" s="136"/>
      <c r="G12814" s="81"/>
      <c r="H12814" s="81"/>
      <c r="I12814" s="81"/>
      <c r="J12814" s="81"/>
      <c r="K12814" s="81"/>
      <c r="L12814" s="81"/>
      <c r="M12814" s="81"/>
      <c r="N12814" s="81"/>
    </row>
    <row r="12815" spans="1:14" ht="14.25" customHeight="1" x14ac:dyDescent="0.25">
      <c r="A12815" s="134"/>
      <c r="B12815" s="135"/>
      <c r="C12815" s="135"/>
      <c r="D12815" s="135"/>
      <c r="E12815" s="135"/>
      <c r="F12815" s="135"/>
      <c r="G12815" s="81"/>
      <c r="H12815" s="81"/>
      <c r="I12815" s="81"/>
      <c r="J12815" s="81"/>
      <c r="K12815" s="81"/>
      <c r="L12815" s="81"/>
      <c r="M12815" s="81"/>
      <c r="N12815" s="81"/>
    </row>
    <row r="12816" spans="1:14" ht="14.25" customHeight="1" thickBot="1" x14ac:dyDescent="0.3">
      <c r="A12816" s="81"/>
      <c r="B12816" s="81"/>
      <c r="C12816" s="81"/>
      <c r="D12816" s="81"/>
      <c r="E12816" s="81"/>
      <c r="F12816" s="81"/>
      <c r="G12816" s="81"/>
      <c r="H12816" s="81"/>
      <c r="I12816" s="81"/>
      <c r="J12816" s="81"/>
      <c r="K12816" s="81"/>
      <c r="L12816" s="81"/>
      <c r="M12816" s="81"/>
      <c r="N12816" s="81"/>
    </row>
    <row r="12817" spans="1:14" ht="14.25" customHeight="1" x14ac:dyDescent="0.25">
      <c r="A12817" s="83"/>
      <c r="B12817" s="84"/>
      <c r="C12817" s="85"/>
      <c r="D12817" s="86"/>
      <c r="E12817" s="86"/>
      <c r="F12817" s="87"/>
      <c r="G12817" s="81"/>
      <c r="H12817" s="81"/>
      <c r="I12817" s="81"/>
      <c r="J12817" s="81"/>
      <c r="K12817" s="81"/>
      <c r="L12817" s="81"/>
      <c r="M12817" s="81"/>
      <c r="N12817" s="81"/>
    </row>
    <row r="12818" spans="1:14" ht="14.25" customHeight="1" x14ac:dyDescent="0.25">
      <c r="A12818" s="599"/>
      <c r="B12818" s="600"/>
      <c r="C12818" s="600"/>
      <c r="D12818" s="600"/>
      <c r="E12818" s="600"/>
      <c r="F12818" s="601"/>
      <c r="G12818" s="81"/>
      <c r="H12818" s="81"/>
      <c r="I12818" s="81"/>
      <c r="J12818" s="81"/>
      <c r="K12818" s="81"/>
      <c r="L12818" s="81"/>
      <c r="M12818" s="81"/>
      <c r="N12818" s="81"/>
    </row>
    <row r="12819" spans="1:14" ht="14.25" customHeight="1" x14ac:dyDescent="0.25">
      <c r="A12819" s="602" t="s">
        <v>561</v>
      </c>
      <c r="B12819" s="600"/>
      <c r="C12819" s="600"/>
      <c r="D12819" s="600"/>
      <c r="E12819" s="600"/>
      <c r="F12819" s="601"/>
      <c r="G12819" s="81"/>
      <c r="H12819" s="81"/>
      <c r="I12819" s="81"/>
      <c r="J12819" s="81"/>
      <c r="K12819" s="81"/>
      <c r="L12819" s="81"/>
      <c r="M12819" s="81"/>
      <c r="N12819" s="81"/>
    </row>
    <row r="12820" spans="1:14" ht="14.25" customHeight="1" thickBot="1" x14ac:dyDescent="0.3">
      <c r="A12820" s="603"/>
      <c r="B12820" s="604"/>
      <c r="C12820" s="604"/>
      <c r="D12820" s="604"/>
      <c r="E12820" s="604"/>
      <c r="F12820" s="605"/>
      <c r="G12820" s="81"/>
      <c r="H12820" s="81"/>
      <c r="I12820" s="81"/>
      <c r="J12820" s="81"/>
      <c r="K12820" s="81"/>
      <c r="L12820" s="81"/>
      <c r="M12820" s="81"/>
      <c r="N12820" s="81"/>
    </row>
    <row r="12821" spans="1:14" ht="14.25" customHeight="1" x14ac:dyDescent="0.25">
      <c r="A12821" s="88"/>
      <c r="B12821" s="88"/>
      <c r="C12821" s="89"/>
      <c r="D12821" s="89"/>
      <c r="E12821" s="89"/>
      <c r="F12821" s="89"/>
      <c r="G12821" s="81"/>
      <c r="H12821" s="81"/>
      <c r="I12821" s="81"/>
      <c r="J12821" s="81"/>
      <c r="K12821" s="81"/>
      <c r="L12821" s="81"/>
      <c r="M12821" s="81"/>
      <c r="N12821" s="81"/>
    </row>
    <row r="12822" spans="1:14" ht="14.25" customHeight="1" x14ac:dyDescent="0.25">
      <c r="A12822" s="90" t="s">
        <v>47</v>
      </c>
      <c r="B12822" s="613" t="s">
        <v>443</v>
      </c>
      <c r="C12822" s="600"/>
      <c r="D12822" s="600"/>
      <c r="E12822" s="600"/>
      <c r="F12822" s="600"/>
      <c r="G12822" s="81"/>
      <c r="H12822" s="81"/>
      <c r="I12822" s="81"/>
      <c r="J12822" s="81"/>
      <c r="K12822" s="81"/>
      <c r="L12822" s="81"/>
      <c r="M12822" s="81"/>
      <c r="N12822" s="81"/>
    </row>
    <row r="12823" spans="1:14" ht="14.25" customHeight="1" x14ac:dyDescent="0.25">
      <c r="A12823" s="91"/>
      <c r="B12823" s="91"/>
      <c r="C12823" s="91"/>
      <c r="D12823" s="91"/>
      <c r="E12823" s="91"/>
      <c r="F12823" s="91"/>
      <c r="G12823" s="81"/>
      <c r="H12823" s="81"/>
      <c r="I12823" s="81"/>
      <c r="J12823" s="81"/>
      <c r="K12823" s="81"/>
      <c r="L12823" s="81"/>
      <c r="M12823" s="81"/>
      <c r="N12823" s="81"/>
    </row>
    <row r="12824" spans="1:14" ht="14.25" customHeight="1" x14ac:dyDescent="0.25">
      <c r="A12824" s="88" t="s">
        <v>49</v>
      </c>
      <c r="B12824" s="92" t="s">
        <v>99</v>
      </c>
      <c r="C12824" s="89"/>
      <c r="D12824" s="89"/>
      <c r="E12824" s="89"/>
      <c r="F12824" s="93"/>
      <c r="G12824" s="81"/>
      <c r="H12824" s="81"/>
      <c r="I12824" s="81"/>
      <c r="J12824" s="81"/>
      <c r="K12824" s="81"/>
      <c r="L12824" s="81"/>
      <c r="M12824" s="81"/>
      <c r="N12824" s="81"/>
    </row>
    <row r="12825" spans="1:14" ht="14.25" customHeight="1" x14ac:dyDescent="0.25">
      <c r="A12825" s="88"/>
      <c r="B12825" s="94"/>
      <c r="C12825" s="89"/>
      <c r="D12825" s="89"/>
      <c r="E12825" s="89"/>
      <c r="F12825" s="93"/>
      <c r="G12825" s="81"/>
      <c r="H12825" s="81"/>
      <c r="I12825" s="81"/>
      <c r="J12825" s="81"/>
      <c r="K12825" s="81"/>
      <c r="L12825" s="81"/>
      <c r="M12825" s="81"/>
      <c r="N12825" s="81"/>
    </row>
    <row r="12826" spans="1:14" s="168" customFormat="1" ht="15.75" x14ac:dyDescent="0.25">
      <c r="A12826" s="95" t="s">
        <v>562</v>
      </c>
      <c r="B12826" s="96"/>
      <c r="C12826" s="92"/>
      <c r="D12826" s="92"/>
      <c r="E12826" s="92"/>
      <c r="F12826" s="92"/>
      <c r="G12826" s="243"/>
      <c r="H12826" s="243"/>
      <c r="I12826" s="243"/>
      <c r="J12826" s="243"/>
      <c r="K12826" s="243"/>
      <c r="L12826" s="243"/>
      <c r="M12826" s="243"/>
      <c r="N12826" s="243"/>
    </row>
    <row r="12827" spans="1:14" s="168" customFormat="1" ht="15.75" x14ac:dyDescent="0.25">
      <c r="A12827" s="97" t="s">
        <v>563</v>
      </c>
      <c r="B12827" s="98" t="s">
        <v>564</v>
      </c>
      <c r="C12827" s="98" t="s">
        <v>565</v>
      </c>
      <c r="D12827" s="98" t="s">
        <v>566</v>
      </c>
      <c r="E12827" s="98" t="s">
        <v>567</v>
      </c>
      <c r="F12827" s="98" t="s">
        <v>568</v>
      </c>
      <c r="G12827" s="243"/>
      <c r="H12827" s="243"/>
      <c r="I12827" s="243"/>
      <c r="J12827" s="243"/>
      <c r="K12827" s="243"/>
      <c r="L12827" s="243"/>
      <c r="M12827" s="243"/>
      <c r="N12827" s="243"/>
    </row>
    <row r="12828" spans="1:14" ht="14.25" customHeight="1" x14ac:dyDescent="0.25">
      <c r="A12828" s="99" t="s">
        <v>873</v>
      </c>
      <c r="B12828" s="100" t="s">
        <v>99</v>
      </c>
      <c r="C12828" s="101">
        <v>1105840</v>
      </c>
      <c r="D12828" s="149">
        <v>1</v>
      </c>
      <c r="E12828" s="102"/>
      <c r="F12828" s="101">
        <f t="shared" ref="F12828:F12831" si="629">C12828*(D12828+(D12828*E12828))</f>
        <v>1105840</v>
      </c>
      <c r="G12828" s="81"/>
      <c r="H12828" s="81"/>
      <c r="I12828" s="81"/>
      <c r="J12828" s="81"/>
      <c r="K12828" s="81"/>
      <c r="L12828" s="81"/>
      <c r="M12828" s="81"/>
      <c r="N12828" s="81"/>
    </row>
    <row r="12829" spans="1:14" ht="14.25" customHeight="1" x14ac:dyDescent="0.25">
      <c r="A12829" s="99"/>
      <c r="B12829" s="100"/>
      <c r="C12829" s="101"/>
      <c r="D12829" s="149"/>
      <c r="E12829" s="102"/>
      <c r="F12829" s="101">
        <f t="shared" si="629"/>
        <v>0</v>
      </c>
      <c r="G12829" s="81"/>
      <c r="H12829" s="81"/>
      <c r="I12829" s="81"/>
      <c r="J12829" s="81"/>
      <c r="K12829" s="81"/>
      <c r="L12829" s="81"/>
      <c r="M12829" s="81"/>
      <c r="N12829" s="81"/>
    </row>
    <row r="12830" spans="1:14" ht="14.25" customHeight="1" x14ac:dyDescent="0.25">
      <c r="A12830" s="99"/>
      <c r="B12830" s="100"/>
      <c r="C12830" s="101"/>
      <c r="D12830" s="149"/>
      <c r="E12830" s="102"/>
      <c r="F12830" s="101">
        <f t="shared" si="629"/>
        <v>0</v>
      </c>
      <c r="G12830" s="81"/>
      <c r="H12830" s="81"/>
      <c r="I12830" s="81"/>
      <c r="J12830" s="81"/>
      <c r="K12830" s="81"/>
      <c r="L12830" s="81"/>
      <c r="M12830" s="81"/>
      <c r="N12830" s="81"/>
    </row>
    <row r="12831" spans="1:14" ht="14.25" customHeight="1" x14ac:dyDescent="0.25">
      <c r="A12831" s="99"/>
      <c r="B12831" s="100"/>
      <c r="C12831" s="101"/>
      <c r="D12831" s="149"/>
      <c r="E12831" s="102"/>
      <c r="F12831" s="101">
        <f t="shared" si="629"/>
        <v>0</v>
      </c>
      <c r="G12831" s="81"/>
      <c r="H12831" s="81"/>
      <c r="I12831" s="81"/>
      <c r="J12831" s="81"/>
      <c r="K12831" s="81"/>
      <c r="L12831" s="81"/>
      <c r="M12831" s="81"/>
      <c r="N12831" s="81"/>
    </row>
    <row r="12832" spans="1:14" ht="14.25" customHeight="1" x14ac:dyDescent="0.25">
      <c r="A12832" s="99"/>
      <c r="B12832" s="100"/>
      <c r="C12832" s="101"/>
      <c r="D12832" s="149"/>
      <c r="E12832" s="102"/>
      <c r="F12832" s="101"/>
      <c r="G12832" s="81"/>
      <c r="H12832" s="81"/>
      <c r="I12832" s="81"/>
      <c r="J12832" s="81"/>
      <c r="K12832" s="81"/>
      <c r="L12832" s="81"/>
      <c r="M12832" s="81"/>
      <c r="N12832" s="81"/>
    </row>
    <row r="12833" spans="1:14" ht="14.25" customHeight="1" x14ac:dyDescent="0.25">
      <c r="A12833" s="99"/>
      <c r="B12833" s="100"/>
      <c r="C12833" s="101"/>
      <c r="D12833" s="149"/>
      <c r="E12833" s="102"/>
      <c r="F12833" s="101"/>
      <c r="G12833" s="81"/>
      <c r="H12833" s="81"/>
      <c r="I12833" s="81"/>
      <c r="J12833" s="81"/>
      <c r="K12833" s="81"/>
      <c r="L12833" s="81"/>
      <c r="M12833" s="81"/>
      <c r="N12833" s="81"/>
    </row>
    <row r="12834" spans="1:14" ht="14.25" customHeight="1" x14ac:dyDescent="0.25">
      <c r="A12834" s="99"/>
      <c r="B12834" s="100"/>
      <c r="C12834" s="101"/>
      <c r="D12834" s="149"/>
      <c r="E12834" s="102"/>
      <c r="F12834" s="101"/>
      <c r="G12834" s="81"/>
      <c r="H12834" s="81"/>
      <c r="I12834" s="81"/>
      <c r="J12834" s="81"/>
      <c r="K12834" s="81"/>
      <c r="L12834" s="81"/>
      <c r="M12834" s="81"/>
      <c r="N12834" s="81"/>
    </row>
    <row r="12835" spans="1:14" ht="14.25" customHeight="1" x14ac:dyDescent="0.25">
      <c r="A12835" s="99"/>
      <c r="B12835" s="100"/>
      <c r="C12835" s="106"/>
      <c r="D12835" s="107"/>
      <c r="E12835" s="108"/>
      <c r="F12835" s="106"/>
      <c r="G12835" s="81"/>
      <c r="H12835" s="81"/>
      <c r="I12835" s="81"/>
      <c r="J12835" s="81"/>
      <c r="K12835" s="81"/>
      <c r="L12835" s="81"/>
      <c r="M12835" s="81"/>
      <c r="N12835" s="81"/>
    </row>
    <row r="12836" spans="1:14" ht="14.25" customHeight="1" x14ac:dyDescent="0.25">
      <c r="A12836" s="97" t="s">
        <v>548</v>
      </c>
      <c r="B12836" s="97"/>
      <c r="C12836" s="109"/>
      <c r="D12836" s="110"/>
      <c r="E12836" s="111"/>
      <c r="F12836" s="112">
        <f>SUM(F12828:F12835)</f>
        <v>1105840</v>
      </c>
      <c r="G12836" s="81"/>
      <c r="H12836" s="81"/>
      <c r="I12836" s="81"/>
      <c r="J12836" s="81"/>
      <c r="K12836" s="81"/>
      <c r="L12836" s="81"/>
      <c r="M12836" s="81"/>
      <c r="N12836" s="81"/>
    </row>
    <row r="12837" spans="1:14" ht="14.25" customHeight="1" x14ac:dyDescent="0.25">
      <c r="A12837" s="88"/>
      <c r="B12837" s="88"/>
      <c r="C12837" s="113"/>
      <c r="D12837" s="113"/>
      <c r="E12837" s="114"/>
      <c r="F12837" s="113"/>
      <c r="G12837" s="81"/>
      <c r="H12837" s="81"/>
      <c r="I12837" s="81"/>
      <c r="J12837" s="81"/>
      <c r="K12837" s="81"/>
      <c r="L12837" s="81"/>
      <c r="M12837" s="81"/>
      <c r="N12837" s="81"/>
    </row>
    <row r="12838" spans="1:14" ht="14.25" customHeight="1" x14ac:dyDescent="0.25">
      <c r="A12838" s="96" t="s">
        <v>573</v>
      </c>
      <c r="B12838" s="96"/>
      <c r="C12838" s="92"/>
      <c r="D12838" s="92"/>
      <c r="E12838" s="92"/>
      <c r="F12838" s="92"/>
      <c r="G12838" s="81"/>
      <c r="H12838" s="81"/>
      <c r="I12838" s="81"/>
      <c r="J12838" s="81"/>
      <c r="K12838" s="81"/>
      <c r="L12838" s="81"/>
      <c r="M12838" s="81"/>
      <c r="N12838" s="81"/>
    </row>
    <row r="12839" spans="1:14" ht="14.25" customHeight="1" x14ac:dyDescent="0.25">
      <c r="A12839" s="611" t="s">
        <v>563</v>
      </c>
      <c r="B12839" s="608"/>
      <c r="C12839" s="609"/>
      <c r="D12839" s="98" t="s">
        <v>574</v>
      </c>
      <c r="E12839" s="98" t="s">
        <v>575</v>
      </c>
      <c r="F12839" s="98" t="s">
        <v>568</v>
      </c>
      <c r="G12839" s="81"/>
      <c r="H12839" s="81"/>
      <c r="I12839" s="81"/>
      <c r="J12839" s="81"/>
      <c r="K12839" s="81"/>
      <c r="L12839" s="81"/>
      <c r="M12839" s="81"/>
      <c r="N12839" s="81"/>
    </row>
    <row r="12840" spans="1:14" ht="14.25" customHeight="1" x14ac:dyDescent="0.25">
      <c r="A12840" s="607" t="s">
        <v>577</v>
      </c>
      <c r="B12840" s="608"/>
      <c r="C12840" s="609"/>
      <c r="D12840" s="116"/>
      <c r="E12840" s="107"/>
      <c r="F12840" s="106">
        <f>+F12857*5%</f>
        <v>8769.5399272454342</v>
      </c>
      <c r="G12840" s="81"/>
      <c r="H12840" s="81"/>
      <c r="I12840" s="81"/>
      <c r="J12840" s="81"/>
      <c r="K12840" s="81"/>
      <c r="L12840" s="81"/>
      <c r="M12840" s="81"/>
      <c r="N12840" s="81"/>
    </row>
    <row r="12841" spans="1:14" ht="14.25" customHeight="1" x14ac:dyDescent="0.25">
      <c r="A12841" s="607"/>
      <c r="B12841" s="608"/>
      <c r="C12841" s="609"/>
      <c r="D12841" s="142"/>
      <c r="E12841" s="105"/>
      <c r="F12841" s="106"/>
      <c r="G12841" s="81"/>
      <c r="H12841" s="81"/>
      <c r="I12841" s="81"/>
      <c r="J12841" s="81"/>
      <c r="K12841" s="81"/>
      <c r="L12841" s="81"/>
      <c r="M12841" s="81"/>
      <c r="N12841" s="81"/>
    </row>
    <row r="12842" spans="1:14" ht="14.25" customHeight="1" x14ac:dyDescent="0.25">
      <c r="A12842" s="607"/>
      <c r="B12842" s="608"/>
      <c r="C12842" s="609"/>
      <c r="D12842" s="142"/>
      <c r="E12842" s="105"/>
      <c r="F12842" s="106"/>
      <c r="G12842" s="81"/>
      <c r="H12842" s="81"/>
      <c r="I12842" s="81"/>
      <c r="J12842" s="81"/>
      <c r="K12842" s="81"/>
      <c r="L12842" s="81"/>
      <c r="M12842" s="81"/>
      <c r="N12842" s="81"/>
    </row>
    <row r="12843" spans="1:14" ht="14.25" customHeight="1" x14ac:dyDescent="0.25">
      <c r="A12843" s="607"/>
      <c r="B12843" s="608"/>
      <c r="C12843" s="609"/>
      <c r="D12843" s="142"/>
      <c r="E12843" s="107"/>
      <c r="F12843" s="106"/>
      <c r="G12843" s="81"/>
      <c r="H12843" s="81"/>
      <c r="I12843" s="81"/>
      <c r="J12843" s="81"/>
      <c r="K12843" s="81"/>
      <c r="L12843" s="81"/>
      <c r="M12843" s="81"/>
      <c r="N12843" s="81"/>
    </row>
    <row r="12844" spans="1:14" ht="14.25" customHeight="1" x14ac:dyDescent="0.25">
      <c r="A12844" s="607"/>
      <c r="B12844" s="608"/>
      <c r="C12844" s="609"/>
      <c r="D12844" s="142"/>
      <c r="E12844" s="107"/>
      <c r="F12844" s="106"/>
      <c r="G12844" s="81"/>
      <c r="H12844" s="81"/>
      <c r="I12844" s="81"/>
      <c r="J12844" s="81"/>
      <c r="K12844" s="81"/>
      <c r="L12844" s="81"/>
      <c r="M12844" s="81"/>
      <c r="N12844" s="81"/>
    </row>
    <row r="12845" spans="1:14" ht="14.25" customHeight="1" x14ac:dyDescent="0.25">
      <c r="A12845" s="607"/>
      <c r="B12845" s="608"/>
      <c r="C12845" s="609"/>
      <c r="D12845" s="142"/>
      <c r="E12845" s="107"/>
      <c r="F12845" s="106"/>
      <c r="G12845" s="81"/>
      <c r="H12845" s="81"/>
      <c r="I12845" s="81"/>
      <c r="J12845" s="81"/>
      <c r="K12845" s="81"/>
      <c r="L12845" s="81"/>
      <c r="M12845" s="81"/>
      <c r="N12845" s="81"/>
    </row>
    <row r="12846" spans="1:14" ht="14.25" customHeight="1" x14ac:dyDescent="0.25">
      <c r="A12846" s="607"/>
      <c r="B12846" s="608"/>
      <c r="C12846" s="609"/>
      <c r="D12846" s="142"/>
      <c r="E12846" s="107"/>
      <c r="F12846" s="106"/>
      <c r="G12846" s="81"/>
      <c r="H12846" s="81"/>
      <c r="I12846" s="81"/>
      <c r="J12846" s="81"/>
      <c r="K12846" s="81"/>
      <c r="L12846" s="81"/>
      <c r="M12846" s="81"/>
      <c r="N12846" s="81"/>
    </row>
    <row r="12847" spans="1:14" ht="14.25" customHeight="1" x14ac:dyDescent="0.25">
      <c r="A12847" s="607"/>
      <c r="B12847" s="608"/>
      <c r="C12847" s="609"/>
      <c r="D12847" s="142"/>
      <c r="E12847" s="107"/>
      <c r="F12847" s="106"/>
      <c r="G12847" s="81"/>
      <c r="H12847" s="81"/>
      <c r="I12847" s="81"/>
      <c r="J12847" s="81"/>
      <c r="K12847" s="81"/>
      <c r="L12847" s="81"/>
      <c r="M12847" s="81"/>
      <c r="N12847" s="81"/>
    </row>
    <row r="12848" spans="1:14" ht="14.25" customHeight="1" x14ac:dyDescent="0.25">
      <c r="A12848" s="610"/>
      <c r="B12848" s="608"/>
      <c r="C12848" s="609"/>
      <c r="D12848" s="115"/>
      <c r="E12848" s="107"/>
      <c r="F12848" s="106"/>
      <c r="G12848" s="81"/>
      <c r="H12848" s="81"/>
      <c r="I12848" s="81"/>
      <c r="J12848" s="81"/>
      <c r="K12848" s="81"/>
      <c r="L12848" s="81"/>
      <c r="M12848" s="81"/>
      <c r="N12848" s="81"/>
    </row>
    <row r="12849" spans="1:14" ht="14.25" customHeight="1" x14ac:dyDescent="0.25">
      <c r="A12849" s="611" t="s">
        <v>548</v>
      </c>
      <c r="B12849" s="608"/>
      <c r="C12849" s="609"/>
      <c r="D12849" s="110"/>
      <c r="E12849" s="110"/>
      <c r="F12849" s="112">
        <f>SUM(F12840:F12847)</f>
        <v>8769.5399272454342</v>
      </c>
      <c r="G12849" s="81"/>
      <c r="H12849" s="81"/>
      <c r="I12849" s="81"/>
      <c r="J12849" s="81"/>
      <c r="K12849" s="81"/>
      <c r="L12849" s="81"/>
      <c r="M12849" s="81"/>
      <c r="N12849" s="81"/>
    </row>
    <row r="12850" spans="1:14" ht="14.25" customHeight="1" x14ac:dyDescent="0.25">
      <c r="A12850" s="88"/>
      <c r="B12850" s="88"/>
      <c r="C12850" s="89"/>
      <c r="D12850" s="113"/>
      <c r="E12850" s="113"/>
      <c r="F12850" s="113"/>
      <c r="G12850" s="81"/>
      <c r="H12850" s="81"/>
      <c r="I12850" s="81"/>
      <c r="J12850" s="81"/>
      <c r="K12850" s="81"/>
      <c r="L12850" s="81"/>
      <c r="M12850" s="81"/>
      <c r="N12850" s="81"/>
    </row>
    <row r="12851" spans="1:14" ht="14.25" customHeight="1" x14ac:dyDescent="0.25">
      <c r="A12851" s="96" t="s">
        <v>578</v>
      </c>
      <c r="B12851" s="96"/>
      <c r="C12851" s="92"/>
      <c r="D12851" s="118"/>
      <c r="E12851" s="118"/>
      <c r="F12851" s="118"/>
      <c r="G12851" s="81"/>
      <c r="H12851" s="81"/>
      <c r="I12851" s="81"/>
      <c r="J12851" s="81"/>
      <c r="K12851" s="81"/>
      <c r="L12851" s="81"/>
      <c r="M12851" s="81"/>
      <c r="N12851" s="81"/>
    </row>
    <row r="12852" spans="1:14" ht="14.25" customHeight="1" x14ac:dyDescent="0.25">
      <c r="A12852" s="119" t="s">
        <v>563</v>
      </c>
      <c r="B12852" s="120" t="s">
        <v>579</v>
      </c>
      <c r="C12852" s="120" t="s">
        <v>580</v>
      </c>
      <c r="D12852" s="121" t="s">
        <v>581</v>
      </c>
      <c r="E12852" s="121" t="s">
        <v>575</v>
      </c>
      <c r="F12852" s="121" t="s">
        <v>568</v>
      </c>
      <c r="G12852" s="81"/>
      <c r="H12852" s="81"/>
      <c r="I12852" s="81"/>
      <c r="J12852" s="81"/>
      <c r="K12852" s="81"/>
      <c r="L12852" s="81"/>
      <c r="M12852" s="81"/>
      <c r="N12852" s="81"/>
    </row>
    <row r="12853" spans="1:14" ht="14.25" customHeight="1" x14ac:dyDescent="0.25">
      <c r="A12853" s="122" t="s">
        <v>593</v>
      </c>
      <c r="B12853" s="127">
        <v>1</v>
      </c>
      <c r="C12853" s="101">
        <v>32688</v>
      </c>
      <c r="D12853" s="101">
        <f t="shared" ref="D12853:D12854" si="630">+C12853*1.7</f>
        <v>55569.599999999999</v>
      </c>
      <c r="E12853" s="107">
        <v>0.82606500000000005</v>
      </c>
      <c r="F12853" s="106">
        <f t="shared" ref="F12853:F12854" si="631">+B12853*(D12853)/E12853</f>
        <v>67270.251130358985</v>
      </c>
      <c r="G12853" s="81"/>
      <c r="H12853" s="81"/>
      <c r="I12853" s="81"/>
      <c r="J12853" s="81"/>
      <c r="K12853" s="81"/>
      <c r="L12853" s="81"/>
      <c r="M12853" s="81"/>
      <c r="N12853" s="81"/>
    </row>
    <row r="12854" spans="1:14" ht="14.25" customHeight="1" x14ac:dyDescent="0.25">
      <c r="A12854" s="122" t="s">
        <v>594</v>
      </c>
      <c r="B12854" s="127">
        <v>1</v>
      </c>
      <c r="C12854" s="101">
        <v>52538</v>
      </c>
      <c r="D12854" s="101">
        <f t="shared" si="630"/>
        <v>89314.599999999991</v>
      </c>
      <c r="E12854" s="107">
        <f>E12853</f>
        <v>0.82606500000000005</v>
      </c>
      <c r="F12854" s="106">
        <f t="shared" si="631"/>
        <v>108120.54741454968</v>
      </c>
      <c r="G12854" s="81"/>
      <c r="H12854" s="81"/>
      <c r="I12854" s="81"/>
      <c r="J12854" s="81"/>
      <c r="K12854" s="81"/>
      <c r="L12854" s="81"/>
      <c r="M12854" s="81"/>
      <c r="N12854" s="81"/>
    </row>
    <row r="12855" spans="1:14" ht="14.25" customHeight="1" x14ac:dyDescent="0.25">
      <c r="A12855" s="122"/>
      <c r="B12855" s="127"/>
      <c r="C12855" s="101"/>
      <c r="D12855" s="101"/>
      <c r="E12855" s="105"/>
      <c r="F12855" s="106"/>
      <c r="G12855" s="81"/>
      <c r="H12855" s="81"/>
      <c r="I12855" s="81"/>
      <c r="J12855" s="81"/>
      <c r="K12855" s="81"/>
      <c r="L12855" s="81"/>
      <c r="M12855" s="81"/>
      <c r="N12855" s="81"/>
    </row>
    <row r="12856" spans="1:14" ht="14.25" customHeight="1" x14ac:dyDescent="0.25">
      <c r="A12856" s="122"/>
      <c r="B12856" s="127"/>
      <c r="C12856" s="101"/>
      <c r="D12856" s="101"/>
      <c r="E12856" s="125"/>
      <c r="F12856" s="106"/>
      <c r="G12856" s="81"/>
      <c r="H12856" s="81"/>
      <c r="I12856" s="81"/>
      <c r="J12856" s="81"/>
      <c r="K12856" s="81"/>
      <c r="L12856" s="81"/>
      <c r="M12856" s="81"/>
      <c r="N12856" s="81"/>
    </row>
    <row r="12857" spans="1:14" ht="14.25" customHeight="1" x14ac:dyDescent="0.25">
      <c r="A12857" s="97" t="s">
        <v>548</v>
      </c>
      <c r="B12857" s="128"/>
      <c r="C12857" s="110"/>
      <c r="D12857" s="110"/>
      <c r="E12857" s="110"/>
      <c r="F12857" s="112">
        <f>SUM(F12853:F12856)</f>
        <v>175390.79854490867</v>
      </c>
      <c r="G12857" s="81"/>
      <c r="H12857" s="81"/>
      <c r="I12857" s="81"/>
      <c r="J12857" s="81"/>
      <c r="K12857" s="81"/>
      <c r="L12857" s="81"/>
      <c r="M12857" s="81"/>
      <c r="N12857" s="81"/>
    </row>
    <row r="12858" spans="1:14" ht="14.25" customHeight="1" x14ac:dyDescent="0.25">
      <c r="A12858" s="96"/>
      <c r="B12858" s="129"/>
      <c r="C12858" s="118"/>
      <c r="D12858" s="118"/>
      <c r="E12858" s="118"/>
      <c r="F12858" s="118"/>
      <c r="G12858" s="81"/>
      <c r="H12858" s="81"/>
      <c r="I12858" s="81"/>
      <c r="J12858" s="81"/>
      <c r="K12858" s="81"/>
      <c r="L12858" s="81"/>
      <c r="M12858" s="81"/>
      <c r="N12858" s="81"/>
    </row>
    <row r="12859" spans="1:14" ht="14.25" customHeight="1" x14ac:dyDescent="0.25">
      <c r="A12859" s="95" t="s">
        <v>583</v>
      </c>
      <c r="B12859" s="96"/>
      <c r="C12859" s="92"/>
      <c r="D12859" s="92"/>
      <c r="E12859" s="92" t="s">
        <v>584</v>
      </c>
      <c r="F12859" s="92"/>
      <c r="G12859" s="81"/>
      <c r="H12859" s="81"/>
      <c r="I12859" s="81"/>
      <c r="J12859" s="81"/>
      <c r="K12859" s="81"/>
      <c r="L12859" s="81"/>
      <c r="M12859" s="81"/>
      <c r="N12859" s="81"/>
    </row>
    <row r="12860" spans="1:14" ht="14.25" customHeight="1" x14ac:dyDescent="0.25">
      <c r="A12860" s="97" t="s">
        <v>563</v>
      </c>
      <c r="B12860" s="98" t="s">
        <v>564</v>
      </c>
      <c r="C12860" s="98" t="s">
        <v>585</v>
      </c>
      <c r="D12860" s="98" t="s">
        <v>586</v>
      </c>
      <c r="E12860" s="120" t="s">
        <v>587</v>
      </c>
      <c r="F12860" s="98" t="s">
        <v>568</v>
      </c>
      <c r="G12860" s="81"/>
      <c r="H12860" s="81"/>
      <c r="I12860" s="81"/>
      <c r="J12860" s="81"/>
      <c r="K12860" s="81"/>
      <c r="L12860" s="81"/>
      <c r="M12860" s="81"/>
      <c r="N12860" s="81"/>
    </row>
    <row r="12861" spans="1:14" ht="14.25" customHeight="1" x14ac:dyDescent="0.25">
      <c r="A12861" s="103"/>
      <c r="B12861" s="100"/>
      <c r="C12861" s="101"/>
      <c r="D12861" s="140"/>
      <c r="E12861" s="107"/>
      <c r="F12861" s="109"/>
      <c r="G12861" s="81"/>
      <c r="H12861" s="81"/>
      <c r="I12861" s="81"/>
      <c r="J12861" s="81"/>
      <c r="K12861" s="81"/>
      <c r="L12861" s="81"/>
      <c r="M12861" s="81"/>
      <c r="N12861" s="81"/>
    </row>
    <row r="12862" spans="1:14" ht="14.25" customHeight="1" x14ac:dyDescent="0.25">
      <c r="A12862" s="103"/>
      <c r="B12862" s="100"/>
      <c r="C12862" s="107"/>
      <c r="D12862" s="107"/>
      <c r="E12862" s="108"/>
      <c r="F12862" s="109"/>
      <c r="G12862" s="81"/>
      <c r="H12862" s="81"/>
      <c r="I12862" s="81"/>
      <c r="J12862" s="81"/>
      <c r="K12862" s="81"/>
      <c r="L12862" s="81"/>
      <c r="M12862" s="81"/>
      <c r="N12862" s="81"/>
    </row>
    <row r="12863" spans="1:14" ht="14.25" customHeight="1" x14ac:dyDescent="0.25">
      <c r="A12863" s="97" t="s">
        <v>548</v>
      </c>
      <c r="B12863" s="98"/>
      <c r="C12863" s="110"/>
      <c r="D12863" s="110"/>
      <c r="E12863" s="111"/>
      <c r="F12863" s="112">
        <f>SUM(F12861:F12862)</f>
        <v>0</v>
      </c>
      <c r="G12863" s="81"/>
      <c r="H12863" s="81"/>
      <c r="I12863" s="81"/>
      <c r="J12863" s="81"/>
      <c r="K12863" s="81"/>
      <c r="L12863" s="81"/>
      <c r="M12863" s="81"/>
      <c r="N12863" s="81"/>
    </row>
    <row r="12864" spans="1:14" ht="14.25" customHeight="1" x14ac:dyDescent="0.25">
      <c r="A12864" s="88"/>
      <c r="B12864" s="89"/>
      <c r="C12864" s="113"/>
      <c r="D12864" s="113"/>
      <c r="E12864" s="114"/>
      <c r="F12864" s="113"/>
      <c r="G12864" s="81"/>
      <c r="H12864" s="81"/>
      <c r="I12864" s="81"/>
      <c r="J12864" s="81"/>
      <c r="K12864" s="81"/>
      <c r="L12864" s="81"/>
      <c r="M12864" s="81"/>
      <c r="N12864" s="81"/>
    </row>
    <row r="12865" spans="1:14" ht="14.25" customHeight="1" x14ac:dyDescent="0.25">
      <c r="A12865" s="88"/>
      <c r="B12865" s="89"/>
      <c r="C12865" s="113"/>
      <c r="D12865" s="113"/>
      <c r="E12865" s="114"/>
      <c r="F12865" s="113"/>
      <c r="G12865" s="81"/>
      <c r="H12865" s="81"/>
      <c r="I12865" s="81"/>
      <c r="J12865" s="81"/>
      <c r="K12865" s="81"/>
      <c r="L12865" s="81"/>
      <c r="M12865" s="81"/>
      <c r="N12865" s="81"/>
    </row>
    <row r="12866" spans="1:14" ht="14.25" customHeight="1" x14ac:dyDescent="0.25">
      <c r="A12866" s="612" t="s">
        <v>588</v>
      </c>
      <c r="B12866" s="608"/>
      <c r="C12866" s="608"/>
      <c r="D12866" s="608"/>
      <c r="E12866" s="609"/>
      <c r="F12866" s="131">
        <f>ROUND(F12836+F12849+F12857+F12863,0)</f>
        <v>1290000</v>
      </c>
      <c r="G12866" s="81"/>
      <c r="H12866" s="81"/>
      <c r="I12866" s="81"/>
      <c r="J12866" s="81"/>
      <c r="K12866" s="81"/>
      <c r="L12866" s="81"/>
      <c r="M12866" s="81"/>
      <c r="N12866" s="81"/>
    </row>
    <row r="12867" spans="1:14" ht="14.25" customHeight="1" x14ac:dyDescent="0.25">
      <c r="A12867" s="612" t="s">
        <v>589</v>
      </c>
      <c r="B12867" s="608"/>
      <c r="C12867" s="608"/>
      <c r="D12867" s="608"/>
      <c r="E12867" s="609"/>
      <c r="F12867" s="132"/>
      <c r="G12867" s="81"/>
      <c r="H12867" s="81"/>
      <c r="I12867" s="81"/>
      <c r="J12867" s="81"/>
      <c r="K12867" s="81"/>
      <c r="L12867" s="81"/>
      <c r="M12867" s="81"/>
      <c r="N12867" s="81"/>
    </row>
    <row r="12868" spans="1:14" ht="14.25" customHeight="1" x14ac:dyDescent="0.25">
      <c r="A12868" s="146" t="s">
        <v>556</v>
      </c>
      <c r="B12868" s="147"/>
      <c r="C12868" s="147"/>
      <c r="D12868" s="147"/>
      <c r="E12868" s="148"/>
      <c r="F12868" s="133"/>
      <c r="G12868" s="81"/>
      <c r="H12868" s="143"/>
      <c r="I12868" s="81"/>
      <c r="J12868" s="81"/>
      <c r="K12868" s="81"/>
      <c r="L12868" s="81"/>
      <c r="M12868" s="81"/>
      <c r="N12868" s="81"/>
    </row>
    <row r="12869" spans="1:14" ht="14.25" customHeight="1" x14ac:dyDescent="0.25">
      <c r="A12869" s="134"/>
      <c r="B12869" s="135"/>
      <c r="C12869" s="135"/>
      <c r="D12869" s="135"/>
      <c r="E12869" s="135"/>
      <c r="F12869" s="136"/>
      <c r="G12869" s="81"/>
      <c r="H12869" s="81"/>
      <c r="I12869" s="81"/>
      <c r="J12869" s="81"/>
      <c r="K12869" s="81"/>
      <c r="L12869" s="81"/>
      <c r="M12869" s="81"/>
      <c r="N12869" s="81"/>
    </row>
    <row r="12870" spans="1:14" ht="14.25" customHeight="1" x14ac:dyDescent="0.25">
      <c r="A12870" s="81"/>
      <c r="B12870" s="81"/>
      <c r="C12870" s="137"/>
      <c r="D12870" s="81"/>
      <c r="E12870" s="81"/>
      <c r="F12870" s="81"/>
      <c r="G12870" s="81"/>
      <c r="H12870" s="81"/>
      <c r="I12870" s="81"/>
      <c r="J12870" s="81"/>
      <c r="K12870" s="81"/>
      <c r="L12870" s="81"/>
      <c r="M12870" s="81"/>
      <c r="N12870" s="81"/>
    </row>
    <row r="12871" spans="1:14" ht="14.25" customHeight="1" x14ac:dyDescent="0.25">
      <c r="A12871" s="81"/>
      <c r="B12871" s="81"/>
      <c r="C12871" s="137"/>
      <c r="D12871" s="81"/>
      <c r="E12871" s="81"/>
      <c r="F12871" s="81"/>
      <c r="G12871" s="81"/>
      <c r="H12871" s="81"/>
      <c r="I12871" s="81"/>
      <c r="J12871" s="81"/>
      <c r="K12871" s="81"/>
      <c r="L12871" s="81"/>
      <c r="M12871" s="81"/>
      <c r="N12871" s="81"/>
    </row>
    <row r="12872" spans="1:14" ht="14.25" customHeight="1" x14ac:dyDescent="0.25">
      <c r="A12872" s="81"/>
      <c r="B12872" s="81"/>
      <c r="C12872" s="137"/>
      <c r="D12872" s="81"/>
      <c r="E12872" s="81"/>
      <c r="F12872" s="81"/>
      <c r="G12872" s="81"/>
      <c r="H12872" s="81"/>
      <c r="I12872" s="81"/>
      <c r="J12872" s="81"/>
      <c r="K12872" s="81"/>
      <c r="L12872" s="81"/>
      <c r="M12872" s="81"/>
      <c r="N12872" s="81"/>
    </row>
    <row r="12873" spans="1:14" ht="14.25" customHeight="1" x14ac:dyDescent="0.25">
      <c r="A12873" s="81"/>
      <c r="B12873" s="81"/>
      <c r="C12873" s="137"/>
      <c r="D12873" s="81"/>
      <c r="E12873" s="81"/>
      <c r="F12873" s="81"/>
      <c r="G12873" s="81"/>
      <c r="H12873" s="81"/>
      <c r="I12873" s="81"/>
      <c r="J12873" s="81"/>
      <c r="K12873" s="81"/>
      <c r="L12873" s="81"/>
      <c r="M12873" s="81"/>
      <c r="N12873" s="81"/>
    </row>
    <row r="12874" spans="1:14" ht="14.25" customHeight="1" x14ac:dyDescent="0.25">
      <c r="A12874" s="81"/>
      <c r="B12874" s="81"/>
      <c r="C12874" s="137"/>
      <c r="D12874" s="81"/>
      <c r="E12874" s="81"/>
      <c r="F12874" s="81"/>
      <c r="G12874" s="81"/>
      <c r="H12874" s="81"/>
      <c r="I12874" s="81"/>
      <c r="J12874" s="81"/>
      <c r="K12874" s="81"/>
      <c r="L12874" s="81"/>
      <c r="M12874" s="81"/>
      <c r="N12874" s="81"/>
    </row>
    <row r="12875" spans="1:14" ht="14.25" customHeight="1" x14ac:dyDescent="0.25">
      <c r="A12875" s="134"/>
      <c r="B12875" s="135"/>
      <c r="C12875" s="135"/>
      <c r="D12875" s="135"/>
      <c r="E12875" s="135"/>
      <c r="F12875" s="136"/>
      <c r="G12875" s="81"/>
      <c r="H12875" s="81"/>
      <c r="I12875" s="81"/>
      <c r="J12875" s="81"/>
      <c r="K12875" s="81"/>
      <c r="L12875" s="81"/>
      <c r="M12875" s="81"/>
      <c r="N12875" s="81"/>
    </row>
    <row r="12876" spans="1:14" ht="14.25" customHeight="1" x14ac:dyDescent="0.25">
      <c r="A12876" s="134"/>
      <c r="B12876" s="135"/>
      <c r="C12876" s="135"/>
      <c r="D12876" s="135"/>
      <c r="E12876" s="135"/>
      <c r="F12876" s="136"/>
      <c r="G12876" s="81"/>
      <c r="H12876" s="81"/>
      <c r="I12876" s="81"/>
      <c r="J12876" s="81"/>
      <c r="K12876" s="81"/>
      <c r="L12876" s="81"/>
      <c r="M12876" s="81"/>
      <c r="N12876" s="81"/>
    </row>
    <row r="12877" spans="1:14" ht="14.25" customHeight="1" x14ac:dyDescent="0.25">
      <c r="A12877" s="134"/>
      <c r="B12877" s="135"/>
      <c r="C12877" s="135"/>
      <c r="D12877" s="135"/>
      <c r="E12877" s="135"/>
      <c r="F12877" s="135"/>
      <c r="G12877" s="81"/>
      <c r="H12877" s="81"/>
      <c r="I12877" s="81"/>
      <c r="J12877" s="81"/>
      <c r="K12877" s="81"/>
      <c r="L12877" s="81"/>
      <c r="M12877" s="81"/>
      <c r="N12877" s="81"/>
    </row>
    <row r="12878" spans="1:14" ht="14.25" customHeight="1" thickBot="1" x14ac:dyDescent="0.3">
      <c r="A12878" s="81"/>
      <c r="B12878" s="81"/>
      <c r="C12878" s="81"/>
      <c r="D12878" s="81"/>
      <c r="E12878" s="81"/>
      <c r="F12878" s="81"/>
      <c r="G12878" s="81"/>
      <c r="H12878" s="81"/>
      <c r="I12878" s="81"/>
      <c r="J12878" s="81"/>
      <c r="K12878" s="81"/>
      <c r="L12878" s="81"/>
      <c r="M12878" s="81"/>
      <c r="N12878" s="81"/>
    </row>
    <row r="12879" spans="1:14" ht="14.25" customHeight="1" x14ac:dyDescent="0.25">
      <c r="A12879" s="83"/>
      <c r="B12879" s="84"/>
      <c r="C12879" s="85"/>
      <c r="D12879" s="86"/>
      <c r="E12879" s="86"/>
      <c r="F12879" s="87"/>
      <c r="G12879" s="81"/>
      <c r="H12879" s="81"/>
      <c r="I12879" s="81"/>
      <c r="J12879" s="81"/>
      <c r="K12879" s="81"/>
      <c r="L12879" s="81"/>
      <c r="M12879" s="81"/>
      <c r="N12879" s="81"/>
    </row>
    <row r="12880" spans="1:14" ht="14.25" customHeight="1" x14ac:dyDescent="0.25">
      <c r="A12880" s="599"/>
      <c r="B12880" s="600"/>
      <c r="C12880" s="600"/>
      <c r="D12880" s="600"/>
      <c r="E12880" s="600"/>
      <c r="F12880" s="601"/>
      <c r="G12880" s="81"/>
      <c r="H12880" s="81"/>
      <c r="I12880" s="81"/>
      <c r="J12880" s="81"/>
      <c r="K12880" s="81"/>
      <c r="L12880" s="81"/>
      <c r="M12880" s="81"/>
      <c r="N12880" s="81"/>
    </row>
    <row r="12881" spans="1:14" ht="14.25" customHeight="1" x14ac:dyDescent="0.25">
      <c r="A12881" s="602" t="s">
        <v>561</v>
      </c>
      <c r="B12881" s="600"/>
      <c r="C12881" s="600"/>
      <c r="D12881" s="600"/>
      <c r="E12881" s="600"/>
      <c r="F12881" s="601"/>
      <c r="G12881" s="81"/>
      <c r="H12881" s="81"/>
      <c r="I12881" s="81"/>
      <c r="J12881" s="81"/>
      <c r="K12881" s="81"/>
      <c r="L12881" s="81"/>
      <c r="M12881" s="81"/>
      <c r="N12881" s="81"/>
    </row>
    <row r="12882" spans="1:14" ht="14.25" customHeight="1" thickBot="1" x14ac:dyDescent="0.3">
      <c r="A12882" s="603"/>
      <c r="B12882" s="604"/>
      <c r="C12882" s="604"/>
      <c r="D12882" s="604"/>
      <c r="E12882" s="604"/>
      <c r="F12882" s="605"/>
      <c r="G12882" s="81"/>
      <c r="H12882" s="81"/>
      <c r="I12882" s="81"/>
      <c r="J12882" s="81"/>
      <c r="K12882" s="81"/>
      <c r="L12882" s="81"/>
      <c r="M12882" s="81"/>
      <c r="N12882" s="81"/>
    </row>
    <row r="12883" spans="1:14" ht="14.25" customHeight="1" x14ac:dyDescent="0.25">
      <c r="A12883" s="88"/>
      <c r="B12883" s="88"/>
      <c r="C12883" s="89"/>
      <c r="D12883" s="89"/>
      <c r="E12883" s="89"/>
      <c r="F12883" s="89"/>
      <c r="G12883" s="81"/>
      <c r="H12883" s="81"/>
      <c r="I12883" s="81"/>
      <c r="J12883" s="81"/>
      <c r="K12883" s="81"/>
      <c r="L12883" s="81"/>
      <c r="M12883" s="81"/>
      <c r="N12883" s="81"/>
    </row>
    <row r="12884" spans="1:14" ht="14.25" customHeight="1" x14ac:dyDescent="0.25">
      <c r="A12884" s="90" t="s">
        <v>47</v>
      </c>
      <c r="B12884" s="613" t="s">
        <v>444</v>
      </c>
      <c r="C12884" s="600"/>
      <c r="D12884" s="600"/>
      <c r="E12884" s="600"/>
      <c r="F12884" s="600"/>
      <c r="G12884" s="81"/>
      <c r="H12884" s="81"/>
      <c r="I12884" s="81"/>
      <c r="J12884" s="81"/>
      <c r="K12884" s="81"/>
      <c r="L12884" s="81"/>
      <c r="M12884" s="81"/>
      <c r="N12884" s="81"/>
    </row>
    <row r="12885" spans="1:14" ht="14.25" customHeight="1" x14ac:dyDescent="0.25">
      <c r="A12885" s="91"/>
      <c r="B12885" s="91"/>
      <c r="C12885" s="91"/>
      <c r="D12885" s="91"/>
      <c r="E12885" s="91"/>
      <c r="F12885" s="91"/>
      <c r="G12885" s="81"/>
      <c r="H12885" s="81"/>
      <c r="I12885" s="81"/>
      <c r="J12885" s="81"/>
      <c r="K12885" s="81"/>
      <c r="L12885" s="81"/>
      <c r="M12885" s="81"/>
      <c r="N12885" s="81"/>
    </row>
    <row r="12886" spans="1:14" ht="14.25" customHeight="1" x14ac:dyDescent="0.25">
      <c r="A12886" s="88" t="s">
        <v>49</v>
      </c>
      <c r="B12886" s="92" t="s">
        <v>99</v>
      </c>
      <c r="C12886" s="89"/>
      <c r="D12886" s="89"/>
      <c r="E12886" s="89"/>
      <c r="F12886" s="93"/>
      <c r="G12886" s="81"/>
      <c r="H12886" s="81"/>
      <c r="I12886" s="81"/>
      <c r="J12886" s="81"/>
      <c r="K12886" s="81"/>
      <c r="L12886" s="81"/>
      <c r="M12886" s="81"/>
      <c r="N12886" s="81"/>
    </row>
    <row r="12887" spans="1:14" ht="14.25" customHeight="1" x14ac:dyDescent="0.25">
      <c r="A12887" s="88"/>
      <c r="B12887" s="94"/>
      <c r="C12887" s="89"/>
      <c r="D12887" s="89"/>
      <c r="E12887" s="89"/>
      <c r="F12887" s="93"/>
      <c r="G12887" s="81"/>
      <c r="H12887" s="81"/>
      <c r="I12887" s="81"/>
      <c r="J12887" s="81"/>
      <c r="K12887" s="81"/>
      <c r="L12887" s="81"/>
      <c r="M12887" s="81"/>
      <c r="N12887" s="81"/>
    </row>
    <row r="12888" spans="1:14" ht="14.25" customHeight="1" x14ac:dyDescent="0.25">
      <c r="A12888" s="95" t="s">
        <v>562</v>
      </c>
      <c r="B12888" s="96"/>
      <c r="C12888" s="92"/>
      <c r="D12888" s="92"/>
      <c r="E12888" s="92"/>
      <c r="F12888" s="92"/>
      <c r="G12888" s="81"/>
      <c r="H12888" s="81"/>
      <c r="I12888" s="81"/>
      <c r="J12888" s="81"/>
      <c r="K12888" s="81"/>
      <c r="L12888" s="81"/>
      <c r="M12888" s="81"/>
      <c r="N12888" s="81"/>
    </row>
    <row r="12889" spans="1:14" ht="14.25" customHeight="1" x14ac:dyDescent="0.25">
      <c r="A12889" s="97" t="s">
        <v>563</v>
      </c>
      <c r="B12889" s="98" t="s">
        <v>564</v>
      </c>
      <c r="C12889" s="98" t="s">
        <v>565</v>
      </c>
      <c r="D12889" s="98" t="s">
        <v>566</v>
      </c>
      <c r="E12889" s="98" t="s">
        <v>567</v>
      </c>
      <c r="F12889" s="98" t="s">
        <v>568</v>
      </c>
      <c r="G12889" s="81"/>
      <c r="H12889" s="81"/>
      <c r="I12889" s="81"/>
      <c r="J12889" s="81"/>
      <c r="K12889" s="81"/>
      <c r="L12889" s="81"/>
      <c r="M12889" s="81"/>
      <c r="N12889" s="81"/>
    </row>
    <row r="12890" spans="1:14" ht="14.25" customHeight="1" x14ac:dyDescent="0.25">
      <c r="A12890" s="99" t="s">
        <v>874</v>
      </c>
      <c r="B12890" s="100" t="s">
        <v>99</v>
      </c>
      <c r="C12890" s="101">
        <v>6700441</v>
      </c>
      <c r="D12890" s="149">
        <v>1</v>
      </c>
      <c r="E12890" s="102"/>
      <c r="F12890" s="101">
        <f t="shared" ref="F12890:F12893" si="632">C12890*(D12890+(D12890*E12890))</f>
        <v>6700441</v>
      </c>
      <c r="G12890" s="81"/>
      <c r="H12890" s="81"/>
      <c r="I12890" s="81"/>
      <c r="J12890" s="81"/>
      <c r="K12890" s="81"/>
      <c r="L12890" s="81"/>
      <c r="M12890" s="81"/>
      <c r="N12890" s="81"/>
    </row>
    <row r="12891" spans="1:14" ht="14.25" customHeight="1" x14ac:dyDescent="0.25">
      <c r="A12891" s="99"/>
      <c r="B12891" s="100"/>
      <c r="C12891" s="101"/>
      <c r="D12891" s="149"/>
      <c r="E12891" s="102"/>
      <c r="F12891" s="101">
        <f t="shared" si="632"/>
        <v>0</v>
      </c>
      <c r="G12891" s="81"/>
      <c r="H12891" s="81"/>
      <c r="I12891" s="81"/>
      <c r="J12891" s="81"/>
      <c r="K12891" s="81"/>
      <c r="L12891" s="81"/>
      <c r="M12891" s="81"/>
      <c r="N12891" s="81"/>
    </row>
    <row r="12892" spans="1:14" ht="14.25" customHeight="1" x14ac:dyDescent="0.25">
      <c r="A12892" s="99"/>
      <c r="B12892" s="100"/>
      <c r="C12892" s="101"/>
      <c r="D12892" s="149"/>
      <c r="E12892" s="102"/>
      <c r="F12892" s="101">
        <f t="shared" si="632"/>
        <v>0</v>
      </c>
      <c r="G12892" s="81"/>
      <c r="H12892" s="81"/>
      <c r="I12892" s="81"/>
      <c r="J12892" s="81"/>
      <c r="K12892" s="81"/>
      <c r="L12892" s="81"/>
      <c r="M12892" s="81"/>
      <c r="N12892" s="81"/>
    </row>
    <row r="12893" spans="1:14" ht="14.25" customHeight="1" x14ac:dyDescent="0.25">
      <c r="A12893" s="99"/>
      <c r="B12893" s="100"/>
      <c r="C12893" s="101"/>
      <c r="D12893" s="149"/>
      <c r="E12893" s="102"/>
      <c r="F12893" s="101">
        <f t="shared" si="632"/>
        <v>0</v>
      </c>
      <c r="G12893" s="81"/>
      <c r="H12893" s="81"/>
      <c r="I12893" s="81"/>
      <c r="J12893" s="81"/>
      <c r="K12893" s="81"/>
      <c r="L12893" s="81"/>
      <c r="M12893" s="81"/>
      <c r="N12893" s="81"/>
    </row>
    <row r="12894" spans="1:14" ht="14.25" customHeight="1" x14ac:dyDescent="0.25">
      <c r="A12894" s="99"/>
      <c r="B12894" s="100"/>
      <c r="C12894" s="101"/>
      <c r="D12894" s="149"/>
      <c r="E12894" s="102"/>
      <c r="F12894" s="101"/>
      <c r="G12894" s="81"/>
      <c r="H12894" s="81"/>
      <c r="I12894" s="81"/>
      <c r="J12894" s="81"/>
      <c r="K12894" s="81"/>
      <c r="L12894" s="81"/>
      <c r="M12894" s="81"/>
      <c r="N12894" s="81"/>
    </row>
    <row r="12895" spans="1:14" ht="14.25" customHeight="1" x14ac:dyDescent="0.25">
      <c r="A12895" s="99"/>
      <c r="B12895" s="100"/>
      <c r="C12895" s="101"/>
      <c r="D12895" s="149"/>
      <c r="E12895" s="102"/>
      <c r="F12895" s="101"/>
      <c r="G12895" s="81"/>
      <c r="H12895" s="81"/>
      <c r="I12895" s="81"/>
      <c r="J12895" s="81"/>
      <c r="K12895" s="81"/>
      <c r="L12895" s="81"/>
      <c r="M12895" s="81"/>
      <c r="N12895" s="81"/>
    </row>
    <row r="12896" spans="1:14" ht="14.25" customHeight="1" x14ac:dyDescent="0.25">
      <c r="A12896" s="99"/>
      <c r="B12896" s="100"/>
      <c r="C12896" s="101"/>
      <c r="D12896" s="149"/>
      <c r="E12896" s="102"/>
      <c r="F12896" s="101"/>
      <c r="G12896" s="81"/>
      <c r="H12896" s="81"/>
      <c r="I12896" s="81"/>
      <c r="J12896" s="81"/>
      <c r="K12896" s="81"/>
      <c r="L12896" s="81"/>
      <c r="M12896" s="81"/>
      <c r="N12896" s="81"/>
    </row>
    <row r="12897" spans="1:14" ht="14.25" customHeight="1" x14ac:dyDescent="0.25">
      <c r="A12897" s="99"/>
      <c r="B12897" s="100"/>
      <c r="C12897" s="106"/>
      <c r="D12897" s="107"/>
      <c r="E12897" s="108"/>
      <c r="F12897" s="106"/>
      <c r="G12897" s="81"/>
      <c r="H12897" s="81"/>
      <c r="I12897" s="81"/>
      <c r="J12897" s="81"/>
      <c r="K12897" s="81"/>
      <c r="L12897" s="81"/>
      <c r="M12897" s="81"/>
      <c r="N12897" s="81"/>
    </row>
    <row r="12898" spans="1:14" ht="14.25" customHeight="1" x14ac:dyDescent="0.25">
      <c r="A12898" s="97" t="s">
        <v>548</v>
      </c>
      <c r="B12898" s="97"/>
      <c r="C12898" s="109"/>
      <c r="D12898" s="110"/>
      <c r="E12898" s="111"/>
      <c r="F12898" s="112">
        <f>SUM(F12890:F12897)</f>
        <v>6700441</v>
      </c>
      <c r="G12898" s="81"/>
      <c r="H12898" s="81"/>
      <c r="I12898" s="81"/>
      <c r="J12898" s="81"/>
      <c r="K12898" s="81"/>
      <c r="L12898" s="81"/>
      <c r="M12898" s="81"/>
      <c r="N12898" s="81"/>
    </row>
    <row r="12899" spans="1:14" ht="14.25" customHeight="1" x14ac:dyDescent="0.25">
      <c r="A12899" s="88"/>
      <c r="B12899" s="88"/>
      <c r="C12899" s="113"/>
      <c r="D12899" s="113"/>
      <c r="E12899" s="114"/>
      <c r="F12899" s="113"/>
      <c r="G12899" s="81"/>
      <c r="H12899" s="81"/>
      <c r="I12899" s="81"/>
      <c r="J12899" s="81"/>
      <c r="K12899" s="81"/>
      <c r="L12899" s="81"/>
      <c r="M12899" s="81"/>
      <c r="N12899" s="81"/>
    </row>
    <row r="12900" spans="1:14" ht="14.25" customHeight="1" x14ac:dyDescent="0.25">
      <c r="A12900" s="96" t="s">
        <v>573</v>
      </c>
      <c r="B12900" s="96"/>
      <c r="C12900" s="92"/>
      <c r="D12900" s="92"/>
      <c r="E12900" s="92"/>
      <c r="F12900" s="92"/>
      <c r="G12900" s="81"/>
      <c r="H12900" s="81"/>
      <c r="I12900" s="81"/>
      <c r="J12900" s="81"/>
      <c r="K12900" s="81"/>
      <c r="L12900" s="81"/>
      <c r="M12900" s="81"/>
      <c r="N12900" s="81"/>
    </row>
    <row r="12901" spans="1:14" ht="14.25" customHeight="1" x14ac:dyDescent="0.25">
      <c r="A12901" s="611" t="s">
        <v>563</v>
      </c>
      <c r="B12901" s="608"/>
      <c r="C12901" s="609"/>
      <c r="D12901" s="98" t="s">
        <v>574</v>
      </c>
      <c r="E12901" s="98" t="s">
        <v>575</v>
      </c>
      <c r="F12901" s="98" t="s">
        <v>568</v>
      </c>
      <c r="G12901" s="81"/>
      <c r="H12901" s="81"/>
      <c r="I12901" s="81"/>
      <c r="J12901" s="81"/>
      <c r="K12901" s="81"/>
      <c r="L12901" s="81"/>
      <c r="M12901" s="81"/>
      <c r="N12901" s="81"/>
    </row>
    <row r="12902" spans="1:14" ht="14.25" customHeight="1" x14ac:dyDescent="0.25">
      <c r="A12902" s="607" t="s">
        <v>577</v>
      </c>
      <c r="B12902" s="608"/>
      <c r="C12902" s="609"/>
      <c r="D12902" s="116"/>
      <c r="E12902" s="107"/>
      <c r="F12902" s="106">
        <f>+F12919*5%</f>
        <v>48294.733333333337</v>
      </c>
      <c r="G12902" s="81"/>
      <c r="H12902" s="81"/>
      <c r="I12902" s="81"/>
      <c r="J12902" s="81"/>
      <c r="K12902" s="81"/>
      <c r="L12902" s="81"/>
      <c r="M12902" s="81"/>
      <c r="N12902" s="81"/>
    </row>
    <row r="12903" spans="1:14" ht="14.25" customHeight="1" x14ac:dyDescent="0.25">
      <c r="A12903" s="607"/>
      <c r="B12903" s="608"/>
      <c r="C12903" s="609"/>
      <c r="D12903" s="142"/>
      <c r="E12903" s="105"/>
      <c r="F12903" s="106"/>
      <c r="G12903" s="81"/>
      <c r="H12903" s="81"/>
      <c r="I12903" s="81"/>
      <c r="J12903" s="81"/>
      <c r="K12903" s="81"/>
      <c r="L12903" s="81"/>
      <c r="M12903" s="81"/>
      <c r="N12903" s="81"/>
    </row>
    <row r="12904" spans="1:14" ht="14.25" customHeight="1" x14ac:dyDescent="0.25">
      <c r="A12904" s="607"/>
      <c r="B12904" s="608"/>
      <c r="C12904" s="609"/>
      <c r="D12904" s="142"/>
      <c r="E12904" s="105"/>
      <c r="F12904" s="106"/>
      <c r="G12904" s="81"/>
      <c r="H12904" s="81"/>
      <c r="I12904" s="81"/>
      <c r="J12904" s="81"/>
      <c r="K12904" s="81"/>
      <c r="L12904" s="81"/>
      <c r="M12904" s="81"/>
      <c r="N12904" s="81"/>
    </row>
    <row r="12905" spans="1:14" ht="14.25" customHeight="1" x14ac:dyDescent="0.25">
      <c r="A12905" s="607"/>
      <c r="B12905" s="608"/>
      <c r="C12905" s="609"/>
      <c r="D12905" s="142"/>
      <c r="E12905" s="107"/>
      <c r="F12905" s="106"/>
      <c r="G12905" s="81"/>
      <c r="H12905" s="81"/>
      <c r="I12905" s="81"/>
      <c r="J12905" s="81"/>
      <c r="K12905" s="81"/>
      <c r="L12905" s="81"/>
      <c r="M12905" s="81"/>
      <c r="N12905" s="81"/>
    </row>
    <row r="12906" spans="1:14" ht="14.25" customHeight="1" x14ac:dyDescent="0.25">
      <c r="A12906" s="607"/>
      <c r="B12906" s="608"/>
      <c r="C12906" s="609"/>
      <c r="D12906" s="142"/>
      <c r="E12906" s="107"/>
      <c r="F12906" s="106"/>
      <c r="G12906" s="81"/>
      <c r="H12906" s="81"/>
      <c r="I12906" s="81"/>
      <c r="J12906" s="81"/>
      <c r="K12906" s="81"/>
      <c r="L12906" s="81"/>
      <c r="M12906" s="81"/>
      <c r="N12906" s="81"/>
    </row>
    <row r="12907" spans="1:14" ht="14.25" customHeight="1" x14ac:dyDescent="0.25">
      <c r="A12907" s="607"/>
      <c r="B12907" s="608"/>
      <c r="C12907" s="609"/>
      <c r="D12907" s="142"/>
      <c r="E12907" s="107"/>
      <c r="F12907" s="106"/>
      <c r="G12907" s="81"/>
      <c r="H12907" s="81"/>
      <c r="I12907" s="81"/>
      <c r="J12907" s="81"/>
      <c r="K12907" s="81"/>
      <c r="L12907" s="81"/>
      <c r="M12907" s="81"/>
      <c r="N12907" s="81"/>
    </row>
    <row r="12908" spans="1:14" ht="14.25" customHeight="1" x14ac:dyDescent="0.25">
      <c r="A12908" s="607"/>
      <c r="B12908" s="608"/>
      <c r="C12908" s="609"/>
      <c r="D12908" s="142"/>
      <c r="E12908" s="107"/>
      <c r="F12908" s="106"/>
      <c r="G12908" s="81"/>
      <c r="H12908" s="81"/>
      <c r="I12908" s="81"/>
      <c r="J12908" s="81"/>
      <c r="K12908" s="81"/>
      <c r="L12908" s="81"/>
      <c r="M12908" s="81"/>
      <c r="N12908" s="81"/>
    </row>
    <row r="12909" spans="1:14" ht="14.25" customHeight="1" x14ac:dyDescent="0.25">
      <c r="A12909" s="607"/>
      <c r="B12909" s="608"/>
      <c r="C12909" s="609"/>
      <c r="D12909" s="142"/>
      <c r="E12909" s="107"/>
      <c r="F12909" s="106"/>
      <c r="G12909" s="81"/>
      <c r="H12909" s="81"/>
      <c r="I12909" s="81"/>
      <c r="J12909" s="81"/>
      <c r="K12909" s="81"/>
      <c r="L12909" s="81"/>
      <c r="M12909" s="81"/>
      <c r="N12909" s="81"/>
    </row>
    <row r="12910" spans="1:14" ht="14.25" customHeight="1" x14ac:dyDescent="0.25">
      <c r="A12910" s="610"/>
      <c r="B12910" s="608"/>
      <c r="C12910" s="609"/>
      <c r="D12910" s="115"/>
      <c r="E12910" s="107"/>
      <c r="F12910" s="106"/>
      <c r="G12910" s="81"/>
      <c r="H12910" s="81"/>
      <c r="I12910" s="81"/>
      <c r="J12910" s="81"/>
      <c r="K12910" s="81"/>
      <c r="L12910" s="81"/>
      <c r="M12910" s="81"/>
      <c r="N12910" s="81"/>
    </row>
    <row r="12911" spans="1:14" ht="14.25" customHeight="1" x14ac:dyDescent="0.25">
      <c r="A12911" s="611" t="s">
        <v>548</v>
      </c>
      <c r="B12911" s="608"/>
      <c r="C12911" s="609"/>
      <c r="D12911" s="110"/>
      <c r="E12911" s="110"/>
      <c r="F12911" s="112">
        <f>SUM(F12902:F12909)</f>
        <v>48294.733333333337</v>
      </c>
      <c r="G12911" s="81"/>
      <c r="H12911" s="81"/>
      <c r="I12911" s="81"/>
      <c r="J12911" s="81"/>
      <c r="K12911" s="81"/>
      <c r="L12911" s="81"/>
      <c r="M12911" s="81"/>
      <c r="N12911" s="81"/>
    </row>
    <row r="12912" spans="1:14" ht="14.25" customHeight="1" x14ac:dyDescent="0.25">
      <c r="A12912" s="88"/>
      <c r="B12912" s="88"/>
      <c r="C12912" s="89"/>
      <c r="D12912" s="113"/>
      <c r="E12912" s="113"/>
      <c r="F12912" s="113"/>
      <c r="G12912" s="81"/>
      <c r="H12912" s="81"/>
      <c r="I12912" s="81"/>
      <c r="J12912" s="81"/>
      <c r="K12912" s="81"/>
      <c r="L12912" s="81"/>
      <c r="M12912" s="81"/>
      <c r="N12912" s="81"/>
    </row>
    <row r="12913" spans="1:14" ht="14.25" customHeight="1" x14ac:dyDescent="0.25">
      <c r="A12913" s="96" t="s">
        <v>578</v>
      </c>
      <c r="B12913" s="96"/>
      <c r="C12913" s="92"/>
      <c r="D12913" s="118"/>
      <c r="E12913" s="118"/>
      <c r="F12913" s="118"/>
      <c r="G12913" s="81"/>
      <c r="H12913" s="81"/>
      <c r="I12913" s="81"/>
      <c r="J12913" s="81"/>
      <c r="K12913" s="81"/>
      <c r="L12913" s="81"/>
      <c r="M12913" s="81"/>
      <c r="N12913" s="81"/>
    </row>
    <row r="12914" spans="1:14" ht="14.25" customHeight="1" x14ac:dyDescent="0.25">
      <c r="A12914" s="119" t="s">
        <v>563</v>
      </c>
      <c r="B12914" s="120" t="s">
        <v>579</v>
      </c>
      <c r="C12914" s="120" t="s">
        <v>580</v>
      </c>
      <c r="D12914" s="121" t="s">
        <v>581</v>
      </c>
      <c r="E12914" s="121" t="s">
        <v>575</v>
      </c>
      <c r="F12914" s="121" t="s">
        <v>568</v>
      </c>
      <c r="G12914" s="81"/>
      <c r="H12914" s="81"/>
      <c r="I12914" s="81"/>
      <c r="J12914" s="81"/>
      <c r="K12914" s="81"/>
      <c r="L12914" s="81"/>
      <c r="M12914" s="81"/>
      <c r="N12914" s="81"/>
    </row>
    <row r="12915" spans="1:14" ht="14.25" customHeight="1" x14ac:dyDescent="0.25">
      <c r="A12915" s="122" t="s">
        <v>593</v>
      </c>
      <c r="B12915" s="127">
        <v>1</v>
      </c>
      <c r="C12915" s="101">
        <v>32688</v>
      </c>
      <c r="D12915" s="101">
        <f t="shared" ref="D12915:D12916" si="633">+C12915*1.7</f>
        <v>55569.599999999999</v>
      </c>
      <c r="E12915" s="107">
        <v>0.15</v>
      </c>
      <c r="F12915" s="106">
        <f t="shared" ref="F12915:F12916" si="634">+B12915*(D12915)/E12915</f>
        <v>370464</v>
      </c>
      <c r="G12915" s="81"/>
      <c r="H12915" s="81"/>
      <c r="I12915" s="81"/>
      <c r="J12915" s="81"/>
      <c r="K12915" s="81"/>
      <c r="L12915" s="81"/>
      <c r="M12915" s="81"/>
      <c r="N12915" s="81"/>
    </row>
    <row r="12916" spans="1:14" ht="14.25" customHeight="1" x14ac:dyDescent="0.25">
      <c r="A12916" s="122" t="s">
        <v>594</v>
      </c>
      <c r="B12916" s="127">
        <v>1</v>
      </c>
      <c r="C12916" s="101">
        <v>52538</v>
      </c>
      <c r="D12916" s="101">
        <f t="shared" si="633"/>
        <v>89314.599999999991</v>
      </c>
      <c r="E12916" s="107">
        <f>E12915</f>
        <v>0.15</v>
      </c>
      <c r="F12916" s="106">
        <f t="shared" si="634"/>
        <v>595430.66666666663</v>
      </c>
      <c r="G12916" s="81"/>
      <c r="H12916" s="81"/>
      <c r="I12916" s="81"/>
      <c r="J12916" s="81"/>
      <c r="K12916" s="81"/>
      <c r="L12916" s="81"/>
      <c r="M12916" s="81"/>
      <c r="N12916" s="81"/>
    </row>
    <row r="12917" spans="1:14" ht="14.25" customHeight="1" x14ac:dyDescent="0.25">
      <c r="A12917" s="122"/>
      <c r="B12917" s="127"/>
      <c r="C12917" s="101"/>
      <c r="D12917" s="101"/>
      <c r="E12917" s="105"/>
      <c r="F12917" s="106"/>
      <c r="G12917" s="81"/>
      <c r="H12917" s="81"/>
      <c r="I12917" s="81"/>
      <c r="J12917" s="81"/>
      <c r="K12917" s="81"/>
      <c r="L12917" s="81"/>
      <c r="M12917" s="81"/>
      <c r="N12917" s="81"/>
    </row>
    <row r="12918" spans="1:14" ht="14.25" customHeight="1" x14ac:dyDescent="0.25">
      <c r="A12918" s="122"/>
      <c r="B12918" s="127"/>
      <c r="C12918" s="101"/>
      <c r="D12918" s="101"/>
      <c r="E12918" s="125"/>
      <c r="F12918" s="106"/>
      <c r="G12918" s="81"/>
      <c r="H12918" s="81"/>
      <c r="I12918" s="81"/>
      <c r="J12918" s="81"/>
      <c r="K12918" s="81"/>
      <c r="L12918" s="81"/>
      <c r="M12918" s="81"/>
      <c r="N12918" s="81"/>
    </row>
    <row r="12919" spans="1:14" ht="14.25" customHeight="1" x14ac:dyDescent="0.25">
      <c r="A12919" s="97" t="s">
        <v>548</v>
      </c>
      <c r="B12919" s="128"/>
      <c r="C12919" s="110"/>
      <c r="D12919" s="110"/>
      <c r="E12919" s="110"/>
      <c r="F12919" s="112">
        <f>SUM(F12915:F12918)</f>
        <v>965894.66666666663</v>
      </c>
      <c r="G12919" s="81"/>
      <c r="H12919" s="81"/>
      <c r="I12919" s="81"/>
      <c r="J12919" s="81"/>
      <c r="K12919" s="81"/>
      <c r="L12919" s="81"/>
      <c r="M12919" s="81"/>
      <c r="N12919" s="81"/>
    </row>
    <row r="12920" spans="1:14" ht="14.25" customHeight="1" x14ac:dyDescent="0.25">
      <c r="A12920" s="96"/>
      <c r="B12920" s="129"/>
      <c r="C12920" s="118"/>
      <c r="D12920" s="118"/>
      <c r="E12920" s="118"/>
      <c r="F12920" s="118"/>
      <c r="G12920" s="81"/>
      <c r="H12920" s="81"/>
      <c r="I12920" s="81"/>
      <c r="J12920" s="81"/>
      <c r="K12920" s="81"/>
      <c r="L12920" s="81"/>
      <c r="M12920" s="81"/>
      <c r="N12920" s="81"/>
    </row>
    <row r="12921" spans="1:14" ht="14.25" customHeight="1" x14ac:dyDescent="0.25">
      <c r="A12921" s="95" t="s">
        <v>583</v>
      </c>
      <c r="B12921" s="96"/>
      <c r="C12921" s="92"/>
      <c r="D12921" s="92"/>
      <c r="E12921" s="92" t="s">
        <v>584</v>
      </c>
      <c r="F12921" s="92"/>
      <c r="G12921" s="81"/>
      <c r="H12921" s="81"/>
      <c r="I12921" s="81"/>
      <c r="J12921" s="81"/>
      <c r="K12921" s="81"/>
      <c r="L12921" s="81"/>
      <c r="M12921" s="81"/>
      <c r="N12921" s="81"/>
    </row>
    <row r="12922" spans="1:14" ht="14.25" customHeight="1" x14ac:dyDescent="0.25">
      <c r="A12922" s="97" t="s">
        <v>563</v>
      </c>
      <c r="B12922" s="98" t="s">
        <v>564</v>
      </c>
      <c r="C12922" s="98" t="s">
        <v>585</v>
      </c>
      <c r="D12922" s="98" t="s">
        <v>586</v>
      </c>
      <c r="E12922" s="120" t="s">
        <v>587</v>
      </c>
      <c r="F12922" s="98" t="s">
        <v>568</v>
      </c>
      <c r="G12922" s="81"/>
      <c r="H12922" s="81"/>
      <c r="I12922" s="81"/>
      <c r="J12922" s="81"/>
      <c r="K12922" s="81"/>
      <c r="L12922" s="81"/>
      <c r="M12922" s="81"/>
      <c r="N12922" s="81"/>
    </row>
    <row r="12923" spans="1:14" ht="14.25" customHeight="1" x14ac:dyDescent="0.25">
      <c r="A12923" s="103"/>
      <c r="B12923" s="100"/>
      <c r="C12923" s="101"/>
      <c r="D12923" s="140"/>
      <c r="E12923" s="107"/>
      <c r="F12923" s="109"/>
      <c r="G12923" s="81"/>
      <c r="H12923" s="81"/>
      <c r="I12923" s="81"/>
      <c r="J12923" s="81"/>
      <c r="K12923" s="81"/>
      <c r="L12923" s="81"/>
      <c r="M12923" s="81"/>
      <c r="N12923" s="81"/>
    </row>
    <row r="12924" spans="1:14" ht="14.25" customHeight="1" x14ac:dyDescent="0.25">
      <c r="A12924" s="103"/>
      <c r="B12924" s="100"/>
      <c r="C12924" s="107"/>
      <c r="D12924" s="107"/>
      <c r="E12924" s="108"/>
      <c r="F12924" s="109"/>
      <c r="G12924" s="81"/>
      <c r="H12924" s="81"/>
      <c r="I12924" s="81"/>
      <c r="J12924" s="81"/>
      <c r="K12924" s="81"/>
      <c r="L12924" s="81"/>
      <c r="M12924" s="81"/>
      <c r="N12924" s="81"/>
    </row>
    <row r="12925" spans="1:14" ht="14.25" customHeight="1" x14ac:dyDescent="0.25">
      <c r="A12925" s="97" t="s">
        <v>548</v>
      </c>
      <c r="B12925" s="98"/>
      <c r="C12925" s="110"/>
      <c r="D12925" s="110"/>
      <c r="E12925" s="111"/>
      <c r="F12925" s="112">
        <f>SUM(F12923:F12924)</f>
        <v>0</v>
      </c>
      <c r="G12925" s="81"/>
      <c r="H12925" s="81"/>
      <c r="I12925" s="81"/>
      <c r="J12925" s="81"/>
      <c r="K12925" s="81"/>
      <c r="L12925" s="81"/>
      <c r="M12925" s="81"/>
      <c r="N12925" s="81"/>
    </row>
    <row r="12926" spans="1:14" ht="14.25" customHeight="1" x14ac:dyDescent="0.25">
      <c r="A12926" s="88"/>
      <c r="B12926" s="89"/>
      <c r="C12926" s="113"/>
      <c r="D12926" s="113"/>
      <c r="E12926" s="114"/>
      <c r="F12926" s="113"/>
      <c r="G12926" s="81"/>
      <c r="H12926" s="81"/>
      <c r="I12926" s="81"/>
      <c r="J12926" s="81"/>
      <c r="K12926" s="81"/>
      <c r="L12926" s="81"/>
      <c r="M12926" s="81"/>
      <c r="N12926" s="81"/>
    </row>
    <row r="12927" spans="1:14" ht="14.25" customHeight="1" x14ac:dyDescent="0.25">
      <c r="A12927" s="88"/>
      <c r="B12927" s="89"/>
      <c r="C12927" s="113"/>
      <c r="D12927" s="113"/>
      <c r="E12927" s="114"/>
      <c r="F12927" s="113"/>
      <c r="G12927" s="81"/>
      <c r="H12927" s="81"/>
      <c r="I12927" s="81"/>
      <c r="J12927" s="81"/>
      <c r="K12927" s="81"/>
      <c r="L12927" s="81"/>
      <c r="M12927" s="81"/>
      <c r="N12927" s="81"/>
    </row>
    <row r="12928" spans="1:14" ht="14.25" customHeight="1" x14ac:dyDescent="0.25">
      <c r="A12928" s="612" t="s">
        <v>588</v>
      </c>
      <c r="B12928" s="608"/>
      <c r="C12928" s="608"/>
      <c r="D12928" s="608"/>
      <c r="E12928" s="609"/>
      <c r="F12928" s="131">
        <f>ROUND(F12898+F12911+F12919+F12925,0)</f>
        <v>7714630</v>
      </c>
      <c r="G12928" s="81"/>
      <c r="H12928" s="81"/>
      <c r="I12928" s="81"/>
      <c r="J12928" s="81"/>
      <c r="K12928" s="81"/>
      <c r="L12928" s="81"/>
      <c r="M12928" s="81"/>
      <c r="N12928" s="81"/>
    </row>
    <row r="12929" spans="1:14" ht="14.25" customHeight="1" x14ac:dyDescent="0.25">
      <c r="A12929" s="612" t="s">
        <v>589</v>
      </c>
      <c r="B12929" s="608"/>
      <c r="C12929" s="608"/>
      <c r="D12929" s="608"/>
      <c r="E12929" s="609"/>
      <c r="F12929" s="132"/>
      <c r="G12929" s="81"/>
      <c r="H12929" s="117"/>
      <c r="I12929" s="81"/>
      <c r="J12929" s="81"/>
      <c r="K12929" s="81"/>
      <c r="L12929" s="81"/>
      <c r="M12929" s="81"/>
      <c r="N12929" s="81"/>
    </row>
    <row r="12930" spans="1:14" ht="14.25" customHeight="1" x14ac:dyDescent="0.25">
      <c r="A12930" s="146" t="s">
        <v>556</v>
      </c>
      <c r="B12930" s="147"/>
      <c r="C12930" s="147"/>
      <c r="D12930" s="147"/>
      <c r="E12930" s="148"/>
      <c r="F12930" s="133"/>
      <c r="G12930" s="81"/>
      <c r="H12930" s="81"/>
      <c r="I12930" s="81"/>
      <c r="J12930" s="81"/>
      <c r="K12930" s="81"/>
      <c r="L12930" s="81"/>
      <c r="M12930" s="81"/>
      <c r="N12930" s="81"/>
    </row>
    <row r="12931" spans="1:14" ht="14.25" customHeight="1" x14ac:dyDescent="0.25">
      <c r="A12931" s="134"/>
      <c r="B12931" s="135"/>
      <c r="C12931" s="135"/>
      <c r="D12931" s="135"/>
      <c r="E12931" s="135"/>
      <c r="F12931" s="136"/>
      <c r="G12931" s="81"/>
      <c r="H12931" s="81"/>
      <c r="I12931" s="81"/>
      <c r="J12931" s="81"/>
      <c r="K12931" s="81"/>
      <c r="L12931" s="81"/>
      <c r="M12931" s="81"/>
      <c r="N12931" s="81"/>
    </row>
    <row r="12932" spans="1:14" ht="14.25" customHeight="1" x14ac:dyDescent="0.25">
      <c r="A12932" s="81"/>
      <c r="B12932" s="81"/>
      <c r="C12932" s="137"/>
      <c r="D12932" s="81"/>
      <c r="E12932" s="81"/>
      <c r="F12932" s="81"/>
      <c r="G12932" s="81"/>
      <c r="H12932" s="81"/>
      <c r="I12932" s="81"/>
      <c r="J12932" s="81"/>
      <c r="K12932" s="81"/>
      <c r="L12932" s="81"/>
      <c r="M12932" s="81"/>
      <c r="N12932" s="81"/>
    </row>
    <row r="12933" spans="1:14" ht="14.25" customHeight="1" x14ac:dyDescent="0.25">
      <c r="A12933" s="81"/>
      <c r="B12933" s="81"/>
      <c r="C12933" s="137"/>
      <c r="D12933" s="81"/>
      <c r="E12933" s="81"/>
      <c r="F12933" s="81"/>
      <c r="G12933" s="81"/>
      <c r="H12933" s="81"/>
      <c r="I12933" s="81"/>
      <c r="J12933" s="81"/>
      <c r="K12933" s="81"/>
      <c r="L12933" s="81"/>
      <c r="M12933" s="81"/>
      <c r="N12933" s="81"/>
    </row>
    <row r="12934" spans="1:14" ht="14.25" customHeight="1" x14ac:dyDescent="0.25">
      <c r="A12934" s="81"/>
      <c r="B12934" s="81"/>
      <c r="C12934" s="137"/>
      <c r="D12934" s="81"/>
      <c r="E12934" s="81"/>
      <c r="F12934" s="81"/>
      <c r="G12934" s="81"/>
      <c r="H12934" s="81"/>
      <c r="I12934" s="81"/>
      <c r="J12934" s="81"/>
      <c r="K12934" s="81"/>
      <c r="L12934" s="81"/>
      <c r="M12934" s="81"/>
      <c r="N12934" s="81"/>
    </row>
    <row r="12935" spans="1:14" ht="14.25" customHeight="1" x14ac:dyDescent="0.25">
      <c r="A12935" s="81"/>
      <c r="B12935" s="81"/>
      <c r="C12935" s="137"/>
      <c r="D12935" s="81"/>
      <c r="E12935" s="81"/>
      <c r="F12935" s="81"/>
      <c r="G12935" s="81"/>
      <c r="H12935" s="81"/>
      <c r="I12935" s="81"/>
      <c r="J12935" s="81"/>
      <c r="K12935" s="81"/>
      <c r="L12935" s="81"/>
      <c r="M12935" s="81"/>
      <c r="N12935" s="81"/>
    </row>
    <row r="12936" spans="1:14" ht="14.25" customHeight="1" x14ac:dyDescent="0.25">
      <c r="A12936" s="134"/>
      <c r="B12936" s="135"/>
      <c r="C12936" s="135"/>
      <c r="D12936" s="135"/>
      <c r="E12936" s="135"/>
      <c r="F12936" s="136"/>
      <c r="G12936" s="81"/>
      <c r="H12936" s="81"/>
      <c r="I12936" s="81"/>
      <c r="J12936" s="81"/>
      <c r="K12936" s="81"/>
      <c r="L12936" s="81"/>
      <c r="M12936" s="81"/>
      <c r="N12936" s="81"/>
    </row>
    <row r="12937" spans="1:14" ht="14.25" customHeight="1" x14ac:dyDescent="0.25">
      <c r="A12937" s="134"/>
      <c r="B12937" s="135"/>
      <c r="C12937" s="135"/>
      <c r="D12937" s="135"/>
      <c r="E12937" s="135"/>
      <c r="F12937" s="136"/>
      <c r="G12937" s="81"/>
      <c r="H12937" s="81"/>
      <c r="I12937" s="81"/>
      <c r="J12937" s="81"/>
      <c r="K12937" s="81"/>
      <c r="L12937" s="81"/>
      <c r="M12937" s="81"/>
      <c r="N12937" s="81"/>
    </row>
    <row r="12938" spans="1:14" ht="14.25" customHeight="1" x14ac:dyDescent="0.25">
      <c r="A12938" s="134"/>
      <c r="B12938" s="135"/>
      <c r="C12938" s="135"/>
      <c r="D12938" s="135"/>
      <c r="E12938" s="135"/>
      <c r="F12938" s="135"/>
      <c r="G12938" s="81"/>
      <c r="H12938" s="81"/>
      <c r="I12938" s="81"/>
      <c r="J12938" s="81"/>
      <c r="K12938" s="81"/>
      <c r="L12938" s="81"/>
      <c r="M12938" s="81"/>
      <c r="N12938" s="81"/>
    </row>
    <row r="12939" spans="1:14" ht="14.25" customHeight="1" thickBot="1" x14ac:dyDescent="0.3">
      <c r="A12939" s="81"/>
      <c r="B12939" s="81"/>
      <c r="C12939" s="81"/>
      <c r="D12939" s="81"/>
      <c r="E12939" s="81"/>
      <c r="F12939" s="81"/>
      <c r="G12939" s="81"/>
      <c r="H12939" s="81"/>
      <c r="I12939" s="81"/>
      <c r="J12939" s="81"/>
      <c r="K12939" s="81"/>
      <c r="L12939" s="81"/>
      <c r="M12939" s="81"/>
      <c r="N12939" s="81"/>
    </row>
    <row r="12940" spans="1:14" ht="14.25" customHeight="1" x14ac:dyDescent="0.25">
      <c r="A12940" s="83"/>
      <c r="B12940" s="84"/>
      <c r="C12940" s="85"/>
      <c r="D12940" s="86"/>
      <c r="E12940" s="86"/>
      <c r="F12940" s="87"/>
      <c r="G12940" s="81"/>
      <c r="H12940" s="81"/>
      <c r="I12940" s="81"/>
      <c r="J12940" s="81"/>
      <c r="K12940" s="81"/>
      <c r="L12940" s="81"/>
      <c r="M12940" s="81"/>
      <c r="N12940" s="81"/>
    </row>
    <row r="12941" spans="1:14" ht="14.25" customHeight="1" x14ac:dyDescent="0.25">
      <c r="A12941" s="599"/>
      <c r="B12941" s="600"/>
      <c r="C12941" s="600"/>
      <c r="D12941" s="600"/>
      <c r="E12941" s="600"/>
      <c r="F12941" s="601"/>
      <c r="G12941" s="81"/>
      <c r="H12941" s="81"/>
      <c r="I12941" s="81"/>
      <c r="J12941" s="81"/>
      <c r="K12941" s="81"/>
      <c r="L12941" s="81"/>
      <c r="M12941" s="81"/>
      <c r="N12941" s="81"/>
    </row>
    <row r="12942" spans="1:14" ht="14.25" customHeight="1" x14ac:dyDescent="0.25">
      <c r="A12942" s="602" t="s">
        <v>561</v>
      </c>
      <c r="B12942" s="600"/>
      <c r="C12942" s="600"/>
      <c r="D12942" s="600"/>
      <c r="E12942" s="600"/>
      <c r="F12942" s="601"/>
      <c r="G12942" s="81"/>
      <c r="H12942" s="81"/>
      <c r="I12942" s="81"/>
      <c r="J12942" s="81"/>
      <c r="K12942" s="81"/>
      <c r="L12942" s="81"/>
      <c r="M12942" s="81"/>
      <c r="N12942" s="81"/>
    </row>
    <row r="12943" spans="1:14" ht="14.25" customHeight="1" thickBot="1" x14ac:dyDescent="0.3">
      <c r="A12943" s="603"/>
      <c r="B12943" s="604"/>
      <c r="C12943" s="604"/>
      <c r="D12943" s="604"/>
      <c r="E12943" s="604"/>
      <c r="F12943" s="605"/>
      <c r="G12943" s="81"/>
      <c r="H12943" s="81"/>
      <c r="I12943" s="81"/>
      <c r="J12943" s="81"/>
      <c r="K12943" s="81"/>
      <c r="L12943" s="81"/>
      <c r="M12943" s="81"/>
      <c r="N12943" s="81"/>
    </row>
    <row r="12944" spans="1:14" ht="14.25" customHeight="1" x14ac:dyDescent="0.25">
      <c r="A12944" s="88"/>
      <c r="B12944" s="88"/>
      <c r="C12944" s="89"/>
      <c r="D12944" s="89"/>
      <c r="E12944" s="89"/>
      <c r="F12944" s="89"/>
      <c r="G12944" s="81"/>
      <c r="H12944" s="81"/>
      <c r="I12944" s="81"/>
      <c r="J12944" s="81"/>
      <c r="K12944" s="81"/>
      <c r="L12944" s="81"/>
      <c r="M12944" s="81"/>
      <c r="N12944" s="81"/>
    </row>
    <row r="12945" spans="1:14" ht="14.25" customHeight="1" x14ac:dyDescent="0.25">
      <c r="A12945" s="90" t="s">
        <v>47</v>
      </c>
      <c r="B12945" s="613" t="s">
        <v>445</v>
      </c>
      <c r="C12945" s="600"/>
      <c r="D12945" s="600"/>
      <c r="E12945" s="600"/>
      <c r="F12945" s="600"/>
      <c r="G12945" s="81"/>
      <c r="H12945" s="81"/>
      <c r="I12945" s="81"/>
      <c r="J12945" s="81"/>
      <c r="K12945" s="81"/>
      <c r="L12945" s="81"/>
      <c r="M12945" s="81"/>
      <c r="N12945" s="81"/>
    </row>
    <row r="12946" spans="1:14" ht="35.25" customHeight="1" x14ac:dyDescent="0.25">
      <c r="A12946" s="91"/>
      <c r="B12946" s="91"/>
      <c r="C12946" s="91"/>
      <c r="D12946" s="91"/>
      <c r="E12946" s="91"/>
      <c r="F12946" s="91"/>
      <c r="G12946" s="81"/>
      <c r="H12946" s="81"/>
      <c r="I12946" s="81"/>
      <c r="J12946" s="81"/>
      <c r="K12946" s="81"/>
      <c r="L12946" s="81"/>
      <c r="M12946" s="81"/>
      <c r="N12946" s="81"/>
    </row>
    <row r="12947" spans="1:14" ht="14.25" customHeight="1" x14ac:dyDescent="0.25">
      <c r="A12947" s="88" t="s">
        <v>49</v>
      </c>
      <c r="B12947" s="92" t="s">
        <v>99</v>
      </c>
      <c r="C12947" s="89"/>
      <c r="D12947" s="89"/>
      <c r="E12947" s="89"/>
      <c r="F12947" s="93"/>
      <c r="G12947" s="81"/>
      <c r="H12947" s="81"/>
      <c r="I12947" s="81"/>
      <c r="J12947" s="81"/>
      <c r="K12947" s="81"/>
      <c r="L12947" s="81"/>
      <c r="M12947" s="81"/>
      <c r="N12947" s="81"/>
    </row>
    <row r="12948" spans="1:14" ht="14.25" customHeight="1" x14ac:dyDescent="0.25">
      <c r="A12948" s="88"/>
      <c r="B12948" s="94"/>
      <c r="C12948" s="89"/>
      <c r="D12948" s="89"/>
      <c r="E12948" s="89"/>
      <c r="F12948" s="93"/>
      <c r="G12948" s="81"/>
      <c r="H12948" s="81"/>
      <c r="I12948" s="81"/>
      <c r="J12948" s="81"/>
      <c r="K12948" s="81"/>
      <c r="L12948" s="81"/>
      <c r="M12948" s="81"/>
      <c r="N12948" s="81"/>
    </row>
    <row r="12949" spans="1:14" ht="14.25" customHeight="1" x14ac:dyDescent="0.25">
      <c r="A12949" s="95" t="s">
        <v>562</v>
      </c>
      <c r="B12949" s="96"/>
      <c r="C12949" s="92"/>
      <c r="D12949" s="92"/>
      <c r="E12949" s="92"/>
      <c r="F12949" s="92"/>
      <c r="G12949" s="81"/>
      <c r="H12949" s="81"/>
      <c r="I12949" s="81"/>
      <c r="J12949" s="81"/>
      <c r="K12949" s="81"/>
      <c r="L12949" s="81"/>
      <c r="M12949" s="81"/>
      <c r="N12949" s="81"/>
    </row>
    <row r="12950" spans="1:14" ht="14.25" customHeight="1" x14ac:dyDescent="0.25">
      <c r="A12950" s="97" t="s">
        <v>563</v>
      </c>
      <c r="B12950" s="98" t="s">
        <v>564</v>
      </c>
      <c r="C12950" s="98" t="s">
        <v>565</v>
      </c>
      <c r="D12950" s="98" t="s">
        <v>566</v>
      </c>
      <c r="E12950" s="98" t="s">
        <v>567</v>
      </c>
      <c r="F12950" s="98" t="s">
        <v>568</v>
      </c>
      <c r="G12950" s="81"/>
      <c r="H12950" s="81"/>
      <c r="I12950" s="81"/>
      <c r="J12950" s="81"/>
      <c r="K12950" s="81"/>
      <c r="L12950" s="81"/>
      <c r="M12950" s="81"/>
      <c r="N12950" s="81"/>
    </row>
    <row r="12951" spans="1:14" ht="14.25" customHeight="1" x14ac:dyDescent="0.25">
      <c r="A12951" s="99" t="s">
        <v>875</v>
      </c>
      <c r="B12951" s="100" t="s">
        <v>99</v>
      </c>
      <c r="C12951" s="101">
        <v>196965</v>
      </c>
      <c r="D12951" s="149">
        <v>1</v>
      </c>
      <c r="E12951" s="102"/>
      <c r="F12951" s="101">
        <f t="shared" ref="F12951:F12954" si="635">C12951*(D12951+(D12951*E12951))</f>
        <v>196965</v>
      </c>
      <c r="G12951" s="81"/>
      <c r="H12951" s="81"/>
      <c r="I12951" s="81"/>
      <c r="J12951" s="81"/>
      <c r="K12951" s="81"/>
      <c r="L12951" s="81"/>
      <c r="M12951" s="81"/>
      <c r="N12951" s="81"/>
    </row>
    <row r="12952" spans="1:14" ht="14.25" customHeight="1" x14ac:dyDescent="0.25">
      <c r="A12952" s="99"/>
      <c r="B12952" s="100"/>
      <c r="C12952" s="101"/>
      <c r="D12952" s="149"/>
      <c r="E12952" s="102"/>
      <c r="F12952" s="101">
        <f t="shared" si="635"/>
        <v>0</v>
      </c>
      <c r="G12952" s="81"/>
      <c r="H12952" s="81"/>
      <c r="I12952" s="81"/>
      <c r="J12952" s="81"/>
      <c r="K12952" s="81"/>
      <c r="L12952" s="81"/>
      <c r="M12952" s="81"/>
      <c r="N12952" s="81"/>
    </row>
    <row r="12953" spans="1:14" s="168" customFormat="1" ht="15.75" x14ac:dyDescent="0.25">
      <c r="A12953" s="99"/>
      <c r="B12953" s="100"/>
      <c r="C12953" s="101"/>
      <c r="D12953" s="149"/>
      <c r="E12953" s="102"/>
      <c r="F12953" s="101">
        <f t="shared" si="635"/>
        <v>0</v>
      </c>
      <c r="G12953" s="243"/>
      <c r="H12953" s="243"/>
      <c r="I12953" s="243"/>
      <c r="J12953" s="243"/>
      <c r="K12953" s="243"/>
      <c r="L12953" s="243"/>
      <c r="M12953" s="243"/>
      <c r="N12953" s="243"/>
    </row>
    <row r="12954" spans="1:14" s="168" customFormat="1" ht="15.75" x14ac:dyDescent="0.25">
      <c r="A12954" s="99"/>
      <c r="B12954" s="100"/>
      <c r="C12954" s="101"/>
      <c r="D12954" s="149"/>
      <c r="E12954" s="102"/>
      <c r="F12954" s="101">
        <f t="shared" si="635"/>
        <v>0</v>
      </c>
      <c r="G12954" s="243"/>
      <c r="H12954" s="243"/>
      <c r="I12954" s="243"/>
      <c r="J12954" s="243"/>
      <c r="K12954" s="243"/>
      <c r="L12954" s="243"/>
      <c r="M12954" s="243"/>
      <c r="N12954" s="243"/>
    </row>
    <row r="12955" spans="1:14" ht="14.25" customHeight="1" x14ac:dyDescent="0.25">
      <c r="A12955" s="99"/>
      <c r="B12955" s="100"/>
      <c r="C12955" s="101"/>
      <c r="D12955" s="149"/>
      <c r="E12955" s="102"/>
      <c r="F12955" s="101"/>
      <c r="G12955" s="81"/>
      <c r="H12955" s="81"/>
      <c r="I12955" s="81"/>
      <c r="J12955" s="81"/>
      <c r="K12955" s="81"/>
      <c r="L12955" s="81"/>
      <c r="M12955" s="81"/>
      <c r="N12955" s="81"/>
    </row>
    <row r="12956" spans="1:14" ht="14.25" customHeight="1" x14ac:dyDescent="0.25">
      <c r="A12956" s="99"/>
      <c r="B12956" s="100"/>
      <c r="C12956" s="101"/>
      <c r="D12956" s="149"/>
      <c r="E12956" s="102"/>
      <c r="F12956" s="101"/>
      <c r="G12956" s="81"/>
      <c r="H12956" s="81"/>
      <c r="I12956" s="81"/>
      <c r="J12956" s="81"/>
      <c r="K12956" s="81"/>
      <c r="L12956" s="81"/>
      <c r="M12956" s="81"/>
      <c r="N12956" s="81"/>
    </row>
    <row r="12957" spans="1:14" ht="14.25" customHeight="1" x14ac:dyDescent="0.25">
      <c r="A12957" s="99"/>
      <c r="B12957" s="100"/>
      <c r="C12957" s="101"/>
      <c r="D12957" s="149"/>
      <c r="E12957" s="102"/>
      <c r="F12957" s="101"/>
      <c r="G12957" s="81"/>
      <c r="H12957" s="81"/>
      <c r="I12957" s="81"/>
      <c r="J12957" s="81"/>
      <c r="K12957" s="81"/>
      <c r="L12957" s="81"/>
      <c r="M12957" s="81"/>
      <c r="N12957" s="81"/>
    </row>
    <row r="12958" spans="1:14" ht="14.25" customHeight="1" x14ac:dyDescent="0.25">
      <c r="A12958" s="99"/>
      <c r="B12958" s="100"/>
      <c r="C12958" s="106"/>
      <c r="D12958" s="107"/>
      <c r="E12958" s="108"/>
      <c r="F12958" s="106"/>
      <c r="G12958" s="81"/>
      <c r="H12958" s="81"/>
      <c r="I12958" s="81"/>
      <c r="J12958" s="81"/>
      <c r="K12958" s="81"/>
      <c r="L12958" s="81"/>
      <c r="M12958" s="81"/>
      <c r="N12958" s="81"/>
    </row>
    <row r="12959" spans="1:14" ht="14.25" customHeight="1" x14ac:dyDescent="0.25">
      <c r="A12959" s="97" t="s">
        <v>548</v>
      </c>
      <c r="B12959" s="97"/>
      <c r="C12959" s="109"/>
      <c r="D12959" s="110"/>
      <c r="E12959" s="111"/>
      <c r="F12959" s="112">
        <f>SUM(F12951:F12958)</f>
        <v>196965</v>
      </c>
      <c r="G12959" s="81"/>
      <c r="H12959" s="81"/>
      <c r="I12959" s="81"/>
      <c r="J12959" s="81"/>
      <c r="K12959" s="81"/>
      <c r="L12959" s="81"/>
      <c r="M12959" s="81"/>
      <c r="N12959" s="81"/>
    </row>
    <row r="12960" spans="1:14" ht="14.25" customHeight="1" x14ac:dyDescent="0.25">
      <c r="A12960" s="88"/>
      <c r="B12960" s="88"/>
      <c r="C12960" s="113"/>
      <c r="D12960" s="113"/>
      <c r="E12960" s="114"/>
      <c r="F12960" s="113"/>
      <c r="G12960" s="81"/>
      <c r="H12960" s="81"/>
      <c r="I12960" s="81"/>
      <c r="J12960" s="81"/>
      <c r="K12960" s="81"/>
      <c r="L12960" s="81"/>
      <c r="M12960" s="81"/>
      <c r="N12960" s="81"/>
    </row>
    <row r="12961" spans="1:14" s="168" customFormat="1" ht="16.5" customHeight="1" x14ac:dyDescent="0.25">
      <c r="A12961" s="96" t="s">
        <v>573</v>
      </c>
      <c r="B12961" s="96"/>
      <c r="C12961" s="92"/>
      <c r="D12961" s="92"/>
      <c r="E12961" s="92"/>
      <c r="F12961" s="92"/>
      <c r="G12961" s="243"/>
      <c r="H12961" s="243"/>
      <c r="I12961" s="243"/>
      <c r="J12961" s="243"/>
      <c r="K12961" s="243"/>
      <c r="L12961" s="243"/>
      <c r="M12961" s="243"/>
      <c r="N12961" s="243"/>
    </row>
    <row r="12962" spans="1:14" s="168" customFormat="1" ht="16.5" customHeight="1" x14ac:dyDescent="0.25">
      <c r="A12962" s="611" t="s">
        <v>563</v>
      </c>
      <c r="B12962" s="608"/>
      <c r="C12962" s="609"/>
      <c r="D12962" s="98" t="s">
        <v>574</v>
      </c>
      <c r="E12962" s="98" t="s">
        <v>575</v>
      </c>
      <c r="F12962" s="98" t="s">
        <v>568</v>
      </c>
      <c r="G12962" s="243"/>
      <c r="H12962" s="243"/>
      <c r="I12962" s="243"/>
      <c r="J12962" s="243"/>
      <c r="K12962" s="243"/>
      <c r="L12962" s="243"/>
      <c r="M12962" s="243"/>
      <c r="N12962" s="243"/>
    </row>
    <row r="12963" spans="1:14" s="168" customFormat="1" ht="16.5" customHeight="1" x14ac:dyDescent="0.25">
      <c r="A12963" s="607" t="s">
        <v>577</v>
      </c>
      <c r="B12963" s="608"/>
      <c r="C12963" s="609"/>
      <c r="D12963" s="116"/>
      <c r="E12963" s="107"/>
      <c r="F12963" s="106">
        <f>+F12980*5%</f>
        <v>1034.8871428571426</v>
      </c>
      <c r="G12963" s="243"/>
      <c r="H12963" s="243"/>
      <c r="I12963" s="243"/>
      <c r="J12963" s="243"/>
      <c r="K12963" s="243"/>
      <c r="L12963" s="243"/>
      <c r="M12963" s="243"/>
      <c r="N12963" s="243"/>
    </row>
    <row r="12964" spans="1:14" s="168" customFormat="1" ht="15.75" x14ac:dyDescent="0.25">
      <c r="A12964" s="607"/>
      <c r="B12964" s="608"/>
      <c r="C12964" s="609"/>
      <c r="D12964" s="142"/>
      <c r="E12964" s="105"/>
      <c r="F12964" s="106"/>
      <c r="G12964" s="243"/>
      <c r="H12964" s="251"/>
      <c r="I12964" s="251"/>
      <c r="J12964" s="252"/>
      <c r="K12964" s="243"/>
      <c r="L12964" s="243"/>
      <c r="M12964" s="243"/>
      <c r="N12964" s="243"/>
    </row>
    <row r="12965" spans="1:14" s="168" customFormat="1" ht="15.75" x14ac:dyDescent="0.25">
      <c r="A12965" s="607"/>
      <c r="B12965" s="608"/>
      <c r="C12965" s="609"/>
      <c r="D12965" s="142"/>
      <c r="E12965" s="105"/>
      <c r="F12965" s="106"/>
      <c r="G12965" s="243"/>
      <c r="H12965" s="251"/>
      <c r="I12965" s="251"/>
      <c r="J12965" s="252"/>
      <c r="K12965" s="243"/>
      <c r="L12965" s="243"/>
      <c r="M12965" s="243"/>
      <c r="N12965" s="243"/>
    </row>
    <row r="12966" spans="1:14" s="168" customFormat="1" ht="15.75" x14ac:dyDescent="0.25">
      <c r="A12966" s="607"/>
      <c r="B12966" s="608"/>
      <c r="C12966" s="609"/>
      <c r="D12966" s="142"/>
      <c r="E12966" s="107"/>
      <c r="F12966" s="106"/>
      <c r="G12966" s="243"/>
      <c r="H12966" s="251"/>
      <c r="I12966" s="251"/>
      <c r="J12966" s="252"/>
      <c r="K12966" s="243"/>
      <c r="L12966" s="243"/>
      <c r="M12966" s="243"/>
      <c r="N12966" s="243"/>
    </row>
    <row r="12967" spans="1:14" ht="14.25" customHeight="1" x14ac:dyDescent="0.25">
      <c r="A12967" s="607"/>
      <c r="B12967" s="608"/>
      <c r="C12967" s="609"/>
      <c r="D12967" s="142"/>
      <c r="E12967" s="107"/>
      <c r="F12967" s="106"/>
      <c r="G12967" s="81"/>
      <c r="H12967" s="81"/>
      <c r="I12967" s="81"/>
      <c r="J12967" s="81"/>
      <c r="K12967" s="81"/>
      <c r="L12967" s="81"/>
      <c r="M12967" s="81"/>
      <c r="N12967" s="81"/>
    </row>
    <row r="12968" spans="1:14" ht="14.25" customHeight="1" x14ac:dyDescent="0.25">
      <c r="A12968" s="607"/>
      <c r="B12968" s="608"/>
      <c r="C12968" s="609"/>
      <c r="D12968" s="142"/>
      <c r="E12968" s="107"/>
      <c r="F12968" s="106"/>
      <c r="G12968" s="81"/>
      <c r="H12968" s="81"/>
      <c r="I12968" s="81"/>
      <c r="J12968" s="81"/>
      <c r="K12968" s="81"/>
      <c r="L12968" s="81"/>
      <c r="M12968" s="81"/>
      <c r="N12968" s="81"/>
    </row>
    <row r="12969" spans="1:14" ht="14.25" customHeight="1" x14ac:dyDescent="0.25">
      <c r="A12969" s="607"/>
      <c r="B12969" s="608"/>
      <c r="C12969" s="609"/>
      <c r="D12969" s="142"/>
      <c r="E12969" s="107"/>
      <c r="F12969" s="106"/>
      <c r="G12969" s="81"/>
      <c r="H12969" s="81"/>
      <c r="I12969" s="81"/>
      <c r="J12969" s="81"/>
      <c r="K12969" s="81"/>
      <c r="L12969" s="81"/>
      <c r="M12969" s="81"/>
      <c r="N12969" s="81"/>
    </row>
    <row r="12970" spans="1:14" ht="14.25" customHeight="1" x14ac:dyDescent="0.25">
      <c r="A12970" s="607"/>
      <c r="B12970" s="608"/>
      <c r="C12970" s="609"/>
      <c r="D12970" s="142"/>
      <c r="E12970" s="107"/>
      <c r="F12970" s="106"/>
      <c r="G12970" s="81"/>
      <c r="H12970" s="81"/>
      <c r="I12970" s="81"/>
      <c r="J12970" s="81"/>
      <c r="K12970" s="81"/>
      <c r="L12970" s="81"/>
      <c r="M12970" s="81"/>
      <c r="N12970" s="81"/>
    </row>
    <row r="12971" spans="1:14" ht="14.25" customHeight="1" x14ac:dyDescent="0.25">
      <c r="A12971" s="610"/>
      <c r="B12971" s="608"/>
      <c r="C12971" s="609"/>
      <c r="D12971" s="115"/>
      <c r="E12971" s="107"/>
      <c r="F12971" s="106"/>
      <c r="G12971" s="81"/>
      <c r="H12971" s="81"/>
      <c r="I12971" s="81"/>
      <c r="J12971" s="81"/>
      <c r="K12971" s="81"/>
      <c r="L12971" s="81"/>
      <c r="M12971" s="81"/>
      <c r="N12971" s="81"/>
    </row>
    <row r="12972" spans="1:14" ht="14.25" customHeight="1" x14ac:dyDescent="0.25">
      <c r="A12972" s="611" t="s">
        <v>548</v>
      </c>
      <c r="B12972" s="608"/>
      <c r="C12972" s="609"/>
      <c r="D12972" s="110"/>
      <c r="E12972" s="110"/>
      <c r="F12972" s="112">
        <f>SUM(F12963:F12970)</f>
        <v>1034.8871428571426</v>
      </c>
      <c r="G12972" s="81"/>
      <c r="H12972" s="81"/>
      <c r="I12972" s="81"/>
      <c r="J12972" s="81"/>
      <c r="K12972" s="81"/>
      <c r="L12972" s="81"/>
      <c r="M12972" s="81"/>
      <c r="N12972" s="81"/>
    </row>
    <row r="12973" spans="1:14" ht="14.25" customHeight="1" x14ac:dyDescent="0.25">
      <c r="A12973" s="88"/>
      <c r="B12973" s="88"/>
      <c r="C12973" s="89"/>
      <c r="D12973" s="113"/>
      <c r="E12973" s="113"/>
      <c r="F12973" s="113"/>
      <c r="G12973" s="81"/>
      <c r="H12973" s="81"/>
      <c r="I12973" s="81"/>
      <c r="J12973" s="81"/>
      <c r="K12973" s="81"/>
      <c r="L12973" s="81"/>
      <c r="M12973" s="81"/>
      <c r="N12973" s="81"/>
    </row>
    <row r="12974" spans="1:14" ht="14.25" customHeight="1" x14ac:dyDescent="0.25">
      <c r="A12974" s="96" t="s">
        <v>578</v>
      </c>
      <c r="B12974" s="96"/>
      <c r="C12974" s="92"/>
      <c r="D12974" s="118"/>
      <c r="E12974" s="118"/>
      <c r="F12974" s="118"/>
      <c r="G12974" s="81"/>
      <c r="H12974" s="81"/>
      <c r="I12974" s="81"/>
      <c r="J12974" s="81"/>
      <c r="K12974" s="81"/>
      <c r="L12974" s="81"/>
      <c r="M12974" s="81"/>
      <c r="N12974" s="81"/>
    </row>
    <row r="12975" spans="1:14" ht="14.25" customHeight="1" x14ac:dyDescent="0.25">
      <c r="A12975" s="119" t="s">
        <v>563</v>
      </c>
      <c r="B12975" s="120" t="s">
        <v>579</v>
      </c>
      <c r="C12975" s="120" t="s">
        <v>580</v>
      </c>
      <c r="D12975" s="121" t="s">
        <v>581</v>
      </c>
      <c r="E12975" s="121" t="s">
        <v>575</v>
      </c>
      <c r="F12975" s="121" t="s">
        <v>568</v>
      </c>
      <c r="G12975" s="81"/>
      <c r="H12975" s="81"/>
      <c r="I12975" s="81"/>
      <c r="J12975" s="81"/>
      <c r="K12975" s="81"/>
      <c r="L12975" s="81"/>
      <c r="M12975" s="81"/>
      <c r="N12975" s="81"/>
    </row>
    <row r="12976" spans="1:14" ht="14.25" customHeight="1" x14ac:dyDescent="0.25">
      <c r="A12976" s="122" t="s">
        <v>593</v>
      </c>
      <c r="B12976" s="127">
        <v>1</v>
      </c>
      <c r="C12976" s="101">
        <v>32688</v>
      </c>
      <c r="D12976" s="101">
        <f t="shared" ref="D12976:D12977" si="636">+C12976*1.7</f>
        <v>55569.599999999999</v>
      </c>
      <c r="E12976" s="107">
        <v>7</v>
      </c>
      <c r="F12976" s="106">
        <f t="shared" ref="F12976:F12977" si="637">+B12976*(D12976)/E12976</f>
        <v>7938.5142857142855</v>
      </c>
      <c r="G12976" s="81"/>
      <c r="H12976" s="81"/>
      <c r="I12976" s="81"/>
      <c r="J12976" s="81"/>
      <c r="K12976" s="81"/>
      <c r="L12976" s="81"/>
      <c r="M12976" s="81"/>
      <c r="N12976" s="81"/>
    </row>
    <row r="12977" spans="1:14" ht="14.25" customHeight="1" x14ac:dyDescent="0.25">
      <c r="A12977" s="122" t="s">
        <v>594</v>
      </c>
      <c r="B12977" s="127">
        <v>1</v>
      </c>
      <c r="C12977" s="101">
        <v>52538</v>
      </c>
      <c r="D12977" s="101">
        <f t="shared" si="636"/>
        <v>89314.599999999991</v>
      </c>
      <c r="E12977" s="107">
        <f>E12976</f>
        <v>7</v>
      </c>
      <c r="F12977" s="106">
        <f t="shared" si="637"/>
        <v>12759.22857142857</v>
      </c>
      <c r="G12977" s="81"/>
      <c r="H12977" s="81"/>
      <c r="I12977" s="81"/>
      <c r="J12977" s="81"/>
      <c r="K12977" s="81"/>
      <c r="L12977" s="81"/>
      <c r="M12977" s="81"/>
      <c r="N12977" s="81"/>
    </row>
    <row r="12978" spans="1:14" ht="14.25" customHeight="1" x14ac:dyDescent="0.25">
      <c r="A12978" s="122"/>
      <c r="B12978" s="127"/>
      <c r="C12978" s="101"/>
      <c r="D12978" s="101"/>
      <c r="E12978" s="105"/>
      <c r="F12978" s="106"/>
      <c r="G12978" s="81"/>
      <c r="H12978" s="81"/>
      <c r="I12978" s="81"/>
      <c r="J12978" s="81"/>
      <c r="K12978" s="81"/>
      <c r="L12978" s="81"/>
      <c r="M12978" s="81"/>
      <c r="N12978" s="81"/>
    </row>
    <row r="12979" spans="1:14" ht="14.25" customHeight="1" x14ac:dyDescent="0.25">
      <c r="A12979" s="122"/>
      <c r="B12979" s="127"/>
      <c r="C12979" s="101"/>
      <c r="D12979" s="101"/>
      <c r="E12979" s="125"/>
      <c r="F12979" s="106"/>
      <c r="G12979" s="81"/>
      <c r="H12979" s="81"/>
      <c r="I12979" s="81"/>
      <c r="J12979" s="81"/>
      <c r="K12979" s="81"/>
      <c r="L12979" s="81"/>
      <c r="M12979" s="81"/>
      <c r="N12979" s="81"/>
    </row>
    <row r="12980" spans="1:14" ht="14.25" customHeight="1" x14ac:dyDescent="0.25">
      <c r="A12980" s="97" t="s">
        <v>548</v>
      </c>
      <c r="B12980" s="128"/>
      <c r="C12980" s="110"/>
      <c r="D12980" s="110"/>
      <c r="E12980" s="110"/>
      <c r="F12980" s="112">
        <f>SUM(F12976:F12979)</f>
        <v>20697.742857142854</v>
      </c>
      <c r="G12980" s="81"/>
      <c r="H12980" s="81"/>
      <c r="I12980" s="81"/>
      <c r="J12980" s="81"/>
      <c r="K12980" s="81"/>
      <c r="L12980" s="81"/>
      <c r="M12980" s="81"/>
      <c r="N12980" s="81"/>
    </row>
    <row r="12981" spans="1:14" ht="14.25" customHeight="1" x14ac:dyDescent="0.25">
      <c r="A12981" s="96"/>
      <c r="B12981" s="129"/>
      <c r="C12981" s="118"/>
      <c r="D12981" s="118"/>
      <c r="E12981" s="118"/>
      <c r="F12981" s="118"/>
      <c r="G12981" s="81"/>
      <c r="H12981" s="81"/>
      <c r="I12981" s="81"/>
      <c r="J12981" s="81"/>
      <c r="K12981" s="81"/>
      <c r="L12981" s="81"/>
      <c r="M12981" s="81"/>
      <c r="N12981" s="81"/>
    </row>
    <row r="12982" spans="1:14" ht="14.25" customHeight="1" x14ac:dyDescent="0.25">
      <c r="A12982" s="95" t="s">
        <v>583</v>
      </c>
      <c r="B12982" s="96"/>
      <c r="C12982" s="92"/>
      <c r="D12982" s="92"/>
      <c r="E12982" s="92" t="s">
        <v>584</v>
      </c>
      <c r="F12982" s="92"/>
      <c r="G12982" s="81"/>
      <c r="H12982" s="81"/>
      <c r="I12982" s="81"/>
      <c r="J12982" s="81"/>
      <c r="K12982" s="81"/>
      <c r="L12982" s="81"/>
      <c r="M12982" s="81"/>
      <c r="N12982" s="81"/>
    </row>
    <row r="12983" spans="1:14" ht="14.25" customHeight="1" x14ac:dyDescent="0.25">
      <c r="A12983" s="97" t="s">
        <v>563</v>
      </c>
      <c r="B12983" s="98" t="s">
        <v>564</v>
      </c>
      <c r="C12983" s="98" t="s">
        <v>585</v>
      </c>
      <c r="D12983" s="98" t="s">
        <v>586</v>
      </c>
      <c r="E12983" s="120" t="s">
        <v>587</v>
      </c>
      <c r="F12983" s="98" t="s">
        <v>568</v>
      </c>
      <c r="G12983" s="81"/>
      <c r="H12983" s="81"/>
      <c r="I12983" s="81"/>
      <c r="J12983" s="81"/>
      <c r="K12983" s="81"/>
      <c r="L12983" s="81"/>
      <c r="M12983" s="81"/>
      <c r="N12983" s="81"/>
    </row>
    <row r="12984" spans="1:14" ht="14.25" customHeight="1" x14ac:dyDescent="0.25">
      <c r="A12984" s="103"/>
      <c r="B12984" s="100"/>
      <c r="C12984" s="101"/>
      <c r="D12984" s="140"/>
      <c r="E12984" s="107"/>
      <c r="F12984" s="109"/>
      <c r="G12984" s="81"/>
      <c r="H12984" s="81"/>
      <c r="I12984" s="81"/>
      <c r="J12984" s="81"/>
      <c r="K12984" s="81"/>
      <c r="L12984" s="81"/>
      <c r="M12984" s="81"/>
      <c r="N12984" s="81"/>
    </row>
    <row r="12985" spans="1:14" ht="14.25" customHeight="1" x14ac:dyDescent="0.25">
      <c r="A12985" s="103"/>
      <c r="B12985" s="100"/>
      <c r="C12985" s="107"/>
      <c r="D12985" s="107"/>
      <c r="E12985" s="108"/>
      <c r="F12985" s="109"/>
      <c r="G12985" s="81"/>
      <c r="H12985" s="81"/>
      <c r="I12985" s="81"/>
      <c r="J12985" s="81"/>
      <c r="K12985" s="81"/>
      <c r="L12985" s="81"/>
      <c r="M12985" s="81"/>
      <c r="N12985" s="81"/>
    </row>
    <row r="12986" spans="1:14" ht="14.25" customHeight="1" x14ac:dyDescent="0.25">
      <c r="A12986" s="97" t="s">
        <v>548</v>
      </c>
      <c r="B12986" s="98"/>
      <c r="C12986" s="110"/>
      <c r="D12986" s="110"/>
      <c r="E12986" s="111"/>
      <c r="F12986" s="112">
        <f>SUM(F12984:F12985)</f>
        <v>0</v>
      </c>
      <c r="G12986" s="81"/>
      <c r="H12986" s="81"/>
      <c r="I12986" s="81"/>
      <c r="J12986" s="81"/>
      <c r="K12986" s="81"/>
      <c r="L12986" s="81"/>
      <c r="M12986" s="81"/>
      <c r="N12986" s="81"/>
    </row>
    <row r="12987" spans="1:14" ht="14.25" customHeight="1" x14ac:dyDescent="0.25">
      <c r="A12987" s="88"/>
      <c r="B12987" s="89"/>
      <c r="C12987" s="113"/>
      <c r="D12987" s="113"/>
      <c r="E12987" s="114"/>
      <c r="F12987" s="113"/>
      <c r="G12987" s="81"/>
      <c r="H12987" s="81"/>
      <c r="I12987" s="81"/>
      <c r="J12987" s="81"/>
      <c r="K12987" s="81"/>
      <c r="L12987" s="81"/>
      <c r="M12987" s="81"/>
      <c r="N12987" s="81"/>
    </row>
    <row r="12988" spans="1:14" ht="14.25" customHeight="1" x14ac:dyDescent="0.25">
      <c r="A12988" s="88"/>
      <c r="B12988" s="89"/>
      <c r="C12988" s="113"/>
      <c r="D12988" s="113"/>
      <c r="E12988" s="114"/>
      <c r="F12988" s="113"/>
      <c r="G12988" s="81"/>
      <c r="H12988" s="81"/>
      <c r="I12988" s="81"/>
      <c r="J12988" s="81"/>
      <c r="K12988" s="81"/>
      <c r="L12988" s="81"/>
      <c r="M12988" s="81"/>
      <c r="N12988" s="81"/>
    </row>
    <row r="12989" spans="1:14" ht="14.25" customHeight="1" x14ac:dyDescent="0.25">
      <c r="A12989" s="612" t="s">
        <v>588</v>
      </c>
      <c r="B12989" s="608"/>
      <c r="C12989" s="608"/>
      <c r="D12989" s="608"/>
      <c r="E12989" s="609"/>
      <c r="F12989" s="131">
        <f>ROUND(F12959+F12972+F12980+F12986,0)</f>
        <v>218698</v>
      </c>
      <c r="G12989" s="81"/>
      <c r="H12989" s="81"/>
      <c r="I12989" s="81"/>
      <c r="J12989" s="81"/>
      <c r="K12989" s="81"/>
      <c r="L12989" s="81"/>
      <c r="M12989" s="81"/>
      <c r="N12989" s="81"/>
    </row>
    <row r="12990" spans="1:14" ht="14.25" customHeight="1" x14ac:dyDescent="0.25">
      <c r="A12990" s="612" t="s">
        <v>589</v>
      </c>
      <c r="B12990" s="608"/>
      <c r="C12990" s="608"/>
      <c r="D12990" s="608"/>
      <c r="E12990" s="609"/>
      <c r="F12990" s="132"/>
      <c r="G12990" s="81"/>
      <c r="H12990" s="117"/>
      <c r="I12990" s="81"/>
      <c r="J12990" s="81"/>
      <c r="K12990" s="81"/>
      <c r="L12990" s="81"/>
      <c r="M12990" s="81"/>
      <c r="N12990" s="81"/>
    </row>
    <row r="12991" spans="1:14" ht="14.25" customHeight="1" x14ac:dyDescent="0.25">
      <c r="A12991" s="146" t="s">
        <v>556</v>
      </c>
      <c r="B12991" s="147"/>
      <c r="C12991" s="147"/>
      <c r="D12991" s="147"/>
      <c r="E12991" s="148"/>
      <c r="F12991" s="133"/>
      <c r="G12991" s="81"/>
      <c r="H12991" s="81"/>
      <c r="I12991" s="81"/>
      <c r="J12991" s="81"/>
      <c r="K12991" s="81"/>
      <c r="L12991" s="81"/>
      <c r="M12991" s="81"/>
      <c r="N12991" s="81"/>
    </row>
    <row r="12992" spans="1:14" ht="14.25" customHeight="1" x14ac:dyDescent="0.25">
      <c r="A12992" s="134"/>
      <c r="B12992" s="135"/>
      <c r="C12992" s="135"/>
      <c r="D12992" s="135"/>
      <c r="E12992" s="135"/>
      <c r="F12992" s="136"/>
      <c r="G12992" s="81"/>
      <c r="H12992" s="81"/>
      <c r="I12992" s="81"/>
      <c r="J12992" s="81"/>
      <c r="K12992" s="81"/>
      <c r="L12992" s="81"/>
      <c r="M12992" s="81"/>
      <c r="N12992" s="81"/>
    </row>
    <row r="12993" spans="1:14" ht="14.25" customHeight="1" x14ac:dyDescent="0.25">
      <c r="A12993" s="81"/>
      <c r="B12993" s="81"/>
      <c r="C12993" s="137"/>
      <c r="D12993" s="81"/>
      <c r="E12993" s="81"/>
      <c r="F12993" s="81"/>
      <c r="G12993" s="81"/>
      <c r="H12993" s="81"/>
      <c r="I12993" s="81"/>
      <c r="J12993" s="81"/>
      <c r="K12993" s="81"/>
      <c r="L12993" s="81"/>
      <c r="M12993" s="81"/>
      <c r="N12993" s="81"/>
    </row>
    <row r="12994" spans="1:14" ht="14.25" customHeight="1" x14ac:dyDescent="0.25">
      <c r="A12994" s="81"/>
      <c r="B12994" s="81"/>
      <c r="C12994" s="137"/>
      <c r="D12994" s="81"/>
      <c r="E12994" s="81"/>
      <c r="F12994" s="81"/>
      <c r="G12994" s="81"/>
      <c r="H12994" s="81"/>
      <c r="I12994" s="81"/>
      <c r="J12994" s="81"/>
      <c r="K12994" s="81"/>
      <c r="L12994" s="81"/>
      <c r="M12994" s="81"/>
      <c r="N12994" s="81"/>
    </row>
    <row r="12995" spans="1:14" ht="14.25" customHeight="1" x14ac:dyDescent="0.25">
      <c r="A12995" s="81"/>
      <c r="B12995" s="81"/>
      <c r="C12995" s="137"/>
      <c r="D12995" s="81"/>
      <c r="E12995" s="81"/>
      <c r="F12995" s="81"/>
      <c r="G12995" s="81"/>
      <c r="H12995" s="81"/>
      <c r="I12995" s="81"/>
      <c r="J12995" s="81"/>
      <c r="K12995" s="81"/>
      <c r="L12995" s="81"/>
      <c r="M12995" s="81"/>
      <c r="N12995" s="81"/>
    </row>
    <row r="12996" spans="1:14" ht="14.25" customHeight="1" x14ac:dyDescent="0.25">
      <c r="A12996" s="81"/>
      <c r="B12996" s="81"/>
      <c r="C12996" s="137"/>
      <c r="D12996" s="81"/>
      <c r="E12996" s="81"/>
      <c r="F12996" s="81"/>
      <c r="G12996" s="81"/>
      <c r="H12996" s="81"/>
      <c r="I12996" s="81"/>
      <c r="J12996" s="81"/>
      <c r="K12996" s="81"/>
      <c r="L12996" s="81"/>
      <c r="M12996" s="81"/>
      <c r="N12996" s="81"/>
    </row>
    <row r="12997" spans="1:14" ht="14.25" customHeight="1" x14ac:dyDescent="0.25">
      <c r="A12997" s="134"/>
      <c r="B12997" s="135"/>
      <c r="C12997" s="135"/>
      <c r="D12997" s="135"/>
      <c r="E12997" s="135"/>
      <c r="F12997" s="136"/>
      <c r="G12997" s="81"/>
      <c r="H12997" s="81"/>
      <c r="I12997" s="81"/>
      <c r="J12997" s="81"/>
      <c r="K12997" s="81"/>
      <c r="L12997" s="81"/>
      <c r="M12997" s="81"/>
      <c r="N12997" s="81"/>
    </row>
    <row r="12998" spans="1:14" ht="14.25" customHeight="1" x14ac:dyDescent="0.25">
      <c r="A12998" s="134"/>
      <c r="B12998" s="135"/>
      <c r="C12998" s="135"/>
      <c r="D12998" s="135"/>
      <c r="E12998" s="135"/>
      <c r="F12998" s="136"/>
      <c r="G12998" s="81"/>
      <c r="H12998" s="81"/>
      <c r="I12998" s="81"/>
      <c r="J12998" s="81"/>
      <c r="K12998" s="81"/>
      <c r="L12998" s="81"/>
      <c r="M12998" s="81"/>
      <c r="N12998" s="81"/>
    </row>
    <row r="12999" spans="1:14" ht="14.25" customHeight="1" x14ac:dyDescent="0.25">
      <c r="A12999" s="134"/>
      <c r="B12999" s="135"/>
      <c r="C12999" s="135"/>
      <c r="D12999" s="135"/>
      <c r="E12999" s="135"/>
      <c r="F12999" s="135"/>
      <c r="G12999" s="81"/>
      <c r="H12999" s="81"/>
      <c r="I12999" s="81"/>
      <c r="J12999" s="81"/>
      <c r="K12999" s="81"/>
      <c r="L12999" s="81"/>
      <c r="M12999" s="81"/>
      <c r="N12999" s="81"/>
    </row>
    <row r="13000" spans="1:14" ht="14.25" customHeight="1" thickBot="1" x14ac:dyDescent="0.3">
      <c r="A13000" s="81"/>
      <c r="B13000" s="81"/>
      <c r="C13000" s="81"/>
      <c r="D13000" s="81"/>
      <c r="E13000" s="81"/>
      <c r="F13000" s="81"/>
      <c r="G13000" s="81"/>
      <c r="H13000" s="81"/>
      <c r="I13000" s="81"/>
      <c r="J13000" s="81"/>
      <c r="K13000" s="81"/>
      <c r="L13000" s="81"/>
      <c r="M13000" s="81"/>
      <c r="N13000" s="81"/>
    </row>
    <row r="13001" spans="1:14" ht="14.25" customHeight="1" x14ac:dyDescent="0.25">
      <c r="A13001" s="83"/>
      <c r="B13001" s="84"/>
      <c r="C13001" s="85"/>
      <c r="D13001" s="86"/>
      <c r="E13001" s="86"/>
      <c r="F13001" s="87"/>
      <c r="G13001" s="81"/>
      <c r="H13001" s="81"/>
      <c r="I13001" s="81"/>
      <c r="J13001" s="81"/>
      <c r="K13001" s="81"/>
      <c r="L13001" s="81"/>
      <c r="M13001" s="81"/>
      <c r="N13001" s="81"/>
    </row>
    <row r="13002" spans="1:14" ht="14.25" customHeight="1" x14ac:dyDescent="0.25">
      <c r="A13002" s="599"/>
      <c r="B13002" s="600"/>
      <c r="C13002" s="600"/>
      <c r="D13002" s="600"/>
      <c r="E13002" s="600"/>
      <c r="F13002" s="601"/>
      <c r="G13002" s="81"/>
      <c r="H13002" s="81"/>
      <c r="I13002" s="81"/>
      <c r="J13002" s="81"/>
      <c r="K13002" s="81"/>
      <c r="L13002" s="81"/>
      <c r="M13002" s="81"/>
      <c r="N13002" s="81"/>
    </row>
    <row r="13003" spans="1:14" ht="30.75" customHeight="1" x14ac:dyDescent="0.25">
      <c r="A13003" s="602" t="s">
        <v>561</v>
      </c>
      <c r="B13003" s="600"/>
      <c r="C13003" s="600"/>
      <c r="D13003" s="600"/>
      <c r="E13003" s="600"/>
      <c r="F13003" s="601"/>
      <c r="G13003" s="81"/>
      <c r="H13003" s="81"/>
      <c r="I13003" s="81"/>
      <c r="J13003" s="81"/>
      <c r="K13003" s="81"/>
      <c r="L13003" s="81"/>
      <c r="M13003" s="81"/>
      <c r="N13003" s="81"/>
    </row>
    <row r="13004" spans="1:14" ht="14.25" customHeight="1" thickBot="1" x14ac:dyDescent="0.3">
      <c r="A13004" s="603"/>
      <c r="B13004" s="604"/>
      <c r="C13004" s="604"/>
      <c r="D13004" s="604"/>
      <c r="E13004" s="604"/>
      <c r="F13004" s="605"/>
      <c r="G13004" s="81"/>
      <c r="H13004" s="81"/>
      <c r="I13004" s="81"/>
      <c r="J13004" s="81"/>
      <c r="K13004" s="81"/>
      <c r="L13004" s="81"/>
      <c r="M13004" s="81"/>
      <c r="N13004" s="81"/>
    </row>
    <row r="13005" spans="1:14" ht="14.25" customHeight="1" x14ac:dyDescent="0.25">
      <c r="A13005" s="88"/>
      <c r="B13005" s="88"/>
      <c r="C13005" s="89"/>
      <c r="D13005" s="89"/>
      <c r="E13005" s="89"/>
      <c r="F13005" s="89"/>
      <c r="G13005" s="81"/>
      <c r="H13005" s="81"/>
      <c r="I13005" s="81"/>
      <c r="J13005" s="81"/>
      <c r="K13005" s="81"/>
      <c r="L13005" s="81"/>
      <c r="M13005" s="81"/>
      <c r="N13005" s="81"/>
    </row>
    <row r="13006" spans="1:14" ht="14.25" customHeight="1" x14ac:dyDescent="0.25">
      <c r="A13006" s="90" t="s">
        <v>47</v>
      </c>
      <c r="B13006" s="613" t="s">
        <v>447</v>
      </c>
      <c r="C13006" s="600"/>
      <c r="D13006" s="600"/>
      <c r="E13006" s="600"/>
      <c r="F13006" s="600"/>
      <c r="G13006" s="81"/>
      <c r="H13006" s="81"/>
      <c r="I13006" s="81"/>
      <c r="J13006" s="81"/>
      <c r="K13006" s="81"/>
      <c r="L13006" s="81"/>
      <c r="M13006" s="81"/>
      <c r="N13006" s="81"/>
    </row>
    <row r="13007" spans="1:14" ht="14.25" customHeight="1" x14ac:dyDescent="0.25">
      <c r="A13007" s="91"/>
      <c r="B13007" s="91"/>
      <c r="C13007" s="91"/>
      <c r="D13007" s="91"/>
      <c r="E13007" s="91"/>
      <c r="F13007" s="91"/>
      <c r="G13007" s="81"/>
      <c r="H13007" s="81"/>
      <c r="I13007" s="81"/>
      <c r="J13007" s="81"/>
      <c r="K13007" s="81"/>
      <c r="L13007" s="81"/>
      <c r="M13007" s="81"/>
      <c r="N13007" s="81"/>
    </row>
    <row r="13008" spans="1:14" ht="14.25" customHeight="1" x14ac:dyDescent="0.25">
      <c r="A13008" s="88" t="s">
        <v>49</v>
      </c>
      <c r="B13008" s="92" t="s">
        <v>59</v>
      </c>
      <c r="C13008" s="89"/>
      <c r="D13008" s="89"/>
      <c r="E13008" s="89"/>
      <c r="F13008" s="93"/>
      <c r="G13008" s="81"/>
      <c r="H13008" s="81"/>
      <c r="I13008" s="81"/>
      <c r="J13008" s="81"/>
      <c r="K13008" s="81"/>
      <c r="L13008" s="81"/>
      <c r="M13008" s="81"/>
      <c r="N13008" s="81"/>
    </row>
    <row r="13009" spans="1:14" ht="14.25" customHeight="1" x14ac:dyDescent="0.25">
      <c r="A13009" s="88"/>
      <c r="B13009" s="94"/>
      <c r="C13009" s="89"/>
      <c r="D13009" s="89"/>
      <c r="E13009" s="89"/>
      <c r="F13009" s="93"/>
      <c r="G13009" s="81"/>
      <c r="H13009" s="81"/>
      <c r="I13009" s="81"/>
      <c r="J13009" s="81"/>
      <c r="K13009" s="81"/>
      <c r="L13009" s="81"/>
      <c r="M13009" s="81"/>
      <c r="N13009" s="81"/>
    </row>
    <row r="13010" spans="1:14" s="168" customFormat="1" ht="15.75" x14ac:dyDescent="0.25">
      <c r="A13010" s="95" t="s">
        <v>562</v>
      </c>
      <c r="B13010" s="96"/>
      <c r="C13010" s="92"/>
      <c r="D13010" s="92"/>
      <c r="E13010" s="92"/>
      <c r="F13010" s="92"/>
      <c r="G13010" s="243"/>
      <c r="H13010" s="243"/>
      <c r="I13010" s="243"/>
      <c r="J13010" s="243"/>
      <c r="K13010" s="243"/>
      <c r="L13010" s="243"/>
      <c r="M13010" s="243"/>
      <c r="N13010" s="243"/>
    </row>
    <row r="13011" spans="1:14" s="168" customFormat="1" ht="15.75" x14ac:dyDescent="0.25">
      <c r="A13011" s="97" t="s">
        <v>563</v>
      </c>
      <c r="B13011" s="98" t="s">
        <v>564</v>
      </c>
      <c r="C13011" s="98" t="s">
        <v>565</v>
      </c>
      <c r="D13011" s="98" t="s">
        <v>566</v>
      </c>
      <c r="E13011" s="98" t="s">
        <v>567</v>
      </c>
      <c r="F13011" s="98" t="s">
        <v>568</v>
      </c>
      <c r="G13011" s="243"/>
      <c r="H13011" s="243"/>
      <c r="I13011" s="243"/>
      <c r="J13011" s="243"/>
      <c r="K13011" s="243"/>
      <c r="L13011" s="243"/>
      <c r="M13011" s="243"/>
      <c r="N13011" s="243"/>
    </row>
    <row r="13012" spans="1:14" ht="14.25" customHeight="1" x14ac:dyDescent="0.25">
      <c r="A13012" s="99" t="s">
        <v>876</v>
      </c>
      <c r="B13012" s="100" t="s">
        <v>59</v>
      </c>
      <c r="C13012" s="101">
        <v>18750</v>
      </c>
      <c r="D13012" s="149">
        <v>1</v>
      </c>
      <c r="E13012" s="102">
        <v>0.05</v>
      </c>
      <c r="F13012" s="101">
        <f t="shared" ref="F13012:F13015" si="638">C13012*(D13012+(D13012*E13012))</f>
        <v>19687.5</v>
      </c>
      <c r="G13012" s="81"/>
      <c r="H13012" s="81"/>
      <c r="I13012" s="81"/>
      <c r="J13012" s="81"/>
      <c r="K13012" s="81"/>
      <c r="L13012" s="81"/>
      <c r="M13012" s="81"/>
      <c r="N13012" s="81"/>
    </row>
    <row r="13013" spans="1:14" ht="14.25" customHeight="1" x14ac:dyDescent="0.25">
      <c r="A13013" s="99"/>
      <c r="B13013" s="100"/>
      <c r="C13013" s="101"/>
      <c r="D13013" s="149"/>
      <c r="E13013" s="102"/>
      <c r="F13013" s="101">
        <f t="shared" si="638"/>
        <v>0</v>
      </c>
      <c r="G13013" s="81"/>
      <c r="H13013" s="81"/>
      <c r="I13013" s="81"/>
      <c r="J13013" s="81"/>
      <c r="K13013" s="81"/>
      <c r="L13013" s="81"/>
      <c r="M13013" s="81"/>
      <c r="N13013" s="81"/>
    </row>
    <row r="13014" spans="1:14" ht="14.25" customHeight="1" x14ac:dyDescent="0.25">
      <c r="A13014" s="99"/>
      <c r="B13014" s="100"/>
      <c r="C13014" s="101"/>
      <c r="D13014" s="149"/>
      <c r="E13014" s="102"/>
      <c r="F13014" s="101">
        <f t="shared" si="638"/>
        <v>0</v>
      </c>
      <c r="G13014" s="81"/>
      <c r="H13014" s="81"/>
      <c r="I13014" s="81"/>
      <c r="J13014" s="81"/>
      <c r="K13014" s="81"/>
      <c r="L13014" s="81"/>
      <c r="M13014" s="81"/>
      <c r="N13014" s="81"/>
    </row>
    <row r="13015" spans="1:14" ht="14.25" customHeight="1" x14ac:dyDescent="0.25">
      <c r="A13015" s="99"/>
      <c r="B13015" s="100"/>
      <c r="C13015" s="101"/>
      <c r="D13015" s="149"/>
      <c r="E13015" s="102"/>
      <c r="F13015" s="101">
        <f t="shared" si="638"/>
        <v>0</v>
      </c>
      <c r="G13015" s="81"/>
      <c r="H13015" s="81"/>
      <c r="I13015" s="81"/>
      <c r="J13015" s="81"/>
      <c r="K13015" s="81"/>
      <c r="L13015" s="81"/>
      <c r="M13015" s="81"/>
      <c r="N13015" s="81"/>
    </row>
    <row r="13016" spans="1:14" ht="14.25" customHeight="1" x14ac:dyDescent="0.25">
      <c r="A13016" s="99"/>
      <c r="B13016" s="100"/>
      <c r="C13016" s="101"/>
      <c r="D13016" s="149"/>
      <c r="E13016" s="102"/>
      <c r="F13016" s="101"/>
      <c r="G13016" s="81"/>
      <c r="H13016" s="81"/>
      <c r="I13016" s="81"/>
      <c r="J13016" s="81"/>
      <c r="K13016" s="81"/>
      <c r="L13016" s="81"/>
      <c r="M13016" s="81"/>
      <c r="N13016" s="81"/>
    </row>
    <row r="13017" spans="1:14" ht="14.25" customHeight="1" x14ac:dyDescent="0.25">
      <c r="A13017" s="99"/>
      <c r="B13017" s="100"/>
      <c r="C13017" s="101"/>
      <c r="D13017" s="149"/>
      <c r="E13017" s="102"/>
      <c r="F13017" s="101"/>
      <c r="G13017" s="81"/>
      <c r="H13017" s="81"/>
      <c r="I13017" s="81"/>
      <c r="J13017" s="81"/>
      <c r="K13017" s="81"/>
      <c r="L13017" s="81"/>
      <c r="M13017" s="81"/>
      <c r="N13017" s="81"/>
    </row>
    <row r="13018" spans="1:14" s="168" customFormat="1" ht="16.5" customHeight="1" x14ac:dyDescent="0.25">
      <c r="A13018" s="99"/>
      <c r="B13018" s="100"/>
      <c r="C13018" s="101"/>
      <c r="D13018" s="149"/>
      <c r="E13018" s="102"/>
      <c r="F13018" s="101"/>
      <c r="G13018" s="243"/>
      <c r="H13018" s="243"/>
      <c r="I13018" s="243"/>
      <c r="J13018" s="243"/>
      <c r="K13018" s="243"/>
      <c r="L13018" s="243"/>
      <c r="M13018" s="243"/>
      <c r="N13018" s="243"/>
    </row>
    <row r="13019" spans="1:14" s="168" customFormat="1" ht="16.5" customHeight="1" x14ac:dyDescent="0.25">
      <c r="A13019" s="99"/>
      <c r="B13019" s="100"/>
      <c r="C13019" s="106"/>
      <c r="D13019" s="107"/>
      <c r="E13019" s="108"/>
      <c r="F13019" s="106"/>
      <c r="G13019" s="243"/>
      <c r="H13019" s="243"/>
      <c r="I13019" s="243"/>
      <c r="J13019" s="243"/>
      <c r="K13019" s="243"/>
      <c r="L13019" s="243"/>
      <c r="M13019" s="243"/>
      <c r="N13019" s="243"/>
    </row>
    <row r="13020" spans="1:14" s="168" customFormat="1" ht="16.5" customHeight="1" x14ac:dyDescent="0.25">
      <c r="A13020" s="97" t="s">
        <v>548</v>
      </c>
      <c r="B13020" s="97"/>
      <c r="C13020" s="109"/>
      <c r="D13020" s="110"/>
      <c r="E13020" s="111"/>
      <c r="F13020" s="112">
        <f>SUM(F13012:F13019)</f>
        <v>19687.5</v>
      </c>
      <c r="G13020" s="243"/>
      <c r="H13020" s="243"/>
      <c r="I13020" s="243"/>
      <c r="J13020" s="243"/>
      <c r="K13020" s="243"/>
      <c r="L13020" s="243"/>
      <c r="M13020" s="243"/>
      <c r="N13020" s="243"/>
    </row>
    <row r="13021" spans="1:14" s="168" customFormat="1" ht="15.75" x14ac:dyDescent="0.25">
      <c r="A13021" s="88"/>
      <c r="B13021" s="88"/>
      <c r="C13021" s="113"/>
      <c r="D13021" s="113"/>
      <c r="E13021" s="114"/>
      <c r="F13021" s="113"/>
      <c r="G13021" s="243"/>
      <c r="H13021" s="251"/>
      <c r="I13021" s="251"/>
      <c r="J13021" s="252"/>
      <c r="K13021" s="243"/>
      <c r="L13021" s="243"/>
      <c r="M13021" s="243"/>
      <c r="N13021" s="243"/>
    </row>
    <row r="13022" spans="1:14" s="168" customFormat="1" ht="15.75" x14ac:dyDescent="0.25">
      <c r="A13022" s="96" t="s">
        <v>573</v>
      </c>
      <c r="B13022" s="96"/>
      <c r="C13022" s="92"/>
      <c r="D13022" s="92"/>
      <c r="E13022" s="92"/>
      <c r="F13022" s="92"/>
      <c r="G13022" s="243"/>
      <c r="H13022" s="251"/>
      <c r="I13022" s="251"/>
      <c r="J13022" s="252"/>
      <c r="K13022" s="243"/>
      <c r="L13022" s="243"/>
      <c r="M13022" s="243"/>
      <c r="N13022" s="243"/>
    </row>
    <row r="13023" spans="1:14" s="168" customFormat="1" ht="15.75" x14ac:dyDescent="0.25">
      <c r="A13023" s="611" t="s">
        <v>563</v>
      </c>
      <c r="B13023" s="608"/>
      <c r="C13023" s="609"/>
      <c r="D13023" s="98" t="s">
        <v>574</v>
      </c>
      <c r="E13023" s="98" t="s">
        <v>575</v>
      </c>
      <c r="F13023" s="98" t="s">
        <v>568</v>
      </c>
      <c r="G13023" s="243"/>
      <c r="H13023" s="251"/>
      <c r="I13023" s="251"/>
      <c r="J13023" s="252"/>
      <c r="K13023" s="243"/>
      <c r="L13023" s="243"/>
      <c r="M13023" s="243"/>
      <c r="N13023" s="243"/>
    </row>
    <row r="13024" spans="1:14" ht="14.25" customHeight="1" x14ac:dyDescent="0.25">
      <c r="A13024" s="607" t="s">
        <v>577</v>
      </c>
      <c r="B13024" s="608"/>
      <c r="C13024" s="609"/>
      <c r="D13024" s="116"/>
      <c r="E13024" s="107"/>
      <c r="F13024" s="106">
        <f>+F13041*5%</f>
        <v>301.32731583544773</v>
      </c>
      <c r="G13024" s="81"/>
      <c r="H13024" s="81"/>
      <c r="I13024" s="81"/>
      <c r="J13024" s="81"/>
      <c r="K13024" s="81"/>
      <c r="L13024" s="81"/>
      <c r="M13024" s="81"/>
      <c r="N13024" s="81"/>
    </row>
    <row r="13025" spans="1:14" ht="14.25" customHeight="1" x14ac:dyDescent="0.25">
      <c r="A13025" s="607"/>
      <c r="B13025" s="608"/>
      <c r="C13025" s="609"/>
      <c r="D13025" s="142"/>
      <c r="E13025" s="105"/>
      <c r="F13025" s="106"/>
      <c r="G13025" s="81"/>
      <c r="H13025" s="81"/>
      <c r="I13025" s="81"/>
      <c r="J13025" s="81"/>
      <c r="K13025" s="81"/>
      <c r="L13025" s="81"/>
      <c r="M13025" s="81"/>
      <c r="N13025" s="81"/>
    </row>
    <row r="13026" spans="1:14" ht="14.25" customHeight="1" x14ac:dyDescent="0.25">
      <c r="A13026" s="607"/>
      <c r="B13026" s="608"/>
      <c r="C13026" s="609"/>
      <c r="D13026" s="142"/>
      <c r="E13026" s="105"/>
      <c r="F13026" s="106"/>
      <c r="G13026" s="81"/>
      <c r="H13026" s="81"/>
      <c r="I13026" s="81"/>
      <c r="J13026" s="81"/>
      <c r="K13026" s="81"/>
      <c r="L13026" s="81"/>
      <c r="M13026" s="81"/>
      <c r="N13026" s="81"/>
    </row>
    <row r="13027" spans="1:14" ht="14.25" customHeight="1" x14ac:dyDescent="0.25">
      <c r="A13027" s="607"/>
      <c r="B13027" s="608"/>
      <c r="C13027" s="609"/>
      <c r="D13027" s="142"/>
      <c r="E13027" s="107"/>
      <c r="F13027" s="106"/>
      <c r="G13027" s="81"/>
      <c r="H13027" s="81"/>
      <c r="I13027" s="81"/>
      <c r="J13027" s="81"/>
      <c r="K13027" s="81"/>
      <c r="L13027" s="81"/>
      <c r="M13027" s="81"/>
      <c r="N13027" s="81"/>
    </row>
    <row r="13028" spans="1:14" ht="14.25" customHeight="1" x14ac:dyDescent="0.25">
      <c r="A13028" s="607"/>
      <c r="B13028" s="608"/>
      <c r="C13028" s="609"/>
      <c r="D13028" s="142"/>
      <c r="E13028" s="107"/>
      <c r="F13028" s="106"/>
      <c r="G13028" s="81"/>
      <c r="H13028" s="81"/>
      <c r="I13028" s="81"/>
      <c r="J13028" s="81"/>
      <c r="K13028" s="81"/>
      <c r="L13028" s="81"/>
      <c r="M13028" s="81"/>
      <c r="N13028" s="81"/>
    </row>
    <row r="13029" spans="1:14" ht="14.25" customHeight="1" x14ac:dyDescent="0.25">
      <c r="A13029" s="607"/>
      <c r="B13029" s="608"/>
      <c r="C13029" s="609"/>
      <c r="D13029" s="142"/>
      <c r="E13029" s="107"/>
      <c r="F13029" s="106"/>
      <c r="G13029" s="81"/>
      <c r="H13029" s="81"/>
      <c r="I13029" s="81"/>
      <c r="J13029" s="81"/>
      <c r="K13029" s="81"/>
      <c r="L13029" s="81"/>
      <c r="M13029" s="81"/>
      <c r="N13029" s="81"/>
    </row>
    <row r="13030" spans="1:14" ht="14.25" customHeight="1" x14ac:dyDescent="0.25">
      <c r="A13030" s="607"/>
      <c r="B13030" s="608"/>
      <c r="C13030" s="609"/>
      <c r="D13030" s="142"/>
      <c r="E13030" s="107"/>
      <c r="F13030" s="106"/>
      <c r="G13030" s="81"/>
      <c r="H13030" s="81"/>
      <c r="I13030" s="81"/>
      <c r="J13030" s="81"/>
      <c r="K13030" s="81"/>
      <c r="L13030" s="81"/>
      <c r="M13030" s="81"/>
      <c r="N13030" s="81"/>
    </row>
    <row r="13031" spans="1:14" ht="14.25" customHeight="1" x14ac:dyDescent="0.25">
      <c r="A13031" s="607"/>
      <c r="B13031" s="608"/>
      <c r="C13031" s="609"/>
      <c r="D13031" s="142"/>
      <c r="E13031" s="107"/>
      <c r="F13031" s="106"/>
      <c r="G13031" s="81"/>
      <c r="H13031" s="81"/>
      <c r="I13031" s="81"/>
      <c r="J13031" s="81"/>
      <c r="K13031" s="81"/>
      <c r="L13031" s="81"/>
      <c r="M13031" s="81"/>
      <c r="N13031" s="81"/>
    </row>
    <row r="13032" spans="1:14" ht="14.25" customHeight="1" x14ac:dyDescent="0.25">
      <c r="A13032" s="610"/>
      <c r="B13032" s="608"/>
      <c r="C13032" s="609"/>
      <c r="D13032" s="115"/>
      <c r="E13032" s="107"/>
      <c r="F13032" s="106"/>
      <c r="G13032" s="81"/>
      <c r="H13032" s="81"/>
      <c r="I13032" s="81"/>
      <c r="J13032" s="81"/>
      <c r="K13032" s="81"/>
      <c r="L13032" s="81"/>
      <c r="M13032" s="81"/>
      <c r="N13032" s="81"/>
    </row>
    <row r="13033" spans="1:14" ht="14.25" customHeight="1" x14ac:dyDescent="0.25">
      <c r="A13033" s="611" t="s">
        <v>548</v>
      </c>
      <c r="B13033" s="608"/>
      <c r="C13033" s="609"/>
      <c r="D13033" s="110"/>
      <c r="E13033" s="110"/>
      <c r="F13033" s="112">
        <f>SUM(F13024:F13031)</f>
        <v>301.32731583544773</v>
      </c>
      <c r="G13033" s="81"/>
      <c r="H13033" s="81"/>
      <c r="I13033" s="81"/>
      <c r="J13033" s="81"/>
      <c r="K13033" s="81"/>
      <c r="L13033" s="81"/>
      <c r="M13033" s="81"/>
      <c r="N13033" s="81"/>
    </row>
    <row r="13034" spans="1:14" ht="14.25" customHeight="1" x14ac:dyDescent="0.25">
      <c r="A13034" s="88"/>
      <c r="B13034" s="88"/>
      <c r="C13034" s="89"/>
      <c r="D13034" s="113"/>
      <c r="E13034" s="113"/>
      <c r="F13034" s="113"/>
      <c r="G13034" s="81"/>
      <c r="H13034" s="81"/>
      <c r="I13034" s="81"/>
      <c r="J13034" s="81"/>
      <c r="K13034" s="81"/>
      <c r="L13034" s="81"/>
      <c r="M13034" s="81"/>
      <c r="N13034" s="81"/>
    </row>
    <row r="13035" spans="1:14" ht="14.25" customHeight="1" x14ac:dyDescent="0.25">
      <c r="A13035" s="96" t="s">
        <v>578</v>
      </c>
      <c r="B13035" s="96"/>
      <c r="C13035" s="92"/>
      <c r="D13035" s="118"/>
      <c r="E13035" s="118"/>
      <c r="F13035" s="118"/>
      <c r="G13035" s="81"/>
      <c r="H13035" s="81"/>
      <c r="I13035" s="81"/>
      <c r="J13035" s="81"/>
      <c r="K13035" s="81"/>
      <c r="L13035" s="81"/>
      <c r="M13035" s="81"/>
      <c r="N13035" s="81"/>
    </row>
    <row r="13036" spans="1:14" ht="14.25" customHeight="1" x14ac:dyDescent="0.25">
      <c r="A13036" s="119" t="s">
        <v>563</v>
      </c>
      <c r="B13036" s="120" t="s">
        <v>579</v>
      </c>
      <c r="C13036" s="120" t="s">
        <v>580</v>
      </c>
      <c r="D13036" s="121" t="s">
        <v>581</v>
      </c>
      <c r="E13036" s="121" t="s">
        <v>575</v>
      </c>
      <c r="F13036" s="121" t="s">
        <v>568</v>
      </c>
      <c r="G13036" s="81"/>
      <c r="H13036" s="81"/>
      <c r="I13036" s="81"/>
      <c r="J13036" s="81"/>
      <c r="K13036" s="81"/>
      <c r="L13036" s="81"/>
      <c r="M13036" s="81"/>
      <c r="N13036" s="81"/>
    </row>
    <row r="13037" spans="1:14" ht="14.25" customHeight="1" x14ac:dyDescent="0.25">
      <c r="A13037" s="122" t="s">
        <v>593</v>
      </c>
      <c r="B13037" s="127">
        <v>1</v>
      </c>
      <c r="C13037" s="101">
        <v>32688</v>
      </c>
      <c r="D13037" s="101">
        <f t="shared" ref="D13037:D13038" si="639">+C13037*1.7</f>
        <v>55569.599999999999</v>
      </c>
      <c r="E13037" s="107">
        <v>24.041</v>
      </c>
      <c r="F13037" s="106">
        <f t="shared" ref="F13037:F13038" si="640">+B13037*(D13037)/E13037</f>
        <v>2311.4512707458093</v>
      </c>
      <c r="G13037" s="81"/>
      <c r="H13037" s="81"/>
      <c r="I13037" s="81"/>
      <c r="J13037" s="81"/>
      <c r="K13037" s="81"/>
      <c r="L13037" s="81"/>
      <c r="M13037" s="81"/>
      <c r="N13037" s="81"/>
    </row>
    <row r="13038" spans="1:14" ht="14.25" customHeight="1" x14ac:dyDescent="0.25">
      <c r="A13038" s="122" t="s">
        <v>594</v>
      </c>
      <c r="B13038" s="127">
        <v>1</v>
      </c>
      <c r="C13038" s="101">
        <v>52538</v>
      </c>
      <c r="D13038" s="101">
        <f t="shared" si="639"/>
        <v>89314.599999999991</v>
      </c>
      <c r="E13038" s="107">
        <f>E13037</f>
        <v>24.041</v>
      </c>
      <c r="F13038" s="106">
        <f t="shared" si="640"/>
        <v>3715.0950459631458</v>
      </c>
      <c r="G13038" s="81"/>
      <c r="H13038" s="81"/>
      <c r="I13038" s="81"/>
      <c r="J13038" s="81"/>
      <c r="K13038" s="81"/>
      <c r="L13038" s="81"/>
      <c r="M13038" s="81"/>
      <c r="N13038" s="81"/>
    </row>
    <row r="13039" spans="1:14" ht="14.25" customHeight="1" x14ac:dyDescent="0.25">
      <c r="A13039" s="122"/>
      <c r="B13039" s="127"/>
      <c r="C13039" s="101"/>
      <c r="D13039" s="101"/>
      <c r="E13039" s="105"/>
      <c r="F13039" s="106"/>
      <c r="G13039" s="81"/>
      <c r="H13039" s="81"/>
      <c r="I13039" s="81"/>
      <c r="J13039" s="81"/>
      <c r="K13039" s="81"/>
      <c r="L13039" s="81"/>
      <c r="M13039" s="81"/>
      <c r="N13039" s="81"/>
    </row>
    <row r="13040" spans="1:14" ht="14.25" customHeight="1" x14ac:dyDescent="0.25">
      <c r="A13040" s="122"/>
      <c r="B13040" s="127"/>
      <c r="C13040" s="101"/>
      <c r="D13040" s="101"/>
      <c r="E13040" s="125"/>
      <c r="F13040" s="106"/>
      <c r="G13040" s="81"/>
      <c r="H13040" s="81"/>
      <c r="I13040" s="81"/>
      <c r="J13040" s="81"/>
      <c r="K13040" s="81"/>
      <c r="L13040" s="81"/>
      <c r="M13040" s="81"/>
      <c r="N13040" s="81"/>
    </row>
    <row r="13041" spans="1:14" ht="14.25" customHeight="1" x14ac:dyDescent="0.25">
      <c r="A13041" s="97" t="s">
        <v>548</v>
      </c>
      <c r="B13041" s="128"/>
      <c r="C13041" s="110"/>
      <c r="D13041" s="110"/>
      <c r="E13041" s="110"/>
      <c r="F13041" s="112">
        <f>SUM(F13037:F13040)</f>
        <v>6026.5463167089547</v>
      </c>
      <c r="G13041" s="81"/>
      <c r="H13041" s="81"/>
      <c r="I13041" s="81"/>
      <c r="J13041" s="81"/>
      <c r="K13041" s="81"/>
      <c r="L13041" s="81"/>
      <c r="M13041" s="81"/>
      <c r="N13041" s="81"/>
    </row>
    <row r="13042" spans="1:14" ht="14.25" customHeight="1" x14ac:dyDescent="0.25">
      <c r="A13042" s="96"/>
      <c r="B13042" s="129"/>
      <c r="C13042" s="118"/>
      <c r="D13042" s="118"/>
      <c r="E13042" s="118"/>
      <c r="F13042" s="118"/>
      <c r="G13042" s="81"/>
      <c r="H13042" s="81"/>
      <c r="I13042" s="81"/>
      <c r="J13042" s="81"/>
      <c r="K13042" s="81"/>
      <c r="L13042" s="81"/>
      <c r="M13042" s="81"/>
      <c r="N13042" s="81"/>
    </row>
    <row r="13043" spans="1:14" ht="14.25" customHeight="1" x14ac:dyDescent="0.25">
      <c r="A13043" s="95" t="s">
        <v>583</v>
      </c>
      <c r="B13043" s="96"/>
      <c r="C13043" s="92"/>
      <c r="D13043" s="92"/>
      <c r="E13043" s="92" t="s">
        <v>584</v>
      </c>
      <c r="F13043" s="92"/>
      <c r="G13043" s="81"/>
      <c r="H13043" s="117"/>
      <c r="I13043" s="81"/>
      <c r="J13043" s="81"/>
      <c r="K13043" s="81"/>
      <c r="L13043" s="81"/>
      <c r="M13043" s="81"/>
      <c r="N13043" s="81"/>
    </row>
    <row r="13044" spans="1:14" ht="14.25" customHeight="1" x14ac:dyDescent="0.25">
      <c r="A13044" s="97" t="s">
        <v>563</v>
      </c>
      <c r="B13044" s="98" t="s">
        <v>564</v>
      </c>
      <c r="C13044" s="98" t="s">
        <v>585</v>
      </c>
      <c r="D13044" s="98" t="s">
        <v>586</v>
      </c>
      <c r="E13044" s="120" t="s">
        <v>587</v>
      </c>
      <c r="F13044" s="98" t="s">
        <v>568</v>
      </c>
      <c r="G13044" s="81"/>
      <c r="H13044" s="81"/>
      <c r="I13044" s="81"/>
      <c r="J13044" s="81"/>
      <c r="K13044" s="81"/>
      <c r="L13044" s="81"/>
      <c r="M13044" s="81"/>
      <c r="N13044" s="81"/>
    </row>
    <row r="13045" spans="1:14" ht="14.25" customHeight="1" x14ac:dyDescent="0.25">
      <c r="A13045" s="103"/>
      <c r="B13045" s="100"/>
      <c r="C13045" s="101"/>
      <c r="D13045" s="140"/>
      <c r="E13045" s="107"/>
      <c r="F13045" s="109"/>
      <c r="G13045" s="81"/>
      <c r="H13045" s="81"/>
      <c r="I13045" s="81"/>
      <c r="J13045" s="81"/>
      <c r="K13045" s="81"/>
      <c r="L13045" s="81"/>
      <c r="M13045" s="81"/>
      <c r="N13045" s="81"/>
    </row>
    <row r="13046" spans="1:14" ht="14.25" customHeight="1" x14ac:dyDescent="0.25">
      <c r="A13046" s="103"/>
      <c r="B13046" s="100"/>
      <c r="C13046" s="107"/>
      <c r="D13046" s="107"/>
      <c r="E13046" s="108"/>
      <c r="F13046" s="109"/>
      <c r="G13046" s="81"/>
      <c r="H13046" s="81"/>
      <c r="I13046" s="81"/>
      <c r="J13046" s="81"/>
      <c r="K13046" s="81"/>
      <c r="L13046" s="81"/>
      <c r="M13046" s="81"/>
      <c r="N13046" s="81"/>
    </row>
    <row r="13047" spans="1:14" ht="14.25" customHeight="1" x14ac:dyDescent="0.25">
      <c r="A13047" s="97" t="s">
        <v>548</v>
      </c>
      <c r="B13047" s="98"/>
      <c r="C13047" s="110"/>
      <c r="D13047" s="110"/>
      <c r="E13047" s="111"/>
      <c r="F13047" s="112">
        <f>SUM(F13045:F13046)</f>
        <v>0</v>
      </c>
      <c r="G13047" s="81"/>
      <c r="H13047" s="81"/>
      <c r="I13047" s="81"/>
      <c r="J13047" s="81"/>
      <c r="K13047" s="81"/>
      <c r="L13047" s="81"/>
      <c r="M13047" s="81"/>
      <c r="N13047" s="81"/>
    </row>
    <row r="13048" spans="1:14" ht="14.25" customHeight="1" x14ac:dyDescent="0.25">
      <c r="A13048" s="88"/>
      <c r="B13048" s="89"/>
      <c r="C13048" s="113"/>
      <c r="D13048" s="113"/>
      <c r="E13048" s="114"/>
      <c r="F13048" s="113"/>
      <c r="G13048" s="81"/>
      <c r="H13048" s="81"/>
      <c r="I13048" s="81"/>
      <c r="J13048" s="81"/>
      <c r="K13048" s="81"/>
      <c r="L13048" s="81"/>
      <c r="M13048" s="81"/>
      <c r="N13048" s="81"/>
    </row>
    <row r="13049" spans="1:14" ht="14.25" customHeight="1" x14ac:dyDescent="0.25">
      <c r="A13049" s="88"/>
      <c r="B13049" s="89"/>
      <c r="C13049" s="113"/>
      <c r="D13049" s="113"/>
      <c r="E13049" s="114"/>
      <c r="F13049" s="113"/>
      <c r="G13049" s="81"/>
      <c r="H13049" s="81"/>
      <c r="I13049" s="81"/>
      <c r="J13049" s="81"/>
      <c r="K13049" s="81"/>
      <c r="L13049" s="81"/>
      <c r="M13049" s="81"/>
      <c r="N13049" s="81"/>
    </row>
    <row r="13050" spans="1:14" ht="14.25" customHeight="1" x14ac:dyDescent="0.25">
      <c r="A13050" s="612" t="s">
        <v>588</v>
      </c>
      <c r="B13050" s="608"/>
      <c r="C13050" s="608"/>
      <c r="D13050" s="608"/>
      <c r="E13050" s="609"/>
      <c r="F13050" s="131">
        <f>ROUND(F13020+F13033+F13041+F13047,0)</f>
        <v>26015</v>
      </c>
      <c r="G13050" s="81"/>
      <c r="H13050" s="81"/>
      <c r="I13050" s="81"/>
      <c r="J13050" s="81"/>
      <c r="K13050" s="81"/>
      <c r="L13050" s="81"/>
      <c r="M13050" s="81"/>
      <c r="N13050" s="81"/>
    </row>
    <row r="13051" spans="1:14" ht="14.25" customHeight="1" x14ac:dyDescent="0.25">
      <c r="A13051" s="612" t="s">
        <v>589</v>
      </c>
      <c r="B13051" s="608"/>
      <c r="C13051" s="608"/>
      <c r="D13051" s="608"/>
      <c r="E13051" s="609"/>
      <c r="F13051" s="132"/>
      <c r="G13051" s="81"/>
      <c r="H13051" s="81"/>
      <c r="I13051" s="81"/>
      <c r="J13051" s="81"/>
      <c r="K13051" s="81"/>
      <c r="L13051" s="81"/>
      <c r="M13051" s="81"/>
      <c r="N13051" s="81"/>
    </row>
    <row r="13052" spans="1:14" ht="14.25" customHeight="1" x14ac:dyDescent="0.25">
      <c r="A13052" s="146" t="s">
        <v>556</v>
      </c>
      <c r="B13052" s="147"/>
      <c r="C13052" s="147"/>
      <c r="D13052" s="147"/>
      <c r="E13052" s="148"/>
      <c r="F13052" s="133"/>
      <c r="G13052" s="81"/>
      <c r="H13052" s="81"/>
      <c r="I13052" s="81"/>
      <c r="J13052" s="81"/>
      <c r="K13052" s="81"/>
      <c r="L13052" s="81"/>
      <c r="M13052" s="81"/>
      <c r="N13052" s="81"/>
    </row>
    <row r="13053" spans="1:14" ht="14.25" customHeight="1" x14ac:dyDescent="0.25">
      <c r="A13053" s="134"/>
      <c r="B13053" s="135"/>
      <c r="C13053" s="135"/>
      <c r="D13053" s="135"/>
      <c r="E13053" s="135"/>
      <c r="F13053" s="136"/>
      <c r="G13053" s="81"/>
      <c r="H13053" s="81"/>
      <c r="I13053" s="81"/>
      <c r="J13053" s="81"/>
      <c r="K13053" s="81"/>
      <c r="L13053" s="81"/>
      <c r="M13053" s="81"/>
      <c r="N13053" s="81"/>
    </row>
    <row r="13054" spans="1:14" ht="14.25" customHeight="1" x14ac:dyDescent="0.25">
      <c r="A13054" s="81"/>
      <c r="B13054" s="81"/>
      <c r="C13054" s="137"/>
      <c r="D13054" s="81"/>
      <c r="E13054" s="81"/>
      <c r="F13054" s="81"/>
      <c r="G13054" s="81"/>
      <c r="H13054" s="81"/>
      <c r="I13054" s="81"/>
      <c r="J13054" s="81"/>
      <c r="K13054" s="81"/>
      <c r="L13054" s="81"/>
      <c r="M13054" s="81"/>
      <c r="N13054" s="81"/>
    </row>
    <row r="13055" spans="1:14" ht="14.25" customHeight="1" x14ac:dyDescent="0.25">
      <c r="A13055" s="81"/>
      <c r="B13055" s="81"/>
      <c r="C13055" s="137"/>
      <c r="D13055" s="81"/>
      <c r="E13055" s="81"/>
      <c r="F13055" s="81"/>
      <c r="G13055" s="81"/>
      <c r="H13055" s="81"/>
      <c r="I13055" s="81"/>
      <c r="J13055" s="81"/>
      <c r="K13055" s="81"/>
      <c r="L13055" s="81"/>
      <c r="M13055" s="81"/>
      <c r="N13055" s="81"/>
    </row>
    <row r="13056" spans="1:14" ht="14.25" customHeight="1" x14ac:dyDescent="0.25">
      <c r="A13056" s="81"/>
      <c r="B13056" s="81"/>
      <c r="C13056" s="137"/>
      <c r="D13056" s="81"/>
      <c r="E13056" s="81"/>
      <c r="F13056" s="81"/>
      <c r="G13056" s="81"/>
      <c r="H13056" s="81"/>
      <c r="I13056" s="81"/>
      <c r="J13056" s="81"/>
      <c r="K13056" s="81"/>
      <c r="L13056" s="81"/>
      <c r="M13056" s="81"/>
      <c r="N13056" s="81"/>
    </row>
    <row r="13057" spans="1:14" ht="14.25" customHeight="1" x14ac:dyDescent="0.25">
      <c r="A13057" s="81"/>
      <c r="B13057" s="81"/>
      <c r="C13057" s="137"/>
      <c r="D13057" s="81"/>
      <c r="E13057" s="81"/>
      <c r="F13057" s="81"/>
      <c r="G13057" s="81"/>
      <c r="H13057" s="81"/>
      <c r="I13057" s="81"/>
      <c r="J13057" s="81"/>
      <c r="K13057" s="81"/>
      <c r="L13057" s="81"/>
      <c r="M13057" s="81"/>
      <c r="N13057" s="81"/>
    </row>
    <row r="13058" spans="1:14" ht="14.25" customHeight="1" x14ac:dyDescent="0.25">
      <c r="A13058" s="134"/>
      <c r="B13058" s="135"/>
      <c r="C13058" s="135"/>
      <c r="D13058" s="135"/>
      <c r="E13058" s="135"/>
      <c r="F13058" s="136"/>
      <c r="G13058" s="81"/>
      <c r="H13058" s="81"/>
      <c r="I13058" s="81"/>
      <c r="J13058" s="81"/>
      <c r="K13058" s="81"/>
      <c r="L13058" s="81"/>
      <c r="M13058" s="81"/>
      <c r="N13058" s="81"/>
    </row>
    <row r="13059" spans="1:14" ht="14.25" customHeight="1" x14ac:dyDescent="0.25">
      <c r="A13059" s="134"/>
      <c r="B13059" s="135"/>
      <c r="C13059" s="135"/>
      <c r="D13059" s="135"/>
      <c r="E13059" s="135"/>
      <c r="F13059" s="136"/>
      <c r="G13059" s="81"/>
      <c r="H13059" s="81"/>
      <c r="I13059" s="81"/>
      <c r="J13059" s="81"/>
      <c r="K13059" s="81"/>
      <c r="L13059" s="81"/>
      <c r="M13059" s="81"/>
      <c r="N13059" s="81"/>
    </row>
    <row r="13060" spans="1:14" ht="24" customHeight="1" x14ac:dyDescent="0.25">
      <c r="A13060" s="134"/>
      <c r="B13060" s="135"/>
      <c r="C13060" s="135"/>
      <c r="D13060" s="135"/>
      <c r="E13060" s="135"/>
      <c r="F13060" s="135"/>
      <c r="G13060" s="81"/>
      <c r="H13060" s="81"/>
      <c r="I13060" s="81"/>
      <c r="J13060" s="81"/>
      <c r="K13060" s="81"/>
      <c r="L13060" s="81"/>
      <c r="M13060" s="81"/>
      <c r="N13060" s="81"/>
    </row>
    <row r="13061" spans="1:14" ht="14.25" customHeight="1" thickBot="1" x14ac:dyDescent="0.3">
      <c r="A13061" s="81"/>
      <c r="B13061" s="81"/>
      <c r="C13061" s="81"/>
      <c r="D13061" s="81"/>
      <c r="E13061" s="81"/>
      <c r="F13061" s="81"/>
      <c r="G13061" s="81"/>
      <c r="H13061" s="81"/>
      <c r="I13061" s="81"/>
      <c r="J13061" s="81"/>
      <c r="K13061" s="81"/>
      <c r="L13061" s="81"/>
      <c r="M13061" s="81"/>
      <c r="N13061" s="81"/>
    </row>
    <row r="13062" spans="1:14" ht="14.25" customHeight="1" x14ac:dyDescent="0.25">
      <c r="A13062" s="83"/>
      <c r="B13062" s="84"/>
      <c r="C13062" s="85"/>
      <c r="D13062" s="86"/>
      <c r="E13062" s="86"/>
      <c r="F13062" s="87"/>
      <c r="G13062" s="81"/>
      <c r="H13062" s="81"/>
      <c r="I13062" s="81"/>
      <c r="J13062" s="81"/>
      <c r="K13062" s="81"/>
      <c r="L13062" s="81"/>
      <c r="M13062" s="81"/>
      <c r="N13062" s="81"/>
    </row>
    <row r="13063" spans="1:14" ht="14.25" customHeight="1" x14ac:dyDescent="0.25">
      <c r="A13063" s="599"/>
      <c r="B13063" s="600"/>
      <c r="C13063" s="600"/>
      <c r="D13063" s="600"/>
      <c r="E13063" s="600"/>
      <c r="F13063" s="601"/>
      <c r="G13063" s="81"/>
      <c r="H13063" s="81"/>
      <c r="I13063" s="81"/>
      <c r="J13063" s="81"/>
      <c r="K13063" s="81"/>
      <c r="L13063" s="81"/>
      <c r="M13063" s="81"/>
      <c r="N13063" s="81"/>
    </row>
    <row r="13064" spans="1:14" ht="14.25" customHeight="1" x14ac:dyDescent="0.25">
      <c r="A13064" s="602" t="s">
        <v>561</v>
      </c>
      <c r="B13064" s="600"/>
      <c r="C13064" s="600"/>
      <c r="D13064" s="600"/>
      <c r="E13064" s="600"/>
      <c r="F13064" s="601"/>
      <c r="G13064" s="81"/>
      <c r="H13064" s="81"/>
      <c r="I13064" s="81"/>
      <c r="J13064" s="81"/>
      <c r="K13064" s="81"/>
      <c r="L13064" s="81"/>
      <c r="M13064" s="81"/>
      <c r="N13064" s="81"/>
    </row>
    <row r="13065" spans="1:14" ht="14.25" customHeight="1" thickBot="1" x14ac:dyDescent="0.3">
      <c r="A13065" s="603"/>
      <c r="B13065" s="604"/>
      <c r="C13065" s="604"/>
      <c r="D13065" s="604"/>
      <c r="E13065" s="604"/>
      <c r="F13065" s="605"/>
      <c r="G13065" s="81"/>
      <c r="H13065" s="81"/>
      <c r="I13065" s="81"/>
      <c r="J13065" s="81"/>
      <c r="K13065" s="81"/>
      <c r="L13065" s="81"/>
      <c r="M13065" s="81"/>
      <c r="N13065" s="81"/>
    </row>
    <row r="13066" spans="1:14" ht="15.75" x14ac:dyDescent="0.25">
      <c r="A13066" s="88"/>
      <c r="B13066" s="88"/>
      <c r="C13066" s="89"/>
      <c r="D13066" s="89"/>
      <c r="E13066" s="89"/>
      <c r="F13066" s="89"/>
      <c r="G13066" s="81"/>
      <c r="H13066" s="81"/>
      <c r="I13066" s="81"/>
      <c r="J13066" s="81"/>
      <c r="K13066" s="81"/>
      <c r="L13066" s="81"/>
      <c r="M13066" s="81"/>
      <c r="N13066" s="81"/>
    </row>
    <row r="13067" spans="1:14" ht="14.25" customHeight="1" x14ac:dyDescent="0.25">
      <c r="A13067" s="90" t="s">
        <v>47</v>
      </c>
      <c r="B13067" s="613" t="s">
        <v>448</v>
      </c>
      <c r="C13067" s="600"/>
      <c r="D13067" s="600"/>
      <c r="E13067" s="600"/>
      <c r="F13067" s="600"/>
      <c r="G13067" s="81"/>
      <c r="H13067" s="81"/>
      <c r="I13067" s="81"/>
      <c r="J13067" s="81"/>
      <c r="K13067" s="81"/>
      <c r="L13067" s="81"/>
      <c r="M13067" s="81"/>
      <c r="N13067" s="81"/>
    </row>
    <row r="13068" spans="1:14" ht="14.25" customHeight="1" x14ac:dyDescent="0.25">
      <c r="A13068" s="91"/>
      <c r="B13068" s="91"/>
      <c r="C13068" s="91"/>
      <c r="D13068" s="91"/>
      <c r="E13068" s="91"/>
      <c r="F13068" s="91"/>
      <c r="G13068" s="81"/>
      <c r="H13068" s="81"/>
      <c r="I13068" s="81"/>
      <c r="J13068" s="81"/>
      <c r="K13068" s="81"/>
      <c r="L13068" s="81"/>
      <c r="M13068" s="81"/>
      <c r="N13068" s="81"/>
    </row>
    <row r="13069" spans="1:14" ht="14.25" customHeight="1" x14ac:dyDescent="0.25">
      <c r="A13069" s="88" t="s">
        <v>49</v>
      </c>
      <c r="B13069" s="92" t="s">
        <v>59</v>
      </c>
      <c r="C13069" s="89"/>
      <c r="D13069" s="89"/>
      <c r="E13069" s="89"/>
      <c r="F13069" s="93"/>
      <c r="G13069" s="81"/>
      <c r="H13069" s="81"/>
      <c r="I13069" s="81"/>
      <c r="J13069" s="81"/>
      <c r="K13069" s="81"/>
      <c r="L13069" s="81"/>
      <c r="M13069" s="81"/>
      <c r="N13069" s="81"/>
    </row>
    <row r="13070" spans="1:14" ht="14.25" customHeight="1" x14ac:dyDescent="0.25">
      <c r="A13070" s="88"/>
      <c r="B13070" s="94"/>
      <c r="C13070" s="89"/>
      <c r="D13070" s="89"/>
      <c r="E13070" s="89"/>
      <c r="F13070" s="93"/>
      <c r="G13070" s="81"/>
      <c r="H13070" s="81"/>
      <c r="I13070" s="81"/>
      <c r="J13070" s="81"/>
      <c r="K13070" s="81"/>
      <c r="L13070" s="81"/>
      <c r="M13070" s="81"/>
      <c r="N13070" s="81"/>
    </row>
    <row r="13071" spans="1:14" ht="14.25" customHeight="1" x14ac:dyDescent="0.25">
      <c r="A13071" s="95" t="s">
        <v>562</v>
      </c>
      <c r="B13071" s="96"/>
      <c r="C13071" s="92"/>
      <c r="D13071" s="92"/>
      <c r="E13071" s="92"/>
      <c r="F13071" s="92"/>
      <c r="G13071" s="81"/>
      <c r="H13071" s="81"/>
      <c r="I13071" s="81"/>
      <c r="J13071" s="81"/>
      <c r="K13071" s="81"/>
      <c r="L13071" s="81"/>
      <c r="M13071" s="81"/>
      <c r="N13071" s="81"/>
    </row>
    <row r="13072" spans="1:14" ht="14.25" customHeight="1" x14ac:dyDescent="0.25">
      <c r="A13072" s="97" t="s">
        <v>563</v>
      </c>
      <c r="B13072" s="98" t="s">
        <v>564</v>
      </c>
      <c r="C13072" s="98" t="s">
        <v>565</v>
      </c>
      <c r="D13072" s="98" t="s">
        <v>566</v>
      </c>
      <c r="E13072" s="98" t="s">
        <v>567</v>
      </c>
      <c r="F13072" s="98" t="s">
        <v>568</v>
      </c>
      <c r="G13072" s="81"/>
      <c r="H13072" s="81"/>
      <c r="I13072" s="81"/>
      <c r="J13072" s="81"/>
      <c r="K13072" s="81"/>
      <c r="L13072" s="81"/>
      <c r="M13072" s="81"/>
      <c r="N13072" s="81"/>
    </row>
    <row r="13073" spans="1:14" ht="14.25" customHeight="1" x14ac:dyDescent="0.25">
      <c r="A13073" s="99" t="s">
        <v>877</v>
      </c>
      <c r="B13073" s="100" t="s">
        <v>59</v>
      </c>
      <c r="C13073" s="101">
        <v>53950</v>
      </c>
      <c r="D13073" s="149">
        <v>1</v>
      </c>
      <c r="E13073" s="102">
        <v>0.05</v>
      </c>
      <c r="F13073" s="101">
        <f t="shared" ref="F13073:F13076" si="641">C13073*(D13073+(D13073*E13073))</f>
        <v>56647.5</v>
      </c>
      <c r="G13073" s="81"/>
      <c r="H13073" s="81"/>
      <c r="I13073" s="81"/>
      <c r="J13073" s="81"/>
      <c r="K13073" s="81"/>
      <c r="L13073" s="81"/>
      <c r="M13073" s="81"/>
      <c r="N13073" s="81"/>
    </row>
    <row r="13074" spans="1:14" ht="14.25" customHeight="1" x14ac:dyDescent="0.25">
      <c r="A13074" s="99"/>
      <c r="B13074" s="100"/>
      <c r="C13074" s="101"/>
      <c r="D13074" s="149"/>
      <c r="E13074" s="102"/>
      <c r="F13074" s="101">
        <f t="shared" si="641"/>
        <v>0</v>
      </c>
      <c r="G13074" s="81"/>
      <c r="H13074" s="81"/>
      <c r="I13074" s="81"/>
      <c r="J13074" s="81"/>
      <c r="K13074" s="81"/>
      <c r="L13074" s="81"/>
      <c r="M13074" s="81"/>
      <c r="N13074" s="81"/>
    </row>
    <row r="13075" spans="1:14" ht="14.25" customHeight="1" x14ac:dyDescent="0.25">
      <c r="A13075" s="99"/>
      <c r="B13075" s="100"/>
      <c r="C13075" s="101"/>
      <c r="D13075" s="149"/>
      <c r="E13075" s="102"/>
      <c r="F13075" s="101">
        <f t="shared" si="641"/>
        <v>0</v>
      </c>
      <c r="G13075" s="81"/>
      <c r="H13075" s="81"/>
      <c r="I13075" s="81"/>
      <c r="J13075" s="81"/>
      <c r="K13075" s="81"/>
      <c r="L13075" s="81"/>
      <c r="M13075" s="81"/>
      <c r="N13075" s="81"/>
    </row>
    <row r="13076" spans="1:14" ht="14.25" customHeight="1" x14ac:dyDescent="0.25">
      <c r="A13076" s="99"/>
      <c r="B13076" s="100"/>
      <c r="C13076" s="101"/>
      <c r="D13076" s="149"/>
      <c r="E13076" s="102"/>
      <c r="F13076" s="101">
        <f t="shared" si="641"/>
        <v>0</v>
      </c>
      <c r="G13076" s="81"/>
      <c r="H13076" s="81"/>
      <c r="I13076" s="81"/>
      <c r="J13076" s="81"/>
      <c r="K13076" s="81"/>
      <c r="L13076" s="81"/>
      <c r="M13076" s="81"/>
      <c r="N13076" s="81"/>
    </row>
    <row r="13077" spans="1:14" ht="14.25" customHeight="1" x14ac:dyDescent="0.25">
      <c r="A13077" s="99"/>
      <c r="B13077" s="100"/>
      <c r="C13077" s="101"/>
      <c r="D13077" s="149"/>
      <c r="E13077" s="102"/>
      <c r="F13077" s="101"/>
      <c r="G13077" s="81"/>
      <c r="H13077" s="81"/>
      <c r="I13077" s="81"/>
      <c r="J13077" s="81"/>
      <c r="K13077" s="81"/>
      <c r="L13077" s="81"/>
      <c r="M13077" s="81"/>
      <c r="N13077" s="81"/>
    </row>
    <row r="13078" spans="1:14" ht="14.25" customHeight="1" x14ac:dyDescent="0.25">
      <c r="A13078" s="99"/>
      <c r="B13078" s="100"/>
      <c r="C13078" s="101"/>
      <c r="D13078" s="149"/>
      <c r="E13078" s="102"/>
      <c r="F13078" s="101"/>
      <c r="G13078" s="81"/>
      <c r="H13078" s="81"/>
      <c r="I13078" s="81"/>
      <c r="J13078" s="81"/>
      <c r="K13078" s="81"/>
      <c r="L13078" s="81"/>
      <c r="M13078" s="81"/>
      <c r="N13078" s="81"/>
    </row>
    <row r="13079" spans="1:14" ht="14.25" customHeight="1" x14ac:dyDescent="0.25">
      <c r="A13079" s="99"/>
      <c r="B13079" s="100"/>
      <c r="C13079" s="101"/>
      <c r="D13079" s="149"/>
      <c r="E13079" s="102"/>
      <c r="F13079" s="101"/>
      <c r="G13079" s="81"/>
      <c r="H13079" s="81"/>
      <c r="I13079" s="81"/>
      <c r="J13079" s="81"/>
      <c r="K13079" s="81"/>
      <c r="L13079" s="81"/>
      <c r="M13079" s="81"/>
      <c r="N13079" s="81"/>
    </row>
    <row r="13080" spans="1:14" ht="14.25" customHeight="1" x14ac:dyDescent="0.25">
      <c r="A13080" s="99"/>
      <c r="B13080" s="100"/>
      <c r="C13080" s="106"/>
      <c r="D13080" s="107"/>
      <c r="E13080" s="108"/>
      <c r="F13080" s="106"/>
      <c r="G13080" s="81"/>
      <c r="H13080" s="81"/>
      <c r="I13080" s="81"/>
      <c r="J13080" s="81"/>
      <c r="K13080" s="81"/>
      <c r="L13080" s="81"/>
      <c r="M13080" s="81"/>
      <c r="N13080" s="81"/>
    </row>
    <row r="13081" spans="1:14" ht="14.25" customHeight="1" x14ac:dyDescent="0.25">
      <c r="A13081" s="97" t="s">
        <v>548</v>
      </c>
      <c r="B13081" s="97"/>
      <c r="C13081" s="109"/>
      <c r="D13081" s="110"/>
      <c r="E13081" s="111"/>
      <c r="F13081" s="112">
        <f>SUM(F13073:F13080)</f>
        <v>56647.5</v>
      </c>
      <c r="G13081" s="81"/>
      <c r="H13081" s="81"/>
      <c r="I13081" s="81"/>
      <c r="J13081" s="81"/>
      <c r="K13081" s="81"/>
      <c r="L13081" s="81"/>
      <c r="M13081" s="81"/>
      <c r="N13081" s="81"/>
    </row>
    <row r="13082" spans="1:14" ht="14.25" customHeight="1" x14ac:dyDescent="0.25">
      <c r="A13082" s="88"/>
      <c r="B13082" s="88"/>
      <c r="C13082" s="113"/>
      <c r="D13082" s="113"/>
      <c r="E13082" s="114"/>
      <c r="F13082" s="113"/>
      <c r="G13082" s="81"/>
      <c r="H13082" s="81"/>
      <c r="I13082" s="81"/>
      <c r="J13082" s="81"/>
      <c r="K13082" s="81"/>
      <c r="L13082" s="81"/>
      <c r="M13082" s="81"/>
      <c r="N13082" s="81"/>
    </row>
    <row r="13083" spans="1:14" ht="14.25" customHeight="1" x14ac:dyDescent="0.25">
      <c r="A13083" s="96" t="s">
        <v>573</v>
      </c>
      <c r="B13083" s="96"/>
      <c r="C13083" s="92"/>
      <c r="D13083" s="92"/>
      <c r="E13083" s="92"/>
      <c r="F13083" s="92"/>
      <c r="G13083" s="81"/>
      <c r="H13083" s="81"/>
      <c r="I13083" s="81"/>
      <c r="J13083" s="81"/>
      <c r="K13083" s="81"/>
      <c r="L13083" s="81"/>
      <c r="M13083" s="81"/>
      <c r="N13083" s="81"/>
    </row>
    <row r="13084" spans="1:14" ht="14.25" customHeight="1" x14ac:dyDescent="0.25">
      <c r="A13084" s="611" t="s">
        <v>563</v>
      </c>
      <c r="B13084" s="608"/>
      <c r="C13084" s="609"/>
      <c r="D13084" s="98" t="s">
        <v>574</v>
      </c>
      <c r="E13084" s="98" t="s">
        <v>575</v>
      </c>
      <c r="F13084" s="98" t="s">
        <v>568</v>
      </c>
      <c r="G13084" s="81"/>
      <c r="H13084" s="81"/>
      <c r="I13084" s="81"/>
      <c r="J13084" s="81"/>
      <c r="K13084" s="81"/>
      <c r="L13084" s="81"/>
      <c r="M13084" s="81"/>
      <c r="N13084" s="81"/>
    </row>
    <row r="13085" spans="1:14" ht="14.25" customHeight="1" x14ac:dyDescent="0.25">
      <c r="A13085" s="607" t="s">
        <v>577</v>
      </c>
      <c r="B13085" s="608"/>
      <c r="C13085" s="609"/>
      <c r="D13085" s="116"/>
      <c r="E13085" s="107"/>
      <c r="F13085" s="106">
        <f>+F13102*5%</f>
        <v>382.90660182884932</v>
      </c>
      <c r="G13085" s="81"/>
      <c r="H13085" s="81"/>
      <c r="I13085" s="81"/>
      <c r="J13085" s="81"/>
      <c r="K13085" s="81"/>
      <c r="L13085" s="81"/>
      <c r="M13085" s="81"/>
      <c r="N13085" s="81"/>
    </row>
    <row r="13086" spans="1:14" ht="14.25" customHeight="1" x14ac:dyDescent="0.25">
      <c r="A13086" s="607"/>
      <c r="B13086" s="608"/>
      <c r="C13086" s="609"/>
      <c r="D13086" s="142"/>
      <c r="E13086" s="105"/>
      <c r="F13086" s="106"/>
      <c r="G13086" s="81"/>
      <c r="H13086" s="81"/>
      <c r="I13086" s="81"/>
      <c r="J13086" s="81"/>
      <c r="K13086" s="81"/>
      <c r="L13086" s="81"/>
      <c r="M13086" s="81"/>
      <c r="N13086" s="81"/>
    </row>
    <row r="13087" spans="1:14" ht="14.25" customHeight="1" x14ac:dyDescent="0.25">
      <c r="A13087" s="607"/>
      <c r="B13087" s="608"/>
      <c r="C13087" s="609"/>
      <c r="D13087" s="142"/>
      <c r="E13087" s="105"/>
      <c r="F13087" s="106"/>
      <c r="G13087" s="81"/>
      <c r="H13087" s="81"/>
      <c r="I13087" s="81"/>
      <c r="J13087" s="81"/>
      <c r="K13087" s="81"/>
      <c r="L13087" s="81"/>
      <c r="M13087" s="81"/>
      <c r="N13087" s="81"/>
    </row>
    <row r="13088" spans="1:14" ht="14.25" customHeight="1" x14ac:dyDescent="0.25">
      <c r="A13088" s="607"/>
      <c r="B13088" s="608"/>
      <c r="C13088" s="609"/>
      <c r="D13088" s="142"/>
      <c r="E13088" s="107"/>
      <c r="F13088" s="106"/>
      <c r="G13088" s="81"/>
      <c r="H13088" s="81"/>
      <c r="I13088" s="81"/>
      <c r="J13088" s="81"/>
      <c r="K13088" s="81"/>
      <c r="L13088" s="81"/>
      <c r="M13088" s="81"/>
      <c r="N13088" s="81"/>
    </row>
    <row r="13089" spans="1:14" ht="14.25" customHeight="1" x14ac:dyDescent="0.25">
      <c r="A13089" s="607"/>
      <c r="B13089" s="608"/>
      <c r="C13089" s="609"/>
      <c r="D13089" s="142"/>
      <c r="E13089" s="107"/>
      <c r="F13089" s="106"/>
      <c r="G13089" s="81"/>
      <c r="H13089" s="81"/>
      <c r="I13089" s="81"/>
      <c r="J13089" s="81"/>
      <c r="K13089" s="81"/>
      <c r="L13089" s="81"/>
      <c r="M13089" s="81"/>
      <c r="N13089" s="81"/>
    </row>
    <row r="13090" spans="1:14" ht="14.25" customHeight="1" x14ac:dyDescent="0.25">
      <c r="A13090" s="607"/>
      <c r="B13090" s="608"/>
      <c r="C13090" s="609"/>
      <c r="D13090" s="142"/>
      <c r="E13090" s="107"/>
      <c r="F13090" s="106"/>
      <c r="G13090" s="81"/>
      <c r="H13090" s="81"/>
      <c r="I13090" s="81"/>
      <c r="J13090" s="81"/>
      <c r="K13090" s="81"/>
      <c r="L13090" s="81"/>
      <c r="M13090" s="81"/>
      <c r="N13090" s="81"/>
    </row>
    <row r="13091" spans="1:14" ht="14.25" customHeight="1" x14ac:dyDescent="0.25">
      <c r="A13091" s="607"/>
      <c r="B13091" s="608"/>
      <c r="C13091" s="609"/>
      <c r="D13091" s="142"/>
      <c r="E13091" s="107"/>
      <c r="F13091" s="106"/>
      <c r="G13091" s="81"/>
      <c r="H13091" s="81"/>
      <c r="I13091" s="81"/>
      <c r="J13091" s="81"/>
      <c r="K13091" s="81"/>
      <c r="L13091" s="81"/>
      <c r="M13091" s="81"/>
      <c r="N13091" s="81"/>
    </row>
    <row r="13092" spans="1:14" ht="14.25" customHeight="1" x14ac:dyDescent="0.25">
      <c r="A13092" s="607"/>
      <c r="B13092" s="608"/>
      <c r="C13092" s="609"/>
      <c r="D13092" s="142"/>
      <c r="E13092" s="107"/>
      <c r="F13092" s="106"/>
      <c r="G13092" s="81"/>
      <c r="H13092" s="81"/>
      <c r="I13092" s="81"/>
      <c r="J13092" s="81"/>
      <c r="K13092" s="81"/>
      <c r="L13092" s="81"/>
      <c r="M13092" s="81"/>
      <c r="N13092" s="81"/>
    </row>
    <row r="13093" spans="1:14" ht="14.25" customHeight="1" x14ac:dyDescent="0.25">
      <c r="A13093" s="610"/>
      <c r="B13093" s="608"/>
      <c r="C13093" s="609"/>
      <c r="D13093" s="115"/>
      <c r="E13093" s="107"/>
      <c r="F13093" s="106"/>
      <c r="G13093" s="81"/>
      <c r="H13093" s="81"/>
      <c r="I13093" s="81"/>
      <c r="J13093" s="81"/>
      <c r="K13093" s="81"/>
      <c r="L13093" s="81"/>
      <c r="M13093" s="81"/>
      <c r="N13093" s="81"/>
    </row>
    <row r="13094" spans="1:14" ht="14.25" customHeight="1" x14ac:dyDescent="0.25">
      <c r="A13094" s="611" t="s">
        <v>548</v>
      </c>
      <c r="B13094" s="608"/>
      <c r="C13094" s="609"/>
      <c r="D13094" s="110"/>
      <c r="E13094" s="110"/>
      <c r="F13094" s="112">
        <f>SUM(F13085:F13092)</f>
        <v>382.90660182884932</v>
      </c>
      <c r="G13094" s="81"/>
      <c r="H13094" s="81"/>
      <c r="I13094" s="81"/>
      <c r="J13094" s="81"/>
      <c r="K13094" s="81"/>
      <c r="L13094" s="81"/>
      <c r="M13094" s="81"/>
      <c r="N13094" s="81"/>
    </row>
    <row r="13095" spans="1:14" ht="14.25" customHeight="1" x14ac:dyDescent="0.25">
      <c r="A13095" s="88"/>
      <c r="B13095" s="88"/>
      <c r="C13095" s="89"/>
      <c r="D13095" s="113"/>
      <c r="E13095" s="113"/>
      <c r="F13095" s="113"/>
      <c r="G13095" s="81"/>
      <c r="H13095" s="81"/>
      <c r="I13095" s="81"/>
      <c r="J13095" s="81"/>
      <c r="K13095" s="81"/>
      <c r="L13095" s="81"/>
      <c r="M13095" s="81"/>
      <c r="N13095" s="81"/>
    </row>
    <row r="13096" spans="1:14" ht="14.25" customHeight="1" x14ac:dyDescent="0.25">
      <c r="A13096" s="96" t="s">
        <v>578</v>
      </c>
      <c r="B13096" s="96"/>
      <c r="C13096" s="92"/>
      <c r="D13096" s="118"/>
      <c r="E13096" s="118"/>
      <c r="F13096" s="118"/>
      <c r="G13096" s="81"/>
      <c r="H13096" s="81"/>
      <c r="I13096" s="81"/>
      <c r="J13096" s="81"/>
      <c r="K13096" s="81"/>
      <c r="L13096" s="81"/>
      <c r="M13096" s="81"/>
      <c r="N13096" s="81"/>
    </row>
    <row r="13097" spans="1:14" ht="14.25" customHeight="1" x14ac:dyDescent="0.25">
      <c r="A13097" s="119" t="s">
        <v>563</v>
      </c>
      <c r="B13097" s="120" t="s">
        <v>579</v>
      </c>
      <c r="C13097" s="120" t="s">
        <v>580</v>
      </c>
      <c r="D13097" s="121" t="s">
        <v>581</v>
      </c>
      <c r="E13097" s="121" t="s">
        <v>575</v>
      </c>
      <c r="F13097" s="121" t="s">
        <v>568</v>
      </c>
      <c r="G13097" s="81"/>
      <c r="H13097" s="81"/>
      <c r="I13097" s="81"/>
      <c r="J13097" s="81"/>
      <c r="K13097" s="81"/>
      <c r="L13097" s="81"/>
      <c r="M13097" s="81"/>
      <c r="N13097" s="81"/>
    </row>
    <row r="13098" spans="1:14" ht="14.25" customHeight="1" x14ac:dyDescent="0.25">
      <c r="A13098" s="122" t="s">
        <v>593</v>
      </c>
      <c r="B13098" s="127">
        <v>1</v>
      </c>
      <c r="C13098" s="101">
        <v>32688</v>
      </c>
      <c r="D13098" s="101">
        <f t="shared" ref="D13098:D13099" si="642">+C13098*1.7</f>
        <v>55569.599999999999</v>
      </c>
      <c r="E13098" s="107">
        <v>18.919</v>
      </c>
      <c r="F13098" s="106">
        <f t="shared" ref="F13098:F13099" si="643">+B13098*(D13098)/E13098</f>
        <v>2937.2376975527245</v>
      </c>
      <c r="G13098" s="81"/>
      <c r="H13098" s="81"/>
      <c r="I13098" s="81"/>
      <c r="J13098" s="81"/>
      <c r="K13098" s="81"/>
      <c r="L13098" s="81"/>
      <c r="M13098" s="81"/>
      <c r="N13098" s="81"/>
    </row>
    <row r="13099" spans="1:14" ht="14.25" customHeight="1" x14ac:dyDescent="0.25">
      <c r="A13099" s="122" t="s">
        <v>594</v>
      </c>
      <c r="B13099" s="127">
        <v>1</v>
      </c>
      <c r="C13099" s="101">
        <v>52538</v>
      </c>
      <c r="D13099" s="101">
        <f t="shared" si="642"/>
        <v>89314.599999999991</v>
      </c>
      <c r="E13099" s="107">
        <f>E13098</f>
        <v>18.919</v>
      </c>
      <c r="F13099" s="106">
        <f t="shared" si="643"/>
        <v>4720.8943390242612</v>
      </c>
      <c r="G13099" s="81"/>
      <c r="H13099" s="81"/>
      <c r="I13099" s="81"/>
      <c r="J13099" s="81"/>
      <c r="K13099" s="81"/>
      <c r="L13099" s="81"/>
      <c r="M13099" s="81"/>
      <c r="N13099" s="81"/>
    </row>
    <row r="13100" spans="1:14" ht="14.25" customHeight="1" x14ac:dyDescent="0.25">
      <c r="A13100" s="122"/>
      <c r="B13100" s="127"/>
      <c r="C13100" s="101"/>
      <c r="D13100" s="101"/>
      <c r="E13100" s="105"/>
      <c r="F13100" s="106"/>
      <c r="G13100" s="81"/>
      <c r="H13100" s="117"/>
      <c r="I13100" s="81"/>
      <c r="J13100" s="81"/>
      <c r="K13100" s="81"/>
      <c r="L13100" s="81"/>
      <c r="M13100" s="81"/>
      <c r="N13100" s="81"/>
    </row>
    <row r="13101" spans="1:14" ht="14.25" customHeight="1" x14ac:dyDescent="0.25">
      <c r="A13101" s="122"/>
      <c r="B13101" s="127"/>
      <c r="C13101" s="101"/>
      <c r="D13101" s="101"/>
      <c r="E13101" s="125"/>
      <c r="F13101" s="106"/>
      <c r="G13101" s="81"/>
      <c r="H13101" s="81"/>
      <c r="I13101" s="81"/>
      <c r="J13101" s="81"/>
      <c r="K13101" s="81"/>
      <c r="L13101" s="81"/>
      <c r="M13101" s="81"/>
      <c r="N13101" s="81"/>
    </row>
    <row r="13102" spans="1:14" ht="14.25" customHeight="1" x14ac:dyDescent="0.25">
      <c r="A13102" s="97" t="s">
        <v>548</v>
      </c>
      <c r="B13102" s="128"/>
      <c r="C13102" s="110"/>
      <c r="D13102" s="110"/>
      <c r="E13102" s="110"/>
      <c r="F13102" s="112">
        <f>SUM(F13098:F13101)</f>
        <v>7658.1320365769861</v>
      </c>
      <c r="G13102" s="81"/>
      <c r="H13102" s="81"/>
      <c r="I13102" s="81"/>
      <c r="J13102" s="81"/>
      <c r="K13102" s="81"/>
      <c r="L13102" s="81"/>
      <c r="M13102" s="81"/>
      <c r="N13102" s="81"/>
    </row>
    <row r="13103" spans="1:14" ht="14.25" customHeight="1" x14ac:dyDescent="0.25">
      <c r="A13103" s="96"/>
      <c r="B13103" s="129"/>
      <c r="C13103" s="118"/>
      <c r="D13103" s="118"/>
      <c r="E13103" s="118"/>
      <c r="F13103" s="118"/>
      <c r="G13103" s="81"/>
      <c r="H13103" s="81"/>
      <c r="I13103" s="81"/>
      <c r="J13103" s="81"/>
      <c r="K13103" s="81"/>
      <c r="L13103" s="81"/>
      <c r="M13103" s="81"/>
      <c r="N13103" s="81"/>
    </row>
    <row r="13104" spans="1:14" ht="14.25" customHeight="1" x14ac:dyDescent="0.25">
      <c r="A13104" s="95" t="s">
        <v>583</v>
      </c>
      <c r="B13104" s="96"/>
      <c r="C13104" s="92"/>
      <c r="D13104" s="92"/>
      <c r="E13104" s="92" t="s">
        <v>584</v>
      </c>
      <c r="F13104" s="92"/>
      <c r="G13104" s="81"/>
      <c r="H13104" s="143"/>
      <c r="I13104" s="81"/>
      <c r="J13104" s="81"/>
      <c r="K13104" s="81"/>
      <c r="L13104" s="81"/>
      <c r="M13104" s="81"/>
      <c r="N13104" s="81"/>
    </row>
    <row r="13105" spans="1:14" ht="14.25" customHeight="1" x14ac:dyDescent="0.25">
      <c r="A13105" s="97" t="s">
        <v>563</v>
      </c>
      <c r="B13105" s="98" t="s">
        <v>564</v>
      </c>
      <c r="C13105" s="98" t="s">
        <v>585</v>
      </c>
      <c r="D13105" s="98" t="s">
        <v>586</v>
      </c>
      <c r="E13105" s="120" t="s">
        <v>587</v>
      </c>
      <c r="F13105" s="98" t="s">
        <v>568</v>
      </c>
      <c r="G13105" s="81"/>
      <c r="H13105" s="81"/>
      <c r="I13105" s="81"/>
      <c r="J13105" s="81"/>
      <c r="K13105" s="81"/>
      <c r="L13105" s="81"/>
      <c r="M13105" s="81"/>
      <c r="N13105" s="81"/>
    </row>
    <row r="13106" spans="1:14" ht="14.25" customHeight="1" x14ac:dyDescent="0.25">
      <c r="A13106" s="103"/>
      <c r="B13106" s="100"/>
      <c r="C13106" s="101"/>
      <c r="D13106" s="140"/>
      <c r="E13106" s="107"/>
      <c r="F13106" s="109"/>
      <c r="G13106" s="81"/>
      <c r="H13106" s="81"/>
      <c r="I13106" s="81"/>
      <c r="J13106" s="81"/>
      <c r="K13106" s="81"/>
      <c r="L13106" s="81"/>
      <c r="M13106" s="81"/>
      <c r="N13106" s="81"/>
    </row>
    <row r="13107" spans="1:14" ht="14.25" customHeight="1" x14ac:dyDescent="0.25">
      <c r="A13107" s="103"/>
      <c r="B13107" s="100"/>
      <c r="C13107" s="107"/>
      <c r="D13107" s="107"/>
      <c r="E13107" s="108"/>
      <c r="F13107" s="109"/>
      <c r="G13107" s="81"/>
      <c r="H13107" s="81"/>
      <c r="I13107" s="81"/>
      <c r="J13107" s="81"/>
      <c r="K13107" s="81"/>
      <c r="L13107" s="81"/>
      <c r="M13107" s="81"/>
      <c r="N13107" s="81"/>
    </row>
    <row r="13108" spans="1:14" ht="14.25" customHeight="1" x14ac:dyDescent="0.25">
      <c r="A13108" s="97" t="s">
        <v>548</v>
      </c>
      <c r="B13108" s="98"/>
      <c r="C13108" s="110"/>
      <c r="D13108" s="110"/>
      <c r="E13108" s="111"/>
      <c r="F13108" s="112">
        <f>SUM(F13106:F13107)</f>
        <v>0</v>
      </c>
      <c r="G13108" s="81"/>
      <c r="H13108" s="81"/>
      <c r="I13108" s="81"/>
      <c r="J13108" s="81"/>
      <c r="K13108" s="81"/>
      <c r="L13108" s="81"/>
      <c r="M13108" s="81"/>
      <c r="N13108" s="81"/>
    </row>
    <row r="13109" spans="1:14" ht="14.25" customHeight="1" x14ac:dyDescent="0.25">
      <c r="A13109" s="88"/>
      <c r="B13109" s="89"/>
      <c r="C13109" s="113"/>
      <c r="D13109" s="113"/>
      <c r="E13109" s="114"/>
      <c r="F13109" s="113"/>
      <c r="G13109" s="81"/>
      <c r="H13109" s="81"/>
      <c r="I13109" s="81"/>
      <c r="J13109" s="81"/>
      <c r="K13109" s="81"/>
      <c r="L13109" s="81"/>
      <c r="M13109" s="81"/>
      <c r="N13109" s="81"/>
    </row>
    <row r="13110" spans="1:14" ht="14.25" customHeight="1" x14ac:dyDescent="0.25">
      <c r="A13110" s="88"/>
      <c r="B13110" s="89"/>
      <c r="C13110" s="113"/>
      <c r="D13110" s="113"/>
      <c r="E13110" s="114"/>
      <c r="F13110" s="113"/>
      <c r="G13110" s="81"/>
      <c r="H13110" s="81"/>
      <c r="I13110" s="81"/>
      <c r="J13110" s="81"/>
      <c r="K13110" s="81"/>
      <c r="L13110" s="81"/>
      <c r="M13110" s="81"/>
      <c r="N13110" s="81"/>
    </row>
    <row r="13111" spans="1:14" ht="14.25" customHeight="1" x14ac:dyDescent="0.25">
      <c r="A13111" s="612" t="s">
        <v>588</v>
      </c>
      <c r="B13111" s="608"/>
      <c r="C13111" s="608"/>
      <c r="D13111" s="608"/>
      <c r="E13111" s="609"/>
      <c r="F13111" s="131">
        <f>ROUND(F13081+F13094+F13102+F13108,0)</f>
        <v>64689</v>
      </c>
      <c r="G13111" s="81"/>
      <c r="H13111" s="81"/>
      <c r="I13111" s="81"/>
      <c r="J13111" s="81"/>
      <c r="K13111" s="81"/>
      <c r="L13111" s="81"/>
      <c r="M13111" s="81"/>
      <c r="N13111" s="81"/>
    </row>
    <row r="13112" spans="1:14" ht="14.25" customHeight="1" x14ac:dyDescent="0.25">
      <c r="A13112" s="612" t="s">
        <v>589</v>
      </c>
      <c r="B13112" s="608"/>
      <c r="C13112" s="608"/>
      <c r="D13112" s="608"/>
      <c r="E13112" s="609"/>
      <c r="F13112" s="132"/>
      <c r="G13112" s="81"/>
      <c r="H13112" s="81"/>
      <c r="I13112" s="81"/>
      <c r="J13112" s="81"/>
      <c r="K13112" s="81"/>
      <c r="L13112" s="81"/>
      <c r="M13112" s="81"/>
      <c r="N13112" s="81"/>
    </row>
    <row r="13113" spans="1:14" ht="14.25" customHeight="1" x14ac:dyDescent="0.25">
      <c r="A13113" s="146" t="s">
        <v>556</v>
      </c>
      <c r="B13113" s="147"/>
      <c r="C13113" s="147"/>
      <c r="D13113" s="147"/>
      <c r="E13113" s="148"/>
      <c r="F13113" s="133"/>
      <c r="G13113" s="81"/>
      <c r="H13113" s="81"/>
      <c r="I13113" s="81"/>
      <c r="J13113" s="81"/>
      <c r="K13113" s="81"/>
      <c r="L13113" s="81"/>
      <c r="M13113" s="81"/>
      <c r="N13113" s="81"/>
    </row>
    <row r="13114" spans="1:14" ht="14.25" customHeight="1" x14ac:dyDescent="0.25">
      <c r="A13114" s="134"/>
      <c r="B13114" s="135"/>
      <c r="C13114" s="135"/>
      <c r="D13114" s="135"/>
      <c r="E13114" s="135"/>
      <c r="F13114" s="136"/>
      <c r="G13114" s="81"/>
      <c r="H13114" s="81"/>
      <c r="I13114" s="81"/>
      <c r="J13114" s="81"/>
      <c r="K13114" s="81"/>
      <c r="L13114" s="81"/>
      <c r="M13114" s="81"/>
      <c r="N13114" s="81"/>
    </row>
    <row r="13115" spans="1:14" ht="14.25" customHeight="1" x14ac:dyDescent="0.25">
      <c r="A13115" s="81"/>
      <c r="B13115" s="81"/>
      <c r="C13115" s="137"/>
      <c r="D13115" s="81"/>
      <c r="E13115" s="81"/>
      <c r="F13115" s="81"/>
      <c r="G13115" s="81"/>
      <c r="H13115" s="81"/>
      <c r="I13115" s="81"/>
      <c r="J13115" s="81"/>
      <c r="K13115" s="81"/>
      <c r="L13115" s="81"/>
      <c r="M13115" s="81"/>
      <c r="N13115" s="81"/>
    </row>
    <row r="13116" spans="1:14" ht="14.25" customHeight="1" x14ac:dyDescent="0.25">
      <c r="A13116" s="81"/>
      <c r="B13116" s="81"/>
      <c r="C13116" s="137"/>
      <c r="D13116" s="81"/>
      <c r="E13116" s="81"/>
      <c r="F13116" s="81"/>
      <c r="G13116" s="81"/>
      <c r="H13116" s="81"/>
      <c r="I13116" s="81"/>
      <c r="J13116" s="81"/>
      <c r="K13116" s="81"/>
      <c r="L13116" s="81"/>
      <c r="M13116" s="81"/>
      <c r="N13116" s="81"/>
    </row>
    <row r="13117" spans="1:14" ht="14.25" customHeight="1" x14ac:dyDescent="0.25">
      <c r="A13117" s="81"/>
      <c r="B13117" s="81"/>
      <c r="C13117" s="137"/>
      <c r="D13117" s="81"/>
      <c r="E13117" s="81"/>
      <c r="F13117" s="81"/>
      <c r="G13117" s="81"/>
      <c r="H13117" s="81"/>
      <c r="I13117" s="81"/>
      <c r="J13117" s="81"/>
      <c r="K13117" s="81"/>
      <c r="L13117" s="81"/>
      <c r="M13117" s="81"/>
      <c r="N13117" s="81"/>
    </row>
    <row r="13118" spans="1:14" ht="14.25" customHeight="1" x14ac:dyDescent="0.25">
      <c r="A13118" s="81"/>
      <c r="B13118" s="81"/>
      <c r="C13118" s="137"/>
      <c r="D13118" s="81"/>
      <c r="E13118" s="81"/>
      <c r="F13118" s="81"/>
      <c r="G13118" s="81"/>
      <c r="H13118" s="81"/>
      <c r="I13118" s="81"/>
      <c r="J13118" s="81"/>
      <c r="K13118" s="81"/>
      <c r="L13118" s="81"/>
      <c r="M13118" s="81"/>
      <c r="N13118" s="81"/>
    </row>
    <row r="13119" spans="1:14" ht="14.25" customHeight="1" x14ac:dyDescent="0.25">
      <c r="A13119" s="134"/>
      <c r="B13119" s="135"/>
      <c r="C13119" s="135"/>
      <c r="D13119" s="135"/>
      <c r="E13119" s="135"/>
      <c r="F13119" s="136"/>
      <c r="G13119" s="81"/>
      <c r="H13119" s="81"/>
      <c r="I13119" s="81"/>
      <c r="J13119" s="81"/>
      <c r="K13119" s="81"/>
      <c r="L13119" s="81"/>
      <c r="M13119" s="81"/>
      <c r="N13119" s="81"/>
    </row>
    <row r="13120" spans="1:14" ht="14.25" customHeight="1" x14ac:dyDescent="0.25">
      <c r="A13120" s="134"/>
      <c r="B13120" s="135"/>
      <c r="C13120" s="135"/>
      <c r="D13120" s="135"/>
      <c r="E13120" s="135"/>
      <c r="F13120" s="136"/>
      <c r="G13120" s="81"/>
      <c r="H13120" s="81"/>
      <c r="I13120" s="81"/>
      <c r="J13120" s="81"/>
      <c r="K13120" s="81"/>
      <c r="L13120" s="81"/>
      <c r="M13120" s="81"/>
      <c r="N13120" s="81"/>
    </row>
    <row r="13121" spans="1:14" ht="14.25" customHeight="1" x14ac:dyDescent="0.25">
      <c r="A13121" s="134"/>
      <c r="B13121" s="135"/>
      <c r="C13121" s="135"/>
      <c r="D13121" s="135"/>
      <c r="E13121" s="135"/>
      <c r="F13121" s="135"/>
      <c r="G13121" s="81"/>
      <c r="H13121" s="81"/>
      <c r="I13121" s="81"/>
      <c r="J13121" s="81"/>
      <c r="K13121" s="81"/>
      <c r="L13121" s="81"/>
      <c r="M13121" s="81"/>
      <c r="N13121" s="81"/>
    </row>
    <row r="13122" spans="1:14" s="168" customFormat="1" ht="16.5" thickBot="1" x14ac:dyDescent="0.3">
      <c r="A13122" s="81"/>
      <c r="B13122" s="81"/>
      <c r="C13122" s="81"/>
      <c r="D13122" s="81"/>
      <c r="E13122" s="81"/>
      <c r="F13122" s="81"/>
      <c r="G13122" s="243"/>
      <c r="H13122" s="243"/>
      <c r="I13122" s="243"/>
      <c r="J13122" s="243"/>
      <c r="K13122" s="243"/>
      <c r="L13122" s="243"/>
      <c r="M13122" s="243"/>
      <c r="N13122" s="243"/>
    </row>
    <row r="13123" spans="1:14" s="168" customFormat="1" ht="15.75" x14ac:dyDescent="0.25">
      <c r="A13123" s="83"/>
      <c r="B13123" s="84"/>
      <c r="C13123" s="85"/>
      <c r="D13123" s="86"/>
      <c r="E13123" s="86"/>
      <c r="F13123" s="87"/>
      <c r="G13123" s="243"/>
      <c r="H13123" s="243"/>
      <c r="I13123" s="243"/>
      <c r="J13123" s="243"/>
      <c r="K13123" s="243"/>
      <c r="L13123" s="243"/>
      <c r="M13123" s="243"/>
      <c r="N13123" s="243"/>
    </row>
    <row r="13124" spans="1:14" ht="14.25" customHeight="1" x14ac:dyDescent="0.25">
      <c r="A13124" s="599"/>
      <c r="B13124" s="600"/>
      <c r="C13124" s="600"/>
      <c r="D13124" s="600"/>
      <c r="E13124" s="600"/>
      <c r="F13124" s="601"/>
      <c r="G13124" s="81"/>
      <c r="H13124" s="81"/>
      <c r="I13124" s="81"/>
      <c r="J13124" s="81"/>
      <c r="K13124" s="81"/>
      <c r="L13124" s="81"/>
      <c r="M13124" s="81"/>
      <c r="N13124" s="81"/>
    </row>
    <row r="13125" spans="1:14" ht="14.25" customHeight="1" x14ac:dyDescent="0.25">
      <c r="A13125" s="602" t="s">
        <v>561</v>
      </c>
      <c r="B13125" s="600"/>
      <c r="C13125" s="600"/>
      <c r="D13125" s="600"/>
      <c r="E13125" s="600"/>
      <c r="F13125" s="601"/>
      <c r="G13125" s="81"/>
      <c r="H13125" s="81"/>
      <c r="I13125" s="81"/>
      <c r="J13125" s="81"/>
      <c r="K13125" s="81"/>
      <c r="L13125" s="81"/>
      <c r="M13125" s="81"/>
      <c r="N13125" s="81"/>
    </row>
    <row r="13126" spans="1:14" ht="14.25" customHeight="1" thickBot="1" x14ac:dyDescent="0.3">
      <c r="A13126" s="603"/>
      <c r="B13126" s="604"/>
      <c r="C13126" s="604"/>
      <c r="D13126" s="604"/>
      <c r="E13126" s="604"/>
      <c r="F13126" s="605"/>
      <c r="G13126" s="81"/>
      <c r="H13126" s="81"/>
      <c r="I13126" s="81"/>
      <c r="J13126" s="81"/>
      <c r="K13126" s="81"/>
      <c r="L13126" s="81"/>
      <c r="M13126" s="81"/>
      <c r="N13126" s="81"/>
    </row>
    <row r="13127" spans="1:14" ht="14.25" customHeight="1" x14ac:dyDescent="0.25">
      <c r="A13127" s="88"/>
      <c r="B13127" s="88"/>
      <c r="C13127" s="89"/>
      <c r="D13127" s="89"/>
      <c r="E13127" s="89"/>
      <c r="F13127" s="89"/>
      <c r="G13127" s="81"/>
      <c r="H13127" s="81"/>
      <c r="I13127" s="81"/>
      <c r="J13127" s="81"/>
      <c r="K13127" s="81"/>
      <c r="L13127" s="81"/>
      <c r="M13127" s="81"/>
      <c r="N13127" s="81"/>
    </row>
    <row r="13128" spans="1:14" ht="14.25" customHeight="1" x14ac:dyDescent="0.25">
      <c r="A13128" s="90" t="s">
        <v>47</v>
      </c>
      <c r="B13128" s="613" t="s">
        <v>449</v>
      </c>
      <c r="C13128" s="600"/>
      <c r="D13128" s="600"/>
      <c r="E13128" s="600"/>
      <c r="F13128" s="600"/>
      <c r="G13128" s="81"/>
      <c r="H13128" s="81"/>
      <c r="I13128" s="81"/>
      <c r="J13128" s="81"/>
      <c r="K13128" s="81"/>
      <c r="L13128" s="81"/>
      <c r="M13128" s="81"/>
      <c r="N13128" s="81"/>
    </row>
    <row r="13129" spans="1:14" ht="14.25" customHeight="1" x14ac:dyDescent="0.25">
      <c r="A13129" s="91"/>
      <c r="B13129" s="91"/>
      <c r="C13129" s="91"/>
      <c r="D13129" s="91"/>
      <c r="E13129" s="91"/>
      <c r="F13129" s="91"/>
      <c r="G13129" s="81"/>
      <c r="H13129" s="81"/>
      <c r="I13129" s="81"/>
      <c r="J13129" s="81"/>
      <c r="K13129" s="81"/>
      <c r="L13129" s="81"/>
      <c r="M13129" s="81"/>
      <c r="N13129" s="81"/>
    </row>
    <row r="13130" spans="1:14" ht="14.25" customHeight="1" x14ac:dyDescent="0.25">
      <c r="A13130" s="88" t="s">
        <v>49</v>
      </c>
      <c r="B13130" s="92" t="s">
        <v>99</v>
      </c>
      <c r="C13130" s="89"/>
      <c r="D13130" s="89"/>
      <c r="E13130" s="89"/>
      <c r="F13130" s="93"/>
      <c r="G13130" s="81"/>
      <c r="H13130" s="81"/>
      <c r="I13130" s="81"/>
      <c r="J13130" s="81"/>
      <c r="K13130" s="81"/>
      <c r="L13130" s="81"/>
      <c r="M13130" s="81"/>
      <c r="N13130" s="81"/>
    </row>
    <row r="13131" spans="1:14" ht="14.25" customHeight="1" x14ac:dyDescent="0.25">
      <c r="A13131" s="88"/>
      <c r="B13131" s="94"/>
      <c r="C13131" s="89"/>
      <c r="D13131" s="89"/>
      <c r="E13131" s="89"/>
      <c r="F13131" s="93"/>
      <c r="G13131" s="81"/>
      <c r="H13131" s="81"/>
      <c r="I13131" s="81"/>
      <c r="J13131" s="81"/>
      <c r="K13131" s="81"/>
      <c r="L13131" s="81"/>
      <c r="M13131" s="81"/>
      <c r="N13131" s="81"/>
    </row>
    <row r="13132" spans="1:14" ht="14.25" customHeight="1" x14ac:dyDescent="0.25">
      <c r="A13132" s="95" t="s">
        <v>562</v>
      </c>
      <c r="B13132" s="96"/>
      <c r="C13132" s="92"/>
      <c r="D13132" s="92"/>
      <c r="E13132" s="92"/>
      <c r="F13132" s="92"/>
      <c r="G13132" s="81"/>
      <c r="H13132" s="81"/>
      <c r="I13132" s="81"/>
      <c r="J13132" s="81"/>
      <c r="K13132" s="81"/>
      <c r="L13132" s="81"/>
      <c r="M13132" s="81"/>
      <c r="N13132" s="81"/>
    </row>
    <row r="13133" spans="1:14" ht="14.25" customHeight="1" x14ac:dyDescent="0.25">
      <c r="A13133" s="97" t="s">
        <v>563</v>
      </c>
      <c r="B13133" s="98" t="s">
        <v>564</v>
      </c>
      <c r="C13133" s="98" t="s">
        <v>565</v>
      </c>
      <c r="D13133" s="98" t="s">
        <v>566</v>
      </c>
      <c r="E13133" s="98" t="s">
        <v>567</v>
      </c>
      <c r="F13133" s="98" t="s">
        <v>568</v>
      </c>
      <c r="G13133" s="81"/>
      <c r="H13133" s="81"/>
      <c r="I13133" s="81"/>
      <c r="J13133" s="81"/>
      <c r="K13133" s="81"/>
      <c r="L13133" s="81"/>
      <c r="M13133" s="81"/>
      <c r="N13133" s="81"/>
    </row>
    <row r="13134" spans="1:14" ht="14.25" customHeight="1" x14ac:dyDescent="0.25">
      <c r="A13134" s="99" t="s">
        <v>878</v>
      </c>
      <c r="B13134" s="100" t="s">
        <v>99</v>
      </c>
      <c r="C13134" s="101">
        <v>1075840</v>
      </c>
      <c r="D13134" s="149">
        <v>1</v>
      </c>
      <c r="E13134" s="102">
        <v>0.05</v>
      </c>
      <c r="F13134" s="101">
        <f t="shared" ref="F13134:F13137" si="644">C13134*(D13134+(D13134*E13134))</f>
        <v>1129632</v>
      </c>
      <c r="G13134" s="81"/>
      <c r="H13134" s="81"/>
      <c r="I13134" s="81"/>
      <c r="J13134" s="81"/>
      <c r="K13134" s="81"/>
      <c r="L13134" s="81"/>
      <c r="M13134" s="81"/>
      <c r="N13134" s="81"/>
    </row>
    <row r="13135" spans="1:14" ht="14.25" customHeight="1" x14ac:dyDescent="0.25">
      <c r="A13135" s="99"/>
      <c r="B13135" s="100"/>
      <c r="C13135" s="101"/>
      <c r="D13135" s="149"/>
      <c r="E13135" s="102"/>
      <c r="F13135" s="101">
        <f t="shared" si="644"/>
        <v>0</v>
      </c>
      <c r="G13135" s="81"/>
      <c r="H13135" s="81"/>
      <c r="I13135" s="81"/>
      <c r="J13135" s="81"/>
      <c r="K13135" s="81"/>
      <c r="L13135" s="81"/>
      <c r="M13135" s="81"/>
      <c r="N13135" s="81"/>
    </row>
    <row r="13136" spans="1:14" ht="14.25" customHeight="1" x14ac:dyDescent="0.25">
      <c r="A13136" s="99"/>
      <c r="B13136" s="100"/>
      <c r="C13136" s="101"/>
      <c r="D13136" s="149"/>
      <c r="E13136" s="102"/>
      <c r="F13136" s="101">
        <f t="shared" si="644"/>
        <v>0</v>
      </c>
      <c r="G13136" s="81"/>
      <c r="H13136" s="81"/>
      <c r="I13136" s="81"/>
      <c r="J13136" s="81"/>
      <c r="K13136" s="81"/>
      <c r="L13136" s="81"/>
      <c r="M13136" s="81"/>
      <c r="N13136" s="81"/>
    </row>
    <row r="13137" spans="1:14" ht="14.25" customHeight="1" x14ac:dyDescent="0.25">
      <c r="A13137" s="99"/>
      <c r="B13137" s="100"/>
      <c r="C13137" s="101"/>
      <c r="D13137" s="149"/>
      <c r="E13137" s="102"/>
      <c r="F13137" s="101">
        <f t="shared" si="644"/>
        <v>0</v>
      </c>
      <c r="G13137" s="81"/>
      <c r="H13137" s="81"/>
      <c r="I13137" s="81"/>
      <c r="J13137" s="81"/>
      <c r="K13137" s="81"/>
      <c r="L13137" s="81"/>
      <c r="M13137" s="81"/>
      <c r="N13137" s="81"/>
    </row>
    <row r="13138" spans="1:14" ht="14.25" customHeight="1" x14ac:dyDescent="0.25">
      <c r="A13138" s="99"/>
      <c r="B13138" s="100"/>
      <c r="C13138" s="101"/>
      <c r="D13138" s="149"/>
      <c r="E13138" s="102"/>
      <c r="F13138" s="101"/>
      <c r="G13138" s="81"/>
      <c r="H13138" s="81"/>
      <c r="I13138" s="81"/>
      <c r="J13138" s="81"/>
      <c r="K13138" s="81"/>
      <c r="L13138" s="81"/>
      <c r="M13138" s="81"/>
      <c r="N13138" s="81"/>
    </row>
    <row r="13139" spans="1:14" ht="14.25" customHeight="1" x14ac:dyDescent="0.25">
      <c r="A13139" s="99"/>
      <c r="B13139" s="100"/>
      <c r="C13139" s="101"/>
      <c r="D13139" s="149"/>
      <c r="E13139" s="102"/>
      <c r="F13139" s="101"/>
      <c r="G13139" s="81"/>
      <c r="H13139" s="81"/>
      <c r="I13139" s="81"/>
      <c r="J13139" s="81"/>
      <c r="K13139" s="81"/>
      <c r="L13139" s="81"/>
      <c r="M13139" s="81"/>
      <c r="N13139" s="81"/>
    </row>
    <row r="13140" spans="1:14" ht="14.25" customHeight="1" x14ac:dyDescent="0.25">
      <c r="A13140" s="99"/>
      <c r="B13140" s="100"/>
      <c r="C13140" s="101"/>
      <c r="D13140" s="149"/>
      <c r="E13140" s="102"/>
      <c r="F13140" s="101"/>
      <c r="G13140" s="81"/>
      <c r="H13140" s="81"/>
      <c r="I13140" s="81"/>
      <c r="J13140" s="81"/>
      <c r="K13140" s="81"/>
      <c r="L13140" s="81"/>
      <c r="M13140" s="81"/>
      <c r="N13140" s="81"/>
    </row>
    <row r="13141" spans="1:14" ht="14.25" customHeight="1" x14ac:dyDescent="0.25">
      <c r="A13141" s="99"/>
      <c r="B13141" s="100"/>
      <c r="C13141" s="106"/>
      <c r="D13141" s="107"/>
      <c r="E13141" s="108"/>
      <c r="F13141" s="106"/>
      <c r="G13141" s="81"/>
      <c r="H13141" s="81"/>
      <c r="I13141" s="81"/>
      <c r="J13141" s="81"/>
      <c r="K13141" s="81"/>
      <c r="L13141" s="81"/>
      <c r="M13141" s="81"/>
      <c r="N13141" s="81"/>
    </row>
    <row r="13142" spans="1:14" ht="14.25" customHeight="1" x14ac:dyDescent="0.25">
      <c r="A13142" s="97" t="s">
        <v>548</v>
      </c>
      <c r="B13142" s="97"/>
      <c r="C13142" s="109"/>
      <c r="D13142" s="110"/>
      <c r="E13142" s="111"/>
      <c r="F13142" s="112">
        <f>SUM(F13134:F13141)</f>
        <v>1129632</v>
      </c>
      <c r="G13142" s="81"/>
      <c r="H13142" s="81"/>
      <c r="I13142" s="81"/>
      <c r="J13142" s="81"/>
      <c r="K13142" s="81"/>
      <c r="L13142" s="81"/>
      <c r="M13142" s="81"/>
      <c r="N13142" s="81"/>
    </row>
    <row r="13143" spans="1:14" s="168" customFormat="1" ht="15.75" x14ac:dyDescent="0.25">
      <c r="A13143" s="88"/>
      <c r="B13143" s="88"/>
      <c r="C13143" s="113"/>
      <c r="D13143" s="113"/>
      <c r="E13143" s="114"/>
      <c r="F13143" s="113"/>
    </row>
    <row r="13144" spans="1:14" s="168" customFormat="1" ht="15.75" x14ac:dyDescent="0.25">
      <c r="A13144" s="96" t="s">
        <v>573</v>
      </c>
      <c r="B13144" s="96"/>
      <c r="C13144" s="92"/>
      <c r="D13144" s="92"/>
      <c r="E13144" s="92"/>
      <c r="F13144" s="92"/>
    </row>
    <row r="13145" spans="1:14" s="168" customFormat="1" ht="15.75" x14ac:dyDescent="0.25">
      <c r="A13145" s="611" t="s">
        <v>563</v>
      </c>
      <c r="B13145" s="608"/>
      <c r="C13145" s="609"/>
      <c r="D13145" s="98" t="s">
        <v>574</v>
      </c>
      <c r="E13145" s="98" t="s">
        <v>575</v>
      </c>
      <c r="F13145" s="98" t="s">
        <v>568</v>
      </c>
    </row>
    <row r="13146" spans="1:14" s="168" customFormat="1" ht="15.75" x14ac:dyDescent="0.25">
      <c r="A13146" s="607" t="s">
        <v>577</v>
      </c>
      <c r="B13146" s="608"/>
      <c r="C13146" s="609"/>
      <c r="D13146" s="116"/>
      <c r="E13146" s="107"/>
      <c r="F13146" s="106">
        <f>+F13163*5%</f>
        <v>7022.305157037611</v>
      </c>
    </row>
    <row r="13147" spans="1:14" ht="14.25" customHeight="1" x14ac:dyDescent="0.25">
      <c r="A13147" s="607"/>
      <c r="B13147" s="608"/>
      <c r="C13147" s="609"/>
      <c r="D13147" s="142"/>
      <c r="E13147" s="105"/>
      <c r="F13147" s="106"/>
      <c r="G13147" s="81"/>
      <c r="H13147" s="81"/>
      <c r="I13147" s="81"/>
      <c r="J13147" s="81"/>
      <c r="K13147" s="81"/>
      <c r="L13147" s="81"/>
      <c r="M13147" s="81"/>
      <c r="N13147" s="81"/>
    </row>
    <row r="13148" spans="1:14" ht="14.25" customHeight="1" x14ac:dyDescent="0.25">
      <c r="A13148" s="607"/>
      <c r="B13148" s="608"/>
      <c r="C13148" s="609"/>
      <c r="D13148" s="142"/>
      <c r="E13148" s="105"/>
      <c r="F13148" s="106"/>
      <c r="G13148" s="81"/>
      <c r="H13148" s="81"/>
      <c r="I13148" s="81"/>
      <c r="J13148" s="81"/>
      <c r="K13148" s="81"/>
      <c r="L13148" s="81"/>
      <c r="M13148" s="81"/>
      <c r="N13148" s="81"/>
    </row>
    <row r="13149" spans="1:14" ht="14.25" customHeight="1" x14ac:dyDescent="0.25">
      <c r="A13149" s="607"/>
      <c r="B13149" s="608"/>
      <c r="C13149" s="609"/>
      <c r="D13149" s="142"/>
      <c r="E13149" s="107"/>
      <c r="F13149" s="106"/>
      <c r="G13149" s="81"/>
      <c r="H13149" s="81"/>
      <c r="I13149" s="81"/>
      <c r="J13149" s="81"/>
      <c r="K13149" s="81"/>
      <c r="L13149" s="81"/>
      <c r="M13149" s="81"/>
      <c r="N13149" s="81"/>
    </row>
    <row r="13150" spans="1:14" ht="14.25" customHeight="1" x14ac:dyDescent="0.25">
      <c r="A13150" s="607"/>
      <c r="B13150" s="608"/>
      <c r="C13150" s="609"/>
      <c r="D13150" s="142"/>
      <c r="E13150" s="107"/>
      <c r="F13150" s="106"/>
      <c r="G13150" s="81"/>
      <c r="H13150" s="81"/>
      <c r="I13150" s="81"/>
      <c r="J13150" s="81"/>
      <c r="K13150" s="81"/>
      <c r="L13150" s="81"/>
      <c r="M13150" s="81"/>
      <c r="N13150" s="81"/>
    </row>
    <row r="13151" spans="1:14" ht="14.25" customHeight="1" x14ac:dyDescent="0.25">
      <c r="A13151" s="607"/>
      <c r="B13151" s="608"/>
      <c r="C13151" s="609"/>
      <c r="D13151" s="142"/>
      <c r="E13151" s="107"/>
      <c r="F13151" s="106"/>
      <c r="G13151" s="81"/>
      <c r="H13151" s="81"/>
      <c r="I13151" s="81"/>
      <c r="J13151" s="81"/>
      <c r="K13151" s="81"/>
      <c r="L13151" s="81"/>
      <c r="M13151" s="81"/>
      <c r="N13151" s="81"/>
    </row>
    <row r="13152" spans="1:14" ht="14.25" customHeight="1" x14ac:dyDescent="0.25">
      <c r="A13152" s="607"/>
      <c r="B13152" s="608"/>
      <c r="C13152" s="609"/>
      <c r="D13152" s="142"/>
      <c r="E13152" s="107"/>
      <c r="F13152" s="106"/>
      <c r="G13152" s="81"/>
      <c r="H13152" s="81"/>
      <c r="I13152" s="81"/>
      <c r="J13152" s="81"/>
      <c r="K13152" s="81"/>
      <c r="L13152" s="81"/>
      <c r="M13152" s="81"/>
      <c r="N13152" s="81"/>
    </row>
    <row r="13153" spans="1:14" ht="14.25" customHeight="1" x14ac:dyDescent="0.25">
      <c r="A13153" s="607"/>
      <c r="B13153" s="608"/>
      <c r="C13153" s="609"/>
      <c r="D13153" s="142"/>
      <c r="E13153" s="107"/>
      <c r="F13153" s="106"/>
      <c r="G13153" s="81"/>
      <c r="H13153" s="81"/>
      <c r="I13153" s="81"/>
      <c r="J13153" s="81"/>
      <c r="K13153" s="81"/>
      <c r="L13153" s="81"/>
      <c r="M13153" s="81"/>
      <c r="N13153" s="81"/>
    </row>
    <row r="13154" spans="1:14" ht="14.25" customHeight="1" x14ac:dyDescent="0.25">
      <c r="A13154" s="610"/>
      <c r="B13154" s="608"/>
      <c r="C13154" s="609"/>
      <c r="D13154" s="115"/>
      <c r="E13154" s="107"/>
      <c r="F13154" s="106"/>
      <c r="G13154" s="81"/>
      <c r="H13154" s="81"/>
      <c r="I13154" s="81"/>
      <c r="J13154" s="81"/>
      <c r="K13154" s="81"/>
      <c r="L13154" s="81"/>
      <c r="M13154" s="81"/>
      <c r="N13154" s="81"/>
    </row>
    <row r="13155" spans="1:14" ht="14.25" customHeight="1" x14ac:dyDescent="0.25">
      <c r="A13155" s="611" t="s">
        <v>548</v>
      </c>
      <c r="B13155" s="608"/>
      <c r="C13155" s="609"/>
      <c r="D13155" s="110"/>
      <c r="E13155" s="110"/>
      <c r="F13155" s="112">
        <f>SUM(F13146:F13153)</f>
        <v>7022.305157037611</v>
      </c>
      <c r="G13155" s="81"/>
      <c r="H13155" s="81"/>
      <c r="I13155" s="81"/>
      <c r="J13155" s="81"/>
      <c r="K13155" s="81"/>
      <c r="L13155" s="81"/>
      <c r="M13155" s="81"/>
      <c r="N13155" s="81"/>
    </row>
    <row r="13156" spans="1:14" ht="14.25" customHeight="1" x14ac:dyDescent="0.25">
      <c r="A13156" s="88"/>
      <c r="B13156" s="88"/>
      <c r="C13156" s="89"/>
      <c r="D13156" s="113"/>
      <c r="E13156" s="113"/>
      <c r="F13156" s="113"/>
      <c r="G13156" s="81"/>
      <c r="H13156" s="117"/>
      <c r="I13156" s="81"/>
      <c r="J13156" s="81"/>
      <c r="K13156" s="81"/>
      <c r="L13156" s="81"/>
      <c r="M13156" s="81"/>
      <c r="N13156" s="81"/>
    </row>
    <row r="13157" spans="1:14" ht="14.25" customHeight="1" x14ac:dyDescent="0.25">
      <c r="A13157" s="96" t="s">
        <v>578</v>
      </c>
      <c r="B13157" s="96"/>
      <c r="C13157" s="92"/>
      <c r="D13157" s="118"/>
      <c r="E13157" s="118"/>
      <c r="F13157" s="118"/>
      <c r="G13157" s="81"/>
      <c r="H13157" s="81"/>
      <c r="I13157" s="81"/>
      <c r="J13157" s="81"/>
      <c r="K13157" s="81"/>
      <c r="L13157" s="81"/>
      <c r="M13157" s="81"/>
      <c r="N13157" s="81"/>
    </row>
    <row r="13158" spans="1:14" ht="14.25" customHeight="1" x14ac:dyDescent="0.25">
      <c r="A13158" s="119" t="s">
        <v>563</v>
      </c>
      <c r="B13158" s="120" t="s">
        <v>579</v>
      </c>
      <c r="C13158" s="120" t="s">
        <v>580</v>
      </c>
      <c r="D13158" s="121" t="s">
        <v>581</v>
      </c>
      <c r="E13158" s="121" t="s">
        <v>575</v>
      </c>
      <c r="F13158" s="121" t="s">
        <v>568</v>
      </c>
      <c r="G13158" s="81"/>
      <c r="H13158" s="81"/>
      <c r="I13158" s="81"/>
      <c r="J13158" s="81"/>
      <c r="K13158" s="81"/>
      <c r="L13158" s="81"/>
      <c r="M13158" s="81"/>
      <c r="N13158" s="81"/>
    </row>
    <row r="13159" spans="1:14" ht="14.25" customHeight="1" x14ac:dyDescent="0.25">
      <c r="A13159" s="122" t="s">
        <v>593</v>
      </c>
      <c r="B13159" s="127">
        <v>1</v>
      </c>
      <c r="C13159" s="101">
        <v>32688</v>
      </c>
      <c r="D13159" s="101">
        <f t="shared" ref="D13159:D13160" si="645">+C13159*1.7</f>
        <v>55569.599999999999</v>
      </c>
      <c r="E13159" s="107">
        <v>1.0316000000000001</v>
      </c>
      <c r="F13159" s="106">
        <f t="shared" ref="F13159:F13160" si="646">+B13159*(D13159)/E13159</f>
        <v>53867.390461419149</v>
      </c>
      <c r="G13159" s="81"/>
      <c r="H13159" s="81"/>
      <c r="I13159" s="81"/>
      <c r="J13159" s="81"/>
      <c r="K13159" s="81"/>
      <c r="L13159" s="81"/>
      <c r="M13159" s="81"/>
      <c r="N13159" s="81"/>
    </row>
    <row r="13160" spans="1:14" ht="14.25" customHeight="1" x14ac:dyDescent="0.25">
      <c r="A13160" s="122" t="s">
        <v>594</v>
      </c>
      <c r="B13160" s="127">
        <v>1</v>
      </c>
      <c r="C13160" s="101">
        <v>52538</v>
      </c>
      <c r="D13160" s="101">
        <f t="shared" si="645"/>
        <v>89314.599999999991</v>
      </c>
      <c r="E13160" s="107">
        <f>E13159</f>
        <v>1.0316000000000001</v>
      </c>
      <c r="F13160" s="106">
        <f t="shared" si="646"/>
        <v>86578.712679333054</v>
      </c>
      <c r="G13160" s="81"/>
      <c r="H13160" s="143"/>
      <c r="I13160" s="81"/>
      <c r="J13160" s="81"/>
      <c r="K13160" s="81"/>
      <c r="L13160" s="81"/>
      <c r="M13160" s="81"/>
      <c r="N13160" s="81"/>
    </row>
    <row r="13161" spans="1:14" ht="14.25" customHeight="1" x14ac:dyDescent="0.25">
      <c r="A13161" s="122"/>
      <c r="B13161" s="127"/>
      <c r="C13161" s="101"/>
      <c r="D13161" s="101"/>
      <c r="E13161" s="105"/>
      <c r="F13161" s="106"/>
      <c r="G13161" s="81"/>
      <c r="H13161" s="81"/>
      <c r="I13161" s="81"/>
      <c r="J13161" s="81"/>
      <c r="K13161" s="81"/>
      <c r="L13161" s="81"/>
      <c r="M13161" s="81"/>
      <c r="N13161" s="81"/>
    </row>
    <row r="13162" spans="1:14" ht="14.25" customHeight="1" x14ac:dyDescent="0.25">
      <c r="A13162" s="122"/>
      <c r="B13162" s="127"/>
      <c r="C13162" s="101"/>
      <c r="D13162" s="101"/>
      <c r="E13162" s="125"/>
      <c r="F13162" s="106"/>
      <c r="G13162" s="81"/>
      <c r="H13162" s="81"/>
      <c r="I13162" s="81"/>
      <c r="J13162" s="81"/>
      <c r="K13162" s="81"/>
      <c r="L13162" s="81"/>
      <c r="M13162" s="81"/>
      <c r="N13162" s="81"/>
    </row>
    <row r="13163" spans="1:14" ht="14.25" customHeight="1" x14ac:dyDescent="0.25">
      <c r="A13163" s="97" t="s">
        <v>548</v>
      </c>
      <c r="B13163" s="128"/>
      <c r="C13163" s="110"/>
      <c r="D13163" s="110"/>
      <c r="E13163" s="110"/>
      <c r="F13163" s="112">
        <f>SUM(F13159:F13162)</f>
        <v>140446.10314075221</v>
      </c>
      <c r="G13163" s="81"/>
      <c r="H13163" s="81"/>
      <c r="I13163" s="81"/>
      <c r="J13163" s="81"/>
      <c r="K13163" s="81"/>
      <c r="L13163" s="81"/>
      <c r="M13163" s="81"/>
      <c r="N13163" s="81"/>
    </row>
    <row r="13164" spans="1:14" ht="14.25" customHeight="1" x14ac:dyDescent="0.25">
      <c r="A13164" s="96"/>
      <c r="B13164" s="129"/>
      <c r="C13164" s="118"/>
      <c r="D13164" s="118"/>
      <c r="E13164" s="118"/>
      <c r="F13164" s="118"/>
      <c r="G13164" s="81"/>
      <c r="H13164" s="81"/>
      <c r="I13164" s="81"/>
      <c r="J13164" s="81"/>
      <c r="K13164" s="81"/>
      <c r="L13164" s="81"/>
      <c r="M13164" s="81"/>
      <c r="N13164" s="81"/>
    </row>
    <row r="13165" spans="1:14" ht="14.25" customHeight="1" x14ac:dyDescent="0.25">
      <c r="A13165" s="95" t="s">
        <v>583</v>
      </c>
      <c r="B13165" s="96"/>
      <c r="C13165" s="92"/>
      <c r="D13165" s="92"/>
      <c r="E13165" s="92" t="s">
        <v>584</v>
      </c>
      <c r="F13165" s="92"/>
      <c r="G13165" s="81"/>
      <c r="H13165" s="81"/>
      <c r="I13165" s="81"/>
      <c r="J13165" s="81"/>
      <c r="K13165" s="81"/>
      <c r="L13165" s="81"/>
      <c r="M13165" s="81"/>
      <c r="N13165" s="81"/>
    </row>
    <row r="13166" spans="1:14" ht="14.25" customHeight="1" x14ac:dyDescent="0.25">
      <c r="A13166" s="97" t="s">
        <v>563</v>
      </c>
      <c r="B13166" s="98" t="s">
        <v>564</v>
      </c>
      <c r="C13166" s="98" t="s">
        <v>585</v>
      </c>
      <c r="D13166" s="98" t="s">
        <v>586</v>
      </c>
      <c r="E13166" s="120" t="s">
        <v>587</v>
      </c>
      <c r="F13166" s="98" t="s">
        <v>568</v>
      </c>
      <c r="G13166" s="81"/>
      <c r="H13166" s="81"/>
      <c r="I13166" s="81"/>
      <c r="J13166" s="81"/>
      <c r="K13166" s="81"/>
      <c r="L13166" s="81"/>
      <c r="M13166" s="81"/>
      <c r="N13166" s="81"/>
    </row>
    <row r="13167" spans="1:14" ht="14.25" customHeight="1" x14ac:dyDescent="0.25">
      <c r="A13167" s="103"/>
      <c r="B13167" s="100"/>
      <c r="C13167" s="101"/>
      <c r="D13167" s="140"/>
      <c r="E13167" s="107"/>
      <c r="F13167" s="109"/>
      <c r="G13167" s="81"/>
      <c r="H13167" s="81"/>
      <c r="I13167" s="81"/>
      <c r="J13167" s="81"/>
      <c r="K13167" s="81"/>
      <c r="L13167" s="81"/>
      <c r="M13167" s="81"/>
      <c r="N13167" s="81"/>
    </row>
    <row r="13168" spans="1:14" ht="14.25" customHeight="1" x14ac:dyDescent="0.25">
      <c r="A13168" s="103"/>
      <c r="B13168" s="100"/>
      <c r="C13168" s="107"/>
      <c r="D13168" s="107"/>
      <c r="E13168" s="108"/>
      <c r="F13168" s="109"/>
      <c r="G13168" s="81"/>
      <c r="H13168" s="81"/>
      <c r="I13168" s="81"/>
      <c r="J13168" s="81"/>
      <c r="K13168" s="81"/>
      <c r="L13168" s="81"/>
      <c r="M13168" s="81"/>
      <c r="N13168" s="81"/>
    </row>
    <row r="13169" spans="1:14" ht="14.25" customHeight="1" x14ac:dyDescent="0.25">
      <c r="A13169" s="97" t="s">
        <v>548</v>
      </c>
      <c r="B13169" s="98"/>
      <c r="C13169" s="110"/>
      <c r="D13169" s="110"/>
      <c r="E13169" s="111"/>
      <c r="F13169" s="112">
        <f>SUM(F13167:F13168)</f>
        <v>0</v>
      </c>
      <c r="G13169" s="81"/>
      <c r="H13169" s="81"/>
      <c r="I13169" s="81"/>
      <c r="J13169" s="81"/>
      <c r="K13169" s="81"/>
      <c r="L13169" s="81"/>
      <c r="M13169" s="81"/>
      <c r="N13169" s="81"/>
    </row>
    <row r="13170" spans="1:14" ht="14.25" customHeight="1" x14ac:dyDescent="0.25">
      <c r="A13170" s="88"/>
      <c r="B13170" s="89"/>
      <c r="C13170" s="113"/>
      <c r="D13170" s="113"/>
      <c r="E13170" s="114"/>
      <c r="F13170" s="113"/>
      <c r="G13170" s="81"/>
      <c r="H13170" s="81"/>
      <c r="I13170" s="81"/>
      <c r="J13170" s="81"/>
      <c r="K13170" s="81"/>
      <c r="L13170" s="81"/>
      <c r="M13170" s="81"/>
      <c r="N13170" s="81"/>
    </row>
    <row r="13171" spans="1:14" ht="14.25" customHeight="1" x14ac:dyDescent="0.25">
      <c r="A13171" s="88"/>
      <c r="B13171" s="89"/>
      <c r="C13171" s="113"/>
      <c r="D13171" s="113"/>
      <c r="E13171" s="114"/>
      <c r="F13171" s="113"/>
      <c r="G13171" s="81"/>
      <c r="H13171" s="81"/>
      <c r="I13171" s="81"/>
      <c r="J13171" s="81"/>
      <c r="K13171" s="81"/>
      <c r="L13171" s="81"/>
      <c r="M13171" s="81"/>
      <c r="N13171" s="81"/>
    </row>
    <row r="13172" spans="1:14" ht="14.25" customHeight="1" x14ac:dyDescent="0.25">
      <c r="A13172" s="612" t="s">
        <v>588</v>
      </c>
      <c r="B13172" s="608"/>
      <c r="C13172" s="608"/>
      <c r="D13172" s="608"/>
      <c r="E13172" s="609"/>
      <c r="F13172" s="131">
        <f>ROUND(F13142+F13155+F13163+F13169,0)</f>
        <v>1277100</v>
      </c>
      <c r="G13172" s="81"/>
      <c r="H13172" s="81"/>
      <c r="I13172" s="81"/>
      <c r="J13172" s="81"/>
      <c r="K13172" s="81"/>
      <c r="L13172" s="81"/>
      <c r="M13172" s="81"/>
      <c r="N13172" s="81"/>
    </row>
    <row r="13173" spans="1:14" ht="14.25" customHeight="1" x14ac:dyDescent="0.25">
      <c r="A13173" s="612" t="s">
        <v>589</v>
      </c>
      <c r="B13173" s="608"/>
      <c r="C13173" s="608"/>
      <c r="D13173" s="608"/>
      <c r="E13173" s="609"/>
      <c r="F13173" s="132"/>
      <c r="G13173" s="81"/>
      <c r="H13173" s="81"/>
      <c r="I13173" s="81"/>
      <c r="J13173" s="81"/>
      <c r="K13173" s="81"/>
      <c r="L13173" s="81"/>
      <c r="M13173" s="81"/>
      <c r="N13173" s="81"/>
    </row>
    <row r="13174" spans="1:14" ht="14.25" customHeight="1" x14ac:dyDescent="0.25">
      <c r="A13174" s="146" t="s">
        <v>556</v>
      </c>
      <c r="B13174" s="147"/>
      <c r="C13174" s="147"/>
      <c r="D13174" s="147"/>
      <c r="E13174" s="148"/>
      <c r="F13174" s="133"/>
      <c r="G13174" s="81"/>
      <c r="H13174" s="81"/>
      <c r="I13174" s="81"/>
      <c r="J13174" s="81"/>
      <c r="K13174" s="81"/>
      <c r="L13174" s="81"/>
      <c r="M13174" s="81"/>
      <c r="N13174" s="81"/>
    </row>
    <row r="13175" spans="1:14" ht="14.25" customHeight="1" x14ac:dyDescent="0.25">
      <c r="A13175" s="134"/>
      <c r="B13175" s="135"/>
      <c r="C13175" s="135"/>
      <c r="D13175" s="135"/>
      <c r="E13175" s="135"/>
      <c r="F13175" s="136"/>
      <c r="G13175" s="81"/>
      <c r="H13175" s="81"/>
      <c r="I13175" s="81"/>
      <c r="J13175" s="81"/>
      <c r="K13175" s="81"/>
      <c r="L13175" s="81"/>
      <c r="M13175" s="81"/>
      <c r="N13175" s="81"/>
    </row>
    <row r="13176" spans="1:14" ht="14.25" customHeight="1" x14ac:dyDescent="0.25">
      <c r="A13176" s="81"/>
      <c r="B13176" s="81"/>
      <c r="C13176" s="137"/>
      <c r="D13176" s="81"/>
      <c r="E13176" s="81"/>
      <c r="F13176" s="81"/>
      <c r="G13176" s="81"/>
      <c r="H13176" s="81"/>
      <c r="I13176" s="81"/>
      <c r="J13176" s="81"/>
      <c r="K13176" s="81"/>
      <c r="L13176" s="81"/>
      <c r="M13176" s="81"/>
      <c r="N13176" s="81"/>
    </row>
    <row r="13177" spans="1:14" ht="14.25" customHeight="1" x14ac:dyDescent="0.25">
      <c r="A13177" s="81"/>
      <c r="B13177" s="81"/>
      <c r="C13177" s="137"/>
      <c r="D13177" s="81"/>
      <c r="E13177" s="81"/>
      <c r="F13177" s="81"/>
      <c r="G13177" s="81"/>
      <c r="H13177" s="81"/>
      <c r="I13177" s="81"/>
      <c r="J13177" s="81"/>
      <c r="K13177" s="81"/>
      <c r="L13177" s="81"/>
      <c r="M13177" s="81"/>
      <c r="N13177" s="81"/>
    </row>
    <row r="13178" spans="1:14" ht="14.25" customHeight="1" x14ac:dyDescent="0.25">
      <c r="A13178" s="81"/>
      <c r="B13178" s="81"/>
      <c r="C13178" s="137"/>
      <c r="D13178" s="81"/>
      <c r="E13178" s="81"/>
      <c r="F13178" s="81"/>
      <c r="G13178" s="81"/>
      <c r="H13178" s="81"/>
      <c r="I13178" s="81"/>
      <c r="J13178" s="81"/>
      <c r="K13178" s="81"/>
      <c r="L13178" s="81"/>
      <c r="M13178" s="81"/>
      <c r="N13178" s="81"/>
    </row>
    <row r="13179" spans="1:14" ht="14.25" customHeight="1" x14ac:dyDescent="0.25">
      <c r="A13179" s="81"/>
      <c r="B13179" s="81"/>
      <c r="C13179" s="137"/>
      <c r="D13179" s="81"/>
      <c r="E13179" s="81"/>
      <c r="F13179" s="81"/>
      <c r="G13179" s="81"/>
      <c r="H13179" s="81"/>
      <c r="I13179" s="81"/>
      <c r="J13179" s="81"/>
      <c r="K13179" s="81"/>
      <c r="L13179" s="81"/>
      <c r="M13179" s="81"/>
      <c r="N13179" s="81"/>
    </row>
    <row r="13180" spans="1:14" ht="14.25" customHeight="1" x14ac:dyDescent="0.25">
      <c r="A13180" s="134"/>
      <c r="B13180" s="135"/>
      <c r="C13180" s="135"/>
      <c r="D13180" s="135"/>
      <c r="E13180" s="135"/>
      <c r="F13180" s="136"/>
      <c r="G13180" s="81"/>
      <c r="H13180" s="81"/>
      <c r="I13180" s="81"/>
      <c r="J13180" s="81"/>
      <c r="K13180" s="81"/>
      <c r="L13180" s="81"/>
      <c r="M13180" s="81"/>
      <c r="N13180" s="81"/>
    </row>
    <row r="13181" spans="1:14" ht="14.25" customHeight="1" x14ac:dyDescent="0.25">
      <c r="A13181" s="134"/>
      <c r="B13181" s="135"/>
      <c r="C13181" s="135"/>
      <c r="D13181" s="135"/>
      <c r="E13181" s="135"/>
      <c r="F13181" s="136"/>
      <c r="G13181" s="81"/>
      <c r="H13181" s="81"/>
      <c r="I13181" s="81"/>
      <c r="J13181" s="81"/>
      <c r="K13181" s="81"/>
      <c r="L13181" s="81"/>
      <c r="M13181" s="81"/>
      <c r="N13181" s="81"/>
    </row>
    <row r="13182" spans="1:14" ht="14.25" customHeight="1" x14ac:dyDescent="0.25">
      <c r="A13182" s="134"/>
      <c r="B13182" s="135"/>
      <c r="C13182" s="135"/>
      <c r="D13182" s="135"/>
      <c r="E13182" s="135"/>
      <c r="F13182" s="135"/>
      <c r="G13182" s="81"/>
      <c r="H13182" s="81"/>
      <c r="I13182" s="81"/>
      <c r="J13182" s="81"/>
      <c r="K13182" s="81"/>
      <c r="L13182" s="81"/>
      <c r="M13182" s="81"/>
      <c r="N13182" s="81"/>
    </row>
    <row r="13183" spans="1:14" ht="14.25" customHeight="1" thickBot="1" x14ac:dyDescent="0.3">
      <c r="A13183" s="81"/>
      <c r="B13183" s="81"/>
      <c r="C13183" s="81"/>
      <c r="D13183" s="81"/>
      <c r="E13183" s="81"/>
      <c r="F13183" s="81"/>
      <c r="G13183" s="81"/>
      <c r="H13183" s="81"/>
      <c r="I13183" s="81"/>
      <c r="J13183" s="81"/>
      <c r="K13183" s="81"/>
      <c r="L13183" s="81"/>
      <c r="M13183" s="81"/>
      <c r="N13183" s="81"/>
    </row>
    <row r="13184" spans="1:14" ht="14.25" customHeight="1" x14ac:dyDescent="0.25">
      <c r="A13184" s="83"/>
      <c r="B13184" s="84"/>
      <c r="C13184" s="85"/>
      <c r="D13184" s="86"/>
      <c r="E13184" s="86"/>
      <c r="F13184" s="87"/>
      <c r="G13184" s="81"/>
      <c r="H13184" s="81"/>
      <c r="I13184" s="81"/>
      <c r="J13184" s="81"/>
      <c r="K13184" s="81"/>
      <c r="L13184" s="81"/>
      <c r="M13184" s="81"/>
      <c r="N13184" s="81"/>
    </row>
    <row r="13185" spans="1:14" ht="14.25" customHeight="1" x14ac:dyDescent="0.25">
      <c r="A13185" s="599"/>
      <c r="B13185" s="600"/>
      <c r="C13185" s="600"/>
      <c r="D13185" s="600"/>
      <c r="E13185" s="600"/>
      <c r="F13185" s="601"/>
      <c r="G13185" s="81"/>
      <c r="H13185" s="81"/>
      <c r="I13185" s="81"/>
      <c r="J13185" s="81"/>
      <c r="K13185" s="81"/>
      <c r="L13185" s="81"/>
      <c r="M13185" s="81"/>
      <c r="N13185" s="81"/>
    </row>
    <row r="13186" spans="1:14" ht="14.25" customHeight="1" x14ac:dyDescent="0.25">
      <c r="A13186" s="602" t="s">
        <v>561</v>
      </c>
      <c r="B13186" s="600"/>
      <c r="C13186" s="600"/>
      <c r="D13186" s="600"/>
      <c r="E13186" s="600"/>
      <c r="F13186" s="601"/>
      <c r="G13186" s="81"/>
      <c r="H13186" s="81"/>
      <c r="I13186" s="81"/>
      <c r="J13186" s="81"/>
      <c r="K13186" s="81"/>
      <c r="L13186" s="81"/>
      <c r="M13186" s="81"/>
      <c r="N13186" s="81"/>
    </row>
    <row r="13187" spans="1:14" s="168" customFormat="1" ht="16.5" customHeight="1" thickBot="1" x14ac:dyDescent="0.3">
      <c r="A13187" s="603"/>
      <c r="B13187" s="604"/>
      <c r="C13187" s="604"/>
      <c r="D13187" s="604"/>
      <c r="E13187" s="604"/>
      <c r="F13187" s="605"/>
      <c r="G13187" s="243"/>
      <c r="H13187" s="243"/>
      <c r="I13187" s="243"/>
      <c r="J13187" s="243"/>
      <c r="K13187" s="243"/>
      <c r="L13187" s="243"/>
      <c r="M13187" s="243"/>
      <c r="N13187" s="243"/>
    </row>
    <row r="13188" spans="1:14" ht="14.25" customHeight="1" x14ac:dyDescent="0.25">
      <c r="A13188" s="88"/>
      <c r="B13188" s="88"/>
      <c r="C13188" s="89"/>
      <c r="D13188" s="89"/>
      <c r="E13188" s="89"/>
      <c r="F13188" s="89"/>
      <c r="G13188" s="81"/>
      <c r="H13188" s="81"/>
      <c r="I13188" s="81"/>
      <c r="J13188" s="81"/>
      <c r="K13188" s="81"/>
      <c r="L13188" s="81"/>
      <c r="M13188" s="81"/>
      <c r="N13188" s="81"/>
    </row>
    <row r="13189" spans="1:14" ht="14.25" customHeight="1" x14ac:dyDescent="0.25">
      <c r="A13189" s="90" t="s">
        <v>47</v>
      </c>
      <c r="B13189" s="613" t="s">
        <v>450</v>
      </c>
      <c r="C13189" s="600"/>
      <c r="D13189" s="600"/>
      <c r="E13189" s="600"/>
      <c r="F13189" s="600"/>
      <c r="G13189" s="81"/>
      <c r="H13189" s="81"/>
      <c r="I13189" s="81"/>
      <c r="J13189" s="81"/>
      <c r="K13189" s="81"/>
      <c r="L13189" s="81"/>
      <c r="M13189" s="81"/>
      <c r="N13189" s="81"/>
    </row>
    <row r="13190" spans="1:14" ht="14.25" customHeight="1" x14ac:dyDescent="0.25">
      <c r="A13190" s="91"/>
      <c r="B13190" s="91"/>
      <c r="C13190" s="91"/>
      <c r="D13190" s="91"/>
      <c r="E13190" s="91"/>
      <c r="F13190" s="91"/>
      <c r="G13190" s="81"/>
      <c r="H13190" s="81"/>
      <c r="I13190" s="81"/>
      <c r="J13190" s="81"/>
      <c r="K13190" s="81"/>
      <c r="L13190" s="81"/>
      <c r="M13190" s="81"/>
      <c r="N13190" s="81"/>
    </row>
    <row r="13191" spans="1:14" ht="14.25" customHeight="1" x14ac:dyDescent="0.25">
      <c r="A13191" s="88" t="s">
        <v>49</v>
      </c>
      <c r="B13191" s="92" t="s">
        <v>99</v>
      </c>
      <c r="C13191" s="89"/>
      <c r="D13191" s="89"/>
      <c r="E13191" s="89"/>
      <c r="F13191" s="93"/>
      <c r="G13191" s="81"/>
      <c r="H13191" s="81"/>
      <c r="I13191" s="81"/>
      <c r="J13191" s="81"/>
      <c r="K13191" s="81"/>
      <c r="L13191" s="81"/>
      <c r="M13191" s="81"/>
      <c r="N13191" s="81"/>
    </row>
    <row r="13192" spans="1:14" ht="14.25" customHeight="1" x14ac:dyDescent="0.25">
      <c r="A13192" s="88"/>
      <c r="B13192" s="94"/>
      <c r="C13192" s="89"/>
      <c r="D13192" s="89"/>
      <c r="E13192" s="89"/>
      <c r="F13192" s="93"/>
      <c r="G13192" s="81"/>
      <c r="H13192" s="81"/>
      <c r="I13192" s="81"/>
      <c r="J13192" s="81"/>
      <c r="K13192" s="81"/>
      <c r="L13192" s="81"/>
      <c r="M13192" s="81"/>
      <c r="N13192" s="81"/>
    </row>
    <row r="13193" spans="1:14" ht="14.25" customHeight="1" x14ac:dyDescent="0.25">
      <c r="A13193" s="95" t="s">
        <v>562</v>
      </c>
      <c r="B13193" s="96"/>
      <c r="C13193" s="92"/>
      <c r="D13193" s="92"/>
      <c r="E13193" s="92"/>
      <c r="F13193" s="92"/>
      <c r="G13193" s="81"/>
      <c r="H13193" s="81"/>
      <c r="I13193" s="81"/>
      <c r="J13193" s="81"/>
      <c r="K13193" s="81"/>
      <c r="L13193" s="81"/>
      <c r="M13193" s="81"/>
      <c r="N13193" s="81"/>
    </row>
    <row r="13194" spans="1:14" ht="14.25" customHeight="1" x14ac:dyDescent="0.25">
      <c r="A13194" s="97" t="s">
        <v>563</v>
      </c>
      <c r="B13194" s="98" t="s">
        <v>564</v>
      </c>
      <c r="C13194" s="98" t="s">
        <v>565</v>
      </c>
      <c r="D13194" s="98" t="s">
        <v>566</v>
      </c>
      <c r="E13194" s="98" t="s">
        <v>567</v>
      </c>
      <c r="F13194" s="98" t="s">
        <v>568</v>
      </c>
      <c r="G13194" s="81"/>
      <c r="H13194" s="81"/>
      <c r="I13194" s="81"/>
      <c r="J13194" s="81"/>
      <c r="K13194" s="81"/>
      <c r="L13194" s="81"/>
      <c r="M13194" s="81"/>
      <c r="N13194" s="81"/>
    </row>
    <row r="13195" spans="1:14" ht="14.25" customHeight="1" x14ac:dyDescent="0.25">
      <c r="A13195" s="99" t="s">
        <v>879</v>
      </c>
      <c r="B13195" s="100" t="s">
        <v>99</v>
      </c>
      <c r="C13195" s="101">
        <v>2015870</v>
      </c>
      <c r="D13195" s="149">
        <v>1</v>
      </c>
      <c r="E13195" s="102">
        <v>0.05</v>
      </c>
      <c r="F13195" s="101">
        <f t="shared" ref="F13195:F13198" si="647">C13195*(D13195+(D13195*E13195))</f>
        <v>2116663.5</v>
      </c>
      <c r="G13195" s="81"/>
      <c r="H13195" s="81"/>
      <c r="I13195" s="81"/>
      <c r="J13195" s="81"/>
      <c r="K13195" s="81"/>
      <c r="L13195" s="81"/>
      <c r="M13195" s="81"/>
      <c r="N13195" s="81"/>
    </row>
    <row r="13196" spans="1:14" ht="14.25" customHeight="1" x14ac:dyDescent="0.25">
      <c r="A13196" s="99"/>
      <c r="B13196" s="100"/>
      <c r="C13196" s="101"/>
      <c r="D13196" s="149"/>
      <c r="E13196" s="102"/>
      <c r="F13196" s="101">
        <f t="shared" si="647"/>
        <v>0</v>
      </c>
      <c r="G13196" s="81"/>
      <c r="H13196" s="81"/>
      <c r="I13196" s="81"/>
      <c r="J13196" s="81"/>
      <c r="K13196" s="81"/>
      <c r="L13196" s="81"/>
      <c r="M13196" s="81"/>
      <c r="N13196" s="81"/>
    </row>
    <row r="13197" spans="1:14" ht="14.25" customHeight="1" x14ac:dyDescent="0.25">
      <c r="A13197" s="99"/>
      <c r="B13197" s="100"/>
      <c r="C13197" s="101"/>
      <c r="D13197" s="149"/>
      <c r="E13197" s="102"/>
      <c r="F13197" s="101">
        <f t="shared" si="647"/>
        <v>0</v>
      </c>
      <c r="G13197" s="81"/>
      <c r="H13197" s="81"/>
      <c r="I13197" s="81"/>
      <c r="J13197" s="81"/>
      <c r="K13197" s="81"/>
      <c r="L13197" s="81"/>
      <c r="M13197" s="81"/>
      <c r="N13197" s="81"/>
    </row>
    <row r="13198" spans="1:14" ht="14.25" customHeight="1" x14ac:dyDescent="0.25">
      <c r="A13198" s="99"/>
      <c r="B13198" s="100"/>
      <c r="C13198" s="101"/>
      <c r="D13198" s="149"/>
      <c r="E13198" s="102"/>
      <c r="F13198" s="101">
        <f t="shared" si="647"/>
        <v>0</v>
      </c>
      <c r="G13198" s="81"/>
      <c r="H13198" s="81"/>
      <c r="I13198" s="81"/>
      <c r="J13198" s="81"/>
      <c r="K13198" s="81"/>
      <c r="L13198" s="81"/>
      <c r="M13198" s="81"/>
      <c r="N13198" s="81"/>
    </row>
    <row r="13199" spans="1:14" ht="14.25" customHeight="1" x14ac:dyDescent="0.25">
      <c r="A13199" s="99"/>
      <c r="B13199" s="100"/>
      <c r="C13199" s="101"/>
      <c r="D13199" s="149"/>
      <c r="E13199" s="102"/>
      <c r="F13199" s="101"/>
      <c r="G13199" s="81"/>
      <c r="H13199" s="81"/>
      <c r="I13199" s="81"/>
      <c r="J13199" s="81"/>
      <c r="K13199" s="81"/>
      <c r="L13199" s="81"/>
      <c r="M13199" s="81"/>
      <c r="N13199" s="81"/>
    </row>
    <row r="13200" spans="1:14" ht="14.25" customHeight="1" x14ac:dyDescent="0.25">
      <c r="A13200" s="99"/>
      <c r="B13200" s="100"/>
      <c r="C13200" s="101"/>
      <c r="D13200" s="149"/>
      <c r="E13200" s="102"/>
      <c r="F13200" s="101"/>
      <c r="G13200" s="81"/>
      <c r="H13200" s="81"/>
      <c r="I13200" s="81"/>
      <c r="J13200" s="81"/>
      <c r="K13200" s="81"/>
      <c r="L13200" s="81"/>
      <c r="M13200" s="81"/>
      <c r="N13200" s="81"/>
    </row>
    <row r="13201" spans="1:14" ht="14.25" customHeight="1" x14ac:dyDescent="0.25">
      <c r="A13201" s="99"/>
      <c r="B13201" s="100"/>
      <c r="C13201" s="101"/>
      <c r="D13201" s="149"/>
      <c r="E13201" s="102"/>
      <c r="F13201" s="101"/>
      <c r="G13201" s="81"/>
      <c r="H13201" s="81"/>
      <c r="I13201" s="81"/>
      <c r="J13201" s="81"/>
      <c r="K13201" s="81"/>
      <c r="L13201" s="81"/>
      <c r="M13201" s="81"/>
      <c r="N13201" s="81"/>
    </row>
    <row r="13202" spans="1:14" ht="14.25" customHeight="1" x14ac:dyDescent="0.25">
      <c r="A13202" s="99"/>
      <c r="B13202" s="100"/>
      <c r="C13202" s="106"/>
      <c r="D13202" s="107"/>
      <c r="E13202" s="108"/>
      <c r="F13202" s="106"/>
      <c r="G13202" s="81"/>
      <c r="H13202" s="81"/>
      <c r="I13202" s="81"/>
      <c r="J13202" s="81"/>
      <c r="K13202" s="81"/>
      <c r="L13202" s="81"/>
      <c r="M13202" s="81"/>
      <c r="N13202" s="81"/>
    </row>
    <row r="13203" spans="1:14" ht="14.25" customHeight="1" x14ac:dyDescent="0.25">
      <c r="A13203" s="97" t="s">
        <v>548</v>
      </c>
      <c r="B13203" s="97"/>
      <c r="C13203" s="109"/>
      <c r="D13203" s="110"/>
      <c r="E13203" s="111"/>
      <c r="F13203" s="112">
        <f>SUM(F13195:F13202)</f>
        <v>2116663.5</v>
      </c>
      <c r="G13203" s="81"/>
      <c r="H13203" s="81"/>
      <c r="I13203" s="81"/>
      <c r="J13203" s="81"/>
      <c r="K13203" s="81"/>
      <c r="L13203" s="81"/>
      <c r="M13203" s="81"/>
      <c r="N13203" s="81"/>
    </row>
    <row r="13204" spans="1:14" ht="14.25" customHeight="1" x14ac:dyDescent="0.25">
      <c r="A13204" s="88"/>
      <c r="B13204" s="88"/>
      <c r="C13204" s="113"/>
      <c r="D13204" s="113"/>
      <c r="E13204" s="114"/>
      <c r="F13204" s="113"/>
      <c r="G13204" s="81"/>
      <c r="H13204" s="81"/>
      <c r="I13204" s="81"/>
      <c r="J13204" s="81"/>
      <c r="K13204" s="81"/>
      <c r="L13204" s="81"/>
      <c r="M13204" s="81"/>
      <c r="N13204" s="81"/>
    </row>
    <row r="13205" spans="1:14" ht="14.25" customHeight="1" x14ac:dyDescent="0.25">
      <c r="A13205" s="96" t="s">
        <v>573</v>
      </c>
      <c r="B13205" s="96"/>
      <c r="C13205" s="92"/>
      <c r="D13205" s="92"/>
      <c r="E13205" s="92"/>
      <c r="F13205" s="92"/>
      <c r="G13205" s="81"/>
      <c r="H13205" s="81"/>
      <c r="I13205" s="81"/>
      <c r="J13205" s="81"/>
      <c r="K13205" s="81"/>
      <c r="L13205" s="81"/>
      <c r="M13205" s="81"/>
      <c r="N13205" s="81"/>
    </row>
    <row r="13206" spans="1:14" ht="14.25" customHeight="1" x14ac:dyDescent="0.25">
      <c r="A13206" s="611" t="s">
        <v>563</v>
      </c>
      <c r="B13206" s="608"/>
      <c r="C13206" s="609"/>
      <c r="D13206" s="98" t="s">
        <v>574</v>
      </c>
      <c r="E13206" s="98" t="s">
        <v>575</v>
      </c>
      <c r="F13206" s="98" t="s">
        <v>568</v>
      </c>
      <c r="G13206" s="81"/>
      <c r="H13206" s="81"/>
      <c r="I13206" s="81"/>
      <c r="J13206" s="81"/>
      <c r="K13206" s="81"/>
      <c r="L13206" s="81"/>
      <c r="M13206" s="81"/>
      <c r="N13206" s="81"/>
    </row>
    <row r="13207" spans="1:14" ht="14.25" customHeight="1" x14ac:dyDescent="0.25">
      <c r="A13207" s="607" t="s">
        <v>577</v>
      </c>
      <c r="B13207" s="608"/>
      <c r="C13207" s="609"/>
      <c r="D13207" s="116"/>
      <c r="E13207" s="107"/>
      <c r="F13207" s="106">
        <f>+F13224*5%</f>
        <v>12849.35613182447</v>
      </c>
      <c r="G13207" s="81"/>
      <c r="H13207" s="81"/>
      <c r="I13207" s="81"/>
      <c r="J13207" s="81"/>
      <c r="K13207" s="81"/>
      <c r="L13207" s="81"/>
      <c r="M13207" s="81"/>
      <c r="N13207" s="81"/>
    </row>
    <row r="13208" spans="1:14" ht="14.25" customHeight="1" x14ac:dyDescent="0.25">
      <c r="A13208" s="607"/>
      <c r="B13208" s="608"/>
      <c r="C13208" s="609"/>
      <c r="D13208" s="142"/>
      <c r="E13208" s="105"/>
      <c r="F13208" s="106"/>
      <c r="G13208" s="81"/>
      <c r="H13208" s="81"/>
      <c r="I13208" s="81"/>
      <c r="J13208" s="81"/>
      <c r="K13208" s="81"/>
      <c r="L13208" s="81"/>
      <c r="M13208" s="81"/>
      <c r="N13208" s="81"/>
    </row>
    <row r="13209" spans="1:14" ht="14.25" customHeight="1" x14ac:dyDescent="0.25">
      <c r="A13209" s="607"/>
      <c r="B13209" s="608"/>
      <c r="C13209" s="609"/>
      <c r="D13209" s="142"/>
      <c r="E13209" s="105"/>
      <c r="F13209" s="106"/>
      <c r="G13209" s="81"/>
      <c r="H13209" s="81"/>
      <c r="I13209" s="81"/>
      <c r="J13209" s="81"/>
      <c r="K13209" s="81"/>
      <c r="L13209" s="81"/>
      <c r="M13209" s="81"/>
      <c r="N13209" s="81"/>
    </row>
    <row r="13210" spans="1:14" ht="14.25" customHeight="1" x14ac:dyDescent="0.25">
      <c r="A13210" s="607"/>
      <c r="B13210" s="608"/>
      <c r="C13210" s="609"/>
      <c r="D13210" s="142"/>
      <c r="E13210" s="107"/>
      <c r="F13210" s="106"/>
      <c r="G13210" s="81"/>
      <c r="H13210" s="81"/>
      <c r="I13210" s="81"/>
      <c r="J13210" s="81"/>
      <c r="K13210" s="81"/>
      <c r="L13210" s="81"/>
      <c r="M13210" s="81"/>
      <c r="N13210" s="81"/>
    </row>
    <row r="13211" spans="1:14" ht="14.25" customHeight="1" x14ac:dyDescent="0.25">
      <c r="A13211" s="607"/>
      <c r="B13211" s="608"/>
      <c r="C13211" s="609"/>
      <c r="D13211" s="142"/>
      <c r="E13211" s="107"/>
      <c r="F13211" s="106"/>
      <c r="G13211" s="81"/>
      <c r="H13211" s="117"/>
      <c r="I13211" s="81"/>
      <c r="J13211" s="81"/>
      <c r="K13211" s="81"/>
      <c r="L13211" s="81"/>
      <c r="M13211" s="81"/>
      <c r="N13211" s="81"/>
    </row>
    <row r="13212" spans="1:14" ht="14.25" customHeight="1" x14ac:dyDescent="0.25">
      <c r="A13212" s="607"/>
      <c r="B13212" s="608"/>
      <c r="C13212" s="609"/>
      <c r="D13212" s="142"/>
      <c r="E13212" s="107"/>
      <c r="F13212" s="106"/>
      <c r="G13212" s="81"/>
      <c r="H13212" s="81"/>
      <c r="I13212" s="81"/>
      <c r="J13212" s="81"/>
      <c r="K13212" s="81"/>
      <c r="L13212" s="81"/>
      <c r="M13212" s="81"/>
      <c r="N13212" s="81"/>
    </row>
    <row r="13213" spans="1:14" ht="14.25" customHeight="1" x14ac:dyDescent="0.25">
      <c r="A13213" s="607"/>
      <c r="B13213" s="608"/>
      <c r="C13213" s="609"/>
      <c r="D13213" s="142"/>
      <c r="E13213" s="107"/>
      <c r="F13213" s="106"/>
      <c r="G13213" s="81"/>
      <c r="H13213" s="143"/>
      <c r="I13213" s="81"/>
      <c r="J13213" s="81"/>
      <c r="K13213" s="81"/>
      <c r="L13213" s="81"/>
      <c r="M13213" s="81"/>
      <c r="N13213" s="81"/>
    </row>
    <row r="13214" spans="1:14" ht="14.25" customHeight="1" x14ac:dyDescent="0.25">
      <c r="A13214" s="607"/>
      <c r="B13214" s="608"/>
      <c r="C13214" s="609"/>
      <c r="D13214" s="142"/>
      <c r="E13214" s="107"/>
      <c r="F13214" s="106"/>
      <c r="G13214" s="81"/>
      <c r="H13214" s="81"/>
      <c r="I13214" s="81"/>
      <c r="J13214" s="81"/>
      <c r="K13214" s="81"/>
      <c r="L13214" s="81"/>
      <c r="M13214" s="81"/>
      <c r="N13214" s="81"/>
    </row>
    <row r="13215" spans="1:14" ht="14.25" customHeight="1" x14ac:dyDescent="0.25">
      <c r="A13215" s="610"/>
      <c r="B13215" s="608"/>
      <c r="C13215" s="609"/>
      <c r="D13215" s="115"/>
      <c r="E13215" s="107"/>
      <c r="F13215" s="106"/>
      <c r="G13215" s="81"/>
      <c r="H13215" s="81"/>
      <c r="I13215" s="81"/>
      <c r="J13215" s="81"/>
      <c r="K13215" s="81"/>
      <c r="L13215" s="81"/>
      <c r="M13215" s="81"/>
      <c r="N13215" s="81"/>
    </row>
    <row r="13216" spans="1:14" ht="14.25" customHeight="1" x14ac:dyDescent="0.25">
      <c r="A13216" s="611" t="s">
        <v>548</v>
      </c>
      <c r="B13216" s="608"/>
      <c r="C13216" s="609"/>
      <c r="D13216" s="110"/>
      <c r="E13216" s="110"/>
      <c r="F13216" s="112">
        <f>SUM(F13207:F13214)</f>
        <v>12849.35613182447</v>
      </c>
      <c r="G13216" s="81"/>
      <c r="H13216" s="81"/>
      <c r="I13216" s="81"/>
      <c r="J13216" s="81"/>
      <c r="K13216" s="81"/>
      <c r="L13216" s="81"/>
      <c r="M13216" s="81"/>
      <c r="N13216" s="81"/>
    </row>
    <row r="13217" spans="1:14" ht="14.25" customHeight="1" x14ac:dyDescent="0.25">
      <c r="A13217" s="88"/>
      <c r="B13217" s="88"/>
      <c r="C13217" s="89"/>
      <c r="D13217" s="113"/>
      <c r="E13217" s="113"/>
      <c r="F13217" s="113"/>
      <c r="G13217" s="81"/>
      <c r="H13217" s="81"/>
      <c r="I13217" s="81"/>
      <c r="J13217" s="81"/>
      <c r="K13217" s="81"/>
      <c r="L13217" s="81"/>
      <c r="M13217" s="81"/>
      <c r="N13217" s="81"/>
    </row>
    <row r="13218" spans="1:14" ht="14.25" customHeight="1" x14ac:dyDescent="0.25">
      <c r="A13218" s="96" t="s">
        <v>578</v>
      </c>
      <c r="B13218" s="96"/>
      <c r="C13218" s="92"/>
      <c r="D13218" s="118"/>
      <c r="E13218" s="118"/>
      <c r="F13218" s="118"/>
      <c r="G13218" s="81"/>
      <c r="H13218" s="81"/>
      <c r="I13218" s="81"/>
      <c r="J13218" s="81"/>
      <c r="K13218" s="81"/>
      <c r="L13218" s="81"/>
      <c r="M13218" s="81"/>
      <c r="N13218" s="81"/>
    </row>
    <row r="13219" spans="1:14" ht="14.25" customHeight="1" x14ac:dyDescent="0.25">
      <c r="A13219" s="119" t="s">
        <v>563</v>
      </c>
      <c r="B13219" s="120" t="s">
        <v>579</v>
      </c>
      <c r="C13219" s="120" t="s">
        <v>580</v>
      </c>
      <c r="D13219" s="121" t="s">
        <v>581</v>
      </c>
      <c r="E13219" s="121" t="s">
        <v>575</v>
      </c>
      <c r="F13219" s="121" t="s">
        <v>568</v>
      </c>
      <c r="G13219" s="81"/>
      <c r="H13219" s="81"/>
      <c r="I13219" s="81"/>
      <c r="J13219" s="81"/>
      <c r="K13219" s="81"/>
      <c r="L13219" s="81"/>
      <c r="M13219" s="81"/>
      <c r="N13219" s="81"/>
    </row>
    <row r="13220" spans="1:14" ht="14.25" customHeight="1" x14ac:dyDescent="0.25">
      <c r="A13220" s="122" t="s">
        <v>593</v>
      </c>
      <c r="B13220" s="127">
        <v>1</v>
      </c>
      <c r="C13220" s="101">
        <v>32688</v>
      </c>
      <c r="D13220" s="101">
        <f t="shared" ref="D13220:D13221" si="648">+C13220*1.7</f>
        <v>55569.599999999999</v>
      </c>
      <c r="E13220" s="107">
        <v>0.56377999999999995</v>
      </c>
      <c r="F13220" s="106">
        <f t="shared" ref="F13220:F13221" si="649">+B13220*(D13220)/E13220</f>
        <v>98566.107346837423</v>
      </c>
      <c r="G13220" s="81"/>
      <c r="H13220" s="81"/>
      <c r="I13220" s="81"/>
      <c r="J13220" s="81"/>
      <c r="K13220" s="81"/>
      <c r="L13220" s="81"/>
      <c r="M13220" s="81"/>
      <c r="N13220" s="81"/>
    </row>
    <row r="13221" spans="1:14" ht="14.25" customHeight="1" x14ac:dyDescent="0.25">
      <c r="A13221" s="122" t="s">
        <v>594</v>
      </c>
      <c r="B13221" s="127">
        <v>1</v>
      </c>
      <c r="C13221" s="101">
        <v>52538</v>
      </c>
      <c r="D13221" s="101">
        <f t="shared" si="648"/>
        <v>89314.599999999991</v>
      </c>
      <c r="E13221" s="107">
        <f>E13220</f>
        <v>0.56377999999999995</v>
      </c>
      <c r="F13221" s="106">
        <f t="shared" si="649"/>
        <v>158421.01528965199</v>
      </c>
      <c r="G13221" s="81"/>
      <c r="H13221" s="81"/>
      <c r="I13221" s="81"/>
      <c r="J13221" s="81"/>
      <c r="K13221" s="81"/>
      <c r="L13221" s="81"/>
      <c r="M13221" s="81"/>
      <c r="N13221" s="81"/>
    </row>
    <row r="13222" spans="1:14" ht="14.25" customHeight="1" x14ac:dyDescent="0.25">
      <c r="A13222" s="122"/>
      <c r="B13222" s="127"/>
      <c r="C13222" s="101"/>
      <c r="D13222" s="101"/>
      <c r="E13222" s="105"/>
      <c r="F13222" s="106"/>
      <c r="G13222" s="81"/>
      <c r="H13222" s="81"/>
      <c r="I13222" s="81"/>
      <c r="J13222" s="81"/>
      <c r="K13222" s="81"/>
      <c r="L13222" s="81"/>
      <c r="M13222" s="81"/>
      <c r="N13222" s="81"/>
    </row>
    <row r="13223" spans="1:14" ht="14.25" customHeight="1" x14ac:dyDescent="0.25">
      <c r="A13223" s="122"/>
      <c r="B13223" s="127"/>
      <c r="C13223" s="101"/>
      <c r="D13223" s="101"/>
      <c r="E13223" s="125"/>
      <c r="F13223" s="106"/>
      <c r="G13223" s="81"/>
      <c r="H13223" s="81"/>
      <c r="I13223" s="81"/>
      <c r="J13223" s="81"/>
      <c r="K13223" s="81"/>
      <c r="L13223" s="81"/>
      <c r="M13223" s="81"/>
      <c r="N13223" s="81"/>
    </row>
    <row r="13224" spans="1:14" ht="14.25" customHeight="1" x14ac:dyDescent="0.25">
      <c r="A13224" s="97" t="s">
        <v>548</v>
      </c>
      <c r="B13224" s="128"/>
      <c r="C13224" s="110"/>
      <c r="D13224" s="110"/>
      <c r="E13224" s="110"/>
      <c r="F13224" s="112">
        <f>SUM(F13220:F13223)</f>
        <v>256987.1226364894</v>
      </c>
      <c r="G13224" s="81"/>
      <c r="H13224" s="81"/>
      <c r="I13224" s="81"/>
      <c r="J13224" s="81"/>
      <c r="K13224" s="81"/>
      <c r="L13224" s="81"/>
      <c r="M13224" s="81"/>
      <c r="N13224" s="81"/>
    </row>
    <row r="13225" spans="1:14" ht="14.25" customHeight="1" x14ac:dyDescent="0.25">
      <c r="A13225" s="96"/>
      <c r="B13225" s="129"/>
      <c r="C13225" s="118"/>
      <c r="D13225" s="118"/>
      <c r="E13225" s="118"/>
      <c r="F13225" s="118"/>
      <c r="G13225" s="81"/>
      <c r="H13225" s="81"/>
      <c r="I13225" s="81"/>
      <c r="J13225" s="81"/>
      <c r="K13225" s="81"/>
      <c r="L13225" s="81"/>
      <c r="M13225" s="81"/>
      <c r="N13225" s="81"/>
    </row>
    <row r="13226" spans="1:14" ht="14.25" customHeight="1" x14ac:dyDescent="0.25">
      <c r="A13226" s="95" t="s">
        <v>583</v>
      </c>
      <c r="B13226" s="96"/>
      <c r="C13226" s="92"/>
      <c r="D13226" s="92"/>
      <c r="E13226" s="92" t="s">
        <v>584</v>
      </c>
      <c r="F13226" s="92"/>
      <c r="G13226" s="81"/>
      <c r="H13226" s="81"/>
      <c r="I13226" s="81"/>
      <c r="J13226" s="81"/>
      <c r="K13226" s="81"/>
      <c r="L13226" s="81"/>
      <c r="M13226" s="81"/>
      <c r="N13226" s="81"/>
    </row>
    <row r="13227" spans="1:14" ht="14.25" customHeight="1" x14ac:dyDescent="0.25">
      <c r="A13227" s="97" t="s">
        <v>563</v>
      </c>
      <c r="B13227" s="98" t="s">
        <v>564</v>
      </c>
      <c r="C13227" s="98" t="s">
        <v>585</v>
      </c>
      <c r="D13227" s="98" t="s">
        <v>586</v>
      </c>
      <c r="E13227" s="120" t="s">
        <v>587</v>
      </c>
      <c r="F13227" s="98" t="s">
        <v>568</v>
      </c>
      <c r="G13227" s="81"/>
      <c r="H13227" s="81"/>
      <c r="I13227" s="81"/>
      <c r="J13227" s="81"/>
      <c r="K13227" s="81"/>
      <c r="L13227" s="81"/>
      <c r="M13227" s="81"/>
      <c r="N13227" s="81"/>
    </row>
    <row r="13228" spans="1:14" ht="14.25" customHeight="1" x14ac:dyDescent="0.25">
      <c r="A13228" s="103"/>
      <c r="B13228" s="100"/>
      <c r="C13228" s="101"/>
      <c r="D13228" s="140"/>
      <c r="E13228" s="107"/>
      <c r="F13228" s="109"/>
      <c r="G13228" s="81"/>
      <c r="H13228" s="81"/>
      <c r="I13228" s="81"/>
      <c r="J13228" s="81"/>
      <c r="K13228" s="81"/>
      <c r="L13228" s="81"/>
      <c r="M13228" s="81"/>
      <c r="N13228" s="81"/>
    </row>
    <row r="13229" spans="1:14" ht="14.25" customHeight="1" x14ac:dyDescent="0.25">
      <c r="A13229" s="103"/>
      <c r="B13229" s="100"/>
      <c r="C13229" s="107"/>
      <c r="D13229" s="107"/>
      <c r="E13229" s="108"/>
      <c r="F13229" s="109"/>
      <c r="G13229" s="81"/>
      <c r="H13229" s="81"/>
      <c r="I13229" s="81"/>
      <c r="J13229" s="81"/>
      <c r="K13229" s="81"/>
      <c r="L13229" s="81"/>
      <c r="M13229" s="81"/>
      <c r="N13229" s="81"/>
    </row>
    <row r="13230" spans="1:14" ht="14.25" customHeight="1" x14ac:dyDescent="0.25">
      <c r="A13230" s="97" t="s">
        <v>548</v>
      </c>
      <c r="B13230" s="98"/>
      <c r="C13230" s="110"/>
      <c r="D13230" s="110"/>
      <c r="E13230" s="111"/>
      <c r="F13230" s="112">
        <f>SUM(F13228:F13229)</f>
        <v>0</v>
      </c>
      <c r="G13230" s="81"/>
      <c r="H13230" s="81"/>
      <c r="I13230" s="81"/>
      <c r="J13230" s="81"/>
      <c r="K13230" s="81"/>
      <c r="L13230" s="81"/>
      <c r="M13230" s="81"/>
      <c r="N13230" s="81"/>
    </row>
    <row r="13231" spans="1:14" ht="14.25" customHeight="1" x14ac:dyDescent="0.25">
      <c r="A13231" s="88"/>
      <c r="B13231" s="89"/>
      <c r="C13231" s="113"/>
      <c r="D13231" s="113"/>
      <c r="E13231" s="114"/>
      <c r="F13231" s="113"/>
      <c r="G13231" s="81"/>
      <c r="H13231" s="81"/>
      <c r="I13231" s="81"/>
      <c r="J13231" s="81"/>
      <c r="K13231" s="81"/>
      <c r="L13231" s="81"/>
      <c r="M13231" s="81"/>
      <c r="N13231" s="81"/>
    </row>
    <row r="13232" spans="1:14" s="168" customFormat="1" ht="15.75" x14ac:dyDescent="0.25">
      <c r="A13232" s="88"/>
      <c r="B13232" s="89"/>
      <c r="C13232" s="113"/>
      <c r="D13232" s="113"/>
      <c r="E13232" s="114"/>
      <c r="F13232" s="113"/>
      <c r="G13232" s="243"/>
      <c r="H13232" s="243"/>
      <c r="I13232" s="243"/>
      <c r="J13232" s="243"/>
      <c r="K13232" s="243"/>
      <c r="L13232" s="243"/>
      <c r="M13232" s="243"/>
      <c r="N13232" s="243"/>
    </row>
    <row r="13233" spans="1:14" ht="14.25" customHeight="1" x14ac:dyDescent="0.25">
      <c r="A13233" s="612" t="s">
        <v>588</v>
      </c>
      <c r="B13233" s="608"/>
      <c r="C13233" s="608"/>
      <c r="D13233" s="608"/>
      <c r="E13233" s="609"/>
      <c r="F13233" s="131">
        <f>ROUND(F13203+F13216+F13224+F13230,0)</f>
        <v>2386500</v>
      </c>
      <c r="G13233" s="81"/>
      <c r="H13233" s="81"/>
      <c r="I13233" s="81"/>
      <c r="J13233" s="81"/>
      <c r="K13233" s="81"/>
      <c r="L13233" s="81"/>
      <c r="M13233" s="81"/>
      <c r="N13233" s="81"/>
    </row>
    <row r="13234" spans="1:14" ht="14.25" customHeight="1" x14ac:dyDescent="0.25">
      <c r="A13234" s="612" t="s">
        <v>589</v>
      </c>
      <c r="B13234" s="608"/>
      <c r="C13234" s="608"/>
      <c r="D13234" s="608"/>
      <c r="E13234" s="609"/>
      <c r="F13234" s="132"/>
      <c r="G13234" s="81"/>
      <c r="H13234" s="81"/>
      <c r="I13234" s="81"/>
      <c r="J13234" s="81"/>
      <c r="K13234" s="81"/>
      <c r="L13234" s="81"/>
      <c r="M13234" s="81"/>
      <c r="N13234" s="81"/>
    </row>
    <row r="13235" spans="1:14" ht="14.25" customHeight="1" x14ac:dyDescent="0.25">
      <c r="A13235" s="146" t="s">
        <v>556</v>
      </c>
      <c r="B13235" s="147"/>
      <c r="C13235" s="147"/>
      <c r="D13235" s="147"/>
      <c r="E13235" s="148"/>
      <c r="F13235" s="133"/>
      <c r="G13235" s="81"/>
      <c r="H13235" s="81"/>
      <c r="I13235" s="81"/>
      <c r="J13235" s="81"/>
      <c r="K13235" s="81"/>
      <c r="L13235" s="81"/>
      <c r="M13235" s="81"/>
      <c r="N13235" s="81"/>
    </row>
    <row r="13236" spans="1:14" ht="14.25" customHeight="1" x14ac:dyDescent="0.25">
      <c r="A13236" s="134"/>
      <c r="B13236" s="135"/>
      <c r="C13236" s="135"/>
      <c r="D13236" s="135"/>
      <c r="E13236" s="135"/>
      <c r="F13236" s="136"/>
      <c r="G13236" s="81"/>
      <c r="H13236" s="81"/>
      <c r="I13236" s="81"/>
      <c r="J13236" s="81"/>
      <c r="K13236" s="81"/>
      <c r="L13236" s="81"/>
      <c r="M13236" s="81"/>
      <c r="N13236" s="81"/>
    </row>
    <row r="13237" spans="1:14" ht="14.25" customHeight="1" x14ac:dyDescent="0.25">
      <c r="A13237" s="81"/>
      <c r="B13237" s="81"/>
      <c r="C13237" s="137"/>
      <c r="D13237" s="81"/>
      <c r="E13237" s="81"/>
      <c r="F13237" s="81"/>
      <c r="G13237" s="81"/>
      <c r="H13237" s="81"/>
      <c r="I13237" s="81"/>
      <c r="J13237" s="81"/>
      <c r="K13237" s="81"/>
      <c r="L13237" s="81"/>
      <c r="M13237" s="81"/>
      <c r="N13237" s="81"/>
    </row>
    <row r="13238" spans="1:14" ht="14.25" customHeight="1" x14ac:dyDescent="0.25">
      <c r="A13238" s="81"/>
      <c r="B13238" s="81"/>
      <c r="C13238" s="137"/>
      <c r="D13238" s="81"/>
      <c r="E13238" s="81"/>
      <c r="F13238" s="81"/>
      <c r="G13238" s="81"/>
      <c r="H13238" s="81"/>
      <c r="I13238" s="81"/>
      <c r="J13238" s="81"/>
      <c r="K13238" s="81"/>
      <c r="L13238" s="81"/>
      <c r="M13238" s="81"/>
      <c r="N13238" s="81"/>
    </row>
    <row r="13239" spans="1:14" ht="14.25" customHeight="1" x14ac:dyDescent="0.25">
      <c r="A13239" s="81"/>
      <c r="B13239" s="81"/>
      <c r="C13239" s="137"/>
      <c r="D13239" s="81"/>
      <c r="E13239" s="81"/>
      <c r="F13239" s="81"/>
      <c r="G13239" s="81"/>
      <c r="H13239" s="81"/>
      <c r="I13239" s="81"/>
      <c r="J13239" s="81"/>
      <c r="K13239" s="81"/>
      <c r="L13239" s="81"/>
      <c r="M13239" s="81"/>
      <c r="N13239" s="81"/>
    </row>
    <row r="13240" spans="1:14" ht="14.25" customHeight="1" x14ac:dyDescent="0.25">
      <c r="A13240" s="81"/>
      <c r="B13240" s="81"/>
      <c r="C13240" s="137"/>
      <c r="D13240" s="81"/>
      <c r="E13240" s="81"/>
      <c r="F13240" s="81"/>
      <c r="G13240" s="81"/>
      <c r="H13240" s="81"/>
      <c r="I13240" s="81"/>
      <c r="J13240" s="81"/>
      <c r="K13240" s="81"/>
      <c r="L13240" s="81"/>
      <c r="M13240" s="81"/>
      <c r="N13240" s="81"/>
    </row>
    <row r="13241" spans="1:14" ht="14.25" customHeight="1" x14ac:dyDescent="0.25">
      <c r="A13241" s="134"/>
      <c r="B13241" s="135"/>
      <c r="C13241" s="135"/>
      <c r="D13241" s="135"/>
      <c r="E13241" s="135"/>
      <c r="F13241" s="136"/>
      <c r="G13241" s="81"/>
      <c r="H13241" s="81"/>
      <c r="I13241" s="81"/>
      <c r="J13241" s="81"/>
      <c r="K13241" s="81"/>
      <c r="L13241" s="81"/>
      <c r="M13241" s="81"/>
      <c r="N13241" s="81"/>
    </row>
    <row r="13242" spans="1:14" ht="14.25" customHeight="1" x14ac:dyDescent="0.25">
      <c r="A13242" s="134"/>
      <c r="B13242" s="135"/>
      <c r="C13242" s="135"/>
      <c r="D13242" s="135"/>
      <c r="E13242" s="135"/>
      <c r="F13242" s="136"/>
      <c r="G13242" s="81"/>
      <c r="H13242" s="81"/>
      <c r="I13242" s="81"/>
      <c r="J13242" s="81"/>
      <c r="K13242" s="81"/>
      <c r="L13242" s="81"/>
      <c r="M13242" s="81"/>
      <c r="N13242" s="81"/>
    </row>
    <row r="13243" spans="1:14" ht="14.25" customHeight="1" x14ac:dyDescent="0.25">
      <c r="A13243" s="134"/>
      <c r="B13243" s="135"/>
      <c r="C13243" s="135"/>
      <c r="D13243" s="135"/>
      <c r="E13243" s="135"/>
      <c r="F13243" s="135"/>
      <c r="G13243" s="81"/>
      <c r="H13243" s="81"/>
      <c r="I13243" s="81"/>
      <c r="J13243" s="81"/>
      <c r="K13243" s="81"/>
      <c r="L13243" s="81"/>
      <c r="M13243" s="81"/>
      <c r="N13243" s="81"/>
    </row>
    <row r="13244" spans="1:14" ht="14.25" customHeight="1" thickBot="1" x14ac:dyDescent="0.3">
      <c r="A13244" s="81"/>
      <c r="B13244" s="81"/>
      <c r="C13244" s="81"/>
      <c r="D13244" s="81"/>
      <c r="E13244" s="81"/>
      <c r="F13244" s="81"/>
      <c r="G13244" s="81"/>
      <c r="H13244" s="81"/>
      <c r="I13244" s="81"/>
      <c r="J13244" s="81"/>
      <c r="K13244" s="81"/>
      <c r="L13244" s="81"/>
      <c r="M13244" s="81"/>
      <c r="N13244" s="81"/>
    </row>
    <row r="13245" spans="1:14" ht="14.25" customHeight="1" x14ac:dyDescent="0.25">
      <c r="A13245" s="83"/>
      <c r="B13245" s="84"/>
      <c r="C13245" s="85"/>
      <c r="D13245" s="86"/>
      <c r="E13245" s="86"/>
      <c r="F13245" s="87"/>
      <c r="G13245" s="81"/>
      <c r="H13245" s="81"/>
      <c r="I13245" s="81"/>
      <c r="J13245" s="81"/>
      <c r="K13245" s="81"/>
      <c r="L13245" s="81"/>
      <c r="M13245" s="81"/>
      <c r="N13245" s="81"/>
    </row>
    <row r="13246" spans="1:14" ht="14.25" customHeight="1" x14ac:dyDescent="0.25">
      <c r="A13246" s="599"/>
      <c r="B13246" s="600"/>
      <c r="C13246" s="600"/>
      <c r="D13246" s="600"/>
      <c r="E13246" s="600"/>
      <c r="F13246" s="601"/>
      <c r="G13246" s="81"/>
      <c r="H13246" s="81"/>
      <c r="I13246" s="81"/>
      <c r="J13246" s="81"/>
      <c r="K13246" s="81"/>
      <c r="L13246" s="81"/>
      <c r="M13246" s="81"/>
      <c r="N13246" s="81"/>
    </row>
    <row r="13247" spans="1:14" ht="14.25" customHeight="1" x14ac:dyDescent="0.25">
      <c r="A13247" s="602" t="s">
        <v>561</v>
      </c>
      <c r="B13247" s="600"/>
      <c r="C13247" s="600"/>
      <c r="D13247" s="600"/>
      <c r="E13247" s="600"/>
      <c r="F13247" s="601"/>
      <c r="G13247" s="81"/>
      <c r="H13247" s="81"/>
      <c r="I13247" s="81"/>
      <c r="J13247" s="81"/>
      <c r="K13247" s="81"/>
      <c r="L13247" s="81"/>
      <c r="M13247" s="81"/>
      <c r="N13247" s="81"/>
    </row>
    <row r="13248" spans="1:14" ht="14.25" customHeight="1" thickBot="1" x14ac:dyDescent="0.3">
      <c r="A13248" s="603"/>
      <c r="B13248" s="604"/>
      <c r="C13248" s="604"/>
      <c r="D13248" s="604"/>
      <c r="E13248" s="604"/>
      <c r="F13248" s="605"/>
      <c r="G13248" s="81"/>
      <c r="H13248" s="81"/>
      <c r="I13248" s="81"/>
      <c r="J13248" s="81"/>
      <c r="K13248" s="81"/>
      <c r="L13248" s="81"/>
      <c r="M13248" s="81"/>
      <c r="N13248" s="81"/>
    </row>
    <row r="13249" spans="1:14" ht="14.25" customHeight="1" x14ac:dyDescent="0.25">
      <c r="A13249" s="88"/>
      <c r="B13249" s="88"/>
      <c r="C13249" s="89"/>
      <c r="D13249" s="89"/>
      <c r="E13249" s="89"/>
      <c r="F13249" s="89"/>
      <c r="G13249" s="81"/>
      <c r="H13249" s="81"/>
      <c r="I13249" s="81"/>
      <c r="J13249" s="81"/>
      <c r="K13249" s="81"/>
      <c r="L13249" s="81"/>
      <c r="M13249" s="81"/>
      <c r="N13249" s="81"/>
    </row>
    <row r="13250" spans="1:14" ht="14.25" customHeight="1" x14ac:dyDescent="0.25">
      <c r="A13250" s="90" t="s">
        <v>47</v>
      </c>
      <c r="B13250" s="613" t="s">
        <v>451</v>
      </c>
      <c r="C13250" s="600"/>
      <c r="D13250" s="600"/>
      <c r="E13250" s="600"/>
      <c r="F13250" s="600"/>
      <c r="G13250" s="81"/>
      <c r="H13250" s="81"/>
      <c r="I13250" s="81"/>
      <c r="J13250" s="81"/>
      <c r="K13250" s="81"/>
      <c r="L13250" s="81"/>
      <c r="M13250" s="81"/>
      <c r="N13250" s="81"/>
    </row>
    <row r="13251" spans="1:14" ht="14.25" customHeight="1" x14ac:dyDescent="0.25">
      <c r="A13251" s="91"/>
      <c r="B13251" s="91"/>
      <c r="C13251" s="91"/>
      <c r="D13251" s="91"/>
      <c r="E13251" s="91"/>
      <c r="F13251" s="91"/>
      <c r="G13251" s="81"/>
      <c r="H13251" s="81"/>
      <c r="I13251" s="81"/>
      <c r="J13251" s="81"/>
      <c r="K13251" s="81"/>
      <c r="L13251" s="81"/>
      <c r="M13251" s="81"/>
      <c r="N13251" s="81"/>
    </row>
    <row r="13252" spans="1:14" ht="14.25" customHeight="1" x14ac:dyDescent="0.25">
      <c r="A13252" s="88" t="s">
        <v>49</v>
      </c>
      <c r="B13252" s="92" t="s">
        <v>99</v>
      </c>
      <c r="C13252" s="89"/>
      <c r="D13252" s="89"/>
      <c r="E13252" s="89"/>
      <c r="F13252" s="93"/>
      <c r="G13252" s="81"/>
      <c r="H13252" s="81"/>
      <c r="I13252" s="81"/>
      <c r="J13252" s="81"/>
      <c r="K13252" s="81"/>
      <c r="L13252" s="81"/>
      <c r="M13252" s="81"/>
      <c r="N13252" s="81"/>
    </row>
    <row r="13253" spans="1:14" ht="14.25" customHeight="1" x14ac:dyDescent="0.25">
      <c r="A13253" s="88"/>
      <c r="B13253" s="94"/>
      <c r="C13253" s="89"/>
      <c r="D13253" s="89"/>
      <c r="E13253" s="89"/>
      <c r="F13253" s="93"/>
      <c r="G13253" s="81"/>
      <c r="H13253" s="81"/>
      <c r="I13253" s="81"/>
      <c r="J13253" s="81"/>
      <c r="K13253" s="81"/>
      <c r="L13253" s="81"/>
      <c r="M13253" s="81"/>
      <c r="N13253" s="81"/>
    </row>
    <row r="13254" spans="1:14" ht="14.25" customHeight="1" x14ac:dyDescent="0.25">
      <c r="A13254" s="95" t="s">
        <v>562</v>
      </c>
      <c r="B13254" s="96"/>
      <c r="C13254" s="92"/>
      <c r="D13254" s="92"/>
      <c r="E13254" s="92"/>
      <c r="F13254" s="92"/>
      <c r="G13254" s="81"/>
      <c r="H13254" s="81"/>
      <c r="I13254" s="81"/>
      <c r="J13254" s="81"/>
      <c r="K13254" s="81"/>
      <c r="L13254" s="81"/>
      <c r="M13254" s="81"/>
      <c r="N13254" s="81"/>
    </row>
    <row r="13255" spans="1:14" ht="14.25" customHeight="1" x14ac:dyDescent="0.25">
      <c r="A13255" s="97" t="s">
        <v>563</v>
      </c>
      <c r="B13255" s="98" t="s">
        <v>564</v>
      </c>
      <c r="C13255" s="98" t="s">
        <v>565</v>
      </c>
      <c r="D13255" s="98" t="s">
        <v>566</v>
      </c>
      <c r="E13255" s="98" t="s">
        <v>567</v>
      </c>
      <c r="F13255" s="98" t="s">
        <v>568</v>
      </c>
      <c r="G13255" s="81"/>
      <c r="H13255" s="81"/>
      <c r="I13255" s="81"/>
      <c r="J13255" s="81"/>
      <c r="K13255" s="81"/>
      <c r="L13255" s="81"/>
      <c r="M13255" s="81"/>
      <c r="N13255" s="81"/>
    </row>
    <row r="13256" spans="1:14" ht="14.25" customHeight="1" x14ac:dyDescent="0.25">
      <c r="A13256" s="99" t="s">
        <v>880</v>
      </c>
      <c r="B13256" s="100" t="s">
        <v>99</v>
      </c>
      <c r="C13256" s="101">
        <v>53990</v>
      </c>
      <c r="D13256" s="149">
        <v>1</v>
      </c>
      <c r="E13256" s="102">
        <v>0.05</v>
      </c>
      <c r="F13256" s="101">
        <f t="shared" ref="F13256:F13259" si="650">C13256*(D13256+(D13256*E13256))</f>
        <v>56689.5</v>
      </c>
      <c r="G13256" s="81"/>
      <c r="H13256" s="81"/>
      <c r="I13256" s="81"/>
      <c r="J13256" s="81"/>
      <c r="K13256" s="81"/>
      <c r="L13256" s="81"/>
      <c r="M13256" s="81"/>
      <c r="N13256" s="81"/>
    </row>
    <row r="13257" spans="1:14" ht="14.25" customHeight="1" x14ac:dyDescent="0.25">
      <c r="A13257" s="99"/>
      <c r="B13257" s="100"/>
      <c r="C13257" s="101"/>
      <c r="D13257" s="149"/>
      <c r="E13257" s="102"/>
      <c r="F13257" s="101">
        <f t="shared" si="650"/>
        <v>0</v>
      </c>
      <c r="G13257" s="81"/>
      <c r="H13257" s="81"/>
      <c r="I13257" s="81"/>
      <c r="J13257" s="81"/>
      <c r="K13257" s="81"/>
      <c r="L13257" s="81"/>
      <c r="M13257" s="81"/>
      <c r="N13257" s="81"/>
    </row>
    <row r="13258" spans="1:14" ht="14.25" customHeight="1" x14ac:dyDescent="0.25">
      <c r="A13258" s="99"/>
      <c r="B13258" s="100"/>
      <c r="C13258" s="101"/>
      <c r="D13258" s="149"/>
      <c r="E13258" s="102"/>
      <c r="F13258" s="101">
        <f t="shared" si="650"/>
        <v>0</v>
      </c>
      <c r="G13258" s="81"/>
      <c r="H13258" s="81"/>
      <c r="I13258" s="81"/>
      <c r="J13258" s="81"/>
      <c r="K13258" s="81"/>
      <c r="L13258" s="81"/>
      <c r="M13258" s="81"/>
      <c r="N13258" s="81"/>
    </row>
    <row r="13259" spans="1:14" ht="14.25" customHeight="1" x14ac:dyDescent="0.25">
      <c r="A13259" s="99"/>
      <c r="B13259" s="100"/>
      <c r="C13259" s="101"/>
      <c r="D13259" s="149"/>
      <c r="E13259" s="102"/>
      <c r="F13259" s="101">
        <f t="shared" si="650"/>
        <v>0</v>
      </c>
      <c r="G13259" s="81"/>
      <c r="H13259" s="81"/>
      <c r="I13259" s="81"/>
      <c r="J13259" s="81"/>
      <c r="K13259" s="81"/>
      <c r="L13259" s="81"/>
      <c r="M13259" s="81"/>
      <c r="N13259" s="81"/>
    </row>
    <row r="13260" spans="1:14" ht="14.25" customHeight="1" x14ac:dyDescent="0.25">
      <c r="A13260" s="99"/>
      <c r="B13260" s="100"/>
      <c r="C13260" s="101"/>
      <c r="D13260" s="149"/>
      <c r="E13260" s="102"/>
      <c r="F13260" s="101"/>
      <c r="G13260" s="81"/>
      <c r="H13260" s="81"/>
      <c r="I13260" s="81"/>
      <c r="J13260" s="81"/>
      <c r="K13260" s="81"/>
      <c r="L13260" s="81"/>
      <c r="M13260" s="81"/>
      <c r="N13260" s="81"/>
    </row>
    <row r="13261" spans="1:14" ht="14.25" customHeight="1" x14ac:dyDescent="0.25">
      <c r="A13261" s="99"/>
      <c r="B13261" s="100"/>
      <c r="C13261" s="101"/>
      <c r="D13261" s="149"/>
      <c r="E13261" s="102"/>
      <c r="F13261" s="101"/>
      <c r="G13261" s="81"/>
      <c r="H13261" s="81"/>
      <c r="I13261" s="81"/>
      <c r="J13261" s="81"/>
      <c r="K13261" s="81"/>
      <c r="L13261" s="81"/>
      <c r="M13261" s="81"/>
      <c r="N13261" s="81"/>
    </row>
    <row r="13262" spans="1:14" ht="14.25" customHeight="1" x14ac:dyDescent="0.25">
      <c r="A13262" s="99"/>
      <c r="B13262" s="100"/>
      <c r="C13262" s="101"/>
      <c r="D13262" s="149"/>
      <c r="E13262" s="102"/>
      <c r="F13262" s="101"/>
      <c r="G13262" s="81"/>
      <c r="H13262" s="81"/>
      <c r="I13262" s="81"/>
      <c r="J13262" s="81"/>
      <c r="K13262" s="81"/>
      <c r="L13262" s="81"/>
      <c r="M13262" s="81"/>
      <c r="N13262" s="81"/>
    </row>
    <row r="13263" spans="1:14" ht="14.25" customHeight="1" x14ac:dyDescent="0.25">
      <c r="A13263" s="99"/>
      <c r="B13263" s="100"/>
      <c r="C13263" s="106"/>
      <c r="D13263" s="107"/>
      <c r="E13263" s="108"/>
      <c r="F13263" s="106"/>
      <c r="G13263" s="81"/>
      <c r="H13263" s="81"/>
      <c r="I13263" s="81"/>
      <c r="J13263" s="81"/>
      <c r="K13263" s="81"/>
      <c r="L13263" s="81"/>
      <c r="M13263" s="81"/>
      <c r="N13263" s="81"/>
    </row>
    <row r="13264" spans="1:14" ht="14.25" customHeight="1" x14ac:dyDescent="0.25">
      <c r="A13264" s="97" t="s">
        <v>548</v>
      </c>
      <c r="B13264" s="97"/>
      <c r="C13264" s="109"/>
      <c r="D13264" s="110"/>
      <c r="E13264" s="111"/>
      <c r="F13264" s="112">
        <f>SUM(F13256:F13263)</f>
        <v>56689.5</v>
      </c>
      <c r="G13264" s="81"/>
      <c r="H13264" s="81"/>
      <c r="I13264" s="81"/>
      <c r="J13264" s="81"/>
      <c r="K13264" s="81"/>
      <c r="L13264" s="81"/>
      <c r="M13264" s="81"/>
      <c r="N13264" s="81"/>
    </row>
    <row r="13265" spans="1:14" ht="14.25" customHeight="1" x14ac:dyDescent="0.25">
      <c r="A13265" s="88"/>
      <c r="B13265" s="88"/>
      <c r="C13265" s="113"/>
      <c r="D13265" s="113"/>
      <c r="E13265" s="114"/>
      <c r="F13265" s="113"/>
      <c r="G13265" s="81"/>
      <c r="H13265" s="81"/>
      <c r="I13265" s="81"/>
      <c r="J13265" s="81"/>
      <c r="K13265" s="81"/>
      <c r="L13265" s="81"/>
      <c r="M13265" s="81"/>
      <c r="N13265" s="81"/>
    </row>
    <row r="13266" spans="1:14" ht="14.25" customHeight="1" x14ac:dyDescent="0.25">
      <c r="A13266" s="96" t="s">
        <v>573</v>
      </c>
      <c r="B13266" s="96"/>
      <c r="C13266" s="92"/>
      <c r="D13266" s="92"/>
      <c r="E13266" s="92"/>
      <c r="F13266" s="92"/>
      <c r="G13266" s="81"/>
      <c r="H13266" s="117"/>
      <c r="I13266" s="81"/>
      <c r="J13266" s="81"/>
      <c r="K13266" s="81"/>
      <c r="L13266" s="81"/>
      <c r="M13266" s="81"/>
      <c r="N13266" s="81"/>
    </row>
    <row r="13267" spans="1:14" ht="14.25" customHeight="1" x14ac:dyDescent="0.25">
      <c r="A13267" s="611" t="s">
        <v>563</v>
      </c>
      <c r="B13267" s="608"/>
      <c r="C13267" s="609"/>
      <c r="D13267" s="98" t="s">
        <v>574</v>
      </c>
      <c r="E13267" s="98" t="s">
        <v>575</v>
      </c>
      <c r="F13267" s="98" t="s">
        <v>568</v>
      </c>
      <c r="G13267" s="81"/>
      <c r="H13267" s="81"/>
      <c r="I13267" s="81"/>
      <c r="J13267" s="81"/>
      <c r="K13267" s="81"/>
      <c r="L13267" s="81"/>
      <c r="M13267" s="81"/>
      <c r="N13267" s="81"/>
    </row>
    <row r="13268" spans="1:14" ht="14.25" customHeight="1" x14ac:dyDescent="0.25">
      <c r="A13268" s="607" t="s">
        <v>577</v>
      </c>
      <c r="B13268" s="608"/>
      <c r="C13268" s="609"/>
      <c r="D13268" s="116"/>
      <c r="E13268" s="107"/>
      <c r="F13268" s="106">
        <f>+F13285*5%</f>
        <v>389.09711032334303</v>
      </c>
      <c r="G13268" s="81"/>
      <c r="H13268" s="81"/>
      <c r="I13268" s="81"/>
      <c r="J13268" s="81"/>
      <c r="K13268" s="81"/>
      <c r="L13268" s="81"/>
      <c r="M13268" s="81"/>
      <c r="N13268" s="81"/>
    </row>
    <row r="13269" spans="1:14" ht="14.25" customHeight="1" x14ac:dyDescent="0.25">
      <c r="A13269" s="607"/>
      <c r="B13269" s="608"/>
      <c r="C13269" s="609"/>
      <c r="D13269" s="142"/>
      <c r="E13269" s="105"/>
      <c r="F13269" s="106"/>
      <c r="G13269" s="81"/>
      <c r="H13269" s="143"/>
      <c r="I13269" s="81"/>
      <c r="J13269" s="81"/>
      <c r="K13269" s="81"/>
      <c r="L13269" s="81"/>
      <c r="M13269" s="81"/>
      <c r="N13269" s="81"/>
    </row>
    <row r="13270" spans="1:14" ht="14.25" customHeight="1" x14ac:dyDescent="0.25">
      <c r="A13270" s="607"/>
      <c r="B13270" s="608"/>
      <c r="C13270" s="609"/>
      <c r="D13270" s="142"/>
      <c r="E13270" s="105"/>
      <c r="F13270" s="106"/>
      <c r="G13270" s="81"/>
      <c r="H13270" s="81"/>
      <c r="I13270" s="81"/>
      <c r="J13270" s="81"/>
      <c r="K13270" s="81"/>
      <c r="L13270" s="81"/>
      <c r="M13270" s="81"/>
      <c r="N13270" s="81"/>
    </row>
    <row r="13271" spans="1:14" ht="14.25" customHeight="1" x14ac:dyDescent="0.25">
      <c r="A13271" s="607"/>
      <c r="B13271" s="608"/>
      <c r="C13271" s="609"/>
      <c r="D13271" s="142"/>
      <c r="E13271" s="107"/>
      <c r="F13271" s="106"/>
      <c r="G13271" s="81"/>
      <c r="H13271" s="81"/>
      <c r="I13271" s="81"/>
      <c r="J13271" s="81"/>
      <c r="K13271" s="81"/>
      <c r="L13271" s="81"/>
      <c r="M13271" s="81"/>
      <c r="N13271" s="81"/>
    </row>
    <row r="13272" spans="1:14" ht="14.25" customHeight="1" x14ac:dyDescent="0.25">
      <c r="A13272" s="607"/>
      <c r="B13272" s="608"/>
      <c r="C13272" s="609"/>
      <c r="D13272" s="142"/>
      <c r="E13272" s="107"/>
      <c r="F13272" s="106"/>
      <c r="G13272" s="81"/>
      <c r="H13272" s="81"/>
      <c r="I13272" s="81"/>
      <c r="J13272" s="81"/>
      <c r="K13272" s="81"/>
      <c r="L13272" s="81"/>
      <c r="M13272" s="81"/>
      <c r="N13272" s="81"/>
    </row>
    <row r="13273" spans="1:14" ht="14.25" customHeight="1" x14ac:dyDescent="0.25">
      <c r="A13273" s="607"/>
      <c r="B13273" s="608"/>
      <c r="C13273" s="609"/>
      <c r="D13273" s="142"/>
      <c r="E13273" s="107"/>
      <c r="F13273" s="106"/>
      <c r="G13273" s="81"/>
      <c r="H13273" s="81"/>
      <c r="I13273" s="81"/>
      <c r="J13273" s="81"/>
      <c r="K13273" s="81"/>
      <c r="L13273" s="81"/>
      <c r="M13273" s="81"/>
      <c r="N13273" s="81"/>
    </row>
    <row r="13274" spans="1:14" ht="14.25" customHeight="1" x14ac:dyDescent="0.25">
      <c r="A13274" s="607"/>
      <c r="B13274" s="608"/>
      <c r="C13274" s="609"/>
      <c r="D13274" s="142"/>
      <c r="E13274" s="107"/>
      <c r="F13274" s="106"/>
      <c r="G13274" s="81"/>
      <c r="H13274" s="81"/>
      <c r="I13274" s="81"/>
      <c r="J13274" s="81"/>
      <c r="K13274" s="81"/>
      <c r="L13274" s="81"/>
      <c r="M13274" s="81"/>
      <c r="N13274" s="81"/>
    </row>
    <row r="13275" spans="1:14" ht="14.25" customHeight="1" x14ac:dyDescent="0.25">
      <c r="A13275" s="607"/>
      <c r="B13275" s="608"/>
      <c r="C13275" s="609"/>
      <c r="D13275" s="142"/>
      <c r="E13275" s="107"/>
      <c r="F13275" s="106"/>
      <c r="G13275" s="81"/>
      <c r="H13275" s="81"/>
      <c r="I13275" s="81"/>
      <c r="J13275" s="81"/>
      <c r="K13275" s="81"/>
      <c r="L13275" s="81"/>
      <c r="M13275" s="81"/>
      <c r="N13275" s="81"/>
    </row>
    <row r="13276" spans="1:14" ht="14.25" customHeight="1" x14ac:dyDescent="0.25">
      <c r="A13276" s="610"/>
      <c r="B13276" s="608"/>
      <c r="C13276" s="609"/>
      <c r="D13276" s="115"/>
      <c r="E13276" s="107"/>
      <c r="F13276" s="106"/>
      <c r="G13276" s="81"/>
      <c r="H13276" s="81"/>
      <c r="I13276" s="81"/>
      <c r="J13276" s="81"/>
      <c r="K13276" s="81"/>
      <c r="L13276" s="81"/>
      <c r="M13276" s="81"/>
      <c r="N13276" s="81"/>
    </row>
    <row r="13277" spans="1:14" ht="14.25" customHeight="1" x14ac:dyDescent="0.25">
      <c r="A13277" s="611" t="s">
        <v>548</v>
      </c>
      <c r="B13277" s="608"/>
      <c r="C13277" s="609"/>
      <c r="D13277" s="110"/>
      <c r="E13277" s="110"/>
      <c r="F13277" s="112">
        <f>SUM(F13268:F13275)</f>
        <v>389.09711032334303</v>
      </c>
      <c r="G13277" s="81"/>
      <c r="H13277" s="81"/>
      <c r="I13277" s="81"/>
      <c r="J13277" s="81"/>
      <c r="K13277" s="81"/>
      <c r="L13277" s="81"/>
      <c r="M13277" s="81"/>
      <c r="N13277" s="81"/>
    </row>
    <row r="13278" spans="1:14" ht="14.25" customHeight="1" x14ac:dyDescent="0.25">
      <c r="A13278" s="88"/>
      <c r="B13278" s="88"/>
      <c r="C13278" s="89"/>
      <c r="D13278" s="113"/>
      <c r="E13278" s="113"/>
      <c r="F13278" s="113"/>
      <c r="G13278" s="81"/>
      <c r="H13278" s="81"/>
      <c r="I13278" s="81"/>
      <c r="J13278" s="81"/>
      <c r="K13278" s="81"/>
      <c r="L13278" s="81"/>
      <c r="M13278" s="81"/>
      <c r="N13278" s="81"/>
    </row>
    <row r="13279" spans="1:14" ht="14.25" customHeight="1" x14ac:dyDescent="0.25">
      <c r="A13279" s="96" t="s">
        <v>578</v>
      </c>
      <c r="B13279" s="96"/>
      <c r="C13279" s="92"/>
      <c r="D13279" s="118"/>
      <c r="E13279" s="118"/>
      <c r="F13279" s="118"/>
      <c r="G13279" s="81"/>
      <c r="H13279" s="81"/>
      <c r="I13279" s="81"/>
      <c r="J13279" s="81"/>
      <c r="K13279" s="81"/>
      <c r="L13279" s="81"/>
      <c r="M13279" s="81"/>
      <c r="N13279" s="81"/>
    </row>
    <row r="13280" spans="1:14" ht="14.25" customHeight="1" x14ac:dyDescent="0.25">
      <c r="A13280" s="119" t="s">
        <v>563</v>
      </c>
      <c r="B13280" s="120" t="s">
        <v>579</v>
      </c>
      <c r="C13280" s="120" t="s">
        <v>580</v>
      </c>
      <c r="D13280" s="121" t="s">
        <v>581</v>
      </c>
      <c r="E13280" s="121" t="s">
        <v>575</v>
      </c>
      <c r="F13280" s="121" t="s">
        <v>568</v>
      </c>
      <c r="G13280" s="81"/>
      <c r="H13280" s="81"/>
      <c r="I13280" s="81"/>
      <c r="J13280" s="81"/>
      <c r="K13280" s="81"/>
      <c r="L13280" s="81"/>
      <c r="M13280" s="81"/>
      <c r="N13280" s="81"/>
    </row>
    <row r="13281" spans="1:14" ht="14.25" customHeight="1" x14ac:dyDescent="0.25">
      <c r="A13281" s="122" t="s">
        <v>593</v>
      </c>
      <c r="B13281" s="127">
        <v>1</v>
      </c>
      <c r="C13281" s="101">
        <v>32688</v>
      </c>
      <c r="D13281" s="101">
        <f t="shared" ref="D13281:D13282" si="651">+C13281*1.7</f>
        <v>55569.599999999999</v>
      </c>
      <c r="E13281" s="107">
        <v>18.617999999999999</v>
      </c>
      <c r="F13281" s="106">
        <f t="shared" ref="F13281:F13282" si="652">+B13281*(D13281)/E13281</f>
        <v>2984.7244601998068</v>
      </c>
      <c r="G13281" s="81"/>
      <c r="H13281" s="81"/>
      <c r="I13281" s="81"/>
      <c r="J13281" s="81"/>
      <c r="K13281" s="81"/>
      <c r="L13281" s="81"/>
      <c r="M13281" s="81"/>
      <c r="N13281" s="81"/>
    </row>
    <row r="13282" spans="1:14" ht="14.25" customHeight="1" x14ac:dyDescent="0.25">
      <c r="A13282" s="122" t="s">
        <v>594</v>
      </c>
      <c r="B13282" s="127">
        <v>1</v>
      </c>
      <c r="C13282" s="101">
        <v>52538</v>
      </c>
      <c r="D13282" s="101">
        <f t="shared" si="651"/>
        <v>89314.599999999991</v>
      </c>
      <c r="E13282" s="107">
        <f>E13281</f>
        <v>18.617999999999999</v>
      </c>
      <c r="F13282" s="106">
        <f t="shared" si="652"/>
        <v>4797.2177462670534</v>
      </c>
      <c r="G13282" s="81"/>
      <c r="H13282" s="81"/>
      <c r="I13282" s="81"/>
      <c r="J13282" s="81"/>
      <c r="K13282" s="81"/>
      <c r="L13282" s="81"/>
      <c r="M13282" s="81"/>
      <c r="N13282" s="81"/>
    </row>
    <row r="13283" spans="1:14" ht="14.25" customHeight="1" x14ac:dyDescent="0.25">
      <c r="A13283" s="122"/>
      <c r="B13283" s="127"/>
      <c r="C13283" s="101"/>
      <c r="D13283" s="101"/>
      <c r="E13283" s="105"/>
      <c r="F13283" s="106"/>
      <c r="G13283" s="81"/>
      <c r="H13283" s="81"/>
      <c r="I13283" s="81"/>
      <c r="J13283" s="81"/>
      <c r="K13283" s="81"/>
      <c r="L13283" s="81"/>
      <c r="M13283" s="81"/>
      <c r="N13283" s="81"/>
    </row>
    <row r="13284" spans="1:14" ht="14.25" customHeight="1" x14ac:dyDescent="0.25">
      <c r="A13284" s="122"/>
      <c r="B13284" s="127"/>
      <c r="C13284" s="101"/>
      <c r="D13284" s="101"/>
      <c r="E13284" s="125"/>
      <c r="F13284" s="106"/>
      <c r="G13284" s="81"/>
      <c r="H13284" s="81"/>
      <c r="I13284" s="81"/>
      <c r="J13284" s="81"/>
      <c r="K13284" s="81"/>
      <c r="L13284" s="81"/>
      <c r="M13284" s="81"/>
      <c r="N13284" s="81"/>
    </row>
    <row r="13285" spans="1:14" ht="14.25" customHeight="1" x14ac:dyDescent="0.25">
      <c r="A13285" s="97" t="s">
        <v>548</v>
      </c>
      <c r="B13285" s="128"/>
      <c r="C13285" s="110"/>
      <c r="D13285" s="110"/>
      <c r="E13285" s="110"/>
      <c r="F13285" s="112">
        <f>SUM(F13281:F13284)</f>
        <v>7781.9422064668597</v>
      </c>
      <c r="G13285" s="81"/>
      <c r="H13285" s="81"/>
      <c r="I13285" s="81"/>
      <c r="J13285" s="81"/>
      <c r="K13285" s="81"/>
      <c r="L13285" s="81"/>
      <c r="M13285" s="81"/>
      <c r="N13285" s="81"/>
    </row>
    <row r="13286" spans="1:14" ht="14.25" customHeight="1" x14ac:dyDescent="0.25">
      <c r="A13286" s="96"/>
      <c r="B13286" s="129"/>
      <c r="C13286" s="118"/>
      <c r="D13286" s="118"/>
      <c r="E13286" s="118"/>
      <c r="F13286" s="118"/>
      <c r="G13286" s="81"/>
      <c r="H13286" s="81"/>
      <c r="I13286" s="81"/>
      <c r="J13286" s="81"/>
      <c r="K13286" s="81"/>
      <c r="L13286" s="81"/>
      <c r="M13286" s="81"/>
      <c r="N13286" s="81"/>
    </row>
    <row r="13287" spans="1:14" ht="14.25" customHeight="1" x14ac:dyDescent="0.25">
      <c r="A13287" s="95" t="s">
        <v>583</v>
      </c>
      <c r="B13287" s="96"/>
      <c r="C13287" s="92"/>
      <c r="D13287" s="92"/>
      <c r="E13287" s="92" t="s">
        <v>584</v>
      </c>
      <c r="F13287" s="92"/>
      <c r="G13287" s="81"/>
      <c r="H13287" s="81"/>
      <c r="I13287" s="81"/>
      <c r="J13287" s="81"/>
      <c r="K13287" s="81"/>
      <c r="L13287" s="81"/>
      <c r="M13287" s="81"/>
      <c r="N13287" s="81"/>
    </row>
    <row r="13288" spans="1:14" s="168" customFormat="1" ht="25.5" x14ac:dyDescent="0.25">
      <c r="A13288" s="97" t="s">
        <v>563</v>
      </c>
      <c r="B13288" s="98" t="s">
        <v>564</v>
      </c>
      <c r="C13288" s="98" t="s">
        <v>585</v>
      </c>
      <c r="D13288" s="98" t="s">
        <v>586</v>
      </c>
      <c r="E13288" s="120" t="s">
        <v>587</v>
      </c>
      <c r="F13288" s="98" t="s">
        <v>568</v>
      </c>
      <c r="G13288" s="243"/>
      <c r="H13288" s="243"/>
      <c r="I13288" s="243"/>
      <c r="J13288" s="243"/>
      <c r="K13288" s="243"/>
      <c r="L13288" s="243"/>
      <c r="M13288" s="243"/>
      <c r="N13288" s="243"/>
    </row>
    <row r="13289" spans="1:14" s="168" customFormat="1" ht="15.75" x14ac:dyDescent="0.25">
      <c r="A13289" s="103"/>
      <c r="B13289" s="100"/>
      <c r="C13289" s="101"/>
      <c r="D13289" s="140"/>
      <c r="E13289" s="107"/>
      <c r="F13289" s="109"/>
      <c r="G13289" s="243"/>
      <c r="H13289" s="243"/>
      <c r="I13289" s="243"/>
      <c r="J13289" s="243"/>
      <c r="K13289" s="243"/>
      <c r="L13289" s="243"/>
      <c r="M13289" s="243"/>
      <c r="N13289" s="243"/>
    </row>
    <row r="13290" spans="1:14" s="168" customFormat="1" ht="15.75" x14ac:dyDescent="0.25">
      <c r="A13290" s="103"/>
      <c r="B13290" s="100"/>
      <c r="C13290" s="107"/>
      <c r="D13290" s="107"/>
      <c r="E13290" s="108"/>
      <c r="F13290" s="109"/>
      <c r="G13290" s="243"/>
      <c r="H13290" s="243"/>
      <c r="I13290" s="243"/>
      <c r="J13290" s="243"/>
      <c r="K13290" s="243"/>
      <c r="L13290" s="243"/>
      <c r="M13290" s="243"/>
      <c r="N13290" s="243"/>
    </row>
    <row r="13291" spans="1:14" s="168" customFormat="1" ht="15.75" x14ac:dyDescent="0.25">
      <c r="A13291" s="97" t="s">
        <v>548</v>
      </c>
      <c r="B13291" s="98"/>
      <c r="C13291" s="110"/>
      <c r="D13291" s="110"/>
      <c r="E13291" s="111"/>
      <c r="F13291" s="112">
        <f>SUM(F13289:F13290)</f>
        <v>0</v>
      </c>
      <c r="G13291" s="243"/>
      <c r="H13291" s="243"/>
      <c r="I13291" s="243"/>
      <c r="J13291" s="243"/>
      <c r="K13291" s="243"/>
      <c r="L13291" s="243"/>
      <c r="M13291" s="243"/>
      <c r="N13291" s="243"/>
    </row>
    <row r="13292" spans="1:14" ht="14.25" customHeight="1" x14ac:dyDescent="0.25">
      <c r="A13292" s="88"/>
      <c r="B13292" s="89"/>
      <c r="C13292" s="113"/>
      <c r="D13292" s="113"/>
      <c r="E13292" s="114"/>
      <c r="F13292" s="113"/>
      <c r="G13292" s="81"/>
      <c r="H13292" s="81"/>
      <c r="I13292" s="81"/>
      <c r="J13292" s="81"/>
      <c r="K13292" s="81"/>
      <c r="L13292" s="81"/>
      <c r="M13292" s="81"/>
      <c r="N13292" s="81"/>
    </row>
    <row r="13293" spans="1:14" ht="14.25" customHeight="1" x14ac:dyDescent="0.25">
      <c r="A13293" s="88"/>
      <c r="B13293" s="89"/>
      <c r="C13293" s="113"/>
      <c r="D13293" s="113"/>
      <c r="E13293" s="114"/>
      <c r="F13293" s="113"/>
      <c r="G13293" s="81"/>
      <c r="H13293" s="81"/>
      <c r="I13293" s="81"/>
      <c r="J13293" s="81"/>
      <c r="K13293" s="81"/>
      <c r="L13293" s="81"/>
      <c r="M13293" s="81"/>
      <c r="N13293" s="81"/>
    </row>
    <row r="13294" spans="1:14" ht="14.25" customHeight="1" x14ac:dyDescent="0.25">
      <c r="A13294" s="612" t="s">
        <v>588</v>
      </c>
      <c r="B13294" s="608"/>
      <c r="C13294" s="608"/>
      <c r="D13294" s="608"/>
      <c r="E13294" s="609"/>
      <c r="F13294" s="131">
        <f>ROUND(F13264+F13277+F13285+F13291,0)</f>
        <v>64861</v>
      </c>
      <c r="G13294" s="81"/>
      <c r="H13294" s="81"/>
      <c r="I13294" s="81"/>
      <c r="J13294" s="81"/>
      <c r="K13294" s="81"/>
      <c r="L13294" s="81"/>
      <c r="M13294" s="81"/>
      <c r="N13294" s="81"/>
    </row>
    <row r="13295" spans="1:14" ht="14.25" customHeight="1" x14ac:dyDescent="0.25">
      <c r="A13295" s="612" t="s">
        <v>589</v>
      </c>
      <c r="B13295" s="608"/>
      <c r="C13295" s="608"/>
      <c r="D13295" s="608"/>
      <c r="E13295" s="609"/>
      <c r="F13295" s="132"/>
      <c r="G13295" s="81"/>
      <c r="H13295" s="81"/>
      <c r="I13295" s="81"/>
      <c r="J13295" s="81"/>
      <c r="K13295" s="81"/>
      <c r="L13295" s="81"/>
      <c r="M13295" s="81"/>
      <c r="N13295" s="81"/>
    </row>
    <row r="13296" spans="1:14" ht="14.25" customHeight="1" x14ac:dyDescent="0.25">
      <c r="A13296" s="146" t="s">
        <v>556</v>
      </c>
      <c r="B13296" s="147"/>
      <c r="C13296" s="147"/>
      <c r="D13296" s="147"/>
      <c r="E13296" s="148"/>
      <c r="F13296" s="133"/>
      <c r="G13296" s="81"/>
      <c r="H13296" s="81"/>
      <c r="I13296" s="81"/>
      <c r="J13296" s="81"/>
      <c r="K13296" s="81"/>
      <c r="L13296" s="81"/>
      <c r="M13296" s="81"/>
      <c r="N13296" s="81"/>
    </row>
    <row r="13297" spans="1:14" ht="14.25" customHeight="1" x14ac:dyDescent="0.25">
      <c r="A13297" s="134"/>
      <c r="B13297" s="135"/>
      <c r="C13297" s="135"/>
      <c r="D13297" s="135"/>
      <c r="E13297" s="135"/>
      <c r="F13297" s="136"/>
      <c r="G13297" s="81"/>
      <c r="H13297" s="81"/>
      <c r="I13297" s="81"/>
      <c r="J13297" s="81"/>
      <c r="K13297" s="81"/>
      <c r="L13297" s="81"/>
      <c r="M13297" s="81"/>
      <c r="N13297" s="81"/>
    </row>
    <row r="13298" spans="1:14" ht="14.25" customHeight="1" x14ac:dyDescent="0.25">
      <c r="A13298" s="81"/>
      <c r="B13298" s="81"/>
      <c r="C13298" s="137"/>
      <c r="D13298" s="81"/>
      <c r="E13298" s="81"/>
      <c r="F13298" s="81"/>
      <c r="G13298" s="81"/>
      <c r="H13298" s="81"/>
      <c r="I13298" s="81"/>
      <c r="J13298" s="81"/>
      <c r="K13298" s="81"/>
      <c r="L13298" s="81"/>
      <c r="M13298" s="81"/>
      <c r="N13298" s="81"/>
    </row>
    <row r="13299" spans="1:14" ht="14.25" customHeight="1" x14ac:dyDescent="0.25">
      <c r="A13299" s="81"/>
      <c r="B13299" s="81"/>
      <c r="C13299" s="137"/>
      <c r="D13299" s="81"/>
      <c r="E13299" s="81"/>
      <c r="F13299" s="81"/>
      <c r="G13299" s="81"/>
      <c r="H13299" s="81"/>
      <c r="I13299" s="81"/>
      <c r="J13299" s="81"/>
      <c r="K13299" s="81"/>
      <c r="L13299" s="81"/>
      <c r="M13299" s="81"/>
      <c r="N13299" s="81"/>
    </row>
    <row r="13300" spans="1:14" s="168" customFormat="1" ht="16.5" customHeight="1" x14ac:dyDescent="0.25">
      <c r="A13300" s="81"/>
      <c r="B13300" s="81"/>
      <c r="C13300" s="137"/>
      <c r="D13300" s="81"/>
      <c r="E13300" s="81"/>
      <c r="F13300" s="81"/>
      <c r="G13300" s="243"/>
      <c r="H13300" s="243"/>
      <c r="I13300" s="243"/>
      <c r="J13300" s="243"/>
      <c r="K13300" s="243"/>
      <c r="L13300" s="243"/>
      <c r="M13300" s="243"/>
      <c r="N13300" s="243"/>
    </row>
    <row r="13301" spans="1:14" s="168" customFormat="1" ht="16.5" customHeight="1" x14ac:dyDescent="0.25">
      <c r="A13301" s="81"/>
      <c r="B13301" s="81"/>
      <c r="C13301" s="137"/>
      <c r="D13301" s="81"/>
      <c r="E13301" s="81"/>
      <c r="F13301" s="81"/>
      <c r="G13301" s="243"/>
      <c r="H13301" s="243"/>
      <c r="I13301" s="243"/>
      <c r="J13301" s="243"/>
      <c r="K13301" s="243"/>
      <c r="L13301" s="243"/>
      <c r="M13301" s="243"/>
      <c r="N13301" s="243"/>
    </row>
    <row r="13302" spans="1:14" s="168" customFormat="1" ht="16.5" customHeight="1" x14ac:dyDescent="0.25">
      <c r="A13302" s="81"/>
      <c r="B13302" s="81"/>
      <c r="C13302" s="137"/>
      <c r="D13302" s="81"/>
      <c r="E13302" s="81"/>
      <c r="F13302" s="81"/>
      <c r="G13302" s="243"/>
      <c r="H13302" s="243"/>
      <c r="I13302" s="243"/>
      <c r="J13302" s="243"/>
      <c r="K13302" s="243"/>
      <c r="L13302" s="243"/>
      <c r="M13302" s="243"/>
      <c r="N13302" s="243"/>
    </row>
    <row r="13303" spans="1:14" ht="14.25" customHeight="1" x14ac:dyDescent="0.25">
      <c r="A13303" s="134"/>
      <c r="B13303" s="135"/>
      <c r="C13303" s="135"/>
      <c r="D13303" s="135"/>
      <c r="E13303" s="135"/>
      <c r="F13303" s="136"/>
      <c r="G13303" s="81"/>
      <c r="H13303" s="81"/>
      <c r="I13303" s="81"/>
      <c r="J13303" s="81"/>
      <c r="K13303" s="81"/>
      <c r="L13303" s="81"/>
      <c r="M13303" s="81"/>
      <c r="N13303" s="81"/>
    </row>
    <row r="13304" spans="1:14" ht="14.25" customHeight="1" x14ac:dyDescent="0.25">
      <c r="A13304" s="134"/>
      <c r="B13304" s="135"/>
      <c r="C13304" s="135"/>
      <c r="D13304" s="135"/>
      <c r="E13304" s="135"/>
      <c r="F13304" s="136"/>
      <c r="G13304" s="81"/>
      <c r="H13304" s="81"/>
      <c r="I13304" s="81"/>
      <c r="J13304" s="81"/>
      <c r="K13304" s="81"/>
      <c r="L13304" s="81"/>
      <c r="M13304" s="81"/>
      <c r="N13304" s="81"/>
    </row>
    <row r="13305" spans="1:14" ht="14.25" customHeight="1" x14ac:dyDescent="0.25">
      <c r="A13305" s="134"/>
      <c r="B13305" s="135"/>
      <c r="C13305" s="135"/>
      <c r="D13305" s="135"/>
      <c r="E13305" s="135"/>
      <c r="F13305" s="135"/>
      <c r="G13305" s="81"/>
      <c r="H13305" s="81"/>
      <c r="I13305" s="81"/>
      <c r="J13305" s="81"/>
      <c r="K13305" s="81"/>
      <c r="L13305" s="81"/>
      <c r="M13305" s="81"/>
      <c r="N13305" s="81"/>
    </row>
    <row r="13306" spans="1:14" ht="14.25" customHeight="1" thickBot="1" x14ac:dyDescent="0.3">
      <c r="A13306" s="81"/>
      <c r="B13306" s="81"/>
      <c r="C13306" s="81"/>
      <c r="D13306" s="81"/>
      <c r="E13306" s="81"/>
      <c r="F13306" s="81"/>
      <c r="G13306" s="81"/>
      <c r="H13306" s="81"/>
      <c r="I13306" s="81"/>
      <c r="J13306" s="81"/>
      <c r="K13306" s="81"/>
      <c r="L13306" s="81"/>
      <c r="M13306" s="81"/>
      <c r="N13306" s="81"/>
    </row>
    <row r="13307" spans="1:14" ht="14.25" customHeight="1" x14ac:dyDescent="0.25">
      <c r="A13307" s="83"/>
      <c r="B13307" s="84"/>
      <c r="C13307" s="85"/>
      <c r="D13307" s="86"/>
      <c r="E13307" s="86"/>
      <c r="F13307" s="87"/>
      <c r="G13307" s="81"/>
      <c r="H13307" s="81"/>
      <c r="I13307" s="81"/>
      <c r="J13307" s="81"/>
      <c r="K13307" s="81"/>
      <c r="L13307" s="81"/>
      <c r="M13307" s="81"/>
      <c r="N13307" s="81"/>
    </row>
    <row r="13308" spans="1:14" ht="14.25" customHeight="1" x14ac:dyDescent="0.25">
      <c r="A13308" s="599"/>
      <c r="B13308" s="600"/>
      <c r="C13308" s="600"/>
      <c r="D13308" s="600"/>
      <c r="E13308" s="600"/>
      <c r="F13308" s="601"/>
      <c r="G13308" s="81"/>
      <c r="H13308" s="81"/>
      <c r="I13308" s="81"/>
      <c r="J13308" s="81"/>
      <c r="K13308" s="81"/>
      <c r="L13308" s="81"/>
      <c r="M13308" s="81"/>
      <c r="N13308" s="81"/>
    </row>
    <row r="13309" spans="1:14" ht="14.25" customHeight="1" x14ac:dyDescent="0.25">
      <c r="A13309" s="602" t="s">
        <v>561</v>
      </c>
      <c r="B13309" s="600"/>
      <c r="C13309" s="600"/>
      <c r="D13309" s="600"/>
      <c r="E13309" s="600"/>
      <c r="F13309" s="601"/>
      <c r="G13309" s="81"/>
      <c r="H13309" s="81"/>
      <c r="I13309" s="81"/>
      <c r="J13309" s="81"/>
      <c r="K13309" s="81"/>
      <c r="L13309" s="81"/>
      <c r="M13309" s="81"/>
      <c r="N13309" s="81"/>
    </row>
    <row r="13310" spans="1:14" ht="14.25" customHeight="1" thickBot="1" x14ac:dyDescent="0.3">
      <c r="A13310" s="603"/>
      <c r="B13310" s="604"/>
      <c r="C13310" s="604"/>
      <c r="D13310" s="604"/>
      <c r="E13310" s="604"/>
      <c r="F13310" s="605"/>
      <c r="G13310" s="81"/>
      <c r="H13310" s="81"/>
      <c r="I13310" s="81"/>
      <c r="J13310" s="81"/>
      <c r="K13310" s="81"/>
      <c r="L13310" s="81"/>
      <c r="M13310" s="81"/>
      <c r="N13310" s="81"/>
    </row>
    <row r="13311" spans="1:14" s="168" customFormat="1" ht="15.75" x14ac:dyDescent="0.25">
      <c r="A13311" s="88"/>
      <c r="B13311" s="88"/>
      <c r="C13311" s="89"/>
      <c r="D13311" s="89"/>
      <c r="E13311" s="89"/>
      <c r="F13311" s="89"/>
    </row>
    <row r="13312" spans="1:14" s="168" customFormat="1" ht="15.75" x14ac:dyDescent="0.25">
      <c r="A13312" s="90" t="s">
        <v>47</v>
      </c>
      <c r="B13312" s="613" t="s">
        <v>452</v>
      </c>
      <c r="C13312" s="600"/>
      <c r="D13312" s="600"/>
      <c r="E13312" s="600"/>
      <c r="F13312" s="600"/>
    </row>
    <row r="13313" spans="1:14" s="168" customFormat="1" ht="15.75" x14ac:dyDescent="0.25">
      <c r="A13313" s="91"/>
      <c r="B13313" s="91"/>
      <c r="C13313" s="91"/>
      <c r="D13313" s="91"/>
      <c r="E13313" s="91"/>
      <c r="F13313" s="91"/>
    </row>
    <row r="13314" spans="1:14" s="168" customFormat="1" ht="15.75" x14ac:dyDescent="0.25">
      <c r="A13314" s="88" t="s">
        <v>49</v>
      </c>
      <c r="B13314" s="92" t="s">
        <v>99</v>
      </c>
      <c r="C13314" s="89"/>
      <c r="D13314" s="89"/>
      <c r="E13314" s="89"/>
      <c r="F13314" s="93"/>
    </row>
    <row r="13315" spans="1:14" ht="14.25" customHeight="1" x14ac:dyDescent="0.25">
      <c r="A13315" s="88"/>
      <c r="B13315" s="94"/>
      <c r="C13315" s="89"/>
      <c r="D13315" s="89"/>
      <c r="E13315" s="89"/>
      <c r="F13315" s="93"/>
      <c r="G13315" s="81"/>
      <c r="H13315" s="81"/>
      <c r="I13315" s="81"/>
      <c r="J13315" s="81"/>
      <c r="K13315" s="81"/>
      <c r="L13315" s="81"/>
      <c r="M13315" s="81"/>
      <c r="N13315" s="81"/>
    </row>
    <row r="13316" spans="1:14" ht="14.25" customHeight="1" x14ac:dyDescent="0.25">
      <c r="A13316" s="95" t="s">
        <v>562</v>
      </c>
      <c r="B13316" s="96"/>
      <c r="C13316" s="92"/>
      <c r="D13316" s="92"/>
      <c r="E13316" s="92"/>
      <c r="F13316" s="92"/>
      <c r="G13316" s="81"/>
      <c r="H13316" s="81"/>
      <c r="I13316" s="81"/>
      <c r="J13316" s="81"/>
      <c r="K13316" s="81"/>
      <c r="L13316" s="81"/>
      <c r="M13316" s="81"/>
      <c r="N13316" s="81"/>
    </row>
    <row r="13317" spans="1:14" ht="14.25" customHeight="1" x14ac:dyDescent="0.25">
      <c r="A13317" s="97" t="s">
        <v>563</v>
      </c>
      <c r="B13317" s="98" t="s">
        <v>564</v>
      </c>
      <c r="C13317" s="98" t="s">
        <v>565</v>
      </c>
      <c r="D13317" s="98" t="s">
        <v>566</v>
      </c>
      <c r="E13317" s="98" t="s">
        <v>567</v>
      </c>
      <c r="F13317" s="98" t="s">
        <v>568</v>
      </c>
      <c r="G13317" s="81"/>
      <c r="H13317" s="81"/>
      <c r="I13317" s="81"/>
      <c r="J13317" s="81"/>
      <c r="K13317" s="81"/>
      <c r="L13317" s="81"/>
      <c r="M13317" s="81"/>
      <c r="N13317" s="81"/>
    </row>
    <row r="13318" spans="1:14" ht="25.5" x14ac:dyDescent="0.25">
      <c r="A13318" s="99" t="s">
        <v>881</v>
      </c>
      <c r="B13318" s="100" t="s">
        <v>99</v>
      </c>
      <c r="C13318" s="101">
        <v>20989</v>
      </c>
      <c r="D13318" s="149">
        <v>1</v>
      </c>
      <c r="E13318" s="102"/>
      <c r="F13318" s="101">
        <f t="shared" ref="F13318:F13321" si="653">C13318*(D13318+(D13318*E13318))</f>
        <v>20989</v>
      </c>
      <c r="G13318" s="81"/>
      <c r="H13318" s="81"/>
      <c r="I13318" s="81"/>
      <c r="J13318" s="81"/>
      <c r="K13318" s="81"/>
      <c r="L13318" s="81"/>
      <c r="M13318" s="81"/>
      <c r="N13318" s="81"/>
    </row>
    <row r="13319" spans="1:14" ht="14.25" customHeight="1" x14ac:dyDescent="0.25">
      <c r="A13319" s="99"/>
      <c r="B13319" s="100"/>
      <c r="C13319" s="101"/>
      <c r="D13319" s="149"/>
      <c r="E13319" s="102"/>
      <c r="F13319" s="101">
        <f t="shared" si="653"/>
        <v>0</v>
      </c>
      <c r="G13319" s="81"/>
      <c r="H13319" s="81"/>
      <c r="I13319" s="81"/>
      <c r="J13319" s="81"/>
      <c r="K13319" s="81"/>
      <c r="L13319" s="81"/>
      <c r="M13319" s="81"/>
      <c r="N13319" s="81"/>
    </row>
    <row r="13320" spans="1:14" ht="14.25" customHeight="1" x14ac:dyDescent="0.25">
      <c r="A13320" s="99"/>
      <c r="B13320" s="100"/>
      <c r="C13320" s="101"/>
      <c r="D13320" s="149"/>
      <c r="E13320" s="102"/>
      <c r="F13320" s="101">
        <f t="shared" si="653"/>
        <v>0</v>
      </c>
      <c r="G13320" s="81"/>
      <c r="H13320" s="81"/>
      <c r="I13320" s="81"/>
      <c r="J13320" s="81"/>
      <c r="K13320" s="81"/>
      <c r="L13320" s="81"/>
      <c r="M13320" s="81"/>
      <c r="N13320" s="81"/>
    </row>
    <row r="13321" spans="1:14" ht="14.25" customHeight="1" x14ac:dyDescent="0.25">
      <c r="A13321" s="99"/>
      <c r="B13321" s="100"/>
      <c r="C13321" s="101"/>
      <c r="D13321" s="149"/>
      <c r="E13321" s="102"/>
      <c r="F13321" s="101">
        <f t="shared" si="653"/>
        <v>0</v>
      </c>
      <c r="G13321" s="81"/>
      <c r="H13321" s="81"/>
      <c r="I13321" s="81"/>
      <c r="J13321" s="81"/>
      <c r="K13321" s="81"/>
      <c r="L13321" s="81"/>
      <c r="M13321" s="81"/>
      <c r="N13321" s="81"/>
    </row>
    <row r="13322" spans="1:14" ht="14.25" customHeight="1" x14ac:dyDescent="0.25">
      <c r="A13322" s="99"/>
      <c r="B13322" s="100"/>
      <c r="C13322" s="101"/>
      <c r="D13322" s="149"/>
      <c r="E13322" s="102"/>
      <c r="F13322" s="101"/>
      <c r="G13322" s="81"/>
      <c r="H13322" s="81"/>
      <c r="I13322" s="81"/>
      <c r="J13322" s="81"/>
      <c r="K13322" s="81"/>
      <c r="L13322" s="81"/>
      <c r="M13322" s="81"/>
      <c r="N13322" s="81"/>
    </row>
    <row r="13323" spans="1:14" ht="14.25" customHeight="1" x14ac:dyDescent="0.25">
      <c r="A13323" s="99"/>
      <c r="B13323" s="100"/>
      <c r="C13323" s="101"/>
      <c r="D13323" s="149"/>
      <c r="E13323" s="102"/>
      <c r="F13323" s="101"/>
      <c r="G13323" s="81"/>
      <c r="H13323" s="81"/>
      <c r="I13323" s="81"/>
      <c r="J13323" s="81"/>
      <c r="K13323" s="81"/>
      <c r="L13323" s="81"/>
      <c r="M13323" s="81"/>
      <c r="N13323" s="81"/>
    </row>
    <row r="13324" spans="1:14" ht="14.25" customHeight="1" x14ac:dyDescent="0.25">
      <c r="A13324" s="99"/>
      <c r="B13324" s="100"/>
      <c r="C13324" s="101"/>
      <c r="D13324" s="149"/>
      <c r="E13324" s="102"/>
      <c r="F13324" s="101"/>
      <c r="G13324" s="81"/>
      <c r="H13324" s="117"/>
      <c r="I13324" s="81"/>
      <c r="J13324" s="81"/>
      <c r="K13324" s="81"/>
      <c r="L13324" s="81"/>
      <c r="M13324" s="81"/>
      <c r="N13324" s="81"/>
    </row>
    <row r="13325" spans="1:14" ht="14.25" customHeight="1" x14ac:dyDescent="0.25">
      <c r="A13325" s="99"/>
      <c r="B13325" s="100"/>
      <c r="C13325" s="106"/>
      <c r="D13325" s="107"/>
      <c r="E13325" s="108"/>
      <c r="F13325" s="106"/>
      <c r="G13325" s="81"/>
      <c r="H13325" s="81"/>
      <c r="I13325" s="81"/>
      <c r="J13325" s="81"/>
      <c r="K13325" s="81"/>
      <c r="L13325" s="81"/>
      <c r="M13325" s="81"/>
      <c r="N13325" s="81"/>
    </row>
    <row r="13326" spans="1:14" ht="14.25" customHeight="1" x14ac:dyDescent="0.25">
      <c r="A13326" s="97" t="s">
        <v>548</v>
      </c>
      <c r="B13326" s="97"/>
      <c r="C13326" s="109"/>
      <c r="D13326" s="110"/>
      <c r="E13326" s="111"/>
      <c r="F13326" s="112">
        <f>SUM(F13318:F13325)</f>
        <v>20989</v>
      </c>
      <c r="G13326" s="81"/>
      <c r="H13326" s="81"/>
      <c r="I13326" s="81"/>
      <c r="J13326" s="81"/>
      <c r="K13326" s="81"/>
      <c r="L13326" s="81"/>
      <c r="M13326" s="81"/>
      <c r="N13326" s="81"/>
    </row>
    <row r="13327" spans="1:14" ht="14.25" customHeight="1" x14ac:dyDescent="0.25">
      <c r="A13327" s="88"/>
      <c r="B13327" s="88"/>
      <c r="C13327" s="113"/>
      <c r="D13327" s="113"/>
      <c r="E13327" s="114"/>
      <c r="F13327" s="113"/>
      <c r="G13327" s="81"/>
      <c r="H13327" s="143"/>
      <c r="I13327" s="81"/>
      <c r="J13327" s="81"/>
      <c r="K13327" s="81"/>
      <c r="L13327" s="81"/>
      <c r="M13327" s="81"/>
      <c r="N13327" s="81"/>
    </row>
    <row r="13328" spans="1:14" ht="14.25" customHeight="1" x14ac:dyDescent="0.25">
      <c r="A13328" s="96" t="s">
        <v>573</v>
      </c>
      <c r="B13328" s="96"/>
      <c r="C13328" s="92"/>
      <c r="D13328" s="92"/>
      <c r="E13328" s="92"/>
      <c r="F13328" s="92"/>
      <c r="G13328" s="81"/>
      <c r="H13328" s="81"/>
      <c r="I13328" s="81"/>
      <c r="J13328" s="81"/>
      <c r="K13328" s="81"/>
      <c r="L13328" s="81"/>
      <c r="M13328" s="81"/>
      <c r="N13328" s="81"/>
    </row>
    <row r="13329" spans="1:14" ht="14.25" customHeight="1" x14ac:dyDescent="0.25">
      <c r="A13329" s="611" t="s">
        <v>563</v>
      </c>
      <c r="B13329" s="608"/>
      <c r="C13329" s="609"/>
      <c r="D13329" s="98" t="s">
        <v>574</v>
      </c>
      <c r="E13329" s="98" t="s">
        <v>575</v>
      </c>
      <c r="F13329" s="98" t="s">
        <v>568</v>
      </c>
      <c r="G13329" s="81"/>
      <c r="H13329" s="81"/>
      <c r="I13329" s="81"/>
      <c r="J13329" s="81"/>
      <c r="K13329" s="81"/>
      <c r="L13329" s="81"/>
      <c r="M13329" s="81"/>
      <c r="N13329" s="81"/>
    </row>
    <row r="13330" spans="1:14" ht="14.25" customHeight="1" x14ac:dyDescent="0.25">
      <c r="A13330" s="607" t="s">
        <v>577</v>
      </c>
      <c r="B13330" s="608"/>
      <c r="C13330" s="609"/>
      <c r="D13330" s="116"/>
      <c r="E13330" s="107"/>
      <c r="F13330" s="106">
        <f>+F13347*5%</f>
        <v>362.21049999999997</v>
      </c>
      <c r="G13330" s="81"/>
      <c r="H13330" s="81"/>
      <c r="I13330" s="81"/>
      <c r="J13330" s="81"/>
      <c r="K13330" s="81"/>
      <c r="L13330" s="81"/>
      <c r="M13330" s="81"/>
      <c r="N13330" s="81"/>
    </row>
    <row r="13331" spans="1:14" ht="14.25" customHeight="1" x14ac:dyDescent="0.25">
      <c r="A13331" s="607"/>
      <c r="B13331" s="608"/>
      <c r="C13331" s="609"/>
      <c r="D13331" s="142"/>
      <c r="E13331" s="105"/>
      <c r="F13331" s="106"/>
      <c r="G13331" s="81"/>
      <c r="H13331" s="81"/>
      <c r="I13331" s="81"/>
      <c r="J13331" s="81"/>
      <c r="K13331" s="81"/>
      <c r="L13331" s="81"/>
      <c r="M13331" s="81"/>
      <c r="N13331" s="81"/>
    </row>
    <row r="13332" spans="1:14" ht="14.25" customHeight="1" x14ac:dyDescent="0.25">
      <c r="A13332" s="607"/>
      <c r="B13332" s="608"/>
      <c r="C13332" s="609"/>
      <c r="D13332" s="142"/>
      <c r="E13332" s="105"/>
      <c r="F13332" s="106"/>
      <c r="G13332" s="81"/>
      <c r="H13332" s="81"/>
      <c r="I13332" s="81"/>
      <c r="J13332" s="81"/>
      <c r="K13332" s="81"/>
      <c r="L13332" s="81"/>
      <c r="M13332" s="81"/>
      <c r="N13332" s="81"/>
    </row>
    <row r="13333" spans="1:14" ht="14.25" customHeight="1" x14ac:dyDescent="0.25">
      <c r="A13333" s="607"/>
      <c r="B13333" s="608"/>
      <c r="C13333" s="609"/>
      <c r="D13333" s="142"/>
      <c r="E13333" s="107"/>
      <c r="F13333" s="106"/>
      <c r="G13333" s="81"/>
      <c r="H13333" s="81"/>
      <c r="I13333" s="81"/>
      <c r="J13333" s="81"/>
      <c r="K13333" s="81"/>
      <c r="L13333" s="81"/>
      <c r="M13333" s="81"/>
      <c r="N13333" s="81"/>
    </row>
    <row r="13334" spans="1:14" ht="14.25" customHeight="1" x14ac:dyDescent="0.25">
      <c r="A13334" s="607"/>
      <c r="B13334" s="608"/>
      <c r="C13334" s="609"/>
      <c r="D13334" s="142"/>
      <c r="E13334" s="107"/>
      <c r="F13334" s="106"/>
      <c r="G13334" s="81"/>
      <c r="H13334" s="81"/>
      <c r="I13334" s="81"/>
      <c r="J13334" s="81"/>
      <c r="K13334" s="81"/>
      <c r="L13334" s="81"/>
      <c r="M13334" s="81"/>
      <c r="N13334" s="81"/>
    </row>
    <row r="13335" spans="1:14" ht="14.25" customHeight="1" x14ac:dyDescent="0.25">
      <c r="A13335" s="607"/>
      <c r="B13335" s="608"/>
      <c r="C13335" s="609"/>
      <c r="D13335" s="142"/>
      <c r="E13335" s="107"/>
      <c r="F13335" s="106"/>
      <c r="G13335" s="81"/>
      <c r="H13335" s="81"/>
      <c r="I13335" s="81"/>
      <c r="J13335" s="81"/>
      <c r="K13335" s="81"/>
      <c r="L13335" s="81"/>
      <c r="M13335" s="81"/>
      <c r="N13335" s="81"/>
    </row>
    <row r="13336" spans="1:14" s="187" customFormat="1" ht="14.25" customHeight="1" x14ac:dyDescent="0.25">
      <c r="A13336" s="607"/>
      <c r="B13336" s="608"/>
      <c r="C13336" s="609"/>
      <c r="D13336" s="142"/>
      <c r="E13336" s="107"/>
      <c r="F13336" s="106"/>
      <c r="G13336" s="81"/>
      <c r="H13336" s="81"/>
      <c r="I13336" s="81"/>
      <c r="J13336" s="81"/>
      <c r="K13336" s="81"/>
      <c r="L13336" s="81"/>
      <c r="M13336" s="81"/>
      <c r="N13336" s="81"/>
    </row>
    <row r="13337" spans="1:14" s="187" customFormat="1" ht="14.25" customHeight="1" x14ac:dyDescent="0.25">
      <c r="A13337" s="607"/>
      <c r="B13337" s="608"/>
      <c r="C13337" s="609"/>
      <c r="D13337" s="142"/>
      <c r="E13337" s="107"/>
      <c r="F13337" s="106"/>
      <c r="G13337" s="81"/>
      <c r="H13337" s="81"/>
      <c r="I13337" s="81"/>
      <c r="J13337" s="81"/>
      <c r="K13337" s="81"/>
      <c r="L13337" s="81"/>
      <c r="M13337" s="81"/>
      <c r="N13337" s="81"/>
    </row>
    <row r="13338" spans="1:14" s="187" customFormat="1" ht="14.25" customHeight="1" x14ac:dyDescent="0.25">
      <c r="A13338" s="610"/>
      <c r="B13338" s="608"/>
      <c r="C13338" s="609"/>
      <c r="D13338" s="115"/>
      <c r="E13338" s="107"/>
      <c r="F13338" s="106"/>
      <c r="G13338" s="81"/>
      <c r="H13338" s="81"/>
      <c r="I13338" s="81"/>
      <c r="J13338" s="81"/>
      <c r="K13338" s="81"/>
      <c r="L13338" s="81"/>
      <c r="M13338" s="81"/>
      <c r="N13338" s="81"/>
    </row>
    <row r="13339" spans="1:14" s="187" customFormat="1" ht="14.25" customHeight="1" x14ac:dyDescent="0.25">
      <c r="A13339" s="611" t="s">
        <v>548</v>
      </c>
      <c r="B13339" s="608"/>
      <c r="C13339" s="609"/>
      <c r="D13339" s="110"/>
      <c r="E13339" s="110"/>
      <c r="F13339" s="112">
        <f>SUM(F13330:F13337)</f>
        <v>362.21049999999997</v>
      </c>
      <c r="G13339" s="81"/>
      <c r="H13339" s="81"/>
      <c r="I13339" s="81"/>
      <c r="J13339" s="81"/>
      <c r="K13339" s="81"/>
      <c r="L13339" s="81"/>
      <c r="M13339" s="81"/>
      <c r="N13339" s="81"/>
    </row>
    <row r="13340" spans="1:14" ht="14.25" customHeight="1" x14ac:dyDescent="0.25">
      <c r="A13340" s="88"/>
      <c r="B13340" s="88"/>
      <c r="C13340" s="89"/>
      <c r="D13340" s="113"/>
      <c r="E13340" s="113"/>
      <c r="F13340" s="113"/>
      <c r="G13340" s="81"/>
      <c r="H13340" s="81"/>
      <c r="I13340" s="81"/>
      <c r="J13340" s="81"/>
      <c r="K13340" s="81"/>
      <c r="L13340" s="81"/>
      <c r="M13340" s="81"/>
      <c r="N13340" s="81"/>
    </row>
    <row r="13341" spans="1:14" ht="28.5" customHeight="1" x14ac:dyDescent="0.25">
      <c r="A13341" s="96" t="s">
        <v>578</v>
      </c>
      <c r="B13341" s="96"/>
      <c r="C13341" s="92"/>
      <c r="D13341" s="118"/>
      <c r="E13341" s="118"/>
      <c r="F13341" s="118"/>
      <c r="G13341" s="81"/>
      <c r="H13341" s="81"/>
      <c r="I13341" s="81"/>
      <c r="J13341" s="81"/>
      <c r="K13341" s="81"/>
      <c r="L13341" s="81"/>
      <c r="M13341" s="81"/>
      <c r="N13341" s="81"/>
    </row>
    <row r="13342" spans="1:14" ht="14.25" customHeight="1" x14ac:dyDescent="0.25">
      <c r="A13342" s="119" t="s">
        <v>563</v>
      </c>
      <c r="B13342" s="120" t="s">
        <v>579</v>
      </c>
      <c r="C13342" s="120" t="s">
        <v>580</v>
      </c>
      <c r="D13342" s="121" t="s">
        <v>581</v>
      </c>
      <c r="E13342" s="121" t="s">
        <v>575</v>
      </c>
      <c r="F13342" s="121" t="s">
        <v>568</v>
      </c>
      <c r="G13342" s="81"/>
      <c r="H13342" s="81"/>
      <c r="I13342" s="81"/>
      <c r="J13342" s="81"/>
      <c r="K13342" s="81"/>
      <c r="L13342" s="81"/>
      <c r="M13342" s="81"/>
      <c r="N13342" s="81"/>
    </row>
    <row r="13343" spans="1:14" ht="14.25" customHeight="1" x14ac:dyDescent="0.25">
      <c r="A13343" s="122" t="s">
        <v>593</v>
      </c>
      <c r="B13343" s="127">
        <v>1</v>
      </c>
      <c r="C13343" s="101">
        <v>32688</v>
      </c>
      <c r="D13343" s="101">
        <f t="shared" ref="D13343:D13344" si="654">+C13343*1.7</f>
        <v>55569.599999999999</v>
      </c>
      <c r="E13343" s="107">
        <v>20</v>
      </c>
      <c r="F13343" s="106">
        <f t="shared" ref="F13343:F13344" si="655">+B13343*(D13343)/E13343</f>
        <v>2778.48</v>
      </c>
      <c r="G13343" s="81"/>
      <c r="H13343" s="81"/>
      <c r="I13343" s="81"/>
      <c r="J13343" s="81"/>
      <c r="K13343" s="81"/>
      <c r="L13343" s="81"/>
      <c r="M13343" s="81"/>
      <c r="N13343" s="81"/>
    </row>
    <row r="13344" spans="1:14" ht="14.25" customHeight="1" x14ac:dyDescent="0.25">
      <c r="A13344" s="122" t="s">
        <v>594</v>
      </c>
      <c r="B13344" s="127">
        <v>1</v>
      </c>
      <c r="C13344" s="101">
        <v>52538</v>
      </c>
      <c r="D13344" s="101">
        <f t="shared" si="654"/>
        <v>89314.599999999991</v>
      </c>
      <c r="E13344" s="107">
        <f>E13343</f>
        <v>20</v>
      </c>
      <c r="F13344" s="106">
        <f t="shared" si="655"/>
        <v>4465.7299999999996</v>
      </c>
      <c r="G13344" s="81"/>
      <c r="H13344" s="81"/>
      <c r="I13344" s="81"/>
      <c r="J13344" s="81"/>
      <c r="K13344" s="81"/>
      <c r="L13344" s="81"/>
      <c r="M13344" s="81"/>
      <c r="N13344" s="81"/>
    </row>
    <row r="13345" spans="1:14" ht="14.25" customHeight="1" x14ac:dyDescent="0.25">
      <c r="A13345" s="122"/>
      <c r="B13345" s="127"/>
      <c r="C13345" s="101"/>
      <c r="D13345" s="101"/>
      <c r="E13345" s="105"/>
      <c r="F13345" s="106"/>
      <c r="G13345" s="81"/>
      <c r="H13345" s="81"/>
      <c r="I13345" s="81"/>
      <c r="J13345" s="81"/>
      <c r="K13345" s="81"/>
      <c r="L13345" s="81"/>
      <c r="M13345" s="81"/>
      <c r="N13345" s="81"/>
    </row>
    <row r="13346" spans="1:14" ht="14.25" customHeight="1" x14ac:dyDescent="0.25">
      <c r="A13346" s="122"/>
      <c r="B13346" s="127"/>
      <c r="C13346" s="101"/>
      <c r="D13346" s="101"/>
      <c r="E13346" s="125"/>
      <c r="F13346" s="106"/>
      <c r="G13346" s="81"/>
      <c r="H13346" s="81"/>
      <c r="I13346" s="81"/>
      <c r="J13346" s="81"/>
      <c r="K13346" s="81"/>
      <c r="L13346" s="81"/>
      <c r="M13346" s="81"/>
      <c r="N13346" s="81"/>
    </row>
    <row r="13347" spans="1:14" ht="14.25" customHeight="1" x14ac:dyDescent="0.25">
      <c r="A13347" s="97" t="s">
        <v>548</v>
      </c>
      <c r="B13347" s="128"/>
      <c r="C13347" s="110"/>
      <c r="D13347" s="110"/>
      <c r="E13347" s="110"/>
      <c r="F13347" s="112">
        <f>SUM(F13343:F13346)</f>
        <v>7244.2099999999991</v>
      </c>
      <c r="G13347" s="81"/>
      <c r="H13347" s="81"/>
      <c r="I13347" s="81"/>
      <c r="J13347" s="81"/>
      <c r="K13347" s="81"/>
      <c r="L13347" s="81"/>
      <c r="M13347" s="81"/>
      <c r="N13347" s="81"/>
    </row>
    <row r="13348" spans="1:14" ht="14.25" customHeight="1" x14ac:dyDescent="0.25">
      <c r="A13348" s="96"/>
      <c r="B13348" s="129"/>
      <c r="C13348" s="118"/>
      <c r="D13348" s="118"/>
      <c r="E13348" s="118"/>
      <c r="F13348" s="118"/>
      <c r="G13348" s="81"/>
      <c r="H13348" s="81"/>
      <c r="I13348" s="81"/>
      <c r="J13348" s="81"/>
      <c r="K13348" s="81"/>
      <c r="L13348" s="81"/>
      <c r="M13348" s="81"/>
      <c r="N13348" s="81"/>
    </row>
    <row r="13349" spans="1:14" ht="14.25" customHeight="1" x14ac:dyDescent="0.25">
      <c r="A13349" s="95" t="s">
        <v>583</v>
      </c>
      <c r="B13349" s="96"/>
      <c r="C13349" s="92"/>
      <c r="D13349" s="92"/>
      <c r="E13349" s="92" t="s">
        <v>584</v>
      </c>
      <c r="F13349" s="92"/>
      <c r="G13349" s="81"/>
      <c r="H13349" s="81"/>
      <c r="I13349" s="81"/>
      <c r="J13349" s="81"/>
      <c r="K13349" s="81"/>
      <c r="L13349" s="81"/>
      <c r="M13349" s="81"/>
      <c r="N13349" s="81"/>
    </row>
    <row r="13350" spans="1:14" ht="14.25" customHeight="1" x14ac:dyDescent="0.25">
      <c r="A13350" s="97" t="s">
        <v>563</v>
      </c>
      <c r="B13350" s="98" t="s">
        <v>564</v>
      </c>
      <c r="C13350" s="98" t="s">
        <v>585</v>
      </c>
      <c r="D13350" s="98" t="s">
        <v>586</v>
      </c>
      <c r="E13350" s="120" t="s">
        <v>587</v>
      </c>
      <c r="F13350" s="98" t="s">
        <v>568</v>
      </c>
      <c r="G13350" s="81"/>
      <c r="H13350" s="81"/>
      <c r="I13350" s="81"/>
      <c r="J13350" s="81"/>
      <c r="K13350" s="81"/>
      <c r="L13350" s="81"/>
      <c r="M13350" s="81"/>
      <c r="N13350" s="81"/>
    </row>
    <row r="13351" spans="1:14" ht="14.25" customHeight="1" x14ac:dyDescent="0.25">
      <c r="A13351" s="103"/>
      <c r="B13351" s="100"/>
      <c r="C13351" s="101"/>
      <c r="D13351" s="140"/>
      <c r="E13351" s="107"/>
      <c r="F13351" s="109"/>
      <c r="G13351" s="81"/>
      <c r="H13351" s="81"/>
      <c r="I13351" s="81"/>
      <c r="J13351" s="81"/>
      <c r="K13351" s="81"/>
      <c r="L13351" s="81"/>
      <c r="M13351" s="81"/>
      <c r="N13351" s="81"/>
    </row>
    <row r="13352" spans="1:14" ht="14.25" customHeight="1" x14ac:dyDescent="0.25">
      <c r="A13352" s="103"/>
      <c r="B13352" s="100"/>
      <c r="C13352" s="107"/>
      <c r="D13352" s="107"/>
      <c r="E13352" s="108"/>
      <c r="F13352" s="109"/>
      <c r="G13352" s="81"/>
      <c r="H13352" s="81"/>
      <c r="I13352" s="81"/>
      <c r="J13352" s="81"/>
      <c r="K13352" s="81"/>
      <c r="L13352" s="81"/>
      <c r="M13352" s="81"/>
      <c r="N13352" s="81"/>
    </row>
    <row r="13353" spans="1:14" ht="14.25" customHeight="1" x14ac:dyDescent="0.25">
      <c r="A13353" s="97" t="s">
        <v>548</v>
      </c>
      <c r="B13353" s="98"/>
      <c r="C13353" s="110"/>
      <c r="D13353" s="110"/>
      <c r="E13353" s="111"/>
      <c r="F13353" s="112">
        <f>SUM(F13351:F13352)</f>
        <v>0</v>
      </c>
      <c r="G13353" s="81"/>
      <c r="H13353" s="81"/>
      <c r="I13353" s="81"/>
      <c r="J13353" s="81"/>
      <c r="K13353" s="81"/>
      <c r="L13353" s="81"/>
      <c r="M13353" s="81"/>
      <c r="N13353" s="81"/>
    </row>
    <row r="13354" spans="1:14" ht="14.25" customHeight="1" x14ac:dyDescent="0.25">
      <c r="A13354" s="88"/>
      <c r="B13354" s="89"/>
      <c r="C13354" s="113"/>
      <c r="D13354" s="113"/>
      <c r="E13354" s="114"/>
      <c r="F13354" s="113"/>
      <c r="G13354" s="81"/>
      <c r="H13354" s="81"/>
      <c r="I13354" s="81"/>
      <c r="J13354" s="81"/>
      <c r="K13354" s="81"/>
      <c r="L13354" s="81"/>
      <c r="M13354" s="81"/>
      <c r="N13354" s="81"/>
    </row>
    <row r="13355" spans="1:14" ht="14.25" customHeight="1" x14ac:dyDescent="0.25">
      <c r="A13355" s="88"/>
      <c r="B13355" s="89"/>
      <c r="C13355" s="113"/>
      <c r="D13355" s="113"/>
      <c r="E13355" s="114"/>
      <c r="F13355" s="113"/>
      <c r="G13355" s="81"/>
      <c r="H13355" s="81"/>
      <c r="I13355" s="81"/>
      <c r="J13355" s="81"/>
      <c r="K13355" s="81"/>
      <c r="L13355" s="81"/>
      <c r="M13355" s="81"/>
      <c r="N13355" s="81"/>
    </row>
    <row r="13356" spans="1:14" ht="14.25" customHeight="1" x14ac:dyDescent="0.25">
      <c r="A13356" s="612" t="s">
        <v>588</v>
      </c>
      <c r="B13356" s="608"/>
      <c r="C13356" s="608"/>
      <c r="D13356" s="608"/>
      <c r="E13356" s="609"/>
      <c r="F13356" s="131">
        <f>ROUND(F13326+F13339+F13347+F13353,0)</f>
        <v>28595</v>
      </c>
      <c r="G13356" s="81"/>
      <c r="H13356" s="81"/>
      <c r="I13356" s="81"/>
      <c r="J13356" s="81"/>
      <c r="K13356" s="81"/>
      <c r="L13356" s="81"/>
      <c r="M13356" s="81"/>
      <c r="N13356" s="81"/>
    </row>
    <row r="13357" spans="1:14" ht="14.25" customHeight="1" x14ac:dyDescent="0.25">
      <c r="A13357" s="612" t="s">
        <v>589</v>
      </c>
      <c r="B13357" s="608"/>
      <c r="C13357" s="608"/>
      <c r="D13357" s="608"/>
      <c r="E13357" s="609"/>
      <c r="F13357" s="132"/>
      <c r="G13357" s="81"/>
      <c r="H13357" s="81"/>
      <c r="I13357" s="81"/>
      <c r="J13357" s="81"/>
      <c r="K13357" s="81"/>
      <c r="L13357" s="81"/>
      <c r="M13357" s="81"/>
      <c r="N13357" s="81"/>
    </row>
    <row r="13358" spans="1:14" ht="14.25" customHeight="1" x14ac:dyDescent="0.25">
      <c r="A13358" s="146" t="s">
        <v>556</v>
      </c>
      <c r="B13358" s="147"/>
      <c r="C13358" s="147"/>
      <c r="D13358" s="147"/>
      <c r="E13358" s="148"/>
      <c r="F13358" s="133"/>
      <c r="G13358" s="81"/>
      <c r="H13358" s="81"/>
      <c r="I13358" s="81"/>
      <c r="J13358" s="81"/>
      <c r="K13358" s="81"/>
      <c r="L13358" s="81"/>
      <c r="M13358" s="81"/>
      <c r="N13358" s="81"/>
    </row>
    <row r="13359" spans="1:14" ht="14.25" customHeight="1" x14ac:dyDescent="0.25">
      <c r="A13359" s="134"/>
      <c r="B13359" s="135"/>
      <c r="C13359" s="135"/>
      <c r="D13359" s="135"/>
      <c r="E13359" s="135"/>
      <c r="F13359" s="136"/>
      <c r="G13359" s="81"/>
      <c r="H13359" s="81"/>
      <c r="I13359" s="81"/>
      <c r="J13359" s="81"/>
      <c r="K13359" s="81"/>
      <c r="L13359" s="81"/>
      <c r="M13359" s="81"/>
      <c r="N13359" s="81"/>
    </row>
    <row r="13360" spans="1:14" ht="14.25" customHeight="1" x14ac:dyDescent="0.25">
      <c r="A13360" s="81"/>
      <c r="B13360" s="81"/>
      <c r="C13360" s="137"/>
      <c r="D13360" s="81"/>
      <c r="E13360" s="81"/>
      <c r="F13360" s="81"/>
      <c r="G13360" s="81"/>
      <c r="H13360" s="81"/>
      <c r="I13360" s="81"/>
      <c r="J13360" s="81"/>
      <c r="K13360" s="81"/>
      <c r="L13360" s="81"/>
      <c r="M13360" s="81"/>
      <c r="N13360" s="81"/>
    </row>
    <row r="13361" spans="1:14" ht="14.25" customHeight="1" x14ac:dyDescent="0.25">
      <c r="A13361" s="81"/>
      <c r="B13361" s="81"/>
      <c r="C13361" s="137"/>
      <c r="D13361" s="81"/>
      <c r="E13361" s="81"/>
      <c r="F13361" s="81"/>
      <c r="G13361" s="81"/>
      <c r="H13361" s="81"/>
      <c r="I13361" s="81"/>
      <c r="J13361" s="81"/>
      <c r="K13361" s="81"/>
      <c r="L13361" s="81"/>
      <c r="M13361" s="81"/>
      <c r="N13361" s="81"/>
    </row>
    <row r="13362" spans="1:14" ht="14.25" customHeight="1" x14ac:dyDescent="0.25">
      <c r="A13362" s="81"/>
      <c r="B13362" s="81"/>
      <c r="C13362" s="137"/>
      <c r="D13362" s="81"/>
      <c r="E13362" s="81"/>
      <c r="F13362" s="81"/>
      <c r="G13362" s="81"/>
      <c r="H13362" s="81"/>
      <c r="I13362" s="81"/>
      <c r="J13362" s="81"/>
      <c r="K13362" s="81"/>
      <c r="L13362" s="81"/>
      <c r="M13362" s="81"/>
      <c r="N13362" s="81"/>
    </row>
    <row r="13363" spans="1:14" ht="14.25" customHeight="1" x14ac:dyDescent="0.25">
      <c r="A13363" s="81"/>
      <c r="B13363" s="81"/>
      <c r="C13363" s="137"/>
      <c r="D13363" s="81"/>
      <c r="E13363" s="81"/>
      <c r="F13363" s="81"/>
      <c r="G13363" s="81"/>
      <c r="H13363" s="81"/>
      <c r="I13363" s="81"/>
      <c r="J13363" s="81"/>
      <c r="K13363" s="81"/>
      <c r="L13363" s="81"/>
      <c r="M13363" s="81"/>
      <c r="N13363" s="81"/>
    </row>
    <row r="13364" spans="1:14" ht="14.25" customHeight="1" x14ac:dyDescent="0.25">
      <c r="A13364" s="81"/>
      <c r="B13364" s="81"/>
      <c r="C13364" s="137"/>
      <c r="D13364" s="81"/>
      <c r="E13364" s="81"/>
      <c r="F13364" s="81"/>
      <c r="G13364" s="81"/>
      <c r="H13364" s="81"/>
      <c r="I13364" s="81"/>
      <c r="J13364" s="81"/>
      <c r="K13364" s="81"/>
      <c r="L13364" s="81"/>
      <c r="M13364" s="81"/>
      <c r="N13364" s="81"/>
    </row>
    <row r="13365" spans="1:14" ht="14.25" customHeight="1" x14ac:dyDescent="0.25">
      <c r="A13365" s="134"/>
      <c r="B13365" s="135"/>
      <c r="C13365" s="135"/>
      <c r="D13365" s="135"/>
      <c r="E13365" s="135"/>
      <c r="F13365" s="136"/>
      <c r="G13365" s="81"/>
      <c r="H13365" s="81"/>
      <c r="I13365" s="81"/>
      <c r="J13365" s="81"/>
      <c r="K13365" s="81"/>
      <c r="L13365" s="81"/>
      <c r="M13365" s="81"/>
      <c r="N13365" s="81"/>
    </row>
    <row r="13366" spans="1:14" ht="14.25" customHeight="1" x14ac:dyDescent="0.25">
      <c r="A13366" s="134"/>
      <c r="B13366" s="135"/>
      <c r="C13366" s="135"/>
      <c r="D13366" s="135"/>
      <c r="E13366" s="135"/>
      <c r="F13366" s="136"/>
      <c r="G13366" s="81"/>
      <c r="H13366" s="81"/>
      <c r="I13366" s="81"/>
      <c r="J13366" s="81"/>
      <c r="K13366" s="81"/>
      <c r="L13366" s="81"/>
      <c r="M13366" s="81"/>
      <c r="N13366" s="81"/>
    </row>
    <row r="13367" spans="1:14" ht="14.25" customHeight="1" x14ac:dyDescent="0.25">
      <c r="A13367" s="134"/>
      <c r="B13367" s="135"/>
      <c r="C13367" s="135"/>
      <c r="D13367" s="135"/>
      <c r="E13367" s="135"/>
      <c r="F13367" s="135"/>
      <c r="G13367" s="81"/>
      <c r="H13367" s="81"/>
      <c r="I13367" s="81"/>
      <c r="J13367" s="81"/>
      <c r="K13367" s="81"/>
      <c r="L13367" s="81"/>
      <c r="M13367" s="81"/>
      <c r="N13367" s="81"/>
    </row>
    <row r="13368" spans="1:14" ht="14.25" customHeight="1" thickBot="1" x14ac:dyDescent="0.3">
      <c r="A13368" s="81"/>
      <c r="B13368" s="81"/>
      <c r="C13368" s="81"/>
      <c r="D13368" s="81"/>
      <c r="E13368" s="81"/>
      <c r="F13368" s="81"/>
      <c r="G13368" s="81"/>
      <c r="H13368" s="81"/>
      <c r="I13368" s="81"/>
      <c r="J13368" s="81"/>
      <c r="K13368" s="81"/>
      <c r="L13368" s="81"/>
      <c r="M13368" s="81"/>
      <c r="N13368" s="81"/>
    </row>
    <row r="13369" spans="1:14" ht="14.25" customHeight="1" x14ac:dyDescent="0.25">
      <c r="A13369" s="83"/>
      <c r="B13369" s="84"/>
      <c r="C13369" s="85"/>
      <c r="D13369" s="86"/>
      <c r="E13369" s="86"/>
      <c r="F13369" s="87"/>
      <c r="G13369" s="81"/>
      <c r="H13369" s="81"/>
      <c r="I13369" s="81"/>
      <c r="J13369" s="81"/>
      <c r="K13369" s="81"/>
      <c r="L13369" s="81"/>
      <c r="M13369" s="81"/>
      <c r="N13369" s="81"/>
    </row>
    <row r="13370" spans="1:14" ht="14.25" customHeight="1" x14ac:dyDescent="0.25">
      <c r="A13370" s="599"/>
      <c r="B13370" s="600"/>
      <c r="C13370" s="600"/>
      <c r="D13370" s="600"/>
      <c r="E13370" s="600"/>
      <c r="F13370" s="601"/>
      <c r="G13370" s="81"/>
      <c r="H13370" s="81"/>
      <c r="I13370" s="81"/>
      <c r="J13370" s="81"/>
      <c r="K13370" s="81"/>
      <c r="L13370" s="81"/>
      <c r="M13370" s="81"/>
      <c r="N13370" s="81"/>
    </row>
    <row r="13371" spans="1:14" ht="14.25" customHeight="1" x14ac:dyDescent="0.25">
      <c r="A13371" s="602" t="s">
        <v>561</v>
      </c>
      <c r="B13371" s="600"/>
      <c r="C13371" s="600"/>
      <c r="D13371" s="600"/>
      <c r="E13371" s="600"/>
      <c r="F13371" s="601"/>
      <c r="G13371" s="81"/>
      <c r="H13371" s="81"/>
      <c r="I13371" s="81"/>
      <c r="J13371" s="81"/>
      <c r="K13371" s="81"/>
      <c r="L13371" s="81"/>
      <c r="M13371" s="81"/>
      <c r="N13371" s="81"/>
    </row>
    <row r="13372" spans="1:14" ht="14.25" customHeight="1" thickBot="1" x14ac:dyDescent="0.3">
      <c r="A13372" s="603"/>
      <c r="B13372" s="604"/>
      <c r="C13372" s="604"/>
      <c r="D13372" s="604"/>
      <c r="E13372" s="604"/>
      <c r="F13372" s="605"/>
      <c r="G13372" s="81"/>
      <c r="H13372" s="81"/>
      <c r="I13372" s="81"/>
      <c r="J13372" s="81"/>
      <c r="K13372" s="81"/>
      <c r="L13372" s="81"/>
      <c r="M13372" s="81"/>
      <c r="N13372" s="81"/>
    </row>
    <row r="13373" spans="1:14" ht="14.25" customHeight="1" x14ac:dyDescent="0.25">
      <c r="A13373" s="88"/>
      <c r="B13373" s="88"/>
      <c r="C13373" s="89"/>
      <c r="D13373" s="89"/>
      <c r="E13373" s="89"/>
      <c r="F13373" s="89"/>
      <c r="G13373" s="81"/>
      <c r="H13373" s="81"/>
      <c r="I13373" s="81"/>
      <c r="J13373" s="81"/>
      <c r="K13373" s="81"/>
      <c r="L13373" s="81"/>
      <c r="M13373" s="81"/>
      <c r="N13373" s="81"/>
    </row>
    <row r="13374" spans="1:14" ht="14.25" customHeight="1" x14ac:dyDescent="0.25">
      <c r="A13374" s="90" t="s">
        <v>47</v>
      </c>
      <c r="B13374" s="613" t="s">
        <v>882</v>
      </c>
      <c r="C13374" s="600"/>
      <c r="D13374" s="600"/>
      <c r="E13374" s="600"/>
      <c r="F13374" s="600"/>
      <c r="G13374" s="81"/>
      <c r="H13374" s="81"/>
      <c r="I13374" s="81"/>
      <c r="J13374" s="81"/>
      <c r="K13374" s="81"/>
      <c r="L13374" s="81"/>
      <c r="M13374" s="81"/>
      <c r="N13374" s="81"/>
    </row>
    <row r="13375" spans="1:14" ht="14.25" customHeight="1" x14ac:dyDescent="0.25">
      <c r="A13375" s="91"/>
      <c r="B13375" s="91"/>
      <c r="C13375" s="91"/>
      <c r="D13375" s="91"/>
      <c r="E13375" s="91"/>
      <c r="F13375" s="91"/>
      <c r="G13375" s="81"/>
      <c r="H13375" s="81"/>
      <c r="I13375" s="81"/>
      <c r="J13375" s="81"/>
      <c r="K13375" s="81"/>
      <c r="L13375" s="81"/>
      <c r="M13375" s="81"/>
      <c r="N13375" s="81"/>
    </row>
    <row r="13376" spans="1:14" ht="14.25" customHeight="1" x14ac:dyDescent="0.25">
      <c r="A13376" s="88" t="s">
        <v>49</v>
      </c>
      <c r="B13376" s="92" t="s">
        <v>99</v>
      </c>
      <c r="C13376" s="89"/>
      <c r="D13376" s="89"/>
      <c r="E13376" s="89"/>
      <c r="F13376" s="93"/>
      <c r="G13376" s="81"/>
      <c r="H13376" s="81"/>
      <c r="I13376" s="81"/>
      <c r="J13376" s="81"/>
      <c r="K13376" s="81"/>
      <c r="L13376" s="81"/>
      <c r="M13376" s="81"/>
      <c r="N13376" s="81"/>
    </row>
    <row r="13377" spans="1:14" ht="14.25" customHeight="1" x14ac:dyDescent="0.25">
      <c r="A13377" s="88"/>
      <c r="B13377" s="94"/>
      <c r="C13377" s="89"/>
      <c r="D13377" s="89"/>
      <c r="E13377" s="89"/>
      <c r="F13377" s="93"/>
      <c r="G13377" s="81"/>
      <c r="H13377" s="81"/>
      <c r="I13377" s="81"/>
      <c r="J13377" s="81"/>
      <c r="K13377" s="81"/>
      <c r="L13377" s="81"/>
      <c r="M13377" s="81"/>
      <c r="N13377" s="81"/>
    </row>
    <row r="13378" spans="1:14" ht="14.25" customHeight="1" x14ac:dyDescent="0.25">
      <c r="A13378" s="95" t="s">
        <v>562</v>
      </c>
      <c r="B13378" s="96"/>
      <c r="C13378" s="92"/>
      <c r="D13378" s="92"/>
      <c r="E13378" s="92"/>
      <c r="F13378" s="92"/>
      <c r="G13378" s="81"/>
      <c r="H13378" s="81"/>
      <c r="I13378" s="81"/>
      <c r="J13378" s="81"/>
      <c r="K13378" s="81"/>
      <c r="L13378" s="81"/>
      <c r="M13378" s="81"/>
      <c r="N13378" s="81"/>
    </row>
    <row r="13379" spans="1:14" ht="14.25" customHeight="1" x14ac:dyDescent="0.25">
      <c r="A13379" s="97" t="s">
        <v>563</v>
      </c>
      <c r="B13379" s="98" t="s">
        <v>564</v>
      </c>
      <c r="C13379" s="98" t="s">
        <v>565</v>
      </c>
      <c r="D13379" s="98" t="s">
        <v>566</v>
      </c>
      <c r="E13379" s="98" t="s">
        <v>567</v>
      </c>
      <c r="F13379" s="98" t="s">
        <v>568</v>
      </c>
      <c r="G13379" s="81"/>
      <c r="H13379" s="81"/>
      <c r="I13379" s="81"/>
      <c r="J13379" s="81"/>
      <c r="K13379" s="81"/>
      <c r="L13379" s="81"/>
      <c r="M13379" s="81"/>
      <c r="N13379" s="81"/>
    </row>
    <row r="13380" spans="1:14" ht="14.25" customHeight="1" x14ac:dyDescent="0.25">
      <c r="A13380" s="99" t="s">
        <v>883</v>
      </c>
      <c r="B13380" s="100" t="s">
        <v>99</v>
      </c>
      <c r="C13380" s="101">
        <v>113400</v>
      </c>
      <c r="D13380" s="149">
        <v>1</v>
      </c>
      <c r="E13380" s="102"/>
      <c r="F13380" s="101">
        <f t="shared" ref="F13380:F13383" si="656">C13380*(D13380+(D13380*E13380))</f>
        <v>113400</v>
      </c>
      <c r="G13380" s="81"/>
      <c r="H13380" s="81"/>
      <c r="I13380" s="81"/>
      <c r="J13380" s="81"/>
      <c r="K13380" s="81"/>
      <c r="L13380" s="81"/>
      <c r="M13380" s="81"/>
      <c r="N13380" s="81"/>
    </row>
    <row r="13381" spans="1:14" ht="14.25" customHeight="1" x14ac:dyDescent="0.25">
      <c r="A13381" s="99"/>
      <c r="B13381" s="100"/>
      <c r="C13381" s="101"/>
      <c r="D13381" s="149"/>
      <c r="E13381" s="102"/>
      <c r="F13381" s="101">
        <f t="shared" si="656"/>
        <v>0</v>
      </c>
      <c r="G13381" s="81"/>
      <c r="H13381" s="81"/>
      <c r="I13381" s="81"/>
      <c r="J13381" s="81"/>
      <c r="K13381" s="81"/>
      <c r="L13381" s="81"/>
      <c r="M13381" s="81"/>
      <c r="N13381" s="81"/>
    </row>
    <row r="13382" spans="1:14" ht="14.25" customHeight="1" x14ac:dyDescent="0.25">
      <c r="A13382" s="99"/>
      <c r="B13382" s="100"/>
      <c r="C13382" s="101"/>
      <c r="D13382" s="149"/>
      <c r="E13382" s="102"/>
      <c r="F13382" s="101">
        <f t="shared" si="656"/>
        <v>0</v>
      </c>
      <c r="G13382" s="81"/>
      <c r="H13382" s="81"/>
      <c r="I13382" s="81"/>
      <c r="J13382" s="81"/>
      <c r="K13382" s="81"/>
      <c r="L13382" s="81"/>
      <c r="M13382" s="81"/>
      <c r="N13382" s="81"/>
    </row>
    <row r="13383" spans="1:14" ht="14.25" customHeight="1" x14ac:dyDescent="0.25">
      <c r="A13383" s="99"/>
      <c r="B13383" s="100"/>
      <c r="C13383" s="101"/>
      <c r="D13383" s="149"/>
      <c r="E13383" s="102"/>
      <c r="F13383" s="101">
        <f t="shared" si="656"/>
        <v>0</v>
      </c>
      <c r="G13383" s="81"/>
      <c r="H13383" s="81"/>
      <c r="I13383" s="81"/>
      <c r="J13383" s="81"/>
      <c r="K13383" s="81"/>
      <c r="L13383" s="81"/>
      <c r="M13383" s="81"/>
      <c r="N13383" s="81"/>
    </row>
    <row r="13384" spans="1:14" ht="14.25" customHeight="1" x14ac:dyDescent="0.25">
      <c r="A13384" s="99"/>
      <c r="B13384" s="100"/>
      <c r="C13384" s="101"/>
      <c r="D13384" s="149"/>
      <c r="E13384" s="102"/>
      <c r="F13384" s="101"/>
      <c r="G13384" s="81"/>
      <c r="H13384" s="143"/>
      <c r="I13384" s="81"/>
      <c r="J13384" s="81"/>
      <c r="K13384" s="81"/>
      <c r="L13384" s="81"/>
      <c r="M13384" s="81"/>
      <c r="N13384" s="81"/>
    </row>
    <row r="13385" spans="1:14" ht="14.25" customHeight="1" x14ac:dyDescent="0.25">
      <c r="A13385" s="99"/>
      <c r="B13385" s="100"/>
      <c r="C13385" s="101"/>
      <c r="D13385" s="149"/>
      <c r="E13385" s="102"/>
      <c r="F13385" s="101"/>
      <c r="G13385" s="81"/>
      <c r="H13385" s="81"/>
      <c r="I13385" s="81"/>
      <c r="J13385" s="81"/>
      <c r="K13385" s="81"/>
      <c r="L13385" s="81"/>
      <c r="M13385" s="81"/>
      <c r="N13385" s="81"/>
    </row>
    <row r="13386" spans="1:14" ht="14.25" customHeight="1" x14ac:dyDescent="0.25">
      <c r="A13386" s="99"/>
      <c r="B13386" s="100"/>
      <c r="C13386" s="101"/>
      <c r="D13386" s="149"/>
      <c r="E13386" s="102"/>
      <c r="F13386" s="101"/>
      <c r="G13386" s="81"/>
      <c r="H13386" s="81"/>
      <c r="I13386" s="81"/>
      <c r="J13386" s="81"/>
      <c r="K13386" s="81"/>
      <c r="L13386" s="81"/>
      <c r="M13386" s="81"/>
      <c r="N13386" s="81"/>
    </row>
    <row r="13387" spans="1:14" s="187" customFormat="1" ht="14.25" customHeight="1" x14ac:dyDescent="0.25">
      <c r="A13387" s="99"/>
      <c r="B13387" s="100"/>
      <c r="C13387" s="106"/>
      <c r="D13387" s="107"/>
      <c r="E13387" s="108"/>
      <c r="F13387" s="106"/>
      <c r="G13387" s="81"/>
      <c r="H13387" s="81"/>
      <c r="I13387" s="81"/>
      <c r="J13387" s="81"/>
      <c r="K13387" s="81"/>
      <c r="L13387" s="81"/>
      <c r="M13387" s="81"/>
      <c r="N13387" s="81"/>
    </row>
    <row r="13388" spans="1:14" s="187" customFormat="1" ht="14.25" customHeight="1" x14ac:dyDescent="0.25">
      <c r="A13388" s="97" t="s">
        <v>548</v>
      </c>
      <c r="B13388" s="97"/>
      <c r="C13388" s="109"/>
      <c r="D13388" s="110"/>
      <c r="E13388" s="111"/>
      <c r="F13388" s="112">
        <f>SUM(F13380:F13387)</f>
        <v>113400</v>
      </c>
      <c r="G13388" s="81"/>
      <c r="H13388" s="81"/>
      <c r="I13388" s="81"/>
      <c r="J13388" s="81"/>
      <c r="K13388" s="81"/>
      <c r="L13388" s="81"/>
      <c r="M13388" s="81"/>
      <c r="N13388" s="81"/>
    </row>
    <row r="13389" spans="1:14" s="187" customFormat="1" ht="14.25" customHeight="1" x14ac:dyDescent="0.25">
      <c r="A13389" s="88"/>
      <c r="B13389" s="88"/>
      <c r="C13389" s="113"/>
      <c r="D13389" s="113"/>
      <c r="E13389" s="114"/>
      <c r="F13389" s="113"/>
      <c r="G13389" s="81"/>
      <c r="H13389" s="81"/>
      <c r="I13389" s="81"/>
      <c r="J13389" s="81"/>
      <c r="K13389" s="81"/>
      <c r="L13389" s="81"/>
      <c r="M13389" s="81"/>
      <c r="N13389" s="81"/>
    </row>
    <row r="13390" spans="1:14" s="187" customFormat="1" ht="14.25" customHeight="1" x14ac:dyDescent="0.25">
      <c r="A13390" s="96" t="s">
        <v>573</v>
      </c>
      <c r="B13390" s="96"/>
      <c r="C13390" s="92"/>
      <c r="D13390" s="92"/>
      <c r="E13390" s="92"/>
      <c r="F13390" s="92"/>
      <c r="G13390" s="81"/>
      <c r="H13390" s="81"/>
      <c r="I13390" s="81"/>
      <c r="J13390" s="81"/>
      <c r="K13390" s="81"/>
      <c r="L13390" s="81"/>
      <c r="M13390" s="81"/>
      <c r="N13390" s="81"/>
    </row>
    <row r="13391" spans="1:14" s="187" customFormat="1" ht="14.25" customHeight="1" x14ac:dyDescent="0.25">
      <c r="A13391" s="611" t="s">
        <v>563</v>
      </c>
      <c r="B13391" s="608"/>
      <c r="C13391" s="609"/>
      <c r="D13391" s="98" t="s">
        <v>574</v>
      </c>
      <c r="E13391" s="98" t="s">
        <v>575</v>
      </c>
      <c r="F13391" s="98" t="s">
        <v>568</v>
      </c>
      <c r="G13391" s="81"/>
      <c r="H13391" s="81"/>
      <c r="I13391" s="81"/>
      <c r="J13391" s="81"/>
      <c r="K13391" s="81"/>
      <c r="L13391" s="81"/>
      <c r="M13391" s="81"/>
      <c r="N13391" s="81"/>
    </row>
    <row r="13392" spans="1:14" ht="54" customHeight="1" x14ac:dyDescent="0.25">
      <c r="A13392" s="607" t="s">
        <v>577</v>
      </c>
      <c r="B13392" s="608"/>
      <c r="C13392" s="609"/>
      <c r="D13392" s="116"/>
      <c r="E13392" s="107"/>
      <c r="F13392" s="106">
        <f>+F13409*5%</f>
        <v>733.83611738606305</v>
      </c>
    </row>
    <row r="13393" spans="1:6" ht="15" customHeight="1" x14ac:dyDescent="0.25">
      <c r="A13393" s="607"/>
      <c r="B13393" s="608"/>
      <c r="C13393" s="609"/>
      <c r="D13393" s="142"/>
      <c r="E13393" s="105"/>
      <c r="F13393" s="106"/>
    </row>
    <row r="13394" spans="1:6" ht="15" customHeight="1" x14ac:dyDescent="0.25">
      <c r="A13394" s="607"/>
      <c r="B13394" s="608"/>
      <c r="C13394" s="609"/>
      <c r="D13394" s="142"/>
      <c r="E13394" s="105"/>
      <c r="F13394" s="106"/>
    </row>
    <row r="13395" spans="1:6" ht="15" customHeight="1" x14ac:dyDescent="0.25">
      <c r="A13395" s="607"/>
      <c r="B13395" s="608"/>
      <c r="C13395" s="609"/>
      <c r="D13395" s="142"/>
      <c r="E13395" s="107"/>
      <c r="F13395" s="106"/>
    </row>
    <row r="13396" spans="1:6" ht="15" customHeight="1" x14ac:dyDescent="0.25">
      <c r="A13396" s="607"/>
      <c r="B13396" s="608"/>
      <c r="C13396" s="609"/>
      <c r="D13396" s="142"/>
      <c r="E13396" s="107"/>
      <c r="F13396" s="106"/>
    </row>
    <row r="13397" spans="1:6" ht="15" customHeight="1" x14ac:dyDescent="0.25">
      <c r="A13397" s="607"/>
      <c r="B13397" s="608"/>
      <c r="C13397" s="609"/>
      <c r="D13397" s="142"/>
      <c r="E13397" s="107"/>
      <c r="F13397" s="106"/>
    </row>
    <row r="13398" spans="1:6" ht="15" customHeight="1" x14ac:dyDescent="0.25">
      <c r="A13398" s="607"/>
      <c r="B13398" s="608"/>
      <c r="C13398" s="609"/>
      <c r="D13398" s="142"/>
      <c r="E13398" s="107"/>
      <c r="F13398" s="106"/>
    </row>
    <row r="13399" spans="1:6" ht="15" customHeight="1" x14ac:dyDescent="0.25">
      <c r="A13399" s="607"/>
      <c r="B13399" s="608"/>
      <c r="C13399" s="609"/>
      <c r="D13399" s="142"/>
      <c r="E13399" s="107"/>
      <c r="F13399" s="106"/>
    </row>
    <row r="13400" spans="1:6" ht="15" customHeight="1" x14ac:dyDescent="0.25">
      <c r="A13400" s="610"/>
      <c r="B13400" s="608"/>
      <c r="C13400" s="609"/>
      <c r="D13400" s="115"/>
      <c r="E13400" s="107"/>
      <c r="F13400" s="106"/>
    </row>
    <row r="13401" spans="1:6" ht="15" customHeight="1" x14ac:dyDescent="0.25">
      <c r="A13401" s="611" t="s">
        <v>548</v>
      </c>
      <c r="B13401" s="608"/>
      <c r="C13401" s="609"/>
      <c r="D13401" s="110"/>
      <c r="E13401" s="110"/>
      <c r="F13401" s="112">
        <f>SUM(F13392:F13399)</f>
        <v>733.83611738606305</v>
      </c>
    </row>
    <row r="13402" spans="1:6" ht="15" customHeight="1" x14ac:dyDescent="0.25">
      <c r="A13402" s="88"/>
      <c r="B13402" s="88"/>
      <c r="C13402" s="89"/>
      <c r="D13402" s="113"/>
      <c r="E13402" s="113"/>
      <c r="F13402" s="113"/>
    </row>
    <row r="13403" spans="1:6" ht="15" customHeight="1" x14ac:dyDescent="0.25">
      <c r="A13403" s="96" t="s">
        <v>578</v>
      </c>
      <c r="B13403" s="96"/>
      <c r="C13403" s="92"/>
      <c r="D13403" s="118"/>
      <c r="E13403" s="118"/>
      <c r="F13403" s="118"/>
    </row>
    <row r="13404" spans="1:6" ht="15" customHeight="1" x14ac:dyDescent="0.25">
      <c r="A13404" s="119" t="s">
        <v>563</v>
      </c>
      <c r="B13404" s="120" t="s">
        <v>579</v>
      </c>
      <c r="C13404" s="120" t="s">
        <v>580</v>
      </c>
      <c r="D13404" s="121" t="s">
        <v>581</v>
      </c>
      <c r="E13404" s="121" t="s">
        <v>575</v>
      </c>
      <c r="F13404" s="121" t="s">
        <v>568</v>
      </c>
    </row>
    <row r="13405" spans="1:6" ht="15" customHeight="1" x14ac:dyDescent="0.25">
      <c r="A13405" s="122" t="s">
        <v>593</v>
      </c>
      <c r="B13405" s="127">
        <v>1</v>
      </c>
      <c r="C13405" s="101">
        <v>32688</v>
      </c>
      <c r="D13405" s="101">
        <f t="shared" ref="D13405:D13406" si="657">+C13405*1.7</f>
        <v>55569.599999999999</v>
      </c>
      <c r="E13405" s="107">
        <v>9.8717000000000006</v>
      </c>
      <c r="F13405" s="106">
        <f t="shared" ref="F13405:F13406" si="658">+B13405*(D13405)/E13405</f>
        <v>5629.1824103244626</v>
      </c>
    </row>
    <row r="13406" spans="1:6" ht="15" customHeight="1" x14ac:dyDescent="0.25">
      <c r="A13406" s="122" t="s">
        <v>594</v>
      </c>
      <c r="B13406" s="127">
        <v>1</v>
      </c>
      <c r="C13406" s="101">
        <v>52538</v>
      </c>
      <c r="D13406" s="101">
        <f t="shared" si="657"/>
        <v>89314.599999999991</v>
      </c>
      <c r="E13406" s="107">
        <f>E13405</f>
        <v>9.8717000000000006</v>
      </c>
      <c r="F13406" s="106">
        <f t="shared" si="658"/>
        <v>9047.5399373967994</v>
      </c>
    </row>
    <row r="13407" spans="1:6" ht="15" customHeight="1" x14ac:dyDescent="0.25">
      <c r="A13407" s="122"/>
      <c r="B13407" s="127"/>
      <c r="C13407" s="101"/>
      <c r="D13407" s="101"/>
      <c r="E13407" s="105"/>
      <c r="F13407" s="106"/>
    </row>
    <row r="13408" spans="1:6" ht="15" customHeight="1" x14ac:dyDescent="0.25">
      <c r="A13408" s="122"/>
      <c r="B13408" s="127"/>
      <c r="C13408" s="101"/>
      <c r="D13408" s="101"/>
      <c r="E13408" s="125"/>
      <c r="F13408" s="106"/>
    </row>
    <row r="13409" spans="1:6" ht="15" customHeight="1" x14ac:dyDescent="0.25">
      <c r="A13409" s="97" t="s">
        <v>548</v>
      </c>
      <c r="B13409" s="128"/>
      <c r="C13409" s="110"/>
      <c r="D13409" s="110"/>
      <c r="E13409" s="110"/>
      <c r="F13409" s="112">
        <f>SUM(F13405:F13408)</f>
        <v>14676.722347721261</v>
      </c>
    </row>
    <row r="13410" spans="1:6" ht="15" customHeight="1" x14ac:dyDescent="0.25">
      <c r="A13410" s="96"/>
      <c r="B13410" s="129"/>
      <c r="C13410" s="118"/>
      <c r="D13410" s="118"/>
      <c r="E13410" s="118"/>
      <c r="F13410" s="118"/>
    </row>
    <row r="13411" spans="1:6" ht="15" customHeight="1" x14ac:dyDescent="0.25">
      <c r="A13411" s="95" t="s">
        <v>583</v>
      </c>
      <c r="B13411" s="96"/>
      <c r="C13411" s="92"/>
      <c r="D13411" s="92"/>
      <c r="E13411" s="92" t="s">
        <v>584</v>
      </c>
      <c r="F13411" s="92"/>
    </row>
    <row r="13412" spans="1:6" ht="15" customHeight="1" x14ac:dyDescent="0.25">
      <c r="A13412" s="97" t="s">
        <v>563</v>
      </c>
      <c r="B13412" s="98" t="s">
        <v>564</v>
      </c>
      <c r="C13412" s="98" t="s">
        <v>585</v>
      </c>
      <c r="D13412" s="98" t="s">
        <v>586</v>
      </c>
      <c r="E13412" s="120" t="s">
        <v>587</v>
      </c>
      <c r="F13412" s="98" t="s">
        <v>568</v>
      </c>
    </row>
    <row r="13413" spans="1:6" ht="15" customHeight="1" x14ac:dyDescent="0.25">
      <c r="A13413" s="103"/>
      <c r="B13413" s="100"/>
      <c r="C13413" s="101"/>
      <c r="D13413" s="140"/>
      <c r="E13413" s="107"/>
      <c r="F13413" s="109"/>
    </row>
    <row r="13414" spans="1:6" ht="15" customHeight="1" x14ac:dyDescent="0.25">
      <c r="A13414" s="103"/>
      <c r="B13414" s="100"/>
      <c r="C13414" s="107"/>
      <c r="D13414" s="107"/>
      <c r="E13414" s="108"/>
      <c r="F13414" s="109"/>
    </row>
    <row r="13415" spans="1:6" ht="15" customHeight="1" x14ac:dyDescent="0.25">
      <c r="A13415" s="97" t="s">
        <v>548</v>
      </c>
      <c r="B13415" s="98"/>
      <c r="C13415" s="110"/>
      <c r="D13415" s="110"/>
      <c r="E13415" s="111"/>
      <c r="F13415" s="112">
        <f>SUM(F13413:F13414)</f>
        <v>0</v>
      </c>
    </row>
    <row r="13416" spans="1:6" ht="15" customHeight="1" x14ac:dyDescent="0.25">
      <c r="A13416" s="88"/>
      <c r="B13416" s="89"/>
      <c r="C13416" s="113"/>
      <c r="D13416" s="113"/>
      <c r="E13416" s="114"/>
      <c r="F13416" s="113"/>
    </row>
    <row r="13417" spans="1:6" ht="15" customHeight="1" x14ac:dyDescent="0.25">
      <c r="A13417" s="88"/>
      <c r="B13417" s="89"/>
      <c r="C13417" s="113"/>
      <c r="D13417" s="113"/>
      <c r="E13417" s="114"/>
      <c r="F13417" s="113"/>
    </row>
    <row r="13418" spans="1:6" ht="15" customHeight="1" x14ac:dyDescent="0.25">
      <c r="A13418" s="612" t="s">
        <v>588</v>
      </c>
      <c r="B13418" s="608"/>
      <c r="C13418" s="608"/>
      <c r="D13418" s="608"/>
      <c r="E13418" s="609"/>
      <c r="F13418" s="131">
        <f>ROUND(F13388+F13401+F13409+F13415,0)</f>
        <v>128811</v>
      </c>
    </row>
    <row r="13419" spans="1:6" ht="15" customHeight="1" x14ac:dyDescent="0.25">
      <c r="A13419" s="612" t="s">
        <v>589</v>
      </c>
      <c r="B13419" s="608"/>
      <c r="C13419" s="608"/>
      <c r="D13419" s="608"/>
      <c r="E13419" s="609"/>
      <c r="F13419" s="132"/>
    </row>
    <row r="13420" spans="1:6" ht="15" customHeight="1" x14ac:dyDescent="0.25">
      <c r="A13420" s="146" t="s">
        <v>556</v>
      </c>
      <c r="B13420" s="147"/>
      <c r="C13420" s="147"/>
      <c r="D13420" s="147"/>
      <c r="E13420" s="148"/>
      <c r="F13420" s="133"/>
    </row>
    <row r="13421" spans="1:6" ht="15" customHeight="1" x14ac:dyDescent="0.25">
      <c r="A13421" s="134"/>
      <c r="B13421" s="135"/>
      <c r="C13421" s="135"/>
      <c r="D13421" s="135"/>
      <c r="E13421" s="135"/>
      <c r="F13421" s="136"/>
    </row>
    <row r="13422" spans="1:6" ht="15" customHeight="1" x14ac:dyDescent="0.25">
      <c r="A13422" s="81"/>
      <c r="B13422" s="81"/>
      <c r="C13422" s="137"/>
      <c r="D13422" s="81"/>
      <c r="E13422" s="81"/>
      <c r="F13422" s="81"/>
    </row>
    <row r="13423" spans="1:6" ht="15" customHeight="1" x14ac:dyDescent="0.25">
      <c r="A13423" s="81"/>
      <c r="B13423" s="81"/>
      <c r="C13423" s="137"/>
      <c r="D13423" s="81"/>
      <c r="E13423" s="81"/>
      <c r="F13423" s="81"/>
    </row>
    <row r="13424" spans="1:6" ht="15" customHeight="1" x14ac:dyDescent="0.25">
      <c r="A13424" s="81"/>
      <c r="B13424" s="81"/>
      <c r="C13424" s="137"/>
      <c r="D13424" s="81"/>
      <c r="E13424" s="81"/>
      <c r="F13424" s="81"/>
    </row>
    <row r="13425" spans="1:14" ht="15" customHeight="1" x14ac:dyDescent="0.25">
      <c r="A13425" s="81"/>
      <c r="B13425" s="81"/>
      <c r="C13425" s="137"/>
      <c r="D13425" s="81"/>
      <c r="E13425" s="81"/>
      <c r="F13425" s="81"/>
    </row>
    <row r="13426" spans="1:14" ht="15" customHeight="1" x14ac:dyDescent="0.25">
      <c r="A13426" s="81"/>
      <c r="B13426" s="81"/>
      <c r="C13426" s="137"/>
      <c r="D13426" s="81"/>
      <c r="E13426" s="81"/>
      <c r="F13426" s="81"/>
    </row>
    <row r="13427" spans="1:14" ht="15" customHeight="1" x14ac:dyDescent="0.25">
      <c r="A13427" s="134"/>
      <c r="B13427" s="135"/>
      <c r="C13427" s="135"/>
      <c r="D13427" s="135"/>
      <c r="E13427" s="135"/>
      <c r="F13427" s="136"/>
    </row>
    <row r="13428" spans="1:14" ht="15" customHeight="1" x14ac:dyDescent="0.25">
      <c r="A13428" s="134"/>
      <c r="B13428" s="135"/>
      <c r="C13428" s="135"/>
      <c r="D13428" s="135"/>
      <c r="E13428" s="135"/>
      <c r="F13428" s="136"/>
    </row>
    <row r="13429" spans="1:14" ht="15" customHeight="1" x14ac:dyDescent="0.25">
      <c r="A13429" s="134"/>
      <c r="B13429" s="135"/>
      <c r="C13429" s="135"/>
      <c r="D13429" s="135"/>
      <c r="E13429" s="135"/>
      <c r="F13429" s="135"/>
    </row>
    <row r="13430" spans="1:14" ht="15" customHeight="1" thickBot="1" x14ac:dyDescent="0.3">
      <c r="A13430" s="81"/>
      <c r="B13430" s="81"/>
      <c r="C13430" s="81"/>
      <c r="D13430" s="81"/>
      <c r="E13430" s="81"/>
      <c r="F13430" s="81"/>
    </row>
    <row r="13431" spans="1:14" ht="15" customHeight="1" x14ac:dyDescent="0.25">
      <c r="A13431" s="83"/>
      <c r="B13431" s="84"/>
      <c r="C13431" s="85"/>
      <c r="D13431" s="86"/>
      <c r="E13431" s="86"/>
      <c r="F13431" s="87"/>
    </row>
    <row r="13432" spans="1:14" ht="15" customHeight="1" x14ac:dyDescent="0.25">
      <c r="A13432" s="599"/>
      <c r="B13432" s="600"/>
      <c r="C13432" s="600"/>
      <c r="D13432" s="600"/>
      <c r="E13432" s="600"/>
      <c r="F13432" s="601"/>
    </row>
    <row r="13433" spans="1:14" ht="15" customHeight="1" x14ac:dyDescent="0.25">
      <c r="A13433" s="602" t="s">
        <v>561</v>
      </c>
      <c r="B13433" s="600"/>
      <c r="C13433" s="600"/>
      <c r="D13433" s="600"/>
      <c r="E13433" s="600"/>
      <c r="F13433" s="601"/>
    </row>
    <row r="13434" spans="1:14" ht="15" customHeight="1" thickBot="1" x14ac:dyDescent="0.3">
      <c r="A13434" s="603"/>
      <c r="B13434" s="604"/>
      <c r="C13434" s="604"/>
      <c r="D13434" s="604"/>
      <c r="E13434" s="604"/>
      <c r="F13434" s="605"/>
    </row>
    <row r="13435" spans="1:14" ht="15" customHeight="1" x14ac:dyDescent="0.25">
      <c r="A13435" s="88"/>
      <c r="B13435" s="88"/>
      <c r="C13435" s="89"/>
      <c r="D13435" s="89"/>
      <c r="E13435" s="89"/>
      <c r="F13435" s="89"/>
    </row>
    <row r="13436" spans="1:14" ht="15" customHeight="1" x14ac:dyDescent="0.25">
      <c r="A13436" s="90" t="s">
        <v>47</v>
      </c>
      <c r="B13436" s="613" t="s">
        <v>884</v>
      </c>
      <c r="C13436" s="600"/>
      <c r="D13436" s="600"/>
      <c r="E13436" s="600"/>
      <c r="F13436" s="600"/>
    </row>
    <row r="13437" spans="1:14" ht="15" customHeight="1" x14ac:dyDescent="0.25">
      <c r="A13437" s="91"/>
      <c r="B13437" s="91"/>
      <c r="C13437" s="91"/>
      <c r="D13437" s="91"/>
      <c r="E13437" s="91"/>
      <c r="F13437" s="91"/>
    </row>
    <row r="13438" spans="1:14" ht="15" customHeight="1" x14ac:dyDescent="0.25">
      <c r="A13438" s="88" t="s">
        <v>49</v>
      </c>
      <c r="B13438" s="92" t="s">
        <v>99</v>
      </c>
      <c r="C13438" s="89"/>
      <c r="D13438" s="89"/>
      <c r="E13438" s="89"/>
      <c r="F13438" s="93"/>
    </row>
    <row r="13439" spans="1:14" ht="15" customHeight="1" x14ac:dyDescent="0.25">
      <c r="A13439" s="88"/>
      <c r="B13439" s="94"/>
      <c r="C13439" s="89"/>
      <c r="D13439" s="89"/>
      <c r="E13439" s="89"/>
      <c r="F13439" s="93"/>
    </row>
    <row r="13440" spans="1:14" s="187" customFormat="1" ht="14.25" customHeight="1" x14ac:dyDescent="0.25">
      <c r="A13440" s="95" t="s">
        <v>562</v>
      </c>
      <c r="B13440" s="96"/>
      <c r="C13440" s="92"/>
      <c r="D13440" s="92"/>
      <c r="E13440" s="92"/>
      <c r="F13440" s="92"/>
      <c r="G13440" s="81"/>
      <c r="H13440" s="81"/>
      <c r="I13440" s="81"/>
      <c r="J13440" s="81"/>
      <c r="K13440" s="81"/>
      <c r="L13440" s="81"/>
      <c r="M13440" s="81"/>
      <c r="N13440" s="81"/>
    </row>
    <row r="13441" spans="1:14" s="187" customFormat="1" ht="14.25" customHeight="1" x14ac:dyDescent="0.25">
      <c r="A13441" s="97" t="s">
        <v>563</v>
      </c>
      <c r="B13441" s="98" t="s">
        <v>564</v>
      </c>
      <c r="C13441" s="98" t="s">
        <v>565</v>
      </c>
      <c r="D13441" s="98" t="s">
        <v>566</v>
      </c>
      <c r="E13441" s="98" t="s">
        <v>567</v>
      </c>
      <c r="F13441" s="98" t="s">
        <v>568</v>
      </c>
      <c r="G13441" s="81"/>
      <c r="H13441" s="81"/>
      <c r="I13441" s="81"/>
      <c r="J13441" s="81"/>
      <c r="K13441" s="81"/>
      <c r="L13441" s="81"/>
      <c r="M13441" s="81"/>
      <c r="N13441" s="81"/>
    </row>
    <row r="13442" spans="1:14" s="187" customFormat="1" ht="14.25" customHeight="1" x14ac:dyDescent="0.25">
      <c r="A13442" s="99" t="s">
        <v>885</v>
      </c>
      <c r="B13442" s="100" t="s">
        <v>99</v>
      </c>
      <c r="C13442" s="101">
        <v>1521000</v>
      </c>
      <c r="D13442" s="149">
        <v>1</v>
      </c>
      <c r="E13442" s="102"/>
      <c r="F13442" s="101">
        <f t="shared" ref="F13442:F13445" si="659">C13442*(D13442+(D13442*E13442))</f>
        <v>1521000</v>
      </c>
      <c r="G13442" s="81"/>
      <c r="H13442" s="81"/>
      <c r="I13442" s="81"/>
      <c r="J13442" s="81"/>
      <c r="K13442" s="81"/>
      <c r="L13442" s="81"/>
      <c r="M13442" s="81"/>
      <c r="N13442" s="81"/>
    </row>
    <row r="13443" spans="1:14" s="187" customFormat="1" ht="14.25" customHeight="1" x14ac:dyDescent="0.25">
      <c r="A13443" s="99"/>
      <c r="B13443" s="100"/>
      <c r="C13443" s="101"/>
      <c r="D13443" s="149"/>
      <c r="E13443" s="102"/>
      <c r="F13443" s="101">
        <f t="shared" si="659"/>
        <v>0</v>
      </c>
      <c r="G13443" s="81"/>
      <c r="H13443" s="81"/>
      <c r="I13443" s="81"/>
      <c r="J13443" s="81"/>
      <c r="K13443" s="81"/>
      <c r="L13443" s="81"/>
      <c r="M13443" s="81"/>
      <c r="N13443" s="81"/>
    </row>
    <row r="13444" spans="1:14" ht="15" customHeight="1" x14ac:dyDescent="0.25">
      <c r="A13444" s="99"/>
      <c r="B13444" s="100"/>
      <c r="C13444" s="101"/>
      <c r="D13444" s="149"/>
      <c r="E13444" s="102"/>
      <c r="F13444" s="101">
        <f t="shared" si="659"/>
        <v>0</v>
      </c>
    </row>
    <row r="13445" spans="1:14" ht="57.95" customHeight="1" x14ac:dyDescent="0.25">
      <c r="A13445" s="99"/>
      <c r="B13445" s="100"/>
      <c r="C13445" s="101"/>
      <c r="D13445" s="149"/>
      <c r="E13445" s="102"/>
      <c r="F13445" s="101">
        <f t="shared" si="659"/>
        <v>0</v>
      </c>
    </row>
    <row r="13446" spans="1:14" ht="15" customHeight="1" x14ac:dyDescent="0.25">
      <c r="A13446" s="99"/>
      <c r="B13446" s="100"/>
      <c r="C13446" s="101"/>
      <c r="D13446" s="149"/>
      <c r="E13446" s="102"/>
      <c r="F13446" s="101"/>
    </row>
    <row r="13447" spans="1:14" ht="15" customHeight="1" x14ac:dyDescent="0.25">
      <c r="A13447" s="99"/>
      <c r="B13447" s="100"/>
      <c r="C13447" s="101"/>
      <c r="D13447" s="149"/>
      <c r="E13447" s="102"/>
      <c r="F13447" s="101"/>
    </row>
    <row r="13448" spans="1:14" ht="15" customHeight="1" x14ac:dyDescent="0.25">
      <c r="A13448" s="99"/>
      <c r="B13448" s="100"/>
      <c r="C13448" s="101"/>
      <c r="D13448" s="149"/>
      <c r="E13448" s="102"/>
      <c r="F13448" s="101"/>
    </row>
    <row r="13449" spans="1:14" ht="15" customHeight="1" x14ac:dyDescent="0.25">
      <c r="A13449" s="99"/>
      <c r="B13449" s="100"/>
      <c r="C13449" s="106"/>
      <c r="D13449" s="107"/>
      <c r="E13449" s="108"/>
      <c r="F13449" s="106"/>
    </row>
    <row r="13450" spans="1:14" ht="15" customHeight="1" x14ac:dyDescent="0.25">
      <c r="A13450" s="97" t="s">
        <v>548</v>
      </c>
      <c r="B13450" s="97"/>
      <c r="C13450" s="109"/>
      <c r="D13450" s="110"/>
      <c r="E13450" s="111"/>
      <c r="F13450" s="112">
        <f>SUM(F13442:F13449)</f>
        <v>1521000</v>
      </c>
    </row>
    <row r="13451" spans="1:14" ht="15" customHeight="1" x14ac:dyDescent="0.25">
      <c r="A13451" s="88"/>
      <c r="B13451" s="88"/>
      <c r="C13451" s="113"/>
      <c r="D13451" s="113"/>
      <c r="E13451" s="114"/>
      <c r="F13451" s="113"/>
    </row>
    <row r="13452" spans="1:14" ht="15" customHeight="1" x14ac:dyDescent="0.25">
      <c r="A13452" s="96" t="s">
        <v>573</v>
      </c>
      <c r="B13452" s="96"/>
      <c r="C13452" s="92"/>
      <c r="D13452" s="92"/>
      <c r="E13452" s="92"/>
      <c r="F13452" s="92"/>
    </row>
    <row r="13453" spans="1:14" ht="15" customHeight="1" x14ac:dyDescent="0.25">
      <c r="A13453" s="611" t="s">
        <v>563</v>
      </c>
      <c r="B13453" s="608"/>
      <c r="C13453" s="609"/>
      <c r="D13453" s="98" t="s">
        <v>574</v>
      </c>
      <c r="E13453" s="98" t="s">
        <v>575</v>
      </c>
      <c r="F13453" s="98" t="s">
        <v>568</v>
      </c>
    </row>
    <row r="13454" spans="1:14" ht="15" customHeight="1" x14ac:dyDescent="0.25">
      <c r="A13454" s="607" t="s">
        <v>577</v>
      </c>
      <c r="B13454" s="608"/>
      <c r="C13454" s="609"/>
      <c r="D13454" s="116"/>
      <c r="E13454" s="107"/>
      <c r="F13454" s="106">
        <f>+F13471*5%</f>
        <v>8880.320192213394</v>
      </c>
    </row>
    <row r="13455" spans="1:14" ht="15" customHeight="1" x14ac:dyDescent="0.25">
      <c r="A13455" s="607"/>
      <c r="B13455" s="608"/>
      <c r="C13455" s="609"/>
      <c r="D13455" s="142"/>
      <c r="E13455" s="105"/>
      <c r="F13455" s="106"/>
    </row>
    <row r="13456" spans="1:14" ht="15" customHeight="1" x14ac:dyDescent="0.25">
      <c r="A13456" s="607"/>
      <c r="B13456" s="608"/>
      <c r="C13456" s="609"/>
      <c r="D13456" s="142"/>
      <c r="E13456" s="105"/>
      <c r="F13456" s="106"/>
    </row>
    <row r="13457" spans="1:6" ht="15" customHeight="1" x14ac:dyDescent="0.25">
      <c r="A13457" s="607"/>
      <c r="B13457" s="608"/>
      <c r="C13457" s="609"/>
      <c r="D13457" s="142"/>
      <c r="E13457" s="107"/>
      <c r="F13457" s="106"/>
    </row>
    <row r="13458" spans="1:6" ht="15" customHeight="1" x14ac:dyDescent="0.25">
      <c r="A13458" s="607"/>
      <c r="B13458" s="608"/>
      <c r="C13458" s="609"/>
      <c r="D13458" s="142"/>
      <c r="E13458" s="107"/>
      <c r="F13458" s="106"/>
    </row>
    <row r="13459" spans="1:6" ht="15" customHeight="1" x14ac:dyDescent="0.25">
      <c r="A13459" s="607"/>
      <c r="B13459" s="608"/>
      <c r="C13459" s="609"/>
      <c r="D13459" s="142"/>
      <c r="E13459" s="107"/>
      <c r="F13459" s="106"/>
    </row>
    <row r="13460" spans="1:6" ht="15" customHeight="1" x14ac:dyDescent="0.25">
      <c r="A13460" s="607"/>
      <c r="B13460" s="608"/>
      <c r="C13460" s="609"/>
      <c r="D13460" s="142"/>
      <c r="E13460" s="107"/>
      <c r="F13460" s="106"/>
    </row>
    <row r="13461" spans="1:6" ht="15" customHeight="1" x14ac:dyDescent="0.25">
      <c r="A13461" s="607"/>
      <c r="B13461" s="608"/>
      <c r="C13461" s="609"/>
      <c r="D13461" s="142"/>
      <c r="E13461" s="107"/>
      <c r="F13461" s="106"/>
    </row>
    <row r="13462" spans="1:6" ht="15" customHeight="1" x14ac:dyDescent="0.25">
      <c r="A13462" s="610"/>
      <c r="B13462" s="608"/>
      <c r="C13462" s="609"/>
      <c r="D13462" s="115"/>
      <c r="E13462" s="107"/>
      <c r="F13462" s="106"/>
    </row>
    <row r="13463" spans="1:6" ht="15" customHeight="1" x14ac:dyDescent="0.25">
      <c r="A13463" s="611" t="s">
        <v>548</v>
      </c>
      <c r="B13463" s="608"/>
      <c r="C13463" s="609"/>
      <c r="D13463" s="110"/>
      <c r="E13463" s="110"/>
      <c r="F13463" s="112">
        <f>SUM(F13454:F13461)</f>
        <v>8880.320192213394</v>
      </c>
    </row>
    <row r="13464" spans="1:6" ht="15" customHeight="1" x14ac:dyDescent="0.25">
      <c r="A13464" s="88"/>
      <c r="B13464" s="88"/>
      <c r="C13464" s="89"/>
      <c r="D13464" s="113"/>
      <c r="E13464" s="113"/>
      <c r="F13464" s="113"/>
    </row>
    <row r="13465" spans="1:6" ht="15" customHeight="1" x14ac:dyDescent="0.25">
      <c r="A13465" s="96" t="s">
        <v>578</v>
      </c>
      <c r="B13465" s="96"/>
      <c r="C13465" s="92"/>
      <c r="D13465" s="118"/>
      <c r="E13465" s="118"/>
      <c r="F13465" s="118"/>
    </row>
    <row r="13466" spans="1:6" ht="15" customHeight="1" x14ac:dyDescent="0.25">
      <c r="A13466" s="119" t="s">
        <v>563</v>
      </c>
      <c r="B13466" s="120" t="s">
        <v>579</v>
      </c>
      <c r="C13466" s="120" t="s">
        <v>580</v>
      </c>
      <c r="D13466" s="121" t="s">
        <v>581</v>
      </c>
      <c r="E13466" s="121" t="s">
        <v>575</v>
      </c>
      <c r="F13466" s="121" t="s">
        <v>568</v>
      </c>
    </row>
    <row r="13467" spans="1:6" ht="15" customHeight="1" x14ac:dyDescent="0.25">
      <c r="A13467" s="122" t="s">
        <v>593</v>
      </c>
      <c r="B13467" s="127">
        <v>1</v>
      </c>
      <c r="C13467" s="101">
        <v>32688</v>
      </c>
      <c r="D13467" s="101">
        <f t="shared" ref="D13467:D13468" si="660">+C13467*1.7</f>
        <v>55569.599999999999</v>
      </c>
      <c r="E13467" s="107">
        <v>0.81576000000000004</v>
      </c>
      <c r="F13467" s="106">
        <f t="shared" ref="F13467:F13468" si="661">+B13467*(D13467)/E13467</f>
        <v>68120.035304501318</v>
      </c>
    </row>
    <row r="13468" spans="1:6" ht="15" customHeight="1" x14ac:dyDescent="0.25">
      <c r="A13468" s="122" t="s">
        <v>594</v>
      </c>
      <c r="B13468" s="127">
        <v>1</v>
      </c>
      <c r="C13468" s="101">
        <v>52538</v>
      </c>
      <c r="D13468" s="101">
        <f t="shared" si="660"/>
        <v>89314.599999999991</v>
      </c>
      <c r="E13468" s="107">
        <f>E13467</f>
        <v>0.81576000000000004</v>
      </c>
      <c r="F13468" s="106">
        <f t="shared" si="661"/>
        <v>109486.36853976658</v>
      </c>
    </row>
    <row r="13469" spans="1:6" ht="15" customHeight="1" x14ac:dyDescent="0.25">
      <c r="A13469" s="122"/>
      <c r="B13469" s="127"/>
      <c r="C13469" s="101"/>
      <c r="D13469" s="101"/>
      <c r="E13469" s="105"/>
      <c r="F13469" s="106"/>
    </row>
    <row r="13470" spans="1:6" ht="15" customHeight="1" x14ac:dyDescent="0.25">
      <c r="A13470" s="122"/>
      <c r="B13470" s="127"/>
      <c r="C13470" s="101"/>
      <c r="D13470" s="101"/>
      <c r="E13470" s="125"/>
      <c r="F13470" s="106"/>
    </row>
    <row r="13471" spans="1:6" ht="15" customHeight="1" x14ac:dyDescent="0.25">
      <c r="A13471" s="97" t="s">
        <v>548</v>
      </c>
      <c r="B13471" s="128"/>
      <c r="C13471" s="110"/>
      <c r="D13471" s="110"/>
      <c r="E13471" s="110"/>
      <c r="F13471" s="112">
        <f>SUM(F13467:F13470)</f>
        <v>177606.40384426789</v>
      </c>
    </row>
    <row r="13472" spans="1:6" ht="15" customHeight="1" x14ac:dyDescent="0.25">
      <c r="A13472" s="96"/>
      <c r="B13472" s="129"/>
      <c r="C13472" s="118"/>
      <c r="D13472" s="118"/>
      <c r="E13472" s="118"/>
      <c r="F13472" s="118"/>
    </row>
    <row r="13473" spans="1:6" ht="15" customHeight="1" x14ac:dyDescent="0.25">
      <c r="A13473" s="95" t="s">
        <v>583</v>
      </c>
      <c r="B13473" s="96"/>
      <c r="C13473" s="92"/>
      <c r="D13473" s="92"/>
      <c r="E13473" s="92" t="s">
        <v>584</v>
      </c>
      <c r="F13473" s="92"/>
    </row>
    <row r="13474" spans="1:6" ht="15" customHeight="1" x14ac:dyDescent="0.25">
      <c r="A13474" s="97" t="s">
        <v>563</v>
      </c>
      <c r="B13474" s="98" t="s">
        <v>564</v>
      </c>
      <c r="C13474" s="98" t="s">
        <v>585</v>
      </c>
      <c r="D13474" s="98" t="s">
        <v>586</v>
      </c>
      <c r="E13474" s="120" t="s">
        <v>587</v>
      </c>
      <c r="F13474" s="98" t="s">
        <v>568</v>
      </c>
    </row>
    <row r="13475" spans="1:6" ht="15" customHeight="1" x14ac:dyDescent="0.25">
      <c r="A13475" s="103"/>
      <c r="B13475" s="100"/>
      <c r="C13475" s="101"/>
      <c r="D13475" s="140"/>
      <c r="E13475" s="107"/>
      <c r="F13475" s="109"/>
    </row>
    <row r="13476" spans="1:6" ht="15" customHeight="1" x14ac:dyDescent="0.25">
      <c r="A13476" s="103"/>
      <c r="B13476" s="100"/>
      <c r="C13476" s="107"/>
      <c r="D13476" s="107"/>
      <c r="E13476" s="108"/>
      <c r="F13476" s="109"/>
    </row>
    <row r="13477" spans="1:6" ht="15" customHeight="1" x14ac:dyDescent="0.25">
      <c r="A13477" s="97" t="s">
        <v>548</v>
      </c>
      <c r="B13477" s="98"/>
      <c r="C13477" s="110"/>
      <c r="D13477" s="110"/>
      <c r="E13477" s="111"/>
      <c r="F13477" s="112">
        <f>SUM(F13475:F13476)</f>
        <v>0</v>
      </c>
    </row>
    <row r="13478" spans="1:6" ht="15" customHeight="1" x14ac:dyDescent="0.25">
      <c r="A13478" s="88"/>
      <c r="B13478" s="89"/>
      <c r="C13478" s="113"/>
      <c r="D13478" s="113"/>
      <c r="E13478" s="114"/>
      <c r="F13478" s="113"/>
    </row>
    <row r="13479" spans="1:6" ht="15" customHeight="1" x14ac:dyDescent="0.25">
      <c r="A13479" s="88"/>
      <c r="B13479" s="89"/>
      <c r="C13479" s="113"/>
      <c r="D13479" s="113"/>
      <c r="E13479" s="114"/>
      <c r="F13479" s="113"/>
    </row>
    <row r="13480" spans="1:6" ht="15" customHeight="1" x14ac:dyDescent="0.25">
      <c r="A13480" s="612" t="s">
        <v>588</v>
      </c>
      <c r="B13480" s="608"/>
      <c r="C13480" s="608"/>
      <c r="D13480" s="608"/>
      <c r="E13480" s="609"/>
      <c r="F13480" s="131">
        <f>ROUND(F13450+F13463+F13471+F13477,0)</f>
        <v>1707487</v>
      </c>
    </row>
    <row r="13481" spans="1:6" ht="15" customHeight="1" x14ac:dyDescent="0.25">
      <c r="A13481" s="612" t="s">
        <v>589</v>
      </c>
      <c r="B13481" s="608"/>
      <c r="C13481" s="608"/>
      <c r="D13481" s="608"/>
      <c r="E13481" s="609"/>
      <c r="F13481" s="132"/>
    </row>
    <row r="13482" spans="1:6" ht="15" customHeight="1" x14ac:dyDescent="0.25">
      <c r="A13482" s="146" t="s">
        <v>556</v>
      </c>
      <c r="B13482" s="147"/>
      <c r="C13482" s="147"/>
      <c r="D13482" s="147"/>
      <c r="E13482" s="148"/>
      <c r="F13482" s="133"/>
    </row>
    <row r="13483" spans="1:6" ht="15" customHeight="1" x14ac:dyDescent="0.25">
      <c r="A13483" s="134"/>
      <c r="B13483" s="135"/>
      <c r="C13483" s="135"/>
      <c r="D13483" s="135"/>
      <c r="E13483" s="135"/>
      <c r="F13483" s="136"/>
    </row>
    <row r="13484" spans="1:6" ht="15" customHeight="1" x14ac:dyDescent="0.25">
      <c r="A13484" s="81"/>
      <c r="B13484" s="81"/>
      <c r="C13484" s="137"/>
      <c r="D13484" s="81"/>
      <c r="E13484" s="81"/>
      <c r="F13484" s="81"/>
    </row>
    <row r="13485" spans="1:6" ht="15" customHeight="1" x14ac:dyDescent="0.25">
      <c r="A13485" s="81"/>
      <c r="B13485" s="81"/>
      <c r="C13485" s="137"/>
      <c r="D13485" s="81"/>
      <c r="E13485" s="81"/>
      <c r="F13485" s="81"/>
    </row>
    <row r="13486" spans="1:6" ht="15" customHeight="1" x14ac:dyDescent="0.25">
      <c r="A13486" s="81"/>
      <c r="B13486" s="81"/>
      <c r="C13486" s="137"/>
      <c r="D13486" s="81"/>
      <c r="E13486" s="81"/>
      <c r="F13486" s="81"/>
    </row>
    <row r="13487" spans="1:6" ht="15" customHeight="1" x14ac:dyDescent="0.25">
      <c r="A13487" s="81"/>
      <c r="B13487" s="81"/>
      <c r="C13487" s="137"/>
      <c r="D13487" s="81"/>
      <c r="E13487" s="81"/>
      <c r="F13487" s="81"/>
    </row>
    <row r="13488" spans="1:6" ht="15" customHeight="1" x14ac:dyDescent="0.25">
      <c r="A13488" s="81"/>
      <c r="B13488" s="81"/>
      <c r="C13488" s="137"/>
      <c r="D13488" s="81"/>
      <c r="E13488" s="81"/>
      <c r="F13488" s="81"/>
    </row>
    <row r="13489" spans="1:14" ht="15" customHeight="1" x14ac:dyDescent="0.25">
      <c r="A13489" s="134"/>
      <c r="B13489" s="135"/>
      <c r="C13489" s="135"/>
      <c r="D13489" s="135"/>
      <c r="E13489" s="135"/>
      <c r="F13489" s="136"/>
    </row>
    <row r="13490" spans="1:14" ht="15" customHeight="1" x14ac:dyDescent="0.25">
      <c r="A13490" s="134"/>
      <c r="B13490" s="135"/>
      <c r="C13490" s="135"/>
      <c r="D13490" s="135"/>
      <c r="E13490" s="135"/>
      <c r="F13490" s="136"/>
    </row>
    <row r="13491" spans="1:14" s="187" customFormat="1" ht="14.25" customHeight="1" x14ac:dyDescent="0.25">
      <c r="A13491" s="134"/>
      <c r="B13491" s="135"/>
      <c r="C13491" s="135"/>
      <c r="D13491" s="135"/>
      <c r="E13491" s="135"/>
      <c r="F13491" s="135"/>
      <c r="G13491" s="81"/>
      <c r="H13491" s="81"/>
      <c r="I13491" s="81"/>
      <c r="J13491" s="81"/>
      <c r="K13491" s="81"/>
      <c r="L13491" s="81"/>
      <c r="M13491" s="81"/>
      <c r="N13491" s="81"/>
    </row>
    <row r="13492" spans="1:14" s="187" customFormat="1" ht="14.25" customHeight="1" thickBot="1" x14ac:dyDescent="0.3">
      <c r="A13492" s="81"/>
      <c r="B13492" s="81"/>
      <c r="C13492" s="81"/>
      <c r="D13492" s="81"/>
      <c r="E13492" s="81"/>
      <c r="F13492" s="81"/>
      <c r="G13492" s="81"/>
      <c r="H13492" s="81"/>
      <c r="I13492" s="81"/>
      <c r="J13492" s="81"/>
      <c r="K13492" s="81"/>
      <c r="L13492" s="81"/>
      <c r="M13492" s="81"/>
      <c r="N13492" s="81"/>
    </row>
    <row r="13493" spans="1:14" s="187" customFormat="1" ht="14.25" customHeight="1" x14ac:dyDescent="0.25">
      <c r="A13493" s="83"/>
      <c r="B13493" s="84"/>
      <c r="C13493" s="85"/>
      <c r="D13493" s="86"/>
      <c r="E13493" s="86"/>
      <c r="F13493" s="87"/>
      <c r="G13493" s="81"/>
      <c r="H13493" s="81"/>
      <c r="I13493" s="81"/>
      <c r="J13493" s="81"/>
      <c r="K13493" s="81"/>
      <c r="L13493" s="81"/>
      <c r="M13493" s="81"/>
      <c r="N13493" s="81"/>
    </row>
    <row r="13494" spans="1:14" s="187" customFormat="1" ht="14.25" customHeight="1" x14ac:dyDescent="0.25">
      <c r="A13494" s="599"/>
      <c r="B13494" s="600"/>
      <c r="C13494" s="600"/>
      <c r="D13494" s="600"/>
      <c r="E13494" s="600"/>
      <c r="F13494" s="601"/>
      <c r="G13494" s="81"/>
      <c r="H13494" s="81"/>
      <c r="I13494" s="81"/>
      <c r="J13494" s="81"/>
      <c r="K13494" s="81"/>
      <c r="L13494" s="81"/>
      <c r="M13494" s="81"/>
      <c r="N13494" s="81"/>
    </row>
    <row r="13495" spans="1:14" ht="15" customHeight="1" x14ac:dyDescent="0.25">
      <c r="A13495" s="602" t="s">
        <v>561</v>
      </c>
      <c r="B13495" s="600"/>
      <c r="C13495" s="600"/>
      <c r="D13495" s="600"/>
      <c r="E13495" s="600"/>
      <c r="F13495" s="601"/>
    </row>
    <row r="13496" spans="1:14" ht="41.1" customHeight="1" thickBot="1" x14ac:dyDescent="0.3">
      <c r="A13496" s="603"/>
      <c r="B13496" s="604"/>
      <c r="C13496" s="604"/>
      <c r="D13496" s="604"/>
      <c r="E13496" s="604"/>
      <c r="F13496" s="605"/>
    </row>
    <row r="13497" spans="1:14" ht="15" customHeight="1" x14ac:dyDescent="0.25">
      <c r="A13497" s="88"/>
      <c r="B13497" s="88"/>
      <c r="C13497" s="89"/>
      <c r="D13497" s="89"/>
      <c r="E13497" s="89"/>
      <c r="F13497" s="89"/>
    </row>
    <row r="13498" spans="1:14" ht="15" customHeight="1" x14ac:dyDescent="0.25">
      <c r="A13498" s="90" t="s">
        <v>47</v>
      </c>
      <c r="B13498" s="613" t="s">
        <v>886</v>
      </c>
      <c r="C13498" s="600"/>
      <c r="D13498" s="600"/>
      <c r="E13498" s="600"/>
      <c r="F13498" s="600"/>
    </row>
    <row r="13499" spans="1:14" ht="15" customHeight="1" x14ac:dyDescent="0.25">
      <c r="A13499" s="91"/>
      <c r="B13499" s="91"/>
      <c r="C13499" s="91"/>
      <c r="D13499" s="91"/>
      <c r="E13499" s="91"/>
      <c r="F13499" s="91"/>
    </row>
    <row r="13500" spans="1:14" ht="15" customHeight="1" x14ac:dyDescent="0.25">
      <c r="A13500" s="88" t="s">
        <v>49</v>
      </c>
      <c r="B13500" s="92" t="s">
        <v>99</v>
      </c>
      <c r="C13500" s="89"/>
      <c r="D13500" s="89"/>
      <c r="E13500" s="89"/>
      <c r="F13500" s="93"/>
    </row>
    <row r="13501" spans="1:14" ht="15" customHeight="1" x14ac:dyDescent="0.25">
      <c r="A13501" s="88"/>
      <c r="B13501" s="94"/>
      <c r="C13501" s="89"/>
      <c r="D13501" s="89"/>
      <c r="E13501" s="89"/>
      <c r="F13501" s="93"/>
    </row>
    <row r="13502" spans="1:14" ht="15" customHeight="1" x14ac:dyDescent="0.25">
      <c r="A13502" s="95" t="s">
        <v>562</v>
      </c>
      <c r="B13502" s="96"/>
      <c r="C13502" s="92"/>
      <c r="D13502" s="92"/>
      <c r="E13502" s="92"/>
      <c r="F13502" s="92"/>
    </row>
    <row r="13503" spans="1:14" ht="15" customHeight="1" x14ac:dyDescent="0.25">
      <c r="A13503" s="97" t="s">
        <v>563</v>
      </c>
      <c r="B13503" s="98" t="s">
        <v>564</v>
      </c>
      <c r="C13503" s="98" t="s">
        <v>565</v>
      </c>
      <c r="D13503" s="98" t="s">
        <v>566</v>
      </c>
      <c r="E13503" s="98" t="s">
        <v>567</v>
      </c>
      <c r="F13503" s="98" t="s">
        <v>568</v>
      </c>
    </row>
    <row r="13504" spans="1:14" ht="15" customHeight="1" x14ac:dyDescent="0.25">
      <c r="A13504" s="99" t="s">
        <v>887</v>
      </c>
      <c r="B13504" s="100" t="s">
        <v>99</v>
      </c>
      <c r="C13504" s="101">
        <v>485000</v>
      </c>
      <c r="D13504" s="149">
        <v>1</v>
      </c>
      <c r="E13504" s="102"/>
      <c r="F13504" s="101">
        <f t="shared" ref="F13504:F13507" si="662">C13504*(D13504+(D13504*E13504))</f>
        <v>485000</v>
      </c>
    </row>
    <row r="13505" spans="1:6" ht="15" customHeight="1" x14ac:dyDescent="0.25">
      <c r="A13505" s="99"/>
      <c r="B13505" s="100"/>
      <c r="C13505" s="101"/>
      <c r="D13505" s="149"/>
      <c r="E13505" s="102"/>
      <c r="F13505" s="101">
        <f t="shared" si="662"/>
        <v>0</v>
      </c>
    </row>
    <row r="13506" spans="1:6" ht="15" customHeight="1" x14ac:dyDescent="0.25">
      <c r="A13506" s="99"/>
      <c r="B13506" s="100"/>
      <c r="C13506" s="101"/>
      <c r="D13506" s="149"/>
      <c r="E13506" s="102"/>
      <c r="F13506" s="101">
        <f t="shared" si="662"/>
        <v>0</v>
      </c>
    </row>
    <row r="13507" spans="1:6" ht="15" customHeight="1" x14ac:dyDescent="0.25">
      <c r="A13507" s="99"/>
      <c r="B13507" s="100"/>
      <c r="C13507" s="101"/>
      <c r="D13507" s="149"/>
      <c r="E13507" s="102"/>
      <c r="F13507" s="101">
        <f t="shared" si="662"/>
        <v>0</v>
      </c>
    </row>
    <row r="13508" spans="1:6" ht="15" customHeight="1" x14ac:dyDescent="0.25">
      <c r="A13508" s="99"/>
      <c r="B13508" s="100"/>
      <c r="C13508" s="101"/>
      <c r="D13508" s="149"/>
      <c r="E13508" s="102"/>
      <c r="F13508" s="101"/>
    </row>
    <row r="13509" spans="1:6" ht="15" customHeight="1" x14ac:dyDescent="0.25">
      <c r="A13509" s="99"/>
      <c r="B13509" s="100"/>
      <c r="C13509" s="101"/>
      <c r="D13509" s="149"/>
      <c r="E13509" s="102"/>
      <c r="F13509" s="101"/>
    </row>
    <row r="13510" spans="1:6" ht="15" customHeight="1" x14ac:dyDescent="0.25">
      <c r="A13510" s="99"/>
      <c r="B13510" s="100"/>
      <c r="C13510" s="101"/>
      <c r="D13510" s="149"/>
      <c r="E13510" s="102"/>
      <c r="F13510" s="101"/>
    </row>
    <row r="13511" spans="1:6" ht="15" customHeight="1" x14ac:dyDescent="0.25">
      <c r="A13511" s="99"/>
      <c r="B13511" s="100"/>
      <c r="C13511" s="106"/>
      <c r="D13511" s="107"/>
      <c r="E13511" s="108"/>
      <c r="F13511" s="106"/>
    </row>
    <row r="13512" spans="1:6" ht="15" customHeight="1" x14ac:dyDescent="0.25">
      <c r="A13512" s="97" t="s">
        <v>548</v>
      </c>
      <c r="B13512" s="97"/>
      <c r="C13512" s="109"/>
      <c r="D13512" s="110"/>
      <c r="E13512" s="111"/>
      <c r="F13512" s="112">
        <f>SUM(F13504:F13511)</f>
        <v>485000</v>
      </c>
    </row>
    <row r="13513" spans="1:6" ht="15" customHeight="1" x14ac:dyDescent="0.25">
      <c r="A13513" s="88"/>
      <c r="B13513" s="88"/>
      <c r="C13513" s="113"/>
      <c r="D13513" s="113"/>
      <c r="E13513" s="114"/>
      <c r="F13513" s="113"/>
    </row>
    <row r="13514" spans="1:6" ht="15" customHeight="1" x14ac:dyDescent="0.25">
      <c r="A13514" s="96" t="s">
        <v>573</v>
      </c>
      <c r="B13514" s="96"/>
      <c r="C13514" s="92"/>
      <c r="D13514" s="92"/>
      <c r="E13514" s="92"/>
      <c r="F13514" s="92"/>
    </row>
    <row r="13515" spans="1:6" ht="15" customHeight="1" x14ac:dyDescent="0.25">
      <c r="A13515" s="611" t="s">
        <v>563</v>
      </c>
      <c r="B13515" s="608"/>
      <c r="C13515" s="609"/>
      <c r="D13515" s="98" t="s">
        <v>574</v>
      </c>
      <c r="E13515" s="98" t="s">
        <v>575</v>
      </c>
      <c r="F13515" s="98" t="s">
        <v>568</v>
      </c>
    </row>
    <row r="13516" spans="1:6" ht="15" customHeight="1" x14ac:dyDescent="0.25">
      <c r="A13516" s="607" t="s">
        <v>577</v>
      </c>
      <c r="B13516" s="608"/>
      <c r="C13516" s="609"/>
      <c r="D13516" s="116"/>
      <c r="E13516" s="107"/>
      <c r="F13516" s="106">
        <f>+F13533*5%</f>
        <v>2822.2728689418727</v>
      </c>
    </row>
    <row r="13517" spans="1:6" ht="15" customHeight="1" x14ac:dyDescent="0.25">
      <c r="A13517" s="607"/>
      <c r="B13517" s="608"/>
      <c r="C13517" s="609"/>
      <c r="D13517" s="142"/>
      <c r="E13517" s="105"/>
      <c r="F13517" s="106"/>
    </row>
    <row r="13518" spans="1:6" ht="15" customHeight="1" x14ac:dyDescent="0.25">
      <c r="A13518" s="607"/>
      <c r="B13518" s="608"/>
      <c r="C13518" s="609"/>
      <c r="D13518" s="142"/>
      <c r="E13518" s="105"/>
      <c r="F13518" s="106"/>
    </row>
    <row r="13519" spans="1:6" ht="15" customHeight="1" x14ac:dyDescent="0.25">
      <c r="A13519" s="607"/>
      <c r="B13519" s="608"/>
      <c r="C13519" s="609"/>
      <c r="D13519" s="142"/>
      <c r="E13519" s="107"/>
      <c r="F13519" s="106"/>
    </row>
    <row r="13520" spans="1:6" ht="15" customHeight="1" x14ac:dyDescent="0.25">
      <c r="A13520" s="607"/>
      <c r="B13520" s="608"/>
      <c r="C13520" s="609"/>
      <c r="D13520" s="142"/>
      <c r="E13520" s="107"/>
      <c r="F13520" s="106"/>
    </row>
    <row r="13521" spans="1:6" ht="15" customHeight="1" x14ac:dyDescent="0.25">
      <c r="A13521" s="607"/>
      <c r="B13521" s="608"/>
      <c r="C13521" s="609"/>
      <c r="D13521" s="142"/>
      <c r="E13521" s="107"/>
      <c r="F13521" s="106"/>
    </row>
    <row r="13522" spans="1:6" ht="15" customHeight="1" x14ac:dyDescent="0.25">
      <c r="A13522" s="607"/>
      <c r="B13522" s="608"/>
      <c r="C13522" s="609"/>
      <c r="D13522" s="142"/>
      <c r="E13522" s="107"/>
      <c r="F13522" s="106"/>
    </row>
    <row r="13523" spans="1:6" ht="15" customHeight="1" x14ac:dyDescent="0.25">
      <c r="A13523" s="607"/>
      <c r="B13523" s="608"/>
      <c r="C13523" s="609"/>
      <c r="D13523" s="142"/>
      <c r="E13523" s="107"/>
      <c r="F13523" s="106"/>
    </row>
    <row r="13524" spans="1:6" ht="15" customHeight="1" x14ac:dyDescent="0.25">
      <c r="A13524" s="610"/>
      <c r="B13524" s="608"/>
      <c r="C13524" s="609"/>
      <c r="D13524" s="115"/>
      <c r="E13524" s="107"/>
      <c r="F13524" s="106"/>
    </row>
    <row r="13525" spans="1:6" ht="15" customHeight="1" x14ac:dyDescent="0.25">
      <c r="A13525" s="611" t="s">
        <v>548</v>
      </c>
      <c r="B13525" s="608"/>
      <c r="C13525" s="609"/>
      <c r="D13525" s="110"/>
      <c r="E13525" s="110"/>
      <c r="F13525" s="112">
        <f>SUM(F13516:F13523)</f>
        <v>2822.2728689418727</v>
      </c>
    </row>
    <row r="13526" spans="1:6" ht="15" customHeight="1" x14ac:dyDescent="0.25">
      <c r="A13526" s="88"/>
      <c r="B13526" s="88"/>
      <c r="C13526" s="89"/>
      <c r="D13526" s="113"/>
      <c r="E13526" s="113"/>
      <c r="F13526" s="113"/>
    </row>
    <row r="13527" spans="1:6" ht="15" customHeight="1" x14ac:dyDescent="0.25">
      <c r="A13527" s="96" t="s">
        <v>578</v>
      </c>
      <c r="B13527" s="96"/>
      <c r="C13527" s="92"/>
      <c r="D13527" s="118"/>
      <c r="E13527" s="118"/>
      <c r="F13527" s="118"/>
    </row>
    <row r="13528" spans="1:6" ht="15" customHeight="1" x14ac:dyDescent="0.25">
      <c r="A13528" s="119" t="s">
        <v>563</v>
      </c>
      <c r="B13528" s="120" t="s">
        <v>579</v>
      </c>
      <c r="C13528" s="120" t="s">
        <v>580</v>
      </c>
      <c r="D13528" s="121" t="s">
        <v>581</v>
      </c>
      <c r="E13528" s="121" t="s">
        <v>575</v>
      </c>
      <c r="F13528" s="121" t="s">
        <v>568</v>
      </c>
    </row>
    <row r="13529" spans="1:6" ht="15" customHeight="1" x14ac:dyDescent="0.25">
      <c r="A13529" s="122" t="s">
        <v>593</v>
      </c>
      <c r="B13529" s="127">
        <v>1</v>
      </c>
      <c r="C13529" s="101">
        <v>32688</v>
      </c>
      <c r="D13529" s="101">
        <f t="shared" ref="D13529:D13530" si="663">+C13529*1.7</f>
        <v>55569.599999999999</v>
      </c>
      <c r="E13529" s="107">
        <v>2.5668000000000002</v>
      </c>
      <c r="F13529" s="106">
        <f t="shared" ref="F13529:F13530" si="664">+B13529*(D13529)/E13529</f>
        <v>21649.368863955118</v>
      </c>
    </row>
    <row r="13530" spans="1:6" ht="15" customHeight="1" x14ac:dyDescent="0.25">
      <c r="A13530" s="122" t="s">
        <v>594</v>
      </c>
      <c r="B13530" s="127">
        <v>1</v>
      </c>
      <c r="C13530" s="101">
        <v>52538</v>
      </c>
      <c r="D13530" s="101">
        <f t="shared" si="663"/>
        <v>89314.599999999991</v>
      </c>
      <c r="E13530" s="107">
        <f>E13529</f>
        <v>2.5668000000000002</v>
      </c>
      <c r="F13530" s="106">
        <f t="shared" si="664"/>
        <v>34796.088514882336</v>
      </c>
    </row>
    <row r="13531" spans="1:6" ht="15" customHeight="1" x14ac:dyDescent="0.25">
      <c r="A13531" s="122"/>
      <c r="B13531" s="127"/>
      <c r="C13531" s="101"/>
      <c r="D13531" s="101"/>
      <c r="E13531" s="105"/>
      <c r="F13531" s="106"/>
    </row>
    <row r="13532" spans="1:6" ht="15" customHeight="1" x14ac:dyDescent="0.25">
      <c r="A13532" s="122"/>
      <c r="B13532" s="127"/>
      <c r="C13532" s="101"/>
      <c r="D13532" s="101"/>
      <c r="E13532" s="125"/>
      <c r="F13532" s="106"/>
    </row>
    <row r="13533" spans="1:6" ht="15" customHeight="1" x14ac:dyDescent="0.25">
      <c r="A13533" s="97" t="s">
        <v>548</v>
      </c>
      <c r="B13533" s="128"/>
      <c r="C13533" s="110"/>
      <c r="D13533" s="110"/>
      <c r="E13533" s="110"/>
      <c r="F13533" s="112">
        <f>SUM(F13529:F13532)</f>
        <v>56445.457378837455</v>
      </c>
    </row>
    <row r="13534" spans="1:6" ht="15" customHeight="1" x14ac:dyDescent="0.25">
      <c r="A13534" s="96"/>
      <c r="B13534" s="129"/>
      <c r="C13534" s="118"/>
      <c r="D13534" s="118"/>
      <c r="E13534" s="118"/>
      <c r="F13534" s="118"/>
    </row>
    <row r="13535" spans="1:6" ht="15" customHeight="1" x14ac:dyDescent="0.25">
      <c r="A13535" s="95" t="s">
        <v>583</v>
      </c>
      <c r="B13535" s="96"/>
      <c r="C13535" s="92"/>
      <c r="D13535" s="92"/>
      <c r="E13535" s="92" t="s">
        <v>584</v>
      </c>
      <c r="F13535" s="92"/>
    </row>
    <row r="13536" spans="1:6" ht="15" customHeight="1" x14ac:dyDescent="0.25">
      <c r="A13536" s="97" t="s">
        <v>563</v>
      </c>
      <c r="B13536" s="98" t="s">
        <v>564</v>
      </c>
      <c r="C13536" s="98" t="s">
        <v>585</v>
      </c>
      <c r="D13536" s="98" t="s">
        <v>586</v>
      </c>
      <c r="E13536" s="120" t="s">
        <v>587</v>
      </c>
      <c r="F13536" s="98" t="s">
        <v>568</v>
      </c>
    </row>
    <row r="13537" spans="1:6" ht="15" customHeight="1" x14ac:dyDescent="0.25">
      <c r="A13537" s="103"/>
      <c r="B13537" s="100"/>
      <c r="C13537" s="101"/>
      <c r="D13537" s="140"/>
      <c r="E13537" s="107"/>
      <c r="F13537" s="109"/>
    </row>
    <row r="13538" spans="1:6" ht="15" customHeight="1" x14ac:dyDescent="0.25">
      <c r="A13538" s="103"/>
      <c r="B13538" s="100"/>
      <c r="C13538" s="107"/>
      <c r="D13538" s="107"/>
      <c r="E13538" s="108"/>
      <c r="F13538" s="109"/>
    </row>
    <row r="13539" spans="1:6" ht="15" customHeight="1" x14ac:dyDescent="0.25">
      <c r="A13539" s="97" t="s">
        <v>548</v>
      </c>
      <c r="B13539" s="98"/>
      <c r="C13539" s="110"/>
      <c r="D13539" s="110"/>
      <c r="E13539" s="111"/>
      <c r="F13539" s="112">
        <f>SUM(F13537:F13538)</f>
        <v>0</v>
      </c>
    </row>
    <row r="13540" spans="1:6" ht="15" customHeight="1" x14ac:dyDescent="0.25">
      <c r="A13540" s="88"/>
      <c r="B13540" s="89"/>
      <c r="C13540" s="113"/>
      <c r="D13540" s="113"/>
      <c r="E13540" s="114"/>
      <c r="F13540" s="113"/>
    </row>
    <row r="13541" spans="1:6" ht="15" customHeight="1" x14ac:dyDescent="0.25">
      <c r="A13541" s="88"/>
      <c r="B13541" s="89"/>
      <c r="C13541" s="113"/>
      <c r="D13541" s="113"/>
      <c r="E13541" s="114"/>
      <c r="F13541" s="113"/>
    </row>
    <row r="13542" spans="1:6" ht="15" customHeight="1" x14ac:dyDescent="0.25">
      <c r="A13542" s="612" t="s">
        <v>588</v>
      </c>
      <c r="B13542" s="608"/>
      <c r="C13542" s="608"/>
      <c r="D13542" s="608"/>
      <c r="E13542" s="609"/>
      <c r="F13542" s="131">
        <f>ROUND(F13512+F13525+F13533+F13539,0)</f>
        <v>544268</v>
      </c>
    </row>
    <row r="13543" spans="1:6" ht="15" customHeight="1" x14ac:dyDescent="0.25">
      <c r="A13543" s="612" t="s">
        <v>589</v>
      </c>
      <c r="B13543" s="608"/>
      <c r="C13543" s="608"/>
      <c r="D13543" s="608"/>
      <c r="E13543" s="609"/>
      <c r="F13543" s="132"/>
    </row>
    <row r="13544" spans="1:6" ht="15" customHeight="1" x14ac:dyDescent="0.25">
      <c r="A13544" s="146" t="s">
        <v>556</v>
      </c>
      <c r="B13544" s="147"/>
      <c r="C13544" s="147"/>
      <c r="D13544" s="147"/>
      <c r="E13544" s="148"/>
      <c r="F13544" s="133"/>
    </row>
    <row r="13545" spans="1:6" ht="15" customHeight="1" x14ac:dyDescent="0.25">
      <c r="A13545" s="134"/>
      <c r="B13545" s="135"/>
      <c r="C13545" s="135"/>
      <c r="D13545" s="135"/>
      <c r="E13545" s="135"/>
      <c r="F13545" s="136"/>
    </row>
    <row r="13546" spans="1:6" ht="15" customHeight="1" x14ac:dyDescent="0.25">
      <c r="A13546" s="81"/>
      <c r="B13546" s="81"/>
      <c r="C13546" s="137"/>
      <c r="D13546" s="81"/>
      <c r="E13546" s="81"/>
      <c r="F13546" s="81"/>
    </row>
    <row r="13547" spans="1:6" ht="15" customHeight="1" x14ac:dyDescent="0.25">
      <c r="A13547" s="81"/>
      <c r="B13547" s="81"/>
      <c r="C13547" s="137"/>
      <c r="D13547" s="81"/>
      <c r="E13547" s="81"/>
      <c r="F13547" s="81"/>
    </row>
    <row r="13548" spans="1:6" ht="15" customHeight="1" x14ac:dyDescent="0.25">
      <c r="A13548" s="81"/>
      <c r="B13548" s="81"/>
      <c r="C13548" s="137"/>
      <c r="D13548" s="81"/>
      <c r="E13548" s="81"/>
      <c r="F13548" s="81"/>
    </row>
    <row r="13549" spans="1:6" ht="15" customHeight="1" x14ac:dyDescent="0.25">
      <c r="A13549" s="81"/>
      <c r="B13549" s="81"/>
      <c r="C13549" s="137"/>
      <c r="D13549" s="81"/>
      <c r="E13549" s="81"/>
      <c r="F13549" s="81"/>
    </row>
    <row r="13550" spans="1:6" ht="15" customHeight="1" x14ac:dyDescent="0.25">
      <c r="A13550" s="81"/>
      <c r="B13550" s="81"/>
      <c r="C13550" s="137"/>
      <c r="D13550" s="81"/>
      <c r="E13550" s="81"/>
      <c r="F13550" s="81"/>
    </row>
    <row r="13551" spans="1:6" ht="15" customHeight="1" x14ac:dyDescent="0.25">
      <c r="A13551" s="134"/>
      <c r="B13551" s="135"/>
      <c r="C13551" s="135"/>
      <c r="D13551" s="135"/>
      <c r="E13551" s="135"/>
      <c r="F13551" s="136"/>
    </row>
    <row r="13552" spans="1:6" ht="15" customHeight="1" x14ac:dyDescent="0.25">
      <c r="A13552" s="134"/>
      <c r="B13552" s="135"/>
      <c r="C13552" s="135"/>
      <c r="D13552" s="135"/>
      <c r="E13552" s="135"/>
      <c r="F13552" s="136"/>
    </row>
    <row r="13553" spans="1:6" ht="15" customHeight="1" x14ac:dyDescent="0.25">
      <c r="A13553" s="134"/>
      <c r="B13553" s="135"/>
      <c r="C13553" s="135"/>
      <c r="D13553" s="135"/>
      <c r="E13553" s="135"/>
      <c r="F13553" s="135"/>
    </row>
    <row r="13554" spans="1:6" ht="15" customHeight="1" thickBot="1" x14ac:dyDescent="0.3">
      <c r="A13554" s="81"/>
      <c r="B13554" s="81"/>
      <c r="C13554" s="81"/>
      <c r="D13554" s="81"/>
      <c r="E13554" s="81"/>
      <c r="F13554" s="81"/>
    </row>
    <row r="13555" spans="1:6" ht="15" customHeight="1" x14ac:dyDescent="0.25">
      <c r="A13555" s="83"/>
      <c r="B13555" s="84"/>
      <c r="C13555" s="85"/>
      <c r="D13555" s="86"/>
      <c r="E13555" s="86"/>
      <c r="F13555" s="87"/>
    </row>
    <row r="13556" spans="1:6" ht="15" customHeight="1" x14ac:dyDescent="0.25">
      <c r="A13556" s="599"/>
      <c r="B13556" s="600"/>
      <c r="C13556" s="600"/>
      <c r="D13556" s="600"/>
      <c r="E13556" s="600"/>
      <c r="F13556" s="601"/>
    </row>
    <row r="13557" spans="1:6" ht="15" customHeight="1" x14ac:dyDescent="0.25">
      <c r="A13557" s="602" t="s">
        <v>561</v>
      </c>
      <c r="B13557" s="600"/>
      <c r="C13557" s="600"/>
      <c r="D13557" s="600"/>
      <c r="E13557" s="600"/>
      <c r="F13557" s="601"/>
    </row>
    <row r="13558" spans="1:6" ht="15" customHeight="1" thickBot="1" x14ac:dyDescent="0.3">
      <c r="A13558" s="603"/>
      <c r="B13558" s="604"/>
      <c r="C13558" s="604"/>
      <c r="D13558" s="604"/>
      <c r="E13558" s="604"/>
      <c r="F13558" s="605"/>
    </row>
    <row r="13559" spans="1:6" ht="15" customHeight="1" x14ac:dyDescent="0.25">
      <c r="A13559" s="88"/>
      <c r="B13559" s="88"/>
      <c r="C13559" s="89"/>
      <c r="D13559" s="89"/>
      <c r="E13559" s="89"/>
      <c r="F13559" s="89"/>
    </row>
    <row r="13560" spans="1:6" ht="15" customHeight="1" x14ac:dyDescent="0.25">
      <c r="A13560" s="90" t="s">
        <v>47</v>
      </c>
      <c r="B13560" s="613" t="s">
        <v>888</v>
      </c>
      <c r="C13560" s="600"/>
      <c r="D13560" s="600"/>
      <c r="E13560" s="600"/>
      <c r="F13560" s="600"/>
    </row>
    <row r="13561" spans="1:6" ht="15" customHeight="1" x14ac:dyDescent="0.25">
      <c r="A13561" s="91"/>
      <c r="B13561" s="91"/>
      <c r="C13561" s="91"/>
      <c r="D13561" s="91"/>
      <c r="E13561" s="91"/>
      <c r="F13561" s="91"/>
    </row>
    <row r="13562" spans="1:6" ht="15" customHeight="1" x14ac:dyDescent="0.25">
      <c r="A13562" s="88" t="s">
        <v>49</v>
      </c>
      <c r="B13562" s="92" t="s">
        <v>59</v>
      </c>
      <c r="C13562" s="89"/>
      <c r="D13562" s="89"/>
      <c r="E13562" s="89"/>
      <c r="F13562" s="93"/>
    </row>
    <row r="13563" spans="1:6" ht="15" customHeight="1" x14ac:dyDescent="0.25">
      <c r="A13563" s="88"/>
      <c r="B13563" s="94"/>
      <c r="C13563" s="89"/>
      <c r="D13563" s="89"/>
      <c r="E13563" s="89"/>
      <c r="F13563" s="93"/>
    </row>
    <row r="13564" spans="1:6" ht="15" customHeight="1" x14ac:dyDescent="0.25">
      <c r="A13564" s="95" t="s">
        <v>562</v>
      </c>
      <c r="B13564" s="96"/>
      <c r="C13564" s="92"/>
      <c r="D13564" s="92"/>
      <c r="E13564" s="92"/>
      <c r="F13564" s="92"/>
    </row>
    <row r="13565" spans="1:6" ht="15" customHeight="1" x14ac:dyDescent="0.25">
      <c r="A13565" s="97" t="s">
        <v>563</v>
      </c>
      <c r="B13565" s="98" t="s">
        <v>564</v>
      </c>
      <c r="C13565" s="98" t="s">
        <v>565</v>
      </c>
      <c r="D13565" s="98" t="s">
        <v>566</v>
      </c>
      <c r="E13565" s="98" t="s">
        <v>567</v>
      </c>
      <c r="F13565" s="98" t="s">
        <v>568</v>
      </c>
    </row>
    <row r="13566" spans="1:6" ht="15" customHeight="1" x14ac:dyDescent="0.25">
      <c r="A13566" s="99" t="s">
        <v>889</v>
      </c>
      <c r="B13566" s="100" t="s">
        <v>59</v>
      </c>
      <c r="C13566" s="101">
        <v>8120</v>
      </c>
      <c r="D13566" s="149">
        <v>1</v>
      </c>
      <c r="E13566" s="102">
        <v>0.05</v>
      </c>
      <c r="F13566" s="101">
        <f t="shared" ref="F13566:F13569" si="665">C13566*(D13566+(D13566*E13566))</f>
        <v>8526</v>
      </c>
    </row>
    <row r="13567" spans="1:6" ht="15" customHeight="1" x14ac:dyDescent="0.25">
      <c r="A13567" s="99"/>
      <c r="B13567" s="100"/>
      <c r="C13567" s="101"/>
      <c r="D13567" s="149"/>
      <c r="E13567" s="102"/>
      <c r="F13567" s="101">
        <f t="shared" si="665"/>
        <v>0</v>
      </c>
    </row>
    <row r="13568" spans="1:6" ht="15" customHeight="1" x14ac:dyDescent="0.25">
      <c r="A13568" s="99"/>
      <c r="B13568" s="100"/>
      <c r="C13568" s="101"/>
      <c r="D13568" s="149"/>
      <c r="E13568" s="102"/>
      <c r="F13568" s="101">
        <f t="shared" si="665"/>
        <v>0</v>
      </c>
    </row>
    <row r="13569" spans="1:6" ht="15" customHeight="1" x14ac:dyDescent="0.25">
      <c r="A13569" s="99"/>
      <c r="B13569" s="100"/>
      <c r="C13569" s="101"/>
      <c r="D13569" s="149"/>
      <c r="E13569" s="102"/>
      <c r="F13569" s="101">
        <f t="shared" si="665"/>
        <v>0</v>
      </c>
    </row>
    <row r="13570" spans="1:6" ht="15" customHeight="1" x14ac:dyDescent="0.25">
      <c r="A13570" s="99"/>
      <c r="B13570" s="100"/>
      <c r="C13570" s="101"/>
      <c r="D13570" s="149"/>
      <c r="E13570" s="102"/>
      <c r="F13570" s="101"/>
    </row>
    <row r="13571" spans="1:6" ht="15" customHeight="1" x14ac:dyDescent="0.25">
      <c r="A13571" s="99"/>
      <c r="B13571" s="100"/>
      <c r="C13571" s="101"/>
      <c r="D13571" s="149"/>
      <c r="E13571" s="102"/>
      <c r="F13571" s="101"/>
    </row>
    <row r="13572" spans="1:6" ht="15" customHeight="1" x14ac:dyDescent="0.25">
      <c r="A13572" s="99"/>
      <c r="B13572" s="100"/>
      <c r="C13572" s="101"/>
      <c r="D13572" s="149"/>
      <c r="E13572" s="102"/>
      <c r="F13572" s="101"/>
    </row>
    <row r="13573" spans="1:6" ht="15" customHeight="1" x14ac:dyDescent="0.25">
      <c r="A13573" s="99"/>
      <c r="B13573" s="100"/>
      <c r="C13573" s="106"/>
      <c r="D13573" s="107"/>
      <c r="E13573" s="108"/>
      <c r="F13573" s="106"/>
    </row>
    <row r="13574" spans="1:6" ht="15" customHeight="1" x14ac:dyDescent="0.25">
      <c r="A13574" s="97" t="s">
        <v>548</v>
      </c>
      <c r="B13574" s="97"/>
      <c r="C13574" s="109"/>
      <c r="D13574" s="110"/>
      <c r="E13574" s="111"/>
      <c r="F13574" s="112">
        <f>SUM(F13566:F13573)</f>
        <v>8526</v>
      </c>
    </row>
    <row r="13575" spans="1:6" ht="15" customHeight="1" x14ac:dyDescent="0.25">
      <c r="A13575" s="88"/>
      <c r="B13575" s="88"/>
      <c r="C13575" s="113"/>
      <c r="D13575" s="113"/>
      <c r="E13575" s="114"/>
      <c r="F13575" s="113"/>
    </row>
    <row r="13576" spans="1:6" ht="15" customHeight="1" x14ac:dyDescent="0.25">
      <c r="A13576" s="96" t="s">
        <v>573</v>
      </c>
      <c r="B13576" s="96"/>
      <c r="C13576" s="92"/>
      <c r="D13576" s="92"/>
      <c r="E13576" s="92"/>
      <c r="F13576" s="92"/>
    </row>
    <row r="13577" spans="1:6" ht="15" customHeight="1" x14ac:dyDescent="0.25">
      <c r="A13577" s="611" t="s">
        <v>563</v>
      </c>
      <c r="B13577" s="608"/>
      <c r="C13577" s="609"/>
      <c r="D13577" s="98" t="s">
        <v>574</v>
      </c>
      <c r="E13577" s="98" t="s">
        <v>575</v>
      </c>
      <c r="F13577" s="98" t="s">
        <v>568</v>
      </c>
    </row>
    <row r="13578" spans="1:6" ht="15" customHeight="1" x14ac:dyDescent="0.25">
      <c r="A13578" s="607" t="s">
        <v>577</v>
      </c>
      <c r="B13578" s="608"/>
      <c r="C13578" s="609"/>
      <c r="D13578" s="116"/>
      <c r="E13578" s="107"/>
      <c r="F13578" s="106">
        <f>+F13595*5%</f>
        <v>46.526718047527304</v>
      </c>
    </row>
    <row r="13579" spans="1:6" ht="15" customHeight="1" x14ac:dyDescent="0.25">
      <c r="A13579" s="607"/>
      <c r="B13579" s="608"/>
      <c r="C13579" s="609"/>
      <c r="D13579" s="142"/>
      <c r="E13579" s="105"/>
      <c r="F13579" s="106"/>
    </row>
    <row r="13580" spans="1:6" ht="15" customHeight="1" x14ac:dyDescent="0.25">
      <c r="A13580" s="607"/>
      <c r="B13580" s="608"/>
      <c r="C13580" s="609"/>
      <c r="D13580" s="142"/>
      <c r="E13580" s="105"/>
      <c r="F13580" s="106"/>
    </row>
    <row r="13581" spans="1:6" ht="15" customHeight="1" x14ac:dyDescent="0.25">
      <c r="A13581" s="607"/>
      <c r="B13581" s="608"/>
      <c r="C13581" s="609"/>
      <c r="D13581" s="142"/>
      <c r="E13581" s="107"/>
      <c r="F13581" s="106"/>
    </row>
    <row r="13582" spans="1:6" ht="15" customHeight="1" x14ac:dyDescent="0.25">
      <c r="A13582" s="607"/>
      <c r="B13582" s="608"/>
      <c r="C13582" s="609"/>
      <c r="D13582" s="142"/>
      <c r="E13582" s="107"/>
      <c r="F13582" s="106"/>
    </row>
    <row r="13583" spans="1:6" ht="15" customHeight="1" x14ac:dyDescent="0.25">
      <c r="A13583" s="607"/>
      <c r="B13583" s="608"/>
      <c r="C13583" s="609"/>
      <c r="D13583" s="142"/>
      <c r="E13583" s="107"/>
      <c r="F13583" s="106"/>
    </row>
    <row r="13584" spans="1:6" ht="15" customHeight="1" x14ac:dyDescent="0.25">
      <c r="A13584" s="607"/>
      <c r="B13584" s="608"/>
      <c r="C13584" s="609"/>
      <c r="D13584" s="142"/>
      <c r="E13584" s="107"/>
      <c r="F13584" s="106"/>
    </row>
    <row r="13585" spans="1:6" ht="15" customHeight="1" x14ac:dyDescent="0.25">
      <c r="A13585" s="607"/>
      <c r="B13585" s="608"/>
      <c r="C13585" s="609"/>
      <c r="D13585" s="142"/>
      <c r="E13585" s="107"/>
      <c r="F13585" s="106"/>
    </row>
    <row r="13586" spans="1:6" ht="15" customHeight="1" x14ac:dyDescent="0.25">
      <c r="A13586" s="610"/>
      <c r="B13586" s="608"/>
      <c r="C13586" s="609"/>
      <c r="D13586" s="115"/>
      <c r="E13586" s="107"/>
      <c r="F13586" s="106"/>
    </row>
    <row r="13587" spans="1:6" ht="15" customHeight="1" x14ac:dyDescent="0.25">
      <c r="A13587" s="611" t="s">
        <v>548</v>
      </c>
      <c r="B13587" s="608"/>
      <c r="C13587" s="609"/>
      <c r="D13587" s="110"/>
      <c r="E13587" s="110"/>
      <c r="F13587" s="112">
        <f>SUM(F13578:F13585)</f>
        <v>46.526718047527304</v>
      </c>
    </row>
    <row r="13588" spans="1:6" ht="15" customHeight="1" x14ac:dyDescent="0.25">
      <c r="A13588" s="88"/>
      <c r="B13588" s="88"/>
      <c r="C13588" s="89"/>
      <c r="D13588" s="113"/>
      <c r="E13588" s="113"/>
      <c r="F13588" s="113"/>
    </row>
    <row r="13589" spans="1:6" ht="15" customHeight="1" x14ac:dyDescent="0.25">
      <c r="A13589" s="96" t="s">
        <v>578</v>
      </c>
      <c r="B13589" s="96"/>
      <c r="C13589" s="92"/>
      <c r="D13589" s="118"/>
      <c r="E13589" s="118"/>
      <c r="F13589" s="118"/>
    </row>
    <row r="13590" spans="1:6" ht="15" customHeight="1" x14ac:dyDescent="0.25">
      <c r="A13590" s="119" t="s">
        <v>563</v>
      </c>
      <c r="B13590" s="120" t="s">
        <v>579</v>
      </c>
      <c r="C13590" s="120" t="s">
        <v>580</v>
      </c>
      <c r="D13590" s="121" t="s">
        <v>581</v>
      </c>
      <c r="E13590" s="121" t="s">
        <v>575</v>
      </c>
      <c r="F13590" s="121" t="s">
        <v>568</v>
      </c>
    </row>
    <row r="13591" spans="1:6" ht="15" customHeight="1" x14ac:dyDescent="0.25">
      <c r="A13591" s="122" t="s">
        <v>593</v>
      </c>
      <c r="B13591" s="127">
        <v>1</v>
      </c>
      <c r="C13591" s="101">
        <v>32688</v>
      </c>
      <c r="D13591" s="101">
        <f t="shared" ref="D13591:D13592" si="666">+C13591*1.7</f>
        <v>55569.599999999999</v>
      </c>
      <c r="E13591" s="107">
        <v>155.69999999999999</v>
      </c>
      <c r="F13591" s="106">
        <f t="shared" ref="F13591:F13592" si="667">+B13591*(D13591)/E13591</f>
        <v>356.90173410404628</v>
      </c>
    </row>
    <row r="13592" spans="1:6" ht="15" customHeight="1" x14ac:dyDescent="0.25">
      <c r="A13592" s="122" t="s">
        <v>594</v>
      </c>
      <c r="B13592" s="127">
        <v>1</v>
      </c>
      <c r="C13592" s="101">
        <v>52538</v>
      </c>
      <c r="D13592" s="101">
        <f t="shared" si="666"/>
        <v>89314.599999999991</v>
      </c>
      <c r="E13592" s="107">
        <f>E13591</f>
        <v>155.69999999999999</v>
      </c>
      <c r="F13592" s="106">
        <f t="shared" si="667"/>
        <v>573.63262684649965</v>
      </c>
    </row>
    <row r="13593" spans="1:6" ht="15" customHeight="1" x14ac:dyDescent="0.25">
      <c r="A13593" s="122"/>
      <c r="B13593" s="127"/>
      <c r="C13593" s="101"/>
      <c r="D13593" s="101"/>
      <c r="E13593" s="105"/>
      <c r="F13593" s="106"/>
    </row>
    <row r="13594" spans="1:6" ht="15" customHeight="1" x14ac:dyDescent="0.25">
      <c r="A13594" s="122"/>
      <c r="B13594" s="127"/>
      <c r="C13594" s="101"/>
      <c r="D13594" s="101"/>
      <c r="E13594" s="125"/>
      <c r="F13594" s="106"/>
    </row>
    <row r="13595" spans="1:6" ht="15" customHeight="1" x14ac:dyDescent="0.25">
      <c r="A13595" s="97" t="s">
        <v>548</v>
      </c>
      <c r="B13595" s="128"/>
      <c r="C13595" s="110"/>
      <c r="D13595" s="110"/>
      <c r="E13595" s="110"/>
      <c r="F13595" s="112">
        <f>SUM(F13591:F13594)</f>
        <v>930.53436095054599</v>
      </c>
    </row>
    <row r="13596" spans="1:6" ht="15" customHeight="1" x14ac:dyDescent="0.25">
      <c r="A13596" s="96"/>
      <c r="B13596" s="129"/>
      <c r="C13596" s="118"/>
      <c r="D13596" s="118"/>
      <c r="E13596" s="118"/>
      <c r="F13596" s="118"/>
    </row>
    <row r="13597" spans="1:6" ht="15" customHeight="1" x14ac:dyDescent="0.25">
      <c r="A13597" s="95" t="s">
        <v>583</v>
      </c>
      <c r="B13597" s="96"/>
      <c r="C13597" s="92"/>
      <c r="D13597" s="92"/>
      <c r="E13597" s="92" t="s">
        <v>584</v>
      </c>
      <c r="F13597" s="92"/>
    </row>
    <row r="13598" spans="1:6" ht="15" customHeight="1" x14ac:dyDescent="0.25">
      <c r="A13598" s="97" t="s">
        <v>563</v>
      </c>
      <c r="B13598" s="98" t="s">
        <v>564</v>
      </c>
      <c r="C13598" s="98" t="s">
        <v>585</v>
      </c>
      <c r="D13598" s="98" t="s">
        <v>586</v>
      </c>
      <c r="E13598" s="120" t="s">
        <v>587</v>
      </c>
      <c r="F13598" s="98" t="s">
        <v>568</v>
      </c>
    </row>
    <row r="13599" spans="1:6" ht="15" customHeight="1" x14ac:dyDescent="0.25">
      <c r="A13599" s="103"/>
      <c r="B13599" s="100"/>
      <c r="C13599" s="101"/>
      <c r="D13599" s="140"/>
      <c r="E13599" s="107"/>
      <c r="F13599" s="109"/>
    </row>
    <row r="13600" spans="1:6" ht="15" customHeight="1" x14ac:dyDescent="0.25">
      <c r="A13600" s="103"/>
      <c r="B13600" s="100"/>
      <c r="C13600" s="107"/>
      <c r="D13600" s="107"/>
      <c r="E13600" s="108"/>
      <c r="F13600" s="109"/>
    </row>
    <row r="13601" spans="1:6" ht="15" customHeight="1" x14ac:dyDescent="0.25">
      <c r="A13601" s="97" t="s">
        <v>548</v>
      </c>
      <c r="B13601" s="98"/>
      <c r="C13601" s="110"/>
      <c r="D13601" s="110"/>
      <c r="E13601" s="111"/>
      <c r="F13601" s="112">
        <f>SUM(F13599:F13600)</f>
        <v>0</v>
      </c>
    </row>
    <row r="13602" spans="1:6" ht="15" customHeight="1" x14ac:dyDescent="0.25">
      <c r="A13602" s="88"/>
      <c r="B13602" s="89"/>
      <c r="C13602" s="113"/>
      <c r="D13602" s="113"/>
      <c r="E13602" s="114"/>
      <c r="F13602" s="113"/>
    </row>
    <row r="13603" spans="1:6" ht="15" customHeight="1" x14ac:dyDescent="0.25">
      <c r="A13603" s="88"/>
      <c r="B13603" s="89"/>
      <c r="C13603" s="113"/>
      <c r="D13603" s="113"/>
      <c r="E13603" s="114"/>
      <c r="F13603" s="113"/>
    </row>
    <row r="13604" spans="1:6" ht="15" customHeight="1" x14ac:dyDescent="0.25">
      <c r="A13604" s="612" t="s">
        <v>588</v>
      </c>
      <c r="B13604" s="608"/>
      <c r="C13604" s="608"/>
      <c r="D13604" s="608"/>
      <c r="E13604" s="609"/>
      <c r="F13604" s="131">
        <f>ROUND(F13574+F13587+F13595+F13601,0)</f>
        <v>9503</v>
      </c>
    </row>
    <row r="13605" spans="1:6" ht="15" customHeight="1" x14ac:dyDescent="0.25">
      <c r="A13605" s="612" t="s">
        <v>589</v>
      </c>
      <c r="B13605" s="608"/>
      <c r="C13605" s="608"/>
      <c r="D13605" s="608"/>
      <c r="E13605" s="609"/>
      <c r="F13605" s="132"/>
    </row>
    <row r="13606" spans="1:6" ht="15" customHeight="1" x14ac:dyDescent="0.25">
      <c r="A13606" s="146" t="s">
        <v>556</v>
      </c>
      <c r="B13606" s="147"/>
      <c r="C13606" s="147"/>
      <c r="D13606" s="147"/>
      <c r="E13606" s="148"/>
      <c r="F13606" s="133"/>
    </row>
    <row r="13607" spans="1:6" ht="15" customHeight="1" x14ac:dyDescent="0.25">
      <c r="A13607" s="134"/>
      <c r="B13607" s="135"/>
      <c r="C13607" s="135"/>
      <c r="D13607" s="135"/>
      <c r="E13607" s="135"/>
      <c r="F13607" s="136"/>
    </row>
    <row r="13608" spans="1:6" ht="15" customHeight="1" x14ac:dyDescent="0.25">
      <c r="A13608" s="81"/>
      <c r="B13608" s="81"/>
      <c r="C13608" s="137"/>
      <c r="D13608" s="81"/>
      <c r="E13608" s="81"/>
      <c r="F13608" s="81"/>
    </row>
    <row r="13609" spans="1:6" ht="15" customHeight="1" x14ac:dyDescent="0.25">
      <c r="A13609" s="81"/>
      <c r="B13609" s="81"/>
      <c r="C13609" s="137"/>
      <c r="D13609" s="81"/>
      <c r="E13609" s="81"/>
      <c r="F13609" s="81"/>
    </row>
    <row r="13610" spans="1:6" ht="15" customHeight="1" x14ac:dyDescent="0.25">
      <c r="A13610" s="81"/>
      <c r="B13610" s="81"/>
      <c r="C13610" s="137"/>
      <c r="D13610" s="81"/>
      <c r="E13610" s="81"/>
      <c r="F13610" s="81"/>
    </row>
    <row r="13611" spans="1:6" ht="15" customHeight="1" x14ac:dyDescent="0.25">
      <c r="A13611" s="81"/>
      <c r="B13611" s="81"/>
      <c r="C13611" s="137"/>
      <c r="D13611" s="81"/>
      <c r="E13611" s="81"/>
      <c r="F13611" s="81"/>
    </row>
    <row r="13612" spans="1:6" ht="15" customHeight="1" x14ac:dyDescent="0.25">
      <c r="A13612" s="134"/>
      <c r="B13612" s="135"/>
      <c r="C13612" s="135"/>
      <c r="D13612" s="135"/>
      <c r="E13612" s="135"/>
      <c r="F13612" s="136"/>
    </row>
    <row r="13613" spans="1:6" ht="15" customHeight="1" x14ac:dyDescent="0.25">
      <c r="A13613" s="134"/>
      <c r="B13613" s="135"/>
      <c r="C13613" s="135"/>
      <c r="D13613" s="135"/>
      <c r="E13613" s="135"/>
      <c r="F13613" s="136"/>
    </row>
    <row r="13614" spans="1:6" ht="15" customHeight="1" x14ac:dyDescent="0.25">
      <c r="A13614" s="134"/>
      <c r="B13614" s="135"/>
      <c r="C13614" s="135"/>
      <c r="D13614" s="135"/>
      <c r="E13614" s="135"/>
      <c r="F13614" s="135"/>
    </row>
    <row r="13615" spans="1:6" ht="15" customHeight="1" thickBot="1" x14ac:dyDescent="0.3">
      <c r="A13615" s="81"/>
      <c r="B13615" s="81"/>
      <c r="C13615" s="81"/>
      <c r="D13615" s="81"/>
      <c r="E13615" s="81"/>
      <c r="F13615" s="81"/>
    </row>
    <row r="13616" spans="1:6" ht="15" customHeight="1" x14ac:dyDescent="0.25">
      <c r="A13616" s="83"/>
      <c r="B13616" s="84"/>
      <c r="C13616" s="85"/>
      <c r="D13616" s="86"/>
      <c r="E13616" s="86"/>
      <c r="F13616" s="87"/>
    </row>
    <row r="13617" spans="1:6" ht="15" customHeight="1" x14ac:dyDescent="0.25">
      <c r="A13617" s="599"/>
      <c r="B13617" s="600"/>
      <c r="C13617" s="600"/>
      <c r="D13617" s="600"/>
      <c r="E13617" s="600"/>
      <c r="F13617" s="601"/>
    </row>
    <row r="13618" spans="1:6" ht="15" customHeight="1" x14ac:dyDescent="0.25">
      <c r="A13618" s="602" t="s">
        <v>561</v>
      </c>
      <c r="B13618" s="600"/>
      <c r="C13618" s="600"/>
      <c r="D13618" s="600"/>
      <c r="E13618" s="600"/>
      <c r="F13618" s="601"/>
    </row>
    <row r="13619" spans="1:6" ht="15" customHeight="1" thickBot="1" x14ac:dyDescent="0.3">
      <c r="A13619" s="603"/>
      <c r="B13619" s="604"/>
      <c r="C13619" s="604"/>
      <c r="D13619" s="604"/>
      <c r="E13619" s="604"/>
      <c r="F13619" s="605"/>
    </row>
    <row r="13620" spans="1:6" ht="15" customHeight="1" x14ac:dyDescent="0.25">
      <c r="A13620" s="88"/>
      <c r="B13620" s="88"/>
      <c r="C13620" s="89"/>
      <c r="D13620" s="89"/>
      <c r="E13620" s="89"/>
      <c r="F13620" s="89"/>
    </row>
    <row r="13621" spans="1:6" ht="15" customHeight="1" x14ac:dyDescent="0.25">
      <c r="A13621" s="90" t="s">
        <v>47</v>
      </c>
      <c r="B13621" s="613" t="s">
        <v>455</v>
      </c>
      <c r="C13621" s="600"/>
      <c r="D13621" s="600"/>
      <c r="E13621" s="600"/>
      <c r="F13621" s="600"/>
    </row>
    <row r="13622" spans="1:6" ht="15" customHeight="1" x14ac:dyDescent="0.25">
      <c r="A13622" s="91"/>
      <c r="B13622" s="91"/>
      <c r="C13622" s="91"/>
      <c r="D13622" s="91"/>
      <c r="E13622" s="91"/>
      <c r="F13622" s="91"/>
    </row>
    <row r="13623" spans="1:6" ht="15" customHeight="1" x14ac:dyDescent="0.25">
      <c r="A13623" s="88" t="s">
        <v>49</v>
      </c>
      <c r="B13623" s="92" t="s">
        <v>99</v>
      </c>
      <c r="C13623" s="89"/>
      <c r="D13623" s="89"/>
      <c r="E13623" s="89"/>
      <c r="F13623" s="93"/>
    </row>
    <row r="13624" spans="1:6" ht="15" customHeight="1" x14ac:dyDescent="0.25">
      <c r="A13624" s="88"/>
      <c r="B13624" s="94"/>
      <c r="C13624" s="89"/>
      <c r="D13624" s="89"/>
      <c r="E13624" s="89"/>
      <c r="F13624" s="93"/>
    </row>
    <row r="13625" spans="1:6" ht="15" customHeight="1" x14ac:dyDescent="0.25">
      <c r="A13625" s="95" t="s">
        <v>562</v>
      </c>
      <c r="B13625" s="96"/>
      <c r="C13625" s="92"/>
      <c r="D13625" s="92"/>
      <c r="E13625" s="92"/>
      <c r="F13625" s="92"/>
    </row>
    <row r="13626" spans="1:6" ht="15" customHeight="1" x14ac:dyDescent="0.25">
      <c r="A13626" s="97" t="s">
        <v>563</v>
      </c>
      <c r="B13626" s="98" t="s">
        <v>564</v>
      </c>
      <c r="C13626" s="98" t="s">
        <v>565</v>
      </c>
      <c r="D13626" s="98" t="s">
        <v>566</v>
      </c>
      <c r="E13626" s="98" t="s">
        <v>567</v>
      </c>
      <c r="F13626" s="98" t="s">
        <v>568</v>
      </c>
    </row>
    <row r="13627" spans="1:6" ht="15" customHeight="1" x14ac:dyDescent="0.25">
      <c r="A13627" s="99" t="s">
        <v>890</v>
      </c>
      <c r="B13627" s="100" t="s">
        <v>99</v>
      </c>
      <c r="C13627" s="101">
        <v>8470850</v>
      </c>
      <c r="D13627" s="149">
        <v>1</v>
      </c>
      <c r="E13627" s="102"/>
      <c r="F13627" s="101">
        <f t="shared" ref="F13627:F13630" si="668">C13627*(D13627+(D13627*E13627))</f>
        <v>8470850</v>
      </c>
    </row>
    <row r="13628" spans="1:6" ht="15" customHeight="1" x14ac:dyDescent="0.25">
      <c r="A13628" s="99"/>
      <c r="B13628" s="100"/>
      <c r="C13628" s="101"/>
      <c r="D13628" s="149"/>
      <c r="E13628" s="102"/>
      <c r="F13628" s="101">
        <f t="shared" si="668"/>
        <v>0</v>
      </c>
    </row>
    <row r="13629" spans="1:6" ht="15" customHeight="1" x14ac:dyDescent="0.25">
      <c r="A13629" s="99"/>
      <c r="B13629" s="100"/>
      <c r="C13629" s="101"/>
      <c r="D13629" s="149"/>
      <c r="E13629" s="102"/>
      <c r="F13629" s="101">
        <f t="shared" si="668"/>
        <v>0</v>
      </c>
    </row>
    <row r="13630" spans="1:6" ht="15" customHeight="1" x14ac:dyDescent="0.25">
      <c r="A13630" s="99"/>
      <c r="B13630" s="100"/>
      <c r="C13630" s="101"/>
      <c r="D13630" s="149"/>
      <c r="E13630" s="102"/>
      <c r="F13630" s="101">
        <f t="shared" si="668"/>
        <v>0</v>
      </c>
    </row>
    <row r="13631" spans="1:6" ht="15" customHeight="1" x14ac:dyDescent="0.25">
      <c r="A13631" s="99"/>
      <c r="B13631" s="100"/>
      <c r="C13631" s="101"/>
      <c r="D13631" s="149"/>
      <c r="E13631" s="102"/>
      <c r="F13631" s="101"/>
    </row>
    <row r="13632" spans="1:6" ht="15" customHeight="1" x14ac:dyDescent="0.25">
      <c r="A13632" s="99"/>
      <c r="B13632" s="100"/>
      <c r="C13632" s="101"/>
      <c r="D13632" s="149"/>
      <c r="E13632" s="102"/>
      <c r="F13632" s="101"/>
    </row>
    <row r="13633" spans="1:6" ht="15" customHeight="1" x14ac:dyDescent="0.25">
      <c r="A13633" s="99"/>
      <c r="B13633" s="100"/>
      <c r="C13633" s="101"/>
      <c r="D13633" s="149"/>
      <c r="E13633" s="102"/>
      <c r="F13633" s="101"/>
    </row>
    <row r="13634" spans="1:6" ht="15" customHeight="1" x14ac:dyDescent="0.25">
      <c r="A13634" s="99"/>
      <c r="B13634" s="100"/>
      <c r="C13634" s="106"/>
      <c r="D13634" s="107"/>
      <c r="E13634" s="108"/>
      <c r="F13634" s="106"/>
    </row>
    <row r="13635" spans="1:6" ht="15" customHeight="1" x14ac:dyDescent="0.25">
      <c r="A13635" s="97" t="s">
        <v>548</v>
      </c>
      <c r="B13635" s="97"/>
      <c r="C13635" s="109"/>
      <c r="D13635" s="110"/>
      <c r="E13635" s="111"/>
      <c r="F13635" s="112">
        <f>SUM(F13627:F13634)</f>
        <v>8470850</v>
      </c>
    </row>
    <row r="13636" spans="1:6" ht="15" customHeight="1" x14ac:dyDescent="0.25">
      <c r="A13636" s="88"/>
      <c r="B13636" s="88"/>
      <c r="C13636" s="113"/>
      <c r="D13636" s="113"/>
      <c r="E13636" s="114"/>
      <c r="F13636" s="113"/>
    </row>
    <row r="13637" spans="1:6" ht="15" customHeight="1" x14ac:dyDescent="0.25">
      <c r="A13637" s="96" t="s">
        <v>573</v>
      </c>
      <c r="B13637" s="96"/>
      <c r="C13637" s="92"/>
      <c r="D13637" s="92"/>
      <c r="E13637" s="92"/>
      <c r="F13637" s="92"/>
    </row>
    <row r="13638" spans="1:6" ht="15" customHeight="1" x14ac:dyDescent="0.25">
      <c r="A13638" s="611" t="s">
        <v>563</v>
      </c>
      <c r="B13638" s="608"/>
      <c r="C13638" s="609"/>
      <c r="D13638" s="98" t="s">
        <v>574</v>
      </c>
      <c r="E13638" s="98" t="s">
        <v>575</v>
      </c>
      <c r="F13638" s="98" t="s">
        <v>568</v>
      </c>
    </row>
    <row r="13639" spans="1:6" ht="15" customHeight="1" x14ac:dyDescent="0.25">
      <c r="A13639" s="607" t="s">
        <v>577</v>
      </c>
      <c r="B13639" s="608"/>
      <c r="C13639" s="609"/>
      <c r="D13639" s="116"/>
      <c r="E13639" s="107"/>
      <c r="F13639" s="106">
        <f>+F13656*5%</f>
        <v>46078.569188680674</v>
      </c>
    </row>
    <row r="13640" spans="1:6" ht="15" customHeight="1" x14ac:dyDescent="0.25">
      <c r="A13640" s="607"/>
      <c r="B13640" s="608"/>
      <c r="C13640" s="609"/>
      <c r="D13640" s="142"/>
      <c r="E13640" s="105"/>
      <c r="F13640" s="106"/>
    </row>
    <row r="13641" spans="1:6" ht="15" customHeight="1" x14ac:dyDescent="0.25">
      <c r="A13641" s="607"/>
      <c r="B13641" s="608"/>
      <c r="C13641" s="609"/>
      <c r="D13641" s="142"/>
      <c r="E13641" s="105"/>
      <c r="F13641" s="106"/>
    </row>
    <row r="13642" spans="1:6" ht="15" customHeight="1" x14ac:dyDescent="0.25">
      <c r="A13642" s="607"/>
      <c r="B13642" s="608"/>
      <c r="C13642" s="609"/>
      <c r="D13642" s="142"/>
      <c r="E13642" s="107"/>
      <c r="F13642" s="106"/>
    </row>
    <row r="13643" spans="1:6" ht="15" customHeight="1" x14ac:dyDescent="0.25">
      <c r="A13643" s="607"/>
      <c r="B13643" s="608"/>
      <c r="C13643" s="609"/>
      <c r="D13643" s="142"/>
      <c r="E13643" s="107"/>
      <c r="F13643" s="106"/>
    </row>
    <row r="13644" spans="1:6" ht="15" customHeight="1" x14ac:dyDescent="0.25">
      <c r="A13644" s="607"/>
      <c r="B13644" s="608"/>
      <c r="C13644" s="609"/>
      <c r="D13644" s="142"/>
      <c r="E13644" s="107"/>
      <c r="F13644" s="106"/>
    </row>
    <row r="13645" spans="1:6" ht="15" customHeight="1" x14ac:dyDescent="0.25">
      <c r="A13645" s="607"/>
      <c r="B13645" s="608"/>
      <c r="C13645" s="609"/>
      <c r="D13645" s="142"/>
      <c r="E13645" s="107"/>
      <c r="F13645" s="106"/>
    </row>
    <row r="13646" spans="1:6" ht="15" customHeight="1" x14ac:dyDescent="0.25">
      <c r="A13646" s="607"/>
      <c r="B13646" s="608"/>
      <c r="C13646" s="609"/>
      <c r="D13646" s="142"/>
      <c r="E13646" s="107"/>
      <c r="F13646" s="106"/>
    </row>
    <row r="13647" spans="1:6" ht="15" customHeight="1" x14ac:dyDescent="0.25">
      <c r="A13647" s="610"/>
      <c r="B13647" s="608"/>
      <c r="C13647" s="609"/>
      <c r="D13647" s="115"/>
      <c r="E13647" s="107"/>
      <c r="F13647" s="106"/>
    </row>
    <row r="13648" spans="1:6" ht="15" customHeight="1" x14ac:dyDescent="0.25">
      <c r="A13648" s="611" t="s">
        <v>548</v>
      </c>
      <c r="B13648" s="608"/>
      <c r="C13648" s="609"/>
      <c r="D13648" s="110"/>
      <c r="E13648" s="110"/>
      <c r="F13648" s="112">
        <f>SUM(F13639:F13646)</f>
        <v>46078.569188680674</v>
      </c>
    </row>
    <row r="13649" spans="1:6" ht="15" customHeight="1" x14ac:dyDescent="0.25">
      <c r="A13649" s="88"/>
      <c r="B13649" s="88"/>
      <c r="C13649" s="89"/>
      <c r="D13649" s="113"/>
      <c r="E13649" s="113"/>
      <c r="F13649" s="113"/>
    </row>
    <row r="13650" spans="1:6" ht="15" customHeight="1" x14ac:dyDescent="0.25">
      <c r="A13650" s="96" t="s">
        <v>578</v>
      </c>
      <c r="B13650" s="96"/>
      <c r="C13650" s="92"/>
      <c r="D13650" s="118"/>
      <c r="E13650" s="118"/>
      <c r="F13650" s="118"/>
    </row>
    <row r="13651" spans="1:6" ht="15" customHeight="1" x14ac:dyDescent="0.25">
      <c r="A13651" s="119" t="s">
        <v>563</v>
      </c>
      <c r="B13651" s="120" t="s">
        <v>579</v>
      </c>
      <c r="C13651" s="120" t="s">
        <v>580</v>
      </c>
      <c r="D13651" s="121" t="s">
        <v>581</v>
      </c>
      <c r="E13651" s="121" t="s">
        <v>575</v>
      </c>
      <c r="F13651" s="121" t="s">
        <v>568</v>
      </c>
    </row>
    <row r="13652" spans="1:6" ht="15" customHeight="1" x14ac:dyDescent="0.25">
      <c r="A13652" s="122" t="s">
        <v>593</v>
      </c>
      <c r="B13652" s="127">
        <v>1</v>
      </c>
      <c r="C13652" s="101">
        <v>32688</v>
      </c>
      <c r="D13652" s="101">
        <f t="shared" ref="D13652:D13653" si="669">+C13652*1.7</f>
        <v>55569.599999999999</v>
      </c>
      <c r="E13652" s="107">
        <v>0.1572143</v>
      </c>
      <c r="F13652" s="106">
        <f t="shared" ref="F13652:F13653" si="670">+B13652*(D13652)/E13652</f>
        <v>353464.02967160114</v>
      </c>
    </row>
    <row r="13653" spans="1:6" ht="15" customHeight="1" x14ac:dyDescent="0.25">
      <c r="A13653" s="122" t="s">
        <v>594</v>
      </c>
      <c r="B13653" s="127">
        <v>1</v>
      </c>
      <c r="C13653" s="101">
        <v>52538</v>
      </c>
      <c r="D13653" s="101">
        <f t="shared" si="669"/>
        <v>89314.599999999991</v>
      </c>
      <c r="E13653" s="107">
        <f>E13652</f>
        <v>0.1572143</v>
      </c>
      <c r="F13653" s="106">
        <f t="shared" si="670"/>
        <v>568107.35410201224</v>
      </c>
    </row>
    <row r="13654" spans="1:6" ht="15" customHeight="1" x14ac:dyDescent="0.25">
      <c r="A13654" s="122"/>
      <c r="B13654" s="127"/>
      <c r="C13654" s="101"/>
      <c r="D13654" s="101"/>
      <c r="E13654" s="105"/>
      <c r="F13654" s="106"/>
    </row>
    <row r="13655" spans="1:6" ht="15" customHeight="1" x14ac:dyDescent="0.25">
      <c r="A13655" s="122"/>
      <c r="B13655" s="127"/>
      <c r="C13655" s="101"/>
      <c r="D13655" s="101"/>
      <c r="E13655" s="125"/>
      <c r="F13655" s="106"/>
    </row>
    <row r="13656" spans="1:6" ht="15" customHeight="1" x14ac:dyDescent="0.25">
      <c r="A13656" s="97" t="s">
        <v>548</v>
      </c>
      <c r="B13656" s="128"/>
      <c r="C13656" s="110"/>
      <c r="D13656" s="110"/>
      <c r="E13656" s="110"/>
      <c r="F13656" s="112">
        <f>SUM(F13652:F13655)</f>
        <v>921571.38377361337</v>
      </c>
    </row>
    <row r="13657" spans="1:6" ht="15" customHeight="1" x14ac:dyDescent="0.25">
      <c r="A13657" s="96"/>
      <c r="B13657" s="129"/>
      <c r="C13657" s="118"/>
      <c r="D13657" s="118"/>
      <c r="E13657" s="118"/>
      <c r="F13657" s="118"/>
    </row>
    <row r="13658" spans="1:6" ht="15" customHeight="1" x14ac:dyDescent="0.25">
      <c r="A13658" s="95" t="s">
        <v>583</v>
      </c>
      <c r="B13658" s="96"/>
      <c r="C13658" s="92"/>
      <c r="D13658" s="92"/>
      <c r="E13658" s="92" t="s">
        <v>584</v>
      </c>
      <c r="F13658" s="92"/>
    </row>
    <row r="13659" spans="1:6" ht="15" customHeight="1" x14ac:dyDescent="0.25">
      <c r="A13659" s="97" t="s">
        <v>563</v>
      </c>
      <c r="B13659" s="98" t="s">
        <v>564</v>
      </c>
      <c r="C13659" s="98" t="s">
        <v>585</v>
      </c>
      <c r="D13659" s="98" t="s">
        <v>586</v>
      </c>
      <c r="E13659" s="120" t="s">
        <v>587</v>
      </c>
      <c r="F13659" s="98" t="s">
        <v>568</v>
      </c>
    </row>
    <row r="13660" spans="1:6" ht="15" customHeight="1" x14ac:dyDescent="0.25">
      <c r="A13660" s="103"/>
      <c r="B13660" s="100"/>
      <c r="C13660" s="101"/>
      <c r="D13660" s="140"/>
      <c r="E13660" s="107"/>
      <c r="F13660" s="109"/>
    </row>
    <row r="13661" spans="1:6" ht="15" customHeight="1" x14ac:dyDescent="0.25">
      <c r="A13661" s="103"/>
      <c r="B13661" s="100"/>
      <c r="C13661" s="107"/>
      <c r="D13661" s="107"/>
      <c r="E13661" s="108"/>
      <c r="F13661" s="109"/>
    </row>
    <row r="13662" spans="1:6" ht="15" customHeight="1" x14ac:dyDescent="0.25">
      <c r="A13662" s="97" t="s">
        <v>548</v>
      </c>
      <c r="B13662" s="98"/>
      <c r="C13662" s="110"/>
      <c r="D13662" s="110"/>
      <c r="E13662" s="111"/>
      <c r="F13662" s="112">
        <f>SUM(F13660:F13661)</f>
        <v>0</v>
      </c>
    </row>
    <row r="13663" spans="1:6" ht="15" customHeight="1" x14ac:dyDescent="0.25">
      <c r="A13663" s="88"/>
      <c r="B13663" s="89"/>
      <c r="C13663" s="113"/>
      <c r="D13663" s="113"/>
      <c r="E13663" s="114"/>
      <c r="F13663" s="113"/>
    </row>
    <row r="13664" spans="1:6" ht="15" customHeight="1" x14ac:dyDescent="0.25">
      <c r="A13664" s="88"/>
      <c r="B13664" s="89"/>
      <c r="C13664" s="113"/>
      <c r="D13664" s="113"/>
      <c r="E13664" s="114"/>
      <c r="F13664" s="113"/>
    </row>
    <row r="13665" spans="1:6" ht="15" customHeight="1" x14ac:dyDescent="0.25">
      <c r="A13665" s="612" t="s">
        <v>588</v>
      </c>
      <c r="B13665" s="608"/>
      <c r="C13665" s="608"/>
      <c r="D13665" s="608"/>
      <c r="E13665" s="609"/>
      <c r="F13665" s="131">
        <f>ROUND(F13635+F13648+F13656+F13662,0)</f>
        <v>9438500</v>
      </c>
    </row>
    <row r="13666" spans="1:6" ht="15" customHeight="1" x14ac:dyDescent="0.25">
      <c r="A13666" s="612" t="s">
        <v>589</v>
      </c>
      <c r="B13666" s="608"/>
      <c r="C13666" s="608"/>
      <c r="D13666" s="608"/>
      <c r="E13666" s="609"/>
      <c r="F13666" s="132"/>
    </row>
    <row r="13667" spans="1:6" ht="15" customHeight="1" x14ac:dyDescent="0.25">
      <c r="A13667" s="146" t="s">
        <v>556</v>
      </c>
      <c r="B13667" s="147"/>
      <c r="C13667" s="147"/>
      <c r="D13667" s="147"/>
      <c r="E13667" s="148"/>
      <c r="F13667" s="133"/>
    </row>
    <row r="13668" spans="1:6" ht="15" customHeight="1" x14ac:dyDescent="0.25">
      <c r="A13668" s="134"/>
      <c r="B13668" s="135"/>
      <c r="C13668" s="135"/>
      <c r="D13668" s="135"/>
      <c r="E13668" s="135"/>
      <c r="F13668" s="136"/>
    </row>
    <row r="13669" spans="1:6" ht="15" customHeight="1" x14ac:dyDescent="0.25">
      <c r="A13669" s="81"/>
      <c r="B13669" s="81"/>
      <c r="C13669" s="137"/>
      <c r="D13669" s="81"/>
      <c r="E13669" s="81"/>
      <c r="F13669" s="81"/>
    </row>
    <row r="13670" spans="1:6" ht="15" customHeight="1" x14ac:dyDescent="0.25">
      <c r="A13670" s="81"/>
      <c r="B13670" s="81"/>
      <c r="C13670" s="137"/>
      <c r="D13670" s="81"/>
      <c r="E13670" s="81"/>
      <c r="F13670" s="81"/>
    </row>
    <row r="13671" spans="1:6" ht="15" customHeight="1" x14ac:dyDescent="0.25">
      <c r="A13671" s="81"/>
      <c r="B13671" s="81"/>
      <c r="C13671" s="137"/>
      <c r="D13671" s="81"/>
      <c r="E13671" s="81"/>
      <c r="F13671" s="81"/>
    </row>
    <row r="13672" spans="1:6" ht="15" customHeight="1" x14ac:dyDescent="0.25">
      <c r="A13672" s="81"/>
      <c r="B13672" s="81"/>
      <c r="C13672" s="137"/>
      <c r="D13672" s="81"/>
      <c r="E13672" s="81"/>
      <c r="F13672" s="81"/>
    </row>
    <row r="13673" spans="1:6" ht="15" customHeight="1" x14ac:dyDescent="0.25">
      <c r="A13673" s="134"/>
      <c r="B13673" s="135"/>
      <c r="C13673" s="135"/>
      <c r="D13673" s="135"/>
      <c r="E13673" s="135"/>
      <c r="F13673" s="136"/>
    </row>
    <row r="13674" spans="1:6" ht="15" customHeight="1" x14ac:dyDescent="0.25">
      <c r="A13674" s="134"/>
      <c r="B13674" s="135"/>
      <c r="C13674" s="135"/>
      <c r="D13674" s="135"/>
      <c r="E13674" s="135"/>
      <c r="F13674" s="136"/>
    </row>
    <row r="13675" spans="1:6" ht="15" customHeight="1" x14ac:dyDescent="0.25">
      <c r="A13675" s="134"/>
      <c r="B13675" s="135"/>
      <c r="C13675" s="135"/>
      <c r="D13675" s="135"/>
      <c r="E13675" s="135"/>
      <c r="F13675" s="135"/>
    </row>
    <row r="13676" spans="1:6" ht="15" customHeight="1" thickBot="1" x14ac:dyDescent="0.3">
      <c r="A13676" s="81"/>
      <c r="B13676" s="81"/>
      <c r="C13676" s="81"/>
      <c r="D13676" s="81"/>
      <c r="E13676" s="81"/>
      <c r="F13676" s="81"/>
    </row>
    <row r="13677" spans="1:6" ht="15" customHeight="1" x14ac:dyDescent="0.25">
      <c r="A13677" s="83"/>
      <c r="B13677" s="84"/>
      <c r="C13677" s="85"/>
      <c r="D13677" s="86"/>
      <c r="E13677" s="86"/>
      <c r="F13677" s="87"/>
    </row>
    <row r="13678" spans="1:6" ht="15" customHeight="1" x14ac:dyDescent="0.25">
      <c r="A13678" s="599"/>
      <c r="B13678" s="600"/>
      <c r="C13678" s="600"/>
      <c r="D13678" s="600"/>
      <c r="E13678" s="600"/>
      <c r="F13678" s="601"/>
    </row>
    <row r="13679" spans="1:6" ht="15" customHeight="1" x14ac:dyDescent="0.25">
      <c r="A13679" s="602" t="s">
        <v>561</v>
      </c>
      <c r="B13679" s="600"/>
      <c r="C13679" s="600"/>
      <c r="D13679" s="600"/>
      <c r="E13679" s="600"/>
      <c r="F13679" s="601"/>
    </row>
    <row r="13680" spans="1:6" ht="15" customHeight="1" thickBot="1" x14ac:dyDescent="0.3">
      <c r="A13680" s="603"/>
      <c r="B13680" s="604"/>
      <c r="C13680" s="604"/>
      <c r="D13680" s="604"/>
      <c r="E13680" s="604"/>
      <c r="F13680" s="605"/>
    </row>
    <row r="13681" spans="1:6" ht="15" customHeight="1" x14ac:dyDescent="0.25">
      <c r="A13681" s="88"/>
      <c r="B13681" s="88"/>
      <c r="C13681" s="89"/>
      <c r="D13681" s="89"/>
      <c r="E13681" s="89"/>
      <c r="F13681" s="89"/>
    </row>
    <row r="13682" spans="1:6" ht="15" customHeight="1" x14ac:dyDescent="0.25">
      <c r="A13682" s="90" t="s">
        <v>47</v>
      </c>
      <c r="B13682" s="613" t="s">
        <v>456</v>
      </c>
      <c r="C13682" s="600"/>
      <c r="D13682" s="600"/>
      <c r="E13682" s="600"/>
      <c r="F13682" s="600"/>
    </row>
    <row r="13683" spans="1:6" ht="15" customHeight="1" x14ac:dyDescent="0.25">
      <c r="A13683" s="91"/>
      <c r="B13683" s="91"/>
      <c r="C13683" s="91"/>
      <c r="D13683" s="91"/>
      <c r="E13683" s="91"/>
      <c r="F13683" s="91"/>
    </row>
    <row r="13684" spans="1:6" ht="15" customHeight="1" x14ac:dyDescent="0.25">
      <c r="A13684" s="88" t="s">
        <v>49</v>
      </c>
      <c r="B13684" s="92" t="s">
        <v>99</v>
      </c>
      <c r="C13684" s="89"/>
      <c r="D13684" s="89"/>
      <c r="E13684" s="89"/>
      <c r="F13684" s="93"/>
    </row>
    <row r="13685" spans="1:6" ht="15" customHeight="1" x14ac:dyDescent="0.25">
      <c r="A13685" s="88"/>
      <c r="B13685" s="94"/>
      <c r="C13685" s="89"/>
      <c r="D13685" s="89"/>
      <c r="E13685" s="89"/>
      <c r="F13685" s="93"/>
    </row>
    <row r="13686" spans="1:6" ht="15" customHeight="1" x14ac:dyDescent="0.25">
      <c r="A13686" s="95" t="s">
        <v>562</v>
      </c>
      <c r="B13686" s="96"/>
      <c r="C13686" s="92"/>
      <c r="D13686" s="92"/>
      <c r="E13686" s="92"/>
      <c r="F13686" s="92"/>
    </row>
    <row r="13687" spans="1:6" ht="15" customHeight="1" x14ac:dyDescent="0.25">
      <c r="A13687" s="97" t="s">
        <v>563</v>
      </c>
      <c r="B13687" s="98" t="s">
        <v>564</v>
      </c>
      <c r="C13687" s="98" t="s">
        <v>565</v>
      </c>
      <c r="D13687" s="98" t="s">
        <v>566</v>
      </c>
      <c r="E13687" s="98" t="s">
        <v>567</v>
      </c>
      <c r="F13687" s="98" t="s">
        <v>568</v>
      </c>
    </row>
    <row r="13688" spans="1:6" ht="15" customHeight="1" x14ac:dyDescent="0.25">
      <c r="A13688" s="99" t="s">
        <v>891</v>
      </c>
      <c r="B13688" s="100" t="s">
        <v>99</v>
      </c>
      <c r="C13688" s="101">
        <v>25440251</v>
      </c>
      <c r="D13688" s="149">
        <v>1</v>
      </c>
      <c r="E13688" s="102"/>
      <c r="F13688" s="101">
        <f t="shared" ref="F13688:F13691" si="671">C13688*(D13688+(D13688*E13688))</f>
        <v>25440251</v>
      </c>
    </row>
    <row r="13689" spans="1:6" ht="15" customHeight="1" x14ac:dyDescent="0.25">
      <c r="A13689" s="99"/>
      <c r="B13689" s="100"/>
      <c r="C13689" s="101"/>
      <c r="D13689" s="149"/>
      <c r="E13689" s="102"/>
      <c r="F13689" s="101">
        <f t="shared" si="671"/>
        <v>0</v>
      </c>
    </row>
    <row r="13690" spans="1:6" ht="15" customHeight="1" x14ac:dyDescent="0.25">
      <c r="A13690" s="99"/>
      <c r="B13690" s="100"/>
      <c r="C13690" s="101"/>
      <c r="D13690" s="149"/>
      <c r="E13690" s="102"/>
      <c r="F13690" s="101">
        <f t="shared" si="671"/>
        <v>0</v>
      </c>
    </row>
    <row r="13691" spans="1:6" ht="15" customHeight="1" x14ac:dyDescent="0.25">
      <c r="A13691" s="99"/>
      <c r="B13691" s="100"/>
      <c r="C13691" s="101"/>
      <c r="D13691" s="149"/>
      <c r="E13691" s="102"/>
      <c r="F13691" s="101">
        <f t="shared" si="671"/>
        <v>0</v>
      </c>
    </row>
    <row r="13692" spans="1:6" ht="15" customHeight="1" x14ac:dyDescent="0.25">
      <c r="A13692" s="99"/>
      <c r="B13692" s="100"/>
      <c r="C13692" s="101"/>
      <c r="D13692" s="149"/>
      <c r="E13692" s="102"/>
      <c r="F13692" s="101"/>
    </row>
    <row r="13693" spans="1:6" ht="15" customHeight="1" x14ac:dyDescent="0.25">
      <c r="A13693" s="99"/>
      <c r="B13693" s="100"/>
      <c r="C13693" s="101"/>
      <c r="D13693" s="149"/>
      <c r="E13693" s="102"/>
      <c r="F13693" s="101"/>
    </row>
    <row r="13694" spans="1:6" ht="15" customHeight="1" x14ac:dyDescent="0.25">
      <c r="A13694" s="99"/>
      <c r="B13694" s="100"/>
      <c r="C13694" s="101"/>
      <c r="D13694" s="149"/>
      <c r="E13694" s="102"/>
      <c r="F13694" s="101"/>
    </row>
    <row r="13695" spans="1:6" ht="15" customHeight="1" x14ac:dyDescent="0.25">
      <c r="A13695" s="99"/>
      <c r="B13695" s="100"/>
      <c r="C13695" s="106"/>
      <c r="D13695" s="107"/>
      <c r="E13695" s="108"/>
      <c r="F13695" s="106"/>
    </row>
    <row r="13696" spans="1:6" ht="15" customHeight="1" x14ac:dyDescent="0.25">
      <c r="A13696" s="97" t="s">
        <v>548</v>
      </c>
      <c r="B13696" s="97"/>
      <c r="C13696" s="109"/>
      <c r="D13696" s="110"/>
      <c r="E13696" s="111"/>
      <c r="F13696" s="112">
        <f>SUM(F13688:F13695)</f>
        <v>25440251</v>
      </c>
    </row>
    <row r="13697" spans="1:6" ht="15" customHeight="1" x14ac:dyDescent="0.25">
      <c r="A13697" s="88"/>
      <c r="B13697" s="88"/>
      <c r="C13697" s="113"/>
      <c r="D13697" s="113"/>
      <c r="E13697" s="114"/>
      <c r="F13697" s="113"/>
    </row>
    <row r="13698" spans="1:6" ht="15" customHeight="1" x14ac:dyDescent="0.25">
      <c r="A13698" s="96" t="s">
        <v>573</v>
      </c>
      <c r="B13698" s="96"/>
      <c r="C13698" s="92"/>
      <c r="D13698" s="92"/>
      <c r="E13698" s="92"/>
      <c r="F13698" s="92"/>
    </row>
    <row r="13699" spans="1:6" ht="15" customHeight="1" x14ac:dyDescent="0.25">
      <c r="A13699" s="611" t="s">
        <v>563</v>
      </c>
      <c r="B13699" s="608"/>
      <c r="C13699" s="609"/>
      <c r="D13699" s="98" t="s">
        <v>574</v>
      </c>
      <c r="E13699" s="98" t="s">
        <v>575</v>
      </c>
      <c r="F13699" s="98" t="s">
        <v>568</v>
      </c>
    </row>
    <row r="13700" spans="1:6" ht="15" customHeight="1" x14ac:dyDescent="0.25">
      <c r="A13700" s="607" t="s">
        <v>577</v>
      </c>
      <c r="B13700" s="608"/>
      <c r="C13700" s="609"/>
      <c r="D13700" s="116"/>
      <c r="E13700" s="107"/>
      <c r="F13700" s="106">
        <f>+F13717*5%</f>
        <v>142877.68297142253</v>
      </c>
    </row>
    <row r="13701" spans="1:6" ht="15" customHeight="1" x14ac:dyDescent="0.25">
      <c r="A13701" s="607"/>
      <c r="B13701" s="608"/>
      <c r="C13701" s="609"/>
      <c r="D13701" s="142"/>
      <c r="E13701" s="105"/>
      <c r="F13701" s="106"/>
    </row>
    <row r="13702" spans="1:6" ht="15" customHeight="1" x14ac:dyDescent="0.25">
      <c r="A13702" s="607"/>
      <c r="B13702" s="608"/>
      <c r="C13702" s="609"/>
      <c r="D13702" s="142"/>
      <c r="E13702" s="105"/>
      <c r="F13702" s="106"/>
    </row>
    <row r="13703" spans="1:6" ht="15" customHeight="1" x14ac:dyDescent="0.25">
      <c r="A13703" s="607"/>
      <c r="B13703" s="608"/>
      <c r="C13703" s="609"/>
      <c r="D13703" s="142"/>
      <c r="E13703" s="107"/>
      <c r="F13703" s="106"/>
    </row>
    <row r="13704" spans="1:6" ht="15" customHeight="1" x14ac:dyDescent="0.25">
      <c r="A13704" s="607"/>
      <c r="B13704" s="608"/>
      <c r="C13704" s="609"/>
      <c r="D13704" s="142"/>
      <c r="E13704" s="107"/>
      <c r="F13704" s="106"/>
    </row>
    <row r="13705" spans="1:6" ht="15" customHeight="1" x14ac:dyDescent="0.25">
      <c r="A13705" s="607"/>
      <c r="B13705" s="608"/>
      <c r="C13705" s="609"/>
      <c r="D13705" s="142"/>
      <c r="E13705" s="107"/>
      <c r="F13705" s="106"/>
    </row>
    <row r="13706" spans="1:6" ht="15" customHeight="1" x14ac:dyDescent="0.25">
      <c r="A13706" s="607"/>
      <c r="B13706" s="608"/>
      <c r="C13706" s="609"/>
      <c r="D13706" s="142"/>
      <c r="E13706" s="107"/>
      <c r="F13706" s="106"/>
    </row>
    <row r="13707" spans="1:6" ht="15" customHeight="1" x14ac:dyDescent="0.25">
      <c r="A13707" s="607"/>
      <c r="B13707" s="608"/>
      <c r="C13707" s="609"/>
      <c r="D13707" s="142"/>
      <c r="E13707" s="107"/>
      <c r="F13707" s="106"/>
    </row>
    <row r="13708" spans="1:6" ht="15" customHeight="1" x14ac:dyDescent="0.25">
      <c r="A13708" s="610"/>
      <c r="B13708" s="608"/>
      <c r="C13708" s="609"/>
      <c r="D13708" s="115"/>
      <c r="E13708" s="107"/>
      <c r="F13708" s="106"/>
    </row>
    <row r="13709" spans="1:6" ht="15" customHeight="1" x14ac:dyDescent="0.25">
      <c r="A13709" s="611" t="s">
        <v>548</v>
      </c>
      <c r="B13709" s="608"/>
      <c r="C13709" s="609"/>
      <c r="D13709" s="110"/>
      <c r="E13709" s="110"/>
      <c r="F13709" s="112">
        <f>SUM(F13700:F13707)</f>
        <v>142877.68297142253</v>
      </c>
    </row>
    <row r="13710" spans="1:6" ht="15" customHeight="1" x14ac:dyDescent="0.25">
      <c r="A13710" s="88"/>
      <c r="B13710" s="88"/>
      <c r="C13710" s="89"/>
      <c r="D13710" s="113"/>
      <c r="E13710" s="113"/>
      <c r="F13710" s="113"/>
    </row>
    <row r="13711" spans="1:6" ht="15" customHeight="1" x14ac:dyDescent="0.25">
      <c r="A13711" s="96" t="s">
        <v>578</v>
      </c>
      <c r="B13711" s="96"/>
      <c r="C13711" s="92"/>
      <c r="D13711" s="118"/>
      <c r="E13711" s="118"/>
      <c r="F13711" s="118"/>
    </row>
    <row r="13712" spans="1:6" ht="15" customHeight="1" x14ac:dyDescent="0.25">
      <c r="A13712" s="119" t="s">
        <v>563</v>
      </c>
      <c r="B13712" s="120" t="s">
        <v>579</v>
      </c>
      <c r="C13712" s="120" t="s">
        <v>580</v>
      </c>
      <c r="D13712" s="121" t="s">
        <v>581</v>
      </c>
      <c r="E13712" s="121" t="s">
        <v>575</v>
      </c>
      <c r="F13712" s="121" t="s">
        <v>568</v>
      </c>
    </row>
    <row r="13713" spans="1:6" ht="15" customHeight="1" x14ac:dyDescent="0.25">
      <c r="A13713" s="122" t="s">
        <v>593</v>
      </c>
      <c r="B13713" s="127">
        <v>1</v>
      </c>
      <c r="C13713" s="101">
        <v>32688</v>
      </c>
      <c r="D13713" s="101">
        <f t="shared" ref="D13713:D13714" si="672">+C13713*1.7</f>
        <v>55569.599999999999</v>
      </c>
      <c r="E13713" s="107">
        <v>5.0702179999999999E-2</v>
      </c>
      <c r="F13713" s="106">
        <f t="shared" ref="F13713:F13714" si="673">+B13713*(D13713)/E13713</f>
        <v>1096000.211430751</v>
      </c>
    </row>
    <row r="13714" spans="1:6" ht="15" customHeight="1" x14ac:dyDescent="0.25">
      <c r="A13714" s="122" t="s">
        <v>594</v>
      </c>
      <c r="B13714" s="127">
        <v>1</v>
      </c>
      <c r="C13714" s="101">
        <v>52538</v>
      </c>
      <c r="D13714" s="101">
        <f t="shared" si="672"/>
        <v>89314.599999999991</v>
      </c>
      <c r="E13714" s="107">
        <f>E13713</f>
        <v>5.0702179999999999E-2</v>
      </c>
      <c r="F13714" s="106">
        <f t="shared" si="673"/>
        <v>1761553.4479976993</v>
      </c>
    </row>
    <row r="13715" spans="1:6" ht="15" customHeight="1" x14ac:dyDescent="0.25">
      <c r="A13715" s="122"/>
      <c r="B13715" s="127"/>
      <c r="C13715" s="101"/>
      <c r="D13715" s="101"/>
      <c r="E13715" s="105"/>
      <c r="F13715" s="106"/>
    </row>
    <row r="13716" spans="1:6" ht="15" customHeight="1" x14ac:dyDescent="0.25">
      <c r="A13716" s="122"/>
      <c r="B13716" s="127"/>
      <c r="C13716" s="101"/>
      <c r="D13716" s="101"/>
      <c r="E13716" s="125"/>
      <c r="F13716" s="106"/>
    </row>
    <row r="13717" spans="1:6" ht="15" customHeight="1" x14ac:dyDescent="0.25">
      <c r="A13717" s="97" t="s">
        <v>548</v>
      </c>
      <c r="B13717" s="128"/>
      <c r="C13717" s="110"/>
      <c r="D13717" s="110"/>
      <c r="E13717" s="110"/>
      <c r="F13717" s="112">
        <f>SUM(F13713:F13716)</f>
        <v>2857553.6594284503</v>
      </c>
    </row>
    <row r="13718" spans="1:6" ht="15" customHeight="1" x14ac:dyDescent="0.25">
      <c r="A13718" s="96"/>
      <c r="B13718" s="129"/>
      <c r="C13718" s="118"/>
      <c r="D13718" s="118"/>
      <c r="E13718" s="118"/>
      <c r="F13718" s="118"/>
    </row>
    <row r="13719" spans="1:6" ht="15" customHeight="1" x14ac:dyDescent="0.25">
      <c r="A13719" s="95" t="s">
        <v>583</v>
      </c>
      <c r="B13719" s="96"/>
      <c r="C13719" s="92"/>
      <c r="D13719" s="92"/>
      <c r="E13719" s="92" t="s">
        <v>584</v>
      </c>
      <c r="F13719" s="92"/>
    </row>
    <row r="13720" spans="1:6" ht="15" customHeight="1" x14ac:dyDescent="0.25">
      <c r="A13720" s="97" t="s">
        <v>563</v>
      </c>
      <c r="B13720" s="98" t="s">
        <v>564</v>
      </c>
      <c r="C13720" s="98" t="s">
        <v>585</v>
      </c>
      <c r="D13720" s="98" t="s">
        <v>586</v>
      </c>
      <c r="E13720" s="120" t="s">
        <v>587</v>
      </c>
      <c r="F13720" s="98" t="s">
        <v>568</v>
      </c>
    </row>
    <row r="13721" spans="1:6" ht="15" customHeight="1" x14ac:dyDescent="0.25">
      <c r="A13721" s="103"/>
      <c r="B13721" s="100"/>
      <c r="C13721" s="101"/>
      <c r="D13721" s="140"/>
      <c r="E13721" s="107"/>
      <c r="F13721" s="109"/>
    </row>
    <row r="13722" spans="1:6" ht="15" customHeight="1" x14ac:dyDescent="0.25">
      <c r="A13722" s="103"/>
      <c r="B13722" s="100"/>
      <c r="C13722" s="107"/>
      <c r="D13722" s="107"/>
      <c r="E13722" s="108"/>
      <c r="F13722" s="109"/>
    </row>
    <row r="13723" spans="1:6" ht="15" customHeight="1" x14ac:dyDescent="0.25">
      <c r="A13723" s="97" t="s">
        <v>548</v>
      </c>
      <c r="B13723" s="98"/>
      <c r="C13723" s="110"/>
      <c r="D13723" s="110"/>
      <c r="E13723" s="111"/>
      <c r="F13723" s="112">
        <f>SUM(F13721:F13722)</f>
        <v>0</v>
      </c>
    </row>
    <row r="13724" spans="1:6" ht="15" customHeight="1" x14ac:dyDescent="0.25">
      <c r="A13724" s="88"/>
      <c r="B13724" s="89"/>
      <c r="C13724" s="113"/>
      <c r="D13724" s="113"/>
      <c r="E13724" s="114"/>
      <c r="F13724" s="113"/>
    </row>
    <row r="13725" spans="1:6" ht="15" customHeight="1" x14ac:dyDescent="0.25">
      <c r="A13725" s="88"/>
      <c r="B13725" s="89"/>
      <c r="C13725" s="113"/>
      <c r="D13725" s="113"/>
      <c r="E13725" s="114"/>
      <c r="F13725" s="113"/>
    </row>
    <row r="13726" spans="1:6" ht="15" customHeight="1" x14ac:dyDescent="0.25">
      <c r="A13726" s="612" t="s">
        <v>588</v>
      </c>
      <c r="B13726" s="608"/>
      <c r="C13726" s="608"/>
      <c r="D13726" s="608"/>
      <c r="E13726" s="609"/>
      <c r="F13726" s="131">
        <f>ROUND(F13696+F13709+F13717+F13723,0)</f>
        <v>28440682</v>
      </c>
    </row>
    <row r="13727" spans="1:6" ht="15" customHeight="1" x14ac:dyDescent="0.25">
      <c r="A13727" s="612" t="s">
        <v>589</v>
      </c>
      <c r="B13727" s="608"/>
      <c r="C13727" s="608"/>
      <c r="D13727" s="608"/>
      <c r="E13727" s="609"/>
      <c r="F13727" s="132"/>
    </row>
    <row r="13728" spans="1:6" ht="15" customHeight="1" x14ac:dyDescent="0.25">
      <c r="A13728" s="146" t="s">
        <v>556</v>
      </c>
      <c r="B13728" s="147"/>
      <c r="C13728" s="147"/>
      <c r="D13728" s="147"/>
      <c r="E13728" s="148"/>
      <c r="F13728" s="133"/>
    </row>
    <row r="13729" spans="1:6" ht="15" customHeight="1" x14ac:dyDescent="0.25">
      <c r="A13729" s="134"/>
      <c r="B13729" s="135"/>
      <c r="C13729" s="135"/>
      <c r="D13729" s="135"/>
      <c r="E13729" s="135"/>
      <c r="F13729" s="136"/>
    </row>
    <row r="13730" spans="1:6" ht="15" customHeight="1" x14ac:dyDescent="0.25">
      <c r="A13730" s="81"/>
      <c r="B13730" s="81"/>
      <c r="C13730" s="137"/>
      <c r="D13730" s="81"/>
      <c r="E13730" s="81"/>
      <c r="F13730" s="81"/>
    </row>
    <row r="13731" spans="1:6" ht="15" customHeight="1" x14ac:dyDescent="0.25">
      <c r="A13731" s="81"/>
      <c r="B13731" s="81"/>
      <c r="C13731" s="137"/>
      <c r="D13731" s="81"/>
      <c r="E13731" s="81"/>
      <c r="F13731" s="81"/>
    </row>
    <row r="13732" spans="1:6" ht="15" customHeight="1" x14ac:dyDescent="0.25">
      <c r="A13732" s="81"/>
      <c r="B13732" s="81"/>
      <c r="C13732" s="137"/>
      <c r="D13732" s="81"/>
      <c r="E13732" s="81"/>
      <c r="F13732" s="81"/>
    </row>
    <row r="13733" spans="1:6" ht="15" customHeight="1" x14ac:dyDescent="0.25">
      <c r="A13733" s="81"/>
      <c r="B13733" s="81"/>
      <c r="C13733" s="137"/>
      <c r="D13733" s="81"/>
      <c r="E13733" s="81"/>
      <c r="F13733" s="81"/>
    </row>
    <row r="13734" spans="1:6" ht="15" customHeight="1" x14ac:dyDescent="0.25">
      <c r="A13734" s="134"/>
      <c r="B13734" s="135"/>
      <c r="C13734" s="135"/>
      <c r="D13734" s="135"/>
      <c r="E13734" s="135"/>
      <c r="F13734" s="136"/>
    </row>
    <row r="13735" spans="1:6" ht="15" customHeight="1" x14ac:dyDescent="0.25">
      <c r="A13735" s="134"/>
      <c r="B13735" s="135"/>
      <c r="C13735" s="135"/>
      <c r="D13735" s="135"/>
      <c r="E13735" s="135"/>
      <c r="F13735" s="136"/>
    </row>
    <row r="13736" spans="1:6" ht="15" customHeight="1" x14ac:dyDescent="0.25">
      <c r="A13736" s="134"/>
      <c r="B13736" s="135"/>
      <c r="C13736" s="135"/>
      <c r="D13736" s="135"/>
      <c r="E13736" s="135"/>
      <c r="F13736" s="135"/>
    </row>
    <row r="13737" spans="1:6" ht="15" customHeight="1" thickBot="1" x14ac:dyDescent="0.3">
      <c r="A13737" s="81"/>
      <c r="B13737" s="81"/>
      <c r="C13737" s="81"/>
      <c r="D13737" s="81"/>
      <c r="E13737" s="81"/>
      <c r="F13737" s="81"/>
    </row>
    <row r="13738" spans="1:6" ht="15" customHeight="1" x14ac:dyDescent="0.25">
      <c r="A13738" s="83"/>
      <c r="B13738" s="84"/>
      <c r="C13738" s="85"/>
      <c r="D13738" s="86"/>
      <c r="E13738" s="86"/>
      <c r="F13738" s="87"/>
    </row>
    <row r="13739" spans="1:6" ht="15" customHeight="1" x14ac:dyDescent="0.25">
      <c r="A13739" s="599"/>
      <c r="B13739" s="600"/>
      <c r="C13739" s="600"/>
      <c r="D13739" s="600"/>
      <c r="E13739" s="600"/>
      <c r="F13739" s="601"/>
    </row>
    <row r="13740" spans="1:6" ht="15" customHeight="1" x14ac:dyDescent="0.25">
      <c r="A13740" s="602" t="s">
        <v>561</v>
      </c>
      <c r="B13740" s="600"/>
      <c r="C13740" s="600"/>
      <c r="D13740" s="600"/>
      <c r="E13740" s="600"/>
      <c r="F13740" s="601"/>
    </row>
    <row r="13741" spans="1:6" ht="15" customHeight="1" thickBot="1" x14ac:dyDescent="0.3">
      <c r="A13741" s="603"/>
      <c r="B13741" s="604"/>
      <c r="C13741" s="604"/>
      <c r="D13741" s="604"/>
      <c r="E13741" s="604"/>
      <c r="F13741" s="605"/>
    </row>
    <row r="13742" spans="1:6" ht="15" customHeight="1" x14ac:dyDescent="0.25">
      <c r="A13742" s="88"/>
      <c r="B13742" s="88"/>
      <c r="C13742" s="89"/>
      <c r="D13742" s="89"/>
      <c r="E13742" s="89"/>
      <c r="F13742" s="89"/>
    </row>
    <row r="13743" spans="1:6" ht="15" customHeight="1" x14ac:dyDescent="0.25">
      <c r="A13743" s="90" t="s">
        <v>47</v>
      </c>
      <c r="B13743" s="613" t="s">
        <v>457</v>
      </c>
      <c r="C13743" s="600"/>
      <c r="D13743" s="600"/>
      <c r="E13743" s="600"/>
      <c r="F13743" s="600"/>
    </row>
    <row r="13744" spans="1:6" ht="15" customHeight="1" x14ac:dyDescent="0.25">
      <c r="A13744" s="91"/>
      <c r="B13744" s="91"/>
      <c r="C13744" s="91"/>
      <c r="D13744" s="91"/>
      <c r="E13744" s="91"/>
      <c r="F13744" s="91"/>
    </row>
    <row r="13745" spans="1:6" ht="15" customHeight="1" x14ac:dyDescent="0.25">
      <c r="A13745" s="88" t="s">
        <v>49</v>
      </c>
      <c r="B13745" s="92" t="s">
        <v>99</v>
      </c>
      <c r="C13745" s="89"/>
      <c r="D13745" s="89"/>
      <c r="E13745" s="89"/>
      <c r="F13745" s="93"/>
    </row>
    <row r="13746" spans="1:6" ht="15" customHeight="1" x14ac:dyDescent="0.25">
      <c r="A13746" s="88"/>
      <c r="B13746" s="94"/>
      <c r="C13746" s="89"/>
      <c r="D13746" s="89"/>
      <c r="E13746" s="89"/>
      <c r="F13746" s="93"/>
    </row>
    <row r="13747" spans="1:6" ht="15" customHeight="1" x14ac:dyDescent="0.25">
      <c r="A13747" s="95" t="s">
        <v>562</v>
      </c>
      <c r="B13747" s="96"/>
      <c r="C13747" s="92"/>
      <c r="D13747" s="92"/>
      <c r="E13747" s="92"/>
      <c r="F13747" s="92"/>
    </row>
    <row r="13748" spans="1:6" ht="15" customHeight="1" x14ac:dyDescent="0.25">
      <c r="A13748" s="97" t="s">
        <v>563</v>
      </c>
      <c r="B13748" s="98" t="s">
        <v>564</v>
      </c>
      <c r="C13748" s="98" t="s">
        <v>565</v>
      </c>
      <c r="D13748" s="98" t="s">
        <v>566</v>
      </c>
      <c r="E13748" s="98" t="s">
        <v>567</v>
      </c>
      <c r="F13748" s="98" t="s">
        <v>568</v>
      </c>
    </row>
    <row r="13749" spans="1:6" ht="15" customHeight="1" x14ac:dyDescent="0.25">
      <c r="A13749" s="99" t="s">
        <v>892</v>
      </c>
      <c r="B13749" s="100" t="s">
        <v>99</v>
      </c>
      <c r="C13749" s="101">
        <v>391384</v>
      </c>
      <c r="D13749" s="149">
        <v>1</v>
      </c>
      <c r="E13749" s="102"/>
      <c r="F13749" s="101">
        <f t="shared" ref="F13749:F13752" si="674">C13749*(D13749+(D13749*E13749))</f>
        <v>391384</v>
      </c>
    </row>
    <row r="13750" spans="1:6" ht="15" customHeight="1" x14ac:dyDescent="0.25">
      <c r="A13750" s="99"/>
      <c r="B13750" s="100"/>
      <c r="C13750" s="101"/>
      <c r="D13750" s="149"/>
      <c r="E13750" s="102"/>
      <c r="F13750" s="101">
        <f t="shared" si="674"/>
        <v>0</v>
      </c>
    </row>
    <row r="13751" spans="1:6" ht="15" customHeight="1" x14ac:dyDescent="0.25">
      <c r="A13751" s="99"/>
      <c r="B13751" s="100"/>
      <c r="C13751" s="101"/>
      <c r="D13751" s="149"/>
      <c r="E13751" s="102"/>
      <c r="F13751" s="101">
        <f t="shared" si="674"/>
        <v>0</v>
      </c>
    </row>
    <row r="13752" spans="1:6" ht="15" customHeight="1" x14ac:dyDescent="0.25">
      <c r="A13752" s="99"/>
      <c r="B13752" s="100"/>
      <c r="C13752" s="101"/>
      <c r="D13752" s="149"/>
      <c r="E13752" s="102"/>
      <c r="F13752" s="101">
        <f t="shared" si="674"/>
        <v>0</v>
      </c>
    </row>
    <row r="13753" spans="1:6" ht="15" customHeight="1" x14ac:dyDescent="0.25">
      <c r="A13753" s="99"/>
      <c r="B13753" s="100"/>
      <c r="C13753" s="101"/>
      <c r="D13753" s="149"/>
      <c r="E13753" s="102"/>
      <c r="F13753" s="101"/>
    </row>
    <row r="13754" spans="1:6" ht="15" customHeight="1" x14ac:dyDescent="0.25">
      <c r="A13754" s="99"/>
      <c r="B13754" s="100"/>
      <c r="C13754" s="101"/>
      <c r="D13754" s="149"/>
      <c r="E13754" s="102"/>
      <c r="F13754" s="101"/>
    </row>
    <row r="13755" spans="1:6" ht="15" customHeight="1" x14ac:dyDescent="0.25">
      <c r="A13755" s="99"/>
      <c r="B13755" s="100"/>
      <c r="C13755" s="101"/>
      <c r="D13755" s="149"/>
      <c r="E13755" s="102"/>
      <c r="F13755" s="101"/>
    </row>
    <row r="13756" spans="1:6" ht="15" customHeight="1" x14ac:dyDescent="0.25">
      <c r="A13756" s="99"/>
      <c r="B13756" s="100"/>
      <c r="C13756" s="106"/>
      <c r="D13756" s="107"/>
      <c r="E13756" s="108"/>
      <c r="F13756" s="106"/>
    </row>
    <row r="13757" spans="1:6" ht="15" customHeight="1" x14ac:dyDescent="0.25">
      <c r="A13757" s="97" t="s">
        <v>548</v>
      </c>
      <c r="B13757" s="97"/>
      <c r="C13757" s="109"/>
      <c r="D13757" s="110"/>
      <c r="E13757" s="111"/>
      <c r="F13757" s="112">
        <f>SUM(F13749:F13756)</f>
        <v>391384</v>
      </c>
    </row>
    <row r="13758" spans="1:6" ht="15" customHeight="1" x14ac:dyDescent="0.25">
      <c r="A13758" s="88"/>
      <c r="B13758" s="88"/>
      <c r="C13758" s="113"/>
      <c r="D13758" s="113"/>
      <c r="E13758" s="114"/>
      <c r="F13758" s="113"/>
    </row>
    <row r="13759" spans="1:6" ht="15" customHeight="1" x14ac:dyDescent="0.25">
      <c r="A13759" s="96" t="s">
        <v>573</v>
      </c>
      <c r="B13759" s="96"/>
      <c r="C13759" s="92"/>
      <c r="D13759" s="92"/>
      <c r="E13759" s="92"/>
      <c r="F13759" s="92"/>
    </row>
    <row r="13760" spans="1:6" ht="15" customHeight="1" x14ac:dyDescent="0.25">
      <c r="A13760" s="611" t="s">
        <v>563</v>
      </c>
      <c r="B13760" s="608"/>
      <c r="C13760" s="609"/>
      <c r="D13760" s="98" t="s">
        <v>574</v>
      </c>
      <c r="E13760" s="98" t="s">
        <v>575</v>
      </c>
      <c r="F13760" s="98" t="s">
        <v>568</v>
      </c>
    </row>
    <row r="13761" spans="1:6" ht="15" customHeight="1" x14ac:dyDescent="0.25">
      <c r="A13761" s="607" t="s">
        <v>577</v>
      </c>
      <c r="B13761" s="608"/>
      <c r="C13761" s="609"/>
      <c r="D13761" s="116"/>
      <c r="E13761" s="107"/>
      <c r="F13761" s="106">
        <f>+F13778*5%</f>
        <v>2062.8783779935643</v>
      </c>
    </row>
    <row r="13762" spans="1:6" ht="15" customHeight="1" x14ac:dyDescent="0.25">
      <c r="A13762" s="607"/>
      <c r="B13762" s="608"/>
      <c r="C13762" s="609"/>
      <c r="D13762" s="142"/>
      <c r="E13762" s="105"/>
      <c r="F13762" s="106"/>
    </row>
    <row r="13763" spans="1:6" ht="15" customHeight="1" x14ac:dyDescent="0.25">
      <c r="A13763" s="607"/>
      <c r="B13763" s="608"/>
      <c r="C13763" s="609"/>
      <c r="D13763" s="142"/>
      <c r="E13763" s="105"/>
      <c r="F13763" s="106"/>
    </row>
    <row r="13764" spans="1:6" ht="15" customHeight="1" x14ac:dyDescent="0.25">
      <c r="A13764" s="607"/>
      <c r="B13764" s="608"/>
      <c r="C13764" s="609"/>
      <c r="D13764" s="142"/>
      <c r="E13764" s="107"/>
      <c r="F13764" s="106"/>
    </row>
    <row r="13765" spans="1:6" ht="15" customHeight="1" x14ac:dyDescent="0.25">
      <c r="A13765" s="607"/>
      <c r="B13765" s="608"/>
      <c r="C13765" s="609"/>
      <c r="D13765" s="142"/>
      <c r="E13765" s="107"/>
      <c r="F13765" s="106"/>
    </row>
    <row r="13766" spans="1:6" ht="15" customHeight="1" x14ac:dyDescent="0.25">
      <c r="A13766" s="607"/>
      <c r="B13766" s="608"/>
      <c r="C13766" s="609"/>
      <c r="D13766" s="142"/>
      <c r="E13766" s="107"/>
      <c r="F13766" s="106"/>
    </row>
    <row r="13767" spans="1:6" ht="15" customHeight="1" x14ac:dyDescent="0.25">
      <c r="A13767" s="607"/>
      <c r="B13767" s="608"/>
      <c r="C13767" s="609"/>
      <c r="D13767" s="142"/>
      <c r="E13767" s="107"/>
      <c r="F13767" s="106"/>
    </row>
    <row r="13768" spans="1:6" ht="15" customHeight="1" x14ac:dyDescent="0.25">
      <c r="A13768" s="607"/>
      <c r="B13768" s="608"/>
      <c r="C13768" s="609"/>
      <c r="D13768" s="142"/>
      <c r="E13768" s="107"/>
      <c r="F13768" s="106"/>
    </row>
    <row r="13769" spans="1:6" ht="15" customHeight="1" x14ac:dyDescent="0.25">
      <c r="A13769" s="610"/>
      <c r="B13769" s="608"/>
      <c r="C13769" s="609"/>
      <c r="D13769" s="115"/>
      <c r="E13769" s="107"/>
      <c r="F13769" s="106"/>
    </row>
    <row r="13770" spans="1:6" ht="15" customHeight="1" x14ac:dyDescent="0.25">
      <c r="A13770" s="611" t="s">
        <v>548</v>
      </c>
      <c r="B13770" s="608"/>
      <c r="C13770" s="609"/>
      <c r="D13770" s="110"/>
      <c r="E13770" s="110"/>
      <c r="F13770" s="112">
        <f>SUM(F13761:F13768)</f>
        <v>2062.8783779935643</v>
      </c>
    </row>
    <row r="13771" spans="1:6" ht="15" customHeight="1" x14ac:dyDescent="0.25">
      <c r="A13771" s="88"/>
      <c r="B13771" s="88"/>
      <c r="C13771" s="89"/>
      <c r="D13771" s="113"/>
      <c r="E13771" s="113"/>
      <c r="F13771" s="113"/>
    </row>
    <row r="13772" spans="1:6" ht="15" customHeight="1" x14ac:dyDescent="0.25">
      <c r="A13772" s="96" t="s">
        <v>578</v>
      </c>
      <c r="B13772" s="96"/>
      <c r="C13772" s="92"/>
      <c r="D13772" s="118"/>
      <c r="E13772" s="118"/>
      <c r="F13772" s="118"/>
    </row>
    <row r="13773" spans="1:6" ht="15" customHeight="1" x14ac:dyDescent="0.25">
      <c r="A13773" s="119" t="s">
        <v>563</v>
      </c>
      <c r="B13773" s="120" t="s">
        <v>579</v>
      </c>
      <c r="C13773" s="120" t="s">
        <v>580</v>
      </c>
      <c r="D13773" s="121" t="s">
        <v>581</v>
      </c>
      <c r="E13773" s="121" t="s">
        <v>575</v>
      </c>
      <c r="F13773" s="121" t="s">
        <v>568</v>
      </c>
    </row>
    <row r="13774" spans="1:6" ht="15" customHeight="1" x14ac:dyDescent="0.25">
      <c r="A13774" s="122" t="s">
        <v>593</v>
      </c>
      <c r="B13774" s="127">
        <v>1</v>
      </c>
      <c r="C13774" s="101">
        <v>32688</v>
      </c>
      <c r="D13774" s="101">
        <f t="shared" ref="D13774:D13775" si="675">+C13774*1.7</f>
        <v>55569.599999999999</v>
      </c>
      <c r="E13774" s="107">
        <v>3.5116999999999998</v>
      </c>
      <c r="F13774" s="106">
        <f t="shared" ref="F13774:F13775" si="676">+B13774*(D13774)/E13774</f>
        <v>15824.130762878378</v>
      </c>
    </row>
    <row r="13775" spans="1:6" ht="15" customHeight="1" x14ac:dyDescent="0.25">
      <c r="A13775" s="122" t="s">
        <v>594</v>
      </c>
      <c r="B13775" s="127">
        <v>1</v>
      </c>
      <c r="C13775" s="101">
        <v>52538</v>
      </c>
      <c r="D13775" s="101">
        <f t="shared" si="675"/>
        <v>89314.599999999991</v>
      </c>
      <c r="E13775" s="107">
        <f>E13774</f>
        <v>3.5116999999999998</v>
      </c>
      <c r="F13775" s="106">
        <f t="shared" si="676"/>
        <v>25433.436796992908</v>
      </c>
    </row>
    <row r="13776" spans="1:6" ht="15" customHeight="1" x14ac:dyDescent="0.25">
      <c r="A13776" s="122"/>
      <c r="B13776" s="127"/>
      <c r="C13776" s="101"/>
      <c r="D13776" s="101"/>
      <c r="E13776" s="105"/>
      <c r="F13776" s="106"/>
    </row>
    <row r="13777" spans="1:6" ht="15" customHeight="1" x14ac:dyDescent="0.25">
      <c r="A13777" s="122"/>
      <c r="B13777" s="127"/>
      <c r="C13777" s="101"/>
      <c r="D13777" s="101"/>
      <c r="E13777" s="125"/>
      <c r="F13777" s="106"/>
    </row>
    <row r="13778" spans="1:6" ht="15" customHeight="1" x14ac:dyDescent="0.25">
      <c r="A13778" s="97" t="s">
        <v>548</v>
      </c>
      <c r="B13778" s="128"/>
      <c r="C13778" s="110"/>
      <c r="D13778" s="110"/>
      <c r="E13778" s="110"/>
      <c r="F13778" s="112">
        <f>SUM(F13774:F13777)</f>
        <v>41257.567559871284</v>
      </c>
    </row>
    <row r="13779" spans="1:6" ht="15" customHeight="1" x14ac:dyDescent="0.25">
      <c r="A13779" s="96"/>
      <c r="B13779" s="129"/>
      <c r="C13779" s="118"/>
      <c r="D13779" s="118"/>
      <c r="E13779" s="118"/>
      <c r="F13779" s="118"/>
    </row>
    <row r="13780" spans="1:6" ht="15" customHeight="1" x14ac:dyDescent="0.25">
      <c r="A13780" s="95" t="s">
        <v>583</v>
      </c>
      <c r="B13780" s="96"/>
      <c r="C13780" s="92"/>
      <c r="D13780" s="92"/>
      <c r="E13780" s="92" t="s">
        <v>584</v>
      </c>
      <c r="F13780" s="92"/>
    </row>
    <row r="13781" spans="1:6" ht="15" customHeight="1" x14ac:dyDescent="0.25">
      <c r="A13781" s="97" t="s">
        <v>563</v>
      </c>
      <c r="B13781" s="98" t="s">
        <v>564</v>
      </c>
      <c r="C13781" s="98" t="s">
        <v>585</v>
      </c>
      <c r="D13781" s="98" t="s">
        <v>586</v>
      </c>
      <c r="E13781" s="120" t="s">
        <v>587</v>
      </c>
      <c r="F13781" s="98" t="s">
        <v>568</v>
      </c>
    </row>
    <row r="13782" spans="1:6" ht="15" customHeight="1" x14ac:dyDescent="0.25">
      <c r="A13782" s="103"/>
      <c r="B13782" s="100"/>
      <c r="C13782" s="101"/>
      <c r="D13782" s="140"/>
      <c r="E13782" s="107"/>
      <c r="F13782" s="109"/>
    </row>
    <row r="13783" spans="1:6" ht="15" customHeight="1" x14ac:dyDescent="0.25">
      <c r="A13783" s="103"/>
      <c r="B13783" s="100"/>
      <c r="C13783" s="107"/>
      <c r="D13783" s="107"/>
      <c r="E13783" s="108"/>
      <c r="F13783" s="109"/>
    </row>
    <row r="13784" spans="1:6" ht="15" customHeight="1" x14ac:dyDescent="0.25">
      <c r="A13784" s="97" t="s">
        <v>548</v>
      </c>
      <c r="B13784" s="98"/>
      <c r="C13784" s="110"/>
      <c r="D13784" s="110"/>
      <c r="E13784" s="111"/>
      <c r="F13784" s="112">
        <f>SUM(F13782:F13783)</f>
        <v>0</v>
      </c>
    </row>
    <row r="13785" spans="1:6" ht="15" customHeight="1" x14ac:dyDescent="0.25">
      <c r="A13785" s="88"/>
      <c r="B13785" s="89"/>
      <c r="C13785" s="113"/>
      <c r="D13785" s="113"/>
      <c r="E13785" s="114"/>
      <c r="F13785" s="113"/>
    </row>
    <row r="13786" spans="1:6" ht="15" customHeight="1" x14ac:dyDescent="0.25">
      <c r="A13786" s="88"/>
      <c r="B13786" s="89"/>
      <c r="C13786" s="113"/>
      <c r="D13786" s="113"/>
      <c r="E13786" s="114"/>
      <c r="F13786" s="113"/>
    </row>
    <row r="13787" spans="1:6" ht="15" customHeight="1" x14ac:dyDescent="0.25">
      <c r="A13787" s="612" t="s">
        <v>588</v>
      </c>
      <c r="B13787" s="608"/>
      <c r="C13787" s="608"/>
      <c r="D13787" s="608"/>
      <c r="E13787" s="609"/>
      <c r="F13787" s="131">
        <f>ROUND(F13757+F13770+F13778+F13784,0)</f>
        <v>434704</v>
      </c>
    </row>
    <row r="13788" spans="1:6" ht="15" customHeight="1" x14ac:dyDescent="0.25">
      <c r="A13788" s="612" t="s">
        <v>589</v>
      </c>
      <c r="B13788" s="608"/>
      <c r="C13788" s="608"/>
      <c r="D13788" s="608"/>
      <c r="E13788" s="609"/>
      <c r="F13788" s="132"/>
    </row>
    <row r="13789" spans="1:6" ht="15" customHeight="1" x14ac:dyDescent="0.25">
      <c r="A13789" s="146" t="s">
        <v>556</v>
      </c>
      <c r="B13789" s="147"/>
      <c r="C13789" s="147"/>
      <c r="D13789" s="147"/>
      <c r="E13789" s="148"/>
      <c r="F13789" s="133"/>
    </row>
    <row r="13790" spans="1:6" ht="15" customHeight="1" x14ac:dyDescent="0.25">
      <c r="A13790" s="134"/>
      <c r="B13790" s="135"/>
      <c r="C13790" s="135"/>
      <c r="D13790" s="135"/>
      <c r="E13790" s="135"/>
      <c r="F13790" s="136"/>
    </row>
    <row r="13791" spans="1:6" ht="15" customHeight="1" x14ac:dyDescent="0.25">
      <c r="A13791" s="81"/>
      <c r="B13791" s="81"/>
      <c r="C13791" s="137"/>
      <c r="D13791" s="81"/>
      <c r="E13791" s="81"/>
      <c r="F13791" s="81"/>
    </row>
    <row r="13792" spans="1:6" ht="15" customHeight="1" x14ac:dyDescent="0.25">
      <c r="A13792" s="81"/>
      <c r="B13792" s="81"/>
      <c r="C13792" s="137"/>
      <c r="D13792" s="81"/>
      <c r="E13792" s="81"/>
      <c r="F13792" s="81"/>
    </row>
    <row r="13793" spans="1:6" ht="15" customHeight="1" x14ac:dyDescent="0.25">
      <c r="A13793" s="81"/>
      <c r="B13793" s="81"/>
      <c r="C13793" s="137"/>
      <c r="D13793" s="81"/>
      <c r="E13793" s="81"/>
      <c r="F13793" s="81"/>
    </row>
    <row r="13794" spans="1:6" ht="15" customHeight="1" x14ac:dyDescent="0.25">
      <c r="A13794" s="81"/>
      <c r="B13794" s="81"/>
      <c r="C13794" s="137"/>
      <c r="D13794" s="81"/>
      <c r="E13794" s="81"/>
      <c r="F13794" s="81"/>
    </row>
    <row r="13795" spans="1:6" ht="15" customHeight="1" x14ac:dyDescent="0.25">
      <c r="A13795" s="134"/>
      <c r="B13795" s="135"/>
      <c r="C13795" s="135"/>
      <c r="D13795" s="135"/>
      <c r="E13795" s="135"/>
      <c r="F13795" s="136"/>
    </row>
    <row r="13796" spans="1:6" ht="15" customHeight="1" x14ac:dyDescent="0.25">
      <c r="A13796" s="134"/>
      <c r="B13796" s="135"/>
      <c r="C13796" s="135"/>
      <c r="D13796" s="135"/>
      <c r="E13796" s="135"/>
      <c r="F13796" s="136"/>
    </row>
    <row r="13797" spans="1:6" ht="15" customHeight="1" x14ac:dyDescent="0.25">
      <c r="A13797" s="134"/>
      <c r="B13797" s="135"/>
      <c r="C13797" s="135"/>
      <c r="D13797" s="135"/>
      <c r="E13797" s="135"/>
      <c r="F13797" s="135"/>
    </row>
    <row r="13798" spans="1:6" ht="15" customHeight="1" thickBot="1" x14ac:dyDescent="0.3">
      <c r="A13798" s="81"/>
      <c r="B13798" s="81"/>
      <c r="C13798" s="81"/>
      <c r="D13798" s="81"/>
      <c r="E13798" s="81"/>
      <c r="F13798" s="81"/>
    </row>
    <row r="13799" spans="1:6" ht="15" customHeight="1" x14ac:dyDescent="0.25">
      <c r="A13799" s="83"/>
      <c r="B13799" s="84"/>
      <c r="C13799" s="85"/>
      <c r="D13799" s="86"/>
      <c r="E13799" s="86"/>
      <c r="F13799" s="87"/>
    </row>
    <row r="13800" spans="1:6" ht="15" customHeight="1" x14ac:dyDescent="0.25">
      <c r="A13800" s="599"/>
      <c r="B13800" s="600"/>
      <c r="C13800" s="600"/>
      <c r="D13800" s="600"/>
      <c r="E13800" s="600"/>
      <c r="F13800" s="601"/>
    </row>
    <row r="13801" spans="1:6" ht="15" customHeight="1" x14ac:dyDescent="0.25">
      <c r="A13801" s="602" t="s">
        <v>561</v>
      </c>
      <c r="B13801" s="600"/>
      <c r="C13801" s="600"/>
      <c r="D13801" s="600"/>
      <c r="E13801" s="600"/>
      <c r="F13801" s="601"/>
    </row>
    <row r="13802" spans="1:6" ht="15" customHeight="1" thickBot="1" x14ac:dyDescent="0.3">
      <c r="A13802" s="603"/>
      <c r="B13802" s="604"/>
      <c r="C13802" s="604"/>
      <c r="D13802" s="604"/>
      <c r="E13802" s="604"/>
      <c r="F13802" s="605"/>
    </row>
    <row r="13803" spans="1:6" ht="15" customHeight="1" x14ac:dyDescent="0.25">
      <c r="A13803" s="88"/>
      <c r="B13803" s="88"/>
      <c r="C13803" s="89"/>
      <c r="D13803" s="89"/>
      <c r="E13803" s="89"/>
      <c r="F13803" s="89"/>
    </row>
    <row r="13804" spans="1:6" ht="15" customHeight="1" x14ac:dyDescent="0.25">
      <c r="A13804" s="90" t="s">
        <v>47</v>
      </c>
      <c r="B13804" s="613" t="s">
        <v>459</v>
      </c>
      <c r="C13804" s="600"/>
      <c r="D13804" s="600"/>
      <c r="E13804" s="600"/>
      <c r="F13804" s="600"/>
    </row>
    <row r="13805" spans="1:6" ht="15" customHeight="1" x14ac:dyDescent="0.25">
      <c r="A13805" s="91"/>
      <c r="B13805" s="91"/>
      <c r="C13805" s="91"/>
      <c r="D13805" s="91"/>
      <c r="E13805" s="91"/>
      <c r="F13805" s="91"/>
    </row>
    <row r="13806" spans="1:6" ht="15" customHeight="1" x14ac:dyDescent="0.25">
      <c r="A13806" s="88" t="s">
        <v>49</v>
      </c>
      <c r="B13806" s="92" t="s">
        <v>99</v>
      </c>
      <c r="C13806" s="89"/>
      <c r="D13806" s="89"/>
      <c r="E13806" s="89"/>
      <c r="F13806" s="93"/>
    </row>
    <row r="13807" spans="1:6" ht="15" customHeight="1" x14ac:dyDescent="0.25">
      <c r="A13807" s="88"/>
      <c r="B13807" s="94"/>
      <c r="C13807" s="89"/>
      <c r="D13807" s="89"/>
      <c r="E13807" s="89"/>
      <c r="F13807" s="93"/>
    </row>
    <row r="13808" spans="1:6" ht="15" customHeight="1" x14ac:dyDescent="0.25">
      <c r="A13808" s="95" t="s">
        <v>562</v>
      </c>
      <c r="B13808" s="96"/>
      <c r="C13808" s="92"/>
      <c r="D13808" s="92"/>
      <c r="E13808" s="92"/>
      <c r="F13808" s="92"/>
    </row>
    <row r="13809" spans="1:6" ht="15" customHeight="1" x14ac:dyDescent="0.25">
      <c r="A13809" s="97" t="s">
        <v>563</v>
      </c>
      <c r="B13809" s="98" t="s">
        <v>564</v>
      </c>
      <c r="C13809" s="98" t="s">
        <v>565</v>
      </c>
      <c r="D13809" s="98" t="s">
        <v>566</v>
      </c>
      <c r="E13809" s="98" t="s">
        <v>567</v>
      </c>
      <c r="F13809" s="98" t="s">
        <v>568</v>
      </c>
    </row>
    <row r="13810" spans="1:6" ht="15" customHeight="1" x14ac:dyDescent="0.25">
      <c r="A13810" s="99" t="s">
        <v>893</v>
      </c>
      <c r="B13810" s="100" t="s">
        <v>99</v>
      </c>
      <c r="C13810" s="101">
        <v>6955000</v>
      </c>
      <c r="D13810" s="149">
        <v>1</v>
      </c>
      <c r="E13810" s="102"/>
      <c r="F13810" s="101">
        <f t="shared" ref="F13810:F13813" si="677">C13810*(D13810+(D13810*E13810))</f>
        <v>6955000</v>
      </c>
    </row>
    <row r="13811" spans="1:6" ht="15" customHeight="1" x14ac:dyDescent="0.25">
      <c r="A13811" s="99"/>
      <c r="B13811" s="100"/>
      <c r="C13811" s="101"/>
      <c r="D13811" s="149"/>
      <c r="E13811" s="102"/>
      <c r="F13811" s="101">
        <f t="shared" si="677"/>
        <v>0</v>
      </c>
    </row>
    <row r="13812" spans="1:6" ht="15" customHeight="1" x14ac:dyDescent="0.25">
      <c r="A13812" s="99"/>
      <c r="B13812" s="100"/>
      <c r="C13812" s="101"/>
      <c r="D13812" s="149"/>
      <c r="E13812" s="102"/>
      <c r="F13812" s="101">
        <f t="shared" si="677"/>
        <v>0</v>
      </c>
    </row>
    <row r="13813" spans="1:6" ht="15" customHeight="1" x14ac:dyDescent="0.25">
      <c r="A13813" s="99"/>
      <c r="B13813" s="100"/>
      <c r="C13813" s="101"/>
      <c r="D13813" s="149"/>
      <c r="E13813" s="102"/>
      <c r="F13813" s="101">
        <f t="shared" si="677"/>
        <v>0</v>
      </c>
    </row>
    <row r="13814" spans="1:6" ht="15" customHeight="1" x14ac:dyDescent="0.25">
      <c r="A13814" s="99"/>
      <c r="B13814" s="100"/>
      <c r="C13814" s="101"/>
      <c r="D13814" s="149"/>
      <c r="E13814" s="102"/>
      <c r="F13814" s="101"/>
    </row>
    <row r="13815" spans="1:6" ht="15" customHeight="1" x14ac:dyDescent="0.25">
      <c r="A13815" s="99"/>
      <c r="B13815" s="100"/>
      <c r="C13815" s="101"/>
      <c r="D13815" s="149"/>
      <c r="E13815" s="102"/>
      <c r="F13815" s="101"/>
    </row>
    <row r="13816" spans="1:6" ht="15" customHeight="1" x14ac:dyDescent="0.25">
      <c r="A13816" s="99"/>
      <c r="B13816" s="100"/>
      <c r="C13816" s="101"/>
      <c r="D13816" s="149"/>
      <c r="E13816" s="102"/>
      <c r="F13816" s="101"/>
    </row>
    <row r="13817" spans="1:6" ht="15" customHeight="1" x14ac:dyDescent="0.25">
      <c r="A13817" s="99"/>
      <c r="B13817" s="100"/>
      <c r="C13817" s="106"/>
      <c r="D13817" s="107"/>
      <c r="E13817" s="108"/>
      <c r="F13817" s="106"/>
    </row>
    <row r="13818" spans="1:6" ht="15" customHeight="1" x14ac:dyDescent="0.25">
      <c r="A13818" s="97" t="s">
        <v>548</v>
      </c>
      <c r="B13818" s="97"/>
      <c r="C13818" s="109"/>
      <c r="D13818" s="110"/>
      <c r="E13818" s="111"/>
      <c r="F13818" s="112">
        <f>SUM(F13810:F13817)</f>
        <v>6955000</v>
      </c>
    </row>
    <row r="13819" spans="1:6" ht="15" customHeight="1" x14ac:dyDescent="0.25">
      <c r="A13819" s="88"/>
      <c r="B13819" s="88"/>
      <c r="C13819" s="113"/>
      <c r="D13819" s="113"/>
      <c r="E13819" s="114"/>
      <c r="F13819" s="113"/>
    </row>
    <row r="13820" spans="1:6" ht="15" customHeight="1" x14ac:dyDescent="0.25">
      <c r="A13820" s="96" t="s">
        <v>573</v>
      </c>
      <c r="B13820" s="96"/>
      <c r="C13820" s="92"/>
      <c r="D13820" s="92"/>
      <c r="E13820" s="92"/>
      <c r="F13820" s="92"/>
    </row>
    <row r="13821" spans="1:6" ht="15" customHeight="1" x14ac:dyDescent="0.25">
      <c r="A13821" s="611" t="s">
        <v>563</v>
      </c>
      <c r="B13821" s="608"/>
      <c r="C13821" s="609"/>
      <c r="D13821" s="98" t="s">
        <v>574</v>
      </c>
      <c r="E13821" s="98" t="s">
        <v>575</v>
      </c>
      <c r="F13821" s="98" t="s">
        <v>568</v>
      </c>
    </row>
    <row r="13822" spans="1:6" ht="15" customHeight="1" x14ac:dyDescent="0.25">
      <c r="A13822" s="607" t="s">
        <v>577</v>
      </c>
      <c r="B13822" s="608"/>
      <c r="C13822" s="609"/>
      <c r="D13822" s="116"/>
      <c r="E13822" s="107"/>
      <c r="F13822" s="106">
        <f>+F13839*5%</f>
        <v>36152.360515021457</v>
      </c>
    </row>
    <row r="13823" spans="1:6" ht="15" customHeight="1" x14ac:dyDescent="0.25">
      <c r="A13823" s="607"/>
      <c r="B13823" s="608"/>
      <c r="C13823" s="609"/>
      <c r="D13823" s="142"/>
      <c r="E13823" s="105"/>
      <c r="F13823" s="106"/>
    </row>
    <row r="13824" spans="1:6" ht="15" customHeight="1" x14ac:dyDescent="0.25">
      <c r="A13824" s="607"/>
      <c r="B13824" s="608"/>
      <c r="C13824" s="609"/>
      <c r="D13824" s="142"/>
      <c r="E13824" s="105"/>
      <c r="F13824" s="106"/>
    </row>
    <row r="13825" spans="1:6" ht="15" customHeight="1" x14ac:dyDescent="0.25">
      <c r="A13825" s="607"/>
      <c r="B13825" s="608"/>
      <c r="C13825" s="609"/>
      <c r="D13825" s="142"/>
      <c r="E13825" s="107"/>
      <c r="F13825" s="106"/>
    </row>
    <row r="13826" spans="1:6" ht="15" customHeight="1" x14ac:dyDescent="0.25">
      <c r="A13826" s="607"/>
      <c r="B13826" s="608"/>
      <c r="C13826" s="609"/>
      <c r="D13826" s="142"/>
      <c r="E13826" s="107"/>
      <c r="F13826" s="106"/>
    </row>
    <row r="13827" spans="1:6" ht="15" customHeight="1" x14ac:dyDescent="0.25">
      <c r="A13827" s="607"/>
      <c r="B13827" s="608"/>
      <c r="C13827" s="609"/>
      <c r="D13827" s="142"/>
      <c r="E13827" s="107"/>
      <c r="F13827" s="106"/>
    </row>
    <row r="13828" spans="1:6" ht="15" customHeight="1" x14ac:dyDescent="0.25">
      <c r="A13828" s="607"/>
      <c r="B13828" s="608"/>
      <c r="C13828" s="609"/>
      <c r="D13828" s="142"/>
      <c r="E13828" s="107"/>
      <c r="F13828" s="106"/>
    </row>
    <row r="13829" spans="1:6" ht="15" customHeight="1" x14ac:dyDescent="0.25">
      <c r="A13829" s="607"/>
      <c r="B13829" s="608"/>
      <c r="C13829" s="609"/>
      <c r="D13829" s="142"/>
      <c r="E13829" s="107"/>
      <c r="F13829" s="106"/>
    </row>
    <row r="13830" spans="1:6" ht="15" customHeight="1" x14ac:dyDescent="0.25">
      <c r="A13830" s="610"/>
      <c r="B13830" s="608"/>
      <c r="C13830" s="609"/>
      <c r="D13830" s="115"/>
      <c r="E13830" s="107"/>
      <c r="F13830" s="106"/>
    </row>
    <row r="13831" spans="1:6" ht="15" customHeight="1" x14ac:dyDescent="0.25">
      <c r="A13831" s="611" t="s">
        <v>548</v>
      </c>
      <c r="B13831" s="608"/>
      <c r="C13831" s="609"/>
      <c r="D13831" s="110"/>
      <c r="E13831" s="110"/>
      <c r="F13831" s="112">
        <f>SUM(F13822:F13829)</f>
        <v>36152.360515021457</v>
      </c>
    </row>
    <row r="13832" spans="1:6" ht="15" customHeight="1" x14ac:dyDescent="0.25">
      <c r="A13832" s="88"/>
      <c r="B13832" s="88"/>
      <c r="C13832" s="89"/>
      <c r="D13832" s="113"/>
      <c r="E13832" s="113"/>
      <c r="F13832" s="113"/>
    </row>
    <row r="13833" spans="1:6" ht="15" customHeight="1" x14ac:dyDescent="0.25">
      <c r="A13833" s="96" t="s">
        <v>578</v>
      </c>
      <c r="B13833" s="96"/>
      <c r="C13833" s="92"/>
      <c r="D13833" s="118"/>
      <c r="E13833" s="118"/>
      <c r="F13833" s="118"/>
    </row>
    <row r="13834" spans="1:6" ht="15" customHeight="1" x14ac:dyDescent="0.25">
      <c r="A13834" s="119" t="s">
        <v>563</v>
      </c>
      <c r="B13834" s="120" t="s">
        <v>579</v>
      </c>
      <c r="C13834" s="120" t="s">
        <v>580</v>
      </c>
      <c r="D13834" s="121" t="s">
        <v>581</v>
      </c>
      <c r="E13834" s="121" t="s">
        <v>575</v>
      </c>
      <c r="F13834" s="121" t="s">
        <v>568</v>
      </c>
    </row>
    <row r="13835" spans="1:6" ht="15" customHeight="1" x14ac:dyDescent="0.25">
      <c r="A13835" s="122" t="s">
        <v>593</v>
      </c>
      <c r="B13835" s="127">
        <v>1</v>
      </c>
      <c r="C13835" s="101">
        <v>32688</v>
      </c>
      <c r="D13835" s="101">
        <f t="shared" ref="D13835:D13836" si="678">+C13835*1.7</f>
        <v>55569.599999999999</v>
      </c>
      <c r="E13835" s="107">
        <v>0.20038</v>
      </c>
      <c r="F13835" s="106">
        <f t="shared" ref="F13835:F13836" si="679">+B13835*(D13835)/E13835</f>
        <v>277321.08992913464</v>
      </c>
    </row>
    <row r="13836" spans="1:6" ht="15" customHeight="1" x14ac:dyDescent="0.25">
      <c r="A13836" s="122" t="s">
        <v>594</v>
      </c>
      <c r="B13836" s="127">
        <v>1</v>
      </c>
      <c r="C13836" s="101">
        <v>52538</v>
      </c>
      <c r="D13836" s="101">
        <f t="shared" si="678"/>
        <v>89314.599999999991</v>
      </c>
      <c r="E13836" s="107">
        <f>E13835</f>
        <v>0.20038</v>
      </c>
      <c r="F13836" s="106">
        <f t="shared" si="679"/>
        <v>445726.1203712945</v>
      </c>
    </row>
    <row r="13837" spans="1:6" ht="15" customHeight="1" x14ac:dyDescent="0.25">
      <c r="A13837" s="122"/>
      <c r="B13837" s="127"/>
      <c r="C13837" s="101"/>
      <c r="D13837" s="101"/>
      <c r="E13837" s="105"/>
      <c r="F13837" s="106"/>
    </row>
    <row r="13838" spans="1:6" ht="15" customHeight="1" x14ac:dyDescent="0.25">
      <c r="A13838" s="122"/>
      <c r="B13838" s="127"/>
      <c r="C13838" s="101"/>
      <c r="D13838" s="101"/>
      <c r="E13838" s="125"/>
      <c r="F13838" s="106"/>
    </row>
    <row r="13839" spans="1:6" ht="15" customHeight="1" x14ac:dyDescent="0.25">
      <c r="A13839" s="97" t="s">
        <v>548</v>
      </c>
      <c r="B13839" s="128"/>
      <c r="C13839" s="110"/>
      <c r="D13839" s="110"/>
      <c r="E13839" s="110"/>
      <c r="F13839" s="112">
        <f>SUM(F13835:F13838)</f>
        <v>723047.21030042914</v>
      </c>
    </row>
    <row r="13840" spans="1:6" ht="15" customHeight="1" x14ac:dyDescent="0.25">
      <c r="A13840" s="96"/>
      <c r="B13840" s="129"/>
      <c r="C13840" s="118"/>
      <c r="D13840" s="118"/>
      <c r="E13840" s="118"/>
      <c r="F13840" s="118"/>
    </row>
    <row r="13841" spans="1:6" ht="15" customHeight="1" x14ac:dyDescent="0.25">
      <c r="A13841" s="95" t="s">
        <v>583</v>
      </c>
      <c r="B13841" s="96"/>
      <c r="C13841" s="92"/>
      <c r="D13841" s="92"/>
      <c r="E13841" s="92" t="s">
        <v>584</v>
      </c>
      <c r="F13841" s="92"/>
    </row>
    <row r="13842" spans="1:6" ht="15" customHeight="1" x14ac:dyDescent="0.25">
      <c r="A13842" s="97" t="s">
        <v>563</v>
      </c>
      <c r="B13842" s="98" t="s">
        <v>564</v>
      </c>
      <c r="C13842" s="98" t="s">
        <v>585</v>
      </c>
      <c r="D13842" s="98" t="s">
        <v>586</v>
      </c>
      <c r="E13842" s="120" t="s">
        <v>587</v>
      </c>
      <c r="F13842" s="98" t="s">
        <v>568</v>
      </c>
    </row>
    <row r="13843" spans="1:6" ht="15" customHeight="1" x14ac:dyDescent="0.25">
      <c r="A13843" s="103"/>
      <c r="B13843" s="100"/>
      <c r="C13843" s="101"/>
      <c r="D13843" s="140"/>
      <c r="E13843" s="107"/>
      <c r="F13843" s="109"/>
    </row>
    <row r="13844" spans="1:6" ht="15" customHeight="1" x14ac:dyDescent="0.25">
      <c r="A13844" s="103"/>
      <c r="B13844" s="100"/>
      <c r="C13844" s="107"/>
      <c r="D13844" s="107"/>
      <c r="E13844" s="108"/>
      <c r="F13844" s="109"/>
    </row>
    <row r="13845" spans="1:6" ht="15" customHeight="1" x14ac:dyDescent="0.25">
      <c r="A13845" s="97" t="s">
        <v>548</v>
      </c>
      <c r="B13845" s="98"/>
      <c r="C13845" s="110"/>
      <c r="D13845" s="110"/>
      <c r="E13845" s="111"/>
      <c r="F13845" s="112">
        <f>SUM(F13843:F13844)</f>
        <v>0</v>
      </c>
    </row>
    <row r="13846" spans="1:6" ht="15" customHeight="1" x14ac:dyDescent="0.25">
      <c r="A13846" s="88"/>
      <c r="B13846" s="89"/>
      <c r="C13846" s="113"/>
      <c r="D13846" s="113"/>
      <c r="E13846" s="114"/>
      <c r="F13846" s="113"/>
    </row>
    <row r="13847" spans="1:6" ht="15" customHeight="1" x14ac:dyDescent="0.25">
      <c r="A13847" s="88"/>
      <c r="B13847" s="89"/>
      <c r="C13847" s="113"/>
      <c r="D13847" s="113"/>
      <c r="E13847" s="114"/>
      <c r="F13847" s="113"/>
    </row>
    <row r="13848" spans="1:6" ht="15" customHeight="1" x14ac:dyDescent="0.25">
      <c r="A13848" s="612" t="s">
        <v>588</v>
      </c>
      <c r="B13848" s="608"/>
      <c r="C13848" s="608"/>
      <c r="D13848" s="608"/>
      <c r="E13848" s="609"/>
      <c r="F13848" s="131">
        <f>ROUND(F13818+F13831+F13839+F13845,0)</f>
        <v>7714200</v>
      </c>
    </row>
    <row r="13849" spans="1:6" ht="15" customHeight="1" x14ac:dyDescent="0.25">
      <c r="A13849" s="612" t="s">
        <v>589</v>
      </c>
      <c r="B13849" s="608"/>
      <c r="C13849" s="608"/>
      <c r="D13849" s="608"/>
      <c r="E13849" s="609"/>
      <c r="F13849" s="132"/>
    </row>
    <row r="13850" spans="1:6" ht="15" customHeight="1" x14ac:dyDescent="0.25">
      <c r="A13850" s="146" t="s">
        <v>556</v>
      </c>
      <c r="B13850" s="147"/>
      <c r="C13850" s="147"/>
      <c r="D13850" s="147"/>
      <c r="E13850" s="148"/>
      <c r="F13850" s="133"/>
    </row>
    <row r="13851" spans="1:6" ht="15" customHeight="1" x14ac:dyDescent="0.25">
      <c r="A13851" s="134"/>
      <c r="B13851" s="135"/>
      <c r="C13851" s="135"/>
      <c r="D13851" s="135"/>
      <c r="E13851" s="135"/>
      <c r="F13851" s="136"/>
    </row>
    <row r="13852" spans="1:6" ht="15" customHeight="1" x14ac:dyDescent="0.25">
      <c r="A13852" s="81"/>
      <c r="B13852" s="81"/>
      <c r="C13852" s="137"/>
      <c r="D13852" s="81"/>
      <c r="E13852" s="81"/>
      <c r="F13852" s="81"/>
    </row>
    <row r="13853" spans="1:6" ht="15" customHeight="1" x14ac:dyDescent="0.25">
      <c r="A13853" s="81"/>
      <c r="B13853" s="81"/>
      <c r="C13853" s="137"/>
      <c r="D13853" s="81"/>
      <c r="E13853" s="81"/>
      <c r="F13853" s="81"/>
    </row>
    <row r="13854" spans="1:6" ht="15" customHeight="1" x14ac:dyDescent="0.25">
      <c r="A13854" s="81"/>
      <c r="B13854" s="81"/>
      <c r="C13854" s="137"/>
      <c r="D13854" s="81"/>
      <c r="E13854" s="81"/>
      <c r="F13854" s="81"/>
    </row>
    <row r="13855" spans="1:6" ht="15" customHeight="1" x14ac:dyDescent="0.25">
      <c r="A13855" s="81"/>
      <c r="B13855" s="81"/>
      <c r="C13855" s="137"/>
      <c r="D13855" s="81"/>
      <c r="E13855" s="81"/>
      <c r="F13855" s="81"/>
    </row>
    <row r="13856" spans="1:6" ht="15" customHeight="1" x14ac:dyDescent="0.25">
      <c r="A13856" s="134"/>
      <c r="B13856" s="135"/>
      <c r="C13856" s="135"/>
      <c r="D13856" s="135"/>
      <c r="E13856" s="135"/>
      <c r="F13856" s="136"/>
    </row>
    <row r="13857" spans="1:6" ht="15" customHeight="1" x14ac:dyDescent="0.25">
      <c r="A13857" s="134"/>
      <c r="B13857" s="135"/>
      <c r="C13857" s="135"/>
      <c r="D13857" s="135"/>
      <c r="E13857" s="135"/>
      <c r="F13857" s="136"/>
    </row>
    <row r="13858" spans="1:6" ht="15" customHeight="1" x14ac:dyDescent="0.25">
      <c r="A13858" s="134"/>
      <c r="B13858" s="135"/>
      <c r="C13858" s="135"/>
      <c r="D13858" s="135"/>
      <c r="E13858" s="135"/>
      <c r="F13858" s="135"/>
    </row>
    <row r="13859" spans="1:6" ht="15" customHeight="1" thickBot="1" x14ac:dyDescent="0.3">
      <c r="A13859" s="81"/>
      <c r="B13859" s="81"/>
      <c r="C13859" s="81"/>
      <c r="D13859" s="81"/>
      <c r="E13859" s="81"/>
      <c r="F13859" s="81"/>
    </row>
    <row r="13860" spans="1:6" ht="15" customHeight="1" x14ac:dyDescent="0.25">
      <c r="A13860" s="83"/>
      <c r="B13860" s="84"/>
      <c r="C13860" s="85"/>
      <c r="D13860" s="86"/>
      <c r="E13860" s="86"/>
      <c r="F13860" s="87"/>
    </row>
    <row r="13861" spans="1:6" ht="15" customHeight="1" x14ac:dyDescent="0.25">
      <c r="A13861" s="599"/>
      <c r="B13861" s="600"/>
      <c r="C13861" s="600"/>
      <c r="D13861" s="600"/>
      <c r="E13861" s="600"/>
      <c r="F13861" s="601"/>
    </row>
    <row r="13862" spans="1:6" ht="15" customHeight="1" x14ac:dyDescent="0.25">
      <c r="A13862" s="602" t="s">
        <v>561</v>
      </c>
      <c r="B13862" s="600"/>
      <c r="C13862" s="600"/>
      <c r="D13862" s="600"/>
      <c r="E13862" s="600"/>
      <c r="F13862" s="601"/>
    </row>
    <row r="13863" spans="1:6" ht="15" customHeight="1" thickBot="1" x14ac:dyDescent="0.3">
      <c r="A13863" s="603"/>
      <c r="B13863" s="604"/>
      <c r="C13863" s="604"/>
      <c r="D13863" s="604"/>
      <c r="E13863" s="604"/>
      <c r="F13863" s="605"/>
    </row>
    <row r="13864" spans="1:6" ht="15" customHeight="1" x14ac:dyDescent="0.25">
      <c r="A13864" s="88"/>
      <c r="B13864" s="88"/>
      <c r="C13864" s="89"/>
      <c r="D13864" s="89"/>
      <c r="E13864" s="89"/>
      <c r="F13864" s="89"/>
    </row>
    <row r="13865" spans="1:6" ht="15" customHeight="1" x14ac:dyDescent="0.25">
      <c r="A13865" s="90" t="s">
        <v>47</v>
      </c>
      <c r="B13865" s="613" t="s">
        <v>894</v>
      </c>
      <c r="C13865" s="600"/>
      <c r="D13865" s="600"/>
      <c r="E13865" s="600"/>
      <c r="F13865" s="600"/>
    </row>
    <row r="13866" spans="1:6" ht="15" customHeight="1" x14ac:dyDescent="0.25">
      <c r="A13866" s="91"/>
      <c r="B13866" s="91"/>
      <c r="C13866" s="91"/>
      <c r="D13866" s="91"/>
      <c r="E13866" s="91"/>
      <c r="F13866" s="91"/>
    </row>
    <row r="13867" spans="1:6" ht="15" customHeight="1" x14ac:dyDescent="0.25">
      <c r="A13867" s="88" t="s">
        <v>49</v>
      </c>
      <c r="B13867" s="92" t="s">
        <v>99</v>
      </c>
      <c r="C13867" s="89"/>
      <c r="D13867" s="89"/>
      <c r="E13867" s="89"/>
      <c r="F13867" s="93"/>
    </row>
    <row r="13868" spans="1:6" ht="15" customHeight="1" x14ac:dyDescent="0.25">
      <c r="A13868" s="88"/>
      <c r="B13868" s="94"/>
      <c r="C13868" s="89"/>
      <c r="D13868" s="89"/>
      <c r="E13868" s="89"/>
      <c r="F13868" s="93"/>
    </row>
    <row r="13869" spans="1:6" ht="15" customHeight="1" x14ac:dyDescent="0.25">
      <c r="A13869" s="95" t="s">
        <v>562</v>
      </c>
      <c r="B13869" s="96"/>
      <c r="C13869" s="92"/>
      <c r="D13869" s="92"/>
      <c r="E13869" s="92"/>
      <c r="F13869" s="92"/>
    </row>
    <row r="13870" spans="1:6" ht="15" customHeight="1" x14ac:dyDescent="0.25">
      <c r="A13870" s="97" t="s">
        <v>563</v>
      </c>
      <c r="B13870" s="98" t="s">
        <v>564</v>
      </c>
      <c r="C13870" s="98" t="s">
        <v>565</v>
      </c>
      <c r="D13870" s="98" t="s">
        <v>566</v>
      </c>
      <c r="E13870" s="98" t="s">
        <v>567</v>
      </c>
      <c r="F13870" s="98" t="s">
        <v>568</v>
      </c>
    </row>
    <row r="13871" spans="1:6" ht="15" customHeight="1" x14ac:dyDescent="0.25">
      <c r="A13871" s="99" t="s">
        <v>895</v>
      </c>
      <c r="B13871" s="100" t="s">
        <v>99</v>
      </c>
      <c r="C13871" s="101">
        <v>2865400</v>
      </c>
      <c r="D13871" s="149">
        <v>1</v>
      </c>
      <c r="E13871" s="102"/>
      <c r="F13871" s="101">
        <f t="shared" ref="F13871:F13874" si="680">C13871*(D13871+(D13871*E13871))</f>
        <v>2865400</v>
      </c>
    </row>
    <row r="13872" spans="1:6" ht="15" customHeight="1" x14ac:dyDescent="0.25">
      <c r="A13872" s="99"/>
      <c r="B13872" s="100"/>
      <c r="C13872" s="101"/>
      <c r="D13872" s="149"/>
      <c r="E13872" s="102"/>
      <c r="F13872" s="101">
        <f t="shared" si="680"/>
        <v>0</v>
      </c>
    </row>
    <row r="13873" spans="1:6" ht="15" customHeight="1" x14ac:dyDescent="0.25">
      <c r="A13873" s="99"/>
      <c r="B13873" s="100"/>
      <c r="C13873" s="101"/>
      <c r="D13873" s="149"/>
      <c r="E13873" s="102"/>
      <c r="F13873" s="101">
        <f t="shared" si="680"/>
        <v>0</v>
      </c>
    </row>
    <row r="13874" spans="1:6" ht="15" customHeight="1" x14ac:dyDescent="0.25">
      <c r="A13874" s="99"/>
      <c r="B13874" s="100"/>
      <c r="C13874" s="101"/>
      <c r="D13874" s="149"/>
      <c r="E13874" s="102"/>
      <c r="F13874" s="101">
        <f t="shared" si="680"/>
        <v>0</v>
      </c>
    </row>
    <row r="13875" spans="1:6" ht="15" customHeight="1" x14ac:dyDescent="0.25">
      <c r="A13875" s="99"/>
      <c r="B13875" s="100"/>
      <c r="C13875" s="101"/>
      <c r="D13875" s="149"/>
      <c r="E13875" s="102"/>
      <c r="F13875" s="101"/>
    </row>
    <row r="13876" spans="1:6" ht="15" customHeight="1" x14ac:dyDescent="0.25">
      <c r="A13876" s="99"/>
      <c r="B13876" s="100"/>
      <c r="C13876" s="101"/>
      <c r="D13876" s="149"/>
      <c r="E13876" s="102"/>
      <c r="F13876" s="101"/>
    </row>
    <row r="13877" spans="1:6" ht="15" customHeight="1" x14ac:dyDescent="0.25">
      <c r="A13877" s="99"/>
      <c r="B13877" s="100"/>
      <c r="C13877" s="101"/>
      <c r="D13877" s="149"/>
      <c r="E13877" s="102"/>
      <c r="F13877" s="101"/>
    </row>
    <row r="13878" spans="1:6" ht="15" customHeight="1" x14ac:dyDescent="0.25">
      <c r="A13878" s="99"/>
      <c r="B13878" s="100"/>
      <c r="C13878" s="106"/>
      <c r="D13878" s="107"/>
      <c r="E13878" s="108"/>
      <c r="F13878" s="106"/>
    </row>
    <row r="13879" spans="1:6" ht="15" customHeight="1" x14ac:dyDescent="0.25">
      <c r="A13879" s="97" t="s">
        <v>548</v>
      </c>
      <c r="B13879" s="97"/>
      <c r="C13879" s="109"/>
      <c r="D13879" s="110"/>
      <c r="E13879" s="111"/>
      <c r="F13879" s="112">
        <f>SUM(F13871:F13878)</f>
        <v>2865400</v>
      </c>
    </row>
    <row r="13880" spans="1:6" ht="15" customHeight="1" x14ac:dyDescent="0.25">
      <c r="A13880" s="88"/>
      <c r="B13880" s="88"/>
      <c r="C13880" s="113"/>
      <c r="D13880" s="113"/>
      <c r="E13880" s="114"/>
      <c r="F13880" s="113"/>
    </row>
    <row r="13881" spans="1:6" ht="15" customHeight="1" x14ac:dyDescent="0.25">
      <c r="A13881" s="96" t="s">
        <v>573</v>
      </c>
      <c r="B13881" s="96"/>
      <c r="C13881" s="92"/>
      <c r="D13881" s="92"/>
      <c r="E13881" s="92"/>
      <c r="F13881" s="92"/>
    </row>
    <row r="13882" spans="1:6" ht="15" customHeight="1" x14ac:dyDescent="0.25">
      <c r="A13882" s="611" t="s">
        <v>563</v>
      </c>
      <c r="B13882" s="608"/>
      <c r="C13882" s="609"/>
      <c r="D13882" s="98" t="s">
        <v>574</v>
      </c>
      <c r="E13882" s="98" t="s">
        <v>575</v>
      </c>
      <c r="F13882" s="98" t="s">
        <v>568</v>
      </c>
    </row>
    <row r="13883" spans="1:6" ht="15" customHeight="1" x14ac:dyDescent="0.25">
      <c r="A13883" s="607" t="s">
        <v>577</v>
      </c>
      <c r="B13883" s="608"/>
      <c r="C13883" s="609"/>
      <c r="D13883" s="116"/>
      <c r="E13883" s="107"/>
      <c r="F13883" s="106">
        <f>+F13900*5%</f>
        <v>16321.964166621603</v>
      </c>
    </row>
    <row r="13884" spans="1:6" ht="15" customHeight="1" x14ac:dyDescent="0.25">
      <c r="A13884" s="607"/>
      <c r="B13884" s="608"/>
      <c r="C13884" s="609"/>
      <c r="D13884" s="142"/>
      <c r="E13884" s="105"/>
      <c r="F13884" s="106"/>
    </row>
    <row r="13885" spans="1:6" ht="15" customHeight="1" x14ac:dyDescent="0.25">
      <c r="A13885" s="607"/>
      <c r="B13885" s="608"/>
      <c r="C13885" s="609"/>
      <c r="D13885" s="142"/>
      <c r="E13885" s="105"/>
      <c r="F13885" s="106"/>
    </row>
    <row r="13886" spans="1:6" ht="15" customHeight="1" x14ac:dyDescent="0.25">
      <c r="A13886" s="607"/>
      <c r="B13886" s="608"/>
      <c r="C13886" s="609"/>
      <c r="D13886" s="142"/>
      <c r="E13886" s="107"/>
      <c r="F13886" s="106"/>
    </row>
    <row r="13887" spans="1:6" ht="15" customHeight="1" x14ac:dyDescent="0.25">
      <c r="A13887" s="607"/>
      <c r="B13887" s="608"/>
      <c r="C13887" s="609"/>
      <c r="D13887" s="142"/>
      <c r="E13887" s="107"/>
      <c r="F13887" s="106"/>
    </row>
    <row r="13888" spans="1:6" ht="15" customHeight="1" x14ac:dyDescent="0.25">
      <c r="A13888" s="607"/>
      <c r="B13888" s="608"/>
      <c r="C13888" s="609"/>
      <c r="D13888" s="142"/>
      <c r="E13888" s="107"/>
      <c r="F13888" s="106"/>
    </row>
    <row r="13889" spans="1:6" ht="15" customHeight="1" x14ac:dyDescent="0.25">
      <c r="A13889" s="607"/>
      <c r="B13889" s="608"/>
      <c r="C13889" s="609"/>
      <c r="D13889" s="142"/>
      <c r="E13889" s="107"/>
      <c r="F13889" s="106"/>
    </row>
    <row r="13890" spans="1:6" ht="15" customHeight="1" x14ac:dyDescent="0.25">
      <c r="A13890" s="607"/>
      <c r="B13890" s="608"/>
      <c r="C13890" s="609"/>
      <c r="D13890" s="142"/>
      <c r="E13890" s="107"/>
      <c r="F13890" s="106"/>
    </row>
    <row r="13891" spans="1:6" ht="15" customHeight="1" x14ac:dyDescent="0.25">
      <c r="A13891" s="610"/>
      <c r="B13891" s="608"/>
      <c r="C13891" s="609"/>
      <c r="D13891" s="115"/>
      <c r="E13891" s="107"/>
      <c r="F13891" s="106"/>
    </row>
    <row r="13892" spans="1:6" ht="15" customHeight="1" x14ac:dyDescent="0.25">
      <c r="A13892" s="611" t="s">
        <v>548</v>
      </c>
      <c r="B13892" s="608"/>
      <c r="C13892" s="609"/>
      <c r="D13892" s="110"/>
      <c r="E13892" s="110"/>
      <c r="F13892" s="112">
        <f>SUM(F13883:F13890)</f>
        <v>16321.964166621603</v>
      </c>
    </row>
    <row r="13893" spans="1:6" ht="15" customHeight="1" x14ac:dyDescent="0.25">
      <c r="A13893" s="88"/>
      <c r="B13893" s="88"/>
      <c r="C13893" s="89"/>
      <c r="D13893" s="113"/>
      <c r="E13893" s="113"/>
      <c r="F13893" s="113"/>
    </row>
    <row r="13894" spans="1:6" ht="15" customHeight="1" x14ac:dyDescent="0.25">
      <c r="A13894" s="96" t="s">
        <v>578</v>
      </c>
      <c r="B13894" s="96"/>
      <c r="C13894" s="92"/>
      <c r="D13894" s="118"/>
      <c r="E13894" s="118"/>
      <c r="F13894" s="118"/>
    </row>
    <row r="13895" spans="1:6" ht="15" customHeight="1" x14ac:dyDescent="0.25">
      <c r="A13895" s="119" t="s">
        <v>563</v>
      </c>
      <c r="B13895" s="120" t="s">
        <v>579</v>
      </c>
      <c r="C13895" s="120" t="s">
        <v>580</v>
      </c>
      <c r="D13895" s="121" t="s">
        <v>581</v>
      </c>
      <c r="E13895" s="121" t="s">
        <v>575</v>
      </c>
      <c r="F13895" s="121" t="s">
        <v>568</v>
      </c>
    </row>
    <row r="13896" spans="1:6" ht="15" customHeight="1" x14ac:dyDescent="0.25">
      <c r="A13896" s="122" t="s">
        <v>593</v>
      </c>
      <c r="B13896" s="127">
        <v>1</v>
      </c>
      <c r="C13896" s="101">
        <v>32688</v>
      </c>
      <c r="D13896" s="101">
        <f t="shared" ref="D13896:D13897" si="681">+C13896*1.7</f>
        <v>55569.599999999999</v>
      </c>
      <c r="E13896" s="107">
        <v>0.443832</v>
      </c>
      <c r="F13896" s="106">
        <f t="shared" ref="F13896:F13897" si="682">+B13896*(D13896)/E13896</f>
        <v>125204.13129292164</v>
      </c>
    </row>
    <row r="13897" spans="1:6" ht="15" customHeight="1" x14ac:dyDescent="0.25">
      <c r="A13897" s="122" t="s">
        <v>594</v>
      </c>
      <c r="B13897" s="127">
        <v>1</v>
      </c>
      <c r="C13897" s="101">
        <v>52538</v>
      </c>
      <c r="D13897" s="101">
        <f t="shared" si="681"/>
        <v>89314.599999999991</v>
      </c>
      <c r="E13897" s="107">
        <f>E13896</f>
        <v>0.443832</v>
      </c>
      <c r="F13897" s="106">
        <f t="shared" si="682"/>
        <v>201235.15203951043</v>
      </c>
    </row>
    <row r="13898" spans="1:6" ht="15" customHeight="1" x14ac:dyDescent="0.25">
      <c r="A13898" s="122"/>
      <c r="B13898" s="127"/>
      <c r="C13898" s="101"/>
      <c r="D13898" s="101"/>
      <c r="E13898" s="105"/>
      <c r="F13898" s="106"/>
    </row>
    <row r="13899" spans="1:6" ht="15" customHeight="1" x14ac:dyDescent="0.25">
      <c r="A13899" s="122"/>
      <c r="B13899" s="127"/>
      <c r="C13899" s="101"/>
      <c r="D13899" s="101"/>
      <c r="E13899" s="125"/>
      <c r="F13899" s="106"/>
    </row>
    <row r="13900" spans="1:6" ht="15" customHeight="1" x14ac:dyDescent="0.25">
      <c r="A13900" s="97" t="s">
        <v>548</v>
      </c>
      <c r="B13900" s="128"/>
      <c r="C13900" s="110"/>
      <c r="D13900" s="110"/>
      <c r="E13900" s="110"/>
      <c r="F13900" s="112">
        <f>SUM(F13896:F13899)</f>
        <v>326439.28333243204</v>
      </c>
    </row>
    <row r="13901" spans="1:6" ht="15" customHeight="1" x14ac:dyDescent="0.25">
      <c r="A13901" s="96"/>
      <c r="B13901" s="129"/>
      <c r="C13901" s="118"/>
      <c r="D13901" s="118"/>
      <c r="E13901" s="118"/>
      <c r="F13901" s="118"/>
    </row>
    <row r="13902" spans="1:6" ht="15" customHeight="1" x14ac:dyDescent="0.25">
      <c r="A13902" s="95" t="s">
        <v>583</v>
      </c>
      <c r="B13902" s="96"/>
      <c r="C13902" s="92"/>
      <c r="D13902" s="92"/>
      <c r="E13902" s="92" t="s">
        <v>584</v>
      </c>
      <c r="F13902" s="92"/>
    </row>
    <row r="13903" spans="1:6" ht="15" customHeight="1" x14ac:dyDescent="0.25">
      <c r="A13903" s="97" t="s">
        <v>563</v>
      </c>
      <c r="B13903" s="98" t="s">
        <v>564</v>
      </c>
      <c r="C13903" s="98" t="s">
        <v>585</v>
      </c>
      <c r="D13903" s="98" t="s">
        <v>586</v>
      </c>
      <c r="E13903" s="120" t="s">
        <v>587</v>
      </c>
      <c r="F13903" s="98" t="s">
        <v>568</v>
      </c>
    </row>
    <row r="13904" spans="1:6" ht="15" customHeight="1" x14ac:dyDescent="0.25">
      <c r="A13904" s="103"/>
      <c r="B13904" s="100"/>
      <c r="C13904" s="101"/>
      <c r="D13904" s="140"/>
      <c r="E13904" s="107"/>
      <c r="F13904" s="109"/>
    </row>
    <row r="13905" spans="1:6" ht="15" customHeight="1" x14ac:dyDescent="0.25">
      <c r="A13905" s="103"/>
      <c r="B13905" s="100"/>
      <c r="C13905" s="107"/>
      <c r="D13905" s="107"/>
      <c r="E13905" s="108"/>
      <c r="F13905" s="109"/>
    </row>
    <row r="13906" spans="1:6" ht="15" customHeight="1" x14ac:dyDescent="0.25">
      <c r="A13906" s="97" t="s">
        <v>548</v>
      </c>
      <c r="B13906" s="98"/>
      <c r="C13906" s="110"/>
      <c r="D13906" s="110"/>
      <c r="E13906" s="111"/>
      <c r="F13906" s="112">
        <f>SUM(F13904:F13905)</f>
        <v>0</v>
      </c>
    </row>
    <row r="13907" spans="1:6" ht="15" customHeight="1" x14ac:dyDescent="0.25">
      <c r="A13907" s="88"/>
      <c r="B13907" s="89"/>
      <c r="C13907" s="113"/>
      <c r="D13907" s="113"/>
      <c r="E13907" s="114"/>
      <c r="F13907" s="113"/>
    </row>
    <row r="13908" spans="1:6" ht="15" customHeight="1" x14ac:dyDescent="0.25">
      <c r="A13908" s="88"/>
      <c r="B13908" s="89"/>
      <c r="C13908" s="113"/>
      <c r="D13908" s="113"/>
      <c r="E13908" s="114"/>
      <c r="F13908" s="113"/>
    </row>
    <row r="13909" spans="1:6" ht="15" customHeight="1" x14ac:dyDescent="0.25">
      <c r="A13909" s="612" t="s">
        <v>588</v>
      </c>
      <c r="B13909" s="608"/>
      <c r="C13909" s="608"/>
      <c r="D13909" s="608"/>
      <c r="E13909" s="609"/>
      <c r="F13909" s="131">
        <f>ROUND(F13879+F13892+F13900+F13906,0)</f>
        <v>3208161</v>
      </c>
    </row>
    <row r="13910" spans="1:6" ht="15" customHeight="1" x14ac:dyDescent="0.25">
      <c r="A13910" s="612" t="s">
        <v>589</v>
      </c>
      <c r="B13910" s="608"/>
      <c r="C13910" s="608"/>
      <c r="D13910" s="608"/>
      <c r="E13910" s="609"/>
      <c r="F13910" s="132"/>
    </row>
    <row r="13911" spans="1:6" ht="15" customHeight="1" x14ac:dyDescent="0.25">
      <c r="A13911" s="146" t="s">
        <v>556</v>
      </c>
      <c r="B13911" s="147"/>
      <c r="C13911" s="147"/>
      <c r="D13911" s="147"/>
      <c r="E13911" s="148"/>
      <c r="F13911" s="133"/>
    </row>
    <row r="13912" spans="1:6" ht="15" customHeight="1" x14ac:dyDescent="0.25">
      <c r="A13912" s="134"/>
      <c r="B13912" s="135"/>
      <c r="C13912" s="135"/>
      <c r="D13912" s="135"/>
      <c r="E13912" s="135"/>
      <c r="F13912" s="136"/>
    </row>
    <row r="13913" spans="1:6" ht="15" customHeight="1" x14ac:dyDescent="0.25">
      <c r="A13913" s="81"/>
      <c r="B13913" s="81"/>
      <c r="C13913" s="137"/>
      <c r="D13913" s="81"/>
      <c r="E13913" s="81"/>
      <c r="F13913" s="81"/>
    </row>
    <row r="13914" spans="1:6" ht="15" customHeight="1" x14ac:dyDescent="0.25">
      <c r="A13914" s="81"/>
      <c r="B13914" s="81"/>
      <c r="C13914" s="137"/>
      <c r="D13914" s="81"/>
      <c r="E13914" s="81"/>
      <c r="F13914" s="81"/>
    </row>
    <row r="13915" spans="1:6" ht="15" customHeight="1" x14ac:dyDescent="0.25">
      <c r="A13915" s="81"/>
      <c r="B13915" s="81"/>
      <c r="C13915" s="137"/>
      <c r="D13915" s="81"/>
      <c r="E13915" s="81"/>
      <c r="F13915" s="81"/>
    </row>
    <row r="13916" spans="1:6" ht="15" customHeight="1" x14ac:dyDescent="0.25">
      <c r="A13916" s="81"/>
      <c r="B13916" s="81"/>
      <c r="C13916" s="137"/>
      <c r="D13916" s="81"/>
      <c r="E13916" s="81"/>
      <c r="F13916" s="81"/>
    </row>
    <row r="13917" spans="1:6" ht="15" customHeight="1" x14ac:dyDescent="0.25">
      <c r="A13917" s="134"/>
      <c r="B13917" s="135"/>
      <c r="C13917" s="135"/>
      <c r="D13917" s="135"/>
      <c r="E13917" s="135"/>
      <c r="F13917" s="136"/>
    </row>
    <row r="13918" spans="1:6" ht="15" customHeight="1" x14ac:dyDescent="0.25">
      <c r="A13918" s="134"/>
      <c r="B13918" s="135"/>
      <c r="C13918" s="135"/>
      <c r="D13918" s="135"/>
      <c r="E13918" s="135"/>
      <c r="F13918" s="136"/>
    </row>
    <row r="13919" spans="1:6" ht="15" customHeight="1" x14ac:dyDescent="0.25">
      <c r="A13919" s="134"/>
      <c r="B13919" s="135"/>
      <c r="C13919" s="135"/>
      <c r="D13919" s="135"/>
      <c r="E13919" s="135"/>
      <c r="F13919" s="135"/>
    </row>
    <row r="13920" spans="1:6" ht="15" customHeight="1" thickBot="1" x14ac:dyDescent="0.3">
      <c r="A13920" s="81"/>
      <c r="B13920" s="81"/>
      <c r="C13920" s="81"/>
      <c r="D13920" s="81"/>
      <c r="E13920" s="81"/>
      <c r="F13920" s="81"/>
    </row>
    <row r="13921" spans="1:6" ht="15" customHeight="1" x14ac:dyDescent="0.25">
      <c r="A13921" s="83"/>
      <c r="B13921" s="84"/>
      <c r="C13921" s="85"/>
      <c r="D13921" s="86"/>
      <c r="E13921" s="86"/>
      <c r="F13921" s="87"/>
    </row>
    <row r="13922" spans="1:6" ht="15" customHeight="1" x14ac:dyDescent="0.25">
      <c r="A13922" s="599"/>
      <c r="B13922" s="600"/>
      <c r="C13922" s="600"/>
      <c r="D13922" s="600"/>
      <c r="E13922" s="600"/>
      <c r="F13922" s="601"/>
    </row>
    <row r="13923" spans="1:6" ht="15" customHeight="1" x14ac:dyDescent="0.25">
      <c r="A13923" s="602" t="s">
        <v>561</v>
      </c>
      <c r="B13923" s="600"/>
      <c r="C13923" s="600"/>
      <c r="D13923" s="600"/>
      <c r="E13923" s="600"/>
      <c r="F13923" s="601"/>
    </row>
    <row r="13924" spans="1:6" ht="15" customHeight="1" thickBot="1" x14ac:dyDescent="0.3">
      <c r="A13924" s="603"/>
      <c r="B13924" s="604"/>
      <c r="C13924" s="604"/>
      <c r="D13924" s="604"/>
      <c r="E13924" s="604"/>
      <c r="F13924" s="605"/>
    </row>
    <row r="13925" spans="1:6" ht="15" customHeight="1" x14ac:dyDescent="0.25">
      <c r="A13925" s="88"/>
      <c r="B13925" s="88"/>
      <c r="C13925" s="89"/>
      <c r="D13925" s="89"/>
      <c r="E13925" s="89"/>
      <c r="F13925" s="89"/>
    </row>
    <row r="13926" spans="1:6" ht="15" customHeight="1" x14ac:dyDescent="0.25">
      <c r="A13926" s="90" t="s">
        <v>47</v>
      </c>
      <c r="B13926" s="613" t="s">
        <v>461</v>
      </c>
      <c r="C13926" s="600"/>
      <c r="D13926" s="600"/>
      <c r="E13926" s="600"/>
      <c r="F13926" s="600"/>
    </row>
    <row r="13927" spans="1:6" ht="15" customHeight="1" x14ac:dyDescent="0.25">
      <c r="A13927" s="91"/>
      <c r="B13927" s="91"/>
      <c r="C13927" s="91"/>
      <c r="D13927" s="91"/>
      <c r="E13927" s="91"/>
      <c r="F13927" s="91"/>
    </row>
    <row r="13928" spans="1:6" ht="15" customHeight="1" x14ac:dyDescent="0.25">
      <c r="A13928" s="88" t="s">
        <v>49</v>
      </c>
      <c r="B13928" s="92" t="s">
        <v>99</v>
      </c>
      <c r="C13928" s="89"/>
      <c r="D13928" s="89"/>
      <c r="E13928" s="89"/>
      <c r="F13928" s="93"/>
    </row>
    <row r="13929" spans="1:6" ht="15" customHeight="1" x14ac:dyDescent="0.25">
      <c r="A13929" s="88"/>
      <c r="B13929" s="94"/>
      <c r="C13929" s="89"/>
      <c r="D13929" s="89"/>
      <c r="E13929" s="89"/>
      <c r="F13929" s="93"/>
    </row>
    <row r="13930" spans="1:6" ht="15" customHeight="1" x14ac:dyDescent="0.25">
      <c r="A13930" s="95" t="s">
        <v>562</v>
      </c>
      <c r="B13930" s="96"/>
      <c r="C13930" s="92"/>
      <c r="D13930" s="92"/>
      <c r="E13930" s="92"/>
      <c r="F13930" s="92"/>
    </row>
    <row r="13931" spans="1:6" ht="15" customHeight="1" x14ac:dyDescent="0.25">
      <c r="A13931" s="97" t="s">
        <v>563</v>
      </c>
      <c r="B13931" s="98" t="s">
        <v>564</v>
      </c>
      <c r="C13931" s="98" t="s">
        <v>565</v>
      </c>
      <c r="D13931" s="98" t="s">
        <v>566</v>
      </c>
      <c r="E13931" s="98" t="s">
        <v>567</v>
      </c>
      <c r="F13931" s="98" t="s">
        <v>568</v>
      </c>
    </row>
    <row r="13932" spans="1:6" ht="15" customHeight="1" x14ac:dyDescent="0.25">
      <c r="A13932" s="99" t="s">
        <v>896</v>
      </c>
      <c r="B13932" s="100" t="s">
        <v>99</v>
      </c>
      <c r="C13932" s="101">
        <v>578800</v>
      </c>
      <c r="D13932" s="149">
        <v>1</v>
      </c>
      <c r="E13932" s="102"/>
      <c r="F13932" s="101">
        <f t="shared" ref="F13932:F13935" si="683">C13932*(D13932+(D13932*E13932))</f>
        <v>578800</v>
      </c>
    </row>
    <row r="13933" spans="1:6" ht="15" customHeight="1" x14ac:dyDescent="0.25">
      <c r="A13933" s="99"/>
      <c r="B13933" s="100"/>
      <c r="C13933" s="101"/>
      <c r="D13933" s="149"/>
      <c r="E13933" s="102"/>
      <c r="F13933" s="101">
        <f t="shared" si="683"/>
        <v>0</v>
      </c>
    </row>
    <row r="13934" spans="1:6" ht="15" customHeight="1" x14ac:dyDescent="0.25">
      <c r="A13934" s="99"/>
      <c r="B13934" s="100"/>
      <c r="C13934" s="101"/>
      <c r="D13934" s="149"/>
      <c r="E13934" s="102"/>
      <c r="F13934" s="101">
        <f t="shared" si="683"/>
        <v>0</v>
      </c>
    </row>
    <row r="13935" spans="1:6" ht="15" customHeight="1" x14ac:dyDescent="0.25">
      <c r="A13935" s="99"/>
      <c r="B13935" s="100"/>
      <c r="C13935" s="101"/>
      <c r="D13935" s="149"/>
      <c r="E13935" s="102"/>
      <c r="F13935" s="101">
        <f t="shared" si="683"/>
        <v>0</v>
      </c>
    </row>
    <row r="13936" spans="1:6" ht="15" customHeight="1" x14ac:dyDescent="0.25">
      <c r="A13936" s="99"/>
      <c r="B13936" s="100"/>
      <c r="C13936" s="101"/>
      <c r="D13936" s="149"/>
      <c r="E13936" s="102"/>
      <c r="F13936" s="101"/>
    </row>
    <row r="13937" spans="1:6" ht="15" customHeight="1" x14ac:dyDescent="0.25">
      <c r="A13937" s="99"/>
      <c r="B13937" s="100"/>
      <c r="C13937" s="101"/>
      <c r="D13937" s="149"/>
      <c r="E13937" s="102"/>
      <c r="F13937" s="101"/>
    </row>
    <row r="13938" spans="1:6" ht="15" customHeight="1" x14ac:dyDescent="0.25">
      <c r="A13938" s="99"/>
      <c r="B13938" s="100"/>
      <c r="C13938" s="101"/>
      <c r="D13938" s="149"/>
      <c r="E13938" s="102"/>
      <c r="F13938" s="101"/>
    </row>
    <row r="13939" spans="1:6" ht="15" customHeight="1" x14ac:dyDescent="0.25">
      <c r="A13939" s="99"/>
      <c r="B13939" s="100"/>
      <c r="C13939" s="106"/>
      <c r="D13939" s="107"/>
      <c r="E13939" s="108"/>
      <c r="F13939" s="106"/>
    </row>
    <row r="13940" spans="1:6" ht="15" customHeight="1" x14ac:dyDescent="0.25">
      <c r="A13940" s="97" t="s">
        <v>548</v>
      </c>
      <c r="B13940" s="97"/>
      <c r="C13940" s="109"/>
      <c r="D13940" s="110"/>
      <c r="E13940" s="111"/>
      <c r="F13940" s="112">
        <f>SUM(F13932:F13939)</f>
        <v>578800</v>
      </c>
    </row>
    <row r="13941" spans="1:6" ht="15" customHeight="1" x14ac:dyDescent="0.25">
      <c r="A13941" s="88"/>
      <c r="B13941" s="88"/>
      <c r="C13941" s="113"/>
      <c r="D13941" s="113"/>
      <c r="E13941" s="114"/>
      <c r="F13941" s="113"/>
    </row>
    <row r="13942" spans="1:6" ht="15" customHeight="1" x14ac:dyDescent="0.25">
      <c r="A13942" s="96" t="s">
        <v>573</v>
      </c>
      <c r="B13942" s="96"/>
      <c r="C13942" s="92"/>
      <c r="D13942" s="92"/>
      <c r="E13942" s="92"/>
      <c r="F13942" s="92"/>
    </row>
    <row r="13943" spans="1:6" ht="15" customHeight="1" x14ac:dyDescent="0.25">
      <c r="A13943" s="611" t="s">
        <v>563</v>
      </c>
      <c r="B13943" s="608"/>
      <c r="C13943" s="609"/>
      <c r="D13943" s="98" t="s">
        <v>574</v>
      </c>
      <c r="E13943" s="98" t="s">
        <v>575</v>
      </c>
      <c r="F13943" s="98" t="s">
        <v>568</v>
      </c>
    </row>
    <row r="13944" spans="1:6" ht="15" customHeight="1" x14ac:dyDescent="0.25">
      <c r="A13944" s="607" t="s">
        <v>577</v>
      </c>
      <c r="B13944" s="608"/>
      <c r="C13944" s="609"/>
      <c r="D13944" s="116"/>
      <c r="E13944" s="107"/>
      <c r="F13944" s="106">
        <f>+F13961*5%</f>
        <v>3283.866727107888</v>
      </c>
    </row>
    <row r="13945" spans="1:6" ht="15" customHeight="1" x14ac:dyDescent="0.25">
      <c r="A13945" s="607"/>
      <c r="B13945" s="608"/>
      <c r="C13945" s="609"/>
      <c r="D13945" s="142"/>
      <c r="E13945" s="105"/>
      <c r="F13945" s="106"/>
    </row>
    <row r="13946" spans="1:6" ht="15" customHeight="1" x14ac:dyDescent="0.25">
      <c r="A13946" s="607"/>
      <c r="B13946" s="608"/>
      <c r="C13946" s="609"/>
      <c r="D13946" s="142"/>
      <c r="E13946" s="105"/>
      <c r="F13946" s="106"/>
    </row>
    <row r="13947" spans="1:6" ht="15" customHeight="1" x14ac:dyDescent="0.25">
      <c r="A13947" s="607"/>
      <c r="B13947" s="608"/>
      <c r="C13947" s="609"/>
      <c r="D13947" s="142"/>
      <c r="E13947" s="107"/>
      <c r="F13947" s="106"/>
    </row>
    <row r="13948" spans="1:6" ht="15" customHeight="1" x14ac:dyDescent="0.25">
      <c r="A13948" s="607"/>
      <c r="B13948" s="608"/>
      <c r="C13948" s="609"/>
      <c r="D13948" s="142"/>
      <c r="E13948" s="107"/>
      <c r="F13948" s="106"/>
    </row>
    <row r="13949" spans="1:6" ht="15" customHeight="1" x14ac:dyDescent="0.25">
      <c r="A13949" s="607"/>
      <c r="B13949" s="608"/>
      <c r="C13949" s="609"/>
      <c r="D13949" s="142"/>
      <c r="E13949" s="107"/>
      <c r="F13949" s="106"/>
    </row>
    <row r="13950" spans="1:6" ht="15" customHeight="1" x14ac:dyDescent="0.25">
      <c r="A13950" s="607"/>
      <c r="B13950" s="608"/>
      <c r="C13950" s="609"/>
      <c r="D13950" s="142"/>
      <c r="E13950" s="107"/>
      <c r="F13950" s="106"/>
    </row>
    <row r="13951" spans="1:6" ht="15" customHeight="1" x14ac:dyDescent="0.25">
      <c r="A13951" s="607"/>
      <c r="B13951" s="608"/>
      <c r="C13951" s="609"/>
      <c r="D13951" s="142"/>
      <c r="E13951" s="107"/>
      <c r="F13951" s="106"/>
    </row>
    <row r="13952" spans="1:6" ht="15" customHeight="1" x14ac:dyDescent="0.25">
      <c r="A13952" s="610"/>
      <c r="B13952" s="608"/>
      <c r="C13952" s="609"/>
      <c r="D13952" s="115"/>
      <c r="E13952" s="107"/>
      <c r="F13952" s="106"/>
    </row>
    <row r="13953" spans="1:6" ht="15" customHeight="1" x14ac:dyDescent="0.25">
      <c r="A13953" s="611" t="s">
        <v>548</v>
      </c>
      <c r="B13953" s="608"/>
      <c r="C13953" s="609"/>
      <c r="D13953" s="110"/>
      <c r="E13953" s="110"/>
      <c r="F13953" s="112">
        <f>SUM(F13944:F13951)</f>
        <v>3283.866727107888</v>
      </c>
    </row>
    <row r="13954" spans="1:6" ht="15" customHeight="1" x14ac:dyDescent="0.25">
      <c r="A13954" s="88"/>
      <c r="B13954" s="88"/>
      <c r="C13954" s="89"/>
      <c r="D13954" s="113"/>
      <c r="E13954" s="113"/>
      <c r="F13954" s="113"/>
    </row>
    <row r="13955" spans="1:6" ht="15" customHeight="1" x14ac:dyDescent="0.25">
      <c r="A13955" s="96" t="s">
        <v>578</v>
      </c>
      <c r="B13955" s="96"/>
      <c r="C13955" s="92"/>
      <c r="D13955" s="118"/>
      <c r="E13955" s="118"/>
      <c r="F13955" s="118"/>
    </row>
    <row r="13956" spans="1:6" ht="15" customHeight="1" x14ac:dyDescent="0.25">
      <c r="A13956" s="119" t="s">
        <v>563</v>
      </c>
      <c r="B13956" s="120" t="s">
        <v>579</v>
      </c>
      <c r="C13956" s="120" t="s">
        <v>580</v>
      </c>
      <c r="D13956" s="121" t="s">
        <v>581</v>
      </c>
      <c r="E13956" s="121" t="s">
        <v>575</v>
      </c>
      <c r="F13956" s="121" t="s">
        <v>568</v>
      </c>
    </row>
    <row r="13957" spans="1:6" ht="15" customHeight="1" x14ac:dyDescent="0.25">
      <c r="A13957" s="122" t="s">
        <v>593</v>
      </c>
      <c r="B13957" s="127">
        <v>1</v>
      </c>
      <c r="C13957" s="101">
        <v>32688</v>
      </c>
      <c r="D13957" s="101">
        <f t="shared" ref="D13957:D13958" si="684">+C13957*1.7</f>
        <v>55569.599999999999</v>
      </c>
      <c r="E13957" s="107">
        <v>2.206</v>
      </c>
      <c r="F13957" s="106">
        <f t="shared" ref="F13957:F13958" si="685">+B13957*(D13957)/E13957</f>
        <v>25190.20852221215</v>
      </c>
    </row>
    <row r="13958" spans="1:6" ht="15" customHeight="1" x14ac:dyDescent="0.25">
      <c r="A13958" s="122" t="s">
        <v>594</v>
      </c>
      <c r="B13958" s="127">
        <v>1</v>
      </c>
      <c r="C13958" s="101">
        <v>52538</v>
      </c>
      <c r="D13958" s="101">
        <f t="shared" si="684"/>
        <v>89314.599999999991</v>
      </c>
      <c r="E13958" s="107">
        <f>E13957</f>
        <v>2.206</v>
      </c>
      <c r="F13958" s="106">
        <f t="shared" si="685"/>
        <v>40487.126019945601</v>
      </c>
    </row>
    <row r="13959" spans="1:6" ht="15" customHeight="1" x14ac:dyDescent="0.25">
      <c r="A13959" s="122"/>
      <c r="B13959" s="127"/>
      <c r="C13959" s="101"/>
      <c r="D13959" s="101"/>
      <c r="E13959" s="105"/>
      <c r="F13959" s="106"/>
    </row>
    <row r="13960" spans="1:6" ht="15" customHeight="1" x14ac:dyDescent="0.25">
      <c r="A13960" s="122"/>
      <c r="B13960" s="127"/>
      <c r="C13960" s="101"/>
      <c r="D13960" s="101"/>
      <c r="E13960" s="125"/>
      <c r="F13960" s="106"/>
    </row>
    <row r="13961" spans="1:6" ht="15" customHeight="1" x14ac:dyDescent="0.25">
      <c r="A13961" s="97" t="s">
        <v>548</v>
      </c>
      <c r="B13961" s="128"/>
      <c r="C13961" s="110"/>
      <c r="D13961" s="110"/>
      <c r="E13961" s="110"/>
      <c r="F13961" s="112">
        <f>SUM(F13957:F13960)</f>
        <v>65677.334542157754</v>
      </c>
    </row>
    <row r="13962" spans="1:6" ht="15" customHeight="1" x14ac:dyDescent="0.25">
      <c r="A13962" s="96"/>
      <c r="B13962" s="129"/>
      <c r="C13962" s="118"/>
      <c r="D13962" s="118"/>
      <c r="E13962" s="118"/>
      <c r="F13962" s="118"/>
    </row>
    <row r="13963" spans="1:6" ht="15" customHeight="1" x14ac:dyDescent="0.25">
      <c r="A13963" s="95" t="s">
        <v>583</v>
      </c>
      <c r="B13963" s="96"/>
      <c r="C13963" s="92"/>
      <c r="D13963" s="92"/>
      <c r="E13963" s="92" t="s">
        <v>584</v>
      </c>
      <c r="F13963" s="92"/>
    </row>
    <row r="13964" spans="1:6" ht="15" customHeight="1" x14ac:dyDescent="0.25">
      <c r="A13964" s="97" t="s">
        <v>563</v>
      </c>
      <c r="B13964" s="98" t="s">
        <v>564</v>
      </c>
      <c r="C13964" s="98" t="s">
        <v>585</v>
      </c>
      <c r="D13964" s="98" t="s">
        <v>586</v>
      </c>
      <c r="E13964" s="120" t="s">
        <v>587</v>
      </c>
      <c r="F13964" s="98" t="s">
        <v>568</v>
      </c>
    </row>
    <row r="13965" spans="1:6" ht="15" customHeight="1" x14ac:dyDescent="0.25">
      <c r="A13965" s="103"/>
      <c r="B13965" s="100"/>
      <c r="C13965" s="101"/>
      <c r="D13965" s="140"/>
      <c r="E13965" s="107"/>
      <c r="F13965" s="109"/>
    </row>
    <row r="13966" spans="1:6" ht="15" customHeight="1" x14ac:dyDescent="0.25">
      <c r="A13966" s="103"/>
      <c r="B13966" s="100"/>
      <c r="C13966" s="107"/>
      <c r="D13966" s="107"/>
      <c r="E13966" s="108"/>
      <c r="F13966" s="109"/>
    </row>
    <row r="13967" spans="1:6" ht="15" customHeight="1" x14ac:dyDescent="0.25">
      <c r="A13967" s="97" t="s">
        <v>548</v>
      </c>
      <c r="B13967" s="98"/>
      <c r="C13967" s="110"/>
      <c r="D13967" s="110"/>
      <c r="E13967" s="111"/>
      <c r="F13967" s="112">
        <f>SUM(F13965:F13966)</f>
        <v>0</v>
      </c>
    </row>
    <row r="13968" spans="1:6" ht="15" customHeight="1" x14ac:dyDescent="0.25">
      <c r="A13968" s="88"/>
      <c r="B13968" s="89"/>
      <c r="C13968" s="113"/>
      <c r="D13968" s="113"/>
      <c r="E13968" s="114"/>
      <c r="F13968" s="113"/>
    </row>
    <row r="13969" spans="1:6" ht="15" customHeight="1" x14ac:dyDescent="0.25">
      <c r="A13969" s="88"/>
      <c r="B13969" s="89"/>
      <c r="C13969" s="113"/>
      <c r="D13969" s="113"/>
      <c r="E13969" s="114"/>
      <c r="F13969" s="113"/>
    </row>
    <row r="13970" spans="1:6" ht="15" customHeight="1" x14ac:dyDescent="0.25">
      <c r="A13970" s="612" t="s">
        <v>588</v>
      </c>
      <c r="B13970" s="608"/>
      <c r="C13970" s="608"/>
      <c r="D13970" s="608"/>
      <c r="E13970" s="609"/>
      <c r="F13970" s="131">
        <f>ROUND(F13940+F13953+F13961+F13967,0)</f>
        <v>647761</v>
      </c>
    </row>
    <row r="13971" spans="1:6" ht="15" customHeight="1" x14ac:dyDescent="0.25">
      <c r="A13971" s="612" t="s">
        <v>589</v>
      </c>
      <c r="B13971" s="608"/>
      <c r="C13971" s="608"/>
      <c r="D13971" s="608"/>
      <c r="E13971" s="609"/>
      <c r="F13971" s="132"/>
    </row>
    <row r="13972" spans="1:6" ht="15" customHeight="1" x14ac:dyDescent="0.25">
      <c r="A13972" s="146" t="s">
        <v>556</v>
      </c>
      <c r="B13972" s="147"/>
      <c r="C13972" s="147"/>
      <c r="D13972" s="147"/>
      <c r="E13972" s="148"/>
      <c r="F13972" s="133"/>
    </row>
    <row r="13973" spans="1:6" ht="15" customHeight="1" x14ac:dyDescent="0.25">
      <c r="A13973" s="134"/>
      <c r="B13973" s="135"/>
      <c r="C13973" s="135"/>
      <c r="D13973" s="135"/>
      <c r="E13973" s="135"/>
      <c r="F13973" s="136"/>
    </row>
    <row r="13974" spans="1:6" ht="15" customHeight="1" x14ac:dyDescent="0.25">
      <c r="A13974" s="81"/>
      <c r="B13974" s="81"/>
      <c r="C13974" s="137"/>
      <c r="D13974" s="81"/>
      <c r="E13974" s="81"/>
      <c r="F13974" s="81"/>
    </row>
    <row r="13975" spans="1:6" ht="15" customHeight="1" x14ac:dyDescent="0.25">
      <c r="A13975" s="81"/>
      <c r="B13975" s="81"/>
      <c r="C13975" s="137"/>
      <c r="D13975" s="81"/>
      <c r="E13975" s="81"/>
      <c r="F13975" s="81"/>
    </row>
    <row r="13976" spans="1:6" ht="15" customHeight="1" x14ac:dyDescent="0.25">
      <c r="A13976" s="81"/>
      <c r="B13976" s="81"/>
      <c r="C13976" s="137"/>
      <c r="D13976" s="81"/>
      <c r="E13976" s="81"/>
      <c r="F13976" s="81"/>
    </row>
    <row r="13977" spans="1:6" ht="15" customHeight="1" x14ac:dyDescent="0.25">
      <c r="A13977" s="81"/>
      <c r="B13977" s="81"/>
      <c r="C13977" s="137"/>
      <c r="D13977" s="81"/>
      <c r="E13977" s="81"/>
      <c r="F13977" s="81"/>
    </row>
    <row r="13978" spans="1:6" ht="15" customHeight="1" x14ac:dyDescent="0.25">
      <c r="A13978" s="134"/>
      <c r="B13978" s="135"/>
      <c r="C13978" s="135"/>
      <c r="D13978" s="135"/>
      <c r="E13978" s="135"/>
      <c r="F13978" s="136"/>
    </row>
    <row r="13979" spans="1:6" ht="15" customHeight="1" x14ac:dyDescent="0.25">
      <c r="A13979" s="134"/>
      <c r="B13979" s="135"/>
      <c r="C13979" s="135"/>
      <c r="D13979" s="135"/>
      <c r="E13979" s="135"/>
      <c r="F13979" s="136"/>
    </row>
    <row r="13980" spans="1:6" ht="15" customHeight="1" x14ac:dyDescent="0.25">
      <c r="A13980" s="134"/>
      <c r="B13980" s="135"/>
      <c r="C13980" s="135"/>
      <c r="D13980" s="135"/>
      <c r="E13980" s="135"/>
      <c r="F13980" s="135"/>
    </row>
    <row r="13981" spans="1:6" ht="15" customHeight="1" thickBot="1" x14ac:dyDescent="0.3">
      <c r="A13981" s="81"/>
      <c r="B13981" s="81"/>
      <c r="C13981" s="81"/>
      <c r="D13981" s="81"/>
      <c r="E13981" s="81"/>
      <c r="F13981" s="81"/>
    </row>
    <row r="13982" spans="1:6" ht="15" customHeight="1" x14ac:dyDescent="0.25">
      <c r="A13982" s="83"/>
      <c r="B13982" s="84"/>
      <c r="C13982" s="85"/>
      <c r="D13982" s="86"/>
      <c r="E13982" s="86"/>
      <c r="F13982" s="87"/>
    </row>
    <row r="13983" spans="1:6" ht="15" customHeight="1" x14ac:dyDescent="0.25">
      <c r="A13983" s="599"/>
      <c r="B13983" s="600"/>
      <c r="C13983" s="600"/>
      <c r="D13983" s="600"/>
      <c r="E13983" s="600"/>
      <c r="F13983" s="601"/>
    </row>
    <row r="13984" spans="1:6" ht="15" customHeight="1" x14ac:dyDescent="0.25">
      <c r="A13984" s="602" t="s">
        <v>561</v>
      </c>
      <c r="B13984" s="600"/>
      <c r="C13984" s="600"/>
      <c r="D13984" s="600"/>
      <c r="E13984" s="600"/>
      <c r="F13984" s="601"/>
    </row>
    <row r="13985" spans="1:6" ht="15" customHeight="1" thickBot="1" x14ac:dyDescent="0.3">
      <c r="A13985" s="603"/>
      <c r="B13985" s="604"/>
      <c r="C13985" s="604"/>
      <c r="D13985" s="604"/>
      <c r="E13985" s="604"/>
      <c r="F13985" s="605"/>
    </row>
    <row r="13986" spans="1:6" ht="15" customHeight="1" x14ac:dyDescent="0.25">
      <c r="A13986" s="88"/>
      <c r="B13986" s="88"/>
      <c r="C13986" s="89"/>
      <c r="D13986" s="89"/>
      <c r="E13986" s="89"/>
      <c r="F13986" s="89"/>
    </row>
    <row r="13987" spans="1:6" ht="15" customHeight="1" x14ac:dyDescent="0.25">
      <c r="A13987" s="90" t="s">
        <v>47</v>
      </c>
      <c r="B13987" s="613" t="s">
        <v>462</v>
      </c>
      <c r="C13987" s="600"/>
      <c r="D13987" s="600"/>
      <c r="E13987" s="600"/>
      <c r="F13987" s="600"/>
    </row>
    <row r="13988" spans="1:6" ht="15" customHeight="1" x14ac:dyDescent="0.25">
      <c r="A13988" s="91"/>
      <c r="B13988" s="91"/>
      <c r="C13988" s="91"/>
      <c r="D13988" s="91"/>
      <c r="E13988" s="91"/>
      <c r="F13988" s="91"/>
    </row>
    <row r="13989" spans="1:6" ht="15" customHeight="1" x14ac:dyDescent="0.25">
      <c r="A13989" s="88" t="s">
        <v>49</v>
      </c>
      <c r="B13989" s="92" t="s">
        <v>99</v>
      </c>
      <c r="C13989" s="89"/>
      <c r="D13989" s="89"/>
      <c r="E13989" s="89"/>
      <c r="F13989" s="93"/>
    </row>
    <row r="13990" spans="1:6" ht="15" customHeight="1" x14ac:dyDescent="0.25">
      <c r="A13990" s="88"/>
      <c r="B13990" s="94"/>
      <c r="C13990" s="89"/>
      <c r="D13990" s="89"/>
      <c r="E13990" s="89"/>
      <c r="F13990" s="93"/>
    </row>
    <row r="13991" spans="1:6" ht="15" customHeight="1" x14ac:dyDescent="0.25">
      <c r="A13991" s="95" t="s">
        <v>562</v>
      </c>
      <c r="B13991" s="96"/>
      <c r="C13991" s="92"/>
      <c r="D13991" s="92"/>
      <c r="E13991" s="92"/>
      <c r="F13991" s="92"/>
    </row>
    <row r="13992" spans="1:6" ht="15" customHeight="1" x14ac:dyDescent="0.25">
      <c r="A13992" s="97" t="s">
        <v>563</v>
      </c>
      <c r="B13992" s="98" t="s">
        <v>564</v>
      </c>
      <c r="C13992" s="98" t="s">
        <v>565</v>
      </c>
      <c r="D13992" s="98" t="s">
        <v>566</v>
      </c>
      <c r="E13992" s="98" t="s">
        <v>567</v>
      </c>
      <c r="F13992" s="98" t="s">
        <v>568</v>
      </c>
    </row>
    <row r="13993" spans="1:6" ht="15" customHeight="1" x14ac:dyDescent="0.25">
      <c r="A13993" s="99" t="s">
        <v>897</v>
      </c>
      <c r="B13993" s="100" t="s">
        <v>99</v>
      </c>
      <c r="C13993" s="101">
        <v>32895230</v>
      </c>
      <c r="D13993" s="149">
        <v>1</v>
      </c>
      <c r="E13993" s="102"/>
      <c r="F13993" s="101">
        <f t="shared" ref="F13993:F13996" si="686">C13993*(D13993+(D13993*E13993))</f>
        <v>32895230</v>
      </c>
    </row>
    <row r="13994" spans="1:6" ht="15" customHeight="1" x14ac:dyDescent="0.25">
      <c r="A13994" s="99"/>
      <c r="B13994" s="100"/>
      <c r="C13994" s="101"/>
      <c r="D13994" s="149"/>
      <c r="E13994" s="102"/>
      <c r="F13994" s="101">
        <f t="shared" si="686"/>
        <v>0</v>
      </c>
    </row>
    <row r="13995" spans="1:6" ht="15" customHeight="1" x14ac:dyDescent="0.25">
      <c r="A13995" s="99"/>
      <c r="B13995" s="100"/>
      <c r="C13995" s="101"/>
      <c r="D13995" s="149"/>
      <c r="E13995" s="102"/>
      <c r="F13995" s="101">
        <f t="shared" si="686"/>
        <v>0</v>
      </c>
    </row>
    <row r="13996" spans="1:6" ht="15" customHeight="1" x14ac:dyDescent="0.25">
      <c r="A13996" s="99"/>
      <c r="B13996" s="100"/>
      <c r="C13996" s="101"/>
      <c r="D13996" s="149"/>
      <c r="E13996" s="102"/>
      <c r="F13996" s="101">
        <f t="shared" si="686"/>
        <v>0</v>
      </c>
    </row>
    <row r="13997" spans="1:6" ht="15" customHeight="1" x14ac:dyDescent="0.25">
      <c r="A13997" s="99"/>
      <c r="B13997" s="100"/>
      <c r="C13997" s="101"/>
      <c r="D13997" s="149"/>
      <c r="E13997" s="102"/>
      <c r="F13997" s="101"/>
    </row>
    <row r="13998" spans="1:6" ht="15" customHeight="1" x14ac:dyDescent="0.25">
      <c r="A13998" s="99"/>
      <c r="B13998" s="100"/>
      <c r="C13998" s="101"/>
      <c r="D13998" s="149"/>
      <c r="E13998" s="102"/>
      <c r="F13998" s="101"/>
    </row>
    <row r="13999" spans="1:6" ht="15" customHeight="1" x14ac:dyDescent="0.25">
      <c r="A13999" s="99"/>
      <c r="B13999" s="100"/>
      <c r="C13999" s="101"/>
      <c r="D13999" s="149"/>
      <c r="E13999" s="102"/>
      <c r="F13999" s="101"/>
    </row>
    <row r="14000" spans="1:6" ht="15" customHeight="1" x14ac:dyDescent="0.25">
      <c r="A14000" s="99"/>
      <c r="B14000" s="100"/>
      <c r="C14000" s="106"/>
      <c r="D14000" s="107"/>
      <c r="E14000" s="108"/>
      <c r="F14000" s="106"/>
    </row>
    <row r="14001" spans="1:6" ht="15" customHeight="1" x14ac:dyDescent="0.25">
      <c r="A14001" s="97" t="s">
        <v>548</v>
      </c>
      <c r="B14001" s="97"/>
      <c r="C14001" s="109"/>
      <c r="D14001" s="110"/>
      <c r="E14001" s="111"/>
      <c r="F14001" s="112">
        <f>SUM(F13993:F14000)</f>
        <v>32895230</v>
      </c>
    </row>
    <row r="14002" spans="1:6" ht="15" customHeight="1" x14ac:dyDescent="0.25">
      <c r="A14002" s="88"/>
      <c r="B14002" s="88"/>
      <c r="C14002" s="113"/>
      <c r="D14002" s="113"/>
      <c r="E14002" s="114"/>
      <c r="F14002" s="113"/>
    </row>
    <row r="14003" spans="1:6" ht="15" customHeight="1" x14ac:dyDescent="0.25">
      <c r="A14003" s="96" t="s">
        <v>573</v>
      </c>
      <c r="B14003" s="96"/>
      <c r="C14003" s="92"/>
      <c r="D14003" s="92"/>
      <c r="E14003" s="92"/>
      <c r="F14003" s="92"/>
    </row>
    <row r="14004" spans="1:6" ht="15" customHeight="1" x14ac:dyDescent="0.25">
      <c r="A14004" s="611" t="s">
        <v>563</v>
      </c>
      <c r="B14004" s="608"/>
      <c r="C14004" s="609"/>
      <c r="D14004" s="98" t="s">
        <v>574</v>
      </c>
      <c r="E14004" s="98" t="s">
        <v>575</v>
      </c>
      <c r="F14004" s="98" t="s">
        <v>568</v>
      </c>
    </row>
    <row r="14005" spans="1:6" ht="15" customHeight="1" x14ac:dyDescent="0.25">
      <c r="A14005" s="607" t="s">
        <v>577</v>
      </c>
      <c r="B14005" s="608"/>
      <c r="C14005" s="609"/>
      <c r="D14005" s="116"/>
      <c r="E14005" s="107"/>
      <c r="F14005" s="106">
        <f>+F14022*5%</f>
        <v>102779.53549082758</v>
      </c>
    </row>
    <row r="14006" spans="1:6" ht="15" customHeight="1" x14ac:dyDescent="0.25">
      <c r="A14006" s="607"/>
      <c r="B14006" s="608"/>
      <c r="C14006" s="609"/>
      <c r="D14006" s="142"/>
      <c r="E14006" s="105"/>
      <c r="F14006" s="106"/>
    </row>
    <row r="14007" spans="1:6" ht="15" customHeight="1" x14ac:dyDescent="0.25">
      <c r="A14007" s="607"/>
      <c r="B14007" s="608"/>
      <c r="C14007" s="609"/>
      <c r="D14007" s="142"/>
      <c r="E14007" s="105"/>
      <c r="F14007" s="106"/>
    </row>
    <row r="14008" spans="1:6" ht="15" customHeight="1" x14ac:dyDescent="0.25">
      <c r="A14008" s="607"/>
      <c r="B14008" s="608"/>
      <c r="C14008" s="609"/>
      <c r="D14008" s="142"/>
      <c r="E14008" s="107"/>
      <c r="F14008" s="106"/>
    </row>
    <row r="14009" spans="1:6" ht="15" customHeight="1" x14ac:dyDescent="0.25">
      <c r="A14009" s="607"/>
      <c r="B14009" s="608"/>
      <c r="C14009" s="609"/>
      <c r="D14009" s="142"/>
      <c r="E14009" s="107"/>
      <c r="F14009" s="106"/>
    </row>
    <row r="14010" spans="1:6" ht="15" customHeight="1" x14ac:dyDescent="0.25">
      <c r="A14010" s="607"/>
      <c r="B14010" s="608"/>
      <c r="C14010" s="609"/>
      <c r="D14010" s="142"/>
      <c r="E14010" s="107"/>
      <c r="F14010" s="106"/>
    </row>
    <row r="14011" spans="1:6" ht="15" customHeight="1" x14ac:dyDescent="0.25">
      <c r="A14011" s="607"/>
      <c r="B14011" s="608"/>
      <c r="C14011" s="609"/>
      <c r="D14011" s="142"/>
      <c r="E14011" s="107"/>
      <c r="F14011" s="106"/>
    </row>
    <row r="14012" spans="1:6" ht="15" customHeight="1" x14ac:dyDescent="0.25">
      <c r="A14012" s="607"/>
      <c r="B14012" s="608"/>
      <c r="C14012" s="609"/>
      <c r="D14012" s="142"/>
      <c r="E14012" s="107"/>
      <c r="F14012" s="106"/>
    </row>
    <row r="14013" spans="1:6" ht="15" customHeight="1" x14ac:dyDescent="0.25">
      <c r="A14013" s="610"/>
      <c r="B14013" s="608"/>
      <c r="C14013" s="609"/>
      <c r="D14013" s="115"/>
      <c r="E14013" s="107"/>
      <c r="F14013" s="106"/>
    </row>
    <row r="14014" spans="1:6" ht="15" customHeight="1" x14ac:dyDescent="0.25">
      <c r="A14014" s="611" t="s">
        <v>548</v>
      </c>
      <c r="B14014" s="608"/>
      <c r="C14014" s="609"/>
      <c r="D14014" s="110"/>
      <c r="E14014" s="110"/>
      <c r="F14014" s="112">
        <f>SUM(F14005:F14012)</f>
        <v>102779.53549082758</v>
      </c>
    </row>
    <row r="14015" spans="1:6" ht="15" customHeight="1" x14ac:dyDescent="0.25">
      <c r="A14015" s="88"/>
      <c r="B14015" s="88"/>
      <c r="C14015" s="89"/>
      <c r="D14015" s="113"/>
      <c r="E14015" s="113"/>
      <c r="F14015" s="113"/>
    </row>
    <row r="14016" spans="1:6" ht="15" customHeight="1" x14ac:dyDescent="0.25">
      <c r="A14016" s="96" t="s">
        <v>578</v>
      </c>
      <c r="B14016" s="96"/>
      <c r="C14016" s="92"/>
      <c r="D14016" s="118"/>
      <c r="E14016" s="118"/>
      <c r="F14016" s="118"/>
    </row>
    <row r="14017" spans="1:6" ht="15" customHeight="1" x14ac:dyDescent="0.25">
      <c r="A14017" s="119" t="s">
        <v>563</v>
      </c>
      <c r="B14017" s="120" t="s">
        <v>579</v>
      </c>
      <c r="C14017" s="120" t="s">
        <v>580</v>
      </c>
      <c r="D14017" s="121" t="s">
        <v>581</v>
      </c>
      <c r="E14017" s="121" t="s">
        <v>575</v>
      </c>
      <c r="F14017" s="121" t="s">
        <v>568</v>
      </c>
    </row>
    <row r="14018" spans="1:6" ht="15" customHeight="1" x14ac:dyDescent="0.25">
      <c r="A14018" s="122" t="s">
        <v>593</v>
      </c>
      <c r="B14018" s="127">
        <v>1</v>
      </c>
      <c r="C14018" s="101">
        <v>32688</v>
      </c>
      <c r="D14018" s="101">
        <f t="shared" ref="D14018:D14019" si="687">+C14018*1.7</f>
        <v>55569.599999999999</v>
      </c>
      <c r="E14018" s="107">
        <v>7.0483000000000004E-2</v>
      </c>
      <c r="F14018" s="106">
        <f t="shared" ref="F14018:F14019" si="688">+B14018*(D14018)/E14018</f>
        <v>788411.38998056261</v>
      </c>
    </row>
    <row r="14019" spans="1:6" ht="15" customHeight="1" x14ac:dyDescent="0.25">
      <c r="A14019" s="122" t="s">
        <v>594</v>
      </c>
      <c r="B14019" s="127">
        <v>1</v>
      </c>
      <c r="C14019" s="101">
        <v>52538</v>
      </c>
      <c r="D14019" s="101">
        <f t="shared" si="687"/>
        <v>89314.599999999991</v>
      </c>
      <c r="E14019" s="107">
        <f>E14018</f>
        <v>7.0483000000000004E-2</v>
      </c>
      <c r="F14019" s="106">
        <f t="shared" si="688"/>
        <v>1267179.3198359886</v>
      </c>
    </row>
    <row r="14020" spans="1:6" ht="15" customHeight="1" x14ac:dyDescent="0.25">
      <c r="A14020" s="122"/>
      <c r="B14020" s="127"/>
      <c r="C14020" s="101"/>
      <c r="D14020" s="101"/>
      <c r="E14020" s="105"/>
      <c r="F14020" s="106"/>
    </row>
    <row r="14021" spans="1:6" ht="15" customHeight="1" x14ac:dyDescent="0.25">
      <c r="A14021" s="122"/>
      <c r="B14021" s="127"/>
      <c r="C14021" s="101"/>
      <c r="D14021" s="101"/>
      <c r="E14021" s="125"/>
      <c r="F14021" s="106"/>
    </row>
    <row r="14022" spans="1:6" ht="15" customHeight="1" x14ac:dyDescent="0.25">
      <c r="A14022" s="97" t="s">
        <v>548</v>
      </c>
      <c r="B14022" s="128"/>
      <c r="C14022" s="110"/>
      <c r="D14022" s="110"/>
      <c r="E14022" s="110"/>
      <c r="F14022" s="112">
        <f>SUM(F14018:F14021)</f>
        <v>2055590.7098165513</v>
      </c>
    </row>
    <row r="14023" spans="1:6" ht="15" customHeight="1" x14ac:dyDescent="0.25">
      <c r="A14023" s="96"/>
      <c r="B14023" s="129"/>
      <c r="C14023" s="118"/>
      <c r="D14023" s="118"/>
      <c r="E14023" s="118"/>
      <c r="F14023" s="118"/>
    </row>
    <row r="14024" spans="1:6" ht="15" customHeight="1" x14ac:dyDescent="0.25">
      <c r="A14024" s="95" t="s">
        <v>583</v>
      </c>
      <c r="B14024" s="96"/>
      <c r="C14024" s="92"/>
      <c r="D14024" s="92"/>
      <c r="E14024" s="92" t="s">
        <v>584</v>
      </c>
      <c r="F14024" s="92"/>
    </row>
    <row r="14025" spans="1:6" ht="15" customHeight="1" x14ac:dyDescent="0.25">
      <c r="A14025" s="97" t="s">
        <v>563</v>
      </c>
      <c r="B14025" s="98" t="s">
        <v>564</v>
      </c>
      <c r="C14025" s="98" t="s">
        <v>585</v>
      </c>
      <c r="D14025" s="98" t="s">
        <v>586</v>
      </c>
      <c r="E14025" s="120" t="s">
        <v>587</v>
      </c>
      <c r="F14025" s="98" t="s">
        <v>568</v>
      </c>
    </row>
    <row r="14026" spans="1:6" ht="15" customHeight="1" x14ac:dyDescent="0.25">
      <c r="A14026" s="103"/>
      <c r="B14026" s="100"/>
      <c r="C14026" s="101"/>
      <c r="D14026" s="140"/>
      <c r="E14026" s="107"/>
      <c r="F14026" s="109"/>
    </row>
    <row r="14027" spans="1:6" ht="15" customHeight="1" x14ac:dyDescent="0.25">
      <c r="A14027" s="103"/>
      <c r="B14027" s="100"/>
      <c r="C14027" s="107"/>
      <c r="D14027" s="107"/>
      <c r="E14027" s="108"/>
      <c r="F14027" s="109"/>
    </row>
    <row r="14028" spans="1:6" ht="15" customHeight="1" x14ac:dyDescent="0.25">
      <c r="A14028" s="97" t="s">
        <v>548</v>
      </c>
      <c r="B14028" s="98"/>
      <c r="C14028" s="110"/>
      <c r="D14028" s="110"/>
      <c r="E14028" s="111"/>
      <c r="F14028" s="112">
        <f>SUM(F14026:F14027)</f>
        <v>0</v>
      </c>
    </row>
    <row r="14029" spans="1:6" ht="15" customHeight="1" x14ac:dyDescent="0.25">
      <c r="A14029" s="88"/>
      <c r="B14029" s="89"/>
      <c r="C14029" s="113"/>
      <c r="D14029" s="113"/>
      <c r="E14029" s="114"/>
      <c r="F14029" s="113"/>
    </row>
    <row r="14030" spans="1:6" ht="15" customHeight="1" x14ac:dyDescent="0.25">
      <c r="A14030" s="88"/>
      <c r="B14030" s="89"/>
      <c r="C14030" s="113"/>
      <c r="D14030" s="113"/>
      <c r="E14030" s="114"/>
      <c r="F14030" s="113"/>
    </row>
    <row r="14031" spans="1:6" ht="15" customHeight="1" x14ac:dyDescent="0.25">
      <c r="A14031" s="612" t="s">
        <v>588</v>
      </c>
      <c r="B14031" s="608"/>
      <c r="C14031" s="608"/>
      <c r="D14031" s="608"/>
      <c r="E14031" s="609"/>
      <c r="F14031" s="131">
        <f>ROUND(F14001+F14014+F14022+F14028,0)</f>
        <v>35053600</v>
      </c>
    </row>
    <row r="14032" spans="1:6" ht="15" customHeight="1" x14ac:dyDescent="0.25">
      <c r="A14032" s="612" t="s">
        <v>589</v>
      </c>
      <c r="B14032" s="608"/>
      <c r="C14032" s="608"/>
      <c r="D14032" s="608"/>
      <c r="E14032" s="609"/>
      <c r="F14032" s="132"/>
    </row>
    <row r="14033" spans="1:6" ht="15" customHeight="1" x14ac:dyDescent="0.25">
      <c r="A14033" s="146" t="s">
        <v>556</v>
      </c>
      <c r="B14033" s="147"/>
      <c r="C14033" s="147"/>
      <c r="D14033" s="147"/>
      <c r="E14033" s="148"/>
      <c r="F14033" s="133"/>
    </row>
    <row r="14034" spans="1:6" ht="15" customHeight="1" x14ac:dyDescent="0.25">
      <c r="A14034" s="134"/>
      <c r="B14034" s="135"/>
      <c r="C14034" s="135"/>
      <c r="D14034" s="135"/>
      <c r="E14034" s="135"/>
      <c r="F14034" s="136"/>
    </row>
    <row r="14035" spans="1:6" ht="15" customHeight="1" x14ac:dyDescent="0.25">
      <c r="A14035" s="81"/>
      <c r="B14035" s="81"/>
      <c r="C14035" s="137"/>
      <c r="D14035" s="81"/>
      <c r="E14035" s="81"/>
      <c r="F14035" s="81"/>
    </row>
    <row r="14036" spans="1:6" ht="15" customHeight="1" x14ac:dyDescent="0.25">
      <c r="A14036" s="81"/>
      <c r="B14036" s="81"/>
      <c r="C14036" s="137"/>
      <c r="D14036" s="81"/>
      <c r="E14036" s="81"/>
      <c r="F14036" s="81"/>
    </row>
    <row r="14037" spans="1:6" ht="15" customHeight="1" x14ac:dyDescent="0.25">
      <c r="A14037" s="81"/>
      <c r="B14037" s="81"/>
      <c r="C14037" s="137"/>
      <c r="D14037" s="81"/>
      <c r="E14037" s="81"/>
      <c r="F14037" s="81"/>
    </row>
    <row r="14038" spans="1:6" ht="15" customHeight="1" x14ac:dyDescent="0.25">
      <c r="A14038" s="81"/>
      <c r="B14038" s="81"/>
      <c r="C14038" s="137"/>
      <c r="D14038" s="81"/>
      <c r="E14038" s="81"/>
      <c r="F14038" s="81"/>
    </row>
    <row r="14039" spans="1:6" ht="15" customHeight="1" x14ac:dyDescent="0.25">
      <c r="A14039" s="134"/>
      <c r="B14039" s="135"/>
      <c r="C14039" s="135"/>
      <c r="D14039" s="135"/>
      <c r="E14039" s="135"/>
      <c r="F14039" s="136"/>
    </row>
    <row r="14040" spans="1:6" ht="15" customHeight="1" x14ac:dyDescent="0.25">
      <c r="A14040" s="134"/>
      <c r="B14040" s="135"/>
      <c r="C14040" s="135"/>
      <c r="D14040" s="135"/>
      <c r="E14040" s="135"/>
      <c r="F14040" s="136"/>
    </row>
    <row r="14041" spans="1:6" ht="15" customHeight="1" x14ac:dyDescent="0.25">
      <c r="A14041" s="134"/>
      <c r="B14041" s="135"/>
      <c r="C14041" s="135"/>
      <c r="D14041" s="135"/>
      <c r="E14041" s="135"/>
      <c r="F14041" s="135"/>
    </row>
    <row r="14042" spans="1:6" ht="15" customHeight="1" thickBot="1" x14ac:dyDescent="0.3">
      <c r="A14042" s="81"/>
      <c r="B14042" s="81"/>
      <c r="C14042" s="81"/>
      <c r="D14042" s="81"/>
      <c r="E14042" s="81"/>
      <c r="F14042" s="81"/>
    </row>
    <row r="14043" spans="1:6" ht="15" customHeight="1" x14ac:dyDescent="0.25">
      <c r="A14043" s="83"/>
      <c r="B14043" s="84"/>
      <c r="C14043" s="85"/>
      <c r="D14043" s="86"/>
      <c r="E14043" s="86"/>
      <c r="F14043" s="87"/>
    </row>
    <row r="14044" spans="1:6" ht="15" customHeight="1" x14ac:dyDescent="0.25">
      <c r="A14044" s="599"/>
      <c r="B14044" s="600"/>
      <c r="C14044" s="600"/>
      <c r="D14044" s="600"/>
      <c r="E14044" s="600"/>
      <c r="F14044" s="601"/>
    </row>
    <row r="14045" spans="1:6" ht="15" customHeight="1" x14ac:dyDescent="0.25">
      <c r="A14045" s="602" t="s">
        <v>561</v>
      </c>
      <c r="B14045" s="600"/>
      <c r="C14045" s="600"/>
      <c r="D14045" s="600"/>
      <c r="E14045" s="600"/>
      <c r="F14045" s="601"/>
    </row>
    <row r="14046" spans="1:6" ht="15" customHeight="1" thickBot="1" x14ac:dyDescent="0.3">
      <c r="A14046" s="603"/>
      <c r="B14046" s="604"/>
      <c r="C14046" s="604"/>
      <c r="D14046" s="604"/>
      <c r="E14046" s="604"/>
      <c r="F14046" s="605"/>
    </row>
    <row r="14047" spans="1:6" ht="15" customHeight="1" x14ac:dyDescent="0.25">
      <c r="A14047" s="88"/>
      <c r="B14047" s="88"/>
      <c r="C14047" s="89"/>
      <c r="D14047" s="89"/>
      <c r="E14047" s="89"/>
      <c r="F14047" s="89"/>
    </row>
    <row r="14048" spans="1:6" ht="15" customHeight="1" x14ac:dyDescent="0.25">
      <c r="A14048" s="90" t="s">
        <v>47</v>
      </c>
      <c r="B14048" s="613" t="s">
        <v>898</v>
      </c>
      <c r="C14048" s="600"/>
      <c r="D14048" s="600"/>
      <c r="E14048" s="600"/>
      <c r="F14048" s="600"/>
    </row>
    <row r="14049" spans="1:6" ht="15" customHeight="1" x14ac:dyDescent="0.25">
      <c r="A14049" s="91"/>
      <c r="B14049" s="91"/>
      <c r="C14049" s="91"/>
      <c r="D14049" s="91"/>
      <c r="E14049" s="91"/>
      <c r="F14049" s="91"/>
    </row>
    <row r="14050" spans="1:6" ht="15" customHeight="1" x14ac:dyDescent="0.25">
      <c r="A14050" s="88" t="s">
        <v>49</v>
      </c>
      <c r="B14050" s="92" t="s">
        <v>99</v>
      </c>
      <c r="C14050" s="89"/>
      <c r="D14050" s="89"/>
      <c r="E14050" s="89"/>
      <c r="F14050" s="93"/>
    </row>
    <row r="14051" spans="1:6" ht="15" customHeight="1" x14ac:dyDescent="0.25">
      <c r="A14051" s="88"/>
      <c r="B14051" s="94"/>
      <c r="C14051" s="89"/>
      <c r="D14051" s="89"/>
      <c r="E14051" s="89"/>
      <c r="F14051" s="93"/>
    </row>
    <row r="14052" spans="1:6" ht="15" customHeight="1" x14ac:dyDescent="0.25">
      <c r="A14052" s="95" t="s">
        <v>562</v>
      </c>
      <c r="B14052" s="96"/>
      <c r="C14052" s="92"/>
      <c r="D14052" s="92"/>
      <c r="E14052" s="92"/>
      <c r="F14052" s="92"/>
    </row>
    <row r="14053" spans="1:6" ht="15" customHeight="1" x14ac:dyDescent="0.25">
      <c r="A14053" s="97" t="s">
        <v>563</v>
      </c>
      <c r="B14053" s="98" t="s">
        <v>564</v>
      </c>
      <c r="C14053" s="98" t="s">
        <v>565</v>
      </c>
      <c r="D14053" s="98" t="s">
        <v>566</v>
      </c>
      <c r="E14053" s="98" t="s">
        <v>567</v>
      </c>
      <c r="F14053" s="98" t="s">
        <v>568</v>
      </c>
    </row>
    <row r="14054" spans="1:6" ht="15" customHeight="1" x14ac:dyDescent="0.25">
      <c r="A14054" s="99" t="s">
        <v>899</v>
      </c>
      <c r="B14054" s="100" t="s">
        <v>99</v>
      </c>
      <c r="C14054" s="101">
        <v>10798500</v>
      </c>
      <c r="D14054" s="149">
        <v>1</v>
      </c>
      <c r="E14054" s="102"/>
      <c r="F14054" s="101">
        <f t="shared" ref="F14054:F14057" si="689">C14054*(D14054+(D14054*E14054))</f>
        <v>10798500</v>
      </c>
    </row>
    <row r="14055" spans="1:6" ht="15" customHeight="1" x14ac:dyDescent="0.25">
      <c r="A14055" s="99"/>
      <c r="B14055" s="100"/>
      <c r="C14055" s="101"/>
      <c r="D14055" s="149"/>
      <c r="E14055" s="102"/>
      <c r="F14055" s="101">
        <f t="shared" si="689"/>
        <v>0</v>
      </c>
    </row>
    <row r="14056" spans="1:6" ht="15" customHeight="1" x14ac:dyDescent="0.25">
      <c r="A14056" s="99"/>
      <c r="B14056" s="100"/>
      <c r="C14056" s="101"/>
      <c r="D14056" s="149"/>
      <c r="E14056" s="102"/>
      <c r="F14056" s="101">
        <f t="shared" si="689"/>
        <v>0</v>
      </c>
    </row>
    <row r="14057" spans="1:6" ht="15" customHeight="1" x14ac:dyDescent="0.25">
      <c r="A14057" s="99"/>
      <c r="B14057" s="100"/>
      <c r="C14057" s="101"/>
      <c r="D14057" s="149"/>
      <c r="E14057" s="102"/>
      <c r="F14057" s="101">
        <f t="shared" si="689"/>
        <v>0</v>
      </c>
    </row>
    <row r="14058" spans="1:6" ht="15" customHeight="1" x14ac:dyDescent="0.25">
      <c r="A14058" s="99"/>
      <c r="B14058" s="100"/>
      <c r="C14058" s="101"/>
      <c r="D14058" s="149"/>
      <c r="E14058" s="102"/>
      <c r="F14058" s="101"/>
    </row>
    <row r="14059" spans="1:6" ht="15" customHeight="1" x14ac:dyDescent="0.25">
      <c r="A14059" s="99"/>
      <c r="B14059" s="100"/>
      <c r="C14059" s="101"/>
      <c r="D14059" s="149"/>
      <c r="E14059" s="102"/>
      <c r="F14059" s="101"/>
    </row>
    <row r="14060" spans="1:6" ht="15" customHeight="1" x14ac:dyDescent="0.25">
      <c r="A14060" s="99"/>
      <c r="B14060" s="100"/>
      <c r="C14060" s="101"/>
      <c r="D14060" s="149"/>
      <c r="E14060" s="102"/>
      <c r="F14060" s="101"/>
    </row>
    <row r="14061" spans="1:6" ht="15" customHeight="1" x14ac:dyDescent="0.25">
      <c r="A14061" s="99"/>
      <c r="B14061" s="100"/>
      <c r="C14061" s="106"/>
      <c r="D14061" s="107"/>
      <c r="E14061" s="108"/>
      <c r="F14061" s="106"/>
    </row>
    <row r="14062" spans="1:6" ht="15" customHeight="1" x14ac:dyDescent="0.25">
      <c r="A14062" s="97" t="s">
        <v>548</v>
      </c>
      <c r="B14062" s="97"/>
      <c r="C14062" s="109"/>
      <c r="D14062" s="110"/>
      <c r="E14062" s="111"/>
      <c r="F14062" s="112">
        <f>SUM(F14054:F14061)</f>
        <v>10798500</v>
      </c>
    </row>
    <row r="14063" spans="1:6" ht="15" customHeight="1" x14ac:dyDescent="0.25">
      <c r="A14063" s="88"/>
      <c r="B14063" s="88"/>
      <c r="C14063" s="113"/>
      <c r="D14063" s="113"/>
      <c r="E14063" s="114"/>
      <c r="F14063" s="113"/>
    </row>
    <row r="14064" spans="1:6" ht="15" customHeight="1" x14ac:dyDescent="0.25">
      <c r="A14064" s="96" t="s">
        <v>573</v>
      </c>
      <c r="B14064" s="96"/>
      <c r="C14064" s="92"/>
      <c r="D14064" s="92"/>
      <c r="E14064" s="92"/>
      <c r="F14064" s="92"/>
    </row>
    <row r="14065" spans="1:6" ht="15" customHeight="1" x14ac:dyDescent="0.25">
      <c r="A14065" s="611" t="s">
        <v>563</v>
      </c>
      <c r="B14065" s="608"/>
      <c r="C14065" s="609"/>
      <c r="D14065" s="98" t="s">
        <v>574</v>
      </c>
      <c r="E14065" s="98" t="s">
        <v>575</v>
      </c>
      <c r="F14065" s="98" t="s">
        <v>568</v>
      </c>
    </row>
    <row r="14066" spans="1:6" ht="15" customHeight="1" x14ac:dyDescent="0.25">
      <c r="A14066" s="607" t="s">
        <v>577</v>
      </c>
      <c r="B14066" s="608"/>
      <c r="C14066" s="609"/>
      <c r="D14066" s="116"/>
      <c r="E14066" s="107"/>
      <c r="F14066" s="106">
        <f>+F14083*5%</f>
        <v>60347.596745789357</v>
      </c>
    </row>
    <row r="14067" spans="1:6" ht="15" customHeight="1" x14ac:dyDescent="0.25">
      <c r="A14067" s="607"/>
      <c r="B14067" s="608"/>
      <c r="C14067" s="609"/>
      <c r="D14067" s="142"/>
      <c r="E14067" s="105"/>
      <c r="F14067" s="106"/>
    </row>
    <row r="14068" spans="1:6" ht="15" customHeight="1" x14ac:dyDescent="0.25">
      <c r="A14068" s="607"/>
      <c r="B14068" s="608"/>
      <c r="C14068" s="609"/>
      <c r="D14068" s="142"/>
      <c r="E14068" s="105"/>
      <c r="F14068" s="106"/>
    </row>
    <row r="14069" spans="1:6" ht="15" customHeight="1" x14ac:dyDescent="0.25">
      <c r="A14069" s="607"/>
      <c r="B14069" s="608"/>
      <c r="C14069" s="609"/>
      <c r="D14069" s="142"/>
      <c r="E14069" s="107"/>
      <c r="F14069" s="106"/>
    </row>
    <row r="14070" spans="1:6" ht="15" customHeight="1" x14ac:dyDescent="0.25">
      <c r="A14070" s="607"/>
      <c r="B14070" s="608"/>
      <c r="C14070" s="609"/>
      <c r="D14070" s="142"/>
      <c r="E14070" s="107"/>
      <c r="F14070" s="106"/>
    </row>
    <row r="14071" spans="1:6" ht="15" customHeight="1" x14ac:dyDescent="0.25">
      <c r="A14071" s="607"/>
      <c r="B14071" s="608"/>
      <c r="C14071" s="609"/>
      <c r="D14071" s="142"/>
      <c r="E14071" s="107"/>
      <c r="F14071" s="106"/>
    </row>
    <row r="14072" spans="1:6" ht="15" customHeight="1" x14ac:dyDescent="0.25">
      <c r="A14072" s="607"/>
      <c r="B14072" s="608"/>
      <c r="C14072" s="609"/>
      <c r="D14072" s="142"/>
      <c r="E14072" s="107"/>
      <c r="F14072" s="106"/>
    </row>
    <row r="14073" spans="1:6" ht="15" customHeight="1" x14ac:dyDescent="0.25">
      <c r="A14073" s="607"/>
      <c r="B14073" s="608"/>
      <c r="C14073" s="609"/>
      <c r="D14073" s="142"/>
      <c r="E14073" s="107"/>
      <c r="F14073" s="106"/>
    </row>
    <row r="14074" spans="1:6" ht="15" customHeight="1" x14ac:dyDescent="0.25">
      <c r="A14074" s="610"/>
      <c r="B14074" s="608"/>
      <c r="C14074" s="609"/>
      <c r="D14074" s="115"/>
      <c r="E14074" s="107"/>
      <c r="F14074" s="106"/>
    </row>
    <row r="14075" spans="1:6" ht="15" customHeight="1" x14ac:dyDescent="0.25">
      <c r="A14075" s="611" t="s">
        <v>548</v>
      </c>
      <c r="B14075" s="608"/>
      <c r="C14075" s="609"/>
      <c r="D14075" s="110"/>
      <c r="E14075" s="110"/>
      <c r="F14075" s="112">
        <f>SUM(F14066:F14073)</f>
        <v>60347.596745789357</v>
      </c>
    </row>
    <row r="14076" spans="1:6" ht="15" customHeight="1" x14ac:dyDescent="0.25">
      <c r="A14076" s="88"/>
      <c r="B14076" s="88"/>
      <c r="C14076" s="89"/>
      <c r="D14076" s="113"/>
      <c r="E14076" s="113"/>
      <c r="F14076" s="113"/>
    </row>
    <row r="14077" spans="1:6" ht="15" customHeight="1" x14ac:dyDescent="0.25">
      <c r="A14077" s="96" t="s">
        <v>578</v>
      </c>
      <c r="B14077" s="96"/>
      <c r="C14077" s="92"/>
      <c r="D14077" s="118"/>
      <c r="E14077" s="118"/>
      <c r="F14077" s="118"/>
    </row>
    <row r="14078" spans="1:6" ht="15" customHeight="1" x14ac:dyDescent="0.25">
      <c r="A14078" s="119" t="s">
        <v>563</v>
      </c>
      <c r="B14078" s="120" t="s">
        <v>579</v>
      </c>
      <c r="C14078" s="120" t="s">
        <v>580</v>
      </c>
      <c r="D14078" s="121" t="s">
        <v>581</v>
      </c>
      <c r="E14078" s="121" t="s">
        <v>575</v>
      </c>
      <c r="F14078" s="121" t="s">
        <v>568</v>
      </c>
    </row>
    <row r="14079" spans="1:6" ht="15" customHeight="1" x14ac:dyDescent="0.25">
      <c r="A14079" s="122" t="s">
        <v>593</v>
      </c>
      <c r="B14079" s="127">
        <v>1</v>
      </c>
      <c r="C14079" s="101">
        <v>32688</v>
      </c>
      <c r="D14079" s="101">
        <f t="shared" ref="D14079:D14080" si="690">+C14079*1.7</f>
        <v>55569.599999999999</v>
      </c>
      <c r="E14079" s="107">
        <v>0.12004140000000001</v>
      </c>
      <c r="F14079" s="106">
        <f t="shared" ref="F14079:F14080" si="691">+B14079*(D14079)/E14079</f>
        <v>462920.29249908775</v>
      </c>
    </row>
    <row r="14080" spans="1:6" ht="15" customHeight="1" x14ac:dyDescent="0.25">
      <c r="A14080" s="122" t="s">
        <v>594</v>
      </c>
      <c r="B14080" s="127">
        <v>1</v>
      </c>
      <c r="C14080" s="101">
        <v>52538</v>
      </c>
      <c r="D14080" s="101">
        <f t="shared" si="690"/>
        <v>89314.599999999991</v>
      </c>
      <c r="E14080" s="107">
        <f>E14079</f>
        <v>0.12004140000000001</v>
      </c>
      <c r="F14080" s="106">
        <f t="shared" si="691"/>
        <v>744031.64241669944</v>
      </c>
    </row>
    <row r="14081" spans="1:6" ht="15" customHeight="1" x14ac:dyDescent="0.25">
      <c r="A14081" s="122"/>
      <c r="B14081" s="127"/>
      <c r="C14081" s="101"/>
      <c r="D14081" s="101"/>
      <c r="E14081" s="105"/>
      <c r="F14081" s="106"/>
    </row>
    <row r="14082" spans="1:6" ht="15" customHeight="1" x14ac:dyDescent="0.25">
      <c r="A14082" s="122"/>
      <c r="B14082" s="127"/>
      <c r="C14082" s="101"/>
      <c r="D14082" s="101"/>
      <c r="E14082" s="125"/>
      <c r="F14082" s="106"/>
    </row>
    <row r="14083" spans="1:6" ht="15" customHeight="1" x14ac:dyDescent="0.25">
      <c r="A14083" s="97" t="s">
        <v>548</v>
      </c>
      <c r="B14083" s="128"/>
      <c r="C14083" s="110"/>
      <c r="D14083" s="110"/>
      <c r="E14083" s="110"/>
      <c r="F14083" s="112">
        <f>SUM(F14079:F14082)</f>
        <v>1206951.9349157871</v>
      </c>
    </row>
    <row r="14084" spans="1:6" ht="15" customHeight="1" x14ac:dyDescent="0.25">
      <c r="A14084" s="96"/>
      <c r="B14084" s="129"/>
      <c r="C14084" s="118"/>
      <c r="D14084" s="118"/>
      <c r="E14084" s="118"/>
      <c r="F14084" s="118"/>
    </row>
    <row r="14085" spans="1:6" ht="15" customHeight="1" x14ac:dyDescent="0.25">
      <c r="A14085" s="95" t="s">
        <v>583</v>
      </c>
      <c r="B14085" s="96"/>
      <c r="C14085" s="92"/>
      <c r="D14085" s="92"/>
      <c r="E14085" s="92" t="s">
        <v>584</v>
      </c>
      <c r="F14085" s="92"/>
    </row>
    <row r="14086" spans="1:6" ht="15" customHeight="1" x14ac:dyDescent="0.25">
      <c r="A14086" s="97" t="s">
        <v>563</v>
      </c>
      <c r="B14086" s="98" t="s">
        <v>564</v>
      </c>
      <c r="C14086" s="98" t="s">
        <v>585</v>
      </c>
      <c r="D14086" s="98" t="s">
        <v>586</v>
      </c>
      <c r="E14086" s="120" t="s">
        <v>587</v>
      </c>
      <c r="F14086" s="98" t="s">
        <v>568</v>
      </c>
    </row>
    <row r="14087" spans="1:6" ht="15" customHeight="1" x14ac:dyDescent="0.25">
      <c r="A14087" s="103"/>
      <c r="B14087" s="100"/>
      <c r="C14087" s="101"/>
      <c r="D14087" s="140"/>
      <c r="E14087" s="107"/>
      <c r="F14087" s="109"/>
    </row>
    <row r="14088" spans="1:6" ht="15" customHeight="1" x14ac:dyDescent="0.25">
      <c r="A14088" s="103"/>
      <c r="B14088" s="100"/>
      <c r="C14088" s="107"/>
      <c r="D14088" s="107"/>
      <c r="E14088" s="108"/>
      <c r="F14088" s="109"/>
    </row>
    <row r="14089" spans="1:6" ht="15" customHeight="1" x14ac:dyDescent="0.25">
      <c r="A14089" s="97" t="s">
        <v>548</v>
      </c>
      <c r="B14089" s="98"/>
      <c r="C14089" s="110"/>
      <c r="D14089" s="110"/>
      <c r="E14089" s="111"/>
      <c r="F14089" s="112">
        <f>SUM(F14087:F14088)</f>
        <v>0</v>
      </c>
    </row>
    <row r="14090" spans="1:6" ht="15" customHeight="1" x14ac:dyDescent="0.25">
      <c r="A14090" s="88"/>
      <c r="B14090" s="89"/>
      <c r="C14090" s="113"/>
      <c r="D14090" s="113"/>
      <c r="E14090" s="114"/>
      <c r="F14090" s="113"/>
    </row>
    <row r="14091" spans="1:6" ht="15" customHeight="1" x14ac:dyDescent="0.25">
      <c r="A14091" s="88"/>
      <c r="B14091" s="89"/>
      <c r="C14091" s="113"/>
      <c r="D14091" s="113"/>
      <c r="E14091" s="114"/>
      <c r="F14091" s="113"/>
    </row>
    <row r="14092" spans="1:6" ht="15" customHeight="1" x14ac:dyDescent="0.25">
      <c r="A14092" s="612" t="s">
        <v>588</v>
      </c>
      <c r="B14092" s="608"/>
      <c r="C14092" s="608"/>
      <c r="D14092" s="608"/>
      <c r="E14092" s="609"/>
      <c r="F14092" s="131">
        <f>ROUND(F14062+F14075+F14083+F14089,0)</f>
        <v>12065800</v>
      </c>
    </row>
    <row r="14093" spans="1:6" ht="15" customHeight="1" x14ac:dyDescent="0.25">
      <c r="A14093" s="612" t="s">
        <v>589</v>
      </c>
      <c r="B14093" s="608"/>
      <c r="C14093" s="608"/>
      <c r="D14093" s="608"/>
      <c r="E14093" s="609"/>
      <c r="F14093" s="132"/>
    </row>
    <row r="14094" spans="1:6" ht="15" customHeight="1" x14ac:dyDescent="0.25">
      <c r="A14094" s="146" t="s">
        <v>556</v>
      </c>
      <c r="B14094" s="147"/>
      <c r="C14094" s="147"/>
      <c r="D14094" s="147"/>
      <c r="E14094" s="148"/>
      <c r="F14094" s="133"/>
    </row>
    <row r="14095" spans="1:6" ht="15" customHeight="1" x14ac:dyDescent="0.25">
      <c r="A14095" s="134"/>
      <c r="B14095" s="135"/>
      <c r="C14095" s="135"/>
      <c r="D14095" s="135"/>
      <c r="E14095" s="135"/>
      <c r="F14095" s="136"/>
    </row>
    <row r="14096" spans="1:6" ht="15" customHeight="1" x14ac:dyDescent="0.25">
      <c r="A14096" s="81"/>
      <c r="B14096" s="81"/>
      <c r="C14096" s="137"/>
      <c r="D14096" s="81"/>
      <c r="E14096" s="81"/>
      <c r="F14096" s="81"/>
    </row>
    <row r="14097" spans="1:6" ht="15" customHeight="1" x14ac:dyDescent="0.25">
      <c r="A14097" s="81"/>
      <c r="B14097" s="81"/>
      <c r="C14097" s="137"/>
      <c r="D14097" s="81"/>
      <c r="E14097" s="81"/>
      <c r="F14097" s="81"/>
    </row>
    <row r="14098" spans="1:6" ht="15" customHeight="1" x14ac:dyDescent="0.25">
      <c r="A14098" s="81"/>
      <c r="B14098" s="81"/>
      <c r="C14098" s="137"/>
      <c r="D14098" s="81"/>
      <c r="E14098" s="81"/>
      <c r="F14098" s="81"/>
    </row>
    <row r="14099" spans="1:6" ht="15" customHeight="1" x14ac:dyDescent="0.25">
      <c r="A14099" s="81"/>
      <c r="B14099" s="81"/>
      <c r="C14099" s="137"/>
      <c r="D14099" s="81"/>
      <c r="E14099" s="81"/>
      <c r="F14099" s="81"/>
    </row>
    <row r="14100" spans="1:6" ht="15" customHeight="1" x14ac:dyDescent="0.25">
      <c r="A14100" s="134"/>
      <c r="B14100" s="135"/>
      <c r="C14100" s="135"/>
      <c r="D14100" s="135"/>
      <c r="E14100" s="135"/>
      <c r="F14100" s="136"/>
    </row>
    <row r="14101" spans="1:6" ht="15" customHeight="1" x14ac:dyDescent="0.25">
      <c r="A14101" s="134"/>
      <c r="B14101" s="135"/>
      <c r="C14101" s="135"/>
      <c r="D14101" s="135"/>
      <c r="E14101" s="135"/>
      <c r="F14101" s="136"/>
    </row>
    <row r="14102" spans="1:6" ht="15" customHeight="1" x14ac:dyDescent="0.25">
      <c r="A14102" s="134"/>
      <c r="B14102" s="135"/>
      <c r="C14102" s="135"/>
      <c r="D14102" s="135"/>
      <c r="E14102" s="135"/>
      <c r="F14102" s="135"/>
    </row>
    <row r="14103" spans="1:6" ht="15" customHeight="1" thickBot="1" x14ac:dyDescent="0.3">
      <c r="A14103" s="81"/>
      <c r="B14103" s="81"/>
      <c r="C14103" s="81"/>
      <c r="D14103" s="81"/>
      <c r="E14103" s="81"/>
      <c r="F14103" s="81"/>
    </row>
    <row r="14104" spans="1:6" ht="15" customHeight="1" x14ac:dyDescent="0.25">
      <c r="A14104" s="83"/>
      <c r="B14104" s="84"/>
      <c r="C14104" s="85"/>
      <c r="D14104" s="86"/>
      <c r="E14104" s="86"/>
      <c r="F14104" s="87"/>
    </row>
    <row r="14105" spans="1:6" ht="15" customHeight="1" x14ac:dyDescent="0.25">
      <c r="A14105" s="599"/>
      <c r="B14105" s="600"/>
      <c r="C14105" s="600"/>
      <c r="D14105" s="600"/>
      <c r="E14105" s="600"/>
      <c r="F14105" s="601"/>
    </row>
    <row r="14106" spans="1:6" ht="15" customHeight="1" x14ac:dyDescent="0.25">
      <c r="A14106" s="602" t="s">
        <v>561</v>
      </c>
      <c r="B14106" s="600"/>
      <c r="C14106" s="600"/>
      <c r="D14106" s="600"/>
      <c r="E14106" s="600"/>
      <c r="F14106" s="601"/>
    </row>
    <row r="14107" spans="1:6" ht="15" customHeight="1" thickBot="1" x14ac:dyDescent="0.3">
      <c r="A14107" s="603"/>
      <c r="B14107" s="604"/>
      <c r="C14107" s="604"/>
      <c r="D14107" s="604"/>
      <c r="E14107" s="604"/>
      <c r="F14107" s="605"/>
    </row>
    <row r="14108" spans="1:6" ht="15" customHeight="1" x14ac:dyDescent="0.25">
      <c r="A14108" s="88"/>
      <c r="B14108" s="88"/>
      <c r="C14108" s="89"/>
      <c r="D14108" s="89"/>
      <c r="E14108" s="89"/>
      <c r="F14108" s="89"/>
    </row>
    <row r="14109" spans="1:6" ht="15" customHeight="1" x14ac:dyDescent="0.25">
      <c r="A14109" s="90" t="s">
        <v>47</v>
      </c>
      <c r="B14109" s="613" t="s">
        <v>900</v>
      </c>
      <c r="C14109" s="600"/>
      <c r="D14109" s="600"/>
      <c r="E14109" s="600"/>
      <c r="F14109" s="600"/>
    </row>
    <row r="14110" spans="1:6" ht="15" customHeight="1" x14ac:dyDescent="0.25">
      <c r="A14110" s="91"/>
      <c r="B14110" s="91"/>
      <c r="C14110" s="91"/>
      <c r="D14110" s="91"/>
      <c r="E14110" s="91"/>
      <c r="F14110" s="91"/>
    </row>
    <row r="14111" spans="1:6" ht="15" customHeight="1" x14ac:dyDescent="0.25">
      <c r="A14111" s="88" t="s">
        <v>49</v>
      </c>
      <c r="B14111" s="92" t="s">
        <v>99</v>
      </c>
      <c r="C14111" s="89"/>
      <c r="D14111" s="89"/>
      <c r="E14111" s="89"/>
      <c r="F14111" s="93"/>
    </row>
    <row r="14112" spans="1:6" ht="15" customHeight="1" x14ac:dyDescent="0.25">
      <c r="A14112" s="88"/>
      <c r="B14112" s="94"/>
      <c r="C14112" s="89"/>
      <c r="D14112" s="89"/>
      <c r="E14112" s="89"/>
      <c r="F14112" s="93"/>
    </row>
    <row r="14113" spans="1:6" ht="15" customHeight="1" x14ac:dyDescent="0.25">
      <c r="A14113" s="95" t="s">
        <v>562</v>
      </c>
      <c r="B14113" s="96"/>
      <c r="C14113" s="92"/>
      <c r="D14113" s="92"/>
      <c r="E14113" s="92"/>
      <c r="F14113" s="92"/>
    </row>
    <row r="14114" spans="1:6" ht="15" customHeight="1" x14ac:dyDescent="0.25">
      <c r="A14114" s="97" t="s">
        <v>563</v>
      </c>
      <c r="B14114" s="98" t="s">
        <v>564</v>
      </c>
      <c r="C14114" s="98" t="s">
        <v>565</v>
      </c>
      <c r="D14114" s="98" t="s">
        <v>566</v>
      </c>
      <c r="E14114" s="98" t="s">
        <v>567</v>
      </c>
      <c r="F14114" s="98" t="s">
        <v>568</v>
      </c>
    </row>
    <row r="14115" spans="1:6" ht="15" customHeight="1" x14ac:dyDescent="0.25">
      <c r="A14115" s="99" t="s">
        <v>901</v>
      </c>
      <c r="B14115" s="100" t="s">
        <v>99</v>
      </c>
      <c r="C14115" s="101">
        <v>8315000</v>
      </c>
      <c r="D14115" s="149">
        <v>1</v>
      </c>
      <c r="E14115" s="102"/>
      <c r="F14115" s="101">
        <f t="shared" ref="F14115:F14118" si="692">C14115*(D14115+(D14115*E14115))</f>
        <v>8315000</v>
      </c>
    </row>
    <row r="14116" spans="1:6" ht="15" customHeight="1" x14ac:dyDescent="0.25">
      <c r="A14116" s="99"/>
      <c r="B14116" s="100"/>
      <c r="C14116" s="101"/>
      <c r="D14116" s="149"/>
      <c r="E14116" s="102"/>
      <c r="F14116" s="101">
        <f t="shared" si="692"/>
        <v>0</v>
      </c>
    </row>
    <row r="14117" spans="1:6" ht="15" customHeight="1" x14ac:dyDescent="0.25">
      <c r="A14117" s="99"/>
      <c r="B14117" s="100"/>
      <c r="C14117" s="101"/>
      <c r="D14117" s="149"/>
      <c r="E14117" s="102"/>
      <c r="F14117" s="101">
        <f t="shared" si="692"/>
        <v>0</v>
      </c>
    </row>
    <row r="14118" spans="1:6" ht="15" customHeight="1" x14ac:dyDescent="0.25">
      <c r="A14118" s="99"/>
      <c r="B14118" s="100"/>
      <c r="C14118" s="101"/>
      <c r="D14118" s="149"/>
      <c r="E14118" s="102"/>
      <c r="F14118" s="101">
        <f t="shared" si="692"/>
        <v>0</v>
      </c>
    </row>
    <row r="14119" spans="1:6" ht="15" customHeight="1" x14ac:dyDescent="0.25">
      <c r="A14119" s="99"/>
      <c r="B14119" s="100"/>
      <c r="C14119" s="101"/>
      <c r="D14119" s="149"/>
      <c r="E14119" s="102"/>
      <c r="F14119" s="101"/>
    </row>
    <row r="14120" spans="1:6" ht="15" customHeight="1" x14ac:dyDescent="0.25">
      <c r="A14120" s="99"/>
      <c r="B14120" s="100"/>
      <c r="C14120" s="101"/>
      <c r="D14120" s="149"/>
      <c r="E14120" s="102"/>
      <c r="F14120" s="101"/>
    </row>
    <row r="14121" spans="1:6" ht="15" customHeight="1" x14ac:dyDescent="0.25">
      <c r="A14121" s="99"/>
      <c r="B14121" s="100"/>
      <c r="C14121" s="101"/>
      <c r="D14121" s="149"/>
      <c r="E14121" s="102"/>
      <c r="F14121" s="101"/>
    </row>
    <row r="14122" spans="1:6" ht="15" customHeight="1" x14ac:dyDescent="0.25">
      <c r="A14122" s="99"/>
      <c r="B14122" s="100"/>
      <c r="C14122" s="106"/>
      <c r="D14122" s="107"/>
      <c r="E14122" s="108"/>
      <c r="F14122" s="106"/>
    </row>
    <row r="14123" spans="1:6" ht="15" customHeight="1" x14ac:dyDescent="0.25">
      <c r="A14123" s="97" t="s">
        <v>548</v>
      </c>
      <c r="B14123" s="97"/>
      <c r="C14123" s="109"/>
      <c r="D14123" s="110"/>
      <c r="E14123" s="111"/>
      <c r="F14123" s="112">
        <f>SUM(F14115:F14122)</f>
        <v>8315000</v>
      </c>
    </row>
    <row r="14124" spans="1:6" ht="15" customHeight="1" x14ac:dyDescent="0.25">
      <c r="A14124" s="88"/>
      <c r="B14124" s="88"/>
      <c r="C14124" s="113"/>
      <c r="D14124" s="113"/>
      <c r="E14124" s="114"/>
      <c r="F14124" s="113"/>
    </row>
    <row r="14125" spans="1:6" ht="15" customHeight="1" x14ac:dyDescent="0.25">
      <c r="A14125" s="96" t="s">
        <v>573</v>
      </c>
      <c r="B14125" s="96"/>
      <c r="C14125" s="92"/>
      <c r="D14125" s="92"/>
      <c r="E14125" s="92"/>
      <c r="F14125" s="92"/>
    </row>
    <row r="14126" spans="1:6" ht="15" customHeight="1" x14ac:dyDescent="0.25">
      <c r="A14126" s="611" t="s">
        <v>563</v>
      </c>
      <c r="B14126" s="608"/>
      <c r="C14126" s="609"/>
      <c r="D14126" s="98" t="s">
        <v>574</v>
      </c>
      <c r="E14126" s="98" t="s">
        <v>575</v>
      </c>
      <c r="F14126" s="98" t="s">
        <v>568</v>
      </c>
    </row>
    <row r="14127" spans="1:6" ht="15" customHeight="1" x14ac:dyDescent="0.25">
      <c r="A14127" s="607" t="s">
        <v>577</v>
      </c>
      <c r="B14127" s="608"/>
      <c r="C14127" s="609"/>
      <c r="D14127" s="116"/>
      <c r="E14127" s="107"/>
      <c r="F14127" s="106">
        <f>+F14144*5%</f>
        <v>48667.624673582322</v>
      </c>
    </row>
    <row r="14128" spans="1:6" ht="15" customHeight="1" x14ac:dyDescent="0.25">
      <c r="A14128" s="607"/>
      <c r="B14128" s="608"/>
      <c r="C14128" s="609"/>
      <c r="D14128" s="142"/>
      <c r="E14128" s="105"/>
      <c r="F14128" s="106"/>
    </row>
    <row r="14129" spans="1:6" ht="15" customHeight="1" x14ac:dyDescent="0.25">
      <c r="A14129" s="607"/>
      <c r="B14129" s="608"/>
      <c r="C14129" s="609"/>
      <c r="D14129" s="142"/>
      <c r="E14129" s="105"/>
      <c r="F14129" s="106"/>
    </row>
    <row r="14130" spans="1:6" ht="15" customHeight="1" x14ac:dyDescent="0.25">
      <c r="A14130" s="607"/>
      <c r="B14130" s="608"/>
      <c r="C14130" s="609"/>
      <c r="D14130" s="142"/>
      <c r="E14130" s="107"/>
      <c r="F14130" s="106"/>
    </row>
    <row r="14131" spans="1:6" ht="15" customHeight="1" x14ac:dyDescent="0.25">
      <c r="A14131" s="607"/>
      <c r="B14131" s="608"/>
      <c r="C14131" s="609"/>
      <c r="D14131" s="142"/>
      <c r="E14131" s="107"/>
      <c r="F14131" s="106"/>
    </row>
    <row r="14132" spans="1:6" ht="15" customHeight="1" x14ac:dyDescent="0.25">
      <c r="A14132" s="607"/>
      <c r="B14132" s="608"/>
      <c r="C14132" s="609"/>
      <c r="D14132" s="142"/>
      <c r="E14132" s="107"/>
      <c r="F14132" s="106"/>
    </row>
    <row r="14133" spans="1:6" ht="15" customHeight="1" x14ac:dyDescent="0.25">
      <c r="A14133" s="607"/>
      <c r="B14133" s="608"/>
      <c r="C14133" s="609"/>
      <c r="D14133" s="142"/>
      <c r="E14133" s="107"/>
      <c r="F14133" s="106"/>
    </row>
    <row r="14134" spans="1:6" ht="15" customHeight="1" x14ac:dyDescent="0.25">
      <c r="A14134" s="607"/>
      <c r="B14134" s="608"/>
      <c r="C14134" s="609"/>
      <c r="D14134" s="142"/>
      <c r="E14134" s="107"/>
      <c r="F14134" s="106"/>
    </row>
    <row r="14135" spans="1:6" ht="15" customHeight="1" x14ac:dyDescent="0.25">
      <c r="A14135" s="610"/>
      <c r="B14135" s="608"/>
      <c r="C14135" s="609"/>
      <c r="D14135" s="115"/>
      <c r="E14135" s="107"/>
      <c r="F14135" s="106"/>
    </row>
    <row r="14136" spans="1:6" ht="15" customHeight="1" x14ac:dyDescent="0.25">
      <c r="A14136" s="611" t="s">
        <v>548</v>
      </c>
      <c r="B14136" s="608"/>
      <c r="C14136" s="609"/>
      <c r="D14136" s="110"/>
      <c r="E14136" s="110"/>
      <c r="F14136" s="112">
        <f>SUM(F14127:F14134)</f>
        <v>48667.624673582322</v>
      </c>
    </row>
    <row r="14137" spans="1:6" ht="15" customHeight="1" x14ac:dyDescent="0.25">
      <c r="A14137" s="88"/>
      <c r="B14137" s="88"/>
      <c r="C14137" s="89"/>
      <c r="D14137" s="113"/>
      <c r="E14137" s="113"/>
      <c r="F14137" s="113"/>
    </row>
    <row r="14138" spans="1:6" ht="15" customHeight="1" x14ac:dyDescent="0.25">
      <c r="A14138" s="96" t="s">
        <v>578</v>
      </c>
      <c r="B14138" s="96"/>
      <c r="C14138" s="92"/>
      <c r="D14138" s="118"/>
      <c r="E14138" s="118"/>
      <c r="F14138" s="118"/>
    </row>
    <row r="14139" spans="1:6" ht="15" customHeight="1" x14ac:dyDescent="0.25">
      <c r="A14139" s="119" t="s">
        <v>563</v>
      </c>
      <c r="B14139" s="120" t="s">
        <v>579</v>
      </c>
      <c r="C14139" s="120" t="s">
        <v>580</v>
      </c>
      <c r="D14139" s="121" t="s">
        <v>581</v>
      </c>
      <c r="E14139" s="121" t="s">
        <v>575</v>
      </c>
      <c r="F14139" s="121" t="s">
        <v>568</v>
      </c>
    </row>
    <row r="14140" spans="1:6" ht="15" customHeight="1" x14ac:dyDescent="0.25">
      <c r="A14140" s="122" t="s">
        <v>593</v>
      </c>
      <c r="B14140" s="127">
        <v>1</v>
      </c>
      <c r="C14140" s="101">
        <v>32688</v>
      </c>
      <c r="D14140" s="101">
        <f t="shared" ref="D14140:D14141" si="693">+C14140*1.7</f>
        <v>55569.599999999999</v>
      </c>
      <c r="E14140" s="107">
        <v>0.1488507</v>
      </c>
      <c r="F14140" s="106">
        <f t="shared" ref="F14140:F14141" si="694">+B14140*(D14140)/E14140</f>
        <v>373324.41164200101</v>
      </c>
    </row>
    <row r="14141" spans="1:6" ht="15" customHeight="1" x14ac:dyDescent="0.25">
      <c r="A14141" s="122" t="s">
        <v>594</v>
      </c>
      <c r="B14141" s="127">
        <v>1</v>
      </c>
      <c r="C14141" s="101">
        <v>52538</v>
      </c>
      <c r="D14141" s="101">
        <f t="shared" si="693"/>
        <v>89314.599999999991</v>
      </c>
      <c r="E14141" s="107">
        <f>E14140</f>
        <v>0.1488507</v>
      </c>
      <c r="F14141" s="106">
        <f t="shared" si="694"/>
        <v>600028.08182964532</v>
      </c>
    </row>
    <row r="14142" spans="1:6" ht="15" customHeight="1" x14ac:dyDescent="0.25">
      <c r="A14142" s="122"/>
      <c r="B14142" s="127"/>
      <c r="C14142" s="101"/>
      <c r="D14142" s="101"/>
      <c r="E14142" s="105"/>
      <c r="F14142" s="106"/>
    </row>
    <row r="14143" spans="1:6" ht="15" customHeight="1" x14ac:dyDescent="0.25">
      <c r="A14143" s="122"/>
      <c r="B14143" s="127"/>
      <c r="C14143" s="101"/>
      <c r="D14143" s="101"/>
      <c r="E14143" s="125"/>
      <c r="F14143" s="106"/>
    </row>
    <row r="14144" spans="1:6" ht="15" customHeight="1" x14ac:dyDescent="0.25">
      <c r="A14144" s="97" t="s">
        <v>548</v>
      </c>
      <c r="B14144" s="128"/>
      <c r="C14144" s="110"/>
      <c r="D14144" s="110"/>
      <c r="E14144" s="110"/>
      <c r="F14144" s="112">
        <f>SUM(F14140:F14143)</f>
        <v>973352.49347164633</v>
      </c>
    </row>
    <row r="14145" spans="1:6" ht="15" customHeight="1" x14ac:dyDescent="0.25">
      <c r="A14145" s="96"/>
      <c r="B14145" s="129"/>
      <c r="C14145" s="118"/>
      <c r="D14145" s="118"/>
      <c r="E14145" s="118"/>
      <c r="F14145" s="118"/>
    </row>
    <row r="14146" spans="1:6" ht="15" customHeight="1" x14ac:dyDescent="0.25">
      <c r="A14146" s="95" t="s">
        <v>583</v>
      </c>
      <c r="B14146" s="96"/>
      <c r="C14146" s="92"/>
      <c r="D14146" s="92"/>
      <c r="E14146" s="92" t="s">
        <v>584</v>
      </c>
      <c r="F14146" s="92"/>
    </row>
    <row r="14147" spans="1:6" ht="15" customHeight="1" x14ac:dyDescent="0.25">
      <c r="A14147" s="97" t="s">
        <v>563</v>
      </c>
      <c r="B14147" s="98" t="s">
        <v>564</v>
      </c>
      <c r="C14147" s="98" t="s">
        <v>585</v>
      </c>
      <c r="D14147" s="98" t="s">
        <v>586</v>
      </c>
      <c r="E14147" s="120" t="s">
        <v>587</v>
      </c>
      <c r="F14147" s="98" t="s">
        <v>568</v>
      </c>
    </row>
    <row r="14148" spans="1:6" ht="15" customHeight="1" x14ac:dyDescent="0.25">
      <c r="A14148" s="103"/>
      <c r="B14148" s="100"/>
      <c r="C14148" s="101"/>
      <c r="D14148" s="140"/>
      <c r="E14148" s="107"/>
      <c r="F14148" s="109"/>
    </row>
    <row r="14149" spans="1:6" ht="15" customHeight="1" x14ac:dyDescent="0.25">
      <c r="A14149" s="103"/>
      <c r="B14149" s="100"/>
      <c r="C14149" s="107"/>
      <c r="D14149" s="107"/>
      <c r="E14149" s="108"/>
      <c r="F14149" s="109"/>
    </row>
    <row r="14150" spans="1:6" ht="15" customHeight="1" x14ac:dyDescent="0.25">
      <c r="A14150" s="97" t="s">
        <v>548</v>
      </c>
      <c r="B14150" s="98"/>
      <c r="C14150" s="110"/>
      <c r="D14150" s="110"/>
      <c r="E14150" s="111"/>
      <c r="F14150" s="112">
        <f>SUM(F14148:F14149)</f>
        <v>0</v>
      </c>
    </row>
    <row r="14151" spans="1:6" ht="15" customHeight="1" x14ac:dyDescent="0.25">
      <c r="A14151" s="88"/>
      <c r="B14151" s="89"/>
      <c r="C14151" s="113"/>
      <c r="D14151" s="113"/>
      <c r="E14151" s="114"/>
      <c r="F14151" s="113"/>
    </row>
    <row r="14152" spans="1:6" ht="15" customHeight="1" x14ac:dyDescent="0.25">
      <c r="A14152" s="88"/>
      <c r="B14152" s="89"/>
      <c r="C14152" s="113"/>
      <c r="D14152" s="113"/>
      <c r="E14152" s="114"/>
      <c r="F14152" s="113"/>
    </row>
    <row r="14153" spans="1:6" ht="15" customHeight="1" x14ac:dyDescent="0.25">
      <c r="A14153" s="612" t="s">
        <v>588</v>
      </c>
      <c r="B14153" s="608"/>
      <c r="C14153" s="608"/>
      <c r="D14153" s="608"/>
      <c r="E14153" s="609"/>
      <c r="F14153" s="131">
        <f>ROUND(F14123+F14136+F14144+F14150,0)</f>
        <v>9337020</v>
      </c>
    </row>
    <row r="14154" spans="1:6" ht="15" customHeight="1" x14ac:dyDescent="0.25">
      <c r="A14154" s="612" t="s">
        <v>589</v>
      </c>
      <c r="B14154" s="608"/>
      <c r="C14154" s="608"/>
      <c r="D14154" s="608"/>
      <c r="E14154" s="609"/>
      <c r="F14154" s="132"/>
    </row>
    <row r="14155" spans="1:6" ht="15" customHeight="1" x14ac:dyDescent="0.25">
      <c r="A14155" s="146" t="s">
        <v>556</v>
      </c>
      <c r="B14155" s="147"/>
      <c r="C14155" s="147"/>
      <c r="D14155" s="147"/>
      <c r="E14155" s="148"/>
      <c r="F14155" s="133"/>
    </row>
    <row r="14156" spans="1:6" ht="15" customHeight="1" x14ac:dyDescent="0.25">
      <c r="A14156" s="134"/>
      <c r="B14156" s="135"/>
      <c r="C14156" s="135"/>
      <c r="D14156" s="135"/>
      <c r="E14156" s="135"/>
      <c r="F14156" s="136"/>
    </row>
    <row r="14157" spans="1:6" ht="15" customHeight="1" x14ac:dyDescent="0.25">
      <c r="A14157" s="81"/>
      <c r="B14157" s="81"/>
      <c r="C14157" s="137"/>
      <c r="D14157" s="81"/>
      <c r="E14157" s="81"/>
      <c r="F14157" s="81"/>
    </row>
    <row r="14158" spans="1:6" ht="15" customHeight="1" x14ac:dyDescent="0.25">
      <c r="A14158" s="81"/>
      <c r="B14158" s="81"/>
      <c r="C14158" s="137"/>
      <c r="D14158" s="81"/>
      <c r="E14158" s="81"/>
      <c r="F14158" s="81"/>
    </row>
    <row r="14159" spans="1:6" ht="15" customHeight="1" x14ac:dyDescent="0.25">
      <c r="A14159" s="81"/>
      <c r="B14159" s="81"/>
      <c r="C14159" s="137"/>
      <c r="D14159" s="81"/>
      <c r="E14159" s="81"/>
      <c r="F14159" s="81"/>
    </row>
    <row r="14160" spans="1:6" ht="15" customHeight="1" x14ac:dyDescent="0.25">
      <c r="A14160" s="81"/>
      <c r="B14160" s="81"/>
      <c r="C14160" s="137"/>
      <c r="D14160" s="81"/>
      <c r="E14160" s="81"/>
      <c r="F14160" s="81"/>
    </row>
    <row r="14161" spans="1:6" ht="15" customHeight="1" x14ac:dyDescent="0.25">
      <c r="A14161" s="134"/>
      <c r="B14161" s="135"/>
      <c r="C14161" s="135"/>
      <c r="D14161" s="135"/>
      <c r="E14161" s="135"/>
      <c r="F14161" s="136"/>
    </row>
    <row r="14162" spans="1:6" ht="15" customHeight="1" x14ac:dyDescent="0.25">
      <c r="A14162" s="134"/>
      <c r="B14162" s="135"/>
      <c r="C14162" s="135"/>
      <c r="D14162" s="135"/>
      <c r="E14162" s="135"/>
      <c r="F14162" s="136"/>
    </row>
    <row r="14163" spans="1:6" ht="15" customHeight="1" x14ac:dyDescent="0.25">
      <c r="A14163" s="134"/>
      <c r="B14163" s="135"/>
      <c r="C14163" s="135"/>
      <c r="D14163" s="135"/>
      <c r="E14163" s="135"/>
      <c r="F14163" s="135"/>
    </row>
    <row r="14164" spans="1:6" ht="15" customHeight="1" thickBot="1" x14ac:dyDescent="0.3">
      <c r="A14164" s="81"/>
      <c r="B14164" s="81"/>
      <c r="C14164" s="81"/>
      <c r="D14164" s="81"/>
      <c r="E14164" s="81"/>
      <c r="F14164" s="81"/>
    </row>
    <row r="14165" spans="1:6" ht="15" customHeight="1" x14ac:dyDescent="0.25">
      <c r="A14165" s="83"/>
      <c r="B14165" s="84"/>
      <c r="C14165" s="85"/>
      <c r="D14165" s="86"/>
      <c r="E14165" s="86"/>
      <c r="F14165" s="87"/>
    </row>
    <row r="14166" spans="1:6" ht="15" customHeight="1" x14ac:dyDescent="0.25">
      <c r="A14166" s="599"/>
      <c r="B14166" s="600"/>
      <c r="C14166" s="600"/>
      <c r="D14166" s="600"/>
      <c r="E14166" s="600"/>
      <c r="F14166" s="601"/>
    </row>
    <row r="14167" spans="1:6" ht="15" customHeight="1" x14ac:dyDescent="0.25">
      <c r="A14167" s="602" t="s">
        <v>561</v>
      </c>
      <c r="B14167" s="600"/>
      <c r="C14167" s="600"/>
      <c r="D14167" s="600"/>
      <c r="E14167" s="600"/>
      <c r="F14167" s="601"/>
    </row>
    <row r="14168" spans="1:6" ht="15" customHeight="1" thickBot="1" x14ac:dyDescent="0.3">
      <c r="A14168" s="603"/>
      <c r="B14168" s="604"/>
      <c r="C14168" s="604"/>
      <c r="D14168" s="604"/>
      <c r="E14168" s="604"/>
      <c r="F14168" s="605"/>
    </row>
    <row r="14169" spans="1:6" ht="15" customHeight="1" x14ac:dyDescent="0.25">
      <c r="A14169" s="88"/>
      <c r="B14169" s="88"/>
      <c r="C14169" s="89"/>
      <c r="D14169" s="89"/>
      <c r="E14169" s="89"/>
      <c r="F14169" s="89"/>
    </row>
    <row r="14170" spans="1:6" ht="15" customHeight="1" x14ac:dyDescent="0.25">
      <c r="A14170" s="90" t="s">
        <v>47</v>
      </c>
      <c r="B14170" s="613" t="s">
        <v>902</v>
      </c>
      <c r="C14170" s="600"/>
      <c r="D14170" s="600"/>
      <c r="E14170" s="600"/>
      <c r="F14170" s="600"/>
    </row>
    <row r="14171" spans="1:6" ht="15" customHeight="1" x14ac:dyDescent="0.25">
      <c r="A14171" s="91"/>
      <c r="B14171" s="91"/>
      <c r="C14171" s="91"/>
      <c r="D14171" s="91"/>
      <c r="E14171" s="91"/>
      <c r="F14171" s="91"/>
    </row>
    <row r="14172" spans="1:6" ht="15" customHeight="1" x14ac:dyDescent="0.25">
      <c r="A14172" s="88" t="s">
        <v>49</v>
      </c>
      <c r="B14172" s="92" t="s">
        <v>99</v>
      </c>
      <c r="C14172" s="89"/>
      <c r="D14172" s="89"/>
      <c r="E14172" s="89"/>
      <c r="F14172" s="93"/>
    </row>
    <row r="14173" spans="1:6" ht="15" customHeight="1" x14ac:dyDescent="0.25">
      <c r="A14173" s="88"/>
      <c r="B14173" s="94"/>
      <c r="C14173" s="89"/>
      <c r="D14173" s="89"/>
      <c r="E14173" s="89"/>
      <c r="F14173" s="93"/>
    </row>
    <row r="14174" spans="1:6" ht="15" customHeight="1" x14ac:dyDescent="0.25">
      <c r="A14174" s="95" t="s">
        <v>562</v>
      </c>
      <c r="B14174" s="96"/>
      <c r="C14174" s="92"/>
      <c r="D14174" s="92"/>
      <c r="E14174" s="92"/>
      <c r="F14174" s="92"/>
    </row>
    <row r="14175" spans="1:6" ht="15" customHeight="1" x14ac:dyDescent="0.25">
      <c r="A14175" s="97" t="s">
        <v>563</v>
      </c>
      <c r="B14175" s="98" t="s">
        <v>564</v>
      </c>
      <c r="C14175" s="98" t="s">
        <v>565</v>
      </c>
      <c r="D14175" s="98" t="s">
        <v>566</v>
      </c>
      <c r="E14175" s="98" t="s">
        <v>567</v>
      </c>
      <c r="F14175" s="98" t="s">
        <v>568</v>
      </c>
    </row>
    <row r="14176" spans="1:6" ht="15" customHeight="1" x14ac:dyDescent="0.25">
      <c r="A14176" s="99" t="s">
        <v>903</v>
      </c>
      <c r="B14176" s="100" t="s">
        <v>99</v>
      </c>
      <c r="C14176" s="101">
        <v>2628000</v>
      </c>
      <c r="D14176" s="149">
        <v>1</v>
      </c>
      <c r="E14176" s="102"/>
      <c r="F14176" s="101">
        <f t="shared" ref="F14176:F14179" si="695">C14176*(D14176+(D14176*E14176))</f>
        <v>2628000</v>
      </c>
    </row>
    <row r="14177" spans="1:6" ht="15" customHeight="1" x14ac:dyDescent="0.25">
      <c r="A14177" s="99"/>
      <c r="B14177" s="100"/>
      <c r="C14177" s="101"/>
      <c r="D14177" s="149"/>
      <c r="E14177" s="102"/>
      <c r="F14177" s="101">
        <f t="shared" si="695"/>
        <v>0</v>
      </c>
    </row>
    <row r="14178" spans="1:6" ht="15" customHeight="1" x14ac:dyDescent="0.25">
      <c r="A14178" s="99"/>
      <c r="B14178" s="100"/>
      <c r="C14178" s="101"/>
      <c r="D14178" s="149"/>
      <c r="E14178" s="102"/>
      <c r="F14178" s="101">
        <f t="shared" si="695"/>
        <v>0</v>
      </c>
    </row>
    <row r="14179" spans="1:6" ht="15" customHeight="1" x14ac:dyDescent="0.25">
      <c r="A14179" s="99"/>
      <c r="B14179" s="100"/>
      <c r="C14179" s="101"/>
      <c r="D14179" s="149"/>
      <c r="E14179" s="102"/>
      <c r="F14179" s="101">
        <f t="shared" si="695"/>
        <v>0</v>
      </c>
    </row>
    <row r="14180" spans="1:6" ht="15" customHeight="1" x14ac:dyDescent="0.25">
      <c r="A14180" s="99"/>
      <c r="B14180" s="100"/>
      <c r="C14180" s="101"/>
      <c r="D14180" s="149"/>
      <c r="E14180" s="102"/>
      <c r="F14180" s="101"/>
    </row>
    <row r="14181" spans="1:6" ht="15" customHeight="1" x14ac:dyDescent="0.25">
      <c r="A14181" s="99"/>
      <c r="B14181" s="100"/>
      <c r="C14181" s="101"/>
      <c r="D14181" s="149"/>
      <c r="E14181" s="102"/>
      <c r="F14181" s="101"/>
    </row>
    <row r="14182" spans="1:6" ht="15" customHeight="1" x14ac:dyDescent="0.25">
      <c r="A14182" s="99"/>
      <c r="B14182" s="100"/>
      <c r="C14182" s="101"/>
      <c r="D14182" s="149"/>
      <c r="E14182" s="102"/>
      <c r="F14182" s="101"/>
    </row>
    <row r="14183" spans="1:6" ht="15" customHeight="1" x14ac:dyDescent="0.25">
      <c r="A14183" s="99"/>
      <c r="B14183" s="100"/>
      <c r="C14183" s="106"/>
      <c r="D14183" s="107"/>
      <c r="E14183" s="108"/>
      <c r="F14183" s="106"/>
    </row>
    <row r="14184" spans="1:6" ht="15" customHeight="1" x14ac:dyDescent="0.25">
      <c r="A14184" s="97" t="s">
        <v>548</v>
      </c>
      <c r="B14184" s="97"/>
      <c r="C14184" s="109"/>
      <c r="D14184" s="110"/>
      <c r="E14184" s="111"/>
      <c r="F14184" s="112">
        <f>SUM(F14176:F14183)</f>
        <v>2628000</v>
      </c>
    </row>
    <row r="14185" spans="1:6" ht="15" customHeight="1" x14ac:dyDescent="0.25">
      <c r="A14185" s="88"/>
      <c r="B14185" s="88"/>
      <c r="C14185" s="113"/>
      <c r="D14185" s="113"/>
      <c r="E14185" s="114"/>
      <c r="F14185" s="113"/>
    </row>
    <row r="14186" spans="1:6" ht="15" customHeight="1" x14ac:dyDescent="0.25">
      <c r="A14186" s="96" t="s">
        <v>573</v>
      </c>
      <c r="B14186" s="96"/>
      <c r="C14186" s="92"/>
      <c r="D14186" s="92"/>
      <c r="E14186" s="92"/>
      <c r="F14186" s="92"/>
    </row>
    <row r="14187" spans="1:6" ht="15" customHeight="1" x14ac:dyDescent="0.25">
      <c r="A14187" s="611" t="s">
        <v>563</v>
      </c>
      <c r="B14187" s="608"/>
      <c r="C14187" s="609"/>
      <c r="D14187" s="98" t="s">
        <v>574</v>
      </c>
      <c r="E14187" s="98" t="s">
        <v>575</v>
      </c>
      <c r="F14187" s="98" t="s">
        <v>568</v>
      </c>
    </row>
    <row r="14188" spans="1:6" ht="15" customHeight="1" x14ac:dyDescent="0.25">
      <c r="A14188" s="607" t="s">
        <v>577</v>
      </c>
      <c r="B14188" s="608"/>
      <c r="C14188" s="609"/>
      <c r="D14188" s="116"/>
      <c r="E14188" s="107"/>
      <c r="F14188" s="106">
        <f>+F14205*5%</f>
        <v>11638.107753801072</v>
      </c>
    </row>
    <row r="14189" spans="1:6" ht="15" customHeight="1" x14ac:dyDescent="0.25">
      <c r="A14189" s="607"/>
      <c r="B14189" s="608"/>
      <c r="C14189" s="609"/>
      <c r="D14189" s="142"/>
      <c r="E14189" s="105"/>
      <c r="F14189" s="106"/>
    </row>
    <row r="14190" spans="1:6" ht="15" customHeight="1" x14ac:dyDescent="0.25">
      <c r="A14190" s="607"/>
      <c r="B14190" s="608"/>
      <c r="C14190" s="609"/>
      <c r="D14190" s="142"/>
      <c r="E14190" s="105"/>
      <c r="F14190" s="106"/>
    </row>
    <row r="14191" spans="1:6" ht="15" customHeight="1" x14ac:dyDescent="0.25">
      <c r="A14191" s="607"/>
      <c r="B14191" s="608"/>
      <c r="C14191" s="609"/>
      <c r="D14191" s="142"/>
      <c r="E14191" s="107"/>
      <c r="F14191" s="106"/>
    </row>
    <row r="14192" spans="1:6" ht="15" customHeight="1" x14ac:dyDescent="0.25">
      <c r="A14192" s="607"/>
      <c r="B14192" s="608"/>
      <c r="C14192" s="609"/>
      <c r="D14192" s="142"/>
      <c r="E14192" s="107"/>
      <c r="F14192" s="106"/>
    </row>
    <row r="14193" spans="1:6" ht="15" customHeight="1" x14ac:dyDescent="0.25">
      <c r="A14193" s="607"/>
      <c r="B14193" s="608"/>
      <c r="C14193" s="609"/>
      <c r="D14193" s="142"/>
      <c r="E14193" s="107"/>
      <c r="F14193" s="106"/>
    </row>
    <row r="14194" spans="1:6" ht="15" customHeight="1" x14ac:dyDescent="0.25">
      <c r="A14194" s="607"/>
      <c r="B14194" s="608"/>
      <c r="C14194" s="609"/>
      <c r="D14194" s="142"/>
      <c r="E14194" s="107"/>
      <c r="F14194" s="106"/>
    </row>
    <row r="14195" spans="1:6" ht="15" customHeight="1" x14ac:dyDescent="0.25">
      <c r="A14195" s="607"/>
      <c r="B14195" s="608"/>
      <c r="C14195" s="609"/>
      <c r="D14195" s="142"/>
      <c r="E14195" s="107"/>
      <c r="F14195" s="106"/>
    </row>
    <row r="14196" spans="1:6" ht="15" customHeight="1" x14ac:dyDescent="0.25">
      <c r="A14196" s="610"/>
      <c r="B14196" s="608"/>
      <c r="C14196" s="609"/>
      <c r="D14196" s="115"/>
      <c r="E14196" s="107"/>
      <c r="F14196" s="106"/>
    </row>
    <row r="14197" spans="1:6" ht="15" customHeight="1" x14ac:dyDescent="0.25">
      <c r="A14197" s="611" t="s">
        <v>548</v>
      </c>
      <c r="B14197" s="608"/>
      <c r="C14197" s="609"/>
      <c r="D14197" s="110"/>
      <c r="E14197" s="110"/>
      <c r="F14197" s="112">
        <f>SUM(F14188:F14195)</f>
        <v>11638.107753801072</v>
      </c>
    </row>
    <row r="14198" spans="1:6" ht="15" customHeight="1" x14ac:dyDescent="0.25">
      <c r="A14198" s="88"/>
      <c r="B14198" s="88"/>
      <c r="C14198" s="89"/>
      <c r="D14198" s="113"/>
      <c r="E14198" s="113"/>
      <c r="F14198" s="113"/>
    </row>
    <row r="14199" spans="1:6" ht="15" customHeight="1" x14ac:dyDescent="0.25">
      <c r="A14199" s="96" t="s">
        <v>578</v>
      </c>
      <c r="B14199" s="96"/>
      <c r="C14199" s="92"/>
      <c r="D14199" s="118"/>
      <c r="E14199" s="118"/>
      <c r="F14199" s="118"/>
    </row>
    <row r="14200" spans="1:6" ht="15" customHeight="1" x14ac:dyDescent="0.25">
      <c r="A14200" s="119" t="s">
        <v>563</v>
      </c>
      <c r="B14200" s="120" t="s">
        <v>579</v>
      </c>
      <c r="C14200" s="120" t="s">
        <v>580</v>
      </c>
      <c r="D14200" s="121" t="s">
        <v>581</v>
      </c>
      <c r="E14200" s="121" t="s">
        <v>575</v>
      </c>
      <c r="F14200" s="121" t="s">
        <v>568</v>
      </c>
    </row>
    <row r="14201" spans="1:6" ht="15" customHeight="1" x14ac:dyDescent="0.25">
      <c r="A14201" s="122" t="s">
        <v>593</v>
      </c>
      <c r="B14201" s="127">
        <v>1</v>
      </c>
      <c r="C14201" s="101">
        <v>32688</v>
      </c>
      <c r="D14201" s="101">
        <f t="shared" ref="D14201:D14202" si="696">+C14201*1.7</f>
        <v>55569.599999999999</v>
      </c>
      <c r="E14201" s="107">
        <v>0.62245600000000001</v>
      </c>
      <c r="F14201" s="106">
        <f t="shared" ref="F14201:F14202" si="697">+B14201*(D14201)/E14201</f>
        <v>89274.743917642365</v>
      </c>
    </row>
    <row r="14202" spans="1:6" ht="15" customHeight="1" x14ac:dyDescent="0.25">
      <c r="A14202" s="122" t="s">
        <v>594</v>
      </c>
      <c r="B14202" s="127">
        <v>1</v>
      </c>
      <c r="C14202" s="101">
        <v>52538</v>
      </c>
      <c r="D14202" s="101">
        <f t="shared" si="696"/>
        <v>89314.599999999991</v>
      </c>
      <c r="E14202" s="107">
        <f>E14201</f>
        <v>0.62245600000000001</v>
      </c>
      <c r="F14202" s="106">
        <f t="shared" si="697"/>
        <v>143487.41115837905</v>
      </c>
    </row>
    <row r="14203" spans="1:6" ht="15" customHeight="1" x14ac:dyDescent="0.25">
      <c r="A14203" s="122"/>
      <c r="B14203" s="127"/>
      <c r="C14203" s="101"/>
      <c r="D14203" s="101"/>
      <c r="E14203" s="105"/>
      <c r="F14203" s="106"/>
    </row>
    <row r="14204" spans="1:6" ht="15" customHeight="1" x14ac:dyDescent="0.25">
      <c r="A14204" s="122"/>
      <c r="B14204" s="127"/>
      <c r="C14204" s="101"/>
      <c r="D14204" s="101"/>
      <c r="E14204" s="125"/>
      <c r="F14204" s="106"/>
    </row>
    <row r="14205" spans="1:6" ht="15" customHeight="1" x14ac:dyDescent="0.25">
      <c r="A14205" s="97" t="s">
        <v>548</v>
      </c>
      <c r="B14205" s="128"/>
      <c r="C14205" s="110"/>
      <c r="D14205" s="110"/>
      <c r="E14205" s="110"/>
      <c r="F14205" s="112">
        <f>SUM(F14201:F14204)</f>
        <v>232762.15507602142</v>
      </c>
    </row>
    <row r="14206" spans="1:6" ht="15" customHeight="1" x14ac:dyDescent="0.25">
      <c r="A14206" s="96"/>
      <c r="B14206" s="129"/>
      <c r="C14206" s="118"/>
      <c r="D14206" s="118"/>
      <c r="E14206" s="118"/>
      <c r="F14206" s="118"/>
    </row>
    <row r="14207" spans="1:6" ht="15" customHeight="1" x14ac:dyDescent="0.25">
      <c r="A14207" s="95" t="s">
        <v>583</v>
      </c>
      <c r="B14207" s="96"/>
      <c r="C14207" s="92"/>
      <c r="D14207" s="92"/>
      <c r="E14207" s="92" t="s">
        <v>584</v>
      </c>
      <c r="F14207" s="92"/>
    </row>
    <row r="14208" spans="1:6" ht="15" customHeight="1" x14ac:dyDescent="0.25">
      <c r="A14208" s="97" t="s">
        <v>563</v>
      </c>
      <c r="B14208" s="98" t="s">
        <v>564</v>
      </c>
      <c r="C14208" s="98" t="s">
        <v>585</v>
      </c>
      <c r="D14208" s="98" t="s">
        <v>586</v>
      </c>
      <c r="E14208" s="120" t="s">
        <v>587</v>
      </c>
      <c r="F14208" s="98" t="s">
        <v>568</v>
      </c>
    </row>
    <row r="14209" spans="1:6" ht="15" customHeight="1" x14ac:dyDescent="0.25">
      <c r="A14209" s="103"/>
      <c r="B14209" s="100"/>
      <c r="C14209" s="101"/>
      <c r="D14209" s="140"/>
      <c r="E14209" s="107"/>
      <c r="F14209" s="109"/>
    </row>
    <row r="14210" spans="1:6" ht="15" customHeight="1" x14ac:dyDescent="0.25">
      <c r="A14210" s="103"/>
      <c r="B14210" s="100"/>
      <c r="C14210" s="107"/>
      <c r="D14210" s="107"/>
      <c r="E14210" s="108"/>
      <c r="F14210" s="109"/>
    </row>
    <row r="14211" spans="1:6" ht="15" customHeight="1" x14ac:dyDescent="0.25">
      <c r="A14211" s="97" t="s">
        <v>548</v>
      </c>
      <c r="B14211" s="98"/>
      <c r="C14211" s="110"/>
      <c r="D14211" s="110"/>
      <c r="E14211" s="111"/>
      <c r="F14211" s="112">
        <f>SUM(F14209:F14210)</f>
        <v>0</v>
      </c>
    </row>
    <row r="14212" spans="1:6" ht="15" customHeight="1" x14ac:dyDescent="0.25">
      <c r="A14212" s="88"/>
      <c r="B14212" s="89"/>
      <c r="C14212" s="113"/>
      <c r="D14212" s="113"/>
      <c r="E14212" s="114"/>
      <c r="F14212" s="113"/>
    </row>
    <row r="14213" spans="1:6" ht="15" customHeight="1" x14ac:dyDescent="0.25">
      <c r="A14213" s="88"/>
      <c r="B14213" s="89"/>
      <c r="C14213" s="113"/>
      <c r="D14213" s="113"/>
      <c r="E14213" s="114"/>
      <c r="F14213" s="113"/>
    </row>
    <row r="14214" spans="1:6" ht="15" customHeight="1" x14ac:dyDescent="0.25">
      <c r="A14214" s="612" t="s">
        <v>588</v>
      </c>
      <c r="B14214" s="608"/>
      <c r="C14214" s="608"/>
      <c r="D14214" s="608"/>
      <c r="E14214" s="609"/>
      <c r="F14214" s="131">
        <f>ROUND(F14184+F14197+F14205+F14211,0)</f>
        <v>2872400</v>
      </c>
    </row>
    <row r="14215" spans="1:6" ht="15" customHeight="1" x14ac:dyDescent="0.25">
      <c r="A14215" s="612" t="s">
        <v>589</v>
      </c>
      <c r="B14215" s="608"/>
      <c r="C14215" s="608"/>
      <c r="D14215" s="608"/>
      <c r="E14215" s="609"/>
      <c r="F14215" s="132"/>
    </row>
    <row r="14216" spans="1:6" ht="15" customHeight="1" x14ac:dyDescent="0.25">
      <c r="A14216" s="146" t="s">
        <v>556</v>
      </c>
      <c r="B14216" s="147"/>
      <c r="C14216" s="147"/>
      <c r="D14216" s="147"/>
      <c r="E14216" s="148"/>
      <c r="F14216" s="133"/>
    </row>
    <row r="14217" spans="1:6" ht="15" customHeight="1" x14ac:dyDescent="0.25">
      <c r="A14217" s="134"/>
      <c r="B14217" s="135"/>
      <c r="C14217" s="135"/>
      <c r="D14217" s="135"/>
      <c r="E14217" s="135"/>
      <c r="F14217" s="136"/>
    </row>
    <row r="14218" spans="1:6" ht="15" customHeight="1" x14ac:dyDescent="0.25">
      <c r="A14218" s="81"/>
      <c r="B14218" s="81"/>
      <c r="C14218" s="137"/>
      <c r="D14218" s="81"/>
      <c r="E14218" s="81"/>
      <c r="F14218" s="81"/>
    </row>
    <row r="14219" spans="1:6" ht="15" customHeight="1" x14ac:dyDescent="0.25">
      <c r="A14219" s="81"/>
      <c r="B14219" s="81"/>
      <c r="C14219" s="137"/>
      <c r="D14219" s="81"/>
      <c r="E14219" s="81"/>
      <c r="F14219" s="81"/>
    </row>
    <row r="14220" spans="1:6" ht="15" customHeight="1" x14ac:dyDescent="0.25">
      <c r="A14220" s="81"/>
      <c r="B14220" s="81"/>
      <c r="C14220" s="137"/>
      <c r="D14220" s="81"/>
      <c r="E14220" s="81"/>
      <c r="F14220" s="81"/>
    </row>
    <row r="14221" spans="1:6" ht="15" customHeight="1" x14ac:dyDescent="0.25">
      <c r="A14221" s="81"/>
      <c r="B14221" s="81"/>
      <c r="C14221" s="137"/>
      <c r="D14221" s="81"/>
      <c r="E14221" s="81"/>
      <c r="F14221" s="81"/>
    </row>
    <row r="14222" spans="1:6" ht="15" customHeight="1" x14ac:dyDescent="0.25">
      <c r="A14222" s="134"/>
      <c r="B14222" s="135"/>
      <c r="C14222" s="135"/>
      <c r="D14222" s="135"/>
      <c r="E14222" s="135"/>
      <c r="F14222" s="136"/>
    </row>
    <row r="14223" spans="1:6" ht="15" customHeight="1" x14ac:dyDescent="0.25">
      <c r="A14223" s="134"/>
      <c r="B14223" s="135"/>
      <c r="C14223" s="135"/>
      <c r="D14223" s="135"/>
      <c r="E14223" s="135"/>
      <c r="F14223" s="136"/>
    </row>
    <row r="14224" spans="1:6" ht="15" customHeight="1" x14ac:dyDescent="0.25">
      <c r="A14224" s="134"/>
      <c r="B14224" s="135"/>
      <c r="C14224" s="135"/>
      <c r="D14224" s="135"/>
      <c r="E14224" s="135"/>
      <c r="F14224" s="135"/>
    </row>
    <row r="14225" spans="1:6" ht="15" customHeight="1" thickBot="1" x14ac:dyDescent="0.3">
      <c r="A14225" s="81"/>
      <c r="B14225" s="81"/>
      <c r="C14225" s="81"/>
      <c r="D14225" s="81"/>
      <c r="E14225" s="81"/>
      <c r="F14225" s="81"/>
    </row>
    <row r="14226" spans="1:6" ht="15" customHeight="1" x14ac:dyDescent="0.25">
      <c r="A14226" s="83"/>
      <c r="B14226" s="84"/>
      <c r="C14226" s="85"/>
      <c r="D14226" s="86"/>
      <c r="E14226" s="86"/>
      <c r="F14226" s="87"/>
    </row>
    <row r="14227" spans="1:6" ht="15" customHeight="1" x14ac:dyDescent="0.25">
      <c r="A14227" s="599"/>
      <c r="B14227" s="600"/>
      <c r="C14227" s="600"/>
      <c r="D14227" s="600"/>
      <c r="E14227" s="600"/>
      <c r="F14227" s="601"/>
    </row>
    <row r="14228" spans="1:6" ht="15" customHeight="1" x14ac:dyDescent="0.25">
      <c r="A14228" s="602" t="s">
        <v>561</v>
      </c>
      <c r="B14228" s="600"/>
      <c r="C14228" s="600"/>
      <c r="D14228" s="600"/>
      <c r="E14228" s="600"/>
      <c r="F14228" s="601"/>
    </row>
    <row r="14229" spans="1:6" ht="15" customHeight="1" thickBot="1" x14ac:dyDescent="0.3">
      <c r="A14229" s="603"/>
      <c r="B14229" s="604"/>
      <c r="C14229" s="604"/>
      <c r="D14229" s="604"/>
      <c r="E14229" s="604"/>
      <c r="F14229" s="605"/>
    </row>
    <row r="14230" spans="1:6" ht="15" customHeight="1" x14ac:dyDescent="0.25">
      <c r="A14230" s="88"/>
      <c r="B14230" s="88"/>
      <c r="C14230" s="89"/>
      <c r="D14230" s="89"/>
      <c r="E14230" s="89"/>
      <c r="F14230" s="89"/>
    </row>
    <row r="14231" spans="1:6" ht="15" customHeight="1" x14ac:dyDescent="0.25">
      <c r="A14231" s="90" t="s">
        <v>47</v>
      </c>
      <c r="B14231" s="613" t="s">
        <v>904</v>
      </c>
      <c r="C14231" s="600"/>
      <c r="D14231" s="600"/>
      <c r="E14231" s="600"/>
      <c r="F14231" s="600"/>
    </row>
    <row r="14232" spans="1:6" ht="15" customHeight="1" x14ac:dyDescent="0.25">
      <c r="A14232" s="91"/>
      <c r="B14232" s="91"/>
      <c r="C14232" s="91"/>
      <c r="D14232" s="91"/>
      <c r="E14232" s="91"/>
      <c r="F14232" s="91"/>
    </row>
    <row r="14233" spans="1:6" ht="15" customHeight="1" x14ac:dyDescent="0.25">
      <c r="A14233" s="88" t="s">
        <v>49</v>
      </c>
      <c r="B14233" s="92" t="s">
        <v>99</v>
      </c>
      <c r="C14233" s="89"/>
      <c r="D14233" s="89"/>
      <c r="E14233" s="89"/>
      <c r="F14233" s="93"/>
    </row>
    <row r="14234" spans="1:6" ht="15" customHeight="1" x14ac:dyDescent="0.25">
      <c r="A14234" s="88"/>
      <c r="B14234" s="94"/>
      <c r="C14234" s="89"/>
      <c r="D14234" s="89"/>
      <c r="E14234" s="89"/>
      <c r="F14234" s="93"/>
    </row>
    <row r="14235" spans="1:6" ht="15" customHeight="1" x14ac:dyDescent="0.25">
      <c r="A14235" s="95" t="s">
        <v>562</v>
      </c>
      <c r="B14235" s="96"/>
      <c r="C14235" s="92"/>
      <c r="D14235" s="92"/>
      <c r="E14235" s="92"/>
      <c r="F14235" s="92"/>
    </row>
    <row r="14236" spans="1:6" ht="15" customHeight="1" x14ac:dyDescent="0.25">
      <c r="A14236" s="97" t="s">
        <v>563</v>
      </c>
      <c r="B14236" s="98" t="s">
        <v>564</v>
      </c>
      <c r="C14236" s="98" t="s">
        <v>565</v>
      </c>
      <c r="D14236" s="98" t="s">
        <v>566</v>
      </c>
      <c r="E14236" s="98" t="s">
        <v>567</v>
      </c>
      <c r="F14236" s="98" t="s">
        <v>568</v>
      </c>
    </row>
    <row r="14237" spans="1:6" ht="15" customHeight="1" x14ac:dyDescent="0.25">
      <c r="A14237" s="99" t="s">
        <v>905</v>
      </c>
      <c r="B14237" s="100" t="s">
        <v>99</v>
      </c>
      <c r="C14237" s="101">
        <v>392720</v>
      </c>
      <c r="D14237" s="149">
        <v>1</v>
      </c>
      <c r="E14237" s="102"/>
      <c r="F14237" s="101">
        <f t="shared" ref="F14237:F14240" si="698">C14237*(D14237+(D14237*E14237))</f>
        <v>392720</v>
      </c>
    </row>
    <row r="14238" spans="1:6" ht="15" customHeight="1" x14ac:dyDescent="0.25">
      <c r="A14238" s="99"/>
      <c r="B14238" s="100"/>
      <c r="C14238" s="101"/>
      <c r="D14238" s="149"/>
      <c r="E14238" s="102"/>
      <c r="F14238" s="101">
        <f t="shared" si="698"/>
        <v>0</v>
      </c>
    </row>
    <row r="14239" spans="1:6" ht="15" customHeight="1" x14ac:dyDescent="0.25">
      <c r="A14239" s="99"/>
      <c r="B14239" s="100"/>
      <c r="C14239" s="101"/>
      <c r="D14239" s="149"/>
      <c r="E14239" s="102"/>
      <c r="F14239" s="101">
        <f t="shared" si="698"/>
        <v>0</v>
      </c>
    </row>
    <row r="14240" spans="1:6" ht="15" customHeight="1" x14ac:dyDescent="0.25">
      <c r="A14240" s="99"/>
      <c r="B14240" s="100"/>
      <c r="C14240" s="101"/>
      <c r="D14240" s="149"/>
      <c r="E14240" s="102"/>
      <c r="F14240" s="101">
        <f t="shared" si="698"/>
        <v>0</v>
      </c>
    </row>
    <row r="14241" spans="1:6" ht="15" customHeight="1" x14ac:dyDescent="0.25">
      <c r="A14241" s="99"/>
      <c r="B14241" s="100"/>
      <c r="C14241" s="101"/>
      <c r="D14241" s="149"/>
      <c r="E14241" s="102"/>
      <c r="F14241" s="101"/>
    </row>
    <row r="14242" spans="1:6" ht="15" customHeight="1" x14ac:dyDescent="0.25">
      <c r="A14242" s="99"/>
      <c r="B14242" s="100"/>
      <c r="C14242" s="101"/>
      <c r="D14242" s="149"/>
      <c r="E14242" s="102"/>
      <c r="F14242" s="101"/>
    </row>
    <row r="14243" spans="1:6" ht="15" customHeight="1" x14ac:dyDescent="0.25">
      <c r="A14243" s="99"/>
      <c r="B14243" s="100"/>
      <c r="C14243" s="101"/>
      <c r="D14243" s="149"/>
      <c r="E14243" s="102"/>
      <c r="F14243" s="101"/>
    </row>
    <row r="14244" spans="1:6" ht="15" customHeight="1" x14ac:dyDescent="0.25">
      <c r="A14244" s="99"/>
      <c r="B14244" s="100"/>
      <c r="C14244" s="106"/>
      <c r="D14244" s="107"/>
      <c r="E14244" s="108"/>
      <c r="F14244" s="106"/>
    </row>
    <row r="14245" spans="1:6" ht="15" customHeight="1" x14ac:dyDescent="0.25">
      <c r="A14245" s="97" t="s">
        <v>548</v>
      </c>
      <c r="B14245" s="97"/>
      <c r="C14245" s="109"/>
      <c r="D14245" s="110"/>
      <c r="E14245" s="111"/>
      <c r="F14245" s="112">
        <f>SUM(F14237:F14244)</f>
        <v>392720</v>
      </c>
    </row>
    <row r="14246" spans="1:6" ht="15" customHeight="1" x14ac:dyDescent="0.25">
      <c r="A14246" s="88"/>
      <c r="B14246" s="88"/>
      <c r="C14246" s="113"/>
      <c r="D14246" s="113"/>
      <c r="E14246" s="114"/>
      <c r="F14246" s="113"/>
    </row>
    <row r="14247" spans="1:6" ht="15" customHeight="1" x14ac:dyDescent="0.25">
      <c r="A14247" s="96" t="s">
        <v>573</v>
      </c>
      <c r="B14247" s="96"/>
      <c r="C14247" s="92"/>
      <c r="D14247" s="92"/>
      <c r="E14247" s="92"/>
      <c r="F14247" s="92"/>
    </row>
    <row r="14248" spans="1:6" ht="15" customHeight="1" x14ac:dyDescent="0.25">
      <c r="A14248" s="611" t="s">
        <v>563</v>
      </c>
      <c r="B14248" s="608"/>
      <c r="C14248" s="609"/>
      <c r="D14248" s="98" t="s">
        <v>574</v>
      </c>
      <c r="E14248" s="98" t="s">
        <v>575</v>
      </c>
      <c r="F14248" s="98" t="s">
        <v>568</v>
      </c>
    </row>
    <row r="14249" spans="1:6" ht="15" customHeight="1" x14ac:dyDescent="0.25">
      <c r="A14249" s="607" t="s">
        <v>577</v>
      </c>
      <c r="B14249" s="608"/>
      <c r="C14249" s="609"/>
      <c r="D14249" s="116"/>
      <c r="E14249" s="107"/>
      <c r="F14249" s="106">
        <f>+F14266*5%</f>
        <v>1801.0252916885242</v>
      </c>
    </row>
    <row r="14250" spans="1:6" ht="15" customHeight="1" x14ac:dyDescent="0.25">
      <c r="A14250" s="607"/>
      <c r="B14250" s="608"/>
      <c r="C14250" s="609"/>
      <c r="D14250" s="142"/>
      <c r="E14250" s="105"/>
      <c r="F14250" s="106"/>
    </row>
    <row r="14251" spans="1:6" ht="15" customHeight="1" x14ac:dyDescent="0.25">
      <c r="A14251" s="607"/>
      <c r="B14251" s="608"/>
      <c r="C14251" s="609"/>
      <c r="D14251" s="142"/>
      <c r="E14251" s="105"/>
      <c r="F14251" s="106"/>
    </row>
    <row r="14252" spans="1:6" ht="15" customHeight="1" x14ac:dyDescent="0.25">
      <c r="A14252" s="607"/>
      <c r="B14252" s="608"/>
      <c r="C14252" s="609"/>
      <c r="D14252" s="142"/>
      <c r="E14252" s="107"/>
      <c r="F14252" s="106"/>
    </row>
    <row r="14253" spans="1:6" ht="15" customHeight="1" x14ac:dyDescent="0.25">
      <c r="A14253" s="607"/>
      <c r="B14253" s="608"/>
      <c r="C14253" s="609"/>
      <c r="D14253" s="142"/>
      <c r="E14253" s="107"/>
      <c r="F14253" s="106"/>
    </row>
    <row r="14254" spans="1:6" ht="15" customHeight="1" x14ac:dyDescent="0.25">
      <c r="A14254" s="607"/>
      <c r="B14254" s="608"/>
      <c r="C14254" s="609"/>
      <c r="D14254" s="142"/>
      <c r="E14254" s="107"/>
      <c r="F14254" s="106"/>
    </row>
    <row r="14255" spans="1:6" ht="15" customHeight="1" x14ac:dyDescent="0.25">
      <c r="A14255" s="607"/>
      <c r="B14255" s="608"/>
      <c r="C14255" s="609"/>
      <c r="D14255" s="142"/>
      <c r="E14255" s="107"/>
      <c r="F14255" s="106"/>
    </row>
    <row r="14256" spans="1:6" ht="15" customHeight="1" x14ac:dyDescent="0.25">
      <c r="A14256" s="607"/>
      <c r="B14256" s="608"/>
      <c r="C14256" s="609"/>
      <c r="D14256" s="142"/>
      <c r="E14256" s="107"/>
      <c r="F14256" s="106"/>
    </row>
    <row r="14257" spans="1:6" ht="15" customHeight="1" x14ac:dyDescent="0.25">
      <c r="A14257" s="610"/>
      <c r="B14257" s="608"/>
      <c r="C14257" s="609"/>
      <c r="D14257" s="115"/>
      <c r="E14257" s="107"/>
      <c r="F14257" s="106"/>
    </row>
    <row r="14258" spans="1:6" ht="15" customHeight="1" x14ac:dyDescent="0.25">
      <c r="A14258" s="611" t="s">
        <v>548</v>
      </c>
      <c r="B14258" s="608"/>
      <c r="C14258" s="609"/>
      <c r="D14258" s="110"/>
      <c r="E14258" s="110"/>
      <c r="F14258" s="112">
        <f>SUM(F14249:F14256)</f>
        <v>1801.0252916885242</v>
      </c>
    </row>
    <row r="14259" spans="1:6" ht="15" customHeight="1" x14ac:dyDescent="0.25">
      <c r="A14259" s="88"/>
      <c r="B14259" s="88"/>
      <c r="C14259" s="89"/>
      <c r="D14259" s="113"/>
      <c r="E14259" s="113"/>
      <c r="F14259" s="113"/>
    </row>
    <row r="14260" spans="1:6" ht="15" customHeight="1" x14ac:dyDescent="0.25">
      <c r="A14260" s="96" t="s">
        <v>578</v>
      </c>
      <c r="B14260" s="96"/>
      <c r="C14260" s="92"/>
      <c r="D14260" s="118"/>
      <c r="E14260" s="118"/>
      <c r="F14260" s="118"/>
    </row>
    <row r="14261" spans="1:6" ht="15" customHeight="1" x14ac:dyDescent="0.25">
      <c r="A14261" s="119" t="s">
        <v>563</v>
      </c>
      <c r="B14261" s="120" t="s">
        <v>579</v>
      </c>
      <c r="C14261" s="120" t="s">
        <v>580</v>
      </c>
      <c r="D14261" s="121" t="s">
        <v>581</v>
      </c>
      <c r="E14261" s="121" t="s">
        <v>575</v>
      </c>
      <c r="F14261" s="121" t="s">
        <v>568</v>
      </c>
    </row>
    <row r="14262" spans="1:6" ht="15" customHeight="1" x14ac:dyDescent="0.25">
      <c r="A14262" s="122" t="s">
        <v>593</v>
      </c>
      <c r="B14262" s="127">
        <v>1</v>
      </c>
      <c r="C14262" s="101">
        <v>32688</v>
      </c>
      <c r="D14262" s="101">
        <f t="shared" ref="D14262:D14263" si="699">+C14262*1.7</f>
        <v>55569.599999999999</v>
      </c>
      <c r="E14262" s="107">
        <v>4.0222699999999998</v>
      </c>
      <c r="F14262" s="106">
        <f t="shared" ref="F14262:F14263" si="700">+B14262*(D14262)/E14262</f>
        <v>13815.482302282046</v>
      </c>
    </row>
    <row r="14263" spans="1:6" ht="15" customHeight="1" x14ac:dyDescent="0.25">
      <c r="A14263" s="122" t="s">
        <v>594</v>
      </c>
      <c r="B14263" s="127">
        <v>1</v>
      </c>
      <c r="C14263" s="101">
        <v>52538</v>
      </c>
      <c r="D14263" s="101">
        <f t="shared" si="699"/>
        <v>89314.599999999991</v>
      </c>
      <c r="E14263" s="107">
        <f>E14262</f>
        <v>4.0222699999999998</v>
      </c>
      <c r="F14263" s="106">
        <f t="shared" si="700"/>
        <v>22205.023531488438</v>
      </c>
    </row>
    <row r="14264" spans="1:6" ht="15" customHeight="1" x14ac:dyDescent="0.25">
      <c r="A14264" s="122"/>
      <c r="B14264" s="127"/>
      <c r="C14264" s="101"/>
      <c r="D14264" s="101"/>
      <c r="E14264" s="105"/>
      <c r="F14264" s="106"/>
    </row>
    <row r="14265" spans="1:6" ht="15" customHeight="1" x14ac:dyDescent="0.25">
      <c r="A14265" s="122"/>
      <c r="B14265" s="127"/>
      <c r="C14265" s="101"/>
      <c r="D14265" s="101"/>
      <c r="E14265" s="125"/>
      <c r="F14265" s="106"/>
    </row>
    <row r="14266" spans="1:6" ht="15" customHeight="1" x14ac:dyDescent="0.25">
      <c r="A14266" s="97" t="s">
        <v>548</v>
      </c>
      <c r="B14266" s="128"/>
      <c r="C14266" s="110"/>
      <c r="D14266" s="110"/>
      <c r="E14266" s="110"/>
      <c r="F14266" s="112">
        <f>SUM(F14262:F14265)</f>
        <v>36020.505833770483</v>
      </c>
    </row>
    <row r="14267" spans="1:6" ht="15" customHeight="1" x14ac:dyDescent="0.25">
      <c r="A14267" s="96"/>
      <c r="B14267" s="129"/>
      <c r="C14267" s="118"/>
      <c r="D14267" s="118"/>
      <c r="E14267" s="118"/>
      <c r="F14267" s="118"/>
    </row>
    <row r="14268" spans="1:6" ht="15" customHeight="1" x14ac:dyDescent="0.25">
      <c r="A14268" s="95" t="s">
        <v>583</v>
      </c>
      <c r="B14268" s="96"/>
      <c r="C14268" s="92"/>
      <c r="D14268" s="92"/>
      <c r="E14268" s="92" t="s">
        <v>584</v>
      </c>
      <c r="F14268" s="92"/>
    </row>
    <row r="14269" spans="1:6" ht="15" customHeight="1" x14ac:dyDescent="0.25">
      <c r="A14269" s="97" t="s">
        <v>563</v>
      </c>
      <c r="B14269" s="98" t="s">
        <v>564</v>
      </c>
      <c r="C14269" s="98" t="s">
        <v>585</v>
      </c>
      <c r="D14269" s="98" t="s">
        <v>586</v>
      </c>
      <c r="E14269" s="120" t="s">
        <v>587</v>
      </c>
      <c r="F14269" s="98" t="s">
        <v>568</v>
      </c>
    </row>
    <row r="14270" spans="1:6" ht="15" customHeight="1" x14ac:dyDescent="0.25">
      <c r="A14270" s="103"/>
      <c r="B14270" s="100"/>
      <c r="C14270" s="101"/>
      <c r="D14270" s="140"/>
      <c r="E14270" s="107"/>
      <c r="F14270" s="109"/>
    </row>
    <row r="14271" spans="1:6" ht="15" customHeight="1" x14ac:dyDescent="0.25">
      <c r="A14271" s="103"/>
      <c r="B14271" s="100"/>
      <c r="C14271" s="107"/>
      <c r="D14271" s="107"/>
      <c r="E14271" s="108"/>
      <c r="F14271" s="109"/>
    </row>
    <row r="14272" spans="1:6" ht="15" customHeight="1" x14ac:dyDescent="0.25">
      <c r="A14272" s="97" t="s">
        <v>548</v>
      </c>
      <c r="B14272" s="98"/>
      <c r="C14272" s="110"/>
      <c r="D14272" s="110"/>
      <c r="E14272" s="111"/>
      <c r="F14272" s="112">
        <f>SUM(F14270:F14271)</f>
        <v>0</v>
      </c>
    </row>
    <row r="14273" spans="1:6" ht="15" customHeight="1" x14ac:dyDescent="0.25">
      <c r="A14273" s="88"/>
      <c r="B14273" s="89"/>
      <c r="C14273" s="113"/>
      <c r="D14273" s="113"/>
      <c r="E14273" s="114"/>
      <c r="F14273" s="113"/>
    </row>
    <row r="14274" spans="1:6" ht="15" customHeight="1" x14ac:dyDescent="0.25">
      <c r="A14274" s="88"/>
      <c r="B14274" s="89"/>
      <c r="C14274" s="113"/>
      <c r="D14274" s="113"/>
      <c r="E14274" s="114"/>
      <c r="F14274" s="113"/>
    </row>
    <row r="14275" spans="1:6" ht="15" customHeight="1" x14ac:dyDescent="0.25">
      <c r="A14275" s="612" t="s">
        <v>588</v>
      </c>
      <c r="B14275" s="608"/>
      <c r="C14275" s="608"/>
      <c r="D14275" s="608"/>
      <c r="E14275" s="609"/>
      <c r="F14275" s="131">
        <f>ROUND(F14245+F14258+F14266+F14272,0)</f>
        <v>430542</v>
      </c>
    </row>
    <row r="14276" spans="1:6" ht="15" customHeight="1" x14ac:dyDescent="0.25">
      <c r="A14276" s="612" t="s">
        <v>589</v>
      </c>
      <c r="B14276" s="608"/>
      <c r="C14276" s="608"/>
      <c r="D14276" s="608"/>
      <c r="E14276" s="609"/>
      <c r="F14276" s="132"/>
    </row>
    <row r="14277" spans="1:6" ht="15" customHeight="1" x14ac:dyDescent="0.25">
      <c r="A14277" s="146" t="s">
        <v>556</v>
      </c>
      <c r="B14277" s="147"/>
      <c r="C14277" s="147"/>
      <c r="D14277" s="147"/>
      <c r="E14277" s="148"/>
      <c r="F14277" s="133"/>
    </row>
    <row r="14278" spans="1:6" ht="15" customHeight="1" x14ac:dyDescent="0.25">
      <c r="A14278" s="134"/>
      <c r="B14278" s="135"/>
      <c r="C14278" s="135"/>
      <c r="D14278" s="135"/>
      <c r="E14278" s="135"/>
      <c r="F14278" s="136"/>
    </row>
    <row r="14279" spans="1:6" ht="15" customHeight="1" x14ac:dyDescent="0.25">
      <c r="A14279" s="81"/>
      <c r="B14279" s="81"/>
      <c r="C14279" s="137"/>
      <c r="D14279" s="81"/>
      <c r="E14279" s="81"/>
      <c r="F14279" s="81"/>
    </row>
    <row r="14280" spans="1:6" ht="15" customHeight="1" x14ac:dyDescent="0.25">
      <c r="A14280" s="81"/>
      <c r="B14280" s="81"/>
      <c r="C14280" s="137"/>
      <c r="D14280" s="81"/>
      <c r="E14280" s="81"/>
      <c r="F14280" s="81"/>
    </row>
    <row r="14281" spans="1:6" ht="15" customHeight="1" x14ac:dyDescent="0.25">
      <c r="A14281" s="81"/>
      <c r="B14281" s="81"/>
      <c r="C14281" s="137"/>
      <c r="D14281" s="81"/>
      <c r="E14281" s="81"/>
      <c r="F14281" s="81"/>
    </row>
    <row r="14282" spans="1:6" ht="15" customHeight="1" x14ac:dyDescent="0.25">
      <c r="A14282" s="81"/>
      <c r="B14282" s="81"/>
      <c r="C14282" s="137"/>
      <c r="D14282" s="81"/>
      <c r="E14282" s="81"/>
      <c r="F14282" s="81"/>
    </row>
    <row r="14283" spans="1:6" ht="15" customHeight="1" x14ac:dyDescent="0.25">
      <c r="A14283" s="134"/>
      <c r="B14283" s="135"/>
      <c r="C14283" s="135"/>
      <c r="D14283" s="135"/>
      <c r="E14283" s="135"/>
      <c r="F14283" s="136"/>
    </row>
    <row r="14284" spans="1:6" ht="15" customHeight="1" x14ac:dyDescent="0.25">
      <c r="A14284" s="134"/>
      <c r="B14284" s="135"/>
      <c r="C14284" s="135"/>
      <c r="D14284" s="135"/>
      <c r="E14284" s="135"/>
      <c r="F14284" s="136"/>
    </row>
    <row r="14285" spans="1:6" ht="15" customHeight="1" x14ac:dyDescent="0.25">
      <c r="A14285" s="134"/>
      <c r="B14285" s="135"/>
      <c r="C14285" s="135"/>
      <c r="D14285" s="135"/>
      <c r="E14285" s="135"/>
      <c r="F14285" s="135"/>
    </row>
    <row r="14286" spans="1:6" ht="15" customHeight="1" thickBot="1" x14ac:dyDescent="0.3">
      <c r="A14286" s="81"/>
      <c r="B14286" s="81"/>
      <c r="C14286" s="81"/>
      <c r="D14286" s="81"/>
      <c r="E14286" s="81"/>
      <c r="F14286" s="81"/>
    </row>
    <row r="14287" spans="1:6" ht="15" customHeight="1" x14ac:dyDescent="0.25">
      <c r="A14287" s="83"/>
      <c r="B14287" s="84"/>
      <c r="C14287" s="85"/>
      <c r="D14287" s="86"/>
      <c r="E14287" s="86"/>
      <c r="F14287" s="87"/>
    </row>
    <row r="14288" spans="1:6" ht="15" customHeight="1" x14ac:dyDescent="0.25">
      <c r="A14288" s="599"/>
      <c r="B14288" s="600"/>
      <c r="C14288" s="600"/>
      <c r="D14288" s="600"/>
      <c r="E14288" s="600"/>
      <c r="F14288" s="601"/>
    </row>
    <row r="14289" spans="1:6" ht="15" customHeight="1" x14ac:dyDescent="0.25">
      <c r="A14289" s="602" t="s">
        <v>561</v>
      </c>
      <c r="B14289" s="600"/>
      <c r="C14289" s="600"/>
      <c r="D14289" s="600"/>
      <c r="E14289" s="600"/>
      <c r="F14289" s="601"/>
    </row>
    <row r="14290" spans="1:6" ht="15" customHeight="1" thickBot="1" x14ac:dyDescent="0.3">
      <c r="A14290" s="603"/>
      <c r="B14290" s="604"/>
      <c r="C14290" s="604"/>
      <c r="D14290" s="604"/>
      <c r="E14290" s="604"/>
      <c r="F14290" s="605"/>
    </row>
    <row r="14291" spans="1:6" ht="15" customHeight="1" x14ac:dyDescent="0.25">
      <c r="A14291" s="88"/>
      <c r="B14291" s="88"/>
      <c r="C14291" s="89"/>
      <c r="D14291" s="89"/>
      <c r="E14291" s="89"/>
      <c r="F14291" s="89"/>
    </row>
    <row r="14292" spans="1:6" ht="15" customHeight="1" x14ac:dyDescent="0.25">
      <c r="A14292" s="90" t="s">
        <v>47</v>
      </c>
      <c r="B14292" s="613" t="s">
        <v>464</v>
      </c>
      <c r="C14292" s="600"/>
      <c r="D14292" s="600"/>
      <c r="E14292" s="600"/>
      <c r="F14292" s="600"/>
    </row>
    <row r="14293" spans="1:6" ht="15" customHeight="1" x14ac:dyDescent="0.25">
      <c r="A14293" s="91"/>
      <c r="B14293" s="91"/>
      <c r="C14293" s="91"/>
      <c r="D14293" s="91"/>
      <c r="E14293" s="91"/>
      <c r="F14293" s="91"/>
    </row>
    <row r="14294" spans="1:6" ht="15" customHeight="1" x14ac:dyDescent="0.25">
      <c r="A14294" s="88" t="s">
        <v>49</v>
      </c>
      <c r="B14294" s="92" t="s">
        <v>99</v>
      </c>
      <c r="C14294" s="89"/>
      <c r="D14294" s="89"/>
      <c r="E14294" s="89"/>
      <c r="F14294" s="93"/>
    </row>
    <row r="14295" spans="1:6" ht="15" customHeight="1" x14ac:dyDescent="0.25">
      <c r="A14295" s="88"/>
      <c r="B14295" s="94"/>
      <c r="C14295" s="89"/>
      <c r="D14295" s="89"/>
      <c r="E14295" s="89"/>
      <c r="F14295" s="93"/>
    </row>
    <row r="14296" spans="1:6" ht="15" customHeight="1" x14ac:dyDescent="0.25">
      <c r="A14296" s="95" t="s">
        <v>562</v>
      </c>
      <c r="B14296" s="96"/>
      <c r="C14296" s="92"/>
      <c r="D14296" s="92"/>
      <c r="E14296" s="92"/>
      <c r="F14296" s="92"/>
    </row>
    <row r="14297" spans="1:6" ht="15" customHeight="1" x14ac:dyDescent="0.25">
      <c r="A14297" s="97" t="s">
        <v>563</v>
      </c>
      <c r="B14297" s="98" t="s">
        <v>564</v>
      </c>
      <c r="C14297" s="98" t="s">
        <v>565</v>
      </c>
      <c r="D14297" s="98" t="s">
        <v>566</v>
      </c>
      <c r="E14297" s="98" t="s">
        <v>567</v>
      </c>
      <c r="F14297" s="98" t="s">
        <v>568</v>
      </c>
    </row>
    <row r="14298" spans="1:6" ht="15" customHeight="1" x14ac:dyDescent="0.25">
      <c r="A14298" s="99" t="s">
        <v>906</v>
      </c>
      <c r="B14298" s="100" t="s">
        <v>99</v>
      </c>
      <c r="C14298" s="101">
        <v>13313</v>
      </c>
      <c r="D14298" s="149">
        <v>1</v>
      </c>
      <c r="E14298" s="102"/>
      <c r="F14298" s="101">
        <f t="shared" ref="F14298:F14301" si="701">C14298*(D14298+(D14298*E14298))</f>
        <v>13313</v>
      </c>
    </row>
    <row r="14299" spans="1:6" ht="15" customHeight="1" x14ac:dyDescent="0.25">
      <c r="A14299" s="99"/>
      <c r="B14299" s="100"/>
      <c r="C14299" s="101"/>
      <c r="D14299" s="149"/>
      <c r="E14299" s="102"/>
      <c r="F14299" s="101">
        <f t="shared" si="701"/>
        <v>0</v>
      </c>
    </row>
    <row r="14300" spans="1:6" ht="15" customHeight="1" x14ac:dyDescent="0.25">
      <c r="A14300" s="99"/>
      <c r="B14300" s="100"/>
      <c r="C14300" s="101"/>
      <c r="D14300" s="149"/>
      <c r="E14300" s="102"/>
      <c r="F14300" s="101">
        <f t="shared" si="701"/>
        <v>0</v>
      </c>
    </row>
    <row r="14301" spans="1:6" ht="15" customHeight="1" x14ac:dyDescent="0.25">
      <c r="A14301" s="99"/>
      <c r="B14301" s="100"/>
      <c r="C14301" s="101"/>
      <c r="D14301" s="149"/>
      <c r="E14301" s="102"/>
      <c r="F14301" s="101">
        <f t="shared" si="701"/>
        <v>0</v>
      </c>
    </row>
    <row r="14302" spans="1:6" ht="15" customHeight="1" x14ac:dyDescent="0.25">
      <c r="A14302" s="99"/>
      <c r="B14302" s="100"/>
      <c r="C14302" s="101"/>
      <c r="D14302" s="149"/>
      <c r="E14302" s="102"/>
      <c r="F14302" s="101"/>
    </row>
    <row r="14303" spans="1:6" ht="15" customHeight="1" x14ac:dyDescent="0.25">
      <c r="A14303" s="99"/>
      <c r="B14303" s="100"/>
      <c r="C14303" s="101"/>
      <c r="D14303" s="149"/>
      <c r="E14303" s="102"/>
      <c r="F14303" s="101"/>
    </row>
    <row r="14304" spans="1:6" ht="15" customHeight="1" x14ac:dyDescent="0.25">
      <c r="A14304" s="99"/>
      <c r="B14304" s="100"/>
      <c r="C14304" s="101"/>
      <c r="D14304" s="149"/>
      <c r="E14304" s="102"/>
      <c r="F14304" s="101"/>
    </row>
    <row r="14305" spans="1:6" ht="15" customHeight="1" x14ac:dyDescent="0.25">
      <c r="A14305" s="99"/>
      <c r="B14305" s="100"/>
      <c r="C14305" s="106"/>
      <c r="D14305" s="107"/>
      <c r="E14305" s="108"/>
      <c r="F14305" s="106"/>
    </row>
    <row r="14306" spans="1:6" ht="15" customHeight="1" x14ac:dyDescent="0.25">
      <c r="A14306" s="97" t="s">
        <v>548</v>
      </c>
      <c r="B14306" s="97"/>
      <c r="C14306" s="109"/>
      <c r="D14306" s="110"/>
      <c r="E14306" s="111"/>
      <c r="F14306" s="112">
        <f>SUM(F14298:F14305)</f>
        <v>13313</v>
      </c>
    </row>
    <row r="14307" spans="1:6" ht="15" customHeight="1" x14ac:dyDescent="0.25">
      <c r="A14307" s="88"/>
      <c r="B14307" s="88"/>
      <c r="C14307" s="113"/>
      <c r="D14307" s="113"/>
      <c r="E14307" s="114"/>
      <c r="F14307" s="113"/>
    </row>
    <row r="14308" spans="1:6" ht="15" customHeight="1" x14ac:dyDescent="0.25">
      <c r="A14308" s="96" t="s">
        <v>573</v>
      </c>
      <c r="B14308" s="96"/>
      <c r="C14308" s="92"/>
      <c r="D14308" s="92"/>
      <c r="E14308" s="92"/>
      <c r="F14308" s="92"/>
    </row>
    <row r="14309" spans="1:6" ht="15" customHeight="1" x14ac:dyDescent="0.25">
      <c r="A14309" s="611" t="s">
        <v>563</v>
      </c>
      <c r="B14309" s="608"/>
      <c r="C14309" s="609"/>
      <c r="D14309" s="98" t="s">
        <v>574</v>
      </c>
      <c r="E14309" s="98" t="s">
        <v>575</v>
      </c>
      <c r="F14309" s="98" t="s">
        <v>568</v>
      </c>
    </row>
    <row r="14310" spans="1:6" ht="15" customHeight="1" x14ac:dyDescent="0.25">
      <c r="A14310" s="607" t="s">
        <v>577</v>
      </c>
      <c r="B14310" s="608"/>
      <c r="C14310" s="609"/>
      <c r="D14310" s="116"/>
      <c r="E14310" s="107"/>
      <c r="F14310" s="106">
        <f>+F14327*5%</f>
        <v>0</v>
      </c>
    </row>
    <row r="14311" spans="1:6" ht="15" customHeight="1" x14ac:dyDescent="0.25">
      <c r="A14311" s="607"/>
      <c r="B14311" s="608"/>
      <c r="C14311" s="609"/>
      <c r="D14311" s="142"/>
      <c r="E14311" s="105"/>
      <c r="F14311" s="106"/>
    </row>
    <row r="14312" spans="1:6" ht="15" customHeight="1" x14ac:dyDescent="0.25">
      <c r="A14312" s="607"/>
      <c r="B14312" s="608"/>
      <c r="C14312" s="609"/>
      <c r="D14312" s="142"/>
      <c r="E14312" s="105"/>
      <c r="F14312" s="106"/>
    </row>
    <row r="14313" spans="1:6" ht="15" customHeight="1" x14ac:dyDescent="0.25">
      <c r="A14313" s="607"/>
      <c r="B14313" s="608"/>
      <c r="C14313" s="609"/>
      <c r="D14313" s="142"/>
      <c r="E14313" s="107"/>
      <c r="F14313" s="106"/>
    </row>
    <row r="14314" spans="1:6" ht="15" customHeight="1" x14ac:dyDescent="0.25">
      <c r="A14314" s="607"/>
      <c r="B14314" s="608"/>
      <c r="C14314" s="609"/>
      <c r="D14314" s="142"/>
      <c r="E14314" s="107"/>
      <c r="F14314" s="106"/>
    </row>
    <row r="14315" spans="1:6" ht="15" customHeight="1" x14ac:dyDescent="0.25">
      <c r="A14315" s="607"/>
      <c r="B14315" s="608"/>
      <c r="C14315" s="609"/>
      <c r="D14315" s="142"/>
      <c r="E14315" s="107"/>
      <c r="F14315" s="106"/>
    </row>
    <row r="14316" spans="1:6" ht="15" customHeight="1" x14ac:dyDescent="0.25">
      <c r="A14316" s="607"/>
      <c r="B14316" s="608"/>
      <c r="C14316" s="609"/>
      <c r="D14316" s="142"/>
      <c r="E14316" s="107"/>
      <c r="F14316" s="106"/>
    </row>
    <row r="14317" spans="1:6" ht="15" customHeight="1" x14ac:dyDescent="0.25">
      <c r="A14317" s="607"/>
      <c r="B14317" s="608"/>
      <c r="C14317" s="609"/>
      <c r="D14317" s="142"/>
      <c r="E14317" s="107"/>
      <c r="F14317" s="106"/>
    </row>
    <row r="14318" spans="1:6" ht="15" customHeight="1" x14ac:dyDescent="0.25">
      <c r="A14318" s="610"/>
      <c r="B14318" s="608"/>
      <c r="C14318" s="609"/>
      <c r="D14318" s="115"/>
      <c r="E14318" s="107"/>
      <c r="F14318" s="106"/>
    </row>
    <row r="14319" spans="1:6" ht="15" customHeight="1" x14ac:dyDescent="0.25">
      <c r="A14319" s="611" t="s">
        <v>548</v>
      </c>
      <c r="B14319" s="608"/>
      <c r="C14319" s="609"/>
      <c r="D14319" s="110"/>
      <c r="E14319" s="110"/>
      <c r="F14319" s="112">
        <f>SUM(F14310:F14317)</f>
        <v>0</v>
      </c>
    </row>
    <row r="14320" spans="1:6" ht="15" customHeight="1" x14ac:dyDescent="0.25">
      <c r="A14320" s="88"/>
      <c r="B14320" s="88"/>
      <c r="C14320" s="89"/>
      <c r="D14320" s="113"/>
      <c r="E14320" s="113"/>
      <c r="F14320" s="113"/>
    </row>
    <row r="14321" spans="1:6" ht="15" customHeight="1" x14ac:dyDescent="0.25">
      <c r="A14321" s="96" t="s">
        <v>578</v>
      </c>
      <c r="B14321" s="96"/>
      <c r="C14321" s="92"/>
      <c r="D14321" s="118"/>
      <c r="E14321" s="118"/>
      <c r="F14321" s="118"/>
    </row>
    <row r="14322" spans="1:6" ht="15" customHeight="1" x14ac:dyDescent="0.25">
      <c r="A14322" s="119" t="s">
        <v>563</v>
      </c>
      <c r="B14322" s="120" t="s">
        <v>579</v>
      </c>
      <c r="C14322" s="120" t="s">
        <v>580</v>
      </c>
      <c r="D14322" s="121" t="s">
        <v>581</v>
      </c>
      <c r="E14322" s="121" t="s">
        <v>575</v>
      </c>
      <c r="F14322" s="121" t="s">
        <v>568</v>
      </c>
    </row>
    <row r="14323" spans="1:6" ht="15" customHeight="1" x14ac:dyDescent="0.25">
      <c r="A14323" s="122" t="s">
        <v>593</v>
      </c>
      <c r="B14323" s="127">
        <v>1</v>
      </c>
      <c r="C14323" s="101">
        <v>32688</v>
      </c>
      <c r="D14323" s="101">
        <f t="shared" ref="D14323:D14324" si="702">+C14323*1.7</f>
        <v>55569.599999999999</v>
      </c>
      <c r="E14323" s="107"/>
      <c r="F14323" s="106"/>
    </row>
    <row r="14324" spans="1:6" ht="15" customHeight="1" x14ac:dyDescent="0.25">
      <c r="A14324" s="122" t="s">
        <v>594</v>
      </c>
      <c r="B14324" s="127">
        <v>1</v>
      </c>
      <c r="C14324" s="101">
        <v>52538</v>
      </c>
      <c r="D14324" s="101">
        <f t="shared" si="702"/>
        <v>89314.599999999991</v>
      </c>
      <c r="E14324" s="107"/>
      <c r="F14324" s="106"/>
    </row>
    <row r="14325" spans="1:6" ht="15" customHeight="1" x14ac:dyDescent="0.25">
      <c r="A14325" s="122"/>
      <c r="B14325" s="127"/>
      <c r="C14325" s="101"/>
      <c r="D14325" s="101"/>
      <c r="E14325" s="105"/>
      <c r="F14325" s="106"/>
    </row>
    <row r="14326" spans="1:6" ht="15" customHeight="1" x14ac:dyDescent="0.25">
      <c r="A14326" s="122"/>
      <c r="B14326" s="127"/>
      <c r="C14326" s="101"/>
      <c r="D14326" s="101"/>
      <c r="E14326" s="125"/>
      <c r="F14326" s="106"/>
    </row>
    <row r="14327" spans="1:6" ht="15" customHeight="1" x14ac:dyDescent="0.25">
      <c r="A14327" s="97" t="s">
        <v>548</v>
      </c>
      <c r="B14327" s="128"/>
      <c r="C14327" s="110"/>
      <c r="D14327" s="110"/>
      <c r="E14327" s="110"/>
      <c r="F14327" s="112">
        <f>SUM(F14323:F14326)</f>
        <v>0</v>
      </c>
    </row>
    <row r="14328" spans="1:6" ht="15" customHeight="1" x14ac:dyDescent="0.25">
      <c r="A14328" s="96"/>
      <c r="B14328" s="129"/>
      <c r="C14328" s="118"/>
      <c r="D14328" s="118"/>
      <c r="E14328" s="118"/>
      <c r="F14328" s="118"/>
    </row>
    <row r="14329" spans="1:6" ht="15" customHeight="1" x14ac:dyDescent="0.25">
      <c r="A14329" s="95" t="s">
        <v>583</v>
      </c>
      <c r="B14329" s="96"/>
      <c r="C14329" s="92"/>
      <c r="D14329" s="92"/>
      <c r="E14329" s="92" t="s">
        <v>584</v>
      </c>
      <c r="F14329" s="92"/>
    </row>
    <row r="14330" spans="1:6" ht="15" customHeight="1" x14ac:dyDescent="0.25">
      <c r="A14330" s="97" t="s">
        <v>563</v>
      </c>
      <c r="B14330" s="98" t="s">
        <v>564</v>
      </c>
      <c r="C14330" s="98" t="s">
        <v>585</v>
      </c>
      <c r="D14330" s="98" t="s">
        <v>586</v>
      </c>
      <c r="E14330" s="120" t="s">
        <v>587</v>
      </c>
      <c r="F14330" s="98" t="s">
        <v>568</v>
      </c>
    </row>
    <row r="14331" spans="1:6" ht="15" customHeight="1" x14ac:dyDescent="0.25">
      <c r="A14331" s="103"/>
      <c r="B14331" s="100"/>
      <c r="C14331" s="101"/>
      <c r="D14331" s="140"/>
      <c r="E14331" s="107"/>
      <c r="F14331" s="109"/>
    </row>
    <row r="14332" spans="1:6" ht="15" customHeight="1" x14ac:dyDescent="0.25">
      <c r="A14332" s="103"/>
      <c r="B14332" s="100"/>
      <c r="C14332" s="107"/>
      <c r="D14332" s="107"/>
      <c r="E14332" s="108"/>
      <c r="F14332" s="109"/>
    </row>
    <row r="14333" spans="1:6" ht="15" customHeight="1" x14ac:dyDescent="0.25">
      <c r="A14333" s="97" t="s">
        <v>548</v>
      </c>
      <c r="B14333" s="98"/>
      <c r="C14333" s="110"/>
      <c r="D14333" s="110"/>
      <c r="E14333" s="111"/>
      <c r="F14333" s="112">
        <f>SUM(F14331:F14332)</f>
        <v>0</v>
      </c>
    </row>
    <row r="14334" spans="1:6" ht="15" customHeight="1" x14ac:dyDescent="0.25">
      <c r="A14334" s="88"/>
      <c r="B14334" s="89"/>
      <c r="C14334" s="113"/>
      <c r="D14334" s="113"/>
      <c r="E14334" s="114"/>
      <c r="F14334" s="113"/>
    </row>
    <row r="14335" spans="1:6" ht="15" customHeight="1" x14ac:dyDescent="0.25">
      <c r="A14335" s="88"/>
      <c r="B14335" s="89"/>
      <c r="C14335" s="113"/>
      <c r="D14335" s="113"/>
      <c r="E14335" s="114"/>
      <c r="F14335" s="113"/>
    </row>
    <row r="14336" spans="1:6" ht="15" customHeight="1" x14ac:dyDescent="0.25">
      <c r="A14336" s="612" t="s">
        <v>588</v>
      </c>
      <c r="B14336" s="608"/>
      <c r="C14336" s="608"/>
      <c r="D14336" s="608"/>
      <c r="E14336" s="609"/>
      <c r="F14336" s="131">
        <f>ROUND(F14306+F14319+F14327+F14333,0)</f>
        <v>13313</v>
      </c>
    </row>
    <row r="14337" spans="1:6" ht="15" customHeight="1" x14ac:dyDescent="0.25">
      <c r="A14337" s="612" t="s">
        <v>589</v>
      </c>
      <c r="B14337" s="608"/>
      <c r="C14337" s="608"/>
      <c r="D14337" s="608"/>
      <c r="E14337" s="609"/>
      <c r="F14337" s="132"/>
    </row>
    <row r="14338" spans="1:6" ht="15" customHeight="1" x14ac:dyDescent="0.25">
      <c r="A14338" s="146" t="s">
        <v>556</v>
      </c>
      <c r="B14338" s="147"/>
      <c r="C14338" s="147"/>
      <c r="D14338" s="147"/>
      <c r="E14338" s="148"/>
      <c r="F14338" s="133"/>
    </row>
    <row r="14339" spans="1:6" ht="15" customHeight="1" x14ac:dyDescent="0.25">
      <c r="A14339" s="134"/>
      <c r="B14339" s="135"/>
      <c r="C14339" s="135"/>
      <c r="D14339" s="135"/>
      <c r="E14339" s="135"/>
      <c r="F14339" s="136"/>
    </row>
    <row r="14340" spans="1:6" ht="15" customHeight="1" x14ac:dyDescent="0.25">
      <c r="A14340" s="81"/>
      <c r="B14340" s="81"/>
      <c r="C14340" s="137"/>
      <c r="D14340" s="81"/>
      <c r="E14340" s="81"/>
      <c r="F14340" s="81"/>
    </row>
    <row r="14341" spans="1:6" ht="15" customHeight="1" x14ac:dyDescent="0.25">
      <c r="A14341" s="81"/>
      <c r="B14341" s="81"/>
      <c r="C14341" s="137"/>
      <c r="D14341" s="81"/>
      <c r="E14341" s="81"/>
      <c r="F14341" s="81"/>
    </row>
    <row r="14342" spans="1:6" ht="15" customHeight="1" x14ac:dyDescent="0.25">
      <c r="A14342" s="81"/>
      <c r="B14342" s="81"/>
      <c r="C14342" s="137"/>
      <c r="D14342" s="81"/>
      <c r="E14342" s="81"/>
      <c r="F14342" s="81"/>
    </row>
    <row r="14343" spans="1:6" ht="15" customHeight="1" x14ac:dyDescent="0.25">
      <c r="A14343" s="81"/>
      <c r="B14343" s="81"/>
      <c r="C14343" s="137"/>
      <c r="D14343" s="81"/>
      <c r="E14343" s="81"/>
      <c r="F14343" s="81"/>
    </row>
    <row r="14344" spans="1:6" ht="15" customHeight="1" x14ac:dyDescent="0.25">
      <c r="A14344" s="134"/>
      <c r="B14344" s="135"/>
      <c r="C14344" s="135"/>
      <c r="D14344" s="135"/>
      <c r="E14344" s="135"/>
      <c r="F14344" s="136"/>
    </row>
    <row r="14345" spans="1:6" ht="15" customHeight="1" x14ac:dyDescent="0.25">
      <c r="A14345" s="134"/>
      <c r="B14345" s="135"/>
      <c r="C14345" s="135"/>
      <c r="D14345" s="135"/>
      <c r="E14345" s="135"/>
      <c r="F14345" s="136"/>
    </row>
    <row r="14346" spans="1:6" ht="15" customHeight="1" x14ac:dyDescent="0.25">
      <c r="A14346" s="134"/>
      <c r="B14346" s="135"/>
      <c r="C14346" s="135"/>
      <c r="D14346" s="135"/>
      <c r="E14346" s="135"/>
      <c r="F14346" s="135"/>
    </row>
    <row r="14347" spans="1:6" ht="15" customHeight="1" thickBot="1" x14ac:dyDescent="0.3">
      <c r="A14347" s="81"/>
      <c r="B14347" s="81"/>
      <c r="C14347" s="81"/>
      <c r="D14347" s="81"/>
      <c r="E14347" s="81"/>
      <c r="F14347" s="81"/>
    </row>
    <row r="14348" spans="1:6" ht="15" customHeight="1" x14ac:dyDescent="0.25">
      <c r="A14348" s="83"/>
      <c r="B14348" s="84"/>
      <c r="C14348" s="85"/>
      <c r="D14348" s="86"/>
      <c r="E14348" s="86"/>
      <c r="F14348" s="87"/>
    </row>
    <row r="14349" spans="1:6" ht="15" customHeight="1" x14ac:dyDescent="0.25">
      <c r="A14349" s="599"/>
      <c r="B14349" s="600"/>
      <c r="C14349" s="600"/>
      <c r="D14349" s="600"/>
      <c r="E14349" s="600"/>
      <c r="F14349" s="601"/>
    </row>
    <row r="14350" spans="1:6" ht="15" customHeight="1" x14ac:dyDescent="0.25">
      <c r="A14350" s="602" t="s">
        <v>561</v>
      </c>
      <c r="B14350" s="600"/>
      <c r="C14350" s="600"/>
      <c r="D14350" s="600"/>
      <c r="E14350" s="600"/>
      <c r="F14350" s="601"/>
    </row>
    <row r="14351" spans="1:6" ht="15" customHeight="1" thickBot="1" x14ac:dyDescent="0.3">
      <c r="A14351" s="603"/>
      <c r="B14351" s="604"/>
      <c r="C14351" s="604"/>
      <c r="D14351" s="604"/>
      <c r="E14351" s="604"/>
      <c r="F14351" s="605"/>
    </row>
    <row r="14352" spans="1:6" ht="15" customHeight="1" x14ac:dyDescent="0.25">
      <c r="A14352" s="88"/>
      <c r="B14352" s="88"/>
      <c r="C14352" s="89"/>
      <c r="D14352" s="89"/>
      <c r="E14352" s="89"/>
      <c r="F14352" s="89"/>
    </row>
    <row r="14353" spans="1:6" ht="15" customHeight="1" x14ac:dyDescent="0.25">
      <c r="A14353" s="90" t="s">
        <v>47</v>
      </c>
      <c r="B14353" s="613" t="s">
        <v>907</v>
      </c>
      <c r="C14353" s="600"/>
      <c r="D14353" s="600"/>
      <c r="E14353" s="600"/>
      <c r="F14353" s="600"/>
    </row>
    <row r="14354" spans="1:6" ht="15" customHeight="1" x14ac:dyDescent="0.25">
      <c r="A14354" s="91"/>
      <c r="B14354" s="91"/>
      <c r="C14354" s="91"/>
      <c r="D14354" s="91"/>
      <c r="E14354" s="91"/>
      <c r="F14354" s="91"/>
    </row>
    <row r="14355" spans="1:6" ht="15" customHeight="1" x14ac:dyDescent="0.25">
      <c r="A14355" s="88" t="s">
        <v>49</v>
      </c>
      <c r="B14355" s="92" t="s">
        <v>59</v>
      </c>
      <c r="C14355" s="89"/>
      <c r="D14355" s="89"/>
      <c r="E14355" s="89"/>
      <c r="F14355" s="93"/>
    </row>
    <row r="14356" spans="1:6" ht="15" customHeight="1" x14ac:dyDescent="0.25">
      <c r="A14356" s="88"/>
      <c r="B14356" s="94"/>
      <c r="C14356" s="89"/>
      <c r="D14356" s="89"/>
      <c r="E14356" s="89"/>
      <c r="F14356" s="93"/>
    </row>
    <row r="14357" spans="1:6" ht="15" customHeight="1" x14ac:dyDescent="0.25">
      <c r="A14357" s="95" t="s">
        <v>562</v>
      </c>
      <c r="B14357" s="96"/>
      <c r="C14357" s="92"/>
      <c r="D14357" s="92"/>
      <c r="E14357" s="92"/>
      <c r="F14357" s="92"/>
    </row>
    <row r="14358" spans="1:6" ht="15" customHeight="1" x14ac:dyDescent="0.25">
      <c r="A14358" s="97" t="s">
        <v>563</v>
      </c>
      <c r="B14358" s="98" t="s">
        <v>564</v>
      </c>
      <c r="C14358" s="98" t="s">
        <v>565</v>
      </c>
      <c r="D14358" s="98" t="s">
        <v>566</v>
      </c>
      <c r="E14358" s="98" t="s">
        <v>567</v>
      </c>
      <c r="F14358" s="98" t="s">
        <v>568</v>
      </c>
    </row>
    <row r="14359" spans="1:6" ht="15" customHeight="1" x14ac:dyDescent="0.25">
      <c r="A14359" s="99" t="s">
        <v>908</v>
      </c>
      <c r="B14359" s="100" t="s">
        <v>59</v>
      </c>
      <c r="C14359" s="101">
        <v>1867</v>
      </c>
      <c r="D14359" s="149">
        <v>1</v>
      </c>
      <c r="E14359" s="102">
        <v>0.05</v>
      </c>
      <c r="F14359" s="101">
        <f t="shared" ref="F14359:F14362" si="703">C14359*(D14359+(D14359*E14359))</f>
        <v>1960.3500000000001</v>
      </c>
    </row>
    <row r="14360" spans="1:6" ht="15" customHeight="1" x14ac:dyDescent="0.25">
      <c r="A14360" s="99"/>
      <c r="B14360" s="100"/>
      <c r="C14360" s="101"/>
      <c r="D14360" s="149"/>
      <c r="E14360" s="102"/>
      <c r="F14360" s="101">
        <f t="shared" si="703"/>
        <v>0</v>
      </c>
    </row>
    <row r="14361" spans="1:6" ht="15" customHeight="1" x14ac:dyDescent="0.25">
      <c r="A14361" s="99"/>
      <c r="B14361" s="100"/>
      <c r="C14361" s="101"/>
      <c r="D14361" s="149"/>
      <c r="E14361" s="102"/>
      <c r="F14361" s="101">
        <f t="shared" si="703"/>
        <v>0</v>
      </c>
    </row>
    <row r="14362" spans="1:6" ht="15" customHeight="1" x14ac:dyDescent="0.25">
      <c r="A14362" s="99"/>
      <c r="B14362" s="100"/>
      <c r="C14362" s="101"/>
      <c r="D14362" s="149"/>
      <c r="E14362" s="102"/>
      <c r="F14362" s="101">
        <f t="shared" si="703"/>
        <v>0</v>
      </c>
    </row>
    <row r="14363" spans="1:6" ht="15" customHeight="1" x14ac:dyDescent="0.25">
      <c r="A14363" s="99"/>
      <c r="B14363" s="100"/>
      <c r="C14363" s="101"/>
      <c r="D14363" s="149"/>
      <c r="E14363" s="102"/>
      <c r="F14363" s="101"/>
    </row>
    <row r="14364" spans="1:6" ht="15" customHeight="1" x14ac:dyDescent="0.25">
      <c r="A14364" s="99"/>
      <c r="B14364" s="100"/>
      <c r="C14364" s="101"/>
      <c r="D14364" s="149"/>
      <c r="E14364" s="102"/>
      <c r="F14364" s="101"/>
    </row>
    <row r="14365" spans="1:6" ht="15" customHeight="1" x14ac:dyDescent="0.25">
      <c r="A14365" s="99"/>
      <c r="B14365" s="100"/>
      <c r="C14365" s="101"/>
      <c r="D14365" s="149"/>
      <c r="E14365" s="102"/>
      <c r="F14365" s="101"/>
    </row>
    <row r="14366" spans="1:6" ht="15" customHeight="1" x14ac:dyDescent="0.25">
      <c r="A14366" s="99"/>
      <c r="B14366" s="100"/>
      <c r="C14366" s="106"/>
      <c r="D14366" s="107"/>
      <c r="E14366" s="108"/>
      <c r="F14366" s="106"/>
    </row>
    <row r="14367" spans="1:6" ht="15" customHeight="1" x14ac:dyDescent="0.25">
      <c r="A14367" s="97" t="s">
        <v>548</v>
      </c>
      <c r="B14367" s="97"/>
      <c r="C14367" s="109"/>
      <c r="D14367" s="110"/>
      <c r="E14367" s="111"/>
      <c r="F14367" s="112">
        <f>SUM(F14359:F14366)</f>
        <v>1960.3500000000001</v>
      </c>
    </row>
    <row r="14368" spans="1:6" ht="15" customHeight="1" x14ac:dyDescent="0.25">
      <c r="A14368" s="88"/>
      <c r="B14368" s="88"/>
      <c r="C14368" s="113"/>
      <c r="D14368" s="113"/>
      <c r="E14368" s="114"/>
      <c r="F14368" s="113"/>
    </row>
    <row r="14369" spans="1:6" ht="15" customHeight="1" x14ac:dyDescent="0.25">
      <c r="A14369" s="96" t="s">
        <v>573</v>
      </c>
      <c r="B14369" s="96"/>
      <c r="C14369" s="92"/>
      <c r="D14369" s="92"/>
      <c r="E14369" s="92"/>
      <c r="F14369" s="92"/>
    </row>
    <row r="14370" spans="1:6" ht="15" customHeight="1" x14ac:dyDescent="0.25">
      <c r="A14370" s="611" t="s">
        <v>563</v>
      </c>
      <c r="B14370" s="608"/>
      <c r="C14370" s="609"/>
      <c r="D14370" s="98" t="s">
        <v>574</v>
      </c>
      <c r="E14370" s="98" t="s">
        <v>575</v>
      </c>
      <c r="F14370" s="98" t="s">
        <v>568</v>
      </c>
    </row>
    <row r="14371" spans="1:6" ht="15" customHeight="1" x14ac:dyDescent="0.25">
      <c r="A14371" s="607" t="s">
        <v>577</v>
      </c>
      <c r="B14371" s="608"/>
      <c r="C14371" s="609"/>
      <c r="D14371" s="116"/>
      <c r="E14371" s="107"/>
      <c r="F14371" s="106">
        <f>+F14388*5%</f>
        <v>42.613</v>
      </c>
    </row>
    <row r="14372" spans="1:6" ht="15" customHeight="1" x14ac:dyDescent="0.25">
      <c r="A14372" s="607"/>
      <c r="B14372" s="608"/>
      <c r="C14372" s="609"/>
      <c r="D14372" s="142"/>
      <c r="E14372" s="105"/>
      <c r="F14372" s="106"/>
    </row>
    <row r="14373" spans="1:6" ht="15" customHeight="1" x14ac:dyDescent="0.25">
      <c r="A14373" s="607"/>
      <c r="B14373" s="608"/>
      <c r="C14373" s="609"/>
      <c r="D14373" s="142"/>
      <c r="E14373" s="105"/>
      <c r="F14373" s="106"/>
    </row>
    <row r="14374" spans="1:6" ht="15" customHeight="1" x14ac:dyDescent="0.25">
      <c r="A14374" s="607"/>
      <c r="B14374" s="608"/>
      <c r="C14374" s="609"/>
      <c r="D14374" s="142"/>
      <c r="E14374" s="107"/>
      <c r="F14374" s="106"/>
    </row>
    <row r="14375" spans="1:6" ht="15" customHeight="1" x14ac:dyDescent="0.25">
      <c r="A14375" s="607"/>
      <c r="B14375" s="608"/>
      <c r="C14375" s="609"/>
      <c r="D14375" s="142"/>
      <c r="E14375" s="107"/>
      <c r="F14375" s="106"/>
    </row>
    <row r="14376" spans="1:6" ht="15" customHeight="1" x14ac:dyDescent="0.25">
      <c r="A14376" s="607"/>
      <c r="B14376" s="608"/>
      <c r="C14376" s="609"/>
      <c r="D14376" s="142"/>
      <c r="E14376" s="107"/>
      <c r="F14376" s="106"/>
    </row>
    <row r="14377" spans="1:6" ht="15" customHeight="1" x14ac:dyDescent="0.25">
      <c r="A14377" s="607"/>
      <c r="B14377" s="608"/>
      <c r="C14377" s="609"/>
      <c r="D14377" s="142"/>
      <c r="E14377" s="107"/>
      <c r="F14377" s="106"/>
    </row>
    <row r="14378" spans="1:6" ht="15" customHeight="1" x14ac:dyDescent="0.25">
      <c r="A14378" s="607"/>
      <c r="B14378" s="608"/>
      <c r="C14378" s="609"/>
      <c r="D14378" s="142"/>
      <c r="E14378" s="107"/>
      <c r="F14378" s="106"/>
    </row>
    <row r="14379" spans="1:6" ht="15" customHeight="1" x14ac:dyDescent="0.25">
      <c r="A14379" s="610"/>
      <c r="B14379" s="608"/>
      <c r="C14379" s="609"/>
      <c r="D14379" s="115"/>
      <c r="E14379" s="107"/>
      <c r="F14379" s="106"/>
    </row>
    <row r="14380" spans="1:6" ht="15" customHeight="1" x14ac:dyDescent="0.25">
      <c r="A14380" s="611" t="s">
        <v>548</v>
      </c>
      <c r="B14380" s="608"/>
      <c r="C14380" s="609"/>
      <c r="D14380" s="110"/>
      <c r="E14380" s="110"/>
      <c r="F14380" s="112">
        <f>SUM(F14371:F14378)</f>
        <v>42.613</v>
      </c>
    </row>
    <row r="14381" spans="1:6" ht="15" customHeight="1" x14ac:dyDescent="0.25">
      <c r="A14381" s="88"/>
      <c r="B14381" s="88"/>
      <c r="C14381" s="89"/>
      <c r="D14381" s="113"/>
      <c r="E14381" s="113"/>
      <c r="F14381" s="113"/>
    </row>
    <row r="14382" spans="1:6" ht="15" customHeight="1" x14ac:dyDescent="0.25">
      <c r="A14382" s="96" t="s">
        <v>578</v>
      </c>
      <c r="B14382" s="96"/>
      <c r="C14382" s="92"/>
      <c r="D14382" s="118"/>
      <c r="E14382" s="118"/>
      <c r="F14382" s="118"/>
    </row>
    <row r="14383" spans="1:6" ht="15" customHeight="1" x14ac:dyDescent="0.25">
      <c r="A14383" s="119" t="s">
        <v>563</v>
      </c>
      <c r="B14383" s="120" t="s">
        <v>579</v>
      </c>
      <c r="C14383" s="120" t="s">
        <v>580</v>
      </c>
      <c r="D14383" s="121" t="s">
        <v>581</v>
      </c>
      <c r="E14383" s="121" t="s">
        <v>575</v>
      </c>
      <c r="F14383" s="121" t="s">
        <v>568</v>
      </c>
    </row>
    <row r="14384" spans="1:6" ht="15" customHeight="1" x14ac:dyDescent="0.25">
      <c r="A14384" s="122" t="s">
        <v>593</v>
      </c>
      <c r="B14384" s="127">
        <v>1</v>
      </c>
      <c r="C14384" s="101">
        <v>32688</v>
      </c>
      <c r="D14384" s="101">
        <f t="shared" ref="D14384:D14385" si="704">+C14384*1.7</f>
        <v>55569.599999999999</v>
      </c>
      <c r="E14384" s="107">
        <v>170</v>
      </c>
      <c r="F14384" s="106">
        <f t="shared" ref="F14384:F14385" si="705">+B14384*(D14384)/E14384</f>
        <v>326.88</v>
      </c>
    </row>
    <row r="14385" spans="1:6" ht="15" customHeight="1" x14ac:dyDescent="0.25">
      <c r="A14385" s="122" t="s">
        <v>594</v>
      </c>
      <c r="B14385" s="127">
        <v>1</v>
      </c>
      <c r="C14385" s="101">
        <v>52538</v>
      </c>
      <c r="D14385" s="101">
        <f t="shared" si="704"/>
        <v>89314.599999999991</v>
      </c>
      <c r="E14385" s="107">
        <f>E14384</f>
        <v>170</v>
      </c>
      <c r="F14385" s="106">
        <f t="shared" si="705"/>
        <v>525.38</v>
      </c>
    </row>
    <row r="14386" spans="1:6" ht="15" customHeight="1" x14ac:dyDescent="0.25">
      <c r="A14386" s="122"/>
      <c r="B14386" s="127"/>
      <c r="C14386" s="101"/>
      <c r="D14386" s="101"/>
      <c r="E14386" s="105"/>
      <c r="F14386" s="106"/>
    </row>
    <row r="14387" spans="1:6" ht="15" customHeight="1" x14ac:dyDescent="0.25">
      <c r="A14387" s="122"/>
      <c r="B14387" s="127"/>
      <c r="C14387" s="101"/>
      <c r="D14387" s="101"/>
      <c r="E14387" s="125"/>
      <c r="F14387" s="106"/>
    </row>
    <row r="14388" spans="1:6" ht="15" customHeight="1" x14ac:dyDescent="0.25">
      <c r="A14388" s="97" t="s">
        <v>548</v>
      </c>
      <c r="B14388" s="128"/>
      <c r="C14388" s="110"/>
      <c r="D14388" s="110"/>
      <c r="E14388" s="110"/>
      <c r="F14388" s="112">
        <f>SUM(F14384:F14387)</f>
        <v>852.26</v>
      </c>
    </row>
    <row r="14389" spans="1:6" ht="15" customHeight="1" x14ac:dyDescent="0.25">
      <c r="A14389" s="96"/>
      <c r="B14389" s="129"/>
      <c r="C14389" s="118"/>
      <c r="D14389" s="118"/>
      <c r="E14389" s="118"/>
      <c r="F14389" s="118"/>
    </row>
    <row r="14390" spans="1:6" ht="15" customHeight="1" x14ac:dyDescent="0.25">
      <c r="A14390" s="95" t="s">
        <v>583</v>
      </c>
      <c r="B14390" s="96"/>
      <c r="C14390" s="92"/>
      <c r="D14390" s="92"/>
      <c r="E14390" s="92" t="s">
        <v>584</v>
      </c>
      <c r="F14390" s="92"/>
    </row>
    <row r="14391" spans="1:6" ht="15" customHeight="1" x14ac:dyDescent="0.25">
      <c r="A14391" s="97" t="s">
        <v>563</v>
      </c>
      <c r="B14391" s="98" t="s">
        <v>564</v>
      </c>
      <c r="C14391" s="98" t="s">
        <v>585</v>
      </c>
      <c r="D14391" s="98" t="s">
        <v>586</v>
      </c>
      <c r="E14391" s="120" t="s">
        <v>587</v>
      </c>
      <c r="F14391" s="98" t="s">
        <v>568</v>
      </c>
    </row>
    <row r="14392" spans="1:6" ht="15" customHeight="1" x14ac:dyDescent="0.25">
      <c r="A14392" s="103"/>
      <c r="B14392" s="100"/>
      <c r="C14392" s="101"/>
      <c r="D14392" s="140"/>
      <c r="E14392" s="107"/>
      <c r="F14392" s="109"/>
    </row>
    <row r="14393" spans="1:6" ht="15" customHeight="1" x14ac:dyDescent="0.25">
      <c r="A14393" s="103"/>
      <c r="B14393" s="100"/>
      <c r="C14393" s="107"/>
      <c r="D14393" s="107"/>
      <c r="E14393" s="108"/>
      <c r="F14393" s="109"/>
    </row>
    <row r="14394" spans="1:6" ht="15" customHeight="1" x14ac:dyDescent="0.25">
      <c r="A14394" s="97" t="s">
        <v>548</v>
      </c>
      <c r="B14394" s="98"/>
      <c r="C14394" s="110"/>
      <c r="D14394" s="110"/>
      <c r="E14394" s="111"/>
      <c r="F14394" s="112">
        <f>SUM(F14392:F14393)</f>
        <v>0</v>
      </c>
    </row>
    <row r="14395" spans="1:6" ht="15" customHeight="1" x14ac:dyDescent="0.25">
      <c r="A14395" s="88"/>
      <c r="B14395" s="89"/>
      <c r="C14395" s="113"/>
      <c r="D14395" s="113"/>
      <c r="E14395" s="114"/>
      <c r="F14395" s="113"/>
    </row>
    <row r="14396" spans="1:6" ht="15" customHeight="1" x14ac:dyDescent="0.25">
      <c r="A14396" s="88"/>
      <c r="B14396" s="89"/>
      <c r="C14396" s="113"/>
      <c r="D14396" s="113"/>
      <c r="E14396" s="114"/>
      <c r="F14396" s="113"/>
    </row>
    <row r="14397" spans="1:6" ht="15" customHeight="1" x14ac:dyDescent="0.25">
      <c r="A14397" s="612" t="s">
        <v>588</v>
      </c>
      <c r="B14397" s="608"/>
      <c r="C14397" s="608"/>
      <c r="D14397" s="608"/>
      <c r="E14397" s="609"/>
      <c r="F14397" s="131">
        <f>ROUND(F14367+F14380+F14388+F14394,0)</f>
        <v>2855</v>
      </c>
    </row>
    <row r="14398" spans="1:6" ht="15" customHeight="1" x14ac:dyDescent="0.25">
      <c r="A14398" s="612" t="s">
        <v>589</v>
      </c>
      <c r="B14398" s="608"/>
      <c r="C14398" s="608"/>
      <c r="D14398" s="608"/>
      <c r="E14398" s="609"/>
      <c r="F14398" s="132"/>
    </row>
    <row r="14399" spans="1:6" ht="15" customHeight="1" x14ac:dyDescent="0.25">
      <c r="A14399" s="146" t="s">
        <v>556</v>
      </c>
      <c r="B14399" s="147"/>
      <c r="C14399" s="147"/>
      <c r="D14399" s="147"/>
      <c r="E14399" s="148"/>
      <c r="F14399" s="133"/>
    </row>
    <row r="14400" spans="1:6" ht="15" customHeight="1" x14ac:dyDescent="0.25">
      <c r="A14400" s="134"/>
      <c r="B14400" s="135"/>
      <c r="C14400" s="135"/>
      <c r="D14400" s="135"/>
      <c r="E14400" s="135"/>
      <c r="F14400" s="136"/>
    </row>
    <row r="14401" spans="1:6" ht="15" customHeight="1" x14ac:dyDescent="0.25">
      <c r="A14401" s="81"/>
      <c r="B14401" s="81"/>
      <c r="C14401" s="137"/>
      <c r="D14401" s="81"/>
      <c r="E14401" s="81"/>
      <c r="F14401" s="81"/>
    </row>
    <row r="14402" spans="1:6" ht="15" customHeight="1" x14ac:dyDescent="0.25">
      <c r="A14402" s="81"/>
      <c r="B14402" s="81"/>
      <c r="C14402" s="137"/>
      <c r="D14402" s="81"/>
      <c r="E14402" s="81"/>
      <c r="F14402" s="81"/>
    </row>
    <row r="14403" spans="1:6" ht="15" customHeight="1" x14ac:dyDescent="0.25">
      <c r="A14403" s="81"/>
      <c r="B14403" s="81"/>
      <c r="C14403" s="137"/>
      <c r="D14403" s="81"/>
      <c r="E14403" s="81"/>
      <c r="F14403" s="81"/>
    </row>
    <row r="14404" spans="1:6" ht="15" customHeight="1" x14ac:dyDescent="0.25">
      <c r="A14404" s="134"/>
      <c r="B14404" s="135"/>
      <c r="C14404" s="135"/>
      <c r="D14404" s="135"/>
      <c r="E14404" s="135"/>
      <c r="F14404" s="136"/>
    </row>
    <row r="14405" spans="1:6" ht="15" customHeight="1" x14ac:dyDescent="0.25">
      <c r="A14405" s="134"/>
      <c r="B14405" s="135"/>
      <c r="C14405" s="135"/>
      <c r="D14405" s="135"/>
      <c r="E14405" s="135"/>
      <c r="F14405" s="136"/>
    </row>
    <row r="14406" spans="1:6" ht="15" customHeight="1" x14ac:dyDescent="0.25">
      <c r="A14406" s="134"/>
      <c r="B14406" s="135"/>
      <c r="C14406" s="135"/>
      <c r="D14406" s="135"/>
      <c r="E14406" s="135"/>
      <c r="F14406" s="135"/>
    </row>
    <row r="14407" spans="1:6" ht="15" customHeight="1" thickBot="1" x14ac:dyDescent="0.3">
      <c r="A14407" s="81"/>
      <c r="B14407" s="81"/>
      <c r="C14407" s="81"/>
      <c r="D14407" s="81"/>
      <c r="E14407" s="81"/>
      <c r="F14407" s="81"/>
    </row>
    <row r="14408" spans="1:6" ht="15" customHeight="1" x14ac:dyDescent="0.25">
      <c r="A14408" s="83"/>
      <c r="B14408" s="84"/>
      <c r="C14408" s="85"/>
      <c r="D14408" s="86"/>
      <c r="E14408" s="86"/>
      <c r="F14408" s="87"/>
    </row>
    <row r="14409" spans="1:6" ht="15" customHeight="1" x14ac:dyDescent="0.25">
      <c r="A14409" s="599"/>
      <c r="B14409" s="600"/>
      <c r="C14409" s="600"/>
      <c r="D14409" s="600"/>
      <c r="E14409" s="600"/>
      <c r="F14409" s="601"/>
    </row>
    <row r="14410" spans="1:6" ht="15" customHeight="1" x14ac:dyDescent="0.25">
      <c r="A14410" s="602" t="s">
        <v>561</v>
      </c>
      <c r="B14410" s="600"/>
      <c r="C14410" s="600"/>
      <c r="D14410" s="600"/>
      <c r="E14410" s="600"/>
      <c r="F14410" s="601"/>
    </row>
    <row r="14411" spans="1:6" ht="15" customHeight="1" thickBot="1" x14ac:dyDescent="0.3">
      <c r="A14411" s="603"/>
      <c r="B14411" s="604"/>
      <c r="C14411" s="604"/>
      <c r="D14411" s="604"/>
      <c r="E14411" s="604"/>
      <c r="F14411" s="605"/>
    </row>
    <row r="14412" spans="1:6" ht="15" customHeight="1" x14ac:dyDescent="0.25">
      <c r="A14412" s="88"/>
      <c r="B14412" s="88"/>
      <c r="C14412" s="89"/>
      <c r="D14412" s="89"/>
      <c r="E14412" s="89"/>
      <c r="F14412" s="89"/>
    </row>
    <row r="14413" spans="1:6" ht="15" customHeight="1" x14ac:dyDescent="0.25">
      <c r="A14413" s="90" t="s">
        <v>47</v>
      </c>
      <c r="B14413" s="613" t="s">
        <v>465</v>
      </c>
      <c r="C14413" s="600"/>
      <c r="D14413" s="600"/>
      <c r="E14413" s="600"/>
      <c r="F14413" s="600"/>
    </row>
    <row r="14414" spans="1:6" ht="15" customHeight="1" x14ac:dyDescent="0.25">
      <c r="A14414" s="91"/>
      <c r="B14414" s="91"/>
      <c r="C14414" s="91"/>
      <c r="D14414" s="91"/>
      <c r="E14414" s="91"/>
      <c r="F14414" s="91"/>
    </row>
    <row r="14415" spans="1:6" ht="15" customHeight="1" x14ac:dyDescent="0.25">
      <c r="A14415" s="88" t="s">
        <v>49</v>
      </c>
      <c r="B14415" s="92" t="s">
        <v>99</v>
      </c>
      <c r="C14415" s="89"/>
      <c r="D14415" s="89"/>
      <c r="E14415" s="89"/>
      <c r="F14415" s="93"/>
    </row>
    <row r="14416" spans="1:6" ht="15" customHeight="1" x14ac:dyDescent="0.25">
      <c r="A14416" s="88"/>
      <c r="B14416" s="94"/>
      <c r="C14416" s="89"/>
      <c r="D14416" s="89"/>
      <c r="E14416" s="89"/>
      <c r="F14416" s="93"/>
    </row>
    <row r="14417" spans="1:6" ht="15" customHeight="1" x14ac:dyDescent="0.25">
      <c r="A14417" s="95" t="s">
        <v>562</v>
      </c>
      <c r="B14417" s="96"/>
      <c r="C14417" s="92"/>
      <c r="D14417" s="92"/>
      <c r="E14417" s="92"/>
      <c r="F14417" s="92"/>
    </row>
    <row r="14418" spans="1:6" ht="15" customHeight="1" x14ac:dyDescent="0.25">
      <c r="A14418" s="97" t="s">
        <v>563</v>
      </c>
      <c r="B14418" s="98" t="s">
        <v>564</v>
      </c>
      <c r="C14418" s="98" t="s">
        <v>565</v>
      </c>
      <c r="D14418" s="98" t="s">
        <v>566</v>
      </c>
      <c r="E14418" s="98" t="s">
        <v>567</v>
      </c>
      <c r="F14418" s="98" t="s">
        <v>568</v>
      </c>
    </row>
    <row r="14419" spans="1:6" ht="15" customHeight="1" x14ac:dyDescent="0.25">
      <c r="A14419" s="99" t="s">
        <v>909</v>
      </c>
      <c r="B14419" s="100" t="s">
        <v>564</v>
      </c>
      <c r="C14419" s="101">
        <v>13575730</v>
      </c>
      <c r="D14419" s="149">
        <v>1</v>
      </c>
      <c r="E14419" s="102"/>
      <c r="F14419" s="101">
        <f t="shared" ref="F14419:F14422" si="706">C14419*(D14419+(D14419*E14419))</f>
        <v>13575730</v>
      </c>
    </row>
    <row r="14420" spans="1:6" ht="15" customHeight="1" x14ac:dyDescent="0.25">
      <c r="A14420" s="99"/>
      <c r="B14420" s="100"/>
      <c r="C14420" s="101"/>
      <c r="D14420" s="149"/>
      <c r="E14420" s="102"/>
      <c r="F14420" s="101">
        <f t="shared" si="706"/>
        <v>0</v>
      </c>
    </row>
    <row r="14421" spans="1:6" ht="15" customHeight="1" x14ac:dyDescent="0.25">
      <c r="A14421" s="99"/>
      <c r="B14421" s="100"/>
      <c r="C14421" s="101"/>
      <c r="D14421" s="149"/>
      <c r="E14421" s="102"/>
      <c r="F14421" s="101">
        <f t="shared" si="706"/>
        <v>0</v>
      </c>
    </row>
    <row r="14422" spans="1:6" ht="15" customHeight="1" x14ac:dyDescent="0.25">
      <c r="A14422" s="99"/>
      <c r="B14422" s="100"/>
      <c r="C14422" s="101"/>
      <c r="D14422" s="149"/>
      <c r="E14422" s="102"/>
      <c r="F14422" s="101">
        <f t="shared" si="706"/>
        <v>0</v>
      </c>
    </row>
    <row r="14423" spans="1:6" ht="15" customHeight="1" x14ac:dyDescent="0.25">
      <c r="A14423" s="99"/>
      <c r="B14423" s="100"/>
      <c r="C14423" s="101"/>
      <c r="D14423" s="149"/>
      <c r="E14423" s="102"/>
      <c r="F14423" s="101"/>
    </row>
    <row r="14424" spans="1:6" ht="15" customHeight="1" x14ac:dyDescent="0.25">
      <c r="A14424" s="99"/>
      <c r="B14424" s="100"/>
      <c r="C14424" s="101"/>
      <c r="D14424" s="149"/>
      <c r="E14424" s="102"/>
      <c r="F14424" s="101"/>
    </row>
    <row r="14425" spans="1:6" ht="15" customHeight="1" x14ac:dyDescent="0.25">
      <c r="A14425" s="99"/>
      <c r="B14425" s="100"/>
      <c r="C14425" s="101"/>
      <c r="D14425" s="149"/>
      <c r="E14425" s="102"/>
      <c r="F14425" s="101"/>
    </row>
    <row r="14426" spans="1:6" ht="15" customHeight="1" x14ac:dyDescent="0.25">
      <c r="A14426" s="99"/>
      <c r="B14426" s="100"/>
      <c r="C14426" s="106"/>
      <c r="D14426" s="107"/>
      <c r="E14426" s="108"/>
      <c r="F14426" s="106"/>
    </row>
    <row r="14427" spans="1:6" ht="15" customHeight="1" x14ac:dyDescent="0.25">
      <c r="A14427" s="97" t="s">
        <v>548</v>
      </c>
      <c r="B14427" s="97"/>
      <c r="C14427" s="109"/>
      <c r="D14427" s="110"/>
      <c r="E14427" s="111"/>
      <c r="F14427" s="112">
        <f>SUM(F14419:F14426)</f>
        <v>13575730</v>
      </c>
    </row>
    <row r="14428" spans="1:6" ht="15" customHeight="1" x14ac:dyDescent="0.25">
      <c r="A14428" s="88"/>
      <c r="B14428" s="88"/>
      <c r="C14428" s="113"/>
      <c r="D14428" s="113"/>
      <c r="E14428" s="114"/>
      <c r="F14428" s="113"/>
    </row>
    <row r="14429" spans="1:6" ht="15" customHeight="1" x14ac:dyDescent="0.25">
      <c r="A14429" s="96" t="s">
        <v>573</v>
      </c>
      <c r="B14429" s="96"/>
      <c r="C14429" s="92"/>
      <c r="D14429" s="92"/>
      <c r="E14429" s="92"/>
      <c r="F14429" s="92"/>
    </row>
    <row r="14430" spans="1:6" ht="15" customHeight="1" x14ac:dyDescent="0.25">
      <c r="A14430" s="611" t="s">
        <v>563</v>
      </c>
      <c r="B14430" s="608"/>
      <c r="C14430" s="609"/>
      <c r="D14430" s="98" t="s">
        <v>574</v>
      </c>
      <c r="E14430" s="98" t="s">
        <v>575</v>
      </c>
      <c r="F14430" s="98" t="s">
        <v>568</v>
      </c>
    </row>
    <row r="14431" spans="1:6" ht="15" customHeight="1" x14ac:dyDescent="0.25">
      <c r="A14431" s="607" t="s">
        <v>577</v>
      </c>
      <c r="B14431" s="608"/>
      <c r="C14431" s="609"/>
      <c r="D14431" s="116"/>
      <c r="E14431" s="107"/>
      <c r="F14431" s="106">
        <f>+F14448*5%</f>
        <v>51787.858944370411</v>
      </c>
    </row>
    <row r="14432" spans="1:6" ht="15" customHeight="1" x14ac:dyDescent="0.25">
      <c r="A14432" s="607"/>
      <c r="B14432" s="608"/>
      <c r="C14432" s="609"/>
      <c r="D14432" s="142"/>
      <c r="E14432" s="105"/>
      <c r="F14432" s="106"/>
    </row>
    <row r="14433" spans="1:6" ht="15" customHeight="1" x14ac:dyDescent="0.25">
      <c r="A14433" s="607"/>
      <c r="B14433" s="608"/>
      <c r="C14433" s="609"/>
      <c r="D14433" s="142"/>
      <c r="E14433" s="105"/>
      <c r="F14433" s="106"/>
    </row>
    <row r="14434" spans="1:6" ht="15" customHeight="1" x14ac:dyDescent="0.25">
      <c r="A14434" s="607"/>
      <c r="B14434" s="608"/>
      <c r="C14434" s="609"/>
      <c r="D14434" s="142"/>
      <c r="E14434" s="107"/>
      <c r="F14434" s="106"/>
    </row>
    <row r="14435" spans="1:6" ht="15" customHeight="1" x14ac:dyDescent="0.25">
      <c r="A14435" s="607"/>
      <c r="B14435" s="608"/>
      <c r="C14435" s="609"/>
      <c r="D14435" s="142"/>
      <c r="E14435" s="107"/>
      <c r="F14435" s="106"/>
    </row>
    <row r="14436" spans="1:6" ht="15" customHeight="1" x14ac:dyDescent="0.25">
      <c r="A14436" s="607"/>
      <c r="B14436" s="608"/>
      <c r="C14436" s="609"/>
      <c r="D14436" s="142"/>
      <c r="E14436" s="107"/>
      <c r="F14436" s="106"/>
    </row>
    <row r="14437" spans="1:6" ht="15" customHeight="1" x14ac:dyDescent="0.25">
      <c r="A14437" s="607"/>
      <c r="B14437" s="608"/>
      <c r="C14437" s="609"/>
      <c r="D14437" s="142"/>
      <c r="E14437" s="107"/>
      <c r="F14437" s="106"/>
    </row>
    <row r="14438" spans="1:6" ht="15" customHeight="1" x14ac:dyDescent="0.25">
      <c r="A14438" s="607"/>
      <c r="B14438" s="608"/>
      <c r="C14438" s="609"/>
      <c r="D14438" s="142"/>
      <c r="E14438" s="107"/>
      <c r="F14438" s="106"/>
    </row>
    <row r="14439" spans="1:6" ht="15" customHeight="1" x14ac:dyDescent="0.25">
      <c r="A14439" s="610"/>
      <c r="B14439" s="608"/>
      <c r="C14439" s="609"/>
      <c r="D14439" s="115"/>
      <c r="E14439" s="107"/>
      <c r="F14439" s="106"/>
    </row>
    <row r="14440" spans="1:6" ht="15" customHeight="1" x14ac:dyDescent="0.25">
      <c r="A14440" s="611" t="s">
        <v>548</v>
      </c>
      <c r="B14440" s="608"/>
      <c r="C14440" s="609"/>
      <c r="D14440" s="110"/>
      <c r="E14440" s="110"/>
      <c r="F14440" s="112">
        <f>SUM(F14431:F14438)</f>
        <v>51787.858944370411</v>
      </c>
    </row>
    <row r="14441" spans="1:6" ht="15" customHeight="1" x14ac:dyDescent="0.25">
      <c r="A14441" s="88"/>
      <c r="B14441" s="88"/>
      <c r="C14441" s="89"/>
      <c r="D14441" s="113"/>
      <c r="E14441" s="113"/>
      <c r="F14441" s="113"/>
    </row>
    <row r="14442" spans="1:6" ht="15" customHeight="1" x14ac:dyDescent="0.25">
      <c r="A14442" s="96" t="s">
        <v>578</v>
      </c>
      <c r="B14442" s="96"/>
      <c r="C14442" s="92"/>
      <c r="D14442" s="118"/>
      <c r="E14442" s="118"/>
      <c r="F14442" s="118"/>
    </row>
    <row r="14443" spans="1:6" ht="15" customHeight="1" x14ac:dyDescent="0.25">
      <c r="A14443" s="119" t="s">
        <v>563</v>
      </c>
      <c r="B14443" s="120" t="s">
        <v>579</v>
      </c>
      <c r="C14443" s="120" t="s">
        <v>580</v>
      </c>
      <c r="D14443" s="121" t="s">
        <v>581</v>
      </c>
      <c r="E14443" s="121" t="s">
        <v>575</v>
      </c>
      <c r="F14443" s="121" t="s">
        <v>568</v>
      </c>
    </row>
    <row r="14444" spans="1:6" ht="15" customHeight="1" x14ac:dyDescent="0.25">
      <c r="A14444" s="122" t="s">
        <v>593</v>
      </c>
      <c r="B14444" s="127">
        <v>1</v>
      </c>
      <c r="C14444" s="101">
        <v>32688</v>
      </c>
      <c r="D14444" s="101">
        <f t="shared" ref="D14444:D14445" si="707">+C14444*1.7</f>
        <v>55569.599999999999</v>
      </c>
      <c r="E14444" s="107">
        <v>0.13988239999999999</v>
      </c>
      <c r="F14444" s="106">
        <f t="shared" ref="F14444:F14445" si="708">+B14444*(D14444)/E14444</f>
        <v>397259.41219195555</v>
      </c>
    </row>
    <row r="14445" spans="1:6" ht="15" customHeight="1" x14ac:dyDescent="0.25">
      <c r="A14445" s="122" t="s">
        <v>594</v>
      </c>
      <c r="B14445" s="127">
        <v>1</v>
      </c>
      <c r="C14445" s="101">
        <v>52538</v>
      </c>
      <c r="D14445" s="101">
        <f t="shared" si="707"/>
        <v>89314.599999999991</v>
      </c>
      <c r="E14445" s="107">
        <f>E14444</f>
        <v>0.13988239999999999</v>
      </c>
      <c r="F14445" s="106">
        <f t="shared" si="708"/>
        <v>638497.76669545274</v>
      </c>
    </row>
    <row r="14446" spans="1:6" ht="15" customHeight="1" x14ac:dyDescent="0.25">
      <c r="A14446" s="122"/>
      <c r="B14446" s="127"/>
      <c r="C14446" s="101"/>
      <c r="D14446" s="101"/>
      <c r="E14446" s="105"/>
      <c r="F14446" s="106"/>
    </row>
    <row r="14447" spans="1:6" ht="15" customHeight="1" x14ac:dyDescent="0.25">
      <c r="A14447" s="122"/>
      <c r="B14447" s="127"/>
      <c r="C14447" s="101"/>
      <c r="D14447" s="101"/>
      <c r="E14447" s="125"/>
      <c r="F14447" s="106"/>
    </row>
    <row r="14448" spans="1:6" ht="15" customHeight="1" x14ac:dyDescent="0.25">
      <c r="A14448" s="97" t="s">
        <v>548</v>
      </c>
      <c r="B14448" s="128"/>
      <c r="C14448" s="110"/>
      <c r="D14448" s="110"/>
      <c r="E14448" s="110"/>
      <c r="F14448" s="112">
        <f>SUM(F14444:F14447)</f>
        <v>1035757.1788874082</v>
      </c>
    </row>
    <row r="14449" spans="1:6" ht="15" customHeight="1" x14ac:dyDescent="0.25">
      <c r="A14449" s="96"/>
      <c r="B14449" s="129"/>
      <c r="C14449" s="118"/>
      <c r="D14449" s="118"/>
      <c r="E14449" s="118"/>
      <c r="F14449" s="118"/>
    </row>
    <row r="14450" spans="1:6" ht="15" customHeight="1" x14ac:dyDescent="0.25">
      <c r="A14450" s="95" t="s">
        <v>583</v>
      </c>
      <c r="B14450" s="96"/>
      <c r="C14450" s="92"/>
      <c r="D14450" s="92"/>
      <c r="E14450" s="92" t="s">
        <v>584</v>
      </c>
      <c r="F14450" s="92"/>
    </row>
    <row r="14451" spans="1:6" ht="15" customHeight="1" x14ac:dyDescent="0.25">
      <c r="A14451" s="97" t="s">
        <v>563</v>
      </c>
      <c r="B14451" s="98" t="s">
        <v>564</v>
      </c>
      <c r="C14451" s="98" t="s">
        <v>585</v>
      </c>
      <c r="D14451" s="98" t="s">
        <v>586</v>
      </c>
      <c r="E14451" s="120" t="s">
        <v>587</v>
      </c>
      <c r="F14451" s="98" t="s">
        <v>568</v>
      </c>
    </row>
    <row r="14452" spans="1:6" ht="15" customHeight="1" x14ac:dyDescent="0.25">
      <c r="A14452" s="103"/>
      <c r="B14452" s="100"/>
      <c r="C14452" s="101"/>
      <c r="D14452" s="140"/>
      <c r="E14452" s="107"/>
      <c r="F14452" s="109"/>
    </row>
    <row r="14453" spans="1:6" ht="15" customHeight="1" x14ac:dyDescent="0.25">
      <c r="A14453" s="103"/>
      <c r="B14453" s="100"/>
      <c r="C14453" s="107"/>
      <c r="D14453" s="107"/>
      <c r="E14453" s="108"/>
      <c r="F14453" s="109"/>
    </row>
    <row r="14454" spans="1:6" ht="15" customHeight="1" x14ac:dyDescent="0.25">
      <c r="A14454" s="97" t="s">
        <v>548</v>
      </c>
      <c r="B14454" s="98"/>
      <c r="C14454" s="110"/>
      <c r="D14454" s="110"/>
      <c r="E14454" s="111"/>
      <c r="F14454" s="112">
        <f>SUM(F14452:F14453)</f>
        <v>0</v>
      </c>
    </row>
    <row r="14455" spans="1:6" ht="15" customHeight="1" x14ac:dyDescent="0.25">
      <c r="A14455" s="88"/>
      <c r="B14455" s="89"/>
      <c r="C14455" s="113"/>
      <c r="D14455" s="113"/>
      <c r="E14455" s="114"/>
      <c r="F14455" s="113"/>
    </row>
    <row r="14456" spans="1:6" ht="15" customHeight="1" x14ac:dyDescent="0.25">
      <c r="A14456" s="88"/>
      <c r="B14456" s="89"/>
      <c r="C14456" s="113"/>
      <c r="D14456" s="113"/>
      <c r="E14456" s="114"/>
      <c r="F14456" s="113"/>
    </row>
    <row r="14457" spans="1:6" ht="15" customHeight="1" x14ac:dyDescent="0.25">
      <c r="A14457" s="612" t="s">
        <v>588</v>
      </c>
      <c r="B14457" s="608"/>
      <c r="C14457" s="608"/>
      <c r="D14457" s="608"/>
      <c r="E14457" s="609"/>
      <c r="F14457" s="131">
        <f>ROUND(F14427+F14440+F14448+F14454,0)</f>
        <v>14663275</v>
      </c>
    </row>
    <row r="14458" spans="1:6" ht="15" customHeight="1" x14ac:dyDescent="0.25">
      <c r="A14458" s="612" t="s">
        <v>589</v>
      </c>
      <c r="B14458" s="608"/>
      <c r="C14458" s="608"/>
      <c r="D14458" s="608"/>
      <c r="E14458" s="609"/>
      <c r="F14458" s="132"/>
    </row>
    <row r="14459" spans="1:6" ht="15" customHeight="1" x14ac:dyDescent="0.25">
      <c r="A14459" s="146" t="s">
        <v>556</v>
      </c>
      <c r="B14459" s="147"/>
      <c r="C14459" s="147"/>
      <c r="D14459" s="147"/>
      <c r="E14459" s="148"/>
      <c r="F14459" s="133"/>
    </row>
    <row r="14460" spans="1:6" ht="15" customHeight="1" x14ac:dyDescent="0.25">
      <c r="A14460" s="134"/>
      <c r="B14460" s="135"/>
      <c r="C14460" s="135"/>
      <c r="D14460" s="135"/>
      <c r="E14460" s="135"/>
      <c r="F14460" s="136"/>
    </row>
    <row r="14461" spans="1:6" ht="15" customHeight="1" x14ac:dyDescent="0.25">
      <c r="A14461" s="81"/>
      <c r="B14461" s="81"/>
      <c r="C14461" s="137"/>
      <c r="D14461" s="81"/>
      <c r="E14461" s="81"/>
      <c r="F14461" s="81"/>
    </row>
    <row r="14462" spans="1:6" ht="15" customHeight="1" x14ac:dyDescent="0.25">
      <c r="A14462" s="81"/>
      <c r="B14462" s="81"/>
      <c r="C14462" s="137"/>
      <c r="D14462" s="81"/>
      <c r="E14462" s="81"/>
      <c r="F14462" s="81"/>
    </row>
    <row r="14463" spans="1:6" ht="15" customHeight="1" x14ac:dyDescent="0.25">
      <c r="A14463" s="81"/>
      <c r="B14463" s="81"/>
      <c r="C14463" s="137"/>
      <c r="D14463" s="81"/>
      <c r="E14463" s="81"/>
      <c r="F14463" s="81"/>
    </row>
    <row r="14464" spans="1:6" ht="15" customHeight="1" x14ac:dyDescent="0.25">
      <c r="A14464" s="81"/>
      <c r="B14464" s="81"/>
      <c r="C14464" s="137"/>
      <c r="D14464" s="81"/>
      <c r="E14464" s="81"/>
      <c r="F14464" s="81"/>
    </row>
    <row r="14465" spans="1:6" ht="15" customHeight="1" x14ac:dyDescent="0.25">
      <c r="A14465" s="134"/>
      <c r="B14465" s="135"/>
      <c r="C14465" s="135"/>
      <c r="D14465" s="135"/>
      <c r="E14465" s="135"/>
      <c r="F14465" s="136"/>
    </row>
    <row r="14466" spans="1:6" ht="15" customHeight="1" x14ac:dyDescent="0.25">
      <c r="A14466" s="134"/>
      <c r="B14466" s="135"/>
      <c r="C14466" s="135"/>
      <c r="D14466" s="135"/>
      <c r="E14466" s="135"/>
      <c r="F14466" s="136"/>
    </row>
    <row r="14467" spans="1:6" ht="15" customHeight="1" x14ac:dyDescent="0.25">
      <c r="A14467" s="134"/>
      <c r="B14467" s="135"/>
      <c r="C14467" s="135"/>
      <c r="D14467" s="135"/>
      <c r="E14467" s="135"/>
      <c r="F14467" s="135"/>
    </row>
    <row r="14468" spans="1:6" ht="15" customHeight="1" thickBot="1" x14ac:dyDescent="0.3">
      <c r="A14468" s="81"/>
      <c r="B14468" s="81"/>
      <c r="C14468" s="81"/>
      <c r="D14468" s="81"/>
      <c r="E14468" s="81"/>
      <c r="F14468" s="81"/>
    </row>
    <row r="14469" spans="1:6" ht="15" customHeight="1" x14ac:dyDescent="0.25">
      <c r="A14469" s="83"/>
      <c r="B14469" s="84"/>
      <c r="C14469" s="85"/>
      <c r="D14469" s="86"/>
      <c r="E14469" s="86"/>
      <c r="F14469" s="87"/>
    </row>
    <row r="14470" spans="1:6" ht="15" customHeight="1" x14ac:dyDescent="0.25">
      <c r="A14470" s="599"/>
      <c r="B14470" s="600"/>
      <c r="C14470" s="600"/>
      <c r="D14470" s="600"/>
      <c r="E14470" s="600"/>
      <c r="F14470" s="601"/>
    </row>
    <row r="14471" spans="1:6" ht="15" customHeight="1" x14ac:dyDescent="0.25">
      <c r="A14471" s="602" t="s">
        <v>561</v>
      </c>
      <c r="B14471" s="600"/>
      <c r="C14471" s="600"/>
      <c r="D14471" s="600"/>
      <c r="E14471" s="600"/>
      <c r="F14471" s="601"/>
    </row>
    <row r="14472" spans="1:6" ht="15" customHeight="1" thickBot="1" x14ac:dyDescent="0.3">
      <c r="A14472" s="603"/>
      <c r="B14472" s="604"/>
      <c r="C14472" s="604"/>
      <c r="D14472" s="604"/>
      <c r="E14472" s="604"/>
      <c r="F14472" s="605"/>
    </row>
    <row r="14473" spans="1:6" ht="15" customHeight="1" x14ac:dyDescent="0.25">
      <c r="A14473" s="88"/>
      <c r="B14473" s="88"/>
      <c r="C14473" s="89"/>
      <c r="D14473" s="89"/>
      <c r="E14473" s="89"/>
      <c r="F14473" s="89"/>
    </row>
    <row r="14474" spans="1:6" ht="15" customHeight="1" x14ac:dyDescent="0.25">
      <c r="A14474" s="90" t="s">
        <v>47</v>
      </c>
      <c r="B14474" s="613" t="s">
        <v>910</v>
      </c>
      <c r="C14474" s="600"/>
      <c r="D14474" s="600"/>
      <c r="E14474" s="600"/>
      <c r="F14474" s="600"/>
    </row>
    <row r="14475" spans="1:6" ht="15" customHeight="1" x14ac:dyDescent="0.25">
      <c r="A14475" s="91"/>
      <c r="B14475" s="91"/>
      <c r="C14475" s="91"/>
      <c r="D14475" s="91"/>
      <c r="E14475" s="91"/>
      <c r="F14475" s="91"/>
    </row>
    <row r="14476" spans="1:6" ht="15" customHeight="1" x14ac:dyDescent="0.25">
      <c r="A14476" s="88" t="s">
        <v>49</v>
      </c>
      <c r="B14476" s="92" t="s">
        <v>99</v>
      </c>
      <c r="C14476" s="89"/>
      <c r="D14476" s="89"/>
      <c r="E14476" s="89"/>
      <c r="F14476" s="93"/>
    </row>
    <row r="14477" spans="1:6" ht="15" customHeight="1" x14ac:dyDescent="0.25">
      <c r="A14477" s="88"/>
      <c r="B14477" s="94"/>
      <c r="C14477" s="89"/>
      <c r="D14477" s="89"/>
      <c r="E14477" s="89"/>
      <c r="F14477" s="93"/>
    </row>
    <row r="14478" spans="1:6" ht="15" customHeight="1" x14ac:dyDescent="0.25">
      <c r="A14478" s="95" t="s">
        <v>562</v>
      </c>
      <c r="B14478" s="96"/>
      <c r="C14478" s="92"/>
      <c r="D14478" s="92"/>
      <c r="E14478" s="92"/>
      <c r="F14478" s="92"/>
    </row>
    <row r="14479" spans="1:6" ht="15" customHeight="1" x14ac:dyDescent="0.25">
      <c r="A14479" s="97" t="s">
        <v>563</v>
      </c>
      <c r="B14479" s="98" t="s">
        <v>564</v>
      </c>
      <c r="C14479" s="98" t="s">
        <v>565</v>
      </c>
      <c r="D14479" s="98" t="s">
        <v>566</v>
      </c>
      <c r="E14479" s="98" t="s">
        <v>567</v>
      </c>
      <c r="F14479" s="98" t="s">
        <v>568</v>
      </c>
    </row>
    <row r="14480" spans="1:6" ht="15" customHeight="1" x14ac:dyDescent="0.25">
      <c r="A14480" s="99" t="s">
        <v>899</v>
      </c>
      <c r="B14480" s="100" t="s">
        <v>99</v>
      </c>
      <c r="C14480" s="101">
        <v>6957858</v>
      </c>
      <c r="D14480" s="149">
        <v>1</v>
      </c>
      <c r="E14480" s="102"/>
      <c r="F14480" s="101">
        <f t="shared" ref="F14480:F14483" si="709">C14480*(D14480+(D14480*E14480))</f>
        <v>6957858</v>
      </c>
    </row>
    <row r="14481" spans="1:6" ht="15" customHeight="1" x14ac:dyDescent="0.25">
      <c r="A14481" s="99"/>
      <c r="B14481" s="100"/>
      <c r="C14481" s="101"/>
      <c r="D14481" s="149"/>
      <c r="E14481" s="102"/>
      <c r="F14481" s="101">
        <f t="shared" si="709"/>
        <v>0</v>
      </c>
    </row>
    <row r="14482" spans="1:6" ht="15" customHeight="1" x14ac:dyDescent="0.25">
      <c r="A14482" s="99"/>
      <c r="B14482" s="100"/>
      <c r="C14482" s="101"/>
      <c r="D14482" s="149"/>
      <c r="E14482" s="102"/>
      <c r="F14482" s="101">
        <f t="shared" si="709"/>
        <v>0</v>
      </c>
    </row>
    <row r="14483" spans="1:6" ht="15" customHeight="1" x14ac:dyDescent="0.25">
      <c r="A14483" s="99"/>
      <c r="B14483" s="100"/>
      <c r="C14483" s="101"/>
      <c r="D14483" s="149"/>
      <c r="E14483" s="102"/>
      <c r="F14483" s="101">
        <f t="shared" si="709"/>
        <v>0</v>
      </c>
    </row>
    <row r="14484" spans="1:6" ht="15" customHeight="1" x14ac:dyDescent="0.25">
      <c r="A14484" s="99"/>
      <c r="B14484" s="100"/>
      <c r="C14484" s="101"/>
      <c r="D14484" s="149"/>
      <c r="E14484" s="102"/>
      <c r="F14484" s="101"/>
    </row>
    <row r="14485" spans="1:6" ht="15" customHeight="1" x14ac:dyDescent="0.25">
      <c r="A14485" s="99"/>
      <c r="B14485" s="100"/>
      <c r="C14485" s="101"/>
      <c r="D14485" s="149"/>
      <c r="E14485" s="102"/>
      <c r="F14485" s="101"/>
    </row>
    <row r="14486" spans="1:6" ht="15" customHeight="1" x14ac:dyDescent="0.25">
      <c r="A14486" s="99"/>
      <c r="B14486" s="100"/>
      <c r="C14486" s="101"/>
      <c r="D14486" s="149"/>
      <c r="E14486" s="102"/>
      <c r="F14486" s="101"/>
    </row>
    <row r="14487" spans="1:6" ht="15" customHeight="1" x14ac:dyDescent="0.25">
      <c r="A14487" s="99"/>
      <c r="B14487" s="100"/>
      <c r="C14487" s="106"/>
      <c r="D14487" s="107"/>
      <c r="E14487" s="108"/>
      <c r="F14487" s="106"/>
    </row>
    <row r="14488" spans="1:6" ht="15" customHeight="1" x14ac:dyDescent="0.25">
      <c r="A14488" s="97" t="s">
        <v>548</v>
      </c>
      <c r="B14488" s="97"/>
      <c r="C14488" s="109"/>
      <c r="D14488" s="110"/>
      <c r="E14488" s="111"/>
      <c r="F14488" s="112">
        <f>SUM(F14480:F14487)</f>
        <v>6957858</v>
      </c>
    </row>
    <row r="14489" spans="1:6" ht="15" customHeight="1" x14ac:dyDescent="0.25">
      <c r="A14489" s="88"/>
      <c r="B14489" s="88"/>
      <c r="C14489" s="113"/>
      <c r="D14489" s="113"/>
      <c r="E14489" s="114"/>
      <c r="F14489" s="113"/>
    </row>
    <row r="14490" spans="1:6" ht="15" customHeight="1" x14ac:dyDescent="0.25">
      <c r="A14490" s="96" t="s">
        <v>573</v>
      </c>
      <c r="B14490" s="96"/>
      <c r="C14490" s="92"/>
      <c r="D14490" s="92"/>
      <c r="E14490" s="92"/>
      <c r="F14490" s="92"/>
    </row>
    <row r="14491" spans="1:6" ht="15" customHeight="1" x14ac:dyDescent="0.25">
      <c r="A14491" s="611" t="s">
        <v>563</v>
      </c>
      <c r="B14491" s="608"/>
      <c r="C14491" s="609"/>
      <c r="D14491" s="98" t="s">
        <v>574</v>
      </c>
      <c r="E14491" s="98" t="s">
        <v>575</v>
      </c>
      <c r="F14491" s="98" t="s">
        <v>568</v>
      </c>
    </row>
    <row r="14492" spans="1:6" ht="15" customHeight="1" x14ac:dyDescent="0.25">
      <c r="A14492" s="607" t="s">
        <v>577</v>
      </c>
      <c r="B14492" s="608"/>
      <c r="C14492" s="609"/>
      <c r="D14492" s="116"/>
      <c r="E14492" s="107"/>
      <c r="F14492" s="106">
        <f>+F14509*5%</f>
        <v>36221.050000000003</v>
      </c>
    </row>
    <row r="14493" spans="1:6" ht="15" customHeight="1" x14ac:dyDescent="0.25">
      <c r="A14493" s="607"/>
      <c r="B14493" s="608"/>
      <c r="C14493" s="609"/>
      <c r="D14493" s="142"/>
      <c r="E14493" s="105"/>
      <c r="F14493" s="106"/>
    </row>
    <row r="14494" spans="1:6" ht="15" customHeight="1" x14ac:dyDescent="0.25">
      <c r="A14494" s="607"/>
      <c r="B14494" s="608"/>
      <c r="C14494" s="609"/>
      <c r="D14494" s="142"/>
      <c r="E14494" s="105"/>
      <c r="F14494" s="106"/>
    </row>
    <row r="14495" spans="1:6" ht="15" customHeight="1" x14ac:dyDescent="0.25">
      <c r="A14495" s="607"/>
      <c r="B14495" s="608"/>
      <c r="C14495" s="609"/>
      <c r="D14495" s="142"/>
      <c r="E14495" s="107"/>
      <c r="F14495" s="106"/>
    </row>
    <row r="14496" spans="1:6" ht="15" customHeight="1" x14ac:dyDescent="0.25">
      <c r="A14496" s="607"/>
      <c r="B14496" s="608"/>
      <c r="C14496" s="609"/>
      <c r="D14496" s="142"/>
      <c r="E14496" s="107"/>
      <c r="F14496" s="106"/>
    </row>
    <row r="14497" spans="1:6" ht="15" customHeight="1" x14ac:dyDescent="0.25">
      <c r="A14497" s="607"/>
      <c r="B14497" s="608"/>
      <c r="C14497" s="609"/>
      <c r="D14497" s="142"/>
      <c r="E14497" s="107"/>
      <c r="F14497" s="106"/>
    </row>
    <row r="14498" spans="1:6" ht="15" customHeight="1" x14ac:dyDescent="0.25">
      <c r="A14498" s="607"/>
      <c r="B14498" s="608"/>
      <c r="C14498" s="609"/>
      <c r="D14498" s="142"/>
      <c r="E14498" s="107"/>
      <c r="F14498" s="106"/>
    </row>
    <row r="14499" spans="1:6" ht="15" customHeight="1" x14ac:dyDescent="0.25">
      <c r="A14499" s="607"/>
      <c r="B14499" s="608"/>
      <c r="C14499" s="609"/>
      <c r="D14499" s="142"/>
      <c r="E14499" s="107"/>
      <c r="F14499" s="106"/>
    </row>
    <row r="14500" spans="1:6" ht="15" customHeight="1" x14ac:dyDescent="0.25">
      <c r="A14500" s="610"/>
      <c r="B14500" s="608"/>
      <c r="C14500" s="609"/>
      <c r="D14500" s="115"/>
      <c r="E14500" s="107"/>
      <c r="F14500" s="106"/>
    </row>
    <row r="14501" spans="1:6" ht="15" customHeight="1" x14ac:dyDescent="0.25">
      <c r="A14501" s="611" t="s">
        <v>548</v>
      </c>
      <c r="B14501" s="608"/>
      <c r="C14501" s="609"/>
      <c r="D14501" s="110"/>
      <c r="E14501" s="110"/>
      <c r="F14501" s="112">
        <f>SUM(F14492:F14499)</f>
        <v>36221.050000000003</v>
      </c>
    </row>
    <row r="14502" spans="1:6" ht="15" customHeight="1" x14ac:dyDescent="0.25">
      <c r="A14502" s="88"/>
      <c r="B14502" s="88"/>
      <c r="C14502" s="89"/>
      <c r="D14502" s="113"/>
      <c r="E14502" s="113"/>
      <c r="F14502" s="113"/>
    </row>
    <row r="14503" spans="1:6" ht="15" customHeight="1" x14ac:dyDescent="0.25">
      <c r="A14503" s="96" t="s">
        <v>578</v>
      </c>
      <c r="B14503" s="96"/>
      <c r="C14503" s="92"/>
      <c r="D14503" s="118"/>
      <c r="E14503" s="118"/>
      <c r="F14503" s="118"/>
    </row>
    <row r="14504" spans="1:6" ht="15" customHeight="1" x14ac:dyDescent="0.25">
      <c r="A14504" s="119" t="s">
        <v>563</v>
      </c>
      <c r="B14504" s="120" t="s">
        <v>579</v>
      </c>
      <c r="C14504" s="120" t="s">
        <v>580</v>
      </c>
      <c r="D14504" s="121" t="s">
        <v>581</v>
      </c>
      <c r="E14504" s="121" t="s">
        <v>575</v>
      </c>
      <c r="F14504" s="121" t="s">
        <v>568</v>
      </c>
    </row>
    <row r="14505" spans="1:6" ht="15" customHeight="1" x14ac:dyDescent="0.25">
      <c r="A14505" s="122" t="s">
        <v>593</v>
      </c>
      <c r="B14505" s="127">
        <v>1</v>
      </c>
      <c r="C14505" s="101">
        <v>32688</v>
      </c>
      <c r="D14505" s="101">
        <f t="shared" ref="D14505:D14506" si="710">+C14505*1.7</f>
        <v>55569.599999999999</v>
      </c>
      <c r="E14505" s="107">
        <v>0.2</v>
      </c>
      <c r="F14505" s="106">
        <f t="shared" ref="F14505:F14506" si="711">+B14505*(D14505)/E14505</f>
        <v>277848</v>
      </c>
    </row>
    <row r="14506" spans="1:6" ht="15" customHeight="1" x14ac:dyDescent="0.25">
      <c r="A14506" s="122" t="s">
        <v>594</v>
      </c>
      <c r="B14506" s="127">
        <v>1</v>
      </c>
      <c r="C14506" s="101">
        <v>52538</v>
      </c>
      <c r="D14506" s="101">
        <f t="shared" si="710"/>
        <v>89314.599999999991</v>
      </c>
      <c r="E14506" s="107">
        <f>E14505</f>
        <v>0.2</v>
      </c>
      <c r="F14506" s="106">
        <f t="shared" si="711"/>
        <v>446572.99999999994</v>
      </c>
    </row>
    <row r="14507" spans="1:6" ht="15" customHeight="1" x14ac:dyDescent="0.25">
      <c r="A14507" s="122"/>
      <c r="B14507" s="127"/>
      <c r="C14507" s="101"/>
      <c r="D14507" s="101"/>
      <c r="E14507" s="105"/>
      <c r="F14507" s="106"/>
    </row>
    <row r="14508" spans="1:6" ht="15" customHeight="1" x14ac:dyDescent="0.25">
      <c r="A14508" s="122"/>
      <c r="B14508" s="127"/>
      <c r="C14508" s="101"/>
      <c r="D14508" s="101"/>
      <c r="E14508" s="125"/>
      <c r="F14508" s="106"/>
    </row>
    <row r="14509" spans="1:6" ht="15" customHeight="1" x14ac:dyDescent="0.25">
      <c r="A14509" s="97" t="s">
        <v>548</v>
      </c>
      <c r="B14509" s="128"/>
      <c r="C14509" s="110"/>
      <c r="D14509" s="110"/>
      <c r="E14509" s="110"/>
      <c r="F14509" s="112">
        <f>SUM(F14505:F14508)</f>
        <v>724421</v>
      </c>
    </row>
    <row r="14510" spans="1:6" ht="15" customHeight="1" x14ac:dyDescent="0.25">
      <c r="A14510" s="96"/>
      <c r="B14510" s="129"/>
      <c r="C14510" s="118"/>
      <c r="D14510" s="118"/>
      <c r="E14510" s="118"/>
      <c r="F14510" s="118"/>
    </row>
    <row r="14511" spans="1:6" ht="15" customHeight="1" x14ac:dyDescent="0.25">
      <c r="A14511" s="95" t="s">
        <v>583</v>
      </c>
      <c r="B14511" s="96"/>
      <c r="C14511" s="92"/>
      <c r="D14511" s="92"/>
      <c r="E14511" s="92" t="s">
        <v>584</v>
      </c>
      <c r="F14511" s="92"/>
    </row>
    <row r="14512" spans="1:6" ht="15" customHeight="1" x14ac:dyDescent="0.25">
      <c r="A14512" s="97" t="s">
        <v>563</v>
      </c>
      <c r="B14512" s="98" t="s">
        <v>564</v>
      </c>
      <c r="C14512" s="98" t="s">
        <v>585</v>
      </c>
      <c r="D14512" s="98" t="s">
        <v>586</v>
      </c>
      <c r="E14512" s="120" t="s">
        <v>587</v>
      </c>
      <c r="F14512" s="98" t="s">
        <v>568</v>
      </c>
    </row>
    <row r="14513" spans="1:6" ht="15" customHeight="1" x14ac:dyDescent="0.25">
      <c r="A14513" s="103"/>
      <c r="B14513" s="100"/>
      <c r="C14513" s="101"/>
      <c r="D14513" s="140"/>
      <c r="E14513" s="107"/>
      <c r="F14513" s="109"/>
    </row>
    <row r="14514" spans="1:6" ht="15" customHeight="1" x14ac:dyDescent="0.25">
      <c r="A14514" s="103"/>
      <c r="B14514" s="100"/>
      <c r="C14514" s="107"/>
      <c r="D14514" s="107"/>
      <c r="E14514" s="108"/>
      <c r="F14514" s="109"/>
    </row>
    <row r="14515" spans="1:6" ht="15" customHeight="1" x14ac:dyDescent="0.25">
      <c r="A14515" s="97" t="s">
        <v>548</v>
      </c>
      <c r="B14515" s="98"/>
      <c r="C14515" s="110"/>
      <c r="D14515" s="110"/>
      <c r="E14515" s="111"/>
      <c r="F14515" s="112">
        <f>SUM(F14513:F14514)</f>
        <v>0</v>
      </c>
    </row>
    <row r="14516" spans="1:6" ht="15" customHeight="1" x14ac:dyDescent="0.25">
      <c r="A14516" s="88"/>
      <c r="B14516" s="89"/>
      <c r="C14516" s="113"/>
      <c r="D14516" s="113"/>
      <c r="E14516" s="114"/>
      <c r="F14516" s="113"/>
    </row>
    <row r="14517" spans="1:6" ht="15" customHeight="1" x14ac:dyDescent="0.25">
      <c r="A14517" s="88"/>
      <c r="B14517" s="89"/>
      <c r="C14517" s="113"/>
      <c r="D14517" s="113"/>
      <c r="E14517" s="114"/>
      <c r="F14517" s="113"/>
    </row>
    <row r="14518" spans="1:6" ht="15" customHeight="1" x14ac:dyDescent="0.25">
      <c r="A14518" s="612" t="s">
        <v>588</v>
      </c>
      <c r="B14518" s="608"/>
      <c r="C14518" s="608"/>
      <c r="D14518" s="608"/>
      <c r="E14518" s="609"/>
      <c r="F14518" s="131">
        <f>ROUND(F14488+F14501+F14509+F14515,0)</f>
        <v>7718500</v>
      </c>
    </row>
    <row r="14519" spans="1:6" ht="15" customHeight="1" x14ac:dyDescent="0.25">
      <c r="A14519" s="612" t="s">
        <v>589</v>
      </c>
      <c r="B14519" s="608"/>
      <c r="C14519" s="608"/>
      <c r="D14519" s="608"/>
      <c r="E14519" s="609"/>
      <c r="F14519" s="132"/>
    </row>
    <row r="14520" spans="1:6" ht="15" customHeight="1" x14ac:dyDescent="0.25">
      <c r="A14520" s="146" t="s">
        <v>556</v>
      </c>
      <c r="B14520" s="147"/>
      <c r="C14520" s="147"/>
      <c r="D14520" s="147"/>
      <c r="E14520" s="148"/>
      <c r="F14520" s="133"/>
    </row>
    <row r="14521" spans="1:6" ht="15" customHeight="1" x14ac:dyDescent="0.25">
      <c r="A14521" s="134"/>
      <c r="B14521" s="135"/>
      <c r="C14521" s="135"/>
      <c r="D14521" s="135"/>
      <c r="E14521" s="135"/>
      <c r="F14521" s="136"/>
    </row>
    <row r="14522" spans="1:6" ht="15" customHeight="1" x14ac:dyDescent="0.25">
      <c r="A14522" s="81"/>
      <c r="B14522" s="81"/>
      <c r="C14522" s="137"/>
      <c r="D14522" s="81"/>
      <c r="E14522" s="81"/>
      <c r="F14522" s="81"/>
    </row>
    <row r="14523" spans="1:6" ht="15" customHeight="1" x14ac:dyDescent="0.25">
      <c r="A14523" s="81"/>
      <c r="B14523" s="81"/>
      <c r="C14523" s="137"/>
      <c r="D14523" s="81"/>
      <c r="E14523" s="81"/>
      <c r="F14523" s="81"/>
    </row>
    <row r="14524" spans="1:6" ht="15" customHeight="1" x14ac:dyDescent="0.25">
      <c r="A14524" s="81"/>
      <c r="B14524" s="81"/>
      <c r="C14524" s="137"/>
      <c r="D14524" s="81"/>
      <c r="E14524" s="81"/>
      <c r="F14524" s="81"/>
    </row>
    <row r="14525" spans="1:6" ht="15" customHeight="1" x14ac:dyDescent="0.25">
      <c r="A14525" s="81"/>
      <c r="B14525" s="81"/>
      <c r="C14525" s="137"/>
      <c r="D14525" s="81"/>
      <c r="E14525" s="81"/>
      <c r="F14525" s="81"/>
    </row>
    <row r="14526" spans="1:6" ht="15" customHeight="1" x14ac:dyDescent="0.25">
      <c r="A14526" s="134"/>
      <c r="B14526" s="135"/>
      <c r="C14526" s="135"/>
      <c r="D14526" s="135"/>
      <c r="E14526" s="135"/>
      <c r="F14526" s="136"/>
    </row>
    <row r="14527" spans="1:6" ht="15" customHeight="1" x14ac:dyDescent="0.25">
      <c r="A14527" s="134"/>
      <c r="B14527" s="135"/>
      <c r="C14527" s="135"/>
      <c r="D14527" s="135"/>
      <c r="E14527" s="135"/>
      <c r="F14527" s="136"/>
    </row>
    <row r="14528" spans="1:6" ht="15" customHeight="1" x14ac:dyDescent="0.25">
      <c r="A14528" s="134"/>
      <c r="B14528" s="135"/>
      <c r="C14528" s="135"/>
      <c r="D14528" s="135"/>
      <c r="E14528" s="135"/>
      <c r="F14528" s="135"/>
    </row>
    <row r="14529" spans="1:6" ht="15" customHeight="1" thickBot="1" x14ac:dyDescent="0.3">
      <c r="A14529" s="81"/>
      <c r="B14529" s="81"/>
      <c r="C14529" s="81"/>
      <c r="D14529" s="81"/>
      <c r="E14529" s="81"/>
      <c r="F14529" s="81"/>
    </row>
    <row r="14530" spans="1:6" ht="15" customHeight="1" x14ac:dyDescent="0.25">
      <c r="A14530" s="83"/>
      <c r="B14530" s="84"/>
      <c r="C14530" s="85"/>
      <c r="D14530" s="86"/>
      <c r="E14530" s="86"/>
      <c r="F14530" s="87"/>
    </row>
    <row r="14531" spans="1:6" ht="15" customHeight="1" x14ac:dyDescent="0.25">
      <c r="A14531" s="599"/>
      <c r="B14531" s="600"/>
      <c r="C14531" s="600"/>
      <c r="D14531" s="600"/>
      <c r="E14531" s="600"/>
      <c r="F14531" s="601"/>
    </row>
    <row r="14532" spans="1:6" ht="15" customHeight="1" x14ac:dyDescent="0.25">
      <c r="A14532" s="602" t="s">
        <v>561</v>
      </c>
      <c r="B14532" s="600"/>
      <c r="C14532" s="600"/>
      <c r="D14532" s="600"/>
      <c r="E14532" s="600"/>
      <c r="F14532" s="601"/>
    </row>
    <row r="14533" spans="1:6" ht="15" customHeight="1" thickBot="1" x14ac:dyDescent="0.3">
      <c r="A14533" s="603"/>
      <c r="B14533" s="604"/>
      <c r="C14533" s="604"/>
      <c r="D14533" s="604"/>
      <c r="E14533" s="604"/>
      <c r="F14533" s="605"/>
    </row>
    <row r="14534" spans="1:6" ht="15" customHeight="1" x14ac:dyDescent="0.25">
      <c r="A14534" s="88"/>
      <c r="B14534" s="88"/>
      <c r="C14534" s="89"/>
      <c r="D14534" s="89"/>
      <c r="E14534" s="89"/>
      <c r="F14534" s="89"/>
    </row>
    <row r="14535" spans="1:6" ht="15" customHeight="1" x14ac:dyDescent="0.25">
      <c r="A14535" s="90" t="s">
        <v>47</v>
      </c>
      <c r="B14535" s="613" t="s">
        <v>466</v>
      </c>
      <c r="C14535" s="600"/>
      <c r="D14535" s="600"/>
      <c r="E14535" s="600"/>
      <c r="F14535" s="600"/>
    </row>
    <row r="14536" spans="1:6" ht="15" customHeight="1" x14ac:dyDescent="0.25">
      <c r="A14536" s="91"/>
      <c r="B14536" s="91"/>
      <c r="C14536" s="91"/>
      <c r="D14536" s="91"/>
      <c r="E14536" s="91"/>
      <c r="F14536" s="91"/>
    </row>
    <row r="14537" spans="1:6" ht="15" customHeight="1" x14ac:dyDescent="0.25">
      <c r="A14537" s="88" t="s">
        <v>49</v>
      </c>
      <c r="B14537" s="92" t="s">
        <v>99</v>
      </c>
      <c r="C14537" s="89"/>
      <c r="D14537" s="89"/>
      <c r="E14537" s="89"/>
      <c r="F14537" s="93"/>
    </row>
    <row r="14538" spans="1:6" ht="15" customHeight="1" x14ac:dyDescent="0.25">
      <c r="A14538" s="88"/>
      <c r="B14538" s="94"/>
      <c r="C14538" s="89"/>
      <c r="D14538" s="89"/>
      <c r="E14538" s="89"/>
      <c r="F14538" s="93"/>
    </row>
    <row r="14539" spans="1:6" ht="15" customHeight="1" x14ac:dyDescent="0.25">
      <c r="A14539" s="95" t="s">
        <v>562</v>
      </c>
      <c r="B14539" s="96"/>
      <c r="C14539" s="92"/>
      <c r="D14539" s="92"/>
      <c r="E14539" s="92"/>
      <c r="F14539" s="92"/>
    </row>
    <row r="14540" spans="1:6" ht="15" customHeight="1" x14ac:dyDescent="0.25">
      <c r="A14540" s="97" t="s">
        <v>563</v>
      </c>
      <c r="B14540" s="98" t="s">
        <v>564</v>
      </c>
      <c r="C14540" s="98" t="s">
        <v>565</v>
      </c>
      <c r="D14540" s="98" t="s">
        <v>566</v>
      </c>
      <c r="E14540" s="98" t="s">
        <v>567</v>
      </c>
      <c r="F14540" s="98" t="s">
        <v>568</v>
      </c>
    </row>
    <row r="14541" spans="1:6" ht="15" customHeight="1" x14ac:dyDescent="0.25">
      <c r="A14541" s="99" t="s">
        <v>911</v>
      </c>
      <c r="B14541" s="100" t="s">
        <v>99</v>
      </c>
      <c r="C14541" s="101">
        <v>2318743</v>
      </c>
      <c r="D14541" s="149">
        <v>1</v>
      </c>
      <c r="E14541" s="102"/>
      <c r="F14541" s="101">
        <f t="shared" ref="F14541:F14544" si="712">C14541*(D14541+(D14541*E14541))</f>
        <v>2318743</v>
      </c>
    </row>
    <row r="14542" spans="1:6" ht="15" customHeight="1" x14ac:dyDescent="0.25">
      <c r="A14542" s="99"/>
      <c r="B14542" s="100"/>
      <c r="C14542" s="101"/>
      <c r="D14542" s="149"/>
      <c r="E14542" s="102"/>
      <c r="F14542" s="101">
        <f t="shared" si="712"/>
        <v>0</v>
      </c>
    </row>
    <row r="14543" spans="1:6" ht="15" customHeight="1" x14ac:dyDescent="0.25">
      <c r="A14543" s="99"/>
      <c r="B14543" s="100"/>
      <c r="C14543" s="101"/>
      <c r="D14543" s="149"/>
      <c r="E14543" s="102"/>
      <c r="F14543" s="101">
        <f t="shared" si="712"/>
        <v>0</v>
      </c>
    </row>
    <row r="14544" spans="1:6" ht="15" customHeight="1" x14ac:dyDescent="0.25">
      <c r="A14544" s="99"/>
      <c r="B14544" s="100"/>
      <c r="C14544" s="101"/>
      <c r="D14544" s="149"/>
      <c r="E14544" s="102"/>
      <c r="F14544" s="101">
        <f t="shared" si="712"/>
        <v>0</v>
      </c>
    </row>
    <row r="14545" spans="1:6" ht="15" customHeight="1" x14ac:dyDescent="0.25">
      <c r="A14545" s="99"/>
      <c r="B14545" s="100"/>
      <c r="C14545" s="101"/>
      <c r="D14545" s="149"/>
      <c r="E14545" s="102"/>
      <c r="F14545" s="101"/>
    </row>
    <row r="14546" spans="1:6" ht="15" customHeight="1" x14ac:dyDescent="0.25">
      <c r="A14546" s="99"/>
      <c r="B14546" s="100"/>
      <c r="C14546" s="101"/>
      <c r="D14546" s="149"/>
      <c r="E14546" s="102"/>
      <c r="F14546" s="101"/>
    </row>
    <row r="14547" spans="1:6" ht="15" customHeight="1" x14ac:dyDescent="0.25">
      <c r="A14547" s="99"/>
      <c r="B14547" s="100"/>
      <c r="C14547" s="101"/>
      <c r="D14547" s="149"/>
      <c r="E14547" s="102"/>
      <c r="F14547" s="101"/>
    </row>
    <row r="14548" spans="1:6" ht="15" customHeight="1" x14ac:dyDescent="0.25">
      <c r="A14548" s="99"/>
      <c r="B14548" s="100"/>
      <c r="C14548" s="106"/>
      <c r="D14548" s="107"/>
      <c r="E14548" s="108"/>
      <c r="F14548" s="106"/>
    </row>
    <row r="14549" spans="1:6" ht="15" customHeight="1" x14ac:dyDescent="0.25">
      <c r="A14549" s="97" t="s">
        <v>548</v>
      </c>
      <c r="B14549" s="97"/>
      <c r="C14549" s="109"/>
      <c r="D14549" s="110"/>
      <c r="E14549" s="111"/>
      <c r="F14549" s="112">
        <f>SUM(F14541:F14548)</f>
        <v>2318743</v>
      </c>
    </row>
    <row r="14550" spans="1:6" ht="15" customHeight="1" x14ac:dyDescent="0.25">
      <c r="A14550" s="88"/>
      <c r="B14550" s="88"/>
      <c r="C14550" s="113"/>
      <c r="D14550" s="113"/>
      <c r="E14550" s="114"/>
      <c r="F14550" s="113"/>
    </row>
    <row r="14551" spans="1:6" ht="15" customHeight="1" x14ac:dyDescent="0.25">
      <c r="A14551" s="96" t="s">
        <v>573</v>
      </c>
      <c r="B14551" s="96"/>
      <c r="C14551" s="92"/>
      <c r="D14551" s="92"/>
      <c r="E14551" s="92"/>
      <c r="F14551" s="92"/>
    </row>
    <row r="14552" spans="1:6" ht="15" customHeight="1" x14ac:dyDescent="0.25">
      <c r="A14552" s="611" t="s">
        <v>563</v>
      </c>
      <c r="B14552" s="608"/>
      <c r="C14552" s="609"/>
      <c r="D14552" s="98" t="s">
        <v>574</v>
      </c>
      <c r="E14552" s="98" t="s">
        <v>575</v>
      </c>
      <c r="F14552" s="98" t="s">
        <v>568</v>
      </c>
    </row>
    <row r="14553" spans="1:6" ht="15" customHeight="1" x14ac:dyDescent="0.25">
      <c r="A14553" s="607" t="s">
        <v>577</v>
      </c>
      <c r="B14553" s="608"/>
      <c r="C14553" s="609"/>
      <c r="D14553" s="116"/>
      <c r="E14553" s="107"/>
      <c r="F14553" s="106">
        <f>+F14570*5%</f>
        <v>14488.419999999998</v>
      </c>
    </row>
    <row r="14554" spans="1:6" ht="15" customHeight="1" x14ac:dyDescent="0.25">
      <c r="A14554" s="607"/>
      <c r="B14554" s="608"/>
      <c r="C14554" s="609"/>
      <c r="D14554" s="142"/>
      <c r="E14554" s="105"/>
      <c r="F14554" s="106"/>
    </row>
    <row r="14555" spans="1:6" ht="15" customHeight="1" x14ac:dyDescent="0.25">
      <c r="A14555" s="607"/>
      <c r="B14555" s="608"/>
      <c r="C14555" s="609"/>
      <c r="D14555" s="142"/>
      <c r="E14555" s="105"/>
      <c r="F14555" s="106"/>
    </row>
    <row r="14556" spans="1:6" ht="15" customHeight="1" x14ac:dyDescent="0.25">
      <c r="A14556" s="607"/>
      <c r="B14556" s="608"/>
      <c r="C14556" s="609"/>
      <c r="D14556" s="142"/>
      <c r="E14556" s="107"/>
      <c r="F14556" s="106"/>
    </row>
    <row r="14557" spans="1:6" ht="15" customHeight="1" x14ac:dyDescent="0.25">
      <c r="A14557" s="607"/>
      <c r="B14557" s="608"/>
      <c r="C14557" s="609"/>
      <c r="D14557" s="142"/>
      <c r="E14557" s="107"/>
      <c r="F14557" s="106"/>
    </row>
    <row r="14558" spans="1:6" ht="15" customHeight="1" x14ac:dyDescent="0.25">
      <c r="A14558" s="607"/>
      <c r="B14558" s="608"/>
      <c r="C14558" s="609"/>
      <c r="D14558" s="142"/>
      <c r="E14558" s="107"/>
      <c r="F14558" s="106"/>
    </row>
    <row r="14559" spans="1:6" ht="15" customHeight="1" x14ac:dyDescent="0.25">
      <c r="A14559" s="607"/>
      <c r="B14559" s="608"/>
      <c r="C14559" s="609"/>
      <c r="D14559" s="142"/>
      <c r="E14559" s="107"/>
      <c r="F14559" s="106"/>
    </row>
    <row r="14560" spans="1:6" ht="15" customHeight="1" x14ac:dyDescent="0.25">
      <c r="A14560" s="607"/>
      <c r="B14560" s="608"/>
      <c r="C14560" s="609"/>
      <c r="D14560" s="142"/>
      <c r="E14560" s="107"/>
      <c r="F14560" s="106"/>
    </row>
    <row r="14561" spans="1:6" ht="15" customHeight="1" x14ac:dyDescent="0.25">
      <c r="A14561" s="610"/>
      <c r="B14561" s="608"/>
      <c r="C14561" s="609"/>
      <c r="D14561" s="115"/>
      <c r="E14561" s="107"/>
      <c r="F14561" s="106"/>
    </row>
    <row r="14562" spans="1:6" ht="15" customHeight="1" x14ac:dyDescent="0.25">
      <c r="A14562" s="611" t="s">
        <v>548</v>
      </c>
      <c r="B14562" s="608"/>
      <c r="C14562" s="609"/>
      <c r="D14562" s="110"/>
      <c r="E14562" s="110"/>
      <c r="F14562" s="112">
        <f>SUM(F14553:F14560)</f>
        <v>14488.419999999998</v>
      </c>
    </row>
    <row r="14563" spans="1:6" ht="15" customHeight="1" x14ac:dyDescent="0.25">
      <c r="A14563" s="88"/>
      <c r="B14563" s="88"/>
      <c r="C14563" s="89"/>
      <c r="D14563" s="113"/>
      <c r="E14563" s="113"/>
      <c r="F14563" s="113"/>
    </row>
    <row r="14564" spans="1:6" ht="15" customHeight="1" x14ac:dyDescent="0.25">
      <c r="A14564" s="96" t="s">
        <v>578</v>
      </c>
      <c r="B14564" s="96"/>
      <c r="C14564" s="92"/>
      <c r="D14564" s="118"/>
      <c r="E14564" s="118"/>
      <c r="F14564" s="118"/>
    </row>
    <row r="14565" spans="1:6" ht="15" customHeight="1" x14ac:dyDescent="0.25">
      <c r="A14565" s="119" t="s">
        <v>563</v>
      </c>
      <c r="B14565" s="120" t="s">
        <v>579</v>
      </c>
      <c r="C14565" s="120" t="s">
        <v>580</v>
      </c>
      <c r="D14565" s="121" t="s">
        <v>581</v>
      </c>
      <c r="E14565" s="121" t="s">
        <v>575</v>
      </c>
      <c r="F14565" s="121" t="s">
        <v>568</v>
      </c>
    </row>
    <row r="14566" spans="1:6" ht="15" customHeight="1" x14ac:dyDescent="0.25">
      <c r="A14566" s="122" t="s">
        <v>593</v>
      </c>
      <c r="B14566" s="127">
        <v>1</v>
      </c>
      <c r="C14566" s="101">
        <v>32688</v>
      </c>
      <c r="D14566" s="101">
        <f t="shared" ref="D14566:D14567" si="713">+C14566*1.7</f>
        <v>55569.599999999999</v>
      </c>
      <c r="E14566" s="107">
        <v>0.5</v>
      </c>
      <c r="F14566" s="106">
        <f t="shared" ref="F14566:F14567" si="714">+B14566*(D14566)/E14566</f>
        <v>111139.2</v>
      </c>
    </row>
    <row r="14567" spans="1:6" ht="15" customHeight="1" x14ac:dyDescent="0.25">
      <c r="A14567" s="122" t="s">
        <v>594</v>
      </c>
      <c r="B14567" s="127">
        <v>1</v>
      </c>
      <c r="C14567" s="101">
        <v>52538</v>
      </c>
      <c r="D14567" s="101">
        <f t="shared" si="713"/>
        <v>89314.599999999991</v>
      </c>
      <c r="E14567" s="107">
        <f>E14566</f>
        <v>0.5</v>
      </c>
      <c r="F14567" s="106">
        <f t="shared" si="714"/>
        <v>178629.19999999998</v>
      </c>
    </row>
    <row r="14568" spans="1:6" ht="15" customHeight="1" x14ac:dyDescent="0.25">
      <c r="A14568" s="122"/>
      <c r="B14568" s="127"/>
      <c r="C14568" s="101"/>
      <c r="D14568" s="101"/>
      <c r="E14568" s="105"/>
      <c r="F14568" s="106"/>
    </row>
    <row r="14569" spans="1:6" ht="15" customHeight="1" x14ac:dyDescent="0.25">
      <c r="A14569" s="122"/>
      <c r="B14569" s="127"/>
      <c r="C14569" s="101"/>
      <c r="D14569" s="101"/>
      <c r="E14569" s="125"/>
      <c r="F14569" s="106"/>
    </row>
    <row r="14570" spans="1:6" ht="15" customHeight="1" x14ac:dyDescent="0.25">
      <c r="A14570" s="97" t="s">
        <v>548</v>
      </c>
      <c r="B14570" s="128"/>
      <c r="C14570" s="110"/>
      <c r="D14570" s="110"/>
      <c r="E14570" s="110"/>
      <c r="F14570" s="112">
        <f>SUM(F14566:F14569)</f>
        <v>289768.39999999997</v>
      </c>
    </row>
    <row r="14571" spans="1:6" ht="15" customHeight="1" x14ac:dyDescent="0.25">
      <c r="A14571" s="96"/>
      <c r="B14571" s="129"/>
      <c r="C14571" s="118"/>
      <c r="D14571" s="118"/>
      <c r="E14571" s="118"/>
      <c r="F14571" s="118"/>
    </row>
    <row r="14572" spans="1:6" ht="15" customHeight="1" x14ac:dyDescent="0.25">
      <c r="A14572" s="95" t="s">
        <v>583</v>
      </c>
      <c r="B14572" s="96"/>
      <c r="C14572" s="92"/>
      <c r="D14572" s="92"/>
      <c r="E14572" s="92" t="s">
        <v>584</v>
      </c>
      <c r="F14572" s="92"/>
    </row>
    <row r="14573" spans="1:6" ht="15" customHeight="1" x14ac:dyDescent="0.25">
      <c r="A14573" s="97" t="s">
        <v>563</v>
      </c>
      <c r="B14573" s="98" t="s">
        <v>564</v>
      </c>
      <c r="C14573" s="98" t="s">
        <v>585</v>
      </c>
      <c r="D14573" s="98" t="s">
        <v>586</v>
      </c>
      <c r="E14573" s="120" t="s">
        <v>587</v>
      </c>
      <c r="F14573" s="98" t="s">
        <v>568</v>
      </c>
    </row>
    <row r="14574" spans="1:6" ht="15" customHeight="1" x14ac:dyDescent="0.25">
      <c r="A14574" s="103"/>
      <c r="B14574" s="100"/>
      <c r="C14574" s="101"/>
      <c r="D14574" s="140"/>
      <c r="E14574" s="107"/>
      <c r="F14574" s="109"/>
    </row>
    <row r="14575" spans="1:6" ht="15" customHeight="1" x14ac:dyDescent="0.25">
      <c r="A14575" s="103"/>
      <c r="B14575" s="100"/>
      <c r="C14575" s="107"/>
      <c r="D14575" s="107"/>
      <c r="E14575" s="108"/>
      <c r="F14575" s="109"/>
    </row>
    <row r="14576" spans="1:6" ht="15" customHeight="1" x14ac:dyDescent="0.25">
      <c r="A14576" s="97" t="s">
        <v>548</v>
      </c>
      <c r="B14576" s="98"/>
      <c r="C14576" s="110"/>
      <c r="D14576" s="110"/>
      <c r="E14576" s="111"/>
      <c r="F14576" s="112">
        <f>SUM(F14574:F14575)</f>
        <v>0</v>
      </c>
    </row>
    <row r="14577" spans="1:6" ht="15" customHeight="1" x14ac:dyDescent="0.25">
      <c r="A14577" s="88"/>
      <c r="B14577" s="89"/>
      <c r="C14577" s="113"/>
      <c r="D14577" s="113"/>
      <c r="E14577" s="114"/>
      <c r="F14577" s="113"/>
    </row>
    <row r="14578" spans="1:6" ht="15" customHeight="1" x14ac:dyDescent="0.25">
      <c r="A14578" s="88"/>
      <c r="B14578" s="89"/>
      <c r="C14578" s="113"/>
      <c r="D14578" s="113"/>
      <c r="E14578" s="114"/>
      <c r="F14578" s="113"/>
    </row>
    <row r="14579" spans="1:6" ht="15" customHeight="1" x14ac:dyDescent="0.25">
      <c r="A14579" s="612" t="s">
        <v>588</v>
      </c>
      <c r="B14579" s="608"/>
      <c r="C14579" s="608"/>
      <c r="D14579" s="608"/>
      <c r="E14579" s="609"/>
      <c r="F14579" s="131">
        <f>ROUND(F14549+F14562+F14570+F14576,0)</f>
        <v>2623000</v>
      </c>
    </row>
    <row r="14580" spans="1:6" ht="15" customHeight="1" x14ac:dyDescent="0.25">
      <c r="A14580" s="612" t="s">
        <v>589</v>
      </c>
      <c r="B14580" s="608"/>
      <c r="C14580" s="608"/>
      <c r="D14580" s="608"/>
      <c r="E14580" s="609"/>
      <c r="F14580" s="132"/>
    </row>
    <row r="14581" spans="1:6" ht="15" customHeight="1" x14ac:dyDescent="0.25">
      <c r="A14581" s="146" t="s">
        <v>556</v>
      </c>
      <c r="B14581" s="147"/>
      <c r="C14581" s="147"/>
      <c r="D14581" s="147"/>
      <c r="E14581" s="148"/>
      <c r="F14581" s="133"/>
    </row>
    <row r="14582" spans="1:6" ht="15" customHeight="1" x14ac:dyDescent="0.25">
      <c r="A14582" s="134"/>
      <c r="B14582" s="135"/>
      <c r="C14582" s="135"/>
      <c r="D14582" s="135"/>
      <c r="E14582" s="135"/>
      <c r="F14582" s="136"/>
    </row>
    <row r="14583" spans="1:6" ht="15" customHeight="1" x14ac:dyDescent="0.25">
      <c r="A14583" s="81"/>
      <c r="B14583" s="81"/>
      <c r="C14583" s="137"/>
      <c r="D14583" s="81"/>
      <c r="E14583" s="81"/>
      <c r="F14583" s="81"/>
    </row>
    <row r="14584" spans="1:6" ht="15" customHeight="1" x14ac:dyDescent="0.25">
      <c r="A14584" s="81"/>
      <c r="B14584" s="81"/>
      <c r="C14584" s="137"/>
      <c r="D14584" s="81"/>
      <c r="E14584" s="81"/>
      <c r="F14584" s="81"/>
    </row>
    <row r="14585" spans="1:6" ht="15" customHeight="1" x14ac:dyDescent="0.25">
      <c r="A14585" s="81"/>
      <c r="B14585" s="81"/>
      <c r="C14585" s="137"/>
      <c r="D14585" s="81"/>
      <c r="E14585" s="81"/>
      <c r="F14585" s="81"/>
    </row>
    <row r="14586" spans="1:6" ht="15" customHeight="1" x14ac:dyDescent="0.25">
      <c r="A14586" s="81"/>
      <c r="B14586" s="81"/>
      <c r="C14586" s="137"/>
      <c r="D14586" s="81"/>
      <c r="E14586" s="81"/>
      <c r="F14586" s="81"/>
    </row>
    <row r="14587" spans="1:6" ht="15" customHeight="1" x14ac:dyDescent="0.25">
      <c r="A14587" s="134"/>
      <c r="B14587" s="135"/>
      <c r="C14587" s="135"/>
      <c r="D14587" s="135"/>
      <c r="E14587" s="135"/>
      <c r="F14587" s="136"/>
    </row>
    <row r="14588" spans="1:6" ht="15" customHeight="1" x14ac:dyDescent="0.25">
      <c r="A14588" s="134"/>
      <c r="B14588" s="135"/>
      <c r="C14588" s="135"/>
      <c r="D14588" s="135"/>
      <c r="E14588" s="135"/>
      <c r="F14588" s="136"/>
    </row>
    <row r="14589" spans="1:6" ht="15" customHeight="1" x14ac:dyDescent="0.25">
      <c r="A14589" s="134"/>
      <c r="B14589" s="135"/>
      <c r="C14589" s="135"/>
      <c r="D14589" s="135"/>
      <c r="E14589" s="135"/>
      <c r="F14589" s="135"/>
    </row>
    <row r="14590" spans="1:6" ht="15" customHeight="1" thickBot="1" x14ac:dyDescent="0.3">
      <c r="A14590" s="81"/>
      <c r="B14590" s="81"/>
      <c r="C14590" s="81"/>
      <c r="D14590" s="81"/>
      <c r="E14590" s="81"/>
      <c r="F14590" s="81"/>
    </row>
    <row r="14591" spans="1:6" ht="15" customHeight="1" x14ac:dyDescent="0.25">
      <c r="A14591" s="83"/>
      <c r="B14591" s="84"/>
      <c r="C14591" s="85"/>
      <c r="D14591" s="86"/>
      <c r="E14591" s="86"/>
      <c r="F14591" s="87"/>
    </row>
    <row r="14592" spans="1:6" ht="15" customHeight="1" x14ac:dyDescent="0.25">
      <c r="A14592" s="599"/>
      <c r="B14592" s="600"/>
      <c r="C14592" s="600"/>
      <c r="D14592" s="600"/>
      <c r="E14592" s="600"/>
      <c r="F14592" s="601"/>
    </row>
    <row r="14593" spans="1:6" ht="15" customHeight="1" x14ac:dyDescent="0.25">
      <c r="A14593" s="602" t="s">
        <v>561</v>
      </c>
      <c r="B14593" s="600"/>
      <c r="C14593" s="600"/>
      <c r="D14593" s="600"/>
      <c r="E14593" s="600"/>
      <c r="F14593" s="601"/>
    </row>
    <row r="14594" spans="1:6" ht="15" customHeight="1" thickBot="1" x14ac:dyDescent="0.3">
      <c r="A14594" s="603"/>
      <c r="B14594" s="604"/>
      <c r="C14594" s="604"/>
      <c r="D14594" s="604"/>
      <c r="E14594" s="604"/>
      <c r="F14594" s="605"/>
    </row>
    <row r="14595" spans="1:6" ht="15" customHeight="1" x14ac:dyDescent="0.25">
      <c r="A14595" s="88"/>
      <c r="B14595" s="88"/>
      <c r="C14595" s="89"/>
      <c r="D14595" s="89"/>
      <c r="E14595" s="89"/>
      <c r="F14595" s="89"/>
    </row>
    <row r="14596" spans="1:6" ht="15" customHeight="1" x14ac:dyDescent="0.25">
      <c r="A14596" s="90" t="s">
        <v>47</v>
      </c>
      <c r="B14596" s="613" t="s">
        <v>467</v>
      </c>
      <c r="C14596" s="600"/>
      <c r="D14596" s="600"/>
      <c r="E14596" s="600"/>
      <c r="F14596" s="600"/>
    </row>
    <row r="14597" spans="1:6" ht="15" customHeight="1" x14ac:dyDescent="0.25">
      <c r="A14597" s="91"/>
      <c r="B14597" s="91"/>
      <c r="C14597" s="91"/>
      <c r="D14597" s="91"/>
      <c r="E14597" s="91"/>
      <c r="F14597" s="91"/>
    </row>
    <row r="14598" spans="1:6" ht="15" customHeight="1" x14ac:dyDescent="0.25">
      <c r="A14598" s="88" t="s">
        <v>49</v>
      </c>
      <c r="B14598" s="92" t="s">
        <v>99</v>
      </c>
      <c r="C14598" s="89"/>
      <c r="D14598" s="89"/>
      <c r="E14598" s="89"/>
      <c r="F14598" s="93"/>
    </row>
    <row r="14599" spans="1:6" ht="15" customHeight="1" x14ac:dyDescent="0.25">
      <c r="A14599" s="88"/>
      <c r="B14599" s="94"/>
      <c r="C14599" s="89"/>
      <c r="D14599" s="89"/>
      <c r="E14599" s="89"/>
      <c r="F14599" s="93"/>
    </row>
    <row r="14600" spans="1:6" ht="15" customHeight="1" x14ac:dyDescent="0.25">
      <c r="A14600" s="95" t="s">
        <v>562</v>
      </c>
      <c r="B14600" s="96"/>
      <c r="C14600" s="92"/>
      <c r="D14600" s="92"/>
      <c r="E14600" s="92"/>
      <c r="F14600" s="92"/>
    </row>
    <row r="14601" spans="1:6" ht="15" customHeight="1" x14ac:dyDescent="0.25">
      <c r="A14601" s="97" t="s">
        <v>563</v>
      </c>
      <c r="B14601" s="98" t="s">
        <v>564</v>
      </c>
      <c r="C14601" s="98" t="s">
        <v>565</v>
      </c>
      <c r="D14601" s="98" t="s">
        <v>566</v>
      </c>
      <c r="E14601" s="98" t="s">
        <v>567</v>
      </c>
      <c r="F14601" s="98" t="s">
        <v>568</v>
      </c>
    </row>
    <row r="14602" spans="1:6" ht="15" customHeight="1" x14ac:dyDescent="0.25">
      <c r="A14602" s="99" t="s">
        <v>912</v>
      </c>
      <c r="B14602" s="100" t="s">
        <v>99</v>
      </c>
      <c r="C14602" s="101">
        <v>295068</v>
      </c>
      <c r="D14602" s="149">
        <v>1</v>
      </c>
      <c r="E14602" s="102"/>
      <c r="F14602" s="101">
        <f t="shared" ref="F14602:F14605" si="715">C14602*(D14602+(D14602*E14602))</f>
        <v>295068</v>
      </c>
    </row>
    <row r="14603" spans="1:6" ht="15" customHeight="1" x14ac:dyDescent="0.25">
      <c r="A14603" s="99"/>
      <c r="B14603" s="100"/>
      <c r="C14603" s="101"/>
      <c r="D14603" s="149"/>
      <c r="E14603" s="102"/>
      <c r="F14603" s="101">
        <f t="shared" si="715"/>
        <v>0</v>
      </c>
    </row>
    <row r="14604" spans="1:6" ht="15" customHeight="1" x14ac:dyDescent="0.25">
      <c r="A14604" s="99"/>
      <c r="B14604" s="100"/>
      <c r="C14604" s="101"/>
      <c r="D14604" s="149"/>
      <c r="E14604" s="102"/>
      <c r="F14604" s="101">
        <f t="shared" si="715"/>
        <v>0</v>
      </c>
    </row>
    <row r="14605" spans="1:6" ht="15" customHeight="1" x14ac:dyDescent="0.25">
      <c r="A14605" s="99"/>
      <c r="B14605" s="100"/>
      <c r="C14605" s="101"/>
      <c r="D14605" s="149"/>
      <c r="E14605" s="102"/>
      <c r="F14605" s="101">
        <f t="shared" si="715"/>
        <v>0</v>
      </c>
    </row>
    <row r="14606" spans="1:6" ht="15" customHeight="1" x14ac:dyDescent="0.25">
      <c r="A14606" s="99"/>
      <c r="B14606" s="100"/>
      <c r="C14606" s="101"/>
      <c r="D14606" s="149"/>
      <c r="E14606" s="102"/>
      <c r="F14606" s="101"/>
    </row>
    <row r="14607" spans="1:6" ht="15" customHeight="1" x14ac:dyDescent="0.25">
      <c r="A14607" s="99"/>
      <c r="B14607" s="100"/>
      <c r="C14607" s="101"/>
      <c r="D14607" s="149"/>
      <c r="E14607" s="102"/>
      <c r="F14607" s="101"/>
    </row>
    <row r="14608" spans="1:6" ht="15" customHeight="1" x14ac:dyDescent="0.25">
      <c r="A14608" s="99"/>
      <c r="B14608" s="100"/>
      <c r="C14608" s="101"/>
      <c r="D14608" s="149"/>
      <c r="E14608" s="102"/>
      <c r="F14608" s="101"/>
    </row>
    <row r="14609" spans="1:6" ht="15" customHeight="1" x14ac:dyDescent="0.25">
      <c r="A14609" s="99"/>
      <c r="B14609" s="100"/>
      <c r="C14609" s="106"/>
      <c r="D14609" s="107"/>
      <c r="E14609" s="108"/>
      <c r="F14609" s="106"/>
    </row>
    <row r="14610" spans="1:6" ht="15" customHeight="1" x14ac:dyDescent="0.25">
      <c r="A14610" s="97" t="s">
        <v>548</v>
      </c>
      <c r="B14610" s="97"/>
      <c r="C14610" s="109"/>
      <c r="D14610" s="110"/>
      <c r="E14610" s="111"/>
      <c r="F14610" s="112">
        <f>SUM(F14602:F14609)</f>
        <v>295068</v>
      </c>
    </row>
    <row r="14611" spans="1:6" ht="15" customHeight="1" x14ac:dyDescent="0.25">
      <c r="A14611" s="88"/>
      <c r="B14611" s="88"/>
      <c r="C14611" s="113"/>
      <c r="D14611" s="113"/>
      <c r="E14611" s="114"/>
      <c r="F14611" s="113"/>
    </row>
    <row r="14612" spans="1:6" ht="15" customHeight="1" x14ac:dyDescent="0.25">
      <c r="A14612" s="96" t="s">
        <v>573</v>
      </c>
      <c r="B14612" s="96"/>
      <c r="C14612" s="92"/>
      <c r="D14612" s="92"/>
      <c r="E14612" s="92"/>
      <c r="F14612" s="92"/>
    </row>
    <row r="14613" spans="1:6" ht="15" customHeight="1" x14ac:dyDescent="0.25">
      <c r="A14613" s="611" t="s">
        <v>563</v>
      </c>
      <c r="B14613" s="608"/>
      <c r="C14613" s="609"/>
      <c r="D14613" s="98" t="s">
        <v>574</v>
      </c>
      <c r="E14613" s="98" t="s">
        <v>575</v>
      </c>
      <c r="F14613" s="98" t="s">
        <v>568</v>
      </c>
    </row>
    <row r="14614" spans="1:6" ht="15" customHeight="1" x14ac:dyDescent="0.25">
      <c r="A14614" s="607" t="s">
        <v>577</v>
      </c>
      <c r="B14614" s="608"/>
      <c r="C14614" s="609"/>
      <c r="D14614" s="116"/>
      <c r="E14614" s="107"/>
      <c r="F14614" s="106">
        <f>+F14631*5%</f>
        <v>1724.8119047619048</v>
      </c>
    </row>
    <row r="14615" spans="1:6" ht="15" customHeight="1" x14ac:dyDescent="0.25">
      <c r="A14615" s="607"/>
      <c r="B14615" s="608"/>
      <c r="C14615" s="609"/>
      <c r="D14615" s="142"/>
      <c r="E14615" s="105"/>
      <c r="F14615" s="106"/>
    </row>
    <row r="14616" spans="1:6" ht="15" customHeight="1" x14ac:dyDescent="0.25">
      <c r="A14616" s="607"/>
      <c r="B14616" s="608"/>
      <c r="C14616" s="609"/>
      <c r="D14616" s="142"/>
      <c r="E14616" s="105"/>
      <c r="F14616" s="106"/>
    </row>
    <row r="14617" spans="1:6" ht="15" customHeight="1" x14ac:dyDescent="0.25">
      <c r="A14617" s="607"/>
      <c r="B14617" s="608"/>
      <c r="C14617" s="609"/>
      <c r="D14617" s="142"/>
      <c r="E14617" s="107"/>
      <c r="F14617" s="106"/>
    </row>
    <row r="14618" spans="1:6" ht="15" customHeight="1" x14ac:dyDescent="0.25">
      <c r="A14618" s="607"/>
      <c r="B14618" s="608"/>
      <c r="C14618" s="609"/>
      <c r="D14618" s="142"/>
      <c r="E14618" s="107"/>
      <c r="F14618" s="106"/>
    </row>
    <row r="14619" spans="1:6" ht="15" customHeight="1" x14ac:dyDescent="0.25">
      <c r="A14619" s="607"/>
      <c r="B14619" s="608"/>
      <c r="C14619" s="609"/>
      <c r="D14619" s="142"/>
      <c r="E14619" s="107"/>
      <c r="F14619" s="106"/>
    </row>
    <row r="14620" spans="1:6" ht="15" customHeight="1" x14ac:dyDescent="0.25">
      <c r="A14620" s="607"/>
      <c r="B14620" s="608"/>
      <c r="C14620" s="609"/>
      <c r="D14620" s="142"/>
      <c r="E14620" s="107"/>
      <c r="F14620" s="106"/>
    </row>
    <row r="14621" spans="1:6" ht="15" customHeight="1" x14ac:dyDescent="0.25">
      <c r="A14621" s="607"/>
      <c r="B14621" s="608"/>
      <c r="C14621" s="609"/>
      <c r="D14621" s="142"/>
      <c r="E14621" s="107"/>
      <c r="F14621" s="106"/>
    </row>
    <row r="14622" spans="1:6" ht="15" customHeight="1" x14ac:dyDescent="0.25">
      <c r="A14622" s="610"/>
      <c r="B14622" s="608"/>
      <c r="C14622" s="609"/>
      <c r="D14622" s="115"/>
      <c r="E14622" s="107"/>
      <c r="F14622" s="106"/>
    </row>
    <row r="14623" spans="1:6" ht="15" customHeight="1" x14ac:dyDescent="0.25">
      <c r="A14623" s="611" t="s">
        <v>548</v>
      </c>
      <c r="B14623" s="608"/>
      <c r="C14623" s="609"/>
      <c r="D14623" s="110"/>
      <c r="E14623" s="110"/>
      <c r="F14623" s="112">
        <f>SUM(F14614:F14621)</f>
        <v>1724.8119047619048</v>
      </c>
    </row>
    <row r="14624" spans="1:6" ht="15" customHeight="1" x14ac:dyDescent="0.25">
      <c r="A14624" s="88"/>
      <c r="B14624" s="88"/>
      <c r="C14624" s="89"/>
      <c r="D14624" s="113"/>
      <c r="E14624" s="113"/>
      <c r="F14624" s="113"/>
    </row>
    <row r="14625" spans="1:6" ht="15" customHeight="1" x14ac:dyDescent="0.25">
      <c r="A14625" s="96" t="s">
        <v>578</v>
      </c>
      <c r="B14625" s="96"/>
      <c r="C14625" s="92"/>
      <c r="D14625" s="118"/>
      <c r="E14625" s="118"/>
      <c r="F14625" s="118"/>
    </row>
    <row r="14626" spans="1:6" ht="15" customHeight="1" x14ac:dyDescent="0.25">
      <c r="A14626" s="119" t="s">
        <v>563</v>
      </c>
      <c r="B14626" s="120" t="s">
        <v>579</v>
      </c>
      <c r="C14626" s="120" t="s">
        <v>580</v>
      </c>
      <c r="D14626" s="121" t="s">
        <v>581</v>
      </c>
      <c r="E14626" s="121" t="s">
        <v>575</v>
      </c>
      <c r="F14626" s="121" t="s">
        <v>568</v>
      </c>
    </row>
    <row r="14627" spans="1:6" ht="15" customHeight="1" x14ac:dyDescent="0.25">
      <c r="A14627" s="122" t="s">
        <v>593</v>
      </c>
      <c r="B14627" s="127">
        <v>1</v>
      </c>
      <c r="C14627" s="101">
        <v>32688</v>
      </c>
      <c r="D14627" s="101">
        <f t="shared" ref="D14627:D14628" si="716">+C14627*1.7</f>
        <v>55569.599999999999</v>
      </c>
      <c r="E14627" s="107">
        <v>4.2</v>
      </c>
      <c r="F14627" s="106">
        <f t="shared" ref="F14627:F14628" si="717">+B14627*(D14627)/E14627</f>
        <v>13230.857142857141</v>
      </c>
    </row>
    <row r="14628" spans="1:6" ht="15" customHeight="1" x14ac:dyDescent="0.25">
      <c r="A14628" s="122" t="s">
        <v>594</v>
      </c>
      <c r="B14628" s="127">
        <v>1</v>
      </c>
      <c r="C14628" s="101">
        <v>52538</v>
      </c>
      <c r="D14628" s="101">
        <f t="shared" si="716"/>
        <v>89314.599999999991</v>
      </c>
      <c r="E14628" s="107">
        <f>E14627</f>
        <v>4.2</v>
      </c>
      <c r="F14628" s="106">
        <f t="shared" si="717"/>
        <v>21265.38095238095</v>
      </c>
    </row>
    <row r="14629" spans="1:6" ht="15" customHeight="1" x14ac:dyDescent="0.25">
      <c r="A14629" s="122"/>
      <c r="B14629" s="127"/>
      <c r="C14629" s="101"/>
      <c r="D14629" s="101"/>
      <c r="E14629" s="105"/>
      <c r="F14629" s="106"/>
    </row>
    <row r="14630" spans="1:6" ht="15" customHeight="1" x14ac:dyDescent="0.25">
      <c r="A14630" s="122"/>
      <c r="B14630" s="127"/>
      <c r="C14630" s="101"/>
      <c r="D14630" s="101"/>
      <c r="E14630" s="125"/>
      <c r="F14630" s="106"/>
    </row>
    <row r="14631" spans="1:6" ht="15" customHeight="1" x14ac:dyDescent="0.25">
      <c r="A14631" s="97" t="s">
        <v>548</v>
      </c>
      <c r="B14631" s="128"/>
      <c r="C14631" s="110"/>
      <c r="D14631" s="110"/>
      <c r="E14631" s="110"/>
      <c r="F14631" s="112">
        <f>SUM(F14627:F14630)</f>
        <v>34496.238095238092</v>
      </c>
    </row>
    <row r="14632" spans="1:6" ht="15" customHeight="1" x14ac:dyDescent="0.25">
      <c r="A14632" s="96"/>
      <c r="B14632" s="129"/>
      <c r="C14632" s="118"/>
      <c r="D14632" s="118"/>
      <c r="E14632" s="118"/>
      <c r="F14632" s="118"/>
    </row>
    <row r="14633" spans="1:6" ht="15" customHeight="1" x14ac:dyDescent="0.25">
      <c r="A14633" s="95" t="s">
        <v>583</v>
      </c>
      <c r="B14633" s="96"/>
      <c r="C14633" s="92"/>
      <c r="D14633" s="92"/>
      <c r="E14633" s="92" t="s">
        <v>584</v>
      </c>
      <c r="F14633" s="92"/>
    </row>
    <row r="14634" spans="1:6" ht="15" customHeight="1" x14ac:dyDescent="0.25">
      <c r="A14634" s="97" t="s">
        <v>563</v>
      </c>
      <c r="B14634" s="98" t="s">
        <v>564</v>
      </c>
      <c r="C14634" s="98" t="s">
        <v>585</v>
      </c>
      <c r="D14634" s="98" t="s">
        <v>586</v>
      </c>
      <c r="E14634" s="120" t="s">
        <v>587</v>
      </c>
      <c r="F14634" s="98" t="s">
        <v>568</v>
      </c>
    </row>
    <row r="14635" spans="1:6" ht="15" customHeight="1" x14ac:dyDescent="0.25">
      <c r="A14635" s="103"/>
      <c r="B14635" s="100"/>
      <c r="C14635" s="101"/>
      <c r="D14635" s="140"/>
      <c r="E14635" s="107"/>
      <c r="F14635" s="109"/>
    </row>
    <row r="14636" spans="1:6" ht="15" customHeight="1" x14ac:dyDescent="0.25">
      <c r="A14636" s="103"/>
      <c r="B14636" s="100"/>
      <c r="C14636" s="107"/>
      <c r="D14636" s="107"/>
      <c r="E14636" s="108"/>
      <c r="F14636" s="109"/>
    </row>
    <row r="14637" spans="1:6" ht="15" customHeight="1" x14ac:dyDescent="0.25">
      <c r="A14637" s="97" t="s">
        <v>548</v>
      </c>
      <c r="B14637" s="98"/>
      <c r="C14637" s="110"/>
      <c r="D14637" s="110"/>
      <c r="E14637" s="111"/>
      <c r="F14637" s="112">
        <f>SUM(F14635:F14636)</f>
        <v>0</v>
      </c>
    </row>
    <row r="14638" spans="1:6" ht="15" customHeight="1" x14ac:dyDescent="0.25">
      <c r="A14638" s="88"/>
      <c r="B14638" s="89"/>
      <c r="C14638" s="113"/>
      <c r="D14638" s="113"/>
      <c r="E14638" s="114"/>
      <c r="F14638" s="113"/>
    </row>
    <row r="14639" spans="1:6" ht="15" customHeight="1" x14ac:dyDescent="0.25">
      <c r="A14639" s="88"/>
      <c r="B14639" s="89"/>
      <c r="C14639" s="113"/>
      <c r="D14639" s="113"/>
      <c r="E14639" s="114"/>
      <c r="F14639" s="113"/>
    </row>
    <row r="14640" spans="1:6" ht="15" customHeight="1" x14ac:dyDescent="0.25">
      <c r="A14640" s="612" t="s">
        <v>588</v>
      </c>
      <c r="B14640" s="608"/>
      <c r="C14640" s="608"/>
      <c r="D14640" s="608"/>
      <c r="E14640" s="609"/>
      <c r="F14640" s="131">
        <f>ROUND(F14610+F14623+F14631+F14637,0)</f>
        <v>331289</v>
      </c>
    </row>
    <row r="14641" spans="1:6" ht="15" customHeight="1" x14ac:dyDescent="0.25">
      <c r="A14641" s="612" t="s">
        <v>589</v>
      </c>
      <c r="B14641" s="608"/>
      <c r="C14641" s="608"/>
      <c r="D14641" s="608"/>
      <c r="E14641" s="609"/>
      <c r="F14641" s="132"/>
    </row>
    <row r="14642" spans="1:6" ht="15" customHeight="1" x14ac:dyDescent="0.25">
      <c r="A14642" s="146" t="s">
        <v>556</v>
      </c>
      <c r="B14642" s="147"/>
      <c r="C14642" s="147"/>
      <c r="D14642" s="147"/>
      <c r="E14642" s="148"/>
      <c r="F14642" s="133"/>
    </row>
    <row r="14643" spans="1:6" ht="15" customHeight="1" x14ac:dyDescent="0.25">
      <c r="A14643" s="134"/>
      <c r="B14643" s="135"/>
      <c r="C14643" s="135"/>
      <c r="D14643" s="135"/>
      <c r="E14643" s="135"/>
      <c r="F14643" s="136"/>
    </row>
    <row r="14644" spans="1:6" ht="15" customHeight="1" x14ac:dyDescent="0.25">
      <c r="A14644" s="81"/>
      <c r="B14644" s="81"/>
      <c r="C14644" s="137"/>
      <c r="D14644" s="81"/>
      <c r="E14644" s="81"/>
      <c r="F14644" s="81"/>
    </row>
    <row r="14645" spans="1:6" ht="15" customHeight="1" x14ac:dyDescent="0.25">
      <c r="A14645" s="81"/>
      <c r="B14645" s="81"/>
      <c r="C14645" s="137"/>
      <c r="D14645" s="81"/>
      <c r="E14645" s="81"/>
      <c r="F14645" s="81"/>
    </row>
    <row r="14646" spans="1:6" ht="15" customHeight="1" x14ac:dyDescent="0.25">
      <c r="A14646" s="81"/>
      <c r="B14646" s="81"/>
      <c r="C14646" s="137"/>
      <c r="D14646" s="81"/>
      <c r="E14646" s="81"/>
      <c r="F14646" s="81"/>
    </row>
    <row r="14647" spans="1:6" ht="15" customHeight="1" x14ac:dyDescent="0.25">
      <c r="A14647" s="81"/>
      <c r="B14647" s="81"/>
      <c r="C14647" s="137"/>
      <c r="D14647" s="81"/>
      <c r="E14647" s="81"/>
      <c r="F14647" s="81"/>
    </row>
    <row r="14648" spans="1:6" ht="15" customHeight="1" x14ac:dyDescent="0.25">
      <c r="A14648" s="134"/>
      <c r="B14648" s="135"/>
      <c r="C14648" s="135"/>
      <c r="D14648" s="135"/>
      <c r="E14648" s="135"/>
      <c r="F14648" s="136"/>
    </row>
    <row r="14649" spans="1:6" ht="15" customHeight="1" x14ac:dyDescent="0.25">
      <c r="A14649" s="134"/>
      <c r="B14649" s="135"/>
      <c r="C14649" s="135"/>
      <c r="D14649" s="135"/>
      <c r="E14649" s="135"/>
      <c r="F14649" s="136"/>
    </row>
    <row r="14650" spans="1:6" ht="15" customHeight="1" x14ac:dyDescent="0.25">
      <c r="A14650" s="134"/>
      <c r="B14650" s="135"/>
      <c r="C14650" s="135"/>
      <c r="D14650" s="135"/>
      <c r="E14650" s="135"/>
      <c r="F14650" s="135"/>
    </row>
    <row r="14651" spans="1:6" ht="15" customHeight="1" thickBot="1" x14ac:dyDescent="0.3">
      <c r="A14651" s="81"/>
      <c r="B14651" s="81"/>
      <c r="C14651" s="81"/>
      <c r="D14651" s="81"/>
      <c r="E14651" s="81"/>
      <c r="F14651" s="81"/>
    </row>
    <row r="14652" spans="1:6" ht="15" customHeight="1" x14ac:dyDescent="0.25">
      <c r="A14652" s="83"/>
      <c r="B14652" s="84"/>
      <c r="C14652" s="85"/>
      <c r="D14652" s="86"/>
      <c r="E14652" s="86"/>
      <c r="F14652" s="87"/>
    </row>
    <row r="14653" spans="1:6" ht="15" customHeight="1" x14ac:dyDescent="0.25">
      <c r="A14653" s="599"/>
      <c r="B14653" s="600"/>
      <c r="C14653" s="600"/>
      <c r="D14653" s="600"/>
      <c r="E14653" s="600"/>
      <c r="F14653" s="601"/>
    </row>
    <row r="14654" spans="1:6" ht="15" customHeight="1" x14ac:dyDescent="0.25">
      <c r="A14654" s="602" t="s">
        <v>561</v>
      </c>
      <c r="B14654" s="600"/>
      <c r="C14654" s="600"/>
      <c r="D14654" s="600"/>
      <c r="E14654" s="600"/>
      <c r="F14654" s="601"/>
    </row>
    <row r="14655" spans="1:6" ht="15" customHeight="1" thickBot="1" x14ac:dyDescent="0.3">
      <c r="A14655" s="603"/>
      <c r="B14655" s="604"/>
      <c r="C14655" s="604"/>
      <c r="D14655" s="604"/>
      <c r="E14655" s="604"/>
      <c r="F14655" s="605"/>
    </row>
    <row r="14656" spans="1:6" ht="15" customHeight="1" x14ac:dyDescent="0.25">
      <c r="A14656" s="88"/>
      <c r="B14656" s="88"/>
      <c r="C14656" s="89"/>
      <c r="D14656" s="89"/>
      <c r="E14656" s="89"/>
      <c r="F14656" s="89"/>
    </row>
    <row r="14657" spans="1:6" ht="15" customHeight="1" x14ac:dyDescent="0.25">
      <c r="A14657" s="90" t="s">
        <v>47</v>
      </c>
      <c r="B14657" s="613" t="s">
        <v>468</v>
      </c>
      <c r="C14657" s="600"/>
      <c r="D14657" s="600"/>
      <c r="E14657" s="600"/>
      <c r="F14657" s="600"/>
    </row>
    <row r="14658" spans="1:6" ht="15" customHeight="1" x14ac:dyDescent="0.25">
      <c r="A14658" s="91"/>
      <c r="B14658" s="91"/>
      <c r="C14658" s="91"/>
      <c r="D14658" s="91"/>
      <c r="E14658" s="91"/>
      <c r="F14658" s="91"/>
    </row>
    <row r="14659" spans="1:6" ht="15" customHeight="1" x14ac:dyDescent="0.25">
      <c r="A14659" s="88" t="s">
        <v>49</v>
      </c>
      <c r="B14659" s="92" t="s">
        <v>99</v>
      </c>
      <c r="C14659" s="89"/>
      <c r="D14659" s="89"/>
      <c r="E14659" s="89"/>
      <c r="F14659" s="93"/>
    </row>
    <row r="14660" spans="1:6" ht="15" customHeight="1" x14ac:dyDescent="0.25">
      <c r="A14660" s="88"/>
      <c r="B14660" s="94"/>
      <c r="C14660" s="89"/>
      <c r="D14660" s="89"/>
      <c r="E14660" s="89"/>
      <c r="F14660" s="93"/>
    </row>
    <row r="14661" spans="1:6" ht="15" customHeight="1" x14ac:dyDescent="0.25">
      <c r="A14661" s="95" t="s">
        <v>562</v>
      </c>
      <c r="B14661" s="96"/>
      <c r="C14661" s="92"/>
      <c r="D14661" s="92"/>
      <c r="E14661" s="92"/>
      <c r="F14661" s="92"/>
    </row>
    <row r="14662" spans="1:6" ht="15" customHeight="1" x14ac:dyDescent="0.25">
      <c r="A14662" s="97" t="s">
        <v>563</v>
      </c>
      <c r="B14662" s="98" t="s">
        <v>564</v>
      </c>
      <c r="C14662" s="98" t="s">
        <v>565</v>
      </c>
      <c r="D14662" s="98" t="s">
        <v>566</v>
      </c>
      <c r="E14662" s="98" t="s">
        <v>567</v>
      </c>
      <c r="F14662" s="98" t="s">
        <v>568</v>
      </c>
    </row>
    <row r="14663" spans="1:6" ht="15" customHeight="1" x14ac:dyDescent="0.25">
      <c r="A14663" s="99" t="s">
        <v>913</v>
      </c>
      <c r="B14663" s="100" t="s">
        <v>99</v>
      </c>
      <c r="C14663" s="101">
        <v>124407</v>
      </c>
      <c r="D14663" s="149">
        <v>1</v>
      </c>
      <c r="E14663" s="102"/>
      <c r="F14663" s="101">
        <f t="shared" ref="F14663:F14666" si="718">C14663*(D14663+(D14663*E14663))</f>
        <v>124407</v>
      </c>
    </row>
    <row r="14664" spans="1:6" ht="15" customHeight="1" x14ac:dyDescent="0.25">
      <c r="A14664" s="99"/>
      <c r="B14664" s="100"/>
      <c r="C14664" s="101"/>
      <c r="D14664" s="149"/>
      <c r="E14664" s="102"/>
      <c r="F14664" s="101">
        <f t="shared" si="718"/>
        <v>0</v>
      </c>
    </row>
    <row r="14665" spans="1:6" ht="15" customHeight="1" x14ac:dyDescent="0.25">
      <c r="A14665" s="99"/>
      <c r="B14665" s="100"/>
      <c r="C14665" s="101"/>
      <c r="D14665" s="149"/>
      <c r="E14665" s="102"/>
      <c r="F14665" s="101">
        <f t="shared" si="718"/>
        <v>0</v>
      </c>
    </row>
    <row r="14666" spans="1:6" ht="15" customHeight="1" x14ac:dyDescent="0.25">
      <c r="A14666" s="99"/>
      <c r="B14666" s="100"/>
      <c r="C14666" s="101"/>
      <c r="D14666" s="149"/>
      <c r="E14666" s="102"/>
      <c r="F14666" s="101">
        <f t="shared" si="718"/>
        <v>0</v>
      </c>
    </row>
    <row r="14667" spans="1:6" ht="15" customHeight="1" x14ac:dyDescent="0.25">
      <c r="A14667" s="99"/>
      <c r="B14667" s="100"/>
      <c r="C14667" s="101"/>
      <c r="D14667" s="149"/>
      <c r="E14667" s="102"/>
      <c r="F14667" s="101"/>
    </row>
    <row r="14668" spans="1:6" ht="15" customHeight="1" x14ac:dyDescent="0.25">
      <c r="A14668" s="99"/>
      <c r="B14668" s="100"/>
      <c r="C14668" s="101"/>
      <c r="D14668" s="149"/>
      <c r="E14668" s="102"/>
      <c r="F14668" s="101"/>
    </row>
    <row r="14669" spans="1:6" ht="15" customHeight="1" x14ac:dyDescent="0.25">
      <c r="A14669" s="99"/>
      <c r="B14669" s="100"/>
      <c r="C14669" s="101"/>
      <c r="D14669" s="149"/>
      <c r="E14669" s="102"/>
      <c r="F14669" s="101"/>
    </row>
    <row r="14670" spans="1:6" ht="15" customHeight="1" x14ac:dyDescent="0.25">
      <c r="A14670" s="99"/>
      <c r="B14670" s="100"/>
      <c r="C14670" s="106"/>
      <c r="D14670" s="107"/>
      <c r="E14670" s="108"/>
      <c r="F14670" s="106"/>
    </row>
    <row r="14671" spans="1:6" ht="15" customHeight="1" x14ac:dyDescent="0.25">
      <c r="A14671" s="97" t="s">
        <v>548</v>
      </c>
      <c r="B14671" s="97"/>
      <c r="C14671" s="109"/>
      <c r="D14671" s="110"/>
      <c r="E14671" s="111"/>
      <c r="F14671" s="112">
        <f>SUM(F14663:F14670)</f>
        <v>124407</v>
      </c>
    </row>
    <row r="14672" spans="1:6" ht="15" customHeight="1" x14ac:dyDescent="0.25">
      <c r="A14672" s="88"/>
      <c r="B14672" s="88"/>
      <c r="C14672" s="113"/>
      <c r="D14672" s="113"/>
      <c r="E14672" s="114"/>
      <c r="F14672" s="113"/>
    </row>
    <row r="14673" spans="1:6" ht="15" customHeight="1" x14ac:dyDescent="0.25">
      <c r="A14673" s="96" t="s">
        <v>573</v>
      </c>
      <c r="B14673" s="96"/>
      <c r="C14673" s="92"/>
      <c r="D14673" s="92"/>
      <c r="E14673" s="92"/>
      <c r="F14673" s="92"/>
    </row>
    <row r="14674" spans="1:6" ht="15" customHeight="1" x14ac:dyDescent="0.25">
      <c r="A14674" s="611" t="s">
        <v>563</v>
      </c>
      <c r="B14674" s="608"/>
      <c r="C14674" s="609"/>
      <c r="D14674" s="98" t="s">
        <v>574</v>
      </c>
      <c r="E14674" s="98" t="s">
        <v>575</v>
      </c>
      <c r="F14674" s="98" t="s">
        <v>568</v>
      </c>
    </row>
    <row r="14675" spans="1:6" ht="15" customHeight="1" x14ac:dyDescent="0.25">
      <c r="A14675" s="607" t="s">
        <v>577</v>
      </c>
      <c r="B14675" s="608"/>
      <c r="C14675" s="609"/>
      <c r="D14675" s="116"/>
      <c r="E14675" s="107"/>
      <c r="F14675" s="106">
        <f>+F14692*5%</f>
        <v>603.68416666666667</v>
      </c>
    </row>
    <row r="14676" spans="1:6" ht="15" customHeight="1" x14ac:dyDescent="0.25">
      <c r="A14676" s="607"/>
      <c r="B14676" s="608"/>
      <c r="C14676" s="609"/>
      <c r="D14676" s="142"/>
      <c r="E14676" s="105"/>
      <c r="F14676" s="106"/>
    </row>
    <row r="14677" spans="1:6" ht="15" customHeight="1" x14ac:dyDescent="0.25">
      <c r="A14677" s="607"/>
      <c r="B14677" s="608"/>
      <c r="C14677" s="609"/>
      <c r="D14677" s="142"/>
      <c r="E14677" s="105"/>
      <c r="F14677" s="106"/>
    </row>
    <row r="14678" spans="1:6" ht="15" customHeight="1" x14ac:dyDescent="0.25">
      <c r="A14678" s="607"/>
      <c r="B14678" s="608"/>
      <c r="C14678" s="609"/>
      <c r="D14678" s="142"/>
      <c r="E14678" s="107"/>
      <c r="F14678" s="106"/>
    </row>
    <row r="14679" spans="1:6" ht="15" customHeight="1" x14ac:dyDescent="0.25">
      <c r="A14679" s="607"/>
      <c r="B14679" s="608"/>
      <c r="C14679" s="609"/>
      <c r="D14679" s="142"/>
      <c r="E14679" s="107"/>
      <c r="F14679" s="106"/>
    </row>
    <row r="14680" spans="1:6" ht="15" customHeight="1" x14ac:dyDescent="0.25">
      <c r="A14680" s="607"/>
      <c r="B14680" s="608"/>
      <c r="C14680" s="609"/>
      <c r="D14680" s="142"/>
      <c r="E14680" s="107"/>
      <c r="F14680" s="106"/>
    </row>
    <row r="14681" spans="1:6" ht="15" customHeight="1" x14ac:dyDescent="0.25">
      <c r="A14681" s="607"/>
      <c r="B14681" s="608"/>
      <c r="C14681" s="609"/>
      <c r="D14681" s="142"/>
      <c r="E14681" s="107"/>
      <c r="F14681" s="106"/>
    </row>
    <row r="14682" spans="1:6" ht="15" customHeight="1" x14ac:dyDescent="0.25">
      <c r="A14682" s="607"/>
      <c r="B14682" s="608"/>
      <c r="C14682" s="609"/>
      <c r="D14682" s="142"/>
      <c r="E14682" s="107"/>
      <c r="F14682" s="106"/>
    </row>
    <row r="14683" spans="1:6" ht="15" customHeight="1" x14ac:dyDescent="0.25">
      <c r="A14683" s="610"/>
      <c r="B14683" s="608"/>
      <c r="C14683" s="609"/>
      <c r="D14683" s="115"/>
      <c r="E14683" s="107"/>
      <c r="F14683" s="106"/>
    </row>
    <row r="14684" spans="1:6" ht="15" customHeight="1" x14ac:dyDescent="0.25">
      <c r="A14684" s="611" t="s">
        <v>548</v>
      </c>
      <c r="B14684" s="608"/>
      <c r="C14684" s="609"/>
      <c r="D14684" s="110"/>
      <c r="E14684" s="110"/>
      <c r="F14684" s="112">
        <f>SUM(F14675:F14682)</f>
        <v>603.68416666666667</v>
      </c>
    </row>
    <row r="14685" spans="1:6" ht="15" customHeight="1" x14ac:dyDescent="0.25">
      <c r="A14685" s="88"/>
      <c r="B14685" s="88"/>
      <c r="C14685" s="89"/>
      <c r="D14685" s="113"/>
      <c r="E14685" s="113"/>
      <c r="F14685" s="113"/>
    </row>
    <row r="14686" spans="1:6" ht="15" customHeight="1" x14ac:dyDescent="0.25">
      <c r="A14686" s="96" t="s">
        <v>578</v>
      </c>
      <c r="B14686" s="96"/>
      <c r="C14686" s="92"/>
      <c r="D14686" s="118"/>
      <c r="E14686" s="118"/>
      <c r="F14686" s="118"/>
    </row>
    <row r="14687" spans="1:6" ht="15" customHeight="1" x14ac:dyDescent="0.25">
      <c r="A14687" s="119" t="s">
        <v>563</v>
      </c>
      <c r="B14687" s="120" t="s">
        <v>579</v>
      </c>
      <c r="C14687" s="120" t="s">
        <v>580</v>
      </c>
      <c r="D14687" s="121" t="s">
        <v>581</v>
      </c>
      <c r="E14687" s="121" t="s">
        <v>575</v>
      </c>
      <c r="F14687" s="121" t="s">
        <v>568</v>
      </c>
    </row>
    <row r="14688" spans="1:6" ht="15" customHeight="1" x14ac:dyDescent="0.25">
      <c r="A14688" s="122" t="s">
        <v>593</v>
      </c>
      <c r="B14688" s="127">
        <v>1</v>
      </c>
      <c r="C14688" s="101">
        <v>32688</v>
      </c>
      <c r="D14688" s="101">
        <f t="shared" ref="D14688:D14689" si="719">+C14688*1.7</f>
        <v>55569.599999999999</v>
      </c>
      <c r="E14688" s="107">
        <v>12</v>
      </c>
      <c r="F14688" s="106">
        <f t="shared" ref="F14688:F14689" si="720">+B14688*(D14688)/E14688</f>
        <v>4630.8</v>
      </c>
    </row>
    <row r="14689" spans="1:6" ht="15" customHeight="1" x14ac:dyDescent="0.25">
      <c r="A14689" s="122" t="s">
        <v>594</v>
      </c>
      <c r="B14689" s="127">
        <v>1</v>
      </c>
      <c r="C14689" s="101">
        <v>52538</v>
      </c>
      <c r="D14689" s="101">
        <f t="shared" si="719"/>
        <v>89314.599999999991</v>
      </c>
      <c r="E14689" s="107">
        <f>E14688</f>
        <v>12</v>
      </c>
      <c r="F14689" s="106">
        <f t="shared" si="720"/>
        <v>7442.8833333333323</v>
      </c>
    </row>
    <row r="14690" spans="1:6" ht="15" customHeight="1" x14ac:dyDescent="0.25">
      <c r="A14690" s="122"/>
      <c r="B14690" s="127"/>
      <c r="C14690" s="101"/>
      <c r="D14690" s="101"/>
      <c r="E14690" s="105"/>
      <c r="F14690" s="106"/>
    </row>
    <row r="14691" spans="1:6" ht="15" customHeight="1" x14ac:dyDescent="0.25">
      <c r="A14691" s="122"/>
      <c r="B14691" s="127"/>
      <c r="C14691" s="101"/>
      <c r="D14691" s="101"/>
      <c r="E14691" s="125"/>
      <c r="F14691" s="106"/>
    </row>
    <row r="14692" spans="1:6" ht="15" customHeight="1" x14ac:dyDescent="0.25">
      <c r="A14692" s="97" t="s">
        <v>548</v>
      </c>
      <c r="B14692" s="128"/>
      <c r="C14692" s="110"/>
      <c r="D14692" s="110"/>
      <c r="E14692" s="110"/>
      <c r="F14692" s="112">
        <f>SUM(F14688:F14691)</f>
        <v>12073.683333333332</v>
      </c>
    </row>
    <row r="14693" spans="1:6" ht="15" customHeight="1" x14ac:dyDescent="0.25">
      <c r="A14693" s="96"/>
      <c r="B14693" s="129"/>
      <c r="C14693" s="118"/>
      <c r="D14693" s="118"/>
      <c r="E14693" s="118"/>
      <c r="F14693" s="118"/>
    </row>
    <row r="14694" spans="1:6" ht="15" customHeight="1" x14ac:dyDescent="0.25">
      <c r="A14694" s="95" t="s">
        <v>583</v>
      </c>
      <c r="B14694" s="96"/>
      <c r="C14694" s="92"/>
      <c r="D14694" s="92"/>
      <c r="E14694" s="92" t="s">
        <v>584</v>
      </c>
      <c r="F14694" s="92"/>
    </row>
    <row r="14695" spans="1:6" ht="15" customHeight="1" x14ac:dyDescent="0.25">
      <c r="A14695" s="97" t="s">
        <v>563</v>
      </c>
      <c r="B14695" s="98" t="s">
        <v>564</v>
      </c>
      <c r="C14695" s="98" t="s">
        <v>585</v>
      </c>
      <c r="D14695" s="98" t="s">
        <v>586</v>
      </c>
      <c r="E14695" s="120" t="s">
        <v>587</v>
      </c>
      <c r="F14695" s="98" t="s">
        <v>568</v>
      </c>
    </row>
    <row r="14696" spans="1:6" ht="15" customHeight="1" x14ac:dyDescent="0.25">
      <c r="A14696" s="103"/>
      <c r="B14696" s="100"/>
      <c r="C14696" s="101"/>
      <c r="D14696" s="140"/>
      <c r="E14696" s="107"/>
      <c r="F14696" s="109"/>
    </row>
    <row r="14697" spans="1:6" ht="15" customHeight="1" x14ac:dyDescent="0.25">
      <c r="A14697" s="103"/>
      <c r="B14697" s="100"/>
      <c r="C14697" s="107"/>
      <c r="D14697" s="107"/>
      <c r="E14697" s="108"/>
      <c r="F14697" s="109"/>
    </row>
    <row r="14698" spans="1:6" ht="15" customHeight="1" x14ac:dyDescent="0.25">
      <c r="A14698" s="97" t="s">
        <v>548</v>
      </c>
      <c r="B14698" s="98"/>
      <c r="C14698" s="110"/>
      <c r="D14698" s="110"/>
      <c r="E14698" s="111"/>
      <c r="F14698" s="112">
        <f>SUM(F14696:F14697)</f>
        <v>0</v>
      </c>
    </row>
    <row r="14699" spans="1:6" ht="15" customHeight="1" x14ac:dyDescent="0.25">
      <c r="A14699" s="88"/>
      <c r="B14699" s="89"/>
      <c r="C14699" s="113"/>
      <c r="D14699" s="113"/>
      <c r="E14699" s="114"/>
      <c r="F14699" s="113"/>
    </row>
    <row r="14700" spans="1:6" ht="15" customHeight="1" x14ac:dyDescent="0.25">
      <c r="A14700" s="88"/>
      <c r="B14700" s="89"/>
      <c r="C14700" s="113"/>
      <c r="D14700" s="113"/>
      <c r="E14700" s="114"/>
      <c r="F14700" s="113"/>
    </row>
    <row r="14701" spans="1:6" ht="15" customHeight="1" x14ac:dyDescent="0.25">
      <c r="A14701" s="612" t="s">
        <v>588</v>
      </c>
      <c r="B14701" s="608"/>
      <c r="C14701" s="608"/>
      <c r="D14701" s="608"/>
      <c r="E14701" s="609"/>
      <c r="F14701" s="131">
        <f>ROUND(F14671+F14684+F14692+F14698,0)</f>
        <v>137084</v>
      </c>
    </row>
    <row r="14702" spans="1:6" ht="15" customHeight="1" x14ac:dyDescent="0.25">
      <c r="A14702" s="612" t="s">
        <v>589</v>
      </c>
      <c r="B14702" s="608"/>
      <c r="C14702" s="608"/>
      <c r="D14702" s="608"/>
      <c r="E14702" s="609"/>
      <c r="F14702" s="132"/>
    </row>
    <row r="14703" spans="1:6" ht="15" customHeight="1" x14ac:dyDescent="0.25">
      <c r="A14703" s="146" t="s">
        <v>556</v>
      </c>
      <c r="B14703" s="147"/>
      <c r="C14703" s="147"/>
      <c r="D14703" s="147"/>
      <c r="E14703" s="148"/>
      <c r="F14703" s="133"/>
    </row>
    <row r="14704" spans="1:6" ht="15" customHeight="1" x14ac:dyDescent="0.25">
      <c r="A14704" s="134"/>
      <c r="B14704" s="135"/>
      <c r="C14704" s="135"/>
      <c r="D14704" s="135"/>
      <c r="E14704" s="135"/>
      <c r="F14704" s="136"/>
    </row>
    <row r="14705" spans="1:6" ht="15" customHeight="1" x14ac:dyDescent="0.25">
      <c r="A14705" s="81"/>
      <c r="B14705" s="81"/>
      <c r="C14705" s="137"/>
      <c r="D14705" s="81"/>
      <c r="E14705" s="81"/>
      <c r="F14705" s="81"/>
    </row>
    <row r="14706" spans="1:6" ht="15" customHeight="1" x14ac:dyDescent="0.25">
      <c r="A14706" s="81"/>
      <c r="B14706" s="81"/>
      <c r="C14706" s="137"/>
      <c r="D14706" s="81"/>
      <c r="E14706" s="81"/>
      <c r="F14706" s="81"/>
    </row>
    <row r="14707" spans="1:6" ht="15" customHeight="1" x14ac:dyDescent="0.25">
      <c r="A14707" s="81"/>
      <c r="B14707" s="81"/>
      <c r="C14707" s="137"/>
      <c r="D14707" s="81"/>
      <c r="E14707" s="81"/>
      <c r="F14707" s="81"/>
    </row>
    <row r="14708" spans="1:6" ht="15" customHeight="1" x14ac:dyDescent="0.25">
      <c r="A14708" s="81"/>
      <c r="B14708" s="81"/>
      <c r="C14708" s="137"/>
      <c r="D14708" s="81"/>
      <c r="E14708" s="81"/>
      <c r="F14708" s="81"/>
    </row>
    <row r="14709" spans="1:6" ht="15" customHeight="1" x14ac:dyDescent="0.25">
      <c r="A14709" s="134"/>
      <c r="B14709" s="135"/>
      <c r="C14709" s="135"/>
      <c r="D14709" s="135"/>
      <c r="E14709" s="135"/>
      <c r="F14709" s="136"/>
    </row>
    <row r="14710" spans="1:6" ht="15" customHeight="1" x14ac:dyDescent="0.25">
      <c r="A14710" s="134"/>
      <c r="B14710" s="135"/>
      <c r="C14710" s="135"/>
      <c r="D14710" s="135"/>
      <c r="E14710" s="135"/>
      <c r="F14710" s="136"/>
    </row>
    <row r="14711" spans="1:6" ht="15" customHeight="1" x14ac:dyDescent="0.25">
      <c r="A14711" s="134"/>
      <c r="B14711" s="135"/>
      <c r="C14711" s="135"/>
      <c r="D14711" s="135"/>
      <c r="E14711" s="135"/>
      <c r="F14711" s="135"/>
    </row>
    <row r="14712" spans="1:6" ht="15" customHeight="1" thickBot="1" x14ac:dyDescent="0.3">
      <c r="A14712" s="81"/>
      <c r="B14712" s="81"/>
      <c r="C14712" s="81"/>
      <c r="D14712" s="81"/>
      <c r="E14712" s="81"/>
      <c r="F14712" s="81"/>
    </row>
    <row r="14713" spans="1:6" ht="15" customHeight="1" x14ac:dyDescent="0.25">
      <c r="A14713" s="83"/>
      <c r="B14713" s="84"/>
      <c r="C14713" s="85"/>
      <c r="D14713" s="86"/>
      <c r="E14713" s="86"/>
      <c r="F14713" s="87"/>
    </row>
    <row r="14714" spans="1:6" ht="15" customHeight="1" x14ac:dyDescent="0.25">
      <c r="A14714" s="599"/>
      <c r="B14714" s="600"/>
      <c r="C14714" s="600"/>
      <c r="D14714" s="600"/>
      <c r="E14714" s="600"/>
      <c r="F14714" s="601"/>
    </row>
    <row r="14715" spans="1:6" ht="15" customHeight="1" x14ac:dyDescent="0.25">
      <c r="A14715" s="602" t="s">
        <v>561</v>
      </c>
      <c r="B14715" s="600"/>
      <c r="C14715" s="600"/>
      <c r="D14715" s="600"/>
      <c r="E14715" s="600"/>
      <c r="F14715" s="601"/>
    </row>
    <row r="14716" spans="1:6" ht="15" customHeight="1" thickBot="1" x14ac:dyDescent="0.3">
      <c r="A14716" s="603"/>
      <c r="B14716" s="604"/>
      <c r="C14716" s="604"/>
      <c r="D14716" s="604"/>
      <c r="E14716" s="604"/>
      <c r="F14716" s="605"/>
    </row>
    <row r="14717" spans="1:6" ht="15" customHeight="1" x14ac:dyDescent="0.25">
      <c r="A14717" s="88"/>
      <c r="B14717" s="88"/>
      <c r="C14717" s="89"/>
      <c r="D14717" s="89"/>
      <c r="E14717" s="89"/>
      <c r="F14717" s="89"/>
    </row>
    <row r="14718" spans="1:6" ht="15" customHeight="1" x14ac:dyDescent="0.25">
      <c r="A14718" s="90" t="s">
        <v>47</v>
      </c>
      <c r="B14718" s="613" t="s">
        <v>470</v>
      </c>
      <c r="C14718" s="600"/>
      <c r="D14718" s="600"/>
      <c r="E14718" s="600"/>
      <c r="F14718" s="600"/>
    </row>
    <row r="14719" spans="1:6" ht="15" customHeight="1" x14ac:dyDescent="0.25">
      <c r="A14719" s="91"/>
      <c r="B14719" s="91"/>
      <c r="C14719" s="91"/>
      <c r="D14719" s="91"/>
      <c r="E14719" s="91"/>
      <c r="F14719" s="91"/>
    </row>
    <row r="14720" spans="1:6" ht="15" customHeight="1" x14ac:dyDescent="0.25">
      <c r="A14720" s="88" t="s">
        <v>49</v>
      </c>
      <c r="B14720" s="92" t="s">
        <v>99</v>
      </c>
      <c r="C14720" s="89"/>
      <c r="D14720" s="89"/>
      <c r="E14720" s="89"/>
      <c r="F14720" s="93"/>
    </row>
    <row r="14721" spans="1:6" ht="15" customHeight="1" x14ac:dyDescent="0.25">
      <c r="A14721" s="88"/>
      <c r="B14721" s="94"/>
      <c r="C14721" s="89"/>
      <c r="D14721" s="89"/>
      <c r="E14721" s="89"/>
      <c r="F14721" s="93"/>
    </row>
    <row r="14722" spans="1:6" ht="15" customHeight="1" x14ac:dyDescent="0.25">
      <c r="A14722" s="95" t="s">
        <v>562</v>
      </c>
      <c r="B14722" s="96"/>
      <c r="C14722" s="92"/>
      <c r="D14722" s="92"/>
      <c r="E14722" s="92"/>
      <c r="F14722" s="92"/>
    </row>
    <row r="14723" spans="1:6" ht="15" customHeight="1" x14ac:dyDescent="0.25">
      <c r="A14723" s="97" t="s">
        <v>563</v>
      </c>
      <c r="B14723" s="98" t="s">
        <v>564</v>
      </c>
      <c r="C14723" s="98" t="s">
        <v>565</v>
      </c>
      <c r="D14723" s="98" t="s">
        <v>566</v>
      </c>
      <c r="E14723" s="98" t="s">
        <v>567</v>
      </c>
      <c r="F14723" s="98" t="s">
        <v>568</v>
      </c>
    </row>
    <row r="14724" spans="1:6" ht="15" customHeight="1" x14ac:dyDescent="0.25">
      <c r="A14724" s="99" t="s">
        <v>914</v>
      </c>
      <c r="B14724" s="100" t="s">
        <v>99</v>
      </c>
      <c r="C14724" s="101">
        <v>1843662</v>
      </c>
      <c r="D14724" s="149">
        <v>1</v>
      </c>
      <c r="E14724" s="102"/>
      <c r="F14724" s="101">
        <f t="shared" ref="F14724:F14727" si="721">C14724*(D14724+(D14724*E14724))</f>
        <v>1843662</v>
      </c>
    </row>
    <row r="14725" spans="1:6" ht="15" customHeight="1" x14ac:dyDescent="0.25">
      <c r="A14725" s="99"/>
      <c r="B14725" s="100"/>
      <c r="C14725" s="101"/>
      <c r="D14725" s="149"/>
      <c r="E14725" s="102"/>
      <c r="F14725" s="101">
        <f t="shared" si="721"/>
        <v>0</v>
      </c>
    </row>
    <row r="14726" spans="1:6" ht="15" customHeight="1" x14ac:dyDescent="0.25">
      <c r="A14726" s="99"/>
      <c r="B14726" s="100"/>
      <c r="C14726" s="101"/>
      <c r="D14726" s="149"/>
      <c r="E14726" s="102"/>
      <c r="F14726" s="101">
        <f t="shared" si="721"/>
        <v>0</v>
      </c>
    </row>
    <row r="14727" spans="1:6" ht="15" customHeight="1" x14ac:dyDescent="0.25">
      <c r="A14727" s="99"/>
      <c r="B14727" s="100"/>
      <c r="C14727" s="101"/>
      <c r="D14727" s="149"/>
      <c r="E14727" s="102"/>
      <c r="F14727" s="101">
        <f t="shared" si="721"/>
        <v>0</v>
      </c>
    </row>
    <row r="14728" spans="1:6" ht="15" customHeight="1" x14ac:dyDescent="0.25">
      <c r="A14728" s="99"/>
      <c r="B14728" s="100"/>
      <c r="C14728" s="101"/>
      <c r="D14728" s="149"/>
      <c r="E14728" s="102"/>
      <c r="F14728" s="101"/>
    </row>
    <row r="14729" spans="1:6" ht="15" customHeight="1" x14ac:dyDescent="0.25">
      <c r="A14729" s="99"/>
      <c r="B14729" s="100"/>
      <c r="C14729" s="101"/>
      <c r="D14729" s="149"/>
      <c r="E14729" s="102"/>
      <c r="F14729" s="101"/>
    </row>
    <row r="14730" spans="1:6" ht="15" customHeight="1" x14ac:dyDescent="0.25">
      <c r="A14730" s="99"/>
      <c r="B14730" s="100"/>
      <c r="C14730" s="101"/>
      <c r="D14730" s="149"/>
      <c r="E14730" s="102"/>
      <c r="F14730" s="101"/>
    </row>
    <row r="14731" spans="1:6" ht="15" customHeight="1" x14ac:dyDescent="0.25">
      <c r="A14731" s="99"/>
      <c r="B14731" s="100"/>
      <c r="C14731" s="106"/>
      <c r="D14731" s="107"/>
      <c r="E14731" s="108"/>
      <c r="F14731" s="106"/>
    </row>
    <row r="14732" spans="1:6" ht="15" customHeight="1" x14ac:dyDescent="0.25">
      <c r="A14732" s="97" t="s">
        <v>548</v>
      </c>
      <c r="B14732" s="97"/>
      <c r="C14732" s="109"/>
      <c r="D14732" s="110"/>
      <c r="E14732" s="111"/>
      <c r="F14732" s="112">
        <f>SUM(F14724:F14731)</f>
        <v>1843662</v>
      </c>
    </row>
    <row r="14733" spans="1:6" ht="15" customHeight="1" x14ac:dyDescent="0.25">
      <c r="A14733" s="88"/>
      <c r="B14733" s="88"/>
      <c r="C14733" s="113"/>
      <c r="D14733" s="113"/>
      <c r="E14733" s="114"/>
      <c r="F14733" s="113"/>
    </row>
    <row r="14734" spans="1:6" ht="15" customHeight="1" x14ac:dyDescent="0.25">
      <c r="A14734" s="96" t="s">
        <v>573</v>
      </c>
      <c r="B14734" s="96"/>
      <c r="C14734" s="92"/>
      <c r="D14734" s="92"/>
      <c r="E14734" s="92"/>
      <c r="F14734" s="92"/>
    </row>
    <row r="14735" spans="1:6" ht="15" customHeight="1" x14ac:dyDescent="0.25">
      <c r="A14735" s="611" t="s">
        <v>563</v>
      </c>
      <c r="B14735" s="608"/>
      <c r="C14735" s="609"/>
      <c r="D14735" s="98" t="s">
        <v>574</v>
      </c>
      <c r="E14735" s="98" t="s">
        <v>575</v>
      </c>
      <c r="F14735" s="98" t="s">
        <v>568</v>
      </c>
    </row>
    <row r="14736" spans="1:6" ht="15" customHeight="1" x14ac:dyDescent="0.25">
      <c r="A14736" s="607" t="s">
        <v>577</v>
      </c>
      <c r="B14736" s="608"/>
      <c r="C14736" s="609"/>
      <c r="D14736" s="116"/>
      <c r="E14736" s="107"/>
      <c r="F14736" s="106">
        <f>+F14753*5%</f>
        <v>7244.2099999999991</v>
      </c>
    </row>
    <row r="14737" spans="1:6" ht="15" customHeight="1" x14ac:dyDescent="0.25">
      <c r="A14737" s="607"/>
      <c r="B14737" s="608"/>
      <c r="C14737" s="609"/>
      <c r="D14737" s="142"/>
      <c r="E14737" s="105"/>
      <c r="F14737" s="106"/>
    </row>
    <row r="14738" spans="1:6" ht="15" customHeight="1" x14ac:dyDescent="0.25">
      <c r="A14738" s="607"/>
      <c r="B14738" s="608"/>
      <c r="C14738" s="609"/>
      <c r="D14738" s="142"/>
      <c r="E14738" s="105"/>
      <c r="F14738" s="106"/>
    </row>
    <row r="14739" spans="1:6" ht="15" customHeight="1" x14ac:dyDescent="0.25">
      <c r="A14739" s="607"/>
      <c r="B14739" s="608"/>
      <c r="C14739" s="609"/>
      <c r="D14739" s="142"/>
      <c r="E14739" s="107"/>
      <c r="F14739" s="106"/>
    </row>
    <row r="14740" spans="1:6" ht="15" customHeight="1" x14ac:dyDescent="0.25">
      <c r="A14740" s="607"/>
      <c r="B14740" s="608"/>
      <c r="C14740" s="609"/>
      <c r="D14740" s="142"/>
      <c r="E14740" s="107"/>
      <c r="F14740" s="106"/>
    </row>
    <row r="14741" spans="1:6" ht="15" customHeight="1" x14ac:dyDescent="0.25">
      <c r="A14741" s="607"/>
      <c r="B14741" s="608"/>
      <c r="C14741" s="609"/>
      <c r="D14741" s="142"/>
      <c r="E14741" s="107"/>
      <c r="F14741" s="106"/>
    </row>
    <row r="14742" spans="1:6" ht="15" customHeight="1" x14ac:dyDescent="0.25">
      <c r="A14742" s="607"/>
      <c r="B14742" s="608"/>
      <c r="C14742" s="609"/>
      <c r="D14742" s="142"/>
      <c r="E14742" s="107"/>
      <c r="F14742" s="106"/>
    </row>
    <row r="14743" spans="1:6" ht="15" customHeight="1" x14ac:dyDescent="0.25">
      <c r="A14743" s="607"/>
      <c r="B14743" s="608"/>
      <c r="C14743" s="609"/>
      <c r="D14743" s="142"/>
      <c r="E14743" s="107"/>
      <c r="F14743" s="106"/>
    </row>
    <row r="14744" spans="1:6" ht="15" customHeight="1" x14ac:dyDescent="0.25">
      <c r="A14744" s="610"/>
      <c r="B14744" s="608"/>
      <c r="C14744" s="609"/>
      <c r="D14744" s="115"/>
      <c r="E14744" s="107"/>
      <c r="F14744" s="106"/>
    </row>
    <row r="14745" spans="1:6" ht="15" customHeight="1" x14ac:dyDescent="0.25">
      <c r="A14745" s="611" t="s">
        <v>548</v>
      </c>
      <c r="B14745" s="608"/>
      <c r="C14745" s="609"/>
      <c r="D14745" s="110"/>
      <c r="E14745" s="110"/>
      <c r="F14745" s="112">
        <f>SUM(F14736:F14743)</f>
        <v>7244.2099999999991</v>
      </c>
    </row>
    <row r="14746" spans="1:6" ht="15" customHeight="1" x14ac:dyDescent="0.25">
      <c r="A14746" s="88"/>
      <c r="B14746" s="88"/>
      <c r="C14746" s="89"/>
      <c r="D14746" s="113"/>
      <c r="E14746" s="113"/>
      <c r="F14746" s="113"/>
    </row>
    <row r="14747" spans="1:6" ht="15" customHeight="1" x14ac:dyDescent="0.25">
      <c r="A14747" s="96" t="s">
        <v>578</v>
      </c>
      <c r="B14747" s="96"/>
      <c r="C14747" s="92"/>
      <c r="D14747" s="118"/>
      <c r="E14747" s="118"/>
      <c r="F14747" s="118"/>
    </row>
    <row r="14748" spans="1:6" ht="15" customHeight="1" x14ac:dyDescent="0.25">
      <c r="A14748" s="119" t="s">
        <v>563</v>
      </c>
      <c r="B14748" s="120" t="s">
        <v>579</v>
      </c>
      <c r="C14748" s="120" t="s">
        <v>580</v>
      </c>
      <c r="D14748" s="121" t="s">
        <v>581</v>
      </c>
      <c r="E14748" s="121" t="s">
        <v>575</v>
      </c>
      <c r="F14748" s="121" t="s">
        <v>568</v>
      </c>
    </row>
    <row r="14749" spans="1:6" ht="15" customHeight="1" x14ac:dyDescent="0.25">
      <c r="A14749" s="122" t="s">
        <v>593</v>
      </c>
      <c r="B14749" s="127">
        <v>1</v>
      </c>
      <c r="C14749" s="101">
        <v>32688</v>
      </c>
      <c r="D14749" s="101">
        <f t="shared" ref="D14749:D14750" si="722">+C14749*1.7</f>
        <v>55569.599999999999</v>
      </c>
      <c r="E14749" s="107">
        <v>1</v>
      </c>
      <c r="F14749" s="106">
        <f t="shared" ref="F14749:F14750" si="723">+B14749*(D14749)/E14749</f>
        <v>55569.599999999999</v>
      </c>
    </row>
    <row r="14750" spans="1:6" ht="15" customHeight="1" x14ac:dyDescent="0.25">
      <c r="A14750" s="122" t="s">
        <v>594</v>
      </c>
      <c r="B14750" s="127">
        <v>1</v>
      </c>
      <c r="C14750" s="101">
        <v>52538</v>
      </c>
      <c r="D14750" s="101">
        <f t="shared" si="722"/>
        <v>89314.599999999991</v>
      </c>
      <c r="E14750" s="107">
        <f>E14749</f>
        <v>1</v>
      </c>
      <c r="F14750" s="106">
        <f t="shared" si="723"/>
        <v>89314.599999999991</v>
      </c>
    </row>
    <row r="14751" spans="1:6" ht="15" customHeight="1" x14ac:dyDescent="0.25">
      <c r="A14751" s="122"/>
      <c r="B14751" s="127"/>
      <c r="C14751" s="101"/>
      <c r="D14751" s="101"/>
      <c r="E14751" s="105"/>
      <c r="F14751" s="106"/>
    </row>
    <row r="14752" spans="1:6" ht="15" customHeight="1" x14ac:dyDescent="0.25">
      <c r="A14752" s="122"/>
      <c r="B14752" s="127"/>
      <c r="C14752" s="101"/>
      <c r="D14752" s="101"/>
      <c r="E14752" s="125"/>
      <c r="F14752" s="106"/>
    </row>
    <row r="14753" spans="1:6" ht="15" customHeight="1" x14ac:dyDescent="0.25">
      <c r="A14753" s="97" t="s">
        <v>548</v>
      </c>
      <c r="B14753" s="128"/>
      <c r="C14753" s="110"/>
      <c r="D14753" s="110"/>
      <c r="E14753" s="110"/>
      <c r="F14753" s="112">
        <f>SUM(F14749:F14752)</f>
        <v>144884.19999999998</v>
      </c>
    </row>
    <row r="14754" spans="1:6" ht="15" customHeight="1" x14ac:dyDescent="0.25">
      <c r="A14754" s="96"/>
      <c r="B14754" s="129"/>
      <c r="C14754" s="118"/>
      <c r="D14754" s="118"/>
      <c r="E14754" s="118"/>
      <c r="F14754" s="118"/>
    </row>
    <row r="14755" spans="1:6" ht="15" customHeight="1" x14ac:dyDescent="0.25">
      <c r="A14755" s="95" t="s">
        <v>583</v>
      </c>
      <c r="B14755" s="96"/>
      <c r="C14755" s="92"/>
      <c r="D14755" s="92"/>
      <c r="E14755" s="92" t="s">
        <v>584</v>
      </c>
      <c r="F14755" s="92"/>
    </row>
    <row r="14756" spans="1:6" ht="15" customHeight="1" x14ac:dyDescent="0.25">
      <c r="A14756" s="97" t="s">
        <v>563</v>
      </c>
      <c r="B14756" s="98" t="s">
        <v>564</v>
      </c>
      <c r="C14756" s="98" t="s">
        <v>585</v>
      </c>
      <c r="D14756" s="98" t="s">
        <v>586</v>
      </c>
      <c r="E14756" s="120" t="s">
        <v>587</v>
      </c>
      <c r="F14756" s="98" t="s">
        <v>568</v>
      </c>
    </row>
    <row r="14757" spans="1:6" ht="15" customHeight="1" x14ac:dyDescent="0.25">
      <c r="A14757" s="103"/>
      <c r="B14757" s="100"/>
      <c r="C14757" s="101"/>
      <c r="D14757" s="140"/>
      <c r="E14757" s="107"/>
      <c r="F14757" s="109"/>
    </row>
    <row r="14758" spans="1:6" ht="15" customHeight="1" x14ac:dyDescent="0.25">
      <c r="A14758" s="103"/>
      <c r="B14758" s="100"/>
      <c r="C14758" s="107"/>
      <c r="D14758" s="107"/>
      <c r="E14758" s="108"/>
      <c r="F14758" s="109"/>
    </row>
    <row r="14759" spans="1:6" ht="15" customHeight="1" x14ac:dyDescent="0.25">
      <c r="A14759" s="97" t="s">
        <v>548</v>
      </c>
      <c r="B14759" s="98"/>
      <c r="C14759" s="110"/>
      <c r="D14759" s="110"/>
      <c r="E14759" s="111"/>
      <c r="F14759" s="112">
        <f>SUM(F14757:F14758)</f>
        <v>0</v>
      </c>
    </row>
    <row r="14760" spans="1:6" ht="15" customHeight="1" x14ac:dyDescent="0.25">
      <c r="A14760" s="88"/>
      <c r="B14760" s="89"/>
      <c r="C14760" s="113"/>
      <c r="D14760" s="113"/>
      <c r="E14760" s="114"/>
      <c r="F14760" s="113"/>
    </row>
    <row r="14761" spans="1:6" ht="15" customHeight="1" x14ac:dyDescent="0.25">
      <c r="A14761" s="88"/>
      <c r="B14761" s="89"/>
      <c r="C14761" s="113"/>
      <c r="D14761" s="113"/>
      <c r="E14761" s="114"/>
      <c r="F14761" s="113"/>
    </row>
    <row r="14762" spans="1:6" ht="15" customHeight="1" x14ac:dyDescent="0.25">
      <c r="A14762" s="612" t="s">
        <v>588</v>
      </c>
      <c r="B14762" s="608"/>
      <c r="C14762" s="608"/>
      <c r="D14762" s="608"/>
      <c r="E14762" s="609"/>
      <c r="F14762" s="131">
        <f>ROUND(F14732+F14745+F14753+F14759,0)</f>
        <v>1995790</v>
      </c>
    </row>
    <row r="14763" spans="1:6" ht="15" customHeight="1" x14ac:dyDescent="0.25">
      <c r="A14763" s="612" t="s">
        <v>589</v>
      </c>
      <c r="B14763" s="608"/>
      <c r="C14763" s="608"/>
      <c r="D14763" s="608"/>
      <c r="E14763" s="609"/>
      <c r="F14763" s="132"/>
    </row>
    <row r="14764" spans="1:6" ht="15" customHeight="1" x14ac:dyDescent="0.25">
      <c r="A14764" s="146" t="s">
        <v>556</v>
      </c>
      <c r="B14764" s="147"/>
      <c r="C14764" s="147"/>
      <c r="D14764" s="147"/>
      <c r="E14764" s="148"/>
      <c r="F14764" s="133"/>
    </row>
    <row r="14765" spans="1:6" ht="15" customHeight="1" x14ac:dyDescent="0.25">
      <c r="A14765" s="134"/>
      <c r="B14765" s="135"/>
      <c r="C14765" s="135"/>
      <c r="D14765" s="135"/>
      <c r="E14765" s="135"/>
      <c r="F14765" s="136"/>
    </row>
    <row r="14766" spans="1:6" ht="15" customHeight="1" x14ac:dyDescent="0.25">
      <c r="A14766" s="81"/>
      <c r="B14766" s="81"/>
      <c r="C14766" s="137"/>
      <c r="D14766" s="81"/>
      <c r="E14766" s="81"/>
      <c r="F14766" s="81"/>
    </row>
    <row r="14767" spans="1:6" ht="15" customHeight="1" x14ac:dyDescent="0.25">
      <c r="A14767" s="81"/>
      <c r="B14767" s="81"/>
      <c r="C14767" s="137"/>
      <c r="D14767" s="81"/>
      <c r="E14767" s="81"/>
      <c r="F14767" s="81"/>
    </row>
    <row r="14768" spans="1:6" ht="15" customHeight="1" x14ac:dyDescent="0.25">
      <c r="A14768" s="81"/>
      <c r="B14768" s="81"/>
      <c r="C14768" s="137"/>
      <c r="D14768" s="81"/>
      <c r="E14768" s="81"/>
      <c r="F14768" s="81"/>
    </row>
    <row r="14769" spans="1:6" ht="15" customHeight="1" x14ac:dyDescent="0.25">
      <c r="A14769" s="81"/>
      <c r="B14769" s="81"/>
      <c r="C14769" s="137"/>
      <c r="D14769" s="81"/>
      <c r="E14769" s="81"/>
      <c r="F14769" s="81"/>
    </row>
    <row r="14770" spans="1:6" ht="15" customHeight="1" x14ac:dyDescent="0.25">
      <c r="A14770" s="134"/>
      <c r="B14770" s="135"/>
      <c r="C14770" s="135"/>
      <c r="D14770" s="135"/>
      <c r="E14770" s="135"/>
      <c r="F14770" s="136"/>
    </row>
    <row r="14771" spans="1:6" ht="15" customHeight="1" x14ac:dyDescent="0.25">
      <c r="A14771" s="134"/>
      <c r="B14771" s="135"/>
      <c r="C14771" s="135"/>
      <c r="D14771" s="135"/>
      <c r="E14771" s="135"/>
      <c r="F14771" s="136"/>
    </row>
    <row r="14772" spans="1:6" ht="15" customHeight="1" x14ac:dyDescent="0.25">
      <c r="A14772" s="134"/>
      <c r="B14772" s="135"/>
      <c r="C14772" s="135"/>
      <c r="D14772" s="135"/>
      <c r="E14772" s="135"/>
      <c r="F14772" s="135"/>
    </row>
    <row r="14773" spans="1:6" ht="15" customHeight="1" thickBot="1" x14ac:dyDescent="0.3">
      <c r="A14773" s="81"/>
      <c r="B14773" s="81"/>
      <c r="C14773" s="81"/>
      <c r="D14773" s="81"/>
      <c r="E14773" s="81"/>
      <c r="F14773" s="81"/>
    </row>
    <row r="14774" spans="1:6" ht="15" customHeight="1" x14ac:dyDescent="0.25">
      <c r="A14774" s="83"/>
      <c r="B14774" s="84"/>
      <c r="C14774" s="85"/>
      <c r="D14774" s="86"/>
      <c r="E14774" s="86"/>
      <c r="F14774" s="87"/>
    </row>
    <row r="14775" spans="1:6" ht="15" customHeight="1" x14ac:dyDescent="0.25">
      <c r="A14775" s="599"/>
      <c r="B14775" s="600"/>
      <c r="C14775" s="600"/>
      <c r="D14775" s="600"/>
      <c r="E14775" s="600"/>
      <c r="F14775" s="601"/>
    </row>
    <row r="14776" spans="1:6" ht="15" customHeight="1" x14ac:dyDescent="0.25">
      <c r="A14776" s="602" t="s">
        <v>561</v>
      </c>
      <c r="B14776" s="600"/>
      <c r="C14776" s="600"/>
      <c r="D14776" s="600"/>
      <c r="E14776" s="600"/>
      <c r="F14776" s="601"/>
    </row>
    <row r="14777" spans="1:6" ht="15" customHeight="1" thickBot="1" x14ac:dyDescent="0.3">
      <c r="A14777" s="603"/>
      <c r="B14777" s="604"/>
      <c r="C14777" s="604"/>
      <c r="D14777" s="604"/>
      <c r="E14777" s="604"/>
      <c r="F14777" s="605"/>
    </row>
    <row r="14778" spans="1:6" ht="15" customHeight="1" x14ac:dyDescent="0.25">
      <c r="A14778" s="88"/>
      <c r="B14778" s="88"/>
      <c r="C14778" s="89"/>
      <c r="D14778" s="89"/>
      <c r="E14778" s="89"/>
      <c r="F14778" s="89"/>
    </row>
    <row r="14779" spans="1:6" ht="15" customHeight="1" x14ac:dyDescent="0.25">
      <c r="A14779" s="190" t="s">
        <v>1055</v>
      </c>
      <c r="B14779" s="606" t="str">
        <f>'Presupuesto Especifico'!C325</f>
        <v xml:space="preserve">Suministro e Instalacion de Acometida Principal desde Punto de Conexión Hasta el Tablero General TG; Incluye Cable de CU THHN 6N°3/0(F) + 1N°4/0(N) + 1N°2(T) en Ducto PVC de 3" LIBRE DE HALOGENOS.  </v>
      </c>
      <c r="C14779" s="606"/>
      <c r="D14779" s="606"/>
      <c r="E14779" s="606"/>
      <c r="F14779" s="606"/>
    </row>
    <row r="14780" spans="1:6" ht="15" customHeight="1" x14ac:dyDescent="0.25">
      <c r="A14780" s="191"/>
      <c r="B14780" s="191"/>
      <c r="C14780" s="191"/>
      <c r="D14780" s="191"/>
      <c r="E14780" s="191"/>
      <c r="F14780" s="191"/>
    </row>
    <row r="14781" spans="1:6" ht="15" customHeight="1" x14ac:dyDescent="0.25">
      <c r="A14781" s="192" t="s">
        <v>49</v>
      </c>
      <c r="B14781" s="193" t="s">
        <v>59</v>
      </c>
      <c r="C14781" s="194"/>
      <c r="D14781" s="194"/>
      <c r="E14781" s="194"/>
      <c r="F14781" s="195"/>
    </row>
    <row r="14782" spans="1:6" ht="15" customHeight="1" x14ac:dyDescent="0.25">
      <c r="A14782" s="192"/>
      <c r="B14782" s="196"/>
      <c r="C14782" s="194"/>
      <c r="D14782" s="194"/>
      <c r="E14782" s="194"/>
      <c r="F14782" s="195"/>
    </row>
    <row r="14783" spans="1:6" ht="15" customHeight="1" x14ac:dyDescent="0.25">
      <c r="A14783" s="197" t="s">
        <v>562</v>
      </c>
      <c r="B14783" s="198"/>
      <c r="C14783" s="193"/>
      <c r="D14783" s="193"/>
      <c r="E14783" s="193"/>
      <c r="F14783" s="193"/>
    </row>
    <row r="14784" spans="1:6" ht="15" customHeight="1" x14ac:dyDescent="0.25">
      <c r="A14784" s="199" t="s">
        <v>563</v>
      </c>
      <c r="B14784" s="200" t="s">
        <v>564</v>
      </c>
      <c r="C14784" s="200" t="s">
        <v>565</v>
      </c>
      <c r="D14784" s="200" t="s">
        <v>566</v>
      </c>
      <c r="E14784" s="200" t="s">
        <v>567</v>
      </c>
      <c r="F14784" s="200" t="s">
        <v>568</v>
      </c>
    </row>
    <row r="14785" spans="1:6" ht="15" customHeight="1" x14ac:dyDescent="0.25">
      <c r="A14785" s="201" t="s">
        <v>915</v>
      </c>
      <c r="B14785" s="202" t="s">
        <v>59</v>
      </c>
      <c r="C14785" s="189">
        <f>9000*2.5</f>
        <v>22500</v>
      </c>
      <c r="D14785" s="203">
        <v>1</v>
      </c>
      <c r="E14785" s="204">
        <v>0.05</v>
      </c>
      <c r="F14785" s="205">
        <f>+(C14785*D14785)+(C14785*D14785)*E14785</f>
        <v>23625</v>
      </c>
    </row>
    <row r="14786" spans="1:6" ht="15" customHeight="1" x14ac:dyDescent="0.25">
      <c r="A14786" s="201" t="s">
        <v>1056</v>
      </c>
      <c r="B14786" s="202" t="s">
        <v>59</v>
      </c>
      <c r="C14786" s="189">
        <f>38000*2.5</f>
        <v>95000</v>
      </c>
      <c r="D14786" s="203">
        <v>6</v>
      </c>
      <c r="E14786" s="204">
        <v>0.05</v>
      </c>
      <c r="F14786" s="205">
        <f t="shared" ref="F14786:F14797" si="724">+(C14786*D14786)+(C14786*D14786)*E14786</f>
        <v>598500</v>
      </c>
    </row>
    <row r="14787" spans="1:6" ht="15" customHeight="1" x14ac:dyDescent="0.25">
      <c r="A14787" s="201" t="s">
        <v>1057</v>
      </c>
      <c r="B14787" s="202" t="s">
        <v>59</v>
      </c>
      <c r="C14787" s="189">
        <f>45000*2.5</f>
        <v>112500</v>
      </c>
      <c r="D14787" s="203">
        <v>1</v>
      </c>
      <c r="E14787" s="204">
        <v>0.05</v>
      </c>
      <c r="F14787" s="205">
        <f t="shared" si="724"/>
        <v>118125</v>
      </c>
    </row>
    <row r="14788" spans="1:6" ht="15" customHeight="1" x14ac:dyDescent="0.25">
      <c r="A14788" s="201" t="s">
        <v>1058</v>
      </c>
      <c r="B14788" s="202" t="s">
        <v>59</v>
      </c>
      <c r="C14788" s="189">
        <f>10500*2.5</f>
        <v>26250</v>
      </c>
      <c r="D14788" s="203">
        <v>1</v>
      </c>
      <c r="E14788" s="204">
        <v>0.05</v>
      </c>
      <c r="F14788" s="205">
        <f t="shared" si="724"/>
        <v>27562.5</v>
      </c>
    </row>
    <row r="14789" spans="1:6" ht="15" customHeight="1" x14ac:dyDescent="0.25">
      <c r="A14789" s="201" t="s">
        <v>622</v>
      </c>
      <c r="B14789" s="202" t="s">
        <v>99</v>
      </c>
      <c r="C14789" s="189">
        <f>22000*2.5</f>
        <v>55000</v>
      </c>
      <c r="D14789" s="206">
        <v>0.05</v>
      </c>
      <c r="E14789" s="204">
        <v>0.05</v>
      </c>
      <c r="F14789" s="205">
        <f t="shared" si="724"/>
        <v>2887.5</v>
      </c>
    </row>
    <row r="14790" spans="1:6" ht="15" customHeight="1" x14ac:dyDescent="0.25">
      <c r="A14790" s="207" t="s">
        <v>1059</v>
      </c>
      <c r="B14790" s="202" t="s">
        <v>99</v>
      </c>
      <c r="C14790" s="189">
        <f>22000*2.5</f>
        <v>55000</v>
      </c>
      <c r="D14790" s="206">
        <v>0.05</v>
      </c>
      <c r="E14790" s="204">
        <v>0.05</v>
      </c>
      <c r="F14790" s="205">
        <f t="shared" si="724"/>
        <v>2887.5</v>
      </c>
    </row>
    <row r="14791" spans="1:6" ht="15" customHeight="1" x14ac:dyDescent="0.25">
      <c r="A14791" s="207" t="s">
        <v>1060</v>
      </c>
      <c r="B14791" s="202" t="s">
        <v>117</v>
      </c>
      <c r="C14791" s="208">
        <f>7000*2.5</f>
        <v>17500</v>
      </c>
      <c r="D14791" s="203">
        <v>3.4188034188034191E-2</v>
      </c>
      <c r="E14791" s="204">
        <v>0.05</v>
      </c>
      <c r="F14791" s="205">
        <f t="shared" si="724"/>
        <v>628.20512820512829</v>
      </c>
    </row>
    <row r="14792" spans="1:6" ht="15" customHeight="1" x14ac:dyDescent="0.25">
      <c r="A14792" s="207" t="s">
        <v>1061</v>
      </c>
      <c r="B14792" s="202" t="s">
        <v>279</v>
      </c>
      <c r="C14792" s="208">
        <f>7500*2.5</f>
        <v>18750</v>
      </c>
      <c r="D14792" s="203">
        <v>0.10256410256410256</v>
      </c>
      <c r="E14792" s="204">
        <v>0</v>
      </c>
      <c r="F14792" s="205">
        <f t="shared" si="724"/>
        <v>1923.0769230769231</v>
      </c>
    </row>
    <row r="14793" spans="1:6" ht="15" customHeight="1" x14ac:dyDescent="0.25">
      <c r="A14793" s="207" t="s">
        <v>1062</v>
      </c>
      <c r="B14793" s="202" t="s">
        <v>279</v>
      </c>
      <c r="C14793" s="208">
        <f>7500*2.5</f>
        <v>18750</v>
      </c>
      <c r="D14793" s="203">
        <v>0.10256410256410256</v>
      </c>
      <c r="E14793" s="204">
        <v>0</v>
      </c>
      <c r="F14793" s="205">
        <f t="shared" si="724"/>
        <v>1923.0769230769231</v>
      </c>
    </row>
    <row r="14794" spans="1:6" ht="15" customHeight="1" x14ac:dyDescent="0.25">
      <c r="A14794" s="207" t="s">
        <v>1063</v>
      </c>
      <c r="B14794" s="202" t="s">
        <v>1064</v>
      </c>
      <c r="C14794" s="208">
        <f>13000*2.5</f>
        <v>32500</v>
      </c>
      <c r="D14794" s="203">
        <v>8.5470085470085479E-3</v>
      </c>
      <c r="E14794" s="204">
        <v>0</v>
      </c>
      <c r="F14794" s="205">
        <f t="shared" si="724"/>
        <v>277.77777777777783</v>
      </c>
    </row>
    <row r="14795" spans="1:6" ht="15" customHeight="1" x14ac:dyDescent="0.25">
      <c r="A14795" s="207" t="s">
        <v>1065</v>
      </c>
      <c r="B14795" s="202" t="s">
        <v>1064</v>
      </c>
      <c r="C14795" s="208">
        <f>25000*2.5</f>
        <v>62500</v>
      </c>
      <c r="D14795" s="203">
        <v>8.5470085470085479E-3</v>
      </c>
      <c r="E14795" s="204">
        <v>0</v>
      </c>
      <c r="F14795" s="205">
        <f t="shared" si="724"/>
        <v>534.18803418803429</v>
      </c>
    </row>
    <row r="14796" spans="1:6" ht="15" customHeight="1" x14ac:dyDescent="0.25">
      <c r="A14796" s="207" t="s">
        <v>1066</v>
      </c>
      <c r="B14796" s="202" t="s">
        <v>64</v>
      </c>
      <c r="C14796" s="208">
        <v>754000</v>
      </c>
      <c r="D14796" s="208">
        <f>0.1*0.4</f>
        <v>4.0000000000000008E-2</v>
      </c>
      <c r="E14796" s="204">
        <v>0</v>
      </c>
      <c r="F14796" s="205">
        <f t="shared" si="724"/>
        <v>30160.000000000007</v>
      </c>
    </row>
    <row r="14797" spans="1:6" ht="15" customHeight="1" x14ac:dyDescent="0.25">
      <c r="A14797" s="207" t="s">
        <v>1067</v>
      </c>
      <c r="B14797" s="202" t="s">
        <v>1064</v>
      </c>
      <c r="C14797" s="208">
        <v>1354000</v>
      </c>
      <c r="D14797" s="203">
        <v>3.4188034188034191E-2</v>
      </c>
      <c r="E14797" s="204">
        <v>0</v>
      </c>
      <c r="F14797" s="205">
        <f t="shared" si="724"/>
        <v>46290.598290598296</v>
      </c>
    </row>
    <row r="14798" spans="1:6" ht="15" customHeight="1" x14ac:dyDescent="0.25">
      <c r="A14798" s="209" t="s">
        <v>548</v>
      </c>
      <c r="B14798" s="210"/>
      <c r="C14798" s="211"/>
      <c r="D14798" s="212"/>
      <c r="E14798" s="213"/>
      <c r="F14798" s="214">
        <f>SUM(F14785:F14797)</f>
        <v>855324.42307692289</v>
      </c>
    </row>
    <row r="14799" spans="1:6" ht="15" customHeight="1" x14ac:dyDescent="0.25">
      <c r="A14799" s="192"/>
      <c r="B14799" s="192"/>
      <c r="C14799" s="215"/>
      <c r="D14799" s="215"/>
      <c r="E14799" s="216"/>
      <c r="F14799" s="215"/>
    </row>
    <row r="14800" spans="1:6" ht="15" customHeight="1" x14ac:dyDescent="0.25">
      <c r="A14800" s="198" t="s">
        <v>573</v>
      </c>
      <c r="B14800" s="198"/>
      <c r="C14800" s="193"/>
      <c r="D14800" s="193"/>
      <c r="E14800" s="193"/>
      <c r="F14800" s="193"/>
    </row>
    <row r="14801" spans="1:6" ht="15" customHeight="1" x14ac:dyDescent="0.25">
      <c r="A14801" s="585" t="s">
        <v>563</v>
      </c>
      <c r="B14801" s="595"/>
      <c r="C14801" s="596"/>
      <c r="D14801" s="200" t="s">
        <v>574</v>
      </c>
      <c r="E14801" s="200" t="s">
        <v>575</v>
      </c>
      <c r="F14801" s="200" t="s">
        <v>568</v>
      </c>
    </row>
    <row r="14802" spans="1:6" ht="15" customHeight="1" x14ac:dyDescent="0.25">
      <c r="A14802" s="588" t="s">
        <v>577</v>
      </c>
      <c r="B14802" s="591"/>
      <c r="C14802" s="592"/>
      <c r="D14802" s="217"/>
      <c r="E14802" s="218"/>
      <c r="F14802" s="219">
        <v>1414.88</v>
      </c>
    </row>
    <row r="14803" spans="1:6" ht="15" customHeight="1" x14ac:dyDescent="0.25">
      <c r="A14803" s="626" t="s">
        <v>1068</v>
      </c>
      <c r="B14803" s="627"/>
      <c r="C14803" s="628"/>
      <c r="D14803" s="220"/>
      <c r="E14803" s="221"/>
      <c r="F14803" s="219">
        <v>170.94017094017093</v>
      </c>
    </row>
    <row r="14804" spans="1:6" ht="15" customHeight="1" x14ac:dyDescent="0.25">
      <c r="A14804" s="588"/>
      <c r="B14804" s="591"/>
      <c r="C14804" s="592"/>
      <c r="D14804" s="220"/>
      <c r="E14804" s="221"/>
      <c r="F14804" s="219"/>
    </row>
    <row r="14805" spans="1:6" ht="15" customHeight="1" x14ac:dyDescent="0.25">
      <c r="A14805" s="588"/>
      <c r="B14805" s="591"/>
      <c r="C14805" s="592"/>
      <c r="D14805" s="220"/>
      <c r="E14805" s="218"/>
      <c r="F14805" s="219"/>
    </row>
    <row r="14806" spans="1:6" ht="15" customHeight="1" x14ac:dyDescent="0.25">
      <c r="A14806" s="588"/>
      <c r="B14806" s="591"/>
      <c r="C14806" s="592"/>
      <c r="D14806" s="220"/>
      <c r="E14806" s="218"/>
      <c r="F14806" s="219"/>
    </row>
    <row r="14807" spans="1:6" ht="15" customHeight="1" x14ac:dyDescent="0.25">
      <c r="A14807" s="588"/>
      <c r="B14807" s="591"/>
      <c r="C14807" s="592"/>
      <c r="D14807" s="220"/>
      <c r="E14807" s="218"/>
      <c r="F14807" s="219"/>
    </row>
    <row r="14808" spans="1:6" ht="15" customHeight="1" x14ac:dyDescent="0.25">
      <c r="A14808" s="588"/>
      <c r="B14808" s="591"/>
      <c r="C14808" s="592"/>
      <c r="D14808" s="220"/>
      <c r="E14808" s="218"/>
      <c r="F14808" s="219"/>
    </row>
    <row r="14809" spans="1:6" ht="15" customHeight="1" x14ac:dyDescent="0.25">
      <c r="A14809" s="588"/>
      <c r="B14809" s="591"/>
      <c r="C14809" s="592"/>
      <c r="D14809" s="220"/>
      <c r="E14809" s="218"/>
      <c r="F14809" s="219"/>
    </row>
    <row r="14810" spans="1:6" ht="15" customHeight="1" x14ac:dyDescent="0.25">
      <c r="A14810" s="589"/>
      <c r="B14810" s="593"/>
      <c r="C14810" s="594"/>
      <c r="D14810" s="222"/>
      <c r="E14810" s="218"/>
      <c r="F14810" s="219"/>
    </row>
    <row r="14811" spans="1:6" ht="15" customHeight="1" x14ac:dyDescent="0.25">
      <c r="A14811" s="585" t="s">
        <v>548</v>
      </c>
      <c r="B14811" s="595"/>
      <c r="C14811" s="596"/>
      <c r="D14811" s="212"/>
      <c r="E14811" s="212"/>
      <c r="F14811" s="214">
        <f>SUM(F14802:F14810)</f>
        <v>1585.820170940171</v>
      </c>
    </row>
    <row r="14812" spans="1:6" ht="15" customHeight="1" x14ac:dyDescent="0.25">
      <c r="A14812" s="192"/>
      <c r="B14812" s="192"/>
      <c r="C14812" s="194"/>
      <c r="D14812" s="215"/>
      <c r="E14812" s="215"/>
      <c r="F14812" s="215"/>
    </row>
    <row r="14813" spans="1:6" ht="15" customHeight="1" x14ac:dyDescent="0.25">
      <c r="A14813" s="198" t="s">
        <v>578</v>
      </c>
      <c r="B14813" s="198"/>
      <c r="C14813" s="193"/>
      <c r="D14813" s="223"/>
      <c r="E14813" s="223"/>
      <c r="F14813" s="223"/>
    </row>
    <row r="14814" spans="1:6" ht="15" customHeight="1" x14ac:dyDescent="0.25">
      <c r="A14814" s="224" t="s">
        <v>563</v>
      </c>
      <c r="B14814" s="225" t="s">
        <v>579</v>
      </c>
      <c r="C14814" s="225" t="s">
        <v>580</v>
      </c>
      <c r="D14814" s="226" t="s">
        <v>581</v>
      </c>
      <c r="E14814" s="226" t="s">
        <v>575</v>
      </c>
      <c r="F14814" s="226" t="s">
        <v>568</v>
      </c>
    </row>
    <row r="14815" spans="1:6" ht="15" customHeight="1" x14ac:dyDescent="0.25">
      <c r="A14815" s="227" t="s">
        <v>916</v>
      </c>
      <c r="B14815" s="228">
        <v>4</v>
      </c>
      <c r="C14815" s="205">
        <f>1300000/30</f>
        <v>43333.333333333336</v>
      </c>
      <c r="D14815" s="205">
        <f t="shared" ref="D14815:D14820" si="725">+C14815*1.7</f>
        <v>73666.666666666672</v>
      </c>
      <c r="E14815" s="202">
        <f>2/117</f>
        <v>1.7094017094017096E-2</v>
      </c>
      <c r="F14815" s="219">
        <f>+E14815*D14815*B14815</f>
        <v>5037.0370370370383</v>
      </c>
    </row>
    <row r="14816" spans="1:6" ht="15" customHeight="1" x14ac:dyDescent="0.25">
      <c r="A14816" s="227" t="s">
        <v>917</v>
      </c>
      <c r="B14816" s="228">
        <v>1</v>
      </c>
      <c r="C14816" s="205">
        <f>1700000/30</f>
        <v>56666.666666666664</v>
      </c>
      <c r="D14816" s="205">
        <f t="shared" si="725"/>
        <v>96333.333333333328</v>
      </c>
      <c r="E14816" s="202">
        <f>2/117</f>
        <v>1.7094017094017096E-2</v>
      </c>
      <c r="F14816" s="219">
        <f t="shared" ref="F14816:F14820" si="726">+E14816*D14816*B14816</f>
        <v>1646.7236467236469</v>
      </c>
    </row>
    <row r="14817" spans="1:6" ht="15" customHeight="1" x14ac:dyDescent="0.25">
      <c r="A14817" s="227" t="s">
        <v>1069</v>
      </c>
      <c r="B14817" s="228">
        <v>2</v>
      </c>
      <c r="C14817" s="205">
        <f>1300000/30</f>
        <v>43333.333333333336</v>
      </c>
      <c r="D14817" s="205">
        <f t="shared" si="725"/>
        <v>73666.666666666672</v>
      </c>
      <c r="E14817" s="202">
        <f>15/117</f>
        <v>0.12820512820512819</v>
      </c>
      <c r="F14817" s="219">
        <f t="shared" si="726"/>
        <v>18888.888888888887</v>
      </c>
    </row>
    <row r="14818" spans="1:6" ht="15" customHeight="1" x14ac:dyDescent="0.25">
      <c r="A14818" s="227" t="s">
        <v>1070</v>
      </c>
      <c r="B14818" s="228">
        <v>1</v>
      </c>
      <c r="C14818" s="205">
        <f>1700000/30</f>
        <v>56666.666666666664</v>
      </c>
      <c r="D14818" s="205">
        <f t="shared" si="725"/>
        <v>96333.333333333328</v>
      </c>
      <c r="E14818" s="228">
        <f>7/117</f>
        <v>5.9829059829059832E-2</v>
      </c>
      <c r="F14818" s="219">
        <f t="shared" si="726"/>
        <v>5763.5327635327631</v>
      </c>
    </row>
    <row r="14819" spans="1:6" ht="15" customHeight="1" x14ac:dyDescent="0.25">
      <c r="A14819" s="227" t="s">
        <v>1071</v>
      </c>
      <c r="B14819" s="228">
        <v>1</v>
      </c>
      <c r="C14819" s="205">
        <f>1300000/30</f>
        <v>43333.333333333336</v>
      </c>
      <c r="D14819" s="205">
        <f t="shared" si="725"/>
        <v>73666.666666666672</v>
      </c>
      <c r="E14819" s="228">
        <f>15/117</f>
        <v>0.12820512820512819</v>
      </c>
      <c r="F14819" s="219">
        <f t="shared" si="726"/>
        <v>9444.4444444444434</v>
      </c>
    </row>
    <row r="14820" spans="1:6" ht="15" customHeight="1" x14ac:dyDescent="0.25">
      <c r="A14820" s="227" t="s">
        <v>1072</v>
      </c>
      <c r="B14820" s="228">
        <v>1</v>
      </c>
      <c r="C14820" s="205">
        <f>2500000/30</f>
        <v>83333.333333333328</v>
      </c>
      <c r="D14820" s="205">
        <f t="shared" si="725"/>
        <v>141666.66666666666</v>
      </c>
      <c r="E14820" s="228">
        <f>2/117</f>
        <v>1.7094017094017096E-2</v>
      </c>
      <c r="F14820" s="219">
        <f t="shared" si="726"/>
        <v>2421.6524216524217</v>
      </c>
    </row>
    <row r="14821" spans="1:6" ht="15" customHeight="1" x14ac:dyDescent="0.25">
      <c r="A14821" s="209" t="s">
        <v>548</v>
      </c>
      <c r="B14821" s="229"/>
      <c r="C14821" s="212"/>
      <c r="D14821" s="212"/>
      <c r="E14821" s="230"/>
      <c r="F14821" s="214">
        <f>SUM(F14815:F14820)</f>
        <v>43202.279202279198</v>
      </c>
    </row>
    <row r="14822" spans="1:6" ht="15" customHeight="1" x14ac:dyDescent="0.25">
      <c r="A14822" s="198"/>
      <c r="B14822" s="231"/>
      <c r="C14822" s="223"/>
      <c r="D14822" s="223"/>
      <c r="E14822" s="223"/>
      <c r="F14822" s="223"/>
    </row>
    <row r="14823" spans="1:6" ht="15" customHeight="1" x14ac:dyDescent="0.25">
      <c r="A14823" s="197" t="s">
        <v>583</v>
      </c>
      <c r="B14823" s="198"/>
      <c r="C14823" s="193"/>
      <c r="D14823" s="193"/>
      <c r="E14823" s="193" t="s">
        <v>584</v>
      </c>
      <c r="F14823" s="193"/>
    </row>
    <row r="14824" spans="1:6" ht="15" customHeight="1" x14ac:dyDescent="0.25">
      <c r="A14824" s="199" t="s">
        <v>563</v>
      </c>
      <c r="B14824" s="200" t="s">
        <v>564</v>
      </c>
      <c r="C14824" s="200" t="s">
        <v>585</v>
      </c>
      <c r="D14824" s="200" t="s">
        <v>586</v>
      </c>
      <c r="E14824" s="225" t="s">
        <v>587</v>
      </c>
      <c r="F14824" s="200" t="s">
        <v>568</v>
      </c>
    </row>
    <row r="14825" spans="1:6" ht="15" customHeight="1" x14ac:dyDescent="0.25">
      <c r="A14825" s="232" t="s">
        <v>1073</v>
      </c>
      <c r="B14825" s="202">
        <v>1</v>
      </c>
      <c r="C14825" s="205">
        <v>405000</v>
      </c>
      <c r="D14825" s="233">
        <f>+B14825/117</f>
        <v>8.5470085470085479E-3</v>
      </c>
      <c r="E14825" s="234"/>
      <c r="F14825" s="211">
        <f>+D14825*C14825*B14825</f>
        <v>3461.5384615384619</v>
      </c>
    </row>
    <row r="14826" spans="1:6" ht="15" customHeight="1" x14ac:dyDescent="0.25">
      <c r="A14826" s="232"/>
      <c r="B14826" s="202"/>
      <c r="C14826" s="218"/>
      <c r="D14826" s="235"/>
      <c r="E14826" s="236"/>
      <c r="F14826" s="211"/>
    </row>
    <row r="14827" spans="1:6" ht="15" customHeight="1" x14ac:dyDescent="0.25">
      <c r="A14827" s="209" t="s">
        <v>548</v>
      </c>
      <c r="B14827" s="230"/>
      <c r="C14827" s="212"/>
      <c r="D14827" s="212"/>
      <c r="E14827" s="213"/>
      <c r="F14827" s="214">
        <f>SUM(F14825:F14826)</f>
        <v>3461.5384615384619</v>
      </c>
    </row>
    <row r="14828" spans="1:6" ht="15" customHeight="1" x14ac:dyDescent="0.25">
      <c r="A14828" s="192"/>
      <c r="B14828" s="194"/>
      <c r="C14828" s="215"/>
      <c r="D14828" s="215"/>
      <c r="E14828" s="216"/>
      <c r="F14828" s="215"/>
    </row>
    <row r="14829" spans="1:6" ht="15" customHeight="1" x14ac:dyDescent="0.25">
      <c r="A14829" s="192"/>
      <c r="B14829" s="194"/>
      <c r="C14829" s="215"/>
      <c r="D14829" s="215"/>
      <c r="E14829" s="216"/>
      <c r="F14829" s="215"/>
    </row>
    <row r="14830" spans="1:6" ht="15" customHeight="1" x14ac:dyDescent="0.25">
      <c r="A14830" s="590" t="s">
        <v>588</v>
      </c>
      <c r="B14830" s="597"/>
      <c r="C14830" s="597"/>
      <c r="D14830" s="597"/>
      <c r="E14830" s="598"/>
      <c r="F14830" s="237">
        <f>SUM(+F14827+F14821+F14811+F14798)</f>
        <v>903574.06091168069</v>
      </c>
    </row>
    <row r="14831" spans="1:6" ht="15" customHeight="1" x14ac:dyDescent="0.25">
      <c r="A14831" s="590" t="s">
        <v>589</v>
      </c>
      <c r="B14831" s="597"/>
      <c r="C14831" s="597"/>
      <c r="D14831" s="597"/>
      <c r="E14831" s="598"/>
      <c r="F14831" s="238"/>
    </row>
    <row r="14832" spans="1:6" ht="15" customHeight="1" x14ac:dyDescent="0.25">
      <c r="A14832" s="239" t="s">
        <v>556</v>
      </c>
      <c r="B14832" s="240"/>
      <c r="C14832" s="240"/>
      <c r="D14832" s="240"/>
      <c r="E14832" s="241"/>
      <c r="F14832" s="242"/>
    </row>
    <row r="14833" spans="1:6" ht="15" customHeight="1" x14ac:dyDescent="0.25">
      <c r="A14833" s="134"/>
      <c r="B14833" s="135"/>
      <c r="C14833" s="135"/>
      <c r="D14833" s="135"/>
      <c r="E14833" s="135"/>
      <c r="F14833" s="136"/>
    </row>
    <row r="14834" spans="1:6" ht="15" customHeight="1" x14ac:dyDescent="0.25">
      <c r="A14834" s="134"/>
      <c r="B14834" s="135"/>
      <c r="C14834" s="135"/>
      <c r="D14834" s="135"/>
      <c r="E14834" s="135"/>
      <c r="F14834" s="135"/>
    </row>
    <row r="14835" spans="1:6" ht="15" customHeight="1" thickBot="1" x14ac:dyDescent="0.3">
      <c r="A14835" s="81"/>
      <c r="B14835" s="81"/>
      <c r="C14835" s="81"/>
      <c r="D14835" s="81"/>
      <c r="E14835" s="81"/>
      <c r="F14835" s="81"/>
    </row>
    <row r="14836" spans="1:6" ht="15" customHeight="1" x14ac:dyDescent="0.25">
      <c r="A14836" s="83"/>
      <c r="B14836" s="84"/>
      <c r="C14836" s="85"/>
      <c r="D14836" s="86"/>
      <c r="E14836" s="86"/>
      <c r="F14836" s="87"/>
    </row>
    <row r="14837" spans="1:6" ht="15" customHeight="1" x14ac:dyDescent="0.25">
      <c r="A14837" s="599"/>
      <c r="B14837" s="600"/>
      <c r="C14837" s="600"/>
      <c r="D14837" s="600"/>
      <c r="E14837" s="600"/>
      <c r="F14837" s="601"/>
    </row>
    <row r="14838" spans="1:6" ht="15" customHeight="1" x14ac:dyDescent="0.25">
      <c r="A14838" s="602" t="s">
        <v>561</v>
      </c>
      <c r="B14838" s="600"/>
      <c r="C14838" s="600"/>
      <c r="D14838" s="600"/>
      <c r="E14838" s="600"/>
      <c r="F14838" s="601"/>
    </row>
    <row r="14839" spans="1:6" ht="15" customHeight="1" thickBot="1" x14ac:dyDescent="0.3">
      <c r="A14839" s="603"/>
      <c r="B14839" s="604"/>
      <c r="C14839" s="604"/>
      <c r="D14839" s="604"/>
      <c r="E14839" s="604"/>
      <c r="F14839" s="605"/>
    </row>
    <row r="14840" spans="1:6" ht="15" customHeight="1" x14ac:dyDescent="0.25">
      <c r="A14840" s="88"/>
      <c r="B14840" s="88"/>
      <c r="C14840" s="89"/>
      <c r="D14840" s="89"/>
      <c r="E14840" s="89"/>
      <c r="F14840" s="89"/>
    </row>
    <row r="14841" spans="1:6" ht="15" customHeight="1" x14ac:dyDescent="0.25">
      <c r="A14841" s="190" t="s">
        <v>1074</v>
      </c>
      <c r="B14841" s="606" t="str">
        <f>'Presupuesto Especifico'!C326</f>
        <v>Suministro e Instalacion de Cable 3N°4(F) + 1N°4 (N) + 1N°8 (T) THHN AWG, terminales, marquillas, conectores y demas accesorios  LIBRE DE HALOGENOS</v>
      </c>
      <c r="C14841" s="606"/>
      <c r="D14841" s="606"/>
      <c r="E14841" s="606"/>
      <c r="F14841" s="606"/>
    </row>
    <row r="14842" spans="1:6" ht="15" customHeight="1" x14ac:dyDescent="0.25">
      <c r="A14842" s="191"/>
      <c r="B14842" s="191"/>
      <c r="C14842" s="191"/>
      <c r="D14842" s="191"/>
      <c r="E14842" s="191"/>
      <c r="F14842" s="191"/>
    </row>
    <row r="14843" spans="1:6" ht="15" customHeight="1" x14ac:dyDescent="0.25">
      <c r="A14843" s="192" t="s">
        <v>49</v>
      </c>
      <c r="B14843" s="193" t="s">
        <v>59</v>
      </c>
      <c r="C14843" s="194"/>
      <c r="D14843" s="194"/>
      <c r="E14843" s="194"/>
      <c r="F14843" s="195"/>
    </row>
    <row r="14844" spans="1:6" ht="15" customHeight="1" x14ac:dyDescent="0.25">
      <c r="A14844" s="192"/>
      <c r="B14844" s="196"/>
      <c r="C14844" s="194"/>
      <c r="D14844" s="194"/>
      <c r="E14844" s="194"/>
      <c r="F14844" s="195"/>
    </row>
    <row r="14845" spans="1:6" ht="15" customHeight="1" x14ac:dyDescent="0.25">
      <c r="A14845" s="197" t="s">
        <v>562</v>
      </c>
      <c r="B14845" s="198"/>
      <c r="C14845" s="193"/>
      <c r="D14845" s="193"/>
      <c r="E14845" s="193"/>
      <c r="F14845" s="193"/>
    </row>
    <row r="14846" spans="1:6" ht="15" customHeight="1" x14ac:dyDescent="0.25">
      <c r="A14846" s="199" t="s">
        <v>563</v>
      </c>
      <c r="B14846" s="200" t="s">
        <v>564</v>
      </c>
      <c r="C14846" s="200" t="s">
        <v>565</v>
      </c>
      <c r="D14846" s="200" t="s">
        <v>566</v>
      </c>
      <c r="E14846" s="200" t="s">
        <v>567</v>
      </c>
      <c r="F14846" s="200" t="s">
        <v>568</v>
      </c>
    </row>
    <row r="14847" spans="1:6" ht="15" customHeight="1" x14ac:dyDescent="0.25">
      <c r="A14847" s="201" t="s">
        <v>1075</v>
      </c>
      <c r="B14847" s="202" t="s">
        <v>59</v>
      </c>
      <c r="C14847" s="189">
        <f>4000*2.5</f>
        <v>10000</v>
      </c>
      <c r="D14847" s="203">
        <v>4</v>
      </c>
      <c r="E14847" s="204">
        <v>0.05</v>
      </c>
      <c r="F14847" s="205">
        <f t="shared" ref="F14847:F14853" si="727">+(C14847*D14847)+(C14847*D14847)*E14847</f>
        <v>42000</v>
      </c>
    </row>
    <row r="14848" spans="1:6" ht="15" customHeight="1" x14ac:dyDescent="0.25">
      <c r="A14848" s="201" t="s">
        <v>1076</v>
      </c>
      <c r="B14848" s="202" t="s">
        <v>59</v>
      </c>
      <c r="C14848" s="189">
        <f>3500*2.5</f>
        <v>8750</v>
      </c>
      <c r="D14848" s="203">
        <v>1</v>
      </c>
      <c r="E14848" s="204">
        <v>0.05</v>
      </c>
      <c r="F14848" s="205">
        <f t="shared" si="727"/>
        <v>9187.5</v>
      </c>
    </row>
    <row r="14849" spans="1:6" ht="15" customHeight="1" x14ac:dyDescent="0.25">
      <c r="A14849" s="207" t="s">
        <v>1077</v>
      </c>
      <c r="B14849" s="202" t="s">
        <v>99</v>
      </c>
      <c r="C14849" s="189">
        <f>100*2.5</f>
        <v>250</v>
      </c>
      <c r="D14849" s="206">
        <v>1</v>
      </c>
      <c r="E14849" s="204">
        <v>0</v>
      </c>
      <c r="F14849" s="205">
        <f t="shared" si="727"/>
        <v>250</v>
      </c>
    </row>
    <row r="14850" spans="1:6" ht="15" customHeight="1" x14ac:dyDescent="0.25">
      <c r="A14850" s="207" t="s">
        <v>1078</v>
      </c>
      <c r="B14850" s="202" t="s">
        <v>279</v>
      </c>
      <c r="C14850" s="208">
        <v>5000</v>
      </c>
      <c r="D14850" s="203">
        <f>6/233</f>
        <v>2.575107296137339E-2</v>
      </c>
      <c r="E14850" s="204">
        <v>0</v>
      </c>
      <c r="F14850" s="205">
        <f t="shared" si="727"/>
        <v>128.75536480686696</v>
      </c>
    </row>
    <row r="14851" spans="1:6" ht="15" customHeight="1" x14ac:dyDescent="0.25">
      <c r="A14851" s="207" t="s">
        <v>1079</v>
      </c>
      <c r="B14851" s="202" t="s">
        <v>279</v>
      </c>
      <c r="C14851" s="208">
        <v>5000</v>
      </c>
      <c r="D14851" s="203">
        <v>8.5836909871244635E-3</v>
      </c>
      <c r="E14851" s="204">
        <v>0</v>
      </c>
      <c r="F14851" s="205">
        <f t="shared" si="727"/>
        <v>42.918454935622314</v>
      </c>
    </row>
    <row r="14852" spans="1:6" ht="15" customHeight="1" x14ac:dyDescent="0.25">
      <c r="A14852" s="207" t="s">
        <v>1063</v>
      </c>
      <c r="B14852" s="202" t="s">
        <v>1064</v>
      </c>
      <c r="C14852" s="208">
        <f>13000*2.5</f>
        <v>32500</v>
      </c>
      <c r="D14852" s="203">
        <f>1/233</f>
        <v>4.2918454935622317E-3</v>
      </c>
      <c r="E14852" s="204">
        <v>0</v>
      </c>
      <c r="F14852" s="205">
        <f t="shared" si="727"/>
        <v>139.48497854077254</v>
      </c>
    </row>
    <row r="14853" spans="1:6" ht="15" customHeight="1" x14ac:dyDescent="0.25">
      <c r="A14853" s="207" t="s">
        <v>1065</v>
      </c>
      <c r="B14853" s="202" t="s">
        <v>1064</v>
      </c>
      <c r="C14853" s="208">
        <f>25000*2.5</f>
        <v>62500</v>
      </c>
      <c r="D14853" s="203">
        <f>1/233</f>
        <v>4.2918454935622317E-3</v>
      </c>
      <c r="E14853" s="204">
        <v>0</v>
      </c>
      <c r="F14853" s="205">
        <f t="shared" si="727"/>
        <v>268.24034334763951</v>
      </c>
    </row>
    <row r="14854" spans="1:6" ht="15" customHeight="1" x14ac:dyDescent="0.25">
      <c r="A14854" s="209" t="s">
        <v>548</v>
      </c>
      <c r="B14854" s="210"/>
      <c r="C14854" s="211"/>
      <c r="D14854" s="212"/>
      <c r="E14854" s="213"/>
      <c r="F14854" s="214">
        <f>SUM(F14847:F14853)</f>
        <v>52016.8991416309</v>
      </c>
    </row>
    <row r="14855" spans="1:6" ht="15" customHeight="1" x14ac:dyDescent="0.25">
      <c r="A14855" s="192"/>
      <c r="B14855" s="192"/>
      <c r="C14855" s="215"/>
      <c r="D14855" s="215"/>
      <c r="E14855" s="216"/>
      <c r="F14855" s="215"/>
    </row>
    <row r="14856" spans="1:6" ht="15" customHeight="1" x14ac:dyDescent="0.25">
      <c r="A14856" s="198" t="s">
        <v>573</v>
      </c>
      <c r="B14856" s="198"/>
      <c r="C14856" s="193"/>
      <c r="D14856" s="193"/>
      <c r="E14856" s="193"/>
      <c r="F14856" s="193"/>
    </row>
    <row r="14857" spans="1:6" ht="15" customHeight="1" x14ac:dyDescent="0.25">
      <c r="A14857" s="585" t="s">
        <v>563</v>
      </c>
      <c r="B14857" s="595"/>
      <c r="C14857" s="596"/>
      <c r="D14857" s="200" t="s">
        <v>574</v>
      </c>
      <c r="E14857" s="200" t="s">
        <v>575</v>
      </c>
      <c r="F14857" s="200" t="s">
        <v>568</v>
      </c>
    </row>
    <row r="14858" spans="1:6" ht="15" customHeight="1" x14ac:dyDescent="0.25">
      <c r="A14858" s="588" t="s">
        <v>577</v>
      </c>
      <c r="B14858" s="591"/>
      <c r="C14858" s="592"/>
      <c r="D14858" s="217"/>
      <c r="E14858" s="218"/>
      <c r="F14858" s="219">
        <v>1414.88</v>
      </c>
    </row>
    <row r="14859" spans="1:6" ht="15" customHeight="1" x14ac:dyDescent="0.25">
      <c r="A14859" s="588"/>
      <c r="B14859" s="591"/>
      <c r="C14859" s="592"/>
      <c r="D14859" s="220"/>
      <c r="E14859" s="221"/>
      <c r="F14859" s="219"/>
    </row>
    <row r="14860" spans="1:6" ht="15" customHeight="1" x14ac:dyDescent="0.25">
      <c r="A14860" s="588"/>
      <c r="B14860" s="591"/>
      <c r="C14860" s="592"/>
      <c r="D14860" s="220"/>
      <c r="E14860" s="218"/>
      <c r="F14860" s="219"/>
    </row>
    <row r="14861" spans="1:6" ht="15" customHeight="1" x14ac:dyDescent="0.25">
      <c r="A14861" s="588"/>
      <c r="B14861" s="591"/>
      <c r="C14861" s="592"/>
      <c r="D14861" s="220"/>
      <c r="E14861" s="218"/>
      <c r="F14861" s="219"/>
    </row>
    <row r="14862" spans="1:6" ht="15" customHeight="1" x14ac:dyDescent="0.25">
      <c r="A14862" s="588"/>
      <c r="B14862" s="591"/>
      <c r="C14862" s="592"/>
      <c r="D14862" s="220"/>
      <c r="E14862" s="218"/>
      <c r="F14862" s="219"/>
    </row>
    <row r="14863" spans="1:6" ht="15" customHeight="1" x14ac:dyDescent="0.25">
      <c r="A14863" s="588"/>
      <c r="B14863" s="591"/>
      <c r="C14863" s="592"/>
      <c r="D14863" s="220"/>
      <c r="E14863" s="218"/>
      <c r="F14863" s="219"/>
    </row>
    <row r="14864" spans="1:6" ht="15" customHeight="1" x14ac:dyDescent="0.25">
      <c r="A14864" s="588"/>
      <c r="B14864" s="591"/>
      <c r="C14864" s="592"/>
      <c r="D14864" s="220"/>
      <c r="E14864" s="218"/>
      <c r="F14864" s="219"/>
    </row>
    <row r="14865" spans="1:6" ht="15" customHeight="1" x14ac:dyDescent="0.25">
      <c r="A14865" s="589"/>
      <c r="B14865" s="593"/>
      <c r="C14865" s="594"/>
      <c r="D14865" s="222"/>
      <c r="E14865" s="218"/>
      <c r="F14865" s="219"/>
    </row>
    <row r="14866" spans="1:6" ht="15" customHeight="1" x14ac:dyDescent="0.25">
      <c r="A14866" s="585" t="s">
        <v>548</v>
      </c>
      <c r="B14866" s="595"/>
      <c r="C14866" s="596"/>
      <c r="D14866" s="212"/>
      <c r="E14866" s="212"/>
      <c r="F14866" s="214">
        <f>SUM(F14858:F14865)</f>
        <v>1414.88</v>
      </c>
    </row>
    <row r="14867" spans="1:6" ht="15" customHeight="1" x14ac:dyDescent="0.25">
      <c r="A14867" s="192"/>
      <c r="B14867" s="192"/>
      <c r="C14867" s="194"/>
      <c r="D14867" s="215"/>
      <c r="E14867" s="215"/>
      <c r="F14867" s="215"/>
    </row>
    <row r="14868" spans="1:6" ht="15" customHeight="1" x14ac:dyDescent="0.25">
      <c r="A14868" s="198" t="s">
        <v>578</v>
      </c>
      <c r="B14868" s="198"/>
      <c r="C14868" s="193"/>
      <c r="D14868" s="223"/>
      <c r="E14868" s="223"/>
      <c r="F14868" s="223"/>
    </row>
    <row r="14869" spans="1:6" ht="15" customHeight="1" x14ac:dyDescent="0.25">
      <c r="A14869" s="224" t="s">
        <v>563</v>
      </c>
      <c r="B14869" s="225" t="s">
        <v>579</v>
      </c>
      <c r="C14869" s="225" t="s">
        <v>580</v>
      </c>
      <c r="D14869" s="226" t="s">
        <v>581</v>
      </c>
      <c r="E14869" s="226" t="s">
        <v>575</v>
      </c>
      <c r="F14869" s="226" t="s">
        <v>568</v>
      </c>
    </row>
    <row r="14870" spans="1:6" ht="15" customHeight="1" x14ac:dyDescent="0.25">
      <c r="A14870" s="227" t="s">
        <v>916</v>
      </c>
      <c r="B14870" s="228">
        <v>4</v>
      </c>
      <c r="C14870" s="205">
        <f>1300000/30</f>
        <v>43333.333333333336</v>
      </c>
      <c r="D14870" s="205">
        <f>+C14870*1.7</f>
        <v>73666.666666666672</v>
      </c>
      <c r="E14870" s="202">
        <f>2/233</f>
        <v>8.5836909871244635E-3</v>
      </c>
      <c r="F14870" s="219">
        <f>+E14870*D14870*B14870</f>
        <v>2529.3276108726755</v>
      </c>
    </row>
    <row r="14871" spans="1:6" ht="15" customHeight="1" x14ac:dyDescent="0.25">
      <c r="A14871" s="227" t="s">
        <v>917</v>
      </c>
      <c r="B14871" s="228">
        <v>1</v>
      </c>
      <c r="C14871" s="205">
        <f>1700000/30</f>
        <v>56666.666666666664</v>
      </c>
      <c r="D14871" s="205">
        <f>+C14871*1.7</f>
        <v>96333.333333333328</v>
      </c>
      <c r="E14871" s="202">
        <f>2/233</f>
        <v>8.5836909871244635E-3</v>
      </c>
      <c r="F14871" s="219">
        <f t="shared" ref="F14871:F14873" si="728">+E14871*D14871*B14871</f>
        <v>826.89556509298995</v>
      </c>
    </row>
    <row r="14872" spans="1:6" ht="15" customHeight="1" x14ac:dyDescent="0.25">
      <c r="A14872" s="227" t="s">
        <v>1071</v>
      </c>
      <c r="B14872" s="228">
        <v>1</v>
      </c>
      <c r="C14872" s="205">
        <f>1300000/30</f>
        <v>43333.333333333336</v>
      </c>
      <c r="D14872" s="205">
        <f>+C14872*1.7</f>
        <v>73666.666666666672</v>
      </c>
      <c r="E14872" s="228">
        <f>15/233</f>
        <v>6.4377682403433473E-2</v>
      </c>
      <c r="F14872" s="219">
        <f t="shared" si="728"/>
        <v>4742.4892703862661</v>
      </c>
    </row>
    <row r="14873" spans="1:6" ht="15" customHeight="1" x14ac:dyDescent="0.25">
      <c r="A14873" s="227" t="s">
        <v>1072</v>
      </c>
      <c r="B14873" s="228">
        <v>1</v>
      </c>
      <c r="C14873" s="205">
        <f>2500000/30</f>
        <v>83333.333333333328</v>
      </c>
      <c r="D14873" s="205">
        <f>+C14873*1.7</f>
        <v>141666.66666666666</v>
      </c>
      <c r="E14873" s="228">
        <f>2/233</f>
        <v>8.5836909871244635E-3</v>
      </c>
      <c r="F14873" s="219">
        <f t="shared" si="728"/>
        <v>1216.0228898426321</v>
      </c>
    </row>
    <row r="14874" spans="1:6" ht="15" customHeight="1" x14ac:dyDescent="0.25">
      <c r="A14874" s="209" t="s">
        <v>548</v>
      </c>
      <c r="B14874" s="229"/>
      <c r="C14874" s="212"/>
      <c r="D14874" s="212"/>
      <c r="E14874" s="230"/>
      <c r="F14874" s="214">
        <f>SUM(F14870:F14873)</f>
        <v>9314.7353361945643</v>
      </c>
    </row>
    <row r="14875" spans="1:6" ht="15" customHeight="1" x14ac:dyDescent="0.25">
      <c r="A14875" s="198"/>
      <c r="B14875" s="231"/>
      <c r="C14875" s="223"/>
      <c r="D14875" s="223"/>
      <c r="E14875" s="223"/>
      <c r="F14875" s="223"/>
    </row>
    <row r="14876" spans="1:6" ht="15" customHeight="1" x14ac:dyDescent="0.25">
      <c r="A14876" s="197" t="s">
        <v>583</v>
      </c>
      <c r="B14876" s="198"/>
      <c r="C14876" s="193"/>
      <c r="D14876" s="193"/>
      <c r="E14876" s="193" t="s">
        <v>584</v>
      </c>
      <c r="F14876" s="193"/>
    </row>
    <row r="14877" spans="1:6" ht="15" customHeight="1" x14ac:dyDescent="0.25">
      <c r="A14877" s="199" t="s">
        <v>563</v>
      </c>
      <c r="B14877" s="200" t="s">
        <v>564</v>
      </c>
      <c r="C14877" s="200" t="s">
        <v>585</v>
      </c>
      <c r="D14877" s="200" t="s">
        <v>586</v>
      </c>
      <c r="E14877" s="225" t="s">
        <v>587</v>
      </c>
      <c r="F14877" s="200" t="s">
        <v>568</v>
      </c>
    </row>
    <row r="14878" spans="1:6" ht="15" customHeight="1" x14ac:dyDescent="0.25">
      <c r="A14878" s="232" t="s">
        <v>1080</v>
      </c>
      <c r="B14878" s="202">
        <v>1</v>
      </c>
      <c r="C14878" s="205">
        <v>200000</v>
      </c>
      <c r="D14878" s="233">
        <f>+B14878/233</f>
        <v>4.2918454935622317E-3</v>
      </c>
      <c r="E14878" s="234"/>
      <c r="F14878" s="211">
        <f>+D14878*C14878*B14878</f>
        <v>858.36909871244632</v>
      </c>
    </row>
    <row r="14879" spans="1:6" ht="15" customHeight="1" x14ac:dyDescent="0.25">
      <c r="A14879" s="232"/>
      <c r="B14879" s="202"/>
      <c r="C14879" s="218"/>
      <c r="D14879" s="235"/>
      <c r="E14879" s="236"/>
      <c r="F14879" s="211"/>
    </row>
    <row r="14880" spans="1:6" ht="15" customHeight="1" x14ac:dyDescent="0.25">
      <c r="A14880" s="209" t="s">
        <v>548</v>
      </c>
      <c r="B14880" s="230"/>
      <c r="C14880" s="212"/>
      <c r="D14880" s="212"/>
      <c r="E14880" s="213"/>
      <c r="F14880" s="214">
        <f>SUM(F14878:F14879)</f>
        <v>858.36909871244632</v>
      </c>
    </row>
    <row r="14881" spans="1:6" ht="15" customHeight="1" x14ac:dyDescent="0.25">
      <c r="A14881" s="192"/>
      <c r="B14881" s="194"/>
      <c r="C14881" s="215"/>
      <c r="D14881" s="215"/>
      <c r="E14881" s="216"/>
      <c r="F14881" s="215"/>
    </row>
    <row r="14882" spans="1:6" ht="15" customHeight="1" x14ac:dyDescent="0.25">
      <c r="A14882" s="192"/>
      <c r="B14882" s="194"/>
      <c r="C14882" s="215"/>
      <c r="D14882" s="215"/>
      <c r="E14882" s="216"/>
      <c r="F14882" s="215"/>
    </row>
    <row r="14883" spans="1:6" ht="15" customHeight="1" x14ac:dyDescent="0.25">
      <c r="A14883" s="590" t="s">
        <v>588</v>
      </c>
      <c r="B14883" s="597"/>
      <c r="C14883" s="597"/>
      <c r="D14883" s="597"/>
      <c r="E14883" s="598"/>
      <c r="F14883" s="237">
        <f>SUM(+F14880+F14874+F14866+F14854)</f>
        <v>63604.883576537912</v>
      </c>
    </row>
    <row r="14884" spans="1:6" ht="15" customHeight="1" x14ac:dyDescent="0.25">
      <c r="A14884" s="590" t="s">
        <v>589</v>
      </c>
      <c r="B14884" s="597"/>
      <c r="C14884" s="597"/>
      <c r="D14884" s="597"/>
      <c r="E14884" s="598"/>
      <c r="F14884" s="238"/>
    </row>
    <row r="14885" spans="1:6" ht="15" customHeight="1" x14ac:dyDescent="0.25">
      <c r="A14885" s="239" t="s">
        <v>556</v>
      </c>
      <c r="B14885" s="240"/>
      <c r="C14885" s="240"/>
      <c r="D14885" s="240"/>
      <c r="E14885" s="241"/>
      <c r="F14885" s="242"/>
    </row>
    <row r="14886" spans="1:6" ht="15" customHeight="1" x14ac:dyDescent="0.25">
      <c r="A14886" s="134"/>
      <c r="B14886" s="135"/>
      <c r="C14886" s="135"/>
      <c r="D14886" s="135"/>
      <c r="E14886" s="135"/>
      <c r="F14886" s="136"/>
    </row>
    <row r="14887" spans="1:6" ht="15" customHeight="1" x14ac:dyDescent="0.25">
      <c r="A14887" s="81"/>
      <c r="B14887" s="81"/>
      <c r="C14887" s="137"/>
      <c r="D14887" s="81"/>
      <c r="E14887" s="81"/>
      <c r="F14887" s="81"/>
    </row>
    <row r="14888" spans="1:6" ht="15" customHeight="1" x14ac:dyDescent="0.25">
      <c r="A14888" s="81"/>
      <c r="B14888" s="81"/>
      <c r="C14888" s="137"/>
      <c r="D14888" s="81"/>
      <c r="E14888" s="81"/>
      <c r="F14888" s="81"/>
    </row>
    <row r="14889" spans="1:6" ht="15" customHeight="1" x14ac:dyDescent="0.25">
      <c r="A14889" s="81"/>
      <c r="B14889" s="81"/>
      <c r="C14889" s="137"/>
      <c r="D14889" s="81"/>
      <c r="E14889" s="81"/>
      <c r="F14889" s="81"/>
    </row>
    <row r="14890" spans="1:6" ht="15" customHeight="1" x14ac:dyDescent="0.25">
      <c r="A14890" s="81"/>
      <c r="B14890" s="81"/>
      <c r="C14890" s="137"/>
      <c r="D14890" s="81"/>
      <c r="E14890" s="81"/>
      <c r="F14890" s="81"/>
    </row>
    <row r="14891" spans="1:6" ht="15" customHeight="1" x14ac:dyDescent="0.25">
      <c r="A14891" s="81"/>
      <c r="B14891" s="81"/>
      <c r="C14891" s="137"/>
      <c r="D14891" s="81"/>
      <c r="E14891" s="81"/>
      <c r="F14891" s="81"/>
    </row>
    <row r="14892" spans="1:6" ht="15" customHeight="1" x14ac:dyDescent="0.25">
      <c r="A14892" s="134"/>
      <c r="B14892" s="135"/>
      <c r="C14892" s="135"/>
      <c r="D14892" s="135"/>
      <c r="E14892" s="135"/>
      <c r="F14892" s="136"/>
    </row>
    <row r="14893" spans="1:6" ht="15" customHeight="1" x14ac:dyDescent="0.25">
      <c r="A14893" s="134"/>
      <c r="B14893" s="135"/>
      <c r="C14893" s="135"/>
      <c r="D14893" s="135"/>
      <c r="E14893" s="135"/>
      <c r="F14893" s="136"/>
    </row>
    <row r="14894" spans="1:6" ht="15" customHeight="1" x14ac:dyDescent="0.25">
      <c r="A14894" s="134"/>
      <c r="B14894" s="135"/>
      <c r="C14894" s="135"/>
      <c r="D14894" s="135"/>
      <c r="E14894" s="135"/>
      <c r="F14894" s="135"/>
    </row>
    <row r="14895" spans="1:6" ht="15" customHeight="1" thickBot="1" x14ac:dyDescent="0.3">
      <c r="A14895" s="81"/>
      <c r="B14895" s="81"/>
      <c r="C14895" s="81"/>
      <c r="D14895" s="81"/>
      <c r="E14895" s="81"/>
      <c r="F14895" s="81"/>
    </row>
    <row r="14896" spans="1:6" ht="15" customHeight="1" x14ac:dyDescent="0.25">
      <c r="A14896" s="83"/>
      <c r="B14896" s="84"/>
      <c r="C14896" s="85"/>
      <c r="D14896" s="86"/>
      <c r="E14896" s="86"/>
      <c r="F14896" s="87"/>
    </row>
    <row r="14897" spans="1:6" ht="15" customHeight="1" x14ac:dyDescent="0.25">
      <c r="A14897" s="599"/>
      <c r="B14897" s="600"/>
      <c r="C14897" s="600"/>
      <c r="D14897" s="600"/>
      <c r="E14897" s="600"/>
      <c r="F14897" s="601"/>
    </row>
    <row r="14898" spans="1:6" ht="15" customHeight="1" x14ac:dyDescent="0.25">
      <c r="A14898" s="602" t="s">
        <v>561</v>
      </c>
      <c r="B14898" s="600"/>
      <c r="C14898" s="600"/>
      <c r="D14898" s="600"/>
      <c r="E14898" s="600"/>
      <c r="F14898" s="601"/>
    </row>
    <row r="14899" spans="1:6" ht="15" customHeight="1" thickBot="1" x14ac:dyDescent="0.3">
      <c r="A14899" s="603"/>
      <c r="B14899" s="604"/>
      <c r="C14899" s="604"/>
      <c r="D14899" s="604"/>
      <c r="E14899" s="604"/>
      <c r="F14899" s="605"/>
    </row>
    <row r="14900" spans="1:6" ht="15" customHeight="1" x14ac:dyDescent="0.25">
      <c r="A14900" s="88"/>
      <c r="B14900" s="88"/>
      <c r="C14900" s="89"/>
      <c r="D14900" s="89"/>
      <c r="E14900" s="89"/>
      <c r="F14900" s="89"/>
    </row>
    <row r="14901" spans="1:6" ht="15" customHeight="1" x14ac:dyDescent="0.25">
      <c r="A14901" s="190" t="s">
        <v>1081</v>
      </c>
      <c r="B14901" s="606" t="str">
        <f>'Presupuesto Especifico'!C327</f>
        <v>Suministro e Instalacion de Cable 3N°8(F) + 1N°8 (N) + 1N°10 (T) THHN AWG, terminales, marquillas, conectores y demas LIBRE DE HALOGENOS</v>
      </c>
      <c r="C14901" s="606"/>
      <c r="D14901" s="606"/>
      <c r="E14901" s="606"/>
      <c r="F14901" s="606"/>
    </row>
    <row r="14902" spans="1:6" ht="15" customHeight="1" x14ac:dyDescent="0.25">
      <c r="A14902" s="191"/>
      <c r="B14902" s="191"/>
      <c r="C14902" s="191"/>
      <c r="D14902" s="191"/>
      <c r="E14902" s="191"/>
      <c r="F14902" s="191"/>
    </row>
    <row r="14903" spans="1:6" ht="15" customHeight="1" x14ac:dyDescent="0.25">
      <c r="A14903" s="192" t="s">
        <v>49</v>
      </c>
      <c r="B14903" s="193" t="s">
        <v>59</v>
      </c>
      <c r="C14903" s="194"/>
      <c r="D14903" s="194"/>
      <c r="E14903" s="194"/>
      <c r="F14903" s="195"/>
    </row>
    <row r="14904" spans="1:6" ht="15" customHeight="1" x14ac:dyDescent="0.25">
      <c r="A14904" s="192"/>
      <c r="B14904" s="196"/>
      <c r="C14904" s="194"/>
      <c r="D14904" s="194"/>
      <c r="E14904" s="194"/>
      <c r="F14904" s="195"/>
    </row>
    <row r="14905" spans="1:6" ht="15" customHeight="1" x14ac:dyDescent="0.25">
      <c r="A14905" s="197" t="s">
        <v>562</v>
      </c>
      <c r="B14905" s="198"/>
      <c r="C14905" s="193"/>
      <c r="D14905" s="193"/>
      <c r="E14905" s="193"/>
      <c r="F14905" s="193"/>
    </row>
    <row r="14906" spans="1:6" ht="15" customHeight="1" x14ac:dyDescent="0.25">
      <c r="A14906" s="199" t="s">
        <v>563</v>
      </c>
      <c r="B14906" s="200" t="s">
        <v>564</v>
      </c>
      <c r="C14906" s="200" t="s">
        <v>565</v>
      </c>
      <c r="D14906" s="200" t="s">
        <v>566</v>
      </c>
      <c r="E14906" s="200" t="s">
        <v>567</v>
      </c>
      <c r="F14906" s="200" t="s">
        <v>568</v>
      </c>
    </row>
    <row r="14907" spans="1:6" ht="15" customHeight="1" x14ac:dyDescent="0.25">
      <c r="A14907" s="201" t="s">
        <v>1076</v>
      </c>
      <c r="B14907" s="202" t="s">
        <v>59</v>
      </c>
      <c r="C14907" s="189">
        <f>3500*2.5</f>
        <v>8750</v>
      </c>
      <c r="D14907" s="203">
        <v>4</v>
      </c>
      <c r="E14907" s="204">
        <v>0.05</v>
      </c>
      <c r="F14907" s="205">
        <f t="shared" ref="F14907:F14911" si="729">+(C14907*D14907)+(C14907*D14907)*E14907</f>
        <v>36750</v>
      </c>
    </row>
    <row r="14908" spans="1:6" ht="15" customHeight="1" x14ac:dyDescent="0.25">
      <c r="A14908" s="207" t="s">
        <v>1077</v>
      </c>
      <c r="B14908" s="202" t="s">
        <v>99</v>
      </c>
      <c r="C14908" s="189">
        <f>100*2.5</f>
        <v>250</v>
      </c>
      <c r="D14908" s="206">
        <v>1</v>
      </c>
      <c r="E14908" s="204">
        <v>0.05</v>
      </c>
      <c r="F14908" s="205">
        <f t="shared" si="729"/>
        <v>262.5</v>
      </c>
    </row>
    <row r="14909" spans="1:6" ht="15" customHeight="1" x14ac:dyDescent="0.25">
      <c r="A14909" s="207" t="s">
        <v>1079</v>
      </c>
      <c r="B14909" s="202" t="s">
        <v>279</v>
      </c>
      <c r="C14909" s="208">
        <v>5000</v>
      </c>
      <c r="D14909" s="203">
        <v>8.6956521739130432E-2</v>
      </c>
      <c r="E14909" s="204">
        <v>0</v>
      </c>
      <c r="F14909" s="205">
        <f t="shared" si="729"/>
        <v>434.78260869565219</v>
      </c>
    </row>
    <row r="14910" spans="1:6" ht="15" customHeight="1" x14ac:dyDescent="0.25">
      <c r="A14910" s="207" t="s">
        <v>1063</v>
      </c>
      <c r="B14910" s="202" t="s">
        <v>1064</v>
      </c>
      <c r="C14910" s="208">
        <f>13000*2.5</f>
        <v>32500</v>
      </c>
      <c r="D14910" s="203">
        <f>1/98</f>
        <v>1.020408163265306E-2</v>
      </c>
      <c r="E14910" s="204">
        <v>0</v>
      </c>
      <c r="F14910" s="205">
        <f t="shared" si="729"/>
        <v>331.63265306122446</v>
      </c>
    </row>
    <row r="14911" spans="1:6" ht="15" customHeight="1" x14ac:dyDescent="0.25">
      <c r="A14911" s="207" t="s">
        <v>1065</v>
      </c>
      <c r="B14911" s="202" t="s">
        <v>1064</v>
      </c>
      <c r="C14911" s="208">
        <f>25000*2.5</f>
        <v>62500</v>
      </c>
      <c r="D14911" s="203">
        <f>1/98</f>
        <v>1.020408163265306E-2</v>
      </c>
      <c r="E14911" s="204">
        <v>0</v>
      </c>
      <c r="F14911" s="205">
        <f t="shared" si="729"/>
        <v>637.75510204081627</v>
      </c>
    </row>
    <row r="14912" spans="1:6" ht="15" customHeight="1" x14ac:dyDescent="0.25">
      <c r="A14912" s="209" t="s">
        <v>548</v>
      </c>
      <c r="B14912" s="210"/>
      <c r="C14912" s="211"/>
      <c r="D14912" s="212"/>
      <c r="E14912" s="213"/>
      <c r="F14912" s="214">
        <f>SUM(F14907:F14911)</f>
        <v>38416.670363797697</v>
      </c>
    </row>
    <row r="14913" spans="1:6" ht="15" customHeight="1" x14ac:dyDescent="0.25">
      <c r="A14913" s="192"/>
      <c r="B14913" s="192"/>
      <c r="C14913" s="215"/>
      <c r="D14913" s="215"/>
      <c r="E14913" s="216"/>
      <c r="F14913" s="215"/>
    </row>
    <row r="14914" spans="1:6" ht="15" customHeight="1" x14ac:dyDescent="0.25">
      <c r="A14914" s="198" t="s">
        <v>573</v>
      </c>
      <c r="B14914" s="198"/>
      <c r="C14914" s="193"/>
      <c r="D14914" s="193"/>
      <c r="E14914" s="193"/>
      <c r="F14914" s="193"/>
    </row>
    <row r="14915" spans="1:6" ht="15" customHeight="1" x14ac:dyDescent="0.25">
      <c r="A14915" s="585" t="s">
        <v>563</v>
      </c>
      <c r="B14915" s="595"/>
      <c r="C14915" s="596"/>
      <c r="D14915" s="200" t="s">
        <v>574</v>
      </c>
      <c r="E14915" s="200" t="s">
        <v>575</v>
      </c>
      <c r="F14915" s="200" t="s">
        <v>568</v>
      </c>
    </row>
    <row r="14916" spans="1:6" ht="15" customHeight="1" x14ac:dyDescent="0.25">
      <c r="A14916" s="588" t="s">
        <v>577</v>
      </c>
      <c r="B14916" s="591"/>
      <c r="C14916" s="592"/>
      <c r="D14916" s="217"/>
      <c r="E14916" s="218"/>
      <c r="F14916" s="219">
        <v>1414.88</v>
      </c>
    </row>
    <row r="14917" spans="1:6" ht="15" customHeight="1" x14ac:dyDescent="0.25">
      <c r="A14917" s="588"/>
      <c r="B14917" s="591"/>
      <c r="C14917" s="592"/>
      <c r="D14917" s="220"/>
      <c r="E14917" s="221"/>
      <c r="F14917" s="219"/>
    </row>
    <row r="14918" spans="1:6" ht="15" customHeight="1" x14ac:dyDescent="0.25">
      <c r="A14918" s="588"/>
      <c r="B14918" s="591"/>
      <c r="C14918" s="592"/>
      <c r="D14918" s="220"/>
      <c r="E14918" s="218"/>
      <c r="F14918" s="219"/>
    </row>
    <row r="14919" spans="1:6" ht="15" customHeight="1" x14ac:dyDescent="0.25">
      <c r="A14919" s="588"/>
      <c r="B14919" s="591"/>
      <c r="C14919" s="592"/>
      <c r="D14919" s="220"/>
      <c r="E14919" s="218"/>
      <c r="F14919" s="219"/>
    </row>
    <row r="14920" spans="1:6" ht="15" customHeight="1" x14ac:dyDescent="0.25">
      <c r="A14920" s="588"/>
      <c r="B14920" s="591"/>
      <c r="C14920" s="592"/>
      <c r="D14920" s="220"/>
      <c r="E14920" s="218"/>
      <c r="F14920" s="219"/>
    </row>
    <row r="14921" spans="1:6" ht="15" customHeight="1" x14ac:dyDescent="0.25">
      <c r="A14921" s="588"/>
      <c r="B14921" s="591"/>
      <c r="C14921" s="592"/>
      <c r="D14921" s="220"/>
      <c r="E14921" s="218"/>
      <c r="F14921" s="219"/>
    </row>
    <row r="14922" spans="1:6" ht="15" customHeight="1" x14ac:dyDescent="0.25">
      <c r="A14922" s="588"/>
      <c r="B14922" s="591"/>
      <c r="C14922" s="592"/>
      <c r="D14922" s="220"/>
      <c r="E14922" s="218"/>
      <c r="F14922" s="219"/>
    </row>
    <row r="14923" spans="1:6" ht="15" customHeight="1" x14ac:dyDescent="0.25">
      <c r="A14923" s="589"/>
      <c r="B14923" s="593"/>
      <c r="C14923" s="594"/>
      <c r="D14923" s="222"/>
      <c r="E14923" s="218"/>
      <c r="F14923" s="219"/>
    </row>
    <row r="14924" spans="1:6" ht="15" customHeight="1" x14ac:dyDescent="0.25">
      <c r="A14924" s="585" t="s">
        <v>548</v>
      </c>
      <c r="B14924" s="595"/>
      <c r="C14924" s="596"/>
      <c r="D14924" s="212"/>
      <c r="E14924" s="212"/>
      <c r="F14924" s="214">
        <f>SUM(F14916:F14923)</f>
        <v>1414.88</v>
      </c>
    </row>
    <row r="14925" spans="1:6" ht="15" customHeight="1" x14ac:dyDescent="0.25">
      <c r="A14925" s="192"/>
      <c r="B14925" s="192"/>
      <c r="C14925" s="194"/>
      <c r="D14925" s="215"/>
      <c r="E14925" s="215"/>
      <c r="F14925" s="215"/>
    </row>
    <row r="14926" spans="1:6" ht="15" customHeight="1" x14ac:dyDescent="0.25">
      <c r="A14926" s="198" t="s">
        <v>578</v>
      </c>
      <c r="B14926" s="198"/>
      <c r="C14926" s="193"/>
      <c r="D14926" s="223"/>
      <c r="E14926" s="223"/>
      <c r="F14926" s="223"/>
    </row>
    <row r="14927" spans="1:6" ht="15" customHeight="1" x14ac:dyDescent="0.25">
      <c r="A14927" s="224" t="s">
        <v>563</v>
      </c>
      <c r="B14927" s="225" t="s">
        <v>579</v>
      </c>
      <c r="C14927" s="225" t="s">
        <v>580</v>
      </c>
      <c r="D14927" s="226" t="s">
        <v>581</v>
      </c>
      <c r="E14927" s="226" t="s">
        <v>575</v>
      </c>
      <c r="F14927" s="226" t="s">
        <v>568</v>
      </c>
    </row>
    <row r="14928" spans="1:6" ht="15" customHeight="1" x14ac:dyDescent="0.25">
      <c r="A14928" s="227" t="s">
        <v>916</v>
      </c>
      <c r="B14928" s="228">
        <v>2</v>
      </c>
      <c r="C14928" s="205">
        <f>1300000/30</f>
        <v>43333.333333333336</v>
      </c>
      <c r="D14928" s="205">
        <f>+C14928*1.7</f>
        <v>73666.666666666672</v>
      </c>
      <c r="E14928" s="202">
        <f>2/233</f>
        <v>8.5836909871244635E-3</v>
      </c>
      <c r="F14928" s="219">
        <f>+E14928*D14928*B14928</f>
        <v>1264.6638054363377</v>
      </c>
    </row>
    <row r="14929" spans="1:6" ht="15" customHeight="1" x14ac:dyDescent="0.25">
      <c r="A14929" s="227" t="s">
        <v>917</v>
      </c>
      <c r="B14929" s="228">
        <v>1</v>
      </c>
      <c r="C14929" s="205">
        <f>1700000/30</f>
        <v>56666.666666666664</v>
      </c>
      <c r="D14929" s="205">
        <f>+C14929*1.7</f>
        <v>96333.333333333328</v>
      </c>
      <c r="E14929" s="202">
        <f>2/233</f>
        <v>8.5836909871244635E-3</v>
      </c>
      <c r="F14929" s="219">
        <f t="shared" ref="F14929:F14931" si="730">+E14929*D14929*B14929</f>
        <v>826.89556509298995</v>
      </c>
    </row>
    <row r="14930" spans="1:6" ht="15" customHeight="1" x14ac:dyDescent="0.25">
      <c r="A14930" s="227" t="s">
        <v>1071</v>
      </c>
      <c r="B14930" s="228">
        <v>1</v>
      </c>
      <c r="C14930" s="205">
        <f>1300000/30</f>
        <v>43333.333333333336</v>
      </c>
      <c r="D14930" s="205">
        <f>+C14930*1.7</f>
        <v>73666.666666666672</v>
      </c>
      <c r="E14930" s="228">
        <f>15/233</f>
        <v>6.4377682403433473E-2</v>
      </c>
      <c r="F14930" s="219">
        <f t="shared" si="730"/>
        <v>4742.4892703862661</v>
      </c>
    </row>
    <row r="14931" spans="1:6" ht="15" customHeight="1" x14ac:dyDescent="0.25">
      <c r="A14931" s="227" t="s">
        <v>1072</v>
      </c>
      <c r="B14931" s="228">
        <v>1</v>
      </c>
      <c r="C14931" s="205">
        <f>2500000/30</f>
        <v>83333.333333333328</v>
      </c>
      <c r="D14931" s="205">
        <f>+C14931*1.7</f>
        <v>141666.66666666666</v>
      </c>
      <c r="E14931" s="228">
        <f>2/233</f>
        <v>8.5836909871244635E-3</v>
      </c>
      <c r="F14931" s="219">
        <f t="shared" si="730"/>
        <v>1216.0228898426321</v>
      </c>
    </row>
    <row r="14932" spans="1:6" ht="15" customHeight="1" x14ac:dyDescent="0.25">
      <c r="A14932" s="209" t="s">
        <v>548</v>
      </c>
      <c r="B14932" s="229"/>
      <c r="C14932" s="212"/>
      <c r="D14932" s="212"/>
      <c r="E14932" s="230"/>
      <c r="F14932" s="214">
        <f>SUM(F14928:F14931)</f>
        <v>8050.0715307582259</v>
      </c>
    </row>
    <row r="14933" spans="1:6" ht="15" customHeight="1" x14ac:dyDescent="0.25">
      <c r="A14933" s="198"/>
      <c r="B14933" s="231"/>
      <c r="C14933" s="223"/>
      <c r="D14933" s="223"/>
      <c r="E14933" s="223"/>
      <c r="F14933" s="223"/>
    </row>
    <row r="14934" spans="1:6" ht="15" customHeight="1" x14ac:dyDescent="0.25">
      <c r="A14934" s="197" t="s">
        <v>583</v>
      </c>
      <c r="B14934" s="198"/>
      <c r="C14934" s="193"/>
      <c r="D14934" s="193"/>
      <c r="E14934" s="193" t="s">
        <v>584</v>
      </c>
      <c r="F14934" s="193"/>
    </row>
    <row r="14935" spans="1:6" ht="15" customHeight="1" x14ac:dyDescent="0.25">
      <c r="A14935" s="199" t="s">
        <v>563</v>
      </c>
      <c r="B14935" s="200" t="s">
        <v>564</v>
      </c>
      <c r="C14935" s="200" t="s">
        <v>585</v>
      </c>
      <c r="D14935" s="200" t="s">
        <v>586</v>
      </c>
      <c r="E14935" s="225" t="s">
        <v>587</v>
      </c>
      <c r="F14935" s="200" t="s">
        <v>568</v>
      </c>
    </row>
    <row r="14936" spans="1:6" ht="15" customHeight="1" x14ac:dyDescent="0.25">
      <c r="A14936" s="232" t="s">
        <v>1080</v>
      </c>
      <c r="B14936" s="202">
        <v>1</v>
      </c>
      <c r="C14936" s="205">
        <v>200000</v>
      </c>
      <c r="D14936" s="233">
        <f>+B14936/233</f>
        <v>4.2918454935622317E-3</v>
      </c>
      <c r="E14936" s="234"/>
      <c r="F14936" s="211">
        <f>+D14936*C14936*B14936</f>
        <v>858.36909871244632</v>
      </c>
    </row>
    <row r="14937" spans="1:6" ht="15" customHeight="1" x14ac:dyDescent="0.25">
      <c r="A14937" s="232"/>
      <c r="B14937" s="202"/>
      <c r="C14937" s="218"/>
      <c r="D14937" s="235"/>
      <c r="E14937" s="236"/>
      <c r="F14937" s="211"/>
    </row>
    <row r="14938" spans="1:6" ht="15" customHeight="1" x14ac:dyDescent="0.25">
      <c r="A14938" s="209" t="s">
        <v>548</v>
      </c>
      <c r="B14938" s="230"/>
      <c r="C14938" s="212"/>
      <c r="D14938" s="212"/>
      <c r="E14938" s="213"/>
      <c r="F14938" s="214">
        <f>SUM(F14936:F14937)</f>
        <v>858.36909871244632</v>
      </c>
    </row>
    <row r="14939" spans="1:6" ht="15" customHeight="1" x14ac:dyDescent="0.25">
      <c r="A14939" s="192"/>
      <c r="B14939" s="194"/>
      <c r="C14939" s="215"/>
      <c r="D14939" s="215"/>
      <c r="E14939" s="216"/>
      <c r="F14939" s="215"/>
    </row>
    <row r="14940" spans="1:6" ht="15" customHeight="1" x14ac:dyDescent="0.25">
      <c r="A14940" s="192"/>
      <c r="B14940" s="194"/>
      <c r="C14940" s="215"/>
      <c r="D14940" s="215"/>
      <c r="E14940" s="216"/>
      <c r="F14940" s="215"/>
    </row>
    <row r="14941" spans="1:6" ht="15" customHeight="1" x14ac:dyDescent="0.25">
      <c r="A14941" s="590" t="s">
        <v>588</v>
      </c>
      <c r="B14941" s="597"/>
      <c r="C14941" s="597"/>
      <c r="D14941" s="597"/>
      <c r="E14941" s="598"/>
      <c r="F14941" s="237">
        <f>SUM(+F14938+F14932+F14924+F14912)</f>
        <v>48739.990993268366</v>
      </c>
    </row>
    <row r="14942" spans="1:6" ht="15" customHeight="1" x14ac:dyDescent="0.25">
      <c r="A14942" s="590" t="s">
        <v>589</v>
      </c>
      <c r="B14942" s="597"/>
      <c r="C14942" s="597"/>
      <c r="D14942" s="597"/>
      <c r="E14942" s="598"/>
      <c r="F14942" s="238"/>
    </row>
    <row r="14943" spans="1:6" ht="15" customHeight="1" x14ac:dyDescent="0.25">
      <c r="A14943" s="239" t="s">
        <v>556</v>
      </c>
      <c r="B14943" s="240"/>
      <c r="C14943" s="240"/>
      <c r="D14943" s="240"/>
      <c r="E14943" s="241"/>
      <c r="F14943" s="242"/>
    </row>
    <row r="14944" spans="1:6" ht="15" customHeight="1" x14ac:dyDescent="0.25">
      <c r="A14944" s="81"/>
      <c r="B14944" s="81"/>
      <c r="C14944" s="137"/>
      <c r="D14944" s="81"/>
      <c r="E14944" s="81"/>
      <c r="F14944" s="81"/>
    </row>
    <row r="14945" spans="1:6" ht="15" customHeight="1" x14ac:dyDescent="0.25">
      <c r="A14945" s="81"/>
      <c r="B14945" s="81"/>
      <c r="C14945" s="137"/>
      <c r="D14945" s="81"/>
      <c r="E14945" s="81"/>
      <c r="F14945" s="81"/>
    </row>
    <row r="14946" spans="1:6" ht="15" customHeight="1" x14ac:dyDescent="0.25">
      <c r="A14946" s="134"/>
      <c r="B14946" s="135"/>
      <c r="C14946" s="135"/>
      <c r="D14946" s="135"/>
      <c r="E14946" s="135"/>
      <c r="F14946" s="136"/>
    </row>
    <row r="14947" spans="1:6" ht="15" customHeight="1" x14ac:dyDescent="0.25">
      <c r="A14947" s="134"/>
      <c r="B14947" s="135"/>
      <c r="C14947" s="135"/>
      <c r="D14947" s="135"/>
      <c r="E14947" s="135"/>
      <c r="F14947" s="136"/>
    </row>
    <row r="14948" spans="1:6" ht="15" customHeight="1" x14ac:dyDescent="0.25">
      <c r="A14948" s="134"/>
      <c r="B14948" s="135"/>
      <c r="C14948" s="135"/>
      <c r="D14948" s="135"/>
      <c r="E14948" s="135"/>
      <c r="F14948" s="135"/>
    </row>
    <row r="14949" spans="1:6" ht="15" customHeight="1" thickBot="1" x14ac:dyDescent="0.3">
      <c r="A14949" s="81"/>
      <c r="B14949" s="81"/>
      <c r="C14949" s="81"/>
      <c r="D14949" s="81"/>
      <c r="E14949" s="81"/>
      <c r="F14949" s="81"/>
    </row>
    <row r="14950" spans="1:6" ht="15" customHeight="1" x14ac:dyDescent="0.25">
      <c r="A14950" s="83"/>
      <c r="B14950" s="84"/>
      <c r="C14950" s="85"/>
      <c r="D14950" s="86"/>
      <c r="E14950" s="86"/>
      <c r="F14950" s="87"/>
    </row>
    <row r="14951" spans="1:6" ht="15" customHeight="1" x14ac:dyDescent="0.25">
      <c r="A14951" s="599"/>
      <c r="B14951" s="600"/>
      <c r="C14951" s="600"/>
      <c r="D14951" s="600"/>
      <c r="E14951" s="600"/>
      <c r="F14951" s="601"/>
    </row>
    <row r="14952" spans="1:6" ht="15" customHeight="1" x14ac:dyDescent="0.25">
      <c r="A14952" s="602" t="s">
        <v>561</v>
      </c>
      <c r="B14952" s="600"/>
      <c r="C14952" s="600"/>
      <c r="D14952" s="600"/>
      <c r="E14952" s="600"/>
      <c r="F14952" s="601"/>
    </row>
    <row r="14953" spans="1:6" ht="15" customHeight="1" thickBot="1" x14ac:dyDescent="0.3">
      <c r="A14953" s="603"/>
      <c r="B14953" s="604"/>
      <c r="C14953" s="604"/>
      <c r="D14953" s="604"/>
      <c r="E14953" s="604"/>
      <c r="F14953" s="605"/>
    </row>
    <row r="14954" spans="1:6" ht="15" customHeight="1" x14ac:dyDescent="0.25">
      <c r="A14954" s="88"/>
      <c r="B14954" s="88"/>
      <c r="C14954" s="89"/>
      <c r="D14954" s="89"/>
      <c r="E14954" s="89"/>
      <c r="F14954" s="89"/>
    </row>
    <row r="14955" spans="1:6" ht="15" customHeight="1" x14ac:dyDescent="0.25">
      <c r="A14955" s="90" t="s">
        <v>47</v>
      </c>
      <c r="B14955" s="613" t="str">
        <f>'Presupuesto Especifico'!C328</f>
        <v>Acometida Electrica en Tuberia PVC Conduit de 3/4", 1#10F+1#10N+1#10T en cable Cu THHN/THWN AWG LIBRE DE HALOGENOS 3 LineasLIBRE DE HALOGENOS</v>
      </c>
      <c r="C14955" s="600"/>
      <c r="D14955" s="600"/>
      <c r="E14955" s="600"/>
      <c r="F14955" s="600"/>
    </row>
    <row r="14956" spans="1:6" ht="15" customHeight="1" x14ac:dyDescent="0.25">
      <c r="A14956" s="91"/>
      <c r="B14956" s="91"/>
      <c r="C14956" s="91"/>
      <c r="D14956" s="91"/>
      <c r="E14956" s="91"/>
      <c r="F14956" s="91"/>
    </row>
    <row r="14957" spans="1:6" ht="15" customHeight="1" x14ac:dyDescent="0.25">
      <c r="A14957" s="88" t="s">
        <v>49</v>
      </c>
      <c r="B14957" s="92" t="s">
        <v>59</v>
      </c>
      <c r="C14957" s="89"/>
      <c r="D14957" s="89"/>
      <c r="E14957" s="89"/>
      <c r="F14957" s="93"/>
    </row>
    <row r="14958" spans="1:6" ht="15" customHeight="1" x14ac:dyDescent="0.25">
      <c r="A14958" s="88"/>
      <c r="B14958" s="94"/>
      <c r="C14958" s="89"/>
      <c r="D14958" s="89"/>
      <c r="E14958" s="89"/>
      <c r="F14958" s="93"/>
    </row>
    <row r="14959" spans="1:6" ht="15" customHeight="1" x14ac:dyDescent="0.25">
      <c r="A14959" s="95" t="s">
        <v>562</v>
      </c>
      <c r="B14959" s="96"/>
      <c r="C14959" s="92"/>
      <c r="D14959" s="92"/>
      <c r="E14959" s="92"/>
      <c r="F14959" s="92"/>
    </row>
    <row r="14960" spans="1:6" ht="15" customHeight="1" x14ac:dyDescent="0.25">
      <c r="A14960" s="97" t="s">
        <v>563</v>
      </c>
      <c r="B14960" s="98" t="s">
        <v>564</v>
      </c>
      <c r="C14960" s="98" t="s">
        <v>565</v>
      </c>
      <c r="D14960" s="98" t="s">
        <v>566</v>
      </c>
      <c r="E14960" s="98" t="s">
        <v>567</v>
      </c>
      <c r="F14960" s="98" t="s">
        <v>568</v>
      </c>
    </row>
    <row r="14961" spans="1:6" ht="15" customHeight="1" x14ac:dyDescent="0.25">
      <c r="A14961" s="201" t="s">
        <v>1089</v>
      </c>
      <c r="B14961" s="202" t="s">
        <v>59</v>
      </c>
      <c r="C14961" s="189">
        <f>2200*2.5</f>
        <v>5500</v>
      </c>
      <c r="D14961" s="203">
        <v>3</v>
      </c>
      <c r="E14961" s="102">
        <v>0.05</v>
      </c>
      <c r="F14961" s="101">
        <f t="shared" ref="F14961:F14962" si="731">C14961*(D14961+(D14961*E14961))</f>
        <v>17325</v>
      </c>
    </row>
    <row r="14962" spans="1:6" ht="15" customHeight="1" x14ac:dyDescent="0.25">
      <c r="A14962" s="207" t="s">
        <v>1082</v>
      </c>
      <c r="B14962" s="202" t="s">
        <v>99</v>
      </c>
      <c r="C14962" s="189">
        <v>100</v>
      </c>
      <c r="D14962" s="206">
        <v>0.6</v>
      </c>
      <c r="E14962" s="102">
        <v>0.05</v>
      </c>
      <c r="F14962" s="101">
        <f t="shared" si="731"/>
        <v>63</v>
      </c>
    </row>
    <row r="14963" spans="1:6" ht="15" customHeight="1" x14ac:dyDescent="0.25">
      <c r="A14963" s="207" t="s">
        <v>1083</v>
      </c>
      <c r="B14963" s="202" t="s">
        <v>279</v>
      </c>
      <c r="C14963" s="208">
        <f>1066.66666666667*2.5</f>
        <v>2666.6666666666747</v>
      </c>
      <c r="D14963" s="203">
        <v>1</v>
      </c>
      <c r="E14963" s="204">
        <v>0.05</v>
      </c>
      <c r="F14963" s="205">
        <f t="shared" ref="F14963:F14968" si="732">+(C14963*D14963)+(C14963*D14963)*E14963</f>
        <v>2800.0000000000086</v>
      </c>
    </row>
    <row r="14964" spans="1:6" ht="15" customHeight="1" x14ac:dyDescent="0.25">
      <c r="A14964" s="207" t="s">
        <v>1063</v>
      </c>
      <c r="B14964" s="202" t="s">
        <v>1064</v>
      </c>
      <c r="C14964" s="208">
        <f>13000*2.5</f>
        <v>32500</v>
      </c>
      <c r="D14964" s="203">
        <v>0.1</v>
      </c>
      <c r="E14964" s="204">
        <v>0</v>
      </c>
      <c r="F14964" s="205">
        <f t="shared" si="732"/>
        <v>3250</v>
      </c>
    </row>
    <row r="14965" spans="1:6" ht="15" customHeight="1" x14ac:dyDescent="0.25">
      <c r="A14965" s="207" t="s">
        <v>1084</v>
      </c>
      <c r="B14965" s="202" t="s">
        <v>99</v>
      </c>
      <c r="C14965" s="208">
        <v>2250</v>
      </c>
      <c r="D14965" s="203">
        <v>0.4</v>
      </c>
      <c r="E14965" s="204">
        <v>0</v>
      </c>
      <c r="F14965" s="205">
        <f t="shared" si="732"/>
        <v>900</v>
      </c>
    </row>
    <row r="14966" spans="1:6" ht="15" customHeight="1" x14ac:dyDescent="0.25">
      <c r="A14966" s="207" t="s">
        <v>1085</v>
      </c>
      <c r="B14966" s="202" t="s">
        <v>99</v>
      </c>
      <c r="C14966" s="208">
        <v>1600</v>
      </c>
      <c r="D14966" s="203">
        <v>0.2</v>
      </c>
      <c r="E14966" s="204">
        <v>0</v>
      </c>
      <c r="F14966" s="205">
        <f t="shared" si="732"/>
        <v>320</v>
      </c>
    </row>
    <row r="14967" spans="1:6" ht="15" customHeight="1" x14ac:dyDescent="0.25">
      <c r="A14967" s="207" t="s">
        <v>1086</v>
      </c>
      <c r="B14967" s="202" t="s">
        <v>99</v>
      </c>
      <c r="C14967" s="208">
        <v>300</v>
      </c>
      <c r="D14967" s="203">
        <v>0.4</v>
      </c>
      <c r="E14967" s="204">
        <v>0</v>
      </c>
      <c r="F14967" s="205">
        <f t="shared" si="732"/>
        <v>120</v>
      </c>
    </row>
    <row r="14968" spans="1:6" ht="15" customHeight="1" x14ac:dyDescent="0.25">
      <c r="A14968" s="207" t="s">
        <v>1087</v>
      </c>
      <c r="B14968" s="202" t="s">
        <v>1088</v>
      </c>
      <c r="C14968" s="208">
        <v>25400</v>
      </c>
      <c r="D14968" s="203">
        <v>0.3</v>
      </c>
      <c r="E14968" s="204">
        <v>0</v>
      </c>
      <c r="F14968" s="205">
        <f t="shared" si="732"/>
        <v>7620</v>
      </c>
    </row>
    <row r="14969" spans="1:6" ht="15" customHeight="1" x14ac:dyDescent="0.25">
      <c r="A14969" s="99"/>
      <c r="B14969" s="100"/>
      <c r="C14969" s="101"/>
      <c r="D14969" s="149"/>
      <c r="E14969" s="102"/>
      <c r="F14969" s="101"/>
    </row>
    <row r="14970" spans="1:6" ht="15" customHeight="1" x14ac:dyDescent="0.25">
      <c r="A14970" s="99"/>
      <c r="B14970" s="100"/>
      <c r="C14970" s="106"/>
      <c r="D14970" s="107"/>
      <c r="E14970" s="108"/>
      <c r="F14970" s="106"/>
    </row>
    <row r="14971" spans="1:6" ht="15" customHeight="1" x14ac:dyDescent="0.25">
      <c r="A14971" s="97" t="s">
        <v>548</v>
      </c>
      <c r="B14971" s="97"/>
      <c r="C14971" s="109"/>
      <c r="D14971" s="110"/>
      <c r="E14971" s="111"/>
      <c r="F14971" s="112">
        <f>SUM(F14961:F14970)</f>
        <v>32398.000000000007</v>
      </c>
    </row>
    <row r="14972" spans="1:6" ht="15" customHeight="1" x14ac:dyDescent="0.25">
      <c r="A14972" s="88"/>
      <c r="B14972" s="88"/>
      <c r="C14972" s="113"/>
      <c r="D14972" s="113"/>
      <c r="E14972" s="114"/>
      <c r="F14972" s="113"/>
    </row>
    <row r="14973" spans="1:6" ht="15" customHeight="1" x14ac:dyDescent="0.25">
      <c r="A14973" s="96" t="s">
        <v>573</v>
      </c>
      <c r="B14973" s="96"/>
      <c r="C14973" s="92"/>
      <c r="D14973" s="92"/>
      <c r="E14973" s="92"/>
      <c r="F14973" s="92"/>
    </row>
    <row r="14974" spans="1:6" ht="15" customHeight="1" x14ac:dyDescent="0.25">
      <c r="A14974" s="611" t="s">
        <v>563</v>
      </c>
      <c r="B14974" s="608"/>
      <c r="C14974" s="609"/>
      <c r="D14974" s="98" t="s">
        <v>574</v>
      </c>
      <c r="E14974" s="98" t="s">
        <v>575</v>
      </c>
      <c r="F14974" s="98" t="s">
        <v>568</v>
      </c>
    </row>
    <row r="14975" spans="1:6" ht="15" customHeight="1" x14ac:dyDescent="0.25">
      <c r="A14975" s="607" t="s">
        <v>577</v>
      </c>
      <c r="B14975" s="608"/>
      <c r="C14975" s="609"/>
      <c r="D14975" s="116"/>
      <c r="E14975" s="107"/>
      <c r="F14975" s="106">
        <f>+F14992*5%</f>
        <v>398.43155000000002</v>
      </c>
    </row>
    <row r="14976" spans="1:6" ht="15" customHeight="1" x14ac:dyDescent="0.25">
      <c r="A14976" s="607"/>
      <c r="B14976" s="608"/>
      <c r="C14976" s="609"/>
      <c r="D14976" s="142"/>
      <c r="E14976" s="105"/>
      <c r="F14976" s="106"/>
    </row>
    <row r="14977" spans="1:6" ht="15" customHeight="1" x14ac:dyDescent="0.25">
      <c r="A14977" s="607"/>
      <c r="B14977" s="608"/>
      <c r="C14977" s="609"/>
      <c r="D14977" s="142"/>
      <c r="E14977" s="105"/>
      <c r="F14977" s="106"/>
    </row>
    <row r="14978" spans="1:6" ht="15" customHeight="1" x14ac:dyDescent="0.25">
      <c r="A14978" s="607"/>
      <c r="B14978" s="608"/>
      <c r="C14978" s="609"/>
      <c r="D14978" s="142"/>
      <c r="E14978" s="107"/>
      <c r="F14978" s="106"/>
    </row>
    <row r="14979" spans="1:6" ht="15" customHeight="1" x14ac:dyDescent="0.25">
      <c r="A14979" s="607"/>
      <c r="B14979" s="608"/>
      <c r="C14979" s="609"/>
      <c r="D14979" s="142"/>
      <c r="E14979" s="107"/>
      <c r="F14979" s="106"/>
    </row>
    <row r="14980" spans="1:6" ht="15" customHeight="1" x14ac:dyDescent="0.25">
      <c r="A14980" s="607"/>
      <c r="B14980" s="608"/>
      <c r="C14980" s="609"/>
      <c r="D14980" s="142"/>
      <c r="E14980" s="107"/>
      <c r="F14980" s="106"/>
    </row>
    <row r="14981" spans="1:6" ht="15" customHeight="1" x14ac:dyDescent="0.25">
      <c r="A14981" s="607"/>
      <c r="B14981" s="608"/>
      <c r="C14981" s="609"/>
      <c r="D14981" s="142"/>
      <c r="E14981" s="107"/>
      <c r="F14981" s="106"/>
    </row>
    <row r="14982" spans="1:6" ht="15" customHeight="1" x14ac:dyDescent="0.25">
      <c r="A14982" s="607"/>
      <c r="B14982" s="608"/>
      <c r="C14982" s="609"/>
      <c r="D14982" s="142"/>
      <c r="E14982" s="107"/>
      <c r="F14982" s="106"/>
    </row>
    <row r="14983" spans="1:6" ht="15" customHeight="1" x14ac:dyDescent="0.25">
      <c r="A14983" s="610"/>
      <c r="B14983" s="608"/>
      <c r="C14983" s="609"/>
      <c r="D14983" s="115"/>
      <c r="E14983" s="107"/>
      <c r="F14983" s="106"/>
    </row>
    <row r="14984" spans="1:6" ht="15" customHeight="1" x14ac:dyDescent="0.25">
      <c r="A14984" s="611" t="s">
        <v>548</v>
      </c>
      <c r="B14984" s="608"/>
      <c r="C14984" s="609"/>
      <c r="D14984" s="110"/>
      <c r="E14984" s="110"/>
      <c r="F14984" s="112">
        <f>SUM(F14975:F14982)</f>
        <v>398.43155000000002</v>
      </c>
    </row>
    <row r="14985" spans="1:6" ht="15" customHeight="1" x14ac:dyDescent="0.25">
      <c r="A14985" s="88"/>
      <c r="B14985" s="88"/>
      <c r="C14985" s="89"/>
      <c r="D14985" s="113"/>
      <c r="E14985" s="113"/>
      <c r="F14985" s="113"/>
    </row>
    <row r="14986" spans="1:6" ht="15" customHeight="1" x14ac:dyDescent="0.25">
      <c r="A14986" s="96" t="s">
        <v>578</v>
      </c>
      <c r="B14986" s="96"/>
      <c r="C14986" s="92"/>
      <c r="D14986" s="118"/>
      <c r="E14986" s="118"/>
      <c r="F14986" s="118"/>
    </row>
    <row r="14987" spans="1:6" ht="15" customHeight="1" x14ac:dyDescent="0.25">
      <c r="A14987" s="119" t="s">
        <v>563</v>
      </c>
      <c r="B14987" s="120" t="s">
        <v>579</v>
      </c>
      <c r="C14987" s="120" t="s">
        <v>580</v>
      </c>
      <c r="D14987" s="121" t="s">
        <v>581</v>
      </c>
      <c r="E14987" s="121" t="s">
        <v>575</v>
      </c>
      <c r="F14987" s="121" t="s">
        <v>568</v>
      </c>
    </row>
    <row r="14988" spans="1:6" ht="15" customHeight="1" x14ac:dyDescent="0.25">
      <c r="A14988" s="122" t="s">
        <v>916</v>
      </c>
      <c r="B14988" s="127">
        <v>1</v>
      </c>
      <c r="C14988" s="101">
        <v>35956.800000000003</v>
      </c>
      <c r="D14988" s="101">
        <f t="shared" ref="D14988:D14989" si="733">+C14988*1.7</f>
        <v>61126.560000000005</v>
      </c>
      <c r="E14988" s="107">
        <v>20</v>
      </c>
      <c r="F14988" s="106">
        <f t="shared" ref="F14988:F14989" si="734">+B14988*(D14988)/E14988</f>
        <v>3056.3280000000004</v>
      </c>
    </row>
    <row r="14989" spans="1:6" ht="15" customHeight="1" x14ac:dyDescent="0.25">
      <c r="A14989" s="122" t="s">
        <v>917</v>
      </c>
      <c r="B14989" s="127">
        <v>1</v>
      </c>
      <c r="C14989" s="101">
        <v>57791.8</v>
      </c>
      <c r="D14989" s="101">
        <f t="shared" si="733"/>
        <v>98246.06</v>
      </c>
      <c r="E14989" s="107">
        <f>E14988</f>
        <v>20</v>
      </c>
      <c r="F14989" s="106">
        <f t="shared" si="734"/>
        <v>4912.3029999999999</v>
      </c>
    </row>
    <row r="14990" spans="1:6" ht="15" customHeight="1" x14ac:dyDescent="0.25">
      <c r="A14990" s="122"/>
      <c r="B14990" s="127"/>
      <c r="C14990" s="101"/>
      <c r="D14990" s="101"/>
      <c r="E14990" s="105"/>
      <c r="F14990" s="106"/>
    </row>
    <row r="14991" spans="1:6" ht="15" customHeight="1" x14ac:dyDescent="0.25">
      <c r="A14991" s="122"/>
      <c r="B14991" s="127"/>
      <c r="C14991" s="101"/>
      <c r="D14991" s="101"/>
      <c r="E14991" s="125"/>
      <c r="F14991" s="106"/>
    </row>
    <row r="14992" spans="1:6" ht="15" customHeight="1" x14ac:dyDescent="0.25">
      <c r="A14992" s="97" t="s">
        <v>548</v>
      </c>
      <c r="B14992" s="128"/>
      <c r="C14992" s="110"/>
      <c r="D14992" s="110"/>
      <c r="E14992" s="110"/>
      <c r="F14992" s="112">
        <f>SUM(F14988:F14991)</f>
        <v>7968.6310000000003</v>
      </c>
    </row>
    <row r="14993" spans="1:6" ht="15" customHeight="1" x14ac:dyDescent="0.25">
      <c r="A14993" s="96"/>
      <c r="B14993" s="129"/>
      <c r="C14993" s="118"/>
      <c r="D14993" s="118"/>
      <c r="E14993" s="118"/>
      <c r="F14993" s="118"/>
    </row>
    <row r="14994" spans="1:6" ht="15" customHeight="1" x14ac:dyDescent="0.25">
      <c r="A14994" s="95" t="s">
        <v>583</v>
      </c>
      <c r="B14994" s="96"/>
      <c r="C14994" s="92"/>
      <c r="D14994" s="92"/>
      <c r="E14994" s="92" t="s">
        <v>584</v>
      </c>
      <c r="F14994" s="92"/>
    </row>
    <row r="14995" spans="1:6" ht="15" customHeight="1" x14ac:dyDescent="0.25">
      <c r="A14995" s="97" t="s">
        <v>563</v>
      </c>
      <c r="B14995" s="98" t="s">
        <v>564</v>
      </c>
      <c r="C14995" s="98" t="s">
        <v>585</v>
      </c>
      <c r="D14995" s="98" t="s">
        <v>586</v>
      </c>
      <c r="E14995" s="120" t="s">
        <v>587</v>
      </c>
      <c r="F14995" s="98" t="s">
        <v>568</v>
      </c>
    </row>
    <row r="14996" spans="1:6" ht="15" customHeight="1" x14ac:dyDescent="0.25">
      <c r="A14996" s="232" t="s">
        <v>1080</v>
      </c>
      <c r="B14996" s="202">
        <v>1</v>
      </c>
      <c r="C14996" s="205">
        <v>200000</v>
      </c>
      <c r="D14996" s="233">
        <f>+B14996/233</f>
        <v>4.2918454935622317E-3</v>
      </c>
      <c r="E14996" s="234"/>
      <c r="F14996" s="211">
        <f>+D14996*C14996*B14996</f>
        <v>858.36909871244632</v>
      </c>
    </row>
    <row r="14997" spans="1:6" ht="15" customHeight="1" x14ac:dyDescent="0.25">
      <c r="A14997" s="103"/>
      <c r="B14997" s="100"/>
      <c r="C14997" s="107"/>
      <c r="D14997" s="107"/>
      <c r="E14997" s="108"/>
      <c r="F14997" s="109"/>
    </row>
    <row r="14998" spans="1:6" ht="15" customHeight="1" x14ac:dyDescent="0.25">
      <c r="A14998" s="97" t="s">
        <v>548</v>
      </c>
      <c r="B14998" s="98"/>
      <c r="C14998" s="110"/>
      <c r="D14998" s="110"/>
      <c r="E14998" s="111"/>
      <c r="F14998" s="112">
        <f>SUM(F14996:F14997)</f>
        <v>858.36909871244632</v>
      </c>
    </row>
    <row r="14999" spans="1:6" ht="15" customHeight="1" x14ac:dyDescent="0.25">
      <c r="A14999" s="88"/>
      <c r="B14999" s="89"/>
      <c r="C14999" s="113"/>
      <c r="D14999" s="113"/>
      <c r="E14999" s="114"/>
      <c r="F14999" s="113"/>
    </row>
    <row r="15000" spans="1:6" ht="15" customHeight="1" x14ac:dyDescent="0.25">
      <c r="A15000" s="88"/>
      <c r="B15000" s="89"/>
      <c r="C15000" s="113"/>
      <c r="D15000" s="113"/>
      <c r="E15000" s="114"/>
      <c r="F15000" s="113"/>
    </row>
    <row r="15001" spans="1:6" ht="15" customHeight="1" x14ac:dyDescent="0.25">
      <c r="A15001" s="612" t="s">
        <v>588</v>
      </c>
      <c r="B15001" s="608"/>
      <c r="C15001" s="608"/>
      <c r="D15001" s="608"/>
      <c r="E15001" s="609"/>
      <c r="F15001" s="131">
        <f>ROUND(F14971+F14984+F14992+F14998,0)</f>
        <v>41623</v>
      </c>
    </row>
    <row r="15002" spans="1:6" ht="15" customHeight="1" x14ac:dyDescent="0.25">
      <c r="A15002" s="612" t="s">
        <v>589</v>
      </c>
      <c r="B15002" s="608"/>
      <c r="C15002" s="608"/>
      <c r="D15002" s="608"/>
      <c r="E15002" s="609"/>
      <c r="F15002" s="132"/>
    </row>
    <row r="15003" spans="1:6" ht="15" customHeight="1" x14ac:dyDescent="0.25">
      <c r="A15003" s="146" t="s">
        <v>556</v>
      </c>
      <c r="B15003" s="147"/>
      <c r="C15003" s="147"/>
      <c r="D15003" s="147"/>
      <c r="E15003" s="148"/>
      <c r="F15003" s="133"/>
    </row>
    <row r="15004" spans="1:6" ht="15" customHeight="1" x14ac:dyDescent="0.25">
      <c r="A15004" s="134"/>
      <c r="B15004" s="135"/>
      <c r="C15004" s="135"/>
      <c r="D15004" s="135"/>
      <c r="E15004" s="135"/>
      <c r="F15004" s="136"/>
    </row>
    <row r="15005" spans="1:6" ht="15" customHeight="1" x14ac:dyDescent="0.25">
      <c r="A15005" s="81"/>
      <c r="B15005" s="81"/>
      <c r="C15005" s="137"/>
      <c r="D15005" s="81"/>
      <c r="E15005" s="81"/>
      <c r="F15005" s="81"/>
    </row>
    <row r="15006" spans="1:6" ht="15" customHeight="1" x14ac:dyDescent="0.25">
      <c r="A15006" s="81"/>
      <c r="B15006" s="81"/>
      <c r="C15006" s="137"/>
      <c r="D15006" s="81"/>
      <c r="E15006" s="81"/>
      <c r="F15006" s="81"/>
    </row>
    <row r="15007" spans="1:6" ht="15" customHeight="1" x14ac:dyDescent="0.25">
      <c r="A15007" s="81"/>
      <c r="B15007" s="81"/>
      <c r="C15007" s="137"/>
      <c r="D15007" s="81"/>
      <c r="E15007" s="81"/>
      <c r="F15007" s="81"/>
    </row>
    <row r="15008" spans="1:6" ht="15" customHeight="1" x14ac:dyDescent="0.25">
      <c r="A15008" s="81"/>
      <c r="B15008" s="81"/>
      <c r="C15008" s="137"/>
      <c r="D15008" s="81"/>
      <c r="E15008" s="81"/>
      <c r="F15008" s="81"/>
    </row>
    <row r="15009" spans="1:6" ht="15" customHeight="1" x14ac:dyDescent="0.25">
      <c r="A15009" s="134"/>
      <c r="B15009" s="135"/>
      <c r="C15009" s="135"/>
      <c r="D15009" s="135"/>
      <c r="E15009" s="135"/>
      <c r="F15009" s="136"/>
    </row>
    <row r="15010" spans="1:6" ht="15" customHeight="1" x14ac:dyDescent="0.25">
      <c r="A15010" s="134"/>
      <c r="B15010" s="135"/>
      <c r="C15010" s="135"/>
      <c r="D15010" s="135"/>
      <c r="E15010" s="135"/>
      <c r="F15010" s="136"/>
    </row>
    <row r="15011" spans="1:6" ht="15" customHeight="1" x14ac:dyDescent="0.25">
      <c r="A15011" s="134"/>
      <c r="B15011" s="135"/>
      <c r="C15011" s="135"/>
      <c r="D15011" s="135"/>
      <c r="E15011" s="135"/>
      <c r="F15011" s="135"/>
    </row>
    <row r="15012" spans="1:6" ht="15" customHeight="1" thickBot="1" x14ac:dyDescent="0.3">
      <c r="A15012" s="81"/>
      <c r="B15012" s="81"/>
      <c r="C15012" s="81"/>
      <c r="D15012" s="81"/>
      <c r="E15012" s="81"/>
      <c r="F15012" s="81"/>
    </row>
    <row r="15013" spans="1:6" ht="15" customHeight="1" x14ac:dyDescent="0.25">
      <c r="A15013" s="83"/>
      <c r="B15013" s="84"/>
      <c r="C15013" s="85"/>
      <c r="D15013" s="86"/>
      <c r="E15013" s="86"/>
      <c r="F15013" s="87"/>
    </row>
    <row r="15014" spans="1:6" ht="15" customHeight="1" x14ac:dyDescent="0.25">
      <c r="A15014" s="599"/>
      <c r="B15014" s="600"/>
      <c r="C15014" s="600"/>
      <c r="D15014" s="600"/>
      <c r="E15014" s="600"/>
      <c r="F15014" s="601"/>
    </row>
    <row r="15015" spans="1:6" ht="15" customHeight="1" x14ac:dyDescent="0.25">
      <c r="A15015" s="602" t="s">
        <v>561</v>
      </c>
      <c r="B15015" s="600"/>
      <c r="C15015" s="600"/>
      <c r="D15015" s="600"/>
      <c r="E15015" s="600"/>
      <c r="F15015" s="601"/>
    </row>
    <row r="15016" spans="1:6" ht="15" customHeight="1" thickBot="1" x14ac:dyDescent="0.3">
      <c r="A15016" s="603"/>
      <c r="B15016" s="604"/>
      <c r="C15016" s="604"/>
      <c r="D15016" s="604"/>
      <c r="E15016" s="604"/>
      <c r="F15016" s="605"/>
    </row>
    <row r="15017" spans="1:6" ht="15" customHeight="1" x14ac:dyDescent="0.25">
      <c r="A15017" s="88"/>
      <c r="B15017" s="88"/>
      <c r="C15017" s="89"/>
      <c r="D15017" s="89"/>
      <c r="E15017" s="89"/>
      <c r="F15017" s="89"/>
    </row>
    <row r="15018" spans="1:6" ht="15" customHeight="1" x14ac:dyDescent="0.25">
      <c r="A15018" s="190" t="s">
        <v>0</v>
      </c>
      <c r="B15018" s="606" t="str">
        <f>'Presupuesto Especifico'!C329</f>
        <v>Suministro e instalacion Acometida Acometida Electrica en Tuberia PVC Conduit de 3/4", 1#8F+1#8N+1#8T en cable Cu THHN/THWN AWG LIBRE DE HALOGENOS  3 Lineas</v>
      </c>
      <c r="C15018" s="606"/>
      <c r="D15018" s="606"/>
      <c r="E15018" s="606"/>
      <c r="F15018" s="606"/>
    </row>
    <row r="15019" spans="1:6" ht="15" customHeight="1" x14ac:dyDescent="0.25">
      <c r="A15019" s="191"/>
      <c r="B15019" s="191"/>
      <c r="C15019" s="191"/>
      <c r="D15019" s="191"/>
      <c r="E15019" s="191"/>
      <c r="F15019" s="191"/>
    </row>
    <row r="15020" spans="1:6" ht="15" customHeight="1" x14ac:dyDescent="0.25">
      <c r="A15020" s="192" t="s">
        <v>49</v>
      </c>
      <c r="B15020" s="193" t="s">
        <v>59</v>
      </c>
      <c r="C15020" s="194"/>
      <c r="D15020" s="194"/>
      <c r="E15020" s="194"/>
      <c r="F15020" s="195"/>
    </row>
    <row r="15021" spans="1:6" ht="15" customHeight="1" x14ac:dyDescent="0.25">
      <c r="A15021" s="192"/>
      <c r="B15021" s="196"/>
      <c r="C15021" s="194"/>
      <c r="D15021" s="194"/>
      <c r="E15021" s="194"/>
      <c r="F15021" s="195"/>
    </row>
    <row r="15022" spans="1:6" ht="15" customHeight="1" x14ac:dyDescent="0.25">
      <c r="A15022" s="197" t="s">
        <v>562</v>
      </c>
      <c r="B15022" s="198"/>
      <c r="C15022" s="193"/>
      <c r="D15022" s="193"/>
      <c r="E15022" s="193"/>
      <c r="F15022" s="193"/>
    </row>
    <row r="15023" spans="1:6" ht="15" customHeight="1" x14ac:dyDescent="0.25">
      <c r="A15023" s="199" t="s">
        <v>563</v>
      </c>
      <c r="B15023" s="200" t="s">
        <v>564</v>
      </c>
      <c r="C15023" s="200" t="s">
        <v>565</v>
      </c>
      <c r="D15023" s="200" t="s">
        <v>566</v>
      </c>
      <c r="E15023" s="200" t="s">
        <v>567</v>
      </c>
      <c r="F15023" s="200" t="s">
        <v>568</v>
      </c>
    </row>
    <row r="15024" spans="1:6" ht="15" customHeight="1" x14ac:dyDescent="0.25">
      <c r="A15024" s="201" t="s">
        <v>1090</v>
      </c>
      <c r="B15024" s="202" t="s">
        <v>59</v>
      </c>
      <c r="C15024" s="189">
        <v>8750</v>
      </c>
      <c r="D15024" s="203">
        <v>3</v>
      </c>
      <c r="E15024" s="204">
        <v>0.05</v>
      </c>
      <c r="F15024" s="205">
        <f t="shared" ref="F15024:F15031" si="735">+(C15024*D15024)+(C15024*D15024)*E15024</f>
        <v>27562.5</v>
      </c>
    </row>
    <row r="15025" spans="1:6" ht="15" customHeight="1" x14ac:dyDescent="0.25">
      <c r="A15025" s="207" t="s">
        <v>1079</v>
      </c>
      <c r="B15025" s="202" t="s">
        <v>279</v>
      </c>
      <c r="C15025" s="208">
        <f>2000*2.5</f>
        <v>5000</v>
      </c>
      <c r="D15025" s="206">
        <v>0.6</v>
      </c>
      <c r="E15025" s="204">
        <v>0.05</v>
      </c>
      <c r="F15025" s="205">
        <f t="shared" si="735"/>
        <v>3150</v>
      </c>
    </row>
    <row r="15026" spans="1:6" ht="15" customHeight="1" x14ac:dyDescent="0.25">
      <c r="A15026" s="207" t="s">
        <v>1083</v>
      </c>
      <c r="B15026" s="202" t="s">
        <v>279</v>
      </c>
      <c r="C15026" s="208">
        <f>1066.66666666667*2.5</f>
        <v>2666.6666666666747</v>
      </c>
      <c r="D15026" s="203">
        <v>1</v>
      </c>
      <c r="E15026" s="204">
        <v>0</v>
      </c>
      <c r="F15026" s="205">
        <f t="shared" si="735"/>
        <v>2666.6666666666747</v>
      </c>
    </row>
    <row r="15027" spans="1:6" ht="15" customHeight="1" x14ac:dyDescent="0.25">
      <c r="A15027" s="207" t="s">
        <v>1063</v>
      </c>
      <c r="B15027" s="202" t="s">
        <v>1064</v>
      </c>
      <c r="C15027" s="208">
        <f>13000*2.5</f>
        <v>32500</v>
      </c>
      <c r="D15027" s="203">
        <v>0.1</v>
      </c>
      <c r="E15027" s="204">
        <v>0</v>
      </c>
      <c r="F15027" s="205">
        <f t="shared" si="735"/>
        <v>3250</v>
      </c>
    </row>
    <row r="15028" spans="1:6" ht="15" customHeight="1" x14ac:dyDescent="0.25">
      <c r="A15028" s="207" t="s">
        <v>1084</v>
      </c>
      <c r="B15028" s="202" t="s">
        <v>99</v>
      </c>
      <c r="C15028" s="208">
        <v>2250</v>
      </c>
      <c r="D15028" s="203">
        <v>0.4</v>
      </c>
      <c r="E15028" s="204">
        <v>0</v>
      </c>
      <c r="F15028" s="205">
        <f t="shared" si="735"/>
        <v>900</v>
      </c>
    </row>
    <row r="15029" spans="1:6" ht="15" customHeight="1" x14ac:dyDescent="0.25">
      <c r="A15029" s="207" t="s">
        <v>1091</v>
      </c>
      <c r="B15029" s="202" t="s">
        <v>99</v>
      </c>
      <c r="C15029" s="208">
        <v>1600</v>
      </c>
      <c r="D15029" s="203">
        <v>0.2</v>
      </c>
      <c r="E15029" s="204">
        <v>0</v>
      </c>
      <c r="F15029" s="205">
        <f t="shared" si="735"/>
        <v>320</v>
      </c>
    </row>
    <row r="15030" spans="1:6" ht="15" customHeight="1" x14ac:dyDescent="0.25">
      <c r="A15030" s="207" t="s">
        <v>1086</v>
      </c>
      <c r="B15030" s="202" t="s">
        <v>99</v>
      </c>
      <c r="C15030" s="208">
        <v>300</v>
      </c>
      <c r="D15030" s="203">
        <v>0.4</v>
      </c>
      <c r="E15030" s="204">
        <v>0</v>
      </c>
      <c r="F15030" s="205">
        <f t="shared" si="735"/>
        <v>120</v>
      </c>
    </row>
    <row r="15031" spans="1:6" ht="15" customHeight="1" x14ac:dyDescent="0.25">
      <c r="A15031" s="207" t="s">
        <v>1087</v>
      </c>
      <c r="B15031" s="202" t="s">
        <v>1088</v>
      </c>
      <c r="C15031" s="208">
        <v>25400</v>
      </c>
      <c r="D15031" s="203">
        <v>0.3</v>
      </c>
      <c r="E15031" s="204">
        <v>0</v>
      </c>
      <c r="F15031" s="205">
        <f t="shared" si="735"/>
        <v>7620</v>
      </c>
    </row>
    <row r="15032" spans="1:6" ht="15" customHeight="1" x14ac:dyDescent="0.25">
      <c r="A15032" s="209" t="s">
        <v>548</v>
      </c>
      <c r="B15032" s="210"/>
      <c r="C15032" s="211"/>
      <c r="D15032" s="212"/>
      <c r="E15032" s="213"/>
      <c r="F15032" s="214">
        <f>SUM(F15024:F15031)</f>
        <v>45589.166666666672</v>
      </c>
    </row>
    <row r="15033" spans="1:6" ht="15" customHeight="1" x14ac:dyDescent="0.25">
      <c r="A15033" s="192"/>
      <c r="B15033" s="192"/>
      <c r="C15033" s="215"/>
      <c r="D15033" s="215"/>
      <c r="E15033" s="216"/>
      <c r="F15033" s="215"/>
    </row>
    <row r="15034" spans="1:6" ht="15" customHeight="1" x14ac:dyDescent="0.25">
      <c r="A15034" s="198" t="s">
        <v>573</v>
      </c>
      <c r="B15034" s="198"/>
      <c r="C15034" s="193"/>
      <c r="D15034" s="193"/>
      <c r="E15034" s="193"/>
      <c r="F15034" s="193"/>
    </row>
    <row r="15035" spans="1:6" ht="15" customHeight="1" x14ac:dyDescent="0.25">
      <c r="A15035" s="585" t="s">
        <v>563</v>
      </c>
      <c r="B15035" s="595"/>
      <c r="C15035" s="596"/>
      <c r="D15035" s="200" t="s">
        <v>574</v>
      </c>
      <c r="E15035" s="200" t="s">
        <v>575</v>
      </c>
      <c r="F15035" s="200" t="s">
        <v>568</v>
      </c>
    </row>
    <row r="15036" spans="1:6" ht="15" customHeight="1" x14ac:dyDescent="0.25">
      <c r="A15036" s="588" t="s">
        <v>577</v>
      </c>
      <c r="B15036" s="591"/>
      <c r="C15036" s="592"/>
      <c r="D15036" s="217">
        <v>2000</v>
      </c>
      <c r="E15036" s="218">
        <f>60*8/452</f>
        <v>1.0619469026548674</v>
      </c>
      <c r="F15036" s="219">
        <f>+E15036*D15036</f>
        <v>2123.8938053097345</v>
      </c>
    </row>
    <row r="15037" spans="1:6" ht="15" customHeight="1" x14ac:dyDescent="0.25">
      <c r="A15037" s="588"/>
      <c r="B15037" s="591"/>
      <c r="C15037" s="592"/>
      <c r="D15037" s="220"/>
      <c r="E15037" s="221"/>
      <c r="F15037" s="219"/>
    </row>
    <row r="15038" spans="1:6" ht="15" customHeight="1" x14ac:dyDescent="0.25">
      <c r="A15038" s="588"/>
      <c r="B15038" s="591"/>
      <c r="C15038" s="592"/>
      <c r="D15038" s="220"/>
      <c r="E15038" s="218"/>
      <c r="F15038" s="219"/>
    </row>
    <row r="15039" spans="1:6" ht="15" customHeight="1" x14ac:dyDescent="0.25">
      <c r="A15039" s="588"/>
      <c r="B15039" s="591"/>
      <c r="C15039" s="592"/>
      <c r="D15039" s="220"/>
      <c r="E15039" s="218"/>
      <c r="F15039" s="219"/>
    </row>
    <row r="15040" spans="1:6" ht="15" customHeight="1" x14ac:dyDescent="0.25">
      <c r="A15040" s="588"/>
      <c r="B15040" s="591"/>
      <c r="C15040" s="592"/>
      <c r="D15040" s="220"/>
      <c r="E15040" s="218"/>
      <c r="F15040" s="219"/>
    </row>
    <row r="15041" spans="1:6" ht="15" customHeight="1" x14ac:dyDescent="0.25">
      <c r="A15041" s="588"/>
      <c r="B15041" s="591"/>
      <c r="C15041" s="592"/>
      <c r="D15041" s="220"/>
      <c r="E15041" s="218"/>
      <c r="F15041" s="219"/>
    </row>
    <row r="15042" spans="1:6" ht="15" customHeight="1" x14ac:dyDescent="0.25">
      <c r="A15042" s="588"/>
      <c r="B15042" s="591"/>
      <c r="C15042" s="592"/>
      <c r="D15042" s="220"/>
      <c r="E15042" s="218"/>
      <c r="F15042" s="219"/>
    </row>
    <row r="15043" spans="1:6" ht="15" customHeight="1" x14ac:dyDescent="0.25">
      <c r="A15043" s="589"/>
      <c r="B15043" s="593"/>
      <c r="C15043" s="594"/>
      <c r="D15043" s="222"/>
      <c r="E15043" s="218"/>
      <c r="F15043" s="219"/>
    </row>
    <row r="15044" spans="1:6" ht="15" customHeight="1" x14ac:dyDescent="0.25">
      <c r="A15044" s="585" t="s">
        <v>548</v>
      </c>
      <c r="B15044" s="595"/>
      <c r="C15044" s="596"/>
      <c r="D15044" s="212"/>
      <c r="E15044" s="212"/>
      <c r="F15044" s="214">
        <f>SUM(F15036:F15043)</f>
        <v>2123.8938053097345</v>
      </c>
    </row>
    <row r="15045" spans="1:6" ht="15" customHeight="1" x14ac:dyDescent="0.25">
      <c r="A15045" s="192"/>
      <c r="B15045" s="192"/>
      <c r="C15045" s="194"/>
      <c r="D15045" s="215"/>
      <c r="E15045" s="215"/>
      <c r="F15045" s="215"/>
    </row>
    <row r="15046" spans="1:6" ht="15" customHeight="1" x14ac:dyDescent="0.25">
      <c r="A15046" s="198" t="s">
        <v>578</v>
      </c>
      <c r="B15046" s="198"/>
      <c r="C15046" s="193"/>
      <c r="D15046" s="223"/>
      <c r="E15046" s="223"/>
      <c r="F15046" s="223"/>
    </row>
    <row r="15047" spans="1:6" ht="15" customHeight="1" x14ac:dyDescent="0.25">
      <c r="A15047" s="224" t="s">
        <v>563</v>
      </c>
      <c r="B15047" s="225" t="s">
        <v>579</v>
      </c>
      <c r="C15047" s="225" t="s">
        <v>580</v>
      </c>
      <c r="D15047" s="226" t="s">
        <v>581</v>
      </c>
      <c r="E15047" s="226" t="s">
        <v>575</v>
      </c>
      <c r="F15047" s="226" t="s">
        <v>568</v>
      </c>
    </row>
    <row r="15048" spans="1:6" ht="15" customHeight="1" x14ac:dyDescent="0.25">
      <c r="A15048" s="122" t="s">
        <v>916</v>
      </c>
      <c r="B15048" s="127">
        <v>1</v>
      </c>
      <c r="C15048" s="101">
        <v>35956.800000000003</v>
      </c>
      <c r="D15048" s="101">
        <f t="shared" ref="D15048:D15049" si="736">+C15048*1.7</f>
        <v>61126.560000000005</v>
      </c>
      <c r="E15048" s="107">
        <v>20</v>
      </c>
      <c r="F15048" s="106">
        <f t="shared" ref="F15048:F15049" si="737">+B15048*(D15048)/E15048</f>
        <v>3056.3280000000004</v>
      </c>
    </row>
    <row r="15049" spans="1:6" ht="15" customHeight="1" x14ac:dyDescent="0.25">
      <c r="A15049" s="122" t="s">
        <v>917</v>
      </c>
      <c r="B15049" s="127">
        <v>1</v>
      </c>
      <c r="C15049" s="101">
        <v>57791.8</v>
      </c>
      <c r="D15049" s="101">
        <f t="shared" si="736"/>
        <v>98246.06</v>
      </c>
      <c r="E15049" s="107">
        <f>E15048</f>
        <v>20</v>
      </c>
      <c r="F15049" s="106">
        <f t="shared" si="737"/>
        <v>4912.3029999999999</v>
      </c>
    </row>
    <row r="15050" spans="1:6" ht="15" customHeight="1" x14ac:dyDescent="0.25">
      <c r="A15050" s="227"/>
      <c r="B15050" s="228"/>
      <c r="C15050" s="205"/>
      <c r="D15050" s="205"/>
      <c r="E15050" s="202"/>
      <c r="F15050" s="219"/>
    </row>
    <row r="15051" spans="1:6" ht="15" customHeight="1" x14ac:dyDescent="0.25">
      <c r="A15051" s="227"/>
      <c r="B15051" s="228"/>
      <c r="C15051" s="205"/>
      <c r="D15051" s="205"/>
      <c r="E15051" s="202"/>
      <c r="F15051" s="219"/>
    </row>
    <row r="15052" spans="1:6" ht="15" customHeight="1" x14ac:dyDescent="0.25">
      <c r="A15052" s="209" t="s">
        <v>548</v>
      </c>
      <c r="B15052" s="229"/>
      <c r="C15052" s="212"/>
      <c r="D15052" s="212"/>
      <c r="E15052" s="230"/>
      <c r="F15052" s="214">
        <f>SUM(F15048:F15051)</f>
        <v>7968.6310000000003</v>
      </c>
    </row>
    <row r="15053" spans="1:6" ht="15" customHeight="1" x14ac:dyDescent="0.25">
      <c r="A15053" s="198"/>
      <c r="B15053" s="231"/>
      <c r="C15053" s="223"/>
      <c r="D15053" s="223"/>
      <c r="E15053" s="223"/>
      <c r="F15053" s="223"/>
    </row>
    <row r="15054" spans="1:6" ht="15" customHeight="1" x14ac:dyDescent="0.25">
      <c r="A15054" s="197" t="s">
        <v>583</v>
      </c>
      <c r="B15054" s="198"/>
      <c r="C15054" s="193"/>
      <c r="D15054" s="193"/>
      <c r="E15054" s="193" t="s">
        <v>584</v>
      </c>
      <c r="F15054" s="193"/>
    </row>
    <row r="15055" spans="1:6" ht="15" customHeight="1" x14ac:dyDescent="0.25">
      <c r="A15055" s="199" t="s">
        <v>563</v>
      </c>
      <c r="B15055" s="200" t="s">
        <v>564</v>
      </c>
      <c r="C15055" s="200" t="s">
        <v>585</v>
      </c>
      <c r="D15055" s="200" t="s">
        <v>586</v>
      </c>
      <c r="E15055" s="225" t="s">
        <v>587</v>
      </c>
      <c r="F15055" s="200" t="s">
        <v>568</v>
      </c>
    </row>
    <row r="15056" spans="1:6" ht="15" customHeight="1" x14ac:dyDescent="0.25">
      <c r="A15056" s="232" t="s">
        <v>1080</v>
      </c>
      <c r="B15056" s="202">
        <v>1</v>
      </c>
      <c r="C15056" s="205">
        <v>200000</v>
      </c>
      <c r="D15056" s="233">
        <f>+B15056/233</f>
        <v>4.2918454935622317E-3</v>
      </c>
      <c r="E15056" s="234"/>
      <c r="F15056" s="211">
        <f>+D15056*C15056*B15056</f>
        <v>858.36909871244632</v>
      </c>
    </row>
    <row r="15057" spans="1:6" ht="15" customHeight="1" x14ac:dyDescent="0.25">
      <c r="A15057" s="232"/>
      <c r="B15057" s="202"/>
      <c r="C15057" s="218"/>
      <c r="D15057" s="235"/>
      <c r="E15057" s="236"/>
      <c r="F15057" s="211"/>
    </row>
    <row r="15058" spans="1:6" ht="15" customHeight="1" x14ac:dyDescent="0.25">
      <c r="A15058" s="209" t="s">
        <v>548</v>
      </c>
      <c r="B15058" s="230"/>
      <c r="C15058" s="212"/>
      <c r="D15058" s="212"/>
      <c r="E15058" s="213"/>
      <c r="F15058" s="214">
        <f>SUM(F15056:F15057)</f>
        <v>858.36909871244632</v>
      </c>
    </row>
    <row r="15059" spans="1:6" ht="15" customHeight="1" x14ac:dyDescent="0.25">
      <c r="A15059" s="192"/>
      <c r="B15059" s="194"/>
      <c r="C15059" s="215"/>
      <c r="D15059" s="215"/>
      <c r="E15059" s="216"/>
      <c r="F15059" s="215"/>
    </row>
    <row r="15060" spans="1:6" ht="15" customHeight="1" x14ac:dyDescent="0.25">
      <c r="A15060" s="192"/>
      <c r="B15060" s="194"/>
      <c r="C15060" s="215"/>
      <c r="D15060" s="215"/>
      <c r="E15060" s="216"/>
      <c r="F15060" s="215"/>
    </row>
    <row r="15061" spans="1:6" ht="15" customHeight="1" x14ac:dyDescent="0.25">
      <c r="A15061" s="590" t="s">
        <v>588</v>
      </c>
      <c r="B15061" s="597"/>
      <c r="C15061" s="597"/>
      <c r="D15061" s="597"/>
      <c r="E15061" s="598"/>
      <c r="F15061" s="237">
        <f>SUM(+F15058+F15052+F15044+F15032)</f>
        <v>56540.060570688853</v>
      </c>
    </row>
    <row r="15062" spans="1:6" ht="15" customHeight="1" x14ac:dyDescent="0.25">
      <c r="A15062" s="590" t="s">
        <v>589</v>
      </c>
      <c r="B15062" s="597"/>
      <c r="C15062" s="597"/>
      <c r="D15062" s="597"/>
      <c r="E15062" s="598"/>
      <c r="F15062" s="238"/>
    </row>
    <row r="15063" spans="1:6" ht="15" customHeight="1" x14ac:dyDescent="0.25">
      <c r="A15063" s="239" t="s">
        <v>556</v>
      </c>
      <c r="B15063" s="240"/>
      <c r="C15063" s="240"/>
      <c r="D15063" s="240"/>
      <c r="E15063" s="241"/>
      <c r="F15063" s="242"/>
    </row>
    <row r="15064" spans="1:6" ht="15" customHeight="1" x14ac:dyDescent="0.25">
      <c r="A15064" s="81"/>
      <c r="B15064" s="81"/>
      <c r="C15064" s="137"/>
      <c r="D15064" s="81"/>
      <c r="E15064" s="81"/>
      <c r="F15064" s="81"/>
    </row>
    <row r="15065" spans="1:6" ht="15" customHeight="1" x14ac:dyDescent="0.25">
      <c r="A15065" s="81"/>
      <c r="B15065" s="81"/>
      <c r="C15065" s="137"/>
      <c r="D15065" s="81"/>
      <c r="E15065" s="81"/>
      <c r="F15065" s="81"/>
    </row>
    <row r="15066" spans="1:6" ht="15" customHeight="1" x14ac:dyDescent="0.25">
      <c r="A15066" s="81"/>
      <c r="B15066" s="81"/>
      <c r="C15066" s="137"/>
      <c r="D15066" s="81"/>
      <c r="E15066" s="81"/>
      <c r="F15066" s="81"/>
    </row>
    <row r="15067" spans="1:6" ht="15" customHeight="1" x14ac:dyDescent="0.25">
      <c r="A15067" s="81"/>
      <c r="B15067" s="81"/>
      <c r="C15067" s="137"/>
      <c r="D15067" s="81"/>
      <c r="E15067" s="81"/>
      <c r="F15067" s="81"/>
    </row>
    <row r="15068" spans="1:6" ht="15" customHeight="1" x14ac:dyDescent="0.25">
      <c r="A15068" s="134"/>
      <c r="B15068" s="135"/>
      <c r="C15068" s="135"/>
      <c r="D15068" s="135"/>
      <c r="E15068" s="135"/>
      <c r="F15068" s="136"/>
    </row>
    <row r="15069" spans="1:6" ht="15" customHeight="1" x14ac:dyDescent="0.25">
      <c r="A15069" s="134"/>
      <c r="B15069" s="135"/>
      <c r="C15069" s="135"/>
      <c r="D15069" s="135"/>
      <c r="E15069" s="135"/>
      <c r="F15069" s="136"/>
    </row>
    <row r="15070" spans="1:6" ht="15" customHeight="1" x14ac:dyDescent="0.25">
      <c r="A15070" s="134"/>
      <c r="B15070" s="135"/>
      <c r="C15070" s="135"/>
      <c r="D15070" s="135"/>
      <c r="E15070" s="135"/>
      <c r="F15070" s="135"/>
    </row>
    <row r="15071" spans="1:6" ht="15" customHeight="1" thickBot="1" x14ac:dyDescent="0.3">
      <c r="A15071" s="81"/>
      <c r="B15071" s="81"/>
      <c r="C15071" s="81"/>
      <c r="D15071" s="81"/>
      <c r="E15071" s="81"/>
      <c r="F15071" s="81"/>
    </row>
    <row r="15072" spans="1:6" ht="15" customHeight="1" x14ac:dyDescent="0.25">
      <c r="A15072" s="83"/>
      <c r="B15072" s="84"/>
      <c r="C15072" s="85"/>
      <c r="D15072" s="86"/>
      <c r="E15072" s="86"/>
      <c r="F15072" s="87"/>
    </row>
    <row r="15073" spans="1:6" ht="15" customHeight="1" x14ac:dyDescent="0.25">
      <c r="A15073" s="599"/>
      <c r="B15073" s="600"/>
      <c r="C15073" s="600"/>
      <c r="D15073" s="600"/>
      <c r="E15073" s="600"/>
      <c r="F15073" s="601"/>
    </row>
    <row r="15074" spans="1:6" ht="15" customHeight="1" x14ac:dyDescent="0.25">
      <c r="A15074" s="602" t="s">
        <v>561</v>
      </c>
      <c r="B15074" s="600"/>
      <c r="C15074" s="600"/>
      <c r="D15074" s="600"/>
      <c r="E15074" s="600"/>
      <c r="F15074" s="601"/>
    </row>
    <row r="15075" spans="1:6" ht="15" customHeight="1" thickBot="1" x14ac:dyDescent="0.3">
      <c r="A15075" s="603"/>
      <c r="B15075" s="604"/>
      <c r="C15075" s="604"/>
      <c r="D15075" s="604"/>
      <c r="E15075" s="604"/>
      <c r="F15075" s="605"/>
    </row>
    <row r="15076" spans="1:6" ht="15" customHeight="1" x14ac:dyDescent="0.25">
      <c r="A15076" s="88"/>
      <c r="B15076" s="88"/>
      <c r="C15076" s="89"/>
      <c r="D15076" s="89"/>
      <c r="E15076" s="89"/>
      <c r="F15076" s="89"/>
    </row>
    <row r="15077" spans="1:6" ht="15" customHeight="1" x14ac:dyDescent="0.25">
      <c r="A15077" s="90" t="s">
        <v>47</v>
      </c>
      <c r="B15077" s="624" t="str">
        <f>'Presupuesto Especifico'!C330</f>
        <v>Suministro e instalacion Acometida Electrica en Tuberia PVC Conduit de 3/4",  cable 1#6F+1#6N+1#6T en cable Cu THHN/THWN AWG LIBRE DE HALOGENOS) 3 Lineas</v>
      </c>
      <c r="C15077" s="625"/>
      <c r="D15077" s="625"/>
      <c r="E15077" s="625"/>
      <c r="F15077" s="625"/>
    </row>
    <row r="15078" spans="1:6" ht="15" customHeight="1" x14ac:dyDescent="0.25">
      <c r="A15078" s="91"/>
      <c r="B15078" s="91"/>
      <c r="C15078" s="91"/>
      <c r="D15078" s="91"/>
      <c r="E15078" s="91"/>
      <c r="F15078" s="91"/>
    </row>
    <row r="15079" spans="1:6" ht="15" customHeight="1" x14ac:dyDescent="0.25">
      <c r="A15079" s="192" t="s">
        <v>49</v>
      </c>
      <c r="B15079" s="193" t="s">
        <v>59</v>
      </c>
      <c r="C15079" s="194"/>
      <c r="D15079" s="194"/>
      <c r="E15079" s="194"/>
      <c r="F15079" s="195"/>
    </row>
    <row r="15080" spans="1:6" ht="15" customHeight="1" x14ac:dyDescent="0.25">
      <c r="A15080" s="192"/>
      <c r="B15080" s="196"/>
      <c r="C15080" s="194"/>
      <c r="D15080" s="194"/>
      <c r="E15080" s="194"/>
      <c r="F15080" s="195"/>
    </row>
    <row r="15081" spans="1:6" ht="15" customHeight="1" x14ac:dyDescent="0.25">
      <c r="A15081" s="197" t="s">
        <v>562</v>
      </c>
      <c r="B15081" s="198"/>
      <c r="C15081" s="193"/>
      <c r="D15081" s="193"/>
      <c r="E15081" s="193"/>
      <c r="F15081" s="193"/>
    </row>
    <row r="15082" spans="1:6" ht="15" customHeight="1" x14ac:dyDescent="0.25">
      <c r="A15082" s="199" t="s">
        <v>563</v>
      </c>
      <c r="B15082" s="200" t="s">
        <v>564</v>
      </c>
      <c r="C15082" s="200" t="s">
        <v>565</v>
      </c>
      <c r="D15082" s="200" t="s">
        <v>566</v>
      </c>
      <c r="E15082" s="200" t="s">
        <v>567</v>
      </c>
      <c r="F15082" s="200" t="s">
        <v>568</v>
      </c>
    </row>
    <row r="15083" spans="1:6" ht="15" customHeight="1" x14ac:dyDescent="0.25">
      <c r="A15083" s="201" t="s">
        <v>1092</v>
      </c>
      <c r="B15083" s="202" t="s">
        <v>59</v>
      </c>
      <c r="C15083" s="189">
        <v>8500</v>
      </c>
      <c r="D15083" s="203">
        <v>3</v>
      </c>
      <c r="E15083" s="204">
        <v>0.05</v>
      </c>
      <c r="F15083" s="205">
        <f t="shared" ref="F15083:F15090" si="738">+(C15083*D15083)+(C15083*D15083)*E15083</f>
        <v>26775</v>
      </c>
    </row>
    <row r="15084" spans="1:6" ht="15" customHeight="1" x14ac:dyDescent="0.25">
      <c r="A15084" s="207" t="s">
        <v>1093</v>
      </c>
      <c r="B15084" s="202" t="s">
        <v>279</v>
      </c>
      <c r="C15084" s="208">
        <f>2000*2.5</f>
        <v>5000</v>
      </c>
      <c r="D15084" s="206">
        <v>0.6</v>
      </c>
      <c r="E15084" s="204">
        <v>0</v>
      </c>
      <c r="F15084" s="205">
        <f t="shared" si="738"/>
        <v>3000</v>
      </c>
    </row>
    <row r="15085" spans="1:6" ht="15" customHeight="1" x14ac:dyDescent="0.25">
      <c r="A15085" s="207" t="s">
        <v>1083</v>
      </c>
      <c r="B15085" s="202" t="s">
        <v>279</v>
      </c>
      <c r="C15085" s="208">
        <f>1066.66666666667*2.5</f>
        <v>2666.6666666666747</v>
      </c>
      <c r="D15085" s="203">
        <v>1</v>
      </c>
      <c r="E15085" s="204">
        <v>0</v>
      </c>
      <c r="F15085" s="205">
        <f t="shared" si="738"/>
        <v>2666.6666666666747</v>
      </c>
    </row>
    <row r="15086" spans="1:6" ht="15" customHeight="1" x14ac:dyDescent="0.25">
      <c r="A15086" s="207" t="s">
        <v>1063</v>
      </c>
      <c r="B15086" s="202" t="s">
        <v>1064</v>
      </c>
      <c r="C15086" s="208">
        <f>13000*2.5</f>
        <v>32500</v>
      </c>
      <c r="D15086" s="203">
        <v>0.1</v>
      </c>
      <c r="E15086" s="204">
        <v>0</v>
      </c>
      <c r="F15086" s="205">
        <f t="shared" si="738"/>
        <v>3250</v>
      </c>
    </row>
    <row r="15087" spans="1:6" ht="15" customHeight="1" x14ac:dyDescent="0.25">
      <c r="A15087" s="207" t="s">
        <v>1084</v>
      </c>
      <c r="B15087" s="202" t="s">
        <v>99</v>
      </c>
      <c r="C15087" s="208">
        <v>2250</v>
      </c>
      <c r="D15087" s="203">
        <v>0.4</v>
      </c>
      <c r="E15087" s="204">
        <v>0</v>
      </c>
      <c r="F15087" s="205">
        <f t="shared" si="738"/>
        <v>900</v>
      </c>
    </row>
    <row r="15088" spans="1:6" ht="15" customHeight="1" x14ac:dyDescent="0.25">
      <c r="A15088" s="207" t="s">
        <v>1091</v>
      </c>
      <c r="B15088" s="202" t="s">
        <v>99</v>
      </c>
      <c r="C15088" s="208">
        <v>1600</v>
      </c>
      <c r="D15088" s="203">
        <v>0.2</v>
      </c>
      <c r="E15088" s="204">
        <v>0</v>
      </c>
      <c r="F15088" s="205">
        <f t="shared" si="738"/>
        <v>320</v>
      </c>
    </row>
    <row r="15089" spans="1:6" ht="15" customHeight="1" x14ac:dyDescent="0.25">
      <c r="A15089" s="207" t="s">
        <v>1086</v>
      </c>
      <c r="B15089" s="202" t="s">
        <v>99</v>
      </c>
      <c r="C15089" s="208">
        <v>300</v>
      </c>
      <c r="D15089" s="203">
        <v>0.4</v>
      </c>
      <c r="E15089" s="204">
        <v>0</v>
      </c>
      <c r="F15089" s="205">
        <f t="shared" si="738"/>
        <v>120</v>
      </c>
    </row>
    <row r="15090" spans="1:6" ht="15" customHeight="1" x14ac:dyDescent="0.25">
      <c r="A15090" s="207" t="s">
        <v>1094</v>
      </c>
      <c r="B15090" s="202" t="s">
        <v>1088</v>
      </c>
      <c r="C15090" s="208">
        <v>25400</v>
      </c>
      <c r="D15090" s="203">
        <v>0.3</v>
      </c>
      <c r="E15090" s="204">
        <v>0</v>
      </c>
      <c r="F15090" s="205">
        <f t="shared" si="738"/>
        <v>7620</v>
      </c>
    </row>
    <row r="15091" spans="1:6" ht="15" customHeight="1" x14ac:dyDescent="0.25">
      <c r="A15091" s="209" t="s">
        <v>548</v>
      </c>
      <c r="B15091" s="210"/>
      <c r="C15091" s="211"/>
      <c r="D15091" s="212"/>
      <c r="E15091" s="213"/>
      <c r="F15091" s="214">
        <f>SUM(F15083:F15090)</f>
        <v>44651.666666666672</v>
      </c>
    </row>
    <row r="15092" spans="1:6" ht="15" customHeight="1" x14ac:dyDescent="0.25">
      <c r="A15092" s="192"/>
      <c r="B15092" s="192"/>
      <c r="C15092" s="215"/>
      <c r="D15092" s="215"/>
      <c r="E15092" s="216"/>
      <c r="F15092" s="215"/>
    </row>
    <row r="15093" spans="1:6" ht="15" customHeight="1" x14ac:dyDescent="0.25">
      <c r="A15093" s="198" t="s">
        <v>573</v>
      </c>
      <c r="B15093" s="198"/>
      <c r="C15093" s="193"/>
      <c r="D15093" s="193"/>
      <c r="E15093" s="193"/>
      <c r="F15093" s="193"/>
    </row>
    <row r="15094" spans="1:6" ht="15" customHeight="1" x14ac:dyDescent="0.25">
      <c r="A15094" s="585" t="s">
        <v>563</v>
      </c>
      <c r="B15094" s="595"/>
      <c r="C15094" s="596"/>
      <c r="D15094" s="200" t="s">
        <v>574</v>
      </c>
      <c r="E15094" s="200" t="s">
        <v>575</v>
      </c>
      <c r="F15094" s="200" t="s">
        <v>568</v>
      </c>
    </row>
    <row r="15095" spans="1:6" ht="15" customHeight="1" x14ac:dyDescent="0.25">
      <c r="A15095" s="588" t="s">
        <v>577</v>
      </c>
      <c r="B15095" s="591"/>
      <c r="C15095" s="592"/>
      <c r="D15095" s="217">
        <v>2000</v>
      </c>
      <c r="E15095" s="218">
        <v>0.8</v>
      </c>
      <c r="F15095" s="219">
        <f>+E15095*D15095</f>
        <v>1600</v>
      </c>
    </row>
    <row r="15096" spans="1:6" ht="15" customHeight="1" x14ac:dyDescent="0.25">
      <c r="A15096" s="588"/>
      <c r="B15096" s="591"/>
      <c r="C15096" s="592"/>
      <c r="D15096" s="220"/>
      <c r="E15096" s="221"/>
      <c r="F15096" s="219"/>
    </row>
    <row r="15097" spans="1:6" ht="15" customHeight="1" x14ac:dyDescent="0.25">
      <c r="A15097" s="588"/>
      <c r="B15097" s="591"/>
      <c r="C15097" s="592"/>
      <c r="D15097" s="220"/>
      <c r="E15097" s="218"/>
      <c r="F15097" s="219"/>
    </row>
    <row r="15098" spans="1:6" ht="15" customHeight="1" x14ac:dyDescent="0.25">
      <c r="A15098" s="588"/>
      <c r="B15098" s="591"/>
      <c r="C15098" s="592"/>
      <c r="D15098" s="220"/>
      <c r="E15098" s="218"/>
      <c r="F15098" s="219"/>
    </row>
    <row r="15099" spans="1:6" ht="15" customHeight="1" x14ac:dyDescent="0.25">
      <c r="A15099" s="588"/>
      <c r="B15099" s="591"/>
      <c r="C15099" s="592"/>
      <c r="D15099" s="220"/>
      <c r="E15099" s="218"/>
      <c r="F15099" s="219"/>
    </row>
    <row r="15100" spans="1:6" ht="15" customHeight="1" x14ac:dyDescent="0.25">
      <c r="A15100" s="588"/>
      <c r="B15100" s="591"/>
      <c r="C15100" s="592"/>
      <c r="D15100" s="220"/>
      <c r="E15100" s="218"/>
      <c r="F15100" s="219"/>
    </row>
    <row r="15101" spans="1:6" ht="15" customHeight="1" x14ac:dyDescent="0.25">
      <c r="A15101" s="588"/>
      <c r="B15101" s="591"/>
      <c r="C15101" s="592"/>
      <c r="D15101" s="220"/>
      <c r="E15101" s="218"/>
      <c r="F15101" s="219"/>
    </row>
    <row r="15102" spans="1:6" ht="15" customHeight="1" x14ac:dyDescent="0.25">
      <c r="A15102" s="589"/>
      <c r="B15102" s="593"/>
      <c r="C15102" s="594"/>
      <c r="D15102" s="222"/>
      <c r="E15102" s="218"/>
      <c r="F15102" s="219"/>
    </row>
    <row r="15103" spans="1:6" ht="15" customHeight="1" x14ac:dyDescent="0.25">
      <c r="A15103" s="585" t="s">
        <v>548</v>
      </c>
      <c r="B15103" s="595"/>
      <c r="C15103" s="596"/>
      <c r="D15103" s="212"/>
      <c r="E15103" s="212"/>
      <c r="F15103" s="214">
        <f>SUM(F15095:F15102)</f>
        <v>1600</v>
      </c>
    </row>
    <row r="15104" spans="1:6" ht="15" customHeight="1" x14ac:dyDescent="0.25">
      <c r="A15104" s="192"/>
      <c r="B15104" s="192"/>
      <c r="C15104" s="194"/>
      <c r="D15104" s="215"/>
      <c r="E15104" s="215"/>
      <c r="F15104" s="215"/>
    </row>
    <row r="15105" spans="1:6" ht="15" customHeight="1" x14ac:dyDescent="0.25">
      <c r="A15105" s="198" t="s">
        <v>578</v>
      </c>
      <c r="B15105" s="198"/>
      <c r="C15105" s="193"/>
      <c r="D15105" s="223"/>
      <c r="E15105" s="223"/>
      <c r="F15105" s="223"/>
    </row>
    <row r="15106" spans="1:6" ht="15" customHeight="1" x14ac:dyDescent="0.25">
      <c r="A15106" s="224" t="s">
        <v>563</v>
      </c>
      <c r="B15106" s="225" t="s">
        <v>579</v>
      </c>
      <c r="C15106" s="225" t="s">
        <v>580</v>
      </c>
      <c r="D15106" s="226" t="s">
        <v>581</v>
      </c>
      <c r="E15106" s="226" t="s">
        <v>575</v>
      </c>
      <c r="F15106" s="226" t="s">
        <v>568</v>
      </c>
    </row>
    <row r="15107" spans="1:6" ht="15" customHeight="1" x14ac:dyDescent="0.25">
      <c r="A15107" s="122" t="s">
        <v>916</v>
      </c>
      <c r="B15107" s="127">
        <v>1</v>
      </c>
      <c r="C15107" s="101">
        <v>35956.800000000003</v>
      </c>
      <c r="D15107" s="101">
        <f t="shared" ref="D15107:D15108" si="739">+C15107*1.7</f>
        <v>61126.560000000005</v>
      </c>
      <c r="E15107" s="107">
        <v>16</v>
      </c>
      <c r="F15107" s="106">
        <f t="shared" ref="F15107:F15108" si="740">+B15107*(D15107)/E15107</f>
        <v>3820.4100000000003</v>
      </c>
    </row>
    <row r="15108" spans="1:6" ht="15" customHeight="1" x14ac:dyDescent="0.25">
      <c r="A15108" s="122" t="s">
        <v>917</v>
      </c>
      <c r="B15108" s="127">
        <v>1</v>
      </c>
      <c r="C15108" s="101">
        <v>57791.8</v>
      </c>
      <c r="D15108" s="101">
        <f t="shared" si="739"/>
        <v>98246.06</v>
      </c>
      <c r="E15108" s="107">
        <f>E15107</f>
        <v>16</v>
      </c>
      <c r="F15108" s="106">
        <f t="shared" si="740"/>
        <v>6140.3787499999999</v>
      </c>
    </row>
    <row r="15109" spans="1:6" ht="15" customHeight="1" x14ac:dyDescent="0.25">
      <c r="A15109" s="227"/>
      <c r="B15109" s="228"/>
      <c r="C15109" s="205"/>
      <c r="D15109" s="205"/>
      <c r="E15109" s="202"/>
      <c r="F15109" s="219"/>
    </row>
    <row r="15110" spans="1:6" ht="15" customHeight="1" x14ac:dyDescent="0.25">
      <c r="A15110" s="227"/>
      <c r="B15110" s="228"/>
      <c r="C15110" s="205"/>
      <c r="D15110" s="205"/>
      <c r="E15110" s="202"/>
      <c r="F15110" s="219"/>
    </row>
    <row r="15111" spans="1:6" ht="15" customHeight="1" x14ac:dyDescent="0.25">
      <c r="A15111" s="209" t="s">
        <v>548</v>
      </c>
      <c r="B15111" s="229"/>
      <c r="C15111" s="212"/>
      <c r="D15111" s="212"/>
      <c r="E15111" s="230"/>
      <c r="F15111" s="214">
        <f>SUM(F15107:F15110)</f>
        <v>9960.7887499999997</v>
      </c>
    </row>
    <row r="15112" spans="1:6" ht="15" customHeight="1" x14ac:dyDescent="0.25">
      <c r="A15112" s="198"/>
      <c r="B15112" s="231"/>
      <c r="C15112" s="223"/>
      <c r="D15112" s="223"/>
      <c r="E15112" s="223"/>
      <c r="F15112" s="223"/>
    </row>
    <row r="15113" spans="1:6" ht="15" customHeight="1" x14ac:dyDescent="0.25">
      <c r="A15113" s="197" t="s">
        <v>583</v>
      </c>
      <c r="B15113" s="198"/>
      <c r="C15113" s="193"/>
      <c r="D15113" s="193"/>
      <c r="E15113" s="193" t="s">
        <v>584</v>
      </c>
      <c r="F15113" s="193"/>
    </row>
    <row r="15114" spans="1:6" ht="15" customHeight="1" x14ac:dyDescent="0.25">
      <c r="A15114" s="199" t="s">
        <v>563</v>
      </c>
      <c r="B15114" s="200" t="s">
        <v>564</v>
      </c>
      <c r="C15114" s="200" t="s">
        <v>585</v>
      </c>
      <c r="D15114" s="200" t="s">
        <v>586</v>
      </c>
      <c r="E15114" s="225" t="s">
        <v>587</v>
      </c>
      <c r="F15114" s="200" t="s">
        <v>568</v>
      </c>
    </row>
    <row r="15115" spans="1:6" ht="15" customHeight="1" x14ac:dyDescent="0.25">
      <c r="A15115" s="232" t="s">
        <v>1080</v>
      </c>
      <c r="B15115" s="202">
        <v>1</v>
      </c>
      <c r="C15115" s="205">
        <v>200000</v>
      </c>
      <c r="D15115" s="233">
        <f>+B15115/233</f>
        <v>4.2918454935622317E-3</v>
      </c>
      <c r="E15115" s="234"/>
      <c r="F15115" s="211">
        <f>+D15115*C15115*B15115</f>
        <v>858.36909871244632</v>
      </c>
    </row>
    <row r="15116" spans="1:6" ht="15" customHeight="1" x14ac:dyDescent="0.25">
      <c r="A15116" s="232"/>
      <c r="B15116" s="202"/>
      <c r="C15116" s="218"/>
      <c r="D15116" s="235"/>
      <c r="E15116" s="236"/>
      <c r="F15116" s="211"/>
    </row>
    <row r="15117" spans="1:6" ht="15" customHeight="1" x14ac:dyDescent="0.25">
      <c r="A15117" s="209" t="s">
        <v>548</v>
      </c>
      <c r="B15117" s="230"/>
      <c r="C15117" s="212"/>
      <c r="D15117" s="212"/>
      <c r="E15117" s="213"/>
      <c r="F15117" s="214">
        <f>SUM(F15115:F15116)</f>
        <v>858.36909871244632</v>
      </c>
    </row>
    <row r="15118" spans="1:6" ht="15" customHeight="1" x14ac:dyDescent="0.25">
      <c r="A15118" s="192"/>
      <c r="B15118" s="194"/>
      <c r="C15118" s="215"/>
      <c r="D15118" s="215"/>
      <c r="E15118" s="216"/>
      <c r="F15118" s="215"/>
    </row>
    <row r="15119" spans="1:6" ht="15" customHeight="1" x14ac:dyDescent="0.25">
      <c r="A15119" s="192"/>
      <c r="B15119" s="194"/>
      <c r="C15119" s="215"/>
      <c r="D15119" s="215"/>
      <c r="E15119" s="216"/>
      <c r="F15119" s="215"/>
    </row>
    <row r="15120" spans="1:6" ht="15" customHeight="1" x14ac:dyDescent="0.25">
      <c r="A15120" s="590" t="s">
        <v>588</v>
      </c>
      <c r="B15120" s="597"/>
      <c r="C15120" s="597"/>
      <c r="D15120" s="597"/>
      <c r="E15120" s="598"/>
      <c r="F15120" s="237">
        <f>SUM(+F15117+F15111+F15103+F15091)</f>
        <v>57070.824515379121</v>
      </c>
    </row>
    <row r="15121" spans="1:6" ht="15" customHeight="1" x14ac:dyDescent="0.25">
      <c r="A15121" s="590" t="s">
        <v>589</v>
      </c>
      <c r="B15121" s="597"/>
      <c r="C15121" s="597"/>
      <c r="D15121" s="597"/>
      <c r="E15121" s="598"/>
      <c r="F15121" s="238"/>
    </row>
    <row r="15122" spans="1:6" ht="15" customHeight="1" x14ac:dyDescent="0.25">
      <c r="A15122" s="239" t="s">
        <v>556</v>
      </c>
      <c r="B15122" s="240"/>
      <c r="C15122" s="240"/>
      <c r="D15122" s="240"/>
      <c r="E15122" s="241"/>
      <c r="F15122" s="242"/>
    </row>
    <row r="15123" spans="1:6" ht="15" customHeight="1" x14ac:dyDescent="0.25">
      <c r="A15123" s="81"/>
      <c r="B15123" s="81"/>
      <c r="C15123" s="137"/>
      <c r="D15123" s="81"/>
      <c r="E15123" s="81"/>
      <c r="F15123" s="81"/>
    </row>
    <row r="15124" spans="1:6" ht="15" customHeight="1" x14ac:dyDescent="0.25">
      <c r="A15124" s="81"/>
      <c r="B15124" s="81"/>
      <c r="C15124" s="137"/>
      <c r="D15124" s="81"/>
      <c r="E15124" s="81"/>
      <c r="F15124" s="81"/>
    </row>
    <row r="15125" spans="1:6" ht="15" customHeight="1" x14ac:dyDescent="0.25">
      <c r="A15125" s="81"/>
      <c r="B15125" s="81"/>
      <c r="C15125" s="137"/>
      <c r="D15125" s="81"/>
      <c r="E15125" s="81"/>
      <c r="F15125" s="81"/>
    </row>
    <row r="15126" spans="1:6" ht="15" customHeight="1" x14ac:dyDescent="0.25">
      <c r="A15126" s="81"/>
      <c r="B15126" s="81"/>
      <c r="C15126" s="137"/>
      <c r="D15126" s="81"/>
      <c r="E15126" s="81"/>
      <c r="F15126" s="81"/>
    </row>
    <row r="15127" spans="1:6" ht="15" customHeight="1" x14ac:dyDescent="0.25">
      <c r="A15127" s="81"/>
      <c r="B15127" s="81"/>
      <c r="C15127" s="137"/>
      <c r="D15127" s="81"/>
      <c r="E15127" s="81"/>
      <c r="F15127" s="81"/>
    </row>
    <row r="15128" spans="1:6" ht="15" customHeight="1" x14ac:dyDescent="0.25">
      <c r="A15128" s="134"/>
      <c r="B15128" s="135"/>
      <c r="C15128" s="135"/>
      <c r="D15128" s="135"/>
      <c r="E15128" s="135"/>
      <c r="F15128" s="136"/>
    </row>
    <row r="15129" spans="1:6" ht="15" customHeight="1" x14ac:dyDescent="0.25">
      <c r="A15129" s="134"/>
      <c r="B15129" s="135"/>
      <c r="C15129" s="135"/>
      <c r="D15129" s="135"/>
      <c r="E15129" s="135"/>
      <c r="F15129" s="136"/>
    </row>
    <row r="15130" spans="1:6" ht="15" customHeight="1" x14ac:dyDescent="0.25">
      <c r="A15130" s="134"/>
      <c r="B15130" s="135"/>
      <c r="C15130" s="135"/>
      <c r="D15130" s="135"/>
      <c r="E15130" s="135"/>
      <c r="F15130" s="135"/>
    </row>
    <row r="15131" spans="1:6" ht="15" customHeight="1" thickBot="1" x14ac:dyDescent="0.3">
      <c r="A15131" s="81"/>
      <c r="B15131" s="81"/>
      <c r="C15131" s="81"/>
      <c r="D15131" s="81"/>
      <c r="E15131" s="81"/>
      <c r="F15131" s="81"/>
    </row>
    <row r="15132" spans="1:6" ht="15" customHeight="1" x14ac:dyDescent="0.25">
      <c r="A15132" s="83"/>
      <c r="B15132" s="84"/>
      <c r="C15132" s="85"/>
      <c r="D15132" s="86"/>
      <c r="E15132" s="86"/>
      <c r="F15132" s="87"/>
    </row>
    <row r="15133" spans="1:6" ht="15" customHeight="1" x14ac:dyDescent="0.25">
      <c r="A15133" s="599"/>
      <c r="B15133" s="600"/>
      <c r="C15133" s="600"/>
      <c r="D15133" s="600"/>
      <c r="E15133" s="600"/>
      <c r="F15133" s="601"/>
    </row>
    <row r="15134" spans="1:6" ht="15" customHeight="1" x14ac:dyDescent="0.25">
      <c r="A15134" s="602" t="s">
        <v>561</v>
      </c>
      <c r="B15134" s="600"/>
      <c r="C15134" s="600"/>
      <c r="D15134" s="600"/>
      <c r="E15134" s="600"/>
      <c r="F15134" s="601"/>
    </row>
    <row r="15135" spans="1:6" ht="15" customHeight="1" thickBot="1" x14ac:dyDescent="0.3">
      <c r="A15135" s="603"/>
      <c r="B15135" s="604"/>
      <c r="C15135" s="604"/>
      <c r="D15135" s="604"/>
      <c r="E15135" s="604"/>
      <c r="F15135" s="605"/>
    </row>
    <row r="15136" spans="1:6" ht="15" customHeight="1" x14ac:dyDescent="0.25">
      <c r="A15136" s="88"/>
      <c r="B15136" s="88"/>
      <c r="C15136" s="89"/>
      <c r="D15136" s="89"/>
      <c r="E15136" s="89"/>
      <c r="F15136" s="89"/>
    </row>
    <row r="15137" spans="1:6" ht="15" customHeight="1" x14ac:dyDescent="0.25">
      <c r="A15137" s="90" t="s">
        <v>47</v>
      </c>
      <c r="B15137" s="613" t="str">
        <f>'Presupuesto Especifico'!C331</f>
        <v>Suministro e instalacion Acometida Electrica en Tuberia PVC Conduit de 3/4", Cable # 4 (F-N-T) 3 Lineas</v>
      </c>
      <c r="C15137" s="600"/>
      <c r="D15137" s="600"/>
      <c r="E15137" s="600"/>
      <c r="F15137" s="600"/>
    </row>
    <row r="15138" spans="1:6" ht="15" customHeight="1" x14ac:dyDescent="0.25">
      <c r="A15138" s="91"/>
      <c r="B15138" s="91"/>
      <c r="C15138" s="91"/>
      <c r="D15138" s="91"/>
      <c r="E15138" s="91"/>
      <c r="F15138" s="91"/>
    </row>
    <row r="15139" spans="1:6" ht="15" customHeight="1" x14ac:dyDescent="0.25">
      <c r="A15139" s="88" t="s">
        <v>49</v>
      </c>
      <c r="B15139" s="92" t="s">
        <v>59</v>
      </c>
      <c r="C15139" s="89"/>
      <c r="D15139" s="89"/>
      <c r="E15139" s="89"/>
      <c r="F15139" s="93"/>
    </row>
    <row r="15140" spans="1:6" ht="15" customHeight="1" x14ac:dyDescent="0.25">
      <c r="A15140" s="88"/>
      <c r="B15140" s="94"/>
      <c r="C15140" s="89"/>
      <c r="D15140" s="89"/>
      <c r="E15140" s="89"/>
      <c r="F15140" s="93"/>
    </row>
    <row r="15141" spans="1:6" ht="15" customHeight="1" x14ac:dyDescent="0.25">
      <c r="A15141" s="95" t="s">
        <v>562</v>
      </c>
      <c r="B15141" s="96"/>
      <c r="C15141" s="92"/>
      <c r="D15141" s="92"/>
      <c r="E15141" s="92"/>
      <c r="F15141" s="92"/>
    </row>
    <row r="15142" spans="1:6" ht="15" customHeight="1" x14ac:dyDescent="0.25">
      <c r="A15142" s="97" t="s">
        <v>563</v>
      </c>
      <c r="B15142" s="98" t="s">
        <v>564</v>
      </c>
      <c r="C15142" s="98" t="s">
        <v>565</v>
      </c>
      <c r="D15142" s="98" t="s">
        <v>566</v>
      </c>
      <c r="E15142" s="98" t="s">
        <v>567</v>
      </c>
      <c r="F15142" s="98" t="s">
        <v>568</v>
      </c>
    </row>
    <row r="15143" spans="1:6" ht="15" customHeight="1" x14ac:dyDescent="0.25">
      <c r="A15143" s="201" t="s">
        <v>1305</v>
      </c>
      <c r="B15143" s="202" t="s">
        <v>59</v>
      </c>
      <c r="C15143" s="189">
        <f>4000*2.5</f>
        <v>10000</v>
      </c>
      <c r="D15143" s="203">
        <v>3</v>
      </c>
      <c r="E15143" s="204">
        <v>0.05</v>
      </c>
      <c r="F15143" s="205">
        <f t="shared" ref="F15143:F15150" si="741">+(C15143*D15143)+(C15143*D15143)*E15143</f>
        <v>31500</v>
      </c>
    </row>
    <row r="15144" spans="1:6" ht="15" customHeight="1" x14ac:dyDescent="0.25">
      <c r="A15144" s="207" t="s">
        <v>1095</v>
      </c>
      <c r="B15144" s="202" t="s">
        <v>279</v>
      </c>
      <c r="C15144" s="208">
        <f>2000*2.5</f>
        <v>5000</v>
      </c>
      <c r="D15144" s="206">
        <v>0.6</v>
      </c>
      <c r="E15144" s="204">
        <v>0</v>
      </c>
      <c r="F15144" s="205">
        <f t="shared" si="741"/>
        <v>3000</v>
      </c>
    </row>
    <row r="15145" spans="1:6" ht="15" customHeight="1" x14ac:dyDescent="0.25">
      <c r="A15145" s="207" t="s">
        <v>1083</v>
      </c>
      <c r="B15145" s="202" t="s">
        <v>279</v>
      </c>
      <c r="C15145" s="208">
        <f>1066.66666666667*2.5</f>
        <v>2666.6666666666747</v>
      </c>
      <c r="D15145" s="203">
        <v>1</v>
      </c>
      <c r="E15145" s="204">
        <v>0</v>
      </c>
      <c r="F15145" s="205">
        <f t="shared" si="741"/>
        <v>2666.6666666666747</v>
      </c>
    </row>
    <row r="15146" spans="1:6" ht="15" customHeight="1" x14ac:dyDescent="0.25">
      <c r="A15146" s="207" t="s">
        <v>1063</v>
      </c>
      <c r="B15146" s="202" t="s">
        <v>1064</v>
      </c>
      <c r="C15146" s="208">
        <f>13000*2.5</f>
        <v>32500</v>
      </c>
      <c r="D15146" s="203">
        <v>0.1</v>
      </c>
      <c r="E15146" s="204">
        <v>0</v>
      </c>
      <c r="F15146" s="205">
        <f t="shared" si="741"/>
        <v>3250</v>
      </c>
    </row>
    <row r="15147" spans="1:6" ht="15" customHeight="1" x14ac:dyDescent="0.25">
      <c r="A15147" s="207" t="s">
        <v>1084</v>
      </c>
      <c r="B15147" s="202" t="s">
        <v>99</v>
      </c>
      <c r="C15147" s="208">
        <v>2250</v>
      </c>
      <c r="D15147" s="203">
        <v>0.4</v>
      </c>
      <c r="E15147" s="204">
        <v>0</v>
      </c>
      <c r="F15147" s="205">
        <f t="shared" si="741"/>
        <v>900</v>
      </c>
    </row>
    <row r="15148" spans="1:6" ht="15" customHeight="1" x14ac:dyDescent="0.25">
      <c r="A15148" s="207" t="s">
        <v>1091</v>
      </c>
      <c r="B15148" s="202" t="s">
        <v>99</v>
      </c>
      <c r="C15148" s="208">
        <v>1600</v>
      </c>
      <c r="D15148" s="203">
        <v>0.2</v>
      </c>
      <c r="E15148" s="204">
        <v>0</v>
      </c>
      <c r="F15148" s="205">
        <f t="shared" si="741"/>
        <v>320</v>
      </c>
    </row>
    <row r="15149" spans="1:6" ht="15" customHeight="1" x14ac:dyDescent="0.25">
      <c r="A15149" s="207" t="s">
        <v>1086</v>
      </c>
      <c r="B15149" s="202" t="s">
        <v>99</v>
      </c>
      <c r="C15149" s="208">
        <v>300</v>
      </c>
      <c r="D15149" s="203">
        <v>0.4</v>
      </c>
      <c r="E15149" s="204">
        <v>0</v>
      </c>
      <c r="F15149" s="205">
        <f t="shared" si="741"/>
        <v>120</v>
      </c>
    </row>
    <row r="15150" spans="1:6" ht="15" customHeight="1" x14ac:dyDescent="0.25">
      <c r="A15150" s="207" t="s">
        <v>1094</v>
      </c>
      <c r="B15150" s="202" t="s">
        <v>1088</v>
      </c>
      <c r="C15150" s="208">
        <v>25400</v>
      </c>
      <c r="D15150" s="203">
        <v>0.3</v>
      </c>
      <c r="E15150" s="204">
        <v>0</v>
      </c>
      <c r="F15150" s="205">
        <f t="shared" si="741"/>
        <v>7620</v>
      </c>
    </row>
    <row r="15151" spans="1:6" ht="15" customHeight="1" x14ac:dyDescent="0.25">
      <c r="A15151" s="99"/>
      <c r="B15151" s="100"/>
      <c r="C15151" s="106"/>
      <c r="D15151" s="107"/>
      <c r="E15151" s="108"/>
      <c r="F15151" s="106"/>
    </row>
    <row r="15152" spans="1:6" ht="15" customHeight="1" x14ac:dyDescent="0.25">
      <c r="A15152" s="97" t="s">
        <v>548</v>
      </c>
      <c r="B15152" s="97"/>
      <c r="C15152" s="109"/>
      <c r="D15152" s="110"/>
      <c r="E15152" s="111"/>
      <c r="F15152" s="112">
        <f>SUM(F15143:F15151)</f>
        <v>49376.666666666672</v>
      </c>
    </row>
    <row r="15153" spans="1:6" ht="15" customHeight="1" x14ac:dyDescent="0.25">
      <c r="A15153" s="88"/>
      <c r="B15153" s="88"/>
      <c r="C15153" s="113"/>
      <c r="D15153" s="113"/>
      <c r="E15153" s="114"/>
      <c r="F15153" s="113"/>
    </row>
    <row r="15154" spans="1:6" ht="15" customHeight="1" x14ac:dyDescent="0.25">
      <c r="A15154" s="96" t="s">
        <v>573</v>
      </c>
      <c r="B15154" s="96"/>
      <c r="C15154" s="92"/>
      <c r="D15154" s="92"/>
      <c r="E15154" s="92"/>
      <c r="F15154" s="92"/>
    </row>
    <row r="15155" spans="1:6" ht="15" customHeight="1" x14ac:dyDescent="0.25">
      <c r="A15155" s="611" t="s">
        <v>563</v>
      </c>
      <c r="B15155" s="608"/>
      <c r="C15155" s="609"/>
      <c r="D15155" s="98" t="s">
        <v>574</v>
      </c>
      <c r="E15155" s="98" t="s">
        <v>575</v>
      </c>
      <c r="F15155" s="98" t="s">
        <v>568</v>
      </c>
    </row>
    <row r="15156" spans="1:6" ht="15" customHeight="1" x14ac:dyDescent="0.25">
      <c r="A15156" s="607" t="s">
        <v>577</v>
      </c>
      <c r="B15156" s="608"/>
      <c r="C15156" s="609"/>
      <c r="D15156" s="116"/>
      <c r="E15156" s="107"/>
      <c r="F15156" s="106">
        <f>+F15173*5%</f>
        <v>569.18792857142853</v>
      </c>
    </row>
    <row r="15157" spans="1:6" ht="15" customHeight="1" x14ac:dyDescent="0.25">
      <c r="A15157" s="607"/>
      <c r="B15157" s="608"/>
      <c r="C15157" s="609"/>
      <c r="D15157" s="142"/>
      <c r="E15157" s="105"/>
      <c r="F15157" s="106"/>
    </row>
    <row r="15158" spans="1:6" ht="15" customHeight="1" x14ac:dyDescent="0.25">
      <c r="A15158" s="607"/>
      <c r="B15158" s="608"/>
      <c r="C15158" s="609"/>
      <c r="D15158" s="142"/>
      <c r="E15158" s="105"/>
      <c r="F15158" s="106"/>
    </row>
    <row r="15159" spans="1:6" ht="15" customHeight="1" x14ac:dyDescent="0.25">
      <c r="A15159" s="607"/>
      <c r="B15159" s="608"/>
      <c r="C15159" s="609"/>
      <c r="D15159" s="142"/>
      <c r="E15159" s="107"/>
      <c r="F15159" s="106"/>
    </row>
    <row r="15160" spans="1:6" ht="15" customHeight="1" x14ac:dyDescent="0.25">
      <c r="A15160" s="607"/>
      <c r="B15160" s="608"/>
      <c r="C15160" s="609"/>
      <c r="D15160" s="142"/>
      <c r="E15160" s="107"/>
      <c r="F15160" s="106"/>
    </row>
    <row r="15161" spans="1:6" ht="15" customHeight="1" x14ac:dyDescent="0.25">
      <c r="A15161" s="607"/>
      <c r="B15161" s="608"/>
      <c r="C15161" s="609"/>
      <c r="D15161" s="142"/>
      <c r="E15161" s="107"/>
      <c r="F15161" s="106"/>
    </row>
    <row r="15162" spans="1:6" ht="15" customHeight="1" x14ac:dyDescent="0.25">
      <c r="A15162" s="607"/>
      <c r="B15162" s="608"/>
      <c r="C15162" s="609"/>
      <c r="D15162" s="142"/>
      <c r="E15162" s="107"/>
      <c r="F15162" s="106"/>
    </row>
    <row r="15163" spans="1:6" ht="15" customHeight="1" x14ac:dyDescent="0.25">
      <c r="A15163" s="607"/>
      <c r="B15163" s="608"/>
      <c r="C15163" s="609"/>
      <c r="D15163" s="142"/>
      <c r="E15163" s="107"/>
      <c r="F15163" s="106"/>
    </row>
    <row r="15164" spans="1:6" ht="15" customHeight="1" x14ac:dyDescent="0.25">
      <c r="A15164" s="610"/>
      <c r="B15164" s="608"/>
      <c r="C15164" s="609"/>
      <c r="D15164" s="115"/>
      <c r="E15164" s="107"/>
      <c r="F15164" s="106"/>
    </row>
    <row r="15165" spans="1:6" ht="15" customHeight="1" x14ac:dyDescent="0.25">
      <c r="A15165" s="611" t="s">
        <v>548</v>
      </c>
      <c r="B15165" s="608"/>
      <c r="C15165" s="609"/>
      <c r="D15165" s="110"/>
      <c r="E15165" s="110"/>
      <c r="F15165" s="112">
        <f>SUM(F15156:F15163)</f>
        <v>569.18792857142853</v>
      </c>
    </row>
    <row r="15166" spans="1:6" ht="15" customHeight="1" x14ac:dyDescent="0.25">
      <c r="A15166" s="88"/>
      <c r="B15166" s="88"/>
      <c r="C15166" s="89"/>
      <c r="D15166" s="113"/>
      <c r="E15166" s="113"/>
      <c r="F15166" s="113"/>
    </row>
    <row r="15167" spans="1:6" ht="15" customHeight="1" x14ac:dyDescent="0.25">
      <c r="A15167" s="96" t="s">
        <v>578</v>
      </c>
      <c r="B15167" s="96"/>
      <c r="C15167" s="92"/>
      <c r="D15167" s="118"/>
      <c r="E15167" s="118"/>
      <c r="F15167" s="118"/>
    </row>
    <row r="15168" spans="1:6" ht="15" customHeight="1" x14ac:dyDescent="0.25">
      <c r="A15168" s="119" t="s">
        <v>563</v>
      </c>
      <c r="B15168" s="120" t="s">
        <v>579</v>
      </c>
      <c r="C15168" s="120" t="s">
        <v>580</v>
      </c>
      <c r="D15168" s="121" t="s">
        <v>581</v>
      </c>
      <c r="E15168" s="121" t="s">
        <v>575</v>
      </c>
      <c r="F15168" s="121" t="s">
        <v>568</v>
      </c>
    </row>
    <row r="15169" spans="1:6" ht="15" customHeight="1" x14ac:dyDescent="0.25">
      <c r="A15169" s="122" t="s">
        <v>916</v>
      </c>
      <c r="B15169" s="127">
        <v>1</v>
      </c>
      <c r="C15169" s="101">
        <v>35956.800000000003</v>
      </c>
      <c r="D15169" s="101">
        <f t="shared" ref="D15169:D15170" si="742">+C15169*1.7</f>
        <v>61126.560000000005</v>
      </c>
      <c r="E15169" s="107">
        <v>14</v>
      </c>
      <c r="F15169" s="106">
        <f t="shared" ref="F15169:F15170" si="743">+B15169*(D15169)/E15169</f>
        <v>4366.1828571428578</v>
      </c>
    </row>
    <row r="15170" spans="1:6" ht="15" customHeight="1" x14ac:dyDescent="0.25">
      <c r="A15170" s="122" t="s">
        <v>917</v>
      </c>
      <c r="B15170" s="127">
        <v>1</v>
      </c>
      <c r="C15170" s="101">
        <v>57791.8</v>
      </c>
      <c r="D15170" s="101">
        <f t="shared" si="742"/>
        <v>98246.06</v>
      </c>
      <c r="E15170" s="107">
        <f>E15169</f>
        <v>14</v>
      </c>
      <c r="F15170" s="106">
        <f t="shared" si="743"/>
        <v>7017.5757142857137</v>
      </c>
    </row>
    <row r="15171" spans="1:6" ht="15" customHeight="1" x14ac:dyDescent="0.25">
      <c r="A15171" s="122"/>
      <c r="B15171" s="127"/>
      <c r="C15171" s="101"/>
      <c r="D15171" s="101"/>
      <c r="E15171" s="105"/>
      <c r="F15171" s="106"/>
    </row>
    <row r="15172" spans="1:6" ht="15" customHeight="1" x14ac:dyDescent="0.25">
      <c r="A15172" s="122"/>
      <c r="B15172" s="127"/>
      <c r="C15172" s="101"/>
      <c r="D15172" s="101"/>
      <c r="E15172" s="125"/>
      <c r="F15172" s="106"/>
    </row>
    <row r="15173" spans="1:6" ht="15" customHeight="1" x14ac:dyDescent="0.25">
      <c r="A15173" s="97" t="s">
        <v>548</v>
      </c>
      <c r="B15173" s="128"/>
      <c r="C15173" s="110"/>
      <c r="D15173" s="110"/>
      <c r="E15173" s="110"/>
      <c r="F15173" s="112">
        <f>SUM(F15169:F15172)</f>
        <v>11383.758571428571</v>
      </c>
    </row>
    <row r="15174" spans="1:6" ht="15" customHeight="1" x14ac:dyDescent="0.25">
      <c r="A15174" s="96"/>
      <c r="B15174" s="129"/>
      <c r="C15174" s="118"/>
      <c r="D15174" s="118"/>
      <c r="E15174" s="118"/>
      <c r="F15174" s="118"/>
    </row>
    <row r="15175" spans="1:6" ht="15" customHeight="1" x14ac:dyDescent="0.25">
      <c r="A15175" s="95" t="s">
        <v>583</v>
      </c>
      <c r="B15175" s="96"/>
      <c r="C15175" s="92"/>
      <c r="D15175" s="92"/>
      <c r="E15175" s="92" t="s">
        <v>584</v>
      </c>
      <c r="F15175" s="92"/>
    </row>
    <row r="15176" spans="1:6" ht="15" customHeight="1" x14ac:dyDescent="0.25">
      <c r="A15176" s="97" t="s">
        <v>563</v>
      </c>
      <c r="B15176" s="98" t="s">
        <v>564</v>
      </c>
      <c r="C15176" s="98" t="s">
        <v>585</v>
      </c>
      <c r="D15176" s="98" t="s">
        <v>586</v>
      </c>
      <c r="E15176" s="120" t="s">
        <v>587</v>
      </c>
      <c r="F15176" s="98" t="s">
        <v>568</v>
      </c>
    </row>
    <row r="15177" spans="1:6" ht="15" customHeight="1" x14ac:dyDescent="0.25">
      <c r="A15177" s="232" t="s">
        <v>1080</v>
      </c>
      <c r="B15177" s="202">
        <v>1</v>
      </c>
      <c r="C15177" s="205">
        <v>200000</v>
      </c>
      <c r="D15177" s="233">
        <f>+B15177/233</f>
        <v>4.2918454935622317E-3</v>
      </c>
      <c r="E15177" s="234"/>
      <c r="F15177" s="211">
        <f>+D15177*C15177*B15177</f>
        <v>858.36909871244632</v>
      </c>
    </row>
    <row r="15178" spans="1:6" ht="15" customHeight="1" x14ac:dyDescent="0.25">
      <c r="A15178" s="103"/>
      <c r="B15178" s="100"/>
      <c r="C15178" s="107"/>
      <c r="D15178" s="107"/>
      <c r="E15178" s="108"/>
      <c r="F15178" s="109"/>
    </row>
    <row r="15179" spans="1:6" ht="15" customHeight="1" x14ac:dyDescent="0.25">
      <c r="A15179" s="97" t="s">
        <v>548</v>
      </c>
      <c r="B15179" s="98"/>
      <c r="C15179" s="110"/>
      <c r="D15179" s="110"/>
      <c r="E15179" s="111"/>
      <c r="F15179" s="112">
        <f>SUM(F15177:F15178)</f>
        <v>858.36909871244632</v>
      </c>
    </row>
    <row r="15180" spans="1:6" ht="15" customHeight="1" x14ac:dyDescent="0.25">
      <c r="A15180" s="88"/>
      <c r="B15180" s="89"/>
      <c r="C15180" s="113"/>
      <c r="D15180" s="113"/>
      <c r="E15180" s="114"/>
      <c r="F15180" s="113"/>
    </row>
    <row r="15181" spans="1:6" ht="15" customHeight="1" x14ac:dyDescent="0.25">
      <c r="A15181" s="88"/>
      <c r="B15181" s="89"/>
      <c r="C15181" s="113"/>
      <c r="D15181" s="113"/>
      <c r="E15181" s="114"/>
      <c r="F15181" s="113"/>
    </row>
    <row r="15182" spans="1:6" ht="15" customHeight="1" x14ac:dyDescent="0.25">
      <c r="A15182" s="612" t="s">
        <v>588</v>
      </c>
      <c r="B15182" s="608"/>
      <c r="C15182" s="608"/>
      <c r="D15182" s="608"/>
      <c r="E15182" s="609"/>
      <c r="F15182" s="131">
        <f>ROUND(F15152+F15165+F15173+F15179,0)</f>
        <v>62188</v>
      </c>
    </row>
    <row r="15183" spans="1:6" ht="15" customHeight="1" x14ac:dyDescent="0.25">
      <c r="A15183" s="612" t="s">
        <v>589</v>
      </c>
      <c r="B15183" s="608"/>
      <c r="C15183" s="608"/>
      <c r="D15183" s="608"/>
      <c r="E15183" s="609"/>
      <c r="F15183" s="132"/>
    </row>
    <row r="15184" spans="1:6" ht="15" customHeight="1" x14ac:dyDescent="0.25">
      <c r="A15184" s="146" t="s">
        <v>556</v>
      </c>
      <c r="B15184" s="147"/>
      <c r="C15184" s="147"/>
      <c r="D15184" s="147"/>
      <c r="E15184" s="148"/>
      <c r="F15184" s="133"/>
    </row>
    <row r="15185" spans="1:6" ht="15" customHeight="1" x14ac:dyDescent="0.25">
      <c r="A15185" s="134"/>
      <c r="B15185" s="135"/>
      <c r="C15185" s="135"/>
      <c r="D15185" s="135"/>
      <c r="E15185" s="135"/>
      <c r="F15185" s="136"/>
    </row>
    <row r="15186" spans="1:6" ht="15" customHeight="1" x14ac:dyDescent="0.25">
      <c r="A15186" s="81"/>
      <c r="B15186" s="81"/>
      <c r="C15186" s="137"/>
      <c r="D15186" s="81"/>
      <c r="E15186" s="81"/>
      <c r="F15186" s="81"/>
    </row>
    <row r="15187" spans="1:6" ht="15" customHeight="1" x14ac:dyDescent="0.25">
      <c r="A15187" s="81"/>
      <c r="B15187" s="81"/>
      <c r="C15187" s="137"/>
      <c r="D15187" s="81"/>
      <c r="E15187" s="81"/>
      <c r="F15187" s="81"/>
    </row>
    <row r="15188" spans="1:6" ht="15" customHeight="1" x14ac:dyDescent="0.25">
      <c r="A15188" s="81"/>
      <c r="B15188" s="81"/>
      <c r="C15188" s="137"/>
      <c r="D15188" s="81"/>
      <c r="E15188" s="81"/>
      <c r="F15188" s="81"/>
    </row>
    <row r="15189" spans="1:6" ht="15" customHeight="1" x14ac:dyDescent="0.25">
      <c r="A15189" s="81"/>
      <c r="B15189" s="81"/>
      <c r="C15189" s="137"/>
      <c r="D15189" s="81"/>
      <c r="E15189" s="81"/>
      <c r="F15189" s="81"/>
    </row>
    <row r="15190" spans="1:6" ht="15" customHeight="1" x14ac:dyDescent="0.25">
      <c r="A15190" s="134"/>
      <c r="B15190" s="135"/>
      <c r="C15190" s="135"/>
      <c r="D15190" s="135"/>
      <c r="E15190" s="135"/>
      <c r="F15190" s="136"/>
    </row>
    <row r="15191" spans="1:6" ht="15" customHeight="1" x14ac:dyDescent="0.25">
      <c r="A15191" s="134"/>
      <c r="B15191" s="135"/>
      <c r="C15191" s="135"/>
      <c r="D15191" s="135"/>
      <c r="E15191" s="135"/>
      <c r="F15191" s="136"/>
    </row>
    <row r="15192" spans="1:6" ht="15" customHeight="1" x14ac:dyDescent="0.25">
      <c r="A15192" s="134"/>
      <c r="B15192" s="135"/>
      <c r="C15192" s="135"/>
      <c r="D15192" s="135"/>
      <c r="E15192" s="135"/>
      <c r="F15192" s="135"/>
    </row>
    <row r="15193" spans="1:6" ht="15" customHeight="1" thickBot="1" x14ac:dyDescent="0.3">
      <c r="A15193" s="81"/>
      <c r="B15193" s="81"/>
      <c r="C15193" s="81"/>
      <c r="D15193" s="81"/>
      <c r="E15193" s="81"/>
      <c r="F15193" s="81"/>
    </row>
    <row r="15194" spans="1:6" ht="15" customHeight="1" x14ac:dyDescent="0.25">
      <c r="A15194" s="83"/>
      <c r="B15194" s="84"/>
      <c r="C15194" s="85"/>
      <c r="D15194" s="86"/>
      <c r="E15194" s="86"/>
      <c r="F15194" s="87"/>
    </row>
    <row r="15195" spans="1:6" ht="15" customHeight="1" x14ac:dyDescent="0.25">
      <c r="A15195" s="599"/>
      <c r="B15195" s="600"/>
      <c r="C15195" s="600"/>
      <c r="D15195" s="600"/>
      <c r="E15195" s="600"/>
      <c r="F15195" s="601"/>
    </row>
    <row r="15196" spans="1:6" ht="15" customHeight="1" x14ac:dyDescent="0.25">
      <c r="A15196" s="602" t="s">
        <v>561</v>
      </c>
      <c r="B15196" s="600"/>
      <c r="C15196" s="600"/>
      <c r="D15196" s="600"/>
      <c r="E15196" s="600"/>
      <c r="F15196" s="601"/>
    </row>
    <row r="15197" spans="1:6" ht="15" customHeight="1" thickBot="1" x14ac:dyDescent="0.3">
      <c r="A15197" s="603"/>
      <c r="B15197" s="604"/>
      <c r="C15197" s="604"/>
      <c r="D15197" s="604"/>
      <c r="E15197" s="604"/>
      <c r="F15197" s="605"/>
    </row>
    <row r="15198" spans="1:6" ht="15" customHeight="1" x14ac:dyDescent="0.25">
      <c r="A15198" s="88"/>
      <c r="B15198" s="88"/>
      <c r="C15198" s="89"/>
      <c r="D15198" s="89"/>
      <c r="E15198" s="89"/>
      <c r="F15198" s="89"/>
    </row>
    <row r="15199" spans="1:6" ht="15" customHeight="1" x14ac:dyDescent="0.25">
      <c r="A15199" s="90" t="s">
        <v>47</v>
      </c>
      <c r="B15199" s="613" t="str">
        <f>'Presupuesto Especifico'!C333</f>
        <v xml:space="preserve">Suministro e Instalacion de Tablero General trifasico de 1,80 mts x 0,80 mts x 0,35 mts en Lamina; incluye barraje principal de 500 A, barraje secundario de 220 A, barraje de neutro y barra de tierra. Incluye frente muerto y los siguientes totalizadores: 1 de 3 x 250A ajustable, 1 de 3 x 75A, 2 de 3 x 125A, 6 de 2 x 20A y 3 de 1 x 20 A </v>
      </c>
      <c r="C15199" s="600"/>
      <c r="D15199" s="600"/>
      <c r="E15199" s="600"/>
      <c r="F15199" s="600"/>
    </row>
    <row r="15200" spans="1:6" ht="15" customHeight="1" x14ac:dyDescent="0.25">
      <c r="A15200" s="91"/>
      <c r="B15200" s="91"/>
      <c r="C15200" s="91"/>
      <c r="D15200" s="91"/>
      <c r="E15200" s="91"/>
      <c r="F15200" s="91"/>
    </row>
    <row r="15201" spans="1:6" ht="15" customHeight="1" x14ac:dyDescent="0.25">
      <c r="A15201" s="88" t="s">
        <v>49</v>
      </c>
      <c r="B15201" s="92" t="s">
        <v>99</v>
      </c>
      <c r="C15201" s="89"/>
      <c r="D15201" s="89"/>
      <c r="E15201" s="89"/>
      <c r="F15201" s="93"/>
    </row>
    <row r="15202" spans="1:6" ht="15" customHeight="1" x14ac:dyDescent="0.25">
      <c r="A15202" s="88"/>
      <c r="B15202" s="94"/>
      <c r="C15202" s="89"/>
      <c r="D15202" s="89"/>
      <c r="E15202" s="89"/>
      <c r="F15202" s="93"/>
    </row>
    <row r="15203" spans="1:6" ht="15" customHeight="1" x14ac:dyDescent="0.25">
      <c r="A15203" s="95" t="s">
        <v>562</v>
      </c>
      <c r="B15203" s="96"/>
      <c r="C15203" s="92"/>
      <c r="D15203" s="92"/>
      <c r="E15203" s="92"/>
      <c r="F15203" s="92"/>
    </row>
    <row r="15204" spans="1:6" ht="15" customHeight="1" x14ac:dyDescent="0.25">
      <c r="A15204" s="97" t="s">
        <v>563</v>
      </c>
      <c r="B15204" s="98" t="s">
        <v>564</v>
      </c>
      <c r="C15204" s="98" t="s">
        <v>565</v>
      </c>
      <c r="D15204" s="98" t="s">
        <v>566</v>
      </c>
      <c r="E15204" s="98" t="s">
        <v>567</v>
      </c>
      <c r="F15204" s="98" t="s">
        <v>568</v>
      </c>
    </row>
    <row r="15205" spans="1:6" ht="15" customHeight="1" x14ac:dyDescent="0.25">
      <c r="A15205" s="201" t="s">
        <v>1096</v>
      </c>
      <c r="B15205" s="100" t="s">
        <v>99</v>
      </c>
      <c r="C15205" s="189">
        <v>7862000</v>
      </c>
      <c r="D15205" s="149">
        <v>1</v>
      </c>
      <c r="E15205" s="102"/>
      <c r="F15205" s="101">
        <f t="shared" ref="F15205:F15214" si="744">C15205*(D15205+(D15205*E15205))</f>
        <v>7862000</v>
      </c>
    </row>
    <row r="15206" spans="1:6" ht="15" customHeight="1" x14ac:dyDescent="0.25">
      <c r="A15206" s="99" t="s">
        <v>918</v>
      </c>
      <c r="B15206" s="100" t="s">
        <v>99</v>
      </c>
      <c r="C15206" s="101">
        <v>198000</v>
      </c>
      <c r="D15206" s="149">
        <v>1</v>
      </c>
      <c r="E15206" s="102"/>
      <c r="F15206" s="101">
        <f t="shared" si="744"/>
        <v>198000</v>
      </c>
    </row>
    <row r="15207" spans="1:6" ht="15" customHeight="1" x14ac:dyDescent="0.25">
      <c r="A15207" s="99" t="s">
        <v>919</v>
      </c>
      <c r="B15207" s="100" t="s">
        <v>99</v>
      </c>
      <c r="C15207" s="101">
        <v>126300</v>
      </c>
      <c r="D15207" s="104">
        <v>1</v>
      </c>
      <c r="E15207" s="102"/>
      <c r="F15207" s="101">
        <f t="shared" si="744"/>
        <v>126300</v>
      </c>
    </row>
    <row r="15208" spans="1:6" ht="15" customHeight="1" x14ac:dyDescent="0.25">
      <c r="A15208" s="99" t="s">
        <v>920</v>
      </c>
      <c r="B15208" s="100" t="s">
        <v>99</v>
      </c>
      <c r="C15208" s="101">
        <v>162000</v>
      </c>
      <c r="D15208" s="104">
        <v>1</v>
      </c>
      <c r="E15208" s="102"/>
      <c r="F15208" s="101">
        <f t="shared" si="744"/>
        <v>162000</v>
      </c>
    </row>
    <row r="15209" spans="1:6" ht="15" customHeight="1" x14ac:dyDescent="0.25">
      <c r="A15209" s="99" t="s">
        <v>921</v>
      </c>
      <c r="B15209" s="100" t="s">
        <v>99</v>
      </c>
      <c r="C15209" s="101">
        <v>168000</v>
      </c>
      <c r="D15209" s="104">
        <v>1</v>
      </c>
      <c r="E15209" s="102"/>
      <c r="F15209" s="101">
        <f t="shared" si="744"/>
        <v>168000</v>
      </c>
    </row>
    <row r="15210" spans="1:6" ht="15" customHeight="1" x14ac:dyDescent="0.25">
      <c r="A15210" s="99" t="s">
        <v>922</v>
      </c>
      <c r="B15210" s="100" t="s">
        <v>99</v>
      </c>
      <c r="C15210" s="101">
        <v>390000</v>
      </c>
      <c r="D15210" s="104">
        <v>1</v>
      </c>
      <c r="E15210" s="102"/>
      <c r="F15210" s="101">
        <f t="shared" si="744"/>
        <v>390000</v>
      </c>
    </row>
    <row r="15211" spans="1:6" ht="15" customHeight="1" x14ac:dyDescent="0.25">
      <c r="A15211" s="99" t="s">
        <v>923</v>
      </c>
      <c r="B15211" s="100" t="s">
        <v>99</v>
      </c>
      <c r="C15211" s="101">
        <v>102300</v>
      </c>
      <c r="D15211" s="104">
        <v>1</v>
      </c>
      <c r="E15211" s="102"/>
      <c r="F15211" s="101">
        <f t="shared" si="744"/>
        <v>102300</v>
      </c>
    </row>
    <row r="15212" spans="1:6" ht="15" customHeight="1" x14ac:dyDescent="0.25">
      <c r="A15212" s="99" t="s">
        <v>924</v>
      </c>
      <c r="B15212" s="100" t="s">
        <v>99</v>
      </c>
      <c r="C15212" s="101">
        <v>246000</v>
      </c>
      <c r="D15212" s="104">
        <v>2</v>
      </c>
      <c r="E15212" s="102"/>
      <c r="F15212" s="101">
        <f t="shared" si="744"/>
        <v>492000</v>
      </c>
    </row>
    <row r="15213" spans="1:6" ht="15" customHeight="1" x14ac:dyDescent="0.25">
      <c r="A15213" s="99" t="s">
        <v>925</v>
      </c>
      <c r="B15213" s="100" t="s">
        <v>99</v>
      </c>
      <c r="C15213" s="101">
        <v>55020</v>
      </c>
      <c r="D15213" s="104">
        <v>6</v>
      </c>
      <c r="E15213" s="102"/>
      <c r="F15213" s="101">
        <f t="shared" si="744"/>
        <v>330120</v>
      </c>
    </row>
    <row r="15214" spans="1:6" ht="15" customHeight="1" x14ac:dyDescent="0.25">
      <c r="A15214" s="99" t="s">
        <v>926</v>
      </c>
      <c r="B15214" s="100" t="s">
        <v>99</v>
      </c>
      <c r="C15214" s="101">
        <v>45900</v>
      </c>
      <c r="D15214" s="149">
        <v>3</v>
      </c>
      <c r="E15214" s="102"/>
      <c r="F15214" s="101">
        <f t="shared" si="744"/>
        <v>137700</v>
      </c>
    </row>
    <row r="15215" spans="1:6" ht="15" customHeight="1" x14ac:dyDescent="0.25">
      <c r="A15215" s="99"/>
      <c r="B15215" s="100"/>
      <c r="C15215" s="101"/>
      <c r="D15215" s="149"/>
      <c r="E15215" s="102"/>
      <c r="F15215" s="101"/>
    </row>
    <row r="15216" spans="1:6" ht="15" customHeight="1" x14ac:dyDescent="0.25">
      <c r="A15216" s="99"/>
      <c r="B15216" s="100"/>
      <c r="C15216" s="106"/>
      <c r="D15216" s="107"/>
      <c r="E15216" s="108"/>
      <c r="F15216" s="106"/>
    </row>
    <row r="15217" spans="1:6" ht="15" customHeight="1" x14ac:dyDescent="0.25">
      <c r="A15217" s="97" t="s">
        <v>548</v>
      </c>
      <c r="B15217" s="97"/>
      <c r="C15217" s="109"/>
      <c r="D15217" s="110"/>
      <c r="E15217" s="111"/>
      <c r="F15217" s="112">
        <f>SUM(F15205:F15216)</f>
        <v>9968420</v>
      </c>
    </row>
    <row r="15218" spans="1:6" ht="15" customHeight="1" x14ac:dyDescent="0.25">
      <c r="A15218" s="88"/>
      <c r="B15218" s="88"/>
      <c r="C15218" s="113"/>
      <c r="D15218" s="113"/>
      <c r="E15218" s="114"/>
      <c r="F15218" s="113"/>
    </row>
    <row r="15219" spans="1:6" ht="15" customHeight="1" x14ac:dyDescent="0.25">
      <c r="A15219" s="96" t="s">
        <v>573</v>
      </c>
      <c r="B15219" s="96"/>
      <c r="C15219" s="92"/>
      <c r="D15219" s="92"/>
      <c r="E15219" s="92"/>
      <c r="F15219" s="92"/>
    </row>
    <row r="15220" spans="1:6" ht="15" customHeight="1" x14ac:dyDescent="0.25">
      <c r="A15220" s="611" t="s">
        <v>563</v>
      </c>
      <c r="B15220" s="608"/>
      <c r="C15220" s="609"/>
      <c r="D15220" s="98" t="s">
        <v>574</v>
      </c>
      <c r="E15220" s="98" t="s">
        <v>575</v>
      </c>
      <c r="F15220" s="98" t="s">
        <v>568</v>
      </c>
    </row>
    <row r="15221" spans="1:6" ht="15" customHeight="1" x14ac:dyDescent="0.25">
      <c r="A15221" s="607" t="s">
        <v>577</v>
      </c>
      <c r="B15221" s="608"/>
      <c r="C15221" s="609"/>
      <c r="D15221" s="116"/>
      <c r="E15221" s="107"/>
      <c r="F15221" s="106">
        <f>+F15238*5%</f>
        <v>59934.662251147573</v>
      </c>
    </row>
    <row r="15222" spans="1:6" ht="15" customHeight="1" x14ac:dyDescent="0.25">
      <c r="A15222" s="607"/>
      <c r="B15222" s="608"/>
      <c r="C15222" s="609"/>
      <c r="D15222" s="142"/>
      <c r="E15222" s="105"/>
      <c r="F15222" s="106"/>
    </row>
    <row r="15223" spans="1:6" ht="15" customHeight="1" x14ac:dyDescent="0.25">
      <c r="A15223" s="607"/>
      <c r="B15223" s="608"/>
      <c r="C15223" s="609"/>
      <c r="D15223" s="142"/>
      <c r="E15223" s="105"/>
      <c r="F15223" s="106"/>
    </row>
    <row r="15224" spans="1:6" ht="15" customHeight="1" x14ac:dyDescent="0.25">
      <c r="A15224" s="607"/>
      <c r="B15224" s="608"/>
      <c r="C15224" s="609"/>
      <c r="D15224" s="142"/>
      <c r="E15224" s="107"/>
      <c r="F15224" s="106"/>
    </row>
    <row r="15225" spans="1:6" ht="15" customHeight="1" x14ac:dyDescent="0.25">
      <c r="A15225" s="607"/>
      <c r="B15225" s="608"/>
      <c r="C15225" s="609"/>
      <c r="D15225" s="142"/>
      <c r="E15225" s="107"/>
      <c r="F15225" s="106"/>
    </row>
    <row r="15226" spans="1:6" ht="15" customHeight="1" x14ac:dyDescent="0.25">
      <c r="A15226" s="607"/>
      <c r="B15226" s="608"/>
      <c r="C15226" s="609"/>
      <c r="D15226" s="142"/>
      <c r="E15226" s="107"/>
      <c r="F15226" s="106"/>
    </row>
    <row r="15227" spans="1:6" ht="15" customHeight="1" x14ac:dyDescent="0.25">
      <c r="A15227" s="607"/>
      <c r="B15227" s="608"/>
      <c r="C15227" s="609"/>
      <c r="D15227" s="142"/>
      <c r="E15227" s="107"/>
      <c r="F15227" s="106"/>
    </row>
    <row r="15228" spans="1:6" ht="15" customHeight="1" x14ac:dyDescent="0.25">
      <c r="A15228" s="607"/>
      <c r="B15228" s="608"/>
      <c r="C15228" s="609"/>
      <c r="D15228" s="142"/>
      <c r="E15228" s="107"/>
      <c r="F15228" s="106"/>
    </row>
    <row r="15229" spans="1:6" ht="15" customHeight="1" x14ac:dyDescent="0.25">
      <c r="A15229" s="610"/>
      <c r="B15229" s="608"/>
      <c r="C15229" s="609"/>
      <c r="D15229" s="115"/>
      <c r="E15229" s="107"/>
      <c r="F15229" s="106"/>
    </row>
    <row r="15230" spans="1:6" ht="15" customHeight="1" x14ac:dyDescent="0.25">
      <c r="A15230" s="611" t="s">
        <v>548</v>
      </c>
      <c r="B15230" s="608"/>
      <c r="C15230" s="609"/>
      <c r="D15230" s="110"/>
      <c r="E15230" s="110"/>
      <c r="F15230" s="112">
        <f>SUM(F15221:F15228)</f>
        <v>59934.662251147573</v>
      </c>
    </row>
    <row r="15231" spans="1:6" ht="15" customHeight="1" x14ac:dyDescent="0.25">
      <c r="A15231" s="88"/>
      <c r="B15231" s="88"/>
      <c r="C15231" s="89"/>
      <c r="D15231" s="113"/>
      <c r="E15231" s="113"/>
      <c r="F15231" s="113"/>
    </row>
    <row r="15232" spans="1:6" ht="15" customHeight="1" x14ac:dyDescent="0.25">
      <c r="A15232" s="96" t="s">
        <v>578</v>
      </c>
      <c r="B15232" s="96"/>
      <c r="C15232" s="92"/>
      <c r="D15232" s="118"/>
      <c r="E15232" s="118"/>
      <c r="F15232" s="118"/>
    </row>
    <row r="15233" spans="1:6" ht="15" customHeight="1" x14ac:dyDescent="0.25">
      <c r="A15233" s="119" t="s">
        <v>563</v>
      </c>
      <c r="B15233" s="120" t="s">
        <v>579</v>
      </c>
      <c r="C15233" s="120" t="s">
        <v>580</v>
      </c>
      <c r="D15233" s="121" t="s">
        <v>581</v>
      </c>
      <c r="E15233" s="121" t="s">
        <v>575</v>
      </c>
      <c r="F15233" s="121" t="s">
        <v>568</v>
      </c>
    </row>
    <row r="15234" spans="1:6" ht="15" customHeight="1" x14ac:dyDescent="0.25">
      <c r="A15234" s="122" t="s">
        <v>916</v>
      </c>
      <c r="B15234" s="127">
        <v>1</v>
      </c>
      <c r="C15234" s="101">
        <v>35956.800000000003</v>
      </c>
      <c r="D15234" s="101">
        <f t="shared" ref="D15234:D15235" si="745">+C15234*1.7</f>
        <v>61126.560000000005</v>
      </c>
      <c r="E15234" s="107">
        <v>0.1329553</v>
      </c>
      <c r="F15234" s="106">
        <f t="shared" ref="F15234:F15235" si="746">+B15234*(D15234)/E15234</f>
        <v>459752.71388203406</v>
      </c>
    </row>
    <row r="15235" spans="1:6" ht="15" customHeight="1" x14ac:dyDescent="0.25">
      <c r="A15235" s="122" t="s">
        <v>917</v>
      </c>
      <c r="B15235" s="127">
        <v>1</v>
      </c>
      <c r="C15235" s="101">
        <v>57791.8</v>
      </c>
      <c r="D15235" s="101">
        <f t="shared" si="745"/>
        <v>98246.06</v>
      </c>
      <c r="E15235" s="107">
        <f>E15234</f>
        <v>0.1329553</v>
      </c>
      <c r="F15235" s="106">
        <f t="shared" si="746"/>
        <v>738940.53114091733</v>
      </c>
    </row>
    <row r="15236" spans="1:6" ht="15" customHeight="1" x14ac:dyDescent="0.25">
      <c r="A15236" s="122"/>
      <c r="B15236" s="127"/>
      <c r="C15236" s="101"/>
      <c r="D15236" s="101"/>
      <c r="E15236" s="105"/>
      <c r="F15236" s="106"/>
    </row>
    <row r="15237" spans="1:6" ht="15" customHeight="1" x14ac:dyDescent="0.25">
      <c r="A15237" s="122"/>
      <c r="B15237" s="127"/>
      <c r="C15237" s="101"/>
      <c r="D15237" s="101"/>
      <c r="E15237" s="125"/>
      <c r="F15237" s="106"/>
    </row>
    <row r="15238" spans="1:6" ht="15" customHeight="1" x14ac:dyDescent="0.25">
      <c r="A15238" s="97" t="s">
        <v>548</v>
      </c>
      <c r="B15238" s="128"/>
      <c r="C15238" s="110"/>
      <c r="D15238" s="110"/>
      <c r="E15238" s="110"/>
      <c r="F15238" s="112">
        <f>SUM(F15234:F15237)</f>
        <v>1198693.2450229514</v>
      </c>
    </row>
    <row r="15239" spans="1:6" ht="15" customHeight="1" x14ac:dyDescent="0.25">
      <c r="A15239" s="96"/>
      <c r="B15239" s="129"/>
      <c r="C15239" s="118"/>
      <c r="D15239" s="118"/>
      <c r="E15239" s="118"/>
      <c r="F15239" s="118"/>
    </row>
    <row r="15240" spans="1:6" ht="15" customHeight="1" x14ac:dyDescent="0.25">
      <c r="A15240" s="95" t="s">
        <v>583</v>
      </c>
      <c r="B15240" s="96"/>
      <c r="C15240" s="92"/>
      <c r="D15240" s="92"/>
      <c r="E15240" s="92" t="s">
        <v>584</v>
      </c>
      <c r="F15240" s="92"/>
    </row>
    <row r="15241" spans="1:6" ht="15" customHeight="1" x14ac:dyDescent="0.25">
      <c r="A15241" s="97" t="s">
        <v>563</v>
      </c>
      <c r="B15241" s="98" t="s">
        <v>564</v>
      </c>
      <c r="C15241" s="98" t="s">
        <v>585</v>
      </c>
      <c r="D15241" s="98" t="s">
        <v>586</v>
      </c>
      <c r="E15241" s="120" t="s">
        <v>587</v>
      </c>
      <c r="F15241" s="98" t="s">
        <v>568</v>
      </c>
    </row>
    <row r="15242" spans="1:6" ht="15" customHeight="1" x14ac:dyDescent="0.25">
      <c r="A15242" s="232" t="s">
        <v>1080</v>
      </c>
      <c r="B15242" s="202">
        <v>1</v>
      </c>
      <c r="C15242" s="205">
        <v>200000</v>
      </c>
      <c r="D15242" s="233">
        <v>1</v>
      </c>
      <c r="E15242" s="234"/>
      <c r="F15242" s="211">
        <f>+D15242*C15242*B15242</f>
        <v>200000</v>
      </c>
    </row>
    <row r="15243" spans="1:6" ht="15" customHeight="1" x14ac:dyDescent="0.25">
      <c r="A15243" s="103"/>
      <c r="B15243" s="100"/>
      <c r="C15243" s="107"/>
      <c r="D15243" s="107"/>
      <c r="E15243" s="108"/>
      <c r="F15243" s="109"/>
    </row>
    <row r="15244" spans="1:6" ht="15" customHeight="1" x14ac:dyDescent="0.25">
      <c r="A15244" s="97" t="s">
        <v>548</v>
      </c>
      <c r="B15244" s="98"/>
      <c r="C15244" s="110"/>
      <c r="D15244" s="110"/>
      <c r="E15244" s="111"/>
      <c r="F15244" s="112">
        <f>SUM(F15242:F15243)</f>
        <v>200000</v>
      </c>
    </row>
    <row r="15245" spans="1:6" ht="15" customHeight="1" x14ac:dyDescent="0.25">
      <c r="A15245" s="88"/>
      <c r="B15245" s="89"/>
      <c r="C15245" s="113"/>
      <c r="D15245" s="113"/>
      <c r="E15245" s="114"/>
      <c r="F15245" s="113"/>
    </row>
    <row r="15246" spans="1:6" ht="15" customHeight="1" x14ac:dyDescent="0.25">
      <c r="A15246" s="88"/>
      <c r="B15246" s="89"/>
      <c r="C15246" s="113"/>
      <c r="D15246" s="113"/>
      <c r="E15246" s="114"/>
      <c r="F15246" s="113"/>
    </row>
    <row r="15247" spans="1:6" ht="15" customHeight="1" x14ac:dyDescent="0.25">
      <c r="A15247" s="612" t="s">
        <v>588</v>
      </c>
      <c r="B15247" s="608"/>
      <c r="C15247" s="608"/>
      <c r="D15247" s="608"/>
      <c r="E15247" s="609"/>
      <c r="F15247" s="131">
        <f>ROUND(F15217+F15230+F15238+F15244,0)</f>
        <v>11427048</v>
      </c>
    </row>
    <row r="15248" spans="1:6" ht="15" customHeight="1" x14ac:dyDescent="0.25">
      <c r="A15248" s="612" t="s">
        <v>589</v>
      </c>
      <c r="B15248" s="608"/>
      <c r="C15248" s="608"/>
      <c r="D15248" s="608"/>
      <c r="E15248" s="609"/>
      <c r="F15248" s="132"/>
    </row>
    <row r="15249" spans="1:6" ht="15" customHeight="1" x14ac:dyDescent="0.25">
      <c r="A15249" s="146" t="s">
        <v>556</v>
      </c>
      <c r="B15249" s="147"/>
      <c r="C15249" s="147"/>
      <c r="D15249" s="147"/>
      <c r="E15249" s="148"/>
      <c r="F15249" s="133"/>
    </row>
    <row r="15250" spans="1:6" ht="15" customHeight="1" x14ac:dyDescent="0.25">
      <c r="A15250" s="134"/>
      <c r="B15250" s="135"/>
      <c r="C15250" s="135"/>
      <c r="D15250" s="135"/>
      <c r="E15250" s="135"/>
      <c r="F15250" s="136"/>
    </row>
    <row r="15251" spans="1:6" ht="15" customHeight="1" x14ac:dyDescent="0.25">
      <c r="A15251" s="81"/>
      <c r="B15251" s="81"/>
      <c r="C15251" s="137"/>
      <c r="D15251" s="81"/>
      <c r="E15251" s="81"/>
      <c r="F15251" s="81"/>
    </row>
    <row r="15252" spans="1:6" ht="15" customHeight="1" x14ac:dyDescent="0.25">
      <c r="A15252" s="81"/>
      <c r="B15252" s="81"/>
      <c r="C15252" s="137"/>
      <c r="D15252" s="81"/>
      <c r="E15252" s="81"/>
      <c r="F15252" s="81"/>
    </row>
    <row r="15253" spans="1:6" ht="15" customHeight="1" x14ac:dyDescent="0.25">
      <c r="A15253" s="81"/>
      <c r="B15253" s="81"/>
      <c r="C15253" s="137"/>
      <c r="D15253" s="81"/>
      <c r="E15253" s="81"/>
      <c r="F15253" s="81"/>
    </row>
    <row r="15254" spans="1:6" ht="15" customHeight="1" x14ac:dyDescent="0.25">
      <c r="A15254" s="81"/>
      <c r="B15254" s="81"/>
      <c r="C15254" s="137"/>
      <c r="D15254" s="81"/>
      <c r="E15254" s="81"/>
      <c r="F15254" s="81"/>
    </row>
    <row r="15255" spans="1:6" ht="15" customHeight="1" x14ac:dyDescent="0.25">
      <c r="A15255" s="81"/>
      <c r="B15255" s="81"/>
      <c r="C15255" s="137"/>
      <c r="D15255" s="81"/>
      <c r="E15255" s="81"/>
      <c r="F15255" s="81"/>
    </row>
    <row r="15256" spans="1:6" ht="15" customHeight="1" x14ac:dyDescent="0.25">
      <c r="A15256" s="134"/>
      <c r="B15256" s="135"/>
      <c r="C15256" s="135"/>
      <c r="D15256" s="135"/>
      <c r="E15256" s="135"/>
      <c r="F15256" s="136"/>
    </row>
    <row r="15257" spans="1:6" ht="15" customHeight="1" x14ac:dyDescent="0.25">
      <c r="A15257" s="134"/>
      <c r="B15257" s="135"/>
      <c r="C15257" s="135"/>
      <c r="D15257" s="135"/>
      <c r="E15257" s="135"/>
      <c r="F15257" s="136"/>
    </row>
    <row r="15258" spans="1:6" ht="15" customHeight="1" x14ac:dyDescent="0.25">
      <c r="A15258" s="134"/>
      <c r="B15258" s="135"/>
      <c r="C15258" s="135"/>
      <c r="D15258" s="135"/>
      <c r="E15258" s="135"/>
      <c r="F15258" s="136"/>
    </row>
    <row r="15259" spans="1:6" ht="15" customHeight="1" thickBot="1" x14ac:dyDescent="0.3">
      <c r="A15259" s="81"/>
      <c r="B15259" s="81"/>
      <c r="C15259" s="81"/>
      <c r="D15259" s="81"/>
      <c r="E15259" s="81"/>
      <c r="F15259" s="81"/>
    </row>
    <row r="15260" spans="1:6" ht="15" customHeight="1" x14ac:dyDescent="0.25">
      <c r="A15260" s="83"/>
      <c r="B15260" s="84"/>
      <c r="C15260" s="85"/>
      <c r="D15260" s="86"/>
      <c r="E15260" s="86"/>
      <c r="F15260" s="87"/>
    </row>
    <row r="15261" spans="1:6" ht="15" customHeight="1" x14ac:dyDescent="0.25">
      <c r="A15261" s="599"/>
      <c r="B15261" s="600"/>
      <c r="C15261" s="600"/>
      <c r="D15261" s="600"/>
      <c r="E15261" s="600"/>
      <c r="F15261" s="601"/>
    </row>
    <row r="15262" spans="1:6" ht="15" customHeight="1" x14ac:dyDescent="0.25">
      <c r="A15262" s="602" t="s">
        <v>561</v>
      </c>
      <c r="B15262" s="600"/>
      <c r="C15262" s="600"/>
      <c r="D15262" s="600"/>
      <c r="E15262" s="600"/>
      <c r="F15262" s="601"/>
    </row>
    <row r="15263" spans="1:6" ht="15" customHeight="1" thickBot="1" x14ac:dyDescent="0.3">
      <c r="A15263" s="603"/>
      <c r="B15263" s="604"/>
      <c r="C15263" s="604"/>
      <c r="D15263" s="604"/>
      <c r="E15263" s="604"/>
      <c r="F15263" s="605"/>
    </row>
    <row r="15264" spans="1:6" ht="15" customHeight="1" x14ac:dyDescent="0.25">
      <c r="A15264" s="88"/>
      <c r="B15264" s="88"/>
      <c r="C15264" s="89"/>
      <c r="D15264" s="89"/>
      <c r="E15264" s="89"/>
      <c r="F15264" s="89"/>
    </row>
    <row r="15265" spans="1:6" ht="15" customHeight="1" x14ac:dyDescent="0.25">
      <c r="A15265" s="90" t="s">
        <v>47</v>
      </c>
      <c r="B15265" s="613" t="str">
        <f>'Presupuesto Especifico'!C334</f>
        <v xml:space="preserve">Suministro e Instalacion de Tablero de 24 Circuitos trifasico con espacio para totalizador, con barra de neutro y de tierra, incluye puerta y chapa que cumpla con normativa RETIE  </v>
      </c>
      <c r="C15265" s="600"/>
      <c r="D15265" s="600"/>
      <c r="E15265" s="600"/>
      <c r="F15265" s="600"/>
    </row>
    <row r="15266" spans="1:6" ht="15" customHeight="1" x14ac:dyDescent="0.25">
      <c r="A15266" s="91"/>
      <c r="B15266" s="91"/>
      <c r="C15266" s="91"/>
      <c r="D15266" s="91"/>
      <c r="E15266" s="91"/>
      <c r="F15266" s="91"/>
    </row>
    <row r="15267" spans="1:6" ht="15" customHeight="1" x14ac:dyDescent="0.25">
      <c r="A15267" s="88" t="s">
        <v>49</v>
      </c>
      <c r="B15267" s="92" t="s">
        <v>99</v>
      </c>
      <c r="C15267" s="89"/>
      <c r="D15267" s="89"/>
      <c r="E15267" s="89"/>
      <c r="F15267" s="93"/>
    </row>
    <row r="15268" spans="1:6" ht="15" customHeight="1" x14ac:dyDescent="0.25">
      <c r="A15268" s="88"/>
      <c r="B15268" s="94"/>
      <c r="C15268" s="89"/>
      <c r="D15268" s="89"/>
      <c r="E15268" s="89"/>
      <c r="F15268" s="93"/>
    </row>
    <row r="15269" spans="1:6" ht="15" customHeight="1" x14ac:dyDescent="0.25">
      <c r="A15269" s="95" t="s">
        <v>562</v>
      </c>
      <c r="B15269" s="96"/>
      <c r="C15269" s="92"/>
      <c r="D15269" s="92"/>
      <c r="E15269" s="92"/>
      <c r="F15269" s="92"/>
    </row>
    <row r="15270" spans="1:6" ht="15" customHeight="1" x14ac:dyDescent="0.25">
      <c r="A15270" s="97" t="s">
        <v>563</v>
      </c>
      <c r="B15270" s="98" t="s">
        <v>564</v>
      </c>
      <c r="C15270" s="98" t="s">
        <v>565</v>
      </c>
      <c r="D15270" s="98" t="s">
        <v>566</v>
      </c>
      <c r="E15270" s="98" t="s">
        <v>567</v>
      </c>
      <c r="F15270" s="98" t="s">
        <v>568</v>
      </c>
    </row>
    <row r="15271" spans="1:6" ht="15" customHeight="1" x14ac:dyDescent="0.25">
      <c r="A15271" s="201" t="s">
        <v>1098</v>
      </c>
      <c r="B15271" s="100" t="s">
        <v>99</v>
      </c>
      <c r="C15271" s="189">
        <v>725000</v>
      </c>
      <c r="D15271" s="104">
        <v>1</v>
      </c>
      <c r="E15271" s="102"/>
      <c r="F15271" s="101">
        <f>C15271*(D15271+(D15271*E15271))</f>
        <v>725000</v>
      </c>
    </row>
    <row r="15272" spans="1:6" ht="15" customHeight="1" x14ac:dyDescent="0.25">
      <c r="A15272" s="99"/>
      <c r="B15272" s="100"/>
      <c r="C15272" s="101"/>
      <c r="D15272" s="104"/>
      <c r="E15272" s="102"/>
      <c r="F15272" s="101"/>
    </row>
    <row r="15273" spans="1:6" ht="15" customHeight="1" x14ac:dyDescent="0.25">
      <c r="A15273" s="99"/>
      <c r="B15273" s="100"/>
      <c r="C15273" s="101"/>
      <c r="D15273" s="104"/>
      <c r="E15273" s="102"/>
      <c r="F15273" s="101"/>
    </row>
    <row r="15274" spans="1:6" ht="15" customHeight="1" x14ac:dyDescent="0.25">
      <c r="A15274" s="99"/>
      <c r="B15274" s="100"/>
      <c r="C15274" s="106"/>
      <c r="D15274" s="104"/>
      <c r="E15274" s="102"/>
      <c r="F15274" s="101"/>
    </row>
    <row r="15275" spans="1:6" ht="15" customHeight="1" x14ac:dyDescent="0.25">
      <c r="A15275" s="103"/>
      <c r="B15275" s="100"/>
      <c r="C15275" s="101"/>
      <c r="D15275" s="105"/>
      <c r="E15275" s="102"/>
      <c r="F15275" s="101"/>
    </row>
    <row r="15276" spans="1:6" ht="15" customHeight="1" x14ac:dyDescent="0.25">
      <c r="A15276" s="99"/>
      <c r="B15276" s="100"/>
      <c r="C15276" s="106"/>
      <c r="D15276" s="107"/>
      <c r="E15276" s="108"/>
      <c r="F15276" s="106"/>
    </row>
    <row r="15277" spans="1:6" ht="15" customHeight="1" x14ac:dyDescent="0.25">
      <c r="A15277" s="97" t="s">
        <v>548</v>
      </c>
      <c r="B15277" s="97"/>
      <c r="C15277" s="109"/>
      <c r="D15277" s="110"/>
      <c r="E15277" s="111"/>
      <c r="F15277" s="112">
        <f>SUM(F15271:F15276)</f>
        <v>725000</v>
      </c>
    </row>
    <row r="15278" spans="1:6" ht="15" customHeight="1" x14ac:dyDescent="0.25">
      <c r="A15278" s="88"/>
      <c r="B15278" s="88"/>
      <c r="C15278" s="113"/>
      <c r="D15278" s="113"/>
      <c r="E15278" s="114"/>
      <c r="F15278" s="113"/>
    </row>
    <row r="15279" spans="1:6" ht="15" customHeight="1" x14ac:dyDescent="0.25">
      <c r="A15279" s="96" t="s">
        <v>573</v>
      </c>
      <c r="B15279" s="96"/>
      <c r="C15279" s="92"/>
      <c r="D15279" s="92"/>
      <c r="E15279" s="92"/>
      <c r="F15279" s="92"/>
    </row>
    <row r="15280" spans="1:6" ht="15" customHeight="1" x14ac:dyDescent="0.25">
      <c r="A15280" s="611" t="s">
        <v>563</v>
      </c>
      <c r="B15280" s="608"/>
      <c r="C15280" s="609"/>
      <c r="D15280" s="98" t="s">
        <v>574</v>
      </c>
      <c r="E15280" s="98" t="s">
        <v>575</v>
      </c>
      <c r="F15280" s="98" t="s">
        <v>568</v>
      </c>
    </row>
    <row r="15281" spans="1:6" ht="15" customHeight="1" x14ac:dyDescent="0.25">
      <c r="A15281" s="607" t="s">
        <v>577</v>
      </c>
      <c r="B15281" s="608"/>
      <c r="C15281" s="609"/>
      <c r="D15281" s="116"/>
      <c r="E15281" s="107"/>
      <c r="F15281" s="106">
        <f>+F15293*5%</f>
        <v>1999.0544879835431</v>
      </c>
    </row>
    <row r="15282" spans="1:6" ht="15" customHeight="1" x14ac:dyDescent="0.25">
      <c r="A15282" s="607"/>
      <c r="B15282" s="608"/>
      <c r="C15282" s="609"/>
      <c r="D15282" s="142"/>
      <c r="E15282" s="107"/>
      <c r="F15282" s="106"/>
    </row>
    <row r="15283" spans="1:6" ht="15" customHeight="1" x14ac:dyDescent="0.25">
      <c r="A15283" s="607"/>
      <c r="B15283" s="608"/>
      <c r="C15283" s="609"/>
      <c r="D15283" s="142"/>
      <c r="E15283" s="107"/>
      <c r="F15283" s="106"/>
    </row>
    <row r="15284" spans="1:6" ht="15" customHeight="1" x14ac:dyDescent="0.25">
      <c r="A15284" s="610"/>
      <c r="B15284" s="608"/>
      <c r="C15284" s="609"/>
      <c r="D15284" s="115"/>
      <c r="E15284" s="107"/>
      <c r="F15284" s="106"/>
    </row>
    <row r="15285" spans="1:6" ht="15" customHeight="1" x14ac:dyDescent="0.25">
      <c r="A15285" s="611" t="s">
        <v>548</v>
      </c>
      <c r="B15285" s="608"/>
      <c r="C15285" s="609"/>
      <c r="D15285" s="110"/>
      <c r="E15285" s="110"/>
      <c r="F15285" s="112">
        <f>SUM(F15281:F15283)</f>
        <v>1999.0544879835431</v>
      </c>
    </row>
    <row r="15286" spans="1:6" ht="15" customHeight="1" x14ac:dyDescent="0.25">
      <c r="A15286" s="88"/>
      <c r="B15286" s="88"/>
      <c r="C15286" s="89"/>
      <c r="D15286" s="113"/>
      <c r="E15286" s="113"/>
      <c r="F15286" s="113"/>
    </row>
    <row r="15287" spans="1:6" ht="15" customHeight="1" x14ac:dyDescent="0.25">
      <c r="A15287" s="96" t="s">
        <v>578</v>
      </c>
      <c r="B15287" s="96"/>
      <c r="C15287" s="92"/>
      <c r="D15287" s="118"/>
      <c r="E15287" s="118"/>
      <c r="F15287" s="118"/>
    </row>
    <row r="15288" spans="1:6" ht="15" customHeight="1" x14ac:dyDescent="0.25">
      <c r="A15288" s="119" t="s">
        <v>563</v>
      </c>
      <c r="B15288" s="120" t="s">
        <v>579</v>
      </c>
      <c r="C15288" s="120" t="s">
        <v>580</v>
      </c>
      <c r="D15288" s="121" t="s">
        <v>581</v>
      </c>
      <c r="E15288" s="121" t="s">
        <v>575</v>
      </c>
      <c r="F15288" s="121" t="s">
        <v>568</v>
      </c>
    </row>
    <row r="15289" spans="1:6" ht="15" customHeight="1" x14ac:dyDescent="0.25">
      <c r="A15289" s="122" t="s">
        <v>916</v>
      </c>
      <c r="B15289" s="127">
        <v>1</v>
      </c>
      <c r="C15289" s="101">
        <v>35956.800000000003</v>
      </c>
      <c r="D15289" s="101">
        <f t="shared" ref="D15289:D15290" si="747">+C15289*1.7</f>
        <v>61126.560000000005</v>
      </c>
      <c r="E15289" s="107">
        <v>3.9862000000000002</v>
      </c>
      <c r="F15289" s="106">
        <f t="shared" ref="F15289:F15290" si="748">+B15289*(D15289)/E15289</f>
        <v>15334.544177412072</v>
      </c>
    </row>
    <row r="15290" spans="1:6" ht="15" customHeight="1" x14ac:dyDescent="0.25">
      <c r="A15290" s="122" t="s">
        <v>917</v>
      </c>
      <c r="B15290" s="127">
        <v>1</v>
      </c>
      <c r="C15290" s="101">
        <v>57791.8</v>
      </c>
      <c r="D15290" s="101">
        <f t="shared" si="747"/>
        <v>98246.06</v>
      </c>
      <c r="E15290" s="107">
        <f>E15289</f>
        <v>3.9862000000000002</v>
      </c>
      <c r="F15290" s="106">
        <f t="shared" si="748"/>
        <v>24646.54558225879</v>
      </c>
    </row>
    <row r="15291" spans="1:6" ht="15" customHeight="1" x14ac:dyDescent="0.25">
      <c r="A15291" s="122"/>
      <c r="B15291" s="127"/>
      <c r="C15291" s="101"/>
      <c r="D15291" s="101"/>
      <c r="E15291" s="107"/>
      <c r="F15291" s="106"/>
    </row>
    <row r="15292" spans="1:6" ht="15" customHeight="1" x14ac:dyDescent="0.25">
      <c r="A15292" s="122"/>
      <c r="B15292" s="127"/>
      <c r="C15292" s="101"/>
      <c r="D15292" s="101"/>
      <c r="E15292" s="125"/>
      <c r="F15292" s="106"/>
    </row>
    <row r="15293" spans="1:6" ht="15" customHeight="1" x14ac:dyDescent="0.25">
      <c r="A15293" s="97" t="s">
        <v>548</v>
      </c>
      <c r="B15293" s="128"/>
      <c r="C15293" s="110"/>
      <c r="D15293" s="110"/>
      <c r="E15293" s="110"/>
      <c r="F15293" s="112">
        <f>SUM(F15289:F15292)</f>
        <v>39981.08975967086</v>
      </c>
    </row>
    <row r="15294" spans="1:6" ht="15" customHeight="1" x14ac:dyDescent="0.25">
      <c r="A15294" s="96"/>
      <c r="B15294" s="129"/>
      <c r="C15294" s="118"/>
      <c r="D15294" s="118"/>
      <c r="E15294" s="118"/>
      <c r="F15294" s="118"/>
    </row>
    <row r="15295" spans="1:6" ht="15" customHeight="1" x14ac:dyDescent="0.25">
      <c r="A15295" s="95" t="s">
        <v>583</v>
      </c>
      <c r="B15295" s="96"/>
      <c r="C15295" s="92"/>
      <c r="D15295" s="92"/>
      <c r="E15295" s="92" t="s">
        <v>584</v>
      </c>
      <c r="F15295" s="92"/>
    </row>
    <row r="15296" spans="1:6" ht="15" customHeight="1" x14ac:dyDescent="0.25">
      <c r="A15296" s="97" t="s">
        <v>563</v>
      </c>
      <c r="B15296" s="98" t="s">
        <v>564</v>
      </c>
      <c r="C15296" s="98" t="s">
        <v>585</v>
      </c>
      <c r="D15296" s="98" t="s">
        <v>586</v>
      </c>
      <c r="E15296" s="120" t="s">
        <v>587</v>
      </c>
      <c r="F15296" s="98" t="s">
        <v>568</v>
      </c>
    </row>
    <row r="15297" spans="1:6" ht="15" customHeight="1" x14ac:dyDescent="0.25">
      <c r="A15297" s="232" t="s">
        <v>1080</v>
      </c>
      <c r="B15297" s="202">
        <v>1</v>
      </c>
      <c r="C15297" s="205">
        <v>200000</v>
      </c>
      <c r="D15297" s="233">
        <v>0.1</v>
      </c>
      <c r="E15297" s="234"/>
      <c r="F15297" s="211">
        <f>+D15297*C15297*B15297</f>
        <v>20000</v>
      </c>
    </row>
    <row r="15298" spans="1:6" ht="15" customHeight="1" x14ac:dyDescent="0.25">
      <c r="A15298" s="103"/>
      <c r="B15298" s="100"/>
      <c r="C15298" s="107"/>
      <c r="D15298" s="107"/>
      <c r="E15298" s="108"/>
      <c r="F15298" s="109"/>
    </row>
    <row r="15299" spans="1:6" ht="15" customHeight="1" x14ac:dyDescent="0.25">
      <c r="A15299" s="97" t="s">
        <v>548</v>
      </c>
      <c r="B15299" s="98"/>
      <c r="C15299" s="110"/>
      <c r="D15299" s="110"/>
      <c r="E15299" s="111"/>
      <c r="F15299" s="112">
        <f>SUM(F15297:F15298)</f>
        <v>20000</v>
      </c>
    </row>
    <row r="15300" spans="1:6" ht="15" customHeight="1" x14ac:dyDescent="0.25">
      <c r="A15300" s="88"/>
      <c r="B15300" s="89"/>
      <c r="C15300" s="113"/>
      <c r="D15300" s="113"/>
      <c r="E15300" s="114"/>
      <c r="F15300" s="113"/>
    </row>
    <row r="15301" spans="1:6" ht="15" customHeight="1" x14ac:dyDescent="0.25">
      <c r="A15301" s="88"/>
      <c r="B15301" s="89"/>
      <c r="C15301" s="113"/>
      <c r="D15301" s="113"/>
      <c r="E15301" s="114"/>
      <c r="F15301" s="113"/>
    </row>
    <row r="15302" spans="1:6" ht="15" customHeight="1" x14ac:dyDescent="0.25">
      <c r="A15302" s="612" t="s">
        <v>588</v>
      </c>
      <c r="B15302" s="608"/>
      <c r="C15302" s="608"/>
      <c r="D15302" s="608"/>
      <c r="E15302" s="609"/>
      <c r="F15302" s="131">
        <f>ROUND(F15277+F15285+F15293+F15299,0)</f>
        <v>786980</v>
      </c>
    </row>
    <row r="15303" spans="1:6" ht="15" customHeight="1" x14ac:dyDescent="0.25">
      <c r="A15303" s="612" t="s">
        <v>589</v>
      </c>
      <c r="B15303" s="608"/>
      <c r="C15303" s="608"/>
      <c r="D15303" s="608"/>
      <c r="E15303" s="609"/>
      <c r="F15303" s="132"/>
    </row>
    <row r="15304" spans="1:6" ht="15" customHeight="1" x14ac:dyDescent="0.25">
      <c r="A15304" s="612" t="s">
        <v>556</v>
      </c>
      <c r="B15304" s="608"/>
      <c r="C15304" s="608"/>
      <c r="D15304" s="608"/>
      <c r="E15304" s="609"/>
      <c r="F15304" s="133"/>
    </row>
    <row r="15305" spans="1:6" ht="15" customHeight="1" x14ac:dyDescent="0.25">
      <c r="A15305" s="134"/>
      <c r="B15305" s="135"/>
      <c r="C15305" s="135"/>
      <c r="D15305" s="135"/>
      <c r="E15305" s="135"/>
      <c r="F15305" s="136"/>
    </row>
    <row r="15306" spans="1:6" ht="15" customHeight="1" x14ac:dyDescent="0.25">
      <c r="A15306" s="81"/>
      <c r="B15306" s="81"/>
      <c r="C15306" s="137"/>
      <c r="D15306" s="81"/>
      <c r="E15306" s="81"/>
      <c r="F15306" s="81"/>
    </row>
    <row r="15307" spans="1:6" ht="15" customHeight="1" x14ac:dyDescent="0.25">
      <c r="A15307" s="81"/>
      <c r="B15307" s="81"/>
      <c r="C15307" s="137"/>
      <c r="D15307" s="81"/>
      <c r="E15307" s="81"/>
      <c r="F15307" s="81"/>
    </row>
    <row r="15308" spans="1:6" ht="15" customHeight="1" x14ac:dyDescent="0.25">
      <c r="A15308" s="81"/>
      <c r="B15308" s="81"/>
      <c r="C15308" s="137"/>
      <c r="D15308" s="81"/>
      <c r="E15308" s="81"/>
      <c r="F15308" s="81"/>
    </row>
    <row r="15309" spans="1:6" ht="15" customHeight="1" x14ac:dyDescent="0.25">
      <c r="A15309" s="81"/>
      <c r="B15309" s="81"/>
      <c r="C15309" s="137"/>
      <c r="D15309" s="81"/>
      <c r="E15309" s="81"/>
      <c r="F15309" s="81"/>
    </row>
    <row r="15310" spans="1:6" ht="15" customHeight="1" x14ac:dyDescent="0.25">
      <c r="A15310" s="134"/>
      <c r="B15310" s="135"/>
      <c r="C15310" s="135"/>
      <c r="D15310" s="135"/>
      <c r="E15310" s="135"/>
      <c r="F15310" s="136"/>
    </row>
    <row r="15311" spans="1:6" ht="15" customHeight="1" x14ac:dyDescent="0.25">
      <c r="A15311" s="134"/>
      <c r="B15311" s="135"/>
      <c r="C15311" s="135"/>
      <c r="D15311" s="135"/>
      <c r="E15311" s="135"/>
      <c r="F15311" s="136"/>
    </row>
    <row r="15312" spans="1:6" ht="15" customHeight="1" x14ac:dyDescent="0.25">
      <c r="A15312" s="134"/>
      <c r="B15312" s="135"/>
      <c r="C15312" s="135"/>
      <c r="D15312" s="135"/>
      <c r="E15312" s="135"/>
      <c r="F15312" s="136"/>
    </row>
    <row r="15313" spans="1:6" ht="15" customHeight="1" thickBot="1" x14ac:dyDescent="0.3">
      <c r="A15313" s="81"/>
      <c r="B15313" s="81"/>
      <c r="C15313" s="81"/>
      <c r="D15313" s="81"/>
      <c r="E15313" s="81"/>
      <c r="F15313" s="81"/>
    </row>
    <row r="15314" spans="1:6" ht="15" customHeight="1" x14ac:dyDescent="0.25">
      <c r="A15314" s="83"/>
      <c r="B15314" s="84"/>
      <c r="C15314" s="85"/>
      <c r="D15314" s="86"/>
      <c r="E15314" s="86"/>
      <c r="F15314" s="87"/>
    </row>
    <row r="15315" spans="1:6" ht="15" customHeight="1" x14ac:dyDescent="0.25">
      <c r="A15315" s="599"/>
      <c r="B15315" s="600"/>
      <c r="C15315" s="600"/>
      <c r="D15315" s="600"/>
      <c r="E15315" s="600"/>
      <c r="F15315" s="601"/>
    </row>
    <row r="15316" spans="1:6" ht="15" customHeight="1" x14ac:dyDescent="0.25">
      <c r="A15316" s="602" t="s">
        <v>561</v>
      </c>
      <c r="B15316" s="600"/>
      <c r="C15316" s="600"/>
      <c r="D15316" s="600"/>
      <c r="E15316" s="600"/>
      <c r="F15316" s="601"/>
    </row>
    <row r="15317" spans="1:6" ht="15" customHeight="1" thickBot="1" x14ac:dyDescent="0.3">
      <c r="A15317" s="603"/>
      <c r="B15317" s="604"/>
      <c r="C15317" s="604"/>
      <c r="D15317" s="604"/>
      <c r="E15317" s="604"/>
      <c r="F15317" s="605"/>
    </row>
    <row r="15318" spans="1:6" ht="15" customHeight="1" x14ac:dyDescent="0.25">
      <c r="A15318" s="88"/>
      <c r="B15318" s="88"/>
      <c r="C15318" s="89"/>
      <c r="D15318" s="89"/>
      <c r="E15318" s="89"/>
      <c r="F15318" s="89"/>
    </row>
    <row r="15319" spans="1:6" ht="15" customHeight="1" x14ac:dyDescent="0.25">
      <c r="A15319" s="90" t="s">
        <v>47</v>
      </c>
      <c r="B15319" s="613" t="str">
        <f>'Presupuesto Especifico'!C335</f>
        <v xml:space="preserve">Suministro e Instalacion de Tablero regulado de 8 Circuitos bifasico con barra de neutro y de tierra, incluye puerta y chapa que cumpla con normativa RETIE </v>
      </c>
      <c r="C15319" s="600"/>
      <c r="D15319" s="600"/>
      <c r="E15319" s="600"/>
      <c r="F15319" s="600"/>
    </row>
    <row r="15320" spans="1:6" ht="15" customHeight="1" x14ac:dyDescent="0.25">
      <c r="A15320" s="91"/>
      <c r="B15320" s="91"/>
      <c r="C15320" s="91"/>
      <c r="D15320" s="91"/>
      <c r="E15320" s="91"/>
      <c r="F15320" s="91"/>
    </row>
    <row r="15321" spans="1:6" ht="15" customHeight="1" x14ac:dyDescent="0.25">
      <c r="A15321" s="88" t="s">
        <v>49</v>
      </c>
      <c r="B15321" s="92" t="s">
        <v>99</v>
      </c>
      <c r="C15321" s="89"/>
      <c r="D15321" s="89"/>
      <c r="E15321" s="89"/>
      <c r="F15321" s="93"/>
    </row>
    <row r="15322" spans="1:6" ht="15" customHeight="1" x14ac:dyDescent="0.25">
      <c r="A15322" s="88"/>
      <c r="B15322" s="94"/>
      <c r="C15322" s="89"/>
      <c r="D15322" s="89"/>
      <c r="E15322" s="89"/>
      <c r="F15322" s="93"/>
    </row>
    <row r="15323" spans="1:6" ht="15" customHeight="1" x14ac:dyDescent="0.25">
      <c r="A15323" s="95" t="s">
        <v>562</v>
      </c>
      <c r="B15323" s="96"/>
      <c r="C15323" s="92"/>
      <c r="D15323" s="92"/>
      <c r="E15323" s="92"/>
      <c r="F15323" s="92"/>
    </row>
    <row r="15324" spans="1:6" ht="15" customHeight="1" x14ac:dyDescent="0.25">
      <c r="A15324" s="97" t="s">
        <v>563</v>
      </c>
      <c r="B15324" s="98" t="s">
        <v>564</v>
      </c>
      <c r="C15324" s="98" t="s">
        <v>565</v>
      </c>
      <c r="D15324" s="98" t="s">
        <v>566</v>
      </c>
      <c r="E15324" s="98" t="s">
        <v>567</v>
      </c>
      <c r="F15324" s="98" t="s">
        <v>568</v>
      </c>
    </row>
    <row r="15325" spans="1:6" ht="15" customHeight="1" x14ac:dyDescent="0.25">
      <c r="A15325" s="201" t="s">
        <v>1097</v>
      </c>
      <c r="B15325" s="100" t="s">
        <v>99</v>
      </c>
      <c r="C15325" s="189">
        <v>359000</v>
      </c>
      <c r="D15325" s="104">
        <v>1</v>
      </c>
      <c r="E15325" s="102"/>
      <c r="F15325" s="101">
        <f>C15325*(D15325+(D15325*E15325))</f>
        <v>359000</v>
      </c>
    </row>
    <row r="15326" spans="1:6" ht="15" customHeight="1" x14ac:dyDescent="0.25">
      <c r="A15326" s="99"/>
      <c r="B15326" s="100"/>
      <c r="C15326" s="101"/>
      <c r="D15326" s="104"/>
      <c r="E15326" s="102"/>
      <c r="F15326" s="101"/>
    </row>
    <row r="15327" spans="1:6" ht="15" customHeight="1" x14ac:dyDescent="0.25">
      <c r="A15327" s="99"/>
      <c r="B15327" s="100"/>
      <c r="C15327" s="101"/>
      <c r="D15327" s="104"/>
      <c r="E15327" s="102"/>
      <c r="F15327" s="101"/>
    </row>
    <row r="15328" spans="1:6" ht="15" customHeight="1" x14ac:dyDescent="0.25">
      <c r="A15328" s="99"/>
      <c r="B15328" s="100"/>
      <c r="C15328" s="106"/>
      <c r="D15328" s="104"/>
      <c r="E15328" s="102"/>
      <c r="F15328" s="101"/>
    </row>
    <row r="15329" spans="1:6" ht="15" customHeight="1" x14ac:dyDescent="0.25">
      <c r="A15329" s="103"/>
      <c r="B15329" s="100"/>
      <c r="C15329" s="101"/>
      <c r="D15329" s="105"/>
      <c r="E15329" s="102"/>
      <c r="F15329" s="101"/>
    </row>
    <row r="15330" spans="1:6" ht="15" customHeight="1" x14ac:dyDescent="0.25">
      <c r="A15330" s="99"/>
      <c r="B15330" s="100"/>
      <c r="C15330" s="106"/>
      <c r="D15330" s="107"/>
      <c r="E15330" s="108"/>
      <c r="F15330" s="106"/>
    </row>
    <row r="15331" spans="1:6" ht="15" customHeight="1" x14ac:dyDescent="0.25">
      <c r="A15331" s="97" t="s">
        <v>548</v>
      </c>
      <c r="B15331" s="97"/>
      <c r="C15331" s="109"/>
      <c r="D15331" s="110"/>
      <c r="E15331" s="111"/>
      <c r="F15331" s="112">
        <f>SUM(F15325:F15330)</f>
        <v>359000</v>
      </c>
    </row>
    <row r="15332" spans="1:6" ht="15" customHeight="1" x14ac:dyDescent="0.25">
      <c r="A15332" s="88"/>
      <c r="B15332" s="88"/>
      <c r="C15332" s="113"/>
      <c r="D15332" s="113"/>
      <c r="E15332" s="114"/>
      <c r="F15332" s="113"/>
    </row>
    <row r="15333" spans="1:6" ht="15" customHeight="1" x14ac:dyDescent="0.25">
      <c r="A15333" s="96" t="s">
        <v>573</v>
      </c>
      <c r="B15333" s="96"/>
      <c r="C15333" s="92"/>
      <c r="D15333" s="92"/>
      <c r="E15333" s="92"/>
      <c r="F15333" s="92"/>
    </row>
    <row r="15334" spans="1:6" ht="15" customHeight="1" x14ac:dyDescent="0.25">
      <c r="A15334" s="611" t="s">
        <v>563</v>
      </c>
      <c r="B15334" s="608"/>
      <c r="C15334" s="609"/>
      <c r="D15334" s="98" t="s">
        <v>574</v>
      </c>
      <c r="E15334" s="98" t="s">
        <v>575</v>
      </c>
      <c r="F15334" s="98" t="s">
        <v>568</v>
      </c>
    </row>
    <row r="15335" spans="1:6" ht="15" customHeight="1" x14ac:dyDescent="0.25">
      <c r="A15335" s="607" t="s">
        <v>577</v>
      </c>
      <c r="B15335" s="608"/>
      <c r="C15335" s="609"/>
      <c r="D15335" s="116"/>
      <c r="E15335" s="107"/>
      <c r="F15335" s="106">
        <f>+F15347*5%</f>
        <v>1485.714738510301</v>
      </c>
    </row>
    <row r="15336" spans="1:6" ht="15" customHeight="1" x14ac:dyDescent="0.25">
      <c r="A15336" s="607"/>
      <c r="B15336" s="608"/>
      <c r="C15336" s="609"/>
      <c r="D15336" s="142"/>
      <c r="E15336" s="107"/>
      <c r="F15336" s="106"/>
    </row>
    <row r="15337" spans="1:6" ht="15" customHeight="1" x14ac:dyDescent="0.25">
      <c r="A15337" s="607"/>
      <c r="B15337" s="608"/>
      <c r="C15337" s="609"/>
      <c r="D15337" s="142"/>
      <c r="E15337" s="107"/>
      <c r="F15337" s="106"/>
    </row>
    <row r="15338" spans="1:6" ht="15" customHeight="1" x14ac:dyDescent="0.25">
      <c r="A15338" s="610"/>
      <c r="B15338" s="608"/>
      <c r="C15338" s="609"/>
      <c r="D15338" s="115"/>
      <c r="E15338" s="107"/>
      <c r="F15338" s="106"/>
    </row>
    <row r="15339" spans="1:6" ht="15" customHeight="1" x14ac:dyDescent="0.25">
      <c r="A15339" s="611" t="s">
        <v>548</v>
      </c>
      <c r="B15339" s="608"/>
      <c r="C15339" s="609"/>
      <c r="D15339" s="110"/>
      <c r="E15339" s="110"/>
      <c r="F15339" s="112">
        <f>SUM(F15335:F15337)</f>
        <v>1485.714738510301</v>
      </c>
    </row>
    <row r="15340" spans="1:6" ht="15" customHeight="1" x14ac:dyDescent="0.25">
      <c r="A15340" s="88"/>
      <c r="B15340" s="88"/>
      <c r="C15340" s="89"/>
      <c r="D15340" s="113"/>
      <c r="E15340" s="113"/>
      <c r="F15340" s="113"/>
    </row>
    <row r="15341" spans="1:6" ht="15" customHeight="1" x14ac:dyDescent="0.25">
      <c r="A15341" s="96" t="s">
        <v>578</v>
      </c>
      <c r="B15341" s="96"/>
      <c r="C15341" s="92"/>
      <c r="D15341" s="118"/>
      <c r="E15341" s="118"/>
      <c r="F15341" s="118"/>
    </row>
    <row r="15342" spans="1:6" ht="15" customHeight="1" x14ac:dyDescent="0.25">
      <c r="A15342" s="119" t="s">
        <v>563</v>
      </c>
      <c r="B15342" s="120" t="s">
        <v>579</v>
      </c>
      <c r="C15342" s="120" t="s">
        <v>580</v>
      </c>
      <c r="D15342" s="121" t="s">
        <v>581</v>
      </c>
      <c r="E15342" s="121" t="s">
        <v>575</v>
      </c>
      <c r="F15342" s="121" t="s">
        <v>568</v>
      </c>
    </row>
    <row r="15343" spans="1:6" ht="15" customHeight="1" x14ac:dyDescent="0.25">
      <c r="A15343" s="122" t="s">
        <v>916</v>
      </c>
      <c r="B15343" s="127">
        <v>1</v>
      </c>
      <c r="C15343" s="101">
        <v>35956.800000000003</v>
      </c>
      <c r="D15343" s="101">
        <f t="shared" ref="D15343:D15344" si="749">+C15343*1.7</f>
        <v>61126.560000000005</v>
      </c>
      <c r="E15343" s="107">
        <v>5.3635000000000002</v>
      </c>
      <c r="F15343" s="106">
        <f t="shared" ref="F15343:F15344" si="750">+B15343*(D15343)/E15343</f>
        <v>11396.767036450079</v>
      </c>
    </row>
    <row r="15344" spans="1:6" ht="15" customHeight="1" x14ac:dyDescent="0.25">
      <c r="A15344" s="122" t="s">
        <v>917</v>
      </c>
      <c r="B15344" s="127">
        <v>1</v>
      </c>
      <c r="C15344" s="101">
        <v>57791.8</v>
      </c>
      <c r="D15344" s="101">
        <f t="shared" si="749"/>
        <v>98246.06</v>
      </c>
      <c r="E15344" s="107">
        <f>E15343</f>
        <v>5.3635000000000002</v>
      </c>
      <c r="F15344" s="106">
        <f t="shared" si="750"/>
        <v>18317.527733755942</v>
      </c>
    </row>
    <row r="15345" spans="1:6" ht="15" customHeight="1" x14ac:dyDescent="0.25">
      <c r="A15345" s="122"/>
      <c r="B15345" s="127"/>
      <c r="C15345" s="101"/>
      <c r="D15345" s="101"/>
      <c r="E15345" s="107"/>
      <c r="F15345" s="106"/>
    </row>
    <row r="15346" spans="1:6" ht="15" customHeight="1" x14ac:dyDescent="0.25">
      <c r="A15346" s="122"/>
      <c r="B15346" s="127"/>
      <c r="C15346" s="101"/>
      <c r="D15346" s="101"/>
      <c r="E15346" s="125"/>
      <c r="F15346" s="106"/>
    </row>
    <row r="15347" spans="1:6" ht="15" customHeight="1" x14ac:dyDescent="0.25">
      <c r="A15347" s="97" t="s">
        <v>548</v>
      </c>
      <c r="B15347" s="128"/>
      <c r="C15347" s="110"/>
      <c r="D15347" s="110"/>
      <c r="E15347" s="110"/>
      <c r="F15347" s="112">
        <f>SUM(F15343:F15346)</f>
        <v>29714.294770206019</v>
      </c>
    </row>
    <row r="15348" spans="1:6" ht="15" customHeight="1" x14ac:dyDescent="0.25">
      <c r="A15348" s="96"/>
      <c r="B15348" s="129"/>
      <c r="C15348" s="118"/>
      <c r="D15348" s="118"/>
      <c r="E15348" s="118"/>
      <c r="F15348" s="118"/>
    </row>
    <row r="15349" spans="1:6" ht="15" customHeight="1" x14ac:dyDescent="0.25">
      <c r="A15349" s="95" t="s">
        <v>583</v>
      </c>
      <c r="B15349" s="96"/>
      <c r="C15349" s="92"/>
      <c r="D15349" s="92"/>
      <c r="E15349" s="92" t="s">
        <v>584</v>
      </c>
      <c r="F15349" s="92"/>
    </row>
    <row r="15350" spans="1:6" ht="15" customHeight="1" x14ac:dyDescent="0.25">
      <c r="A15350" s="97" t="s">
        <v>563</v>
      </c>
      <c r="B15350" s="98" t="s">
        <v>564</v>
      </c>
      <c r="C15350" s="98" t="s">
        <v>585</v>
      </c>
      <c r="D15350" s="98" t="s">
        <v>586</v>
      </c>
      <c r="E15350" s="120" t="s">
        <v>587</v>
      </c>
      <c r="F15350" s="98" t="s">
        <v>568</v>
      </c>
    </row>
    <row r="15351" spans="1:6" ht="15" customHeight="1" x14ac:dyDescent="0.25">
      <c r="A15351" s="232" t="s">
        <v>1080</v>
      </c>
      <c r="B15351" s="202">
        <v>1</v>
      </c>
      <c r="C15351" s="205">
        <v>200000</v>
      </c>
      <c r="D15351" s="233">
        <v>0.01</v>
      </c>
      <c r="E15351" s="234"/>
      <c r="F15351" s="211">
        <f>+D15351*C15351*B15351</f>
        <v>2000</v>
      </c>
    </row>
    <row r="15352" spans="1:6" ht="15" customHeight="1" x14ac:dyDescent="0.25">
      <c r="A15352" s="103"/>
      <c r="B15352" s="100"/>
      <c r="C15352" s="107"/>
      <c r="D15352" s="107"/>
      <c r="E15352" s="108"/>
      <c r="F15352" s="109"/>
    </row>
    <row r="15353" spans="1:6" ht="15" customHeight="1" x14ac:dyDescent="0.25">
      <c r="A15353" s="97" t="s">
        <v>548</v>
      </c>
      <c r="B15353" s="98"/>
      <c r="C15353" s="110"/>
      <c r="D15353" s="110"/>
      <c r="E15353" s="111"/>
      <c r="F15353" s="112">
        <f>SUM(F15351:F15352)</f>
        <v>2000</v>
      </c>
    </row>
    <row r="15354" spans="1:6" ht="15" customHeight="1" x14ac:dyDescent="0.25">
      <c r="A15354" s="88"/>
      <c r="B15354" s="89"/>
      <c r="C15354" s="113"/>
      <c r="D15354" s="113"/>
      <c r="E15354" s="114"/>
      <c r="F15354" s="113"/>
    </row>
    <row r="15355" spans="1:6" ht="15" customHeight="1" x14ac:dyDescent="0.25">
      <c r="A15355" s="88"/>
      <c r="B15355" s="89"/>
      <c r="C15355" s="113"/>
      <c r="D15355" s="113"/>
      <c r="E15355" s="114"/>
      <c r="F15355" s="113"/>
    </row>
    <row r="15356" spans="1:6" ht="15" customHeight="1" x14ac:dyDescent="0.25">
      <c r="A15356" s="612" t="s">
        <v>588</v>
      </c>
      <c r="B15356" s="608"/>
      <c r="C15356" s="608"/>
      <c r="D15356" s="608"/>
      <c r="E15356" s="609"/>
      <c r="F15356" s="131">
        <f>ROUND(F15331+F15339+F15347+F15353,0)</f>
        <v>392200</v>
      </c>
    </row>
    <row r="15357" spans="1:6" ht="15" customHeight="1" x14ac:dyDescent="0.25">
      <c r="A15357" s="612" t="s">
        <v>589</v>
      </c>
      <c r="B15357" s="608"/>
      <c r="C15357" s="608"/>
      <c r="D15357" s="608"/>
      <c r="E15357" s="609"/>
      <c r="F15357" s="132"/>
    </row>
    <row r="15358" spans="1:6" ht="15" customHeight="1" x14ac:dyDescent="0.25">
      <c r="A15358" s="612" t="s">
        <v>556</v>
      </c>
      <c r="B15358" s="608"/>
      <c r="C15358" s="608"/>
      <c r="D15358" s="608"/>
      <c r="E15358" s="609"/>
      <c r="F15358" s="133"/>
    </row>
    <row r="15359" spans="1:6" ht="15" customHeight="1" x14ac:dyDescent="0.25">
      <c r="A15359" s="134"/>
      <c r="B15359" s="135"/>
      <c r="C15359" s="135"/>
      <c r="D15359" s="135"/>
      <c r="E15359" s="135"/>
      <c r="F15359" s="136"/>
    </row>
    <row r="15360" spans="1:6" ht="15" customHeight="1" x14ac:dyDescent="0.25">
      <c r="A15360" s="81"/>
      <c r="B15360" s="81"/>
      <c r="C15360" s="137"/>
      <c r="D15360" s="81"/>
      <c r="E15360" s="81"/>
      <c r="F15360" s="81"/>
    </row>
    <row r="15361" spans="1:6" ht="15" customHeight="1" x14ac:dyDescent="0.25">
      <c r="A15361" s="81"/>
      <c r="B15361" s="81"/>
      <c r="C15361" s="137"/>
      <c r="D15361" s="81"/>
      <c r="E15361" s="81"/>
      <c r="F15361" s="81"/>
    </row>
    <row r="15362" spans="1:6" ht="15" customHeight="1" x14ac:dyDescent="0.25">
      <c r="A15362" s="81"/>
      <c r="B15362" s="81"/>
      <c r="C15362" s="137"/>
      <c r="D15362" s="81"/>
      <c r="E15362" s="81"/>
      <c r="F15362" s="81"/>
    </row>
    <row r="15363" spans="1:6" ht="15" customHeight="1" x14ac:dyDescent="0.25">
      <c r="A15363" s="81"/>
      <c r="B15363" s="81"/>
      <c r="C15363" s="137"/>
      <c r="D15363" s="81"/>
      <c r="E15363" s="81"/>
      <c r="F15363" s="81"/>
    </row>
    <row r="15364" spans="1:6" ht="15" customHeight="1" x14ac:dyDescent="0.25">
      <c r="A15364" s="134"/>
      <c r="B15364" s="135"/>
      <c r="C15364" s="135"/>
      <c r="D15364" s="135"/>
      <c r="E15364" s="135"/>
      <c r="F15364" s="136"/>
    </row>
    <row r="15365" spans="1:6" ht="15" customHeight="1" x14ac:dyDescent="0.25">
      <c r="A15365" s="134"/>
      <c r="B15365" s="135"/>
      <c r="C15365" s="135"/>
      <c r="D15365" s="135"/>
      <c r="E15365" s="135"/>
      <c r="F15365" s="136"/>
    </row>
    <row r="15366" spans="1:6" ht="15" customHeight="1" x14ac:dyDescent="0.25">
      <c r="A15366" s="134"/>
      <c r="B15366" s="135"/>
      <c r="C15366" s="135"/>
      <c r="D15366" s="135"/>
      <c r="E15366" s="135"/>
      <c r="F15366" s="136"/>
    </row>
    <row r="15367" spans="1:6" ht="15" customHeight="1" thickBot="1" x14ac:dyDescent="0.3">
      <c r="A15367" s="81"/>
      <c r="B15367" s="81"/>
      <c r="C15367" s="81"/>
      <c r="D15367" s="81"/>
      <c r="E15367" s="81"/>
      <c r="F15367" s="81"/>
    </row>
    <row r="15368" spans="1:6" ht="15" customHeight="1" x14ac:dyDescent="0.25">
      <c r="A15368" s="83"/>
      <c r="B15368" s="84"/>
      <c r="C15368" s="85"/>
      <c r="D15368" s="86"/>
      <c r="E15368" s="86"/>
      <c r="F15368" s="87"/>
    </row>
    <row r="15369" spans="1:6" ht="15" customHeight="1" x14ac:dyDescent="0.25">
      <c r="A15369" s="599"/>
      <c r="B15369" s="600"/>
      <c r="C15369" s="600"/>
      <c r="D15369" s="600"/>
      <c r="E15369" s="600"/>
      <c r="F15369" s="601"/>
    </row>
    <row r="15370" spans="1:6" ht="15" customHeight="1" x14ac:dyDescent="0.25">
      <c r="A15370" s="602" t="s">
        <v>561</v>
      </c>
      <c r="B15370" s="600"/>
      <c r="C15370" s="600"/>
      <c r="D15370" s="600"/>
      <c r="E15370" s="600"/>
      <c r="F15370" s="601"/>
    </row>
    <row r="15371" spans="1:6" ht="15" customHeight="1" thickBot="1" x14ac:dyDescent="0.3">
      <c r="A15371" s="603"/>
      <c r="B15371" s="604"/>
      <c r="C15371" s="604"/>
      <c r="D15371" s="604"/>
      <c r="E15371" s="604"/>
      <c r="F15371" s="605"/>
    </row>
    <row r="15372" spans="1:6" ht="15" customHeight="1" x14ac:dyDescent="0.25">
      <c r="A15372" s="88"/>
      <c r="B15372" s="88"/>
      <c r="C15372" s="89"/>
      <c r="D15372" s="89"/>
      <c r="E15372" s="89"/>
      <c r="F15372" s="89"/>
    </row>
    <row r="15373" spans="1:6" ht="15" customHeight="1" x14ac:dyDescent="0.25">
      <c r="A15373" s="90" t="s">
        <v>47</v>
      </c>
      <c r="B15373" s="613" t="str">
        <f>'Presupuesto Especifico'!C336</f>
        <v xml:space="preserve">Suministro e Instalacion de DPS para Tableros Electricos Principales (Protecciòn contra transitrios 277/208 40kA 4 polos+tierra) </v>
      </c>
      <c r="C15373" s="600"/>
      <c r="D15373" s="600"/>
      <c r="E15373" s="600"/>
      <c r="F15373" s="600"/>
    </row>
    <row r="15374" spans="1:6" ht="15" customHeight="1" x14ac:dyDescent="0.25">
      <c r="A15374" s="91"/>
      <c r="B15374" s="91"/>
      <c r="C15374" s="91"/>
      <c r="D15374" s="91"/>
      <c r="E15374" s="91"/>
      <c r="F15374" s="91"/>
    </row>
    <row r="15375" spans="1:6" ht="15" customHeight="1" x14ac:dyDescent="0.25">
      <c r="A15375" s="88" t="s">
        <v>49</v>
      </c>
      <c r="B15375" s="92" t="s">
        <v>475</v>
      </c>
      <c r="C15375" s="89"/>
      <c r="D15375" s="89"/>
      <c r="E15375" s="89"/>
      <c r="F15375" s="93"/>
    </row>
    <row r="15376" spans="1:6" ht="15" customHeight="1" x14ac:dyDescent="0.25">
      <c r="A15376" s="88"/>
      <c r="B15376" s="94"/>
      <c r="C15376" s="89"/>
      <c r="D15376" s="89"/>
      <c r="E15376" s="89"/>
      <c r="F15376" s="93"/>
    </row>
    <row r="15377" spans="1:6" ht="15" customHeight="1" x14ac:dyDescent="0.25">
      <c r="A15377" s="95" t="s">
        <v>562</v>
      </c>
      <c r="B15377" s="96"/>
      <c r="C15377" s="92"/>
      <c r="D15377" s="92"/>
      <c r="E15377" s="92"/>
      <c r="F15377" s="92"/>
    </row>
    <row r="15378" spans="1:6" ht="15" customHeight="1" x14ac:dyDescent="0.25">
      <c r="A15378" s="97" t="s">
        <v>563</v>
      </c>
      <c r="B15378" s="98" t="s">
        <v>564</v>
      </c>
      <c r="C15378" s="98" t="s">
        <v>565</v>
      </c>
      <c r="D15378" s="98" t="s">
        <v>566</v>
      </c>
      <c r="E15378" s="98" t="s">
        <v>567</v>
      </c>
      <c r="F15378" s="98" t="s">
        <v>568</v>
      </c>
    </row>
    <row r="15379" spans="1:6" ht="15" customHeight="1" x14ac:dyDescent="0.25">
      <c r="A15379" s="99" t="s">
        <v>927</v>
      </c>
      <c r="B15379" s="100" t="s">
        <v>99</v>
      </c>
      <c r="C15379" s="189">
        <v>2562000</v>
      </c>
      <c r="D15379" s="104">
        <v>1</v>
      </c>
      <c r="E15379" s="102"/>
      <c r="F15379" s="101">
        <f>C15379*(D15379+(D15379*E15379))</f>
        <v>2562000</v>
      </c>
    </row>
    <row r="15380" spans="1:6" ht="15" customHeight="1" x14ac:dyDescent="0.25">
      <c r="A15380" s="207" t="s">
        <v>1099</v>
      </c>
      <c r="B15380" s="202" t="s">
        <v>1100</v>
      </c>
      <c r="C15380" s="189">
        <v>86300</v>
      </c>
      <c r="D15380" s="203">
        <v>1</v>
      </c>
      <c r="E15380" s="204">
        <v>0</v>
      </c>
      <c r="F15380" s="205">
        <f t="shared" ref="F15380" si="751">+(C15380*D15380)+(C15380*D15380)*E15380</f>
        <v>86300</v>
      </c>
    </row>
    <row r="15381" spans="1:6" ht="15" customHeight="1" x14ac:dyDescent="0.25">
      <c r="A15381" s="99"/>
      <c r="B15381" s="100"/>
      <c r="C15381" s="101"/>
      <c r="D15381" s="104"/>
      <c r="E15381" s="102"/>
      <c r="F15381" s="101"/>
    </row>
    <row r="15382" spans="1:6" ht="15" customHeight="1" x14ac:dyDescent="0.25">
      <c r="A15382" s="99"/>
      <c r="B15382" s="100"/>
      <c r="C15382" s="106"/>
      <c r="D15382" s="104"/>
      <c r="E15382" s="102"/>
      <c r="F15382" s="101"/>
    </row>
    <row r="15383" spans="1:6" ht="15" customHeight="1" x14ac:dyDescent="0.25">
      <c r="A15383" s="103"/>
      <c r="B15383" s="100"/>
      <c r="C15383" s="101"/>
      <c r="D15383" s="105"/>
      <c r="E15383" s="102"/>
      <c r="F15383" s="101"/>
    </row>
    <row r="15384" spans="1:6" ht="15" customHeight="1" x14ac:dyDescent="0.25">
      <c r="A15384" s="99"/>
      <c r="B15384" s="100"/>
      <c r="C15384" s="106"/>
      <c r="D15384" s="107"/>
      <c r="E15384" s="108"/>
      <c r="F15384" s="106"/>
    </row>
    <row r="15385" spans="1:6" ht="15" customHeight="1" x14ac:dyDescent="0.25">
      <c r="A15385" s="97" t="s">
        <v>548</v>
      </c>
      <c r="B15385" s="97"/>
      <c r="C15385" s="109"/>
      <c r="D15385" s="110"/>
      <c r="E15385" s="111"/>
      <c r="F15385" s="112">
        <f>SUM(F15379:F15384)</f>
        <v>2648300</v>
      </c>
    </row>
    <row r="15386" spans="1:6" ht="15" customHeight="1" x14ac:dyDescent="0.25">
      <c r="A15386" s="88"/>
      <c r="B15386" s="88"/>
      <c r="C15386" s="113"/>
      <c r="D15386" s="113"/>
      <c r="E15386" s="114"/>
      <c r="F15386" s="113"/>
    </row>
    <row r="15387" spans="1:6" ht="15" customHeight="1" x14ac:dyDescent="0.25">
      <c r="A15387" s="96" t="s">
        <v>573</v>
      </c>
      <c r="B15387" s="96"/>
      <c r="C15387" s="92"/>
      <c r="D15387" s="92"/>
      <c r="E15387" s="92"/>
      <c r="F15387" s="92"/>
    </row>
    <row r="15388" spans="1:6" ht="15" customHeight="1" x14ac:dyDescent="0.25">
      <c r="A15388" s="611" t="s">
        <v>563</v>
      </c>
      <c r="B15388" s="608"/>
      <c r="C15388" s="609"/>
      <c r="D15388" s="98" t="s">
        <v>574</v>
      </c>
      <c r="E15388" s="98" t="s">
        <v>575</v>
      </c>
      <c r="F15388" s="98" t="s">
        <v>568</v>
      </c>
    </row>
    <row r="15389" spans="1:6" ht="15" customHeight="1" x14ac:dyDescent="0.25">
      <c r="A15389" s="607" t="s">
        <v>577</v>
      </c>
      <c r="B15389" s="608"/>
      <c r="C15389" s="609"/>
      <c r="D15389" s="116"/>
      <c r="E15389" s="107"/>
      <c r="F15389" s="106">
        <f>+F15401*5%</f>
        <v>18547.09840495481</v>
      </c>
    </row>
    <row r="15390" spans="1:6" ht="15" customHeight="1" x14ac:dyDescent="0.25">
      <c r="A15390" s="607"/>
      <c r="B15390" s="608"/>
      <c r="C15390" s="609"/>
      <c r="D15390" s="142"/>
      <c r="E15390" s="107"/>
      <c r="F15390" s="106"/>
    </row>
    <row r="15391" spans="1:6" ht="15" customHeight="1" x14ac:dyDescent="0.25">
      <c r="A15391" s="607"/>
      <c r="B15391" s="608"/>
      <c r="C15391" s="609"/>
      <c r="D15391" s="142"/>
      <c r="E15391" s="107"/>
      <c r="F15391" s="106"/>
    </row>
    <row r="15392" spans="1:6" ht="15" customHeight="1" x14ac:dyDescent="0.25">
      <c r="A15392" s="610"/>
      <c r="B15392" s="608"/>
      <c r="C15392" s="609"/>
      <c r="D15392" s="115"/>
      <c r="E15392" s="107"/>
      <c r="F15392" s="106"/>
    </row>
    <row r="15393" spans="1:6" ht="15" customHeight="1" x14ac:dyDescent="0.25">
      <c r="A15393" s="611" t="s">
        <v>548</v>
      </c>
      <c r="B15393" s="608"/>
      <c r="C15393" s="609"/>
      <c r="D15393" s="110"/>
      <c r="E15393" s="110"/>
      <c r="F15393" s="112">
        <f>SUM(F15389:F15391)</f>
        <v>18547.09840495481</v>
      </c>
    </row>
    <row r="15394" spans="1:6" ht="15" customHeight="1" x14ac:dyDescent="0.25">
      <c r="A15394" s="88"/>
      <c r="B15394" s="88"/>
      <c r="C15394" s="89"/>
      <c r="D15394" s="113"/>
      <c r="E15394" s="113"/>
      <c r="F15394" s="113"/>
    </row>
    <row r="15395" spans="1:6" ht="15" customHeight="1" x14ac:dyDescent="0.25">
      <c r="A15395" s="96" t="s">
        <v>578</v>
      </c>
      <c r="B15395" s="96"/>
      <c r="C15395" s="92"/>
      <c r="D15395" s="118"/>
      <c r="E15395" s="118"/>
      <c r="F15395" s="118"/>
    </row>
    <row r="15396" spans="1:6" ht="15" customHeight="1" x14ac:dyDescent="0.25">
      <c r="A15396" s="119" t="s">
        <v>563</v>
      </c>
      <c r="B15396" s="120" t="s">
        <v>579</v>
      </c>
      <c r="C15396" s="120" t="s">
        <v>580</v>
      </c>
      <c r="D15396" s="121" t="s">
        <v>581</v>
      </c>
      <c r="E15396" s="121" t="s">
        <v>575</v>
      </c>
      <c r="F15396" s="121" t="s">
        <v>568</v>
      </c>
    </row>
    <row r="15397" spans="1:6" ht="15" customHeight="1" x14ac:dyDescent="0.25">
      <c r="A15397" s="122" t="s">
        <v>916</v>
      </c>
      <c r="B15397" s="127">
        <v>1</v>
      </c>
      <c r="C15397" s="101">
        <v>35956.800000000003</v>
      </c>
      <c r="D15397" s="101">
        <f t="shared" ref="D15397:D15398" si="752">+C15397*1.7</f>
        <v>61126.560000000005</v>
      </c>
      <c r="E15397" s="107">
        <v>0.429643</v>
      </c>
      <c r="F15397" s="106">
        <f t="shared" ref="F15397:F15398" si="753">+B15397*(D15397)/E15397</f>
        <v>142272.9102999467</v>
      </c>
    </row>
    <row r="15398" spans="1:6" ht="15" customHeight="1" x14ac:dyDescent="0.25">
      <c r="A15398" s="122" t="s">
        <v>917</v>
      </c>
      <c r="B15398" s="127">
        <v>1</v>
      </c>
      <c r="C15398" s="101">
        <v>57791.8</v>
      </c>
      <c r="D15398" s="101">
        <f t="shared" si="752"/>
        <v>98246.06</v>
      </c>
      <c r="E15398" s="107">
        <f>E15397</f>
        <v>0.429643</v>
      </c>
      <c r="F15398" s="106">
        <f t="shared" si="753"/>
        <v>228669.05779914951</v>
      </c>
    </row>
    <row r="15399" spans="1:6" ht="15" customHeight="1" x14ac:dyDescent="0.25">
      <c r="A15399" s="122"/>
      <c r="B15399" s="127"/>
      <c r="C15399" s="101"/>
      <c r="D15399" s="101"/>
      <c r="E15399" s="107"/>
      <c r="F15399" s="106"/>
    </row>
    <row r="15400" spans="1:6" ht="15" customHeight="1" x14ac:dyDescent="0.25">
      <c r="A15400" s="122"/>
      <c r="B15400" s="127"/>
      <c r="C15400" s="101"/>
      <c r="D15400" s="101"/>
      <c r="E15400" s="125"/>
      <c r="F15400" s="106"/>
    </row>
    <row r="15401" spans="1:6" ht="15" customHeight="1" x14ac:dyDescent="0.25">
      <c r="A15401" s="97" t="s">
        <v>548</v>
      </c>
      <c r="B15401" s="128"/>
      <c r="C15401" s="110"/>
      <c r="D15401" s="110"/>
      <c r="E15401" s="110"/>
      <c r="F15401" s="112">
        <f>SUM(F15397:F15400)</f>
        <v>370941.96809909621</v>
      </c>
    </row>
    <row r="15402" spans="1:6" ht="15" customHeight="1" x14ac:dyDescent="0.25">
      <c r="A15402" s="96"/>
      <c r="B15402" s="129"/>
      <c r="C15402" s="118"/>
      <c r="D15402" s="118"/>
      <c r="E15402" s="118"/>
      <c r="F15402" s="118"/>
    </row>
    <row r="15403" spans="1:6" ht="15" customHeight="1" x14ac:dyDescent="0.25">
      <c r="A15403" s="95" t="s">
        <v>583</v>
      </c>
      <c r="B15403" s="96"/>
      <c r="C15403" s="92"/>
      <c r="D15403" s="92"/>
      <c r="E15403" s="92" t="s">
        <v>584</v>
      </c>
      <c r="F15403" s="92"/>
    </row>
    <row r="15404" spans="1:6" ht="15" customHeight="1" x14ac:dyDescent="0.25">
      <c r="A15404" s="97" t="s">
        <v>563</v>
      </c>
      <c r="B15404" s="98" t="s">
        <v>564</v>
      </c>
      <c r="C15404" s="98" t="s">
        <v>585</v>
      </c>
      <c r="D15404" s="98" t="s">
        <v>586</v>
      </c>
      <c r="E15404" s="120" t="s">
        <v>587</v>
      </c>
      <c r="F15404" s="98" t="s">
        <v>568</v>
      </c>
    </row>
    <row r="15405" spans="1:6" ht="15" customHeight="1" x14ac:dyDescent="0.25">
      <c r="A15405" s="103"/>
      <c r="B15405" s="100"/>
      <c r="C15405" s="101"/>
      <c r="D15405" s="140"/>
      <c r="E15405" s="107"/>
      <c r="F15405" s="109">
        <f>+C15405*D15405*E15405</f>
        <v>0</v>
      </c>
    </row>
    <row r="15406" spans="1:6" ht="15" customHeight="1" x14ac:dyDescent="0.25">
      <c r="A15406" s="103"/>
      <c r="B15406" s="100"/>
      <c r="C15406" s="107"/>
      <c r="D15406" s="107"/>
      <c r="E15406" s="108"/>
      <c r="F15406" s="109"/>
    </row>
    <row r="15407" spans="1:6" ht="15" customHeight="1" x14ac:dyDescent="0.25">
      <c r="A15407" s="97" t="s">
        <v>548</v>
      </c>
      <c r="B15407" s="98"/>
      <c r="C15407" s="110"/>
      <c r="D15407" s="110"/>
      <c r="E15407" s="111"/>
      <c r="F15407" s="112">
        <f>SUM(F15405:F15406)</f>
        <v>0</v>
      </c>
    </row>
    <row r="15408" spans="1:6" ht="15" customHeight="1" x14ac:dyDescent="0.25">
      <c r="A15408" s="88"/>
      <c r="B15408" s="89"/>
      <c r="C15408" s="113"/>
      <c r="D15408" s="113"/>
      <c r="E15408" s="114"/>
      <c r="F15408" s="113"/>
    </row>
    <row r="15409" spans="1:6" ht="15" customHeight="1" x14ac:dyDescent="0.25">
      <c r="A15409" s="88"/>
      <c r="B15409" s="89"/>
      <c r="C15409" s="113"/>
      <c r="D15409" s="113"/>
      <c r="E15409" s="114"/>
      <c r="F15409" s="113"/>
    </row>
    <row r="15410" spans="1:6" ht="15" customHeight="1" x14ac:dyDescent="0.25">
      <c r="A15410" s="612" t="s">
        <v>588</v>
      </c>
      <c r="B15410" s="608"/>
      <c r="C15410" s="608"/>
      <c r="D15410" s="608"/>
      <c r="E15410" s="609"/>
      <c r="F15410" s="131">
        <f>ROUND(F15385+F15393+F15401+F15407,0)</f>
        <v>3037789</v>
      </c>
    </row>
    <row r="15411" spans="1:6" ht="15" customHeight="1" x14ac:dyDescent="0.25">
      <c r="A15411" s="612" t="s">
        <v>589</v>
      </c>
      <c r="B15411" s="608"/>
      <c r="C15411" s="608"/>
      <c r="D15411" s="608"/>
      <c r="E15411" s="609"/>
      <c r="F15411" s="132"/>
    </row>
    <row r="15412" spans="1:6" ht="15" customHeight="1" x14ac:dyDescent="0.25">
      <c r="A15412" s="612" t="s">
        <v>556</v>
      </c>
      <c r="B15412" s="608"/>
      <c r="C15412" s="608"/>
      <c r="D15412" s="608"/>
      <c r="E15412" s="609"/>
      <c r="F15412" s="133"/>
    </row>
    <row r="15413" spans="1:6" ht="15" customHeight="1" x14ac:dyDescent="0.25">
      <c r="A15413" s="134"/>
      <c r="B15413" s="135"/>
      <c r="C15413" s="135"/>
      <c r="D15413" s="135"/>
      <c r="E15413" s="135"/>
      <c r="F15413" s="136"/>
    </row>
    <row r="15414" spans="1:6" ht="15" customHeight="1" x14ac:dyDescent="0.25">
      <c r="A15414" s="81"/>
      <c r="B15414" s="81"/>
      <c r="C15414" s="137"/>
      <c r="D15414" s="81"/>
      <c r="E15414" s="81"/>
      <c r="F15414" s="81"/>
    </row>
    <row r="15415" spans="1:6" ht="15" customHeight="1" x14ac:dyDescent="0.25">
      <c r="A15415" s="81"/>
      <c r="B15415" s="81"/>
      <c r="C15415" s="137"/>
      <c r="D15415" s="81"/>
      <c r="E15415" s="81"/>
      <c r="F15415" s="81"/>
    </row>
    <row r="15416" spans="1:6" ht="15" customHeight="1" x14ac:dyDescent="0.25">
      <c r="A15416" s="81"/>
      <c r="B15416" s="81"/>
      <c r="C15416" s="137"/>
      <c r="D15416" s="81"/>
      <c r="E15416" s="81"/>
      <c r="F15416" s="81"/>
    </row>
    <row r="15417" spans="1:6" ht="15" customHeight="1" x14ac:dyDescent="0.25">
      <c r="A15417" s="81"/>
      <c r="B15417" s="81"/>
      <c r="C15417" s="137"/>
      <c r="D15417" s="81"/>
      <c r="E15417" s="81"/>
      <c r="F15417" s="81"/>
    </row>
    <row r="15418" spans="1:6" ht="15" customHeight="1" x14ac:dyDescent="0.25">
      <c r="A15418" s="134"/>
      <c r="B15418" s="135"/>
      <c r="C15418" s="135"/>
      <c r="D15418" s="135"/>
      <c r="E15418" s="135"/>
      <c r="F15418" s="136"/>
    </row>
    <row r="15419" spans="1:6" ht="15" customHeight="1" x14ac:dyDescent="0.25">
      <c r="A15419" s="134"/>
      <c r="B15419" s="135"/>
      <c r="C15419" s="135"/>
      <c r="D15419" s="135"/>
      <c r="E15419" s="135"/>
      <c r="F15419" s="136"/>
    </row>
    <row r="15420" spans="1:6" ht="15" customHeight="1" x14ac:dyDescent="0.25">
      <c r="A15420" s="134"/>
      <c r="B15420" s="135"/>
      <c r="C15420" s="135"/>
      <c r="D15420" s="135"/>
      <c r="E15420" s="135"/>
      <c r="F15420" s="136"/>
    </row>
    <row r="15421" spans="1:6" ht="15" customHeight="1" thickBot="1" x14ac:dyDescent="0.3">
      <c r="A15421" s="81"/>
      <c r="B15421" s="81"/>
      <c r="C15421" s="81"/>
      <c r="D15421" s="81"/>
      <c r="E15421" s="81"/>
      <c r="F15421" s="81"/>
    </row>
    <row r="15422" spans="1:6" ht="15" customHeight="1" x14ac:dyDescent="0.25">
      <c r="A15422" s="258"/>
      <c r="B15422" s="259"/>
      <c r="C15422" s="260"/>
      <c r="D15422" s="261"/>
      <c r="E15422" s="261"/>
      <c r="F15422" s="262"/>
    </row>
    <row r="15423" spans="1:6" ht="15" customHeight="1" x14ac:dyDescent="0.25">
      <c r="A15423" s="621"/>
      <c r="B15423" s="622"/>
      <c r="C15423" s="622"/>
      <c r="D15423" s="622"/>
      <c r="E15423" s="622"/>
      <c r="F15423" s="623"/>
    </row>
    <row r="15424" spans="1:6" ht="15" customHeight="1" x14ac:dyDescent="0.25">
      <c r="A15424" s="614" t="s">
        <v>561</v>
      </c>
      <c r="B15424" s="615"/>
      <c r="C15424" s="615"/>
      <c r="D15424" s="615"/>
      <c r="E15424" s="615"/>
      <c r="F15424" s="616"/>
    </row>
    <row r="15425" spans="1:6" ht="15" customHeight="1" thickBot="1" x14ac:dyDescent="0.3">
      <c r="A15425" s="617"/>
      <c r="B15425" s="618"/>
      <c r="C15425" s="618"/>
      <c r="D15425" s="618"/>
      <c r="E15425" s="618"/>
      <c r="F15425" s="619"/>
    </row>
    <row r="15426" spans="1:6" ht="15" customHeight="1" x14ac:dyDescent="0.25">
      <c r="A15426" s="263"/>
      <c r="B15426" s="263"/>
      <c r="C15426" s="264"/>
      <c r="D15426" s="264"/>
      <c r="E15426" s="264"/>
      <c r="F15426" s="264"/>
    </row>
    <row r="15427" spans="1:6" ht="15" customHeight="1" x14ac:dyDescent="0.25">
      <c r="A15427" s="265" t="s">
        <v>47</v>
      </c>
      <c r="B15427" s="620" t="s">
        <v>1299</v>
      </c>
      <c r="C15427" s="620"/>
      <c r="D15427" s="620"/>
      <c r="E15427" s="620"/>
      <c r="F15427" s="620"/>
    </row>
    <row r="15428" spans="1:6" ht="15" customHeight="1" x14ac:dyDescent="0.25">
      <c r="A15428" s="266"/>
      <c r="B15428" s="266"/>
      <c r="C15428" s="266"/>
      <c r="D15428" s="266"/>
      <c r="E15428" s="266"/>
      <c r="F15428" s="266"/>
    </row>
    <row r="15429" spans="1:6" ht="15" customHeight="1" x14ac:dyDescent="0.25">
      <c r="A15429" s="263" t="s">
        <v>49</v>
      </c>
      <c r="B15429" s="267" t="s">
        <v>99</v>
      </c>
      <c r="C15429" s="264"/>
      <c r="D15429" s="264"/>
      <c r="E15429" s="264"/>
      <c r="F15429" s="268"/>
    </row>
    <row r="15430" spans="1:6" ht="15" customHeight="1" x14ac:dyDescent="0.25">
      <c r="A15430" s="263"/>
      <c r="B15430" s="269"/>
      <c r="C15430" s="264"/>
      <c r="D15430" s="264"/>
      <c r="E15430" s="264"/>
      <c r="F15430" s="268"/>
    </row>
    <row r="15431" spans="1:6" ht="15" customHeight="1" x14ac:dyDescent="0.25">
      <c r="A15431" s="270" t="s">
        <v>562</v>
      </c>
      <c r="B15431" s="271"/>
      <c r="C15431" s="267"/>
      <c r="D15431" s="267"/>
      <c r="E15431" s="267"/>
      <c r="F15431" s="267"/>
    </row>
    <row r="15432" spans="1:6" ht="15" customHeight="1" x14ac:dyDescent="0.25">
      <c r="A15432" s="199" t="s">
        <v>563</v>
      </c>
      <c r="B15432" s="200" t="s">
        <v>564</v>
      </c>
      <c r="C15432" s="200" t="s">
        <v>565</v>
      </c>
      <c r="D15432" s="200" t="s">
        <v>566</v>
      </c>
      <c r="E15432" s="200" t="s">
        <v>567</v>
      </c>
      <c r="F15432" s="200" t="s">
        <v>568</v>
      </c>
    </row>
    <row r="15433" spans="1:6" ht="15" customHeight="1" x14ac:dyDescent="0.25">
      <c r="A15433" s="201" t="s">
        <v>1300</v>
      </c>
      <c r="B15433" s="202" t="s">
        <v>99</v>
      </c>
      <c r="C15433" s="205">
        <v>475720</v>
      </c>
      <c r="D15433" s="203">
        <v>1</v>
      </c>
      <c r="E15433" s="204"/>
      <c r="F15433" s="205">
        <v>475720</v>
      </c>
    </row>
    <row r="15434" spans="1:6" ht="15" customHeight="1" x14ac:dyDescent="0.25">
      <c r="A15434" s="201" t="s">
        <v>790</v>
      </c>
      <c r="B15434" s="202" t="s">
        <v>99</v>
      </c>
      <c r="C15434" s="205">
        <v>185880</v>
      </c>
      <c r="D15434" s="203">
        <v>1</v>
      </c>
      <c r="E15434" s="204"/>
      <c r="F15434" s="205">
        <v>185880</v>
      </c>
    </row>
    <row r="15435" spans="1:6" ht="15" customHeight="1" x14ac:dyDescent="0.25">
      <c r="A15435" s="201" t="s">
        <v>767</v>
      </c>
      <c r="B15435" s="202" t="s">
        <v>99</v>
      </c>
      <c r="C15435" s="205">
        <v>10950</v>
      </c>
      <c r="D15435" s="203">
        <v>4</v>
      </c>
      <c r="E15435" s="204"/>
      <c r="F15435" s="205">
        <v>43800</v>
      </c>
    </row>
    <row r="15436" spans="1:6" ht="15" customHeight="1" x14ac:dyDescent="0.25">
      <c r="A15436" s="99" t="s">
        <v>928</v>
      </c>
      <c r="B15436" s="100" t="s">
        <v>99</v>
      </c>
      <c r="C15436" s="106">
        <v>184000</v>
      </c>
      <c r="D15436" s="104">
        <v>1</v>
      </c>
      <c r="E15436" s="102"/>
      <c r="F15436" s="101">
        <f t="shared" ref="F15436" si="754">C15436*(D15436+(D15436*E15436))</f>
        <v>184000</v>
      </c>
    </row>
    <row r="15437" spans="1:6" ht="15" customHeight="1" x14ac:dyDescent="0.25">
      <c r="A15437" s="201" t="s">
        <v>769</v>
      </c>
      <c r="B15437" s="202" t="s">
        <v>99</v>
      </c>
      <c r="C15437" s="205">
        <v>1150</v>
      </c>
      <c r="D15437" s="206">
        <v>10</v>
      </c>
      <c r="E15437" s="204">
        <v>0.05</v>
      </c>
      <c r="F15437" s="205">
        <v>12075</v>
      </c>
    </row>
    <row r="15438" spans="1:6" ht="15" customHeight="1" x14ac:dyDescent="0.25">
      <c r="A15438" s="201"/>
      <c r="B15438" s="202"/>
      <c r="C15438" s="219"/>
      <c r="D15438" s="218"/>
      <c r="E15438" s="236"/>
      <c r="F15438" s="219"/>
    </row>
    <row r="15439" spans="1:6" ht="15" customHeight="1" x14ac:dyDescent="0.25">
      <c r="A15439" s="209" t="s">
        <v>548</v>
      </c>
      <c r="B15439" s="210"/>
      <c r="C15439" s="211"/>
      <c r="D15439" s="212"/>
      <c r="E15439" s="213"/>
      <c r="F15439" s="214">
        <v>859975</v>
      </c>
    </row>
    <row r="15440" spans="1:6" ht="15" customHeight="1" x14ac:dyDescent="0.25">
      <c r="A15440" s="263"/>
      <c r="B15440" s="263"/>
      <c r="C15440" s="272"/>
      <c r="D15440" s="272"/>
      <c r="E15440" s="273"/>
      <c r="F15440" s="272"/>
    </row>
    <row r="15441" spans="1:6" ht="15" customHeight="1" x14ac:dyDescent="0.25">
      <c r="A15441" s="271" t="s">
        <v>573</v>
      </c>
      <c r="B15441" s="271"/>
      <c r="C15441" s="267"/>
      <c r="D15441" s="267"/>
      <c r="E15441" s="267"/>
      <c r="F15441" s="267"/>
    </row>
    <row r="15442" spans="1:6" ht="15" customHeight="1" x14ac:dyDescent="0.25">
      <c r="A15442" s="585" t="s">
        <v>563</v>
      </c>
      <c r="B15442" s="595"/>
      <c r="C15442" s="596"/>
      <c r="D15442" s="200" t="s">
        <v>574</v>
      </c>
      <c r="E15442" s="200" t="s">
        <v>575</v>
      </c>
      <c r="F15442" s="200" t="s">
        <v>568</v>
      </c>
    </row>
    <row r="15443" spans="1:6" ht="15" customHeight="1" x14ac:dyDescent="0.25">
      <c r="A15443" s="588" t="s">
        <v>577</v>
      </c>
      <c r="B15443" s="591"/>
      <c r="C15443" s="592"/>
      <c r="D15443" s="217"/>
      <c r="E15443" s="218"/>
      <c r="F15443" s="219">
        <v>9596.44</v>
      </c>
    </row>
    <row r="15444" spans="1:6" ht="15" customHeight="1" x14ac:dyDescent="0.25">
      <c r="A15444" s="588"/>
      <c r="B15444" s="591"/>
      <c r="C15444" s="592"/>
      <c r="D15444" s="220"/>
      <c r="E15444" s="218"/>
      <c r="F15444" s="219"/>
    </row>
    <row r="15445" spans="1:6" ht="15" customHeight="1" x14ac:dyDescent="0.25">
      <c r="A15445" s="588"/>
      <c r="B15445" s="591"/>
      <c r="C15445" s="592"/>
      <c r="D15445" s="220"/>
      <c r="E15445" s="218"/>
      <c r="F15445" s="219"/>
    </row>
    <row r="15446" spans="1:6" ht="15" customHeight="1" x14ac:dyDescent="0.25">
      <c r="A15446" s="588"/>
      <c r="B15446" s="591"/>
      <c r="C15446" s="592"/>
      <c r="D15446" s="220"/>
      <c r="E15446" s="218"/>
      <c r="F15446" s="219"/>
    </row>
    <row r="15447" spans="1:6" ht="15" customHeight="1" x14ac:dyDescent="0.25">
      <c r="A15447" s="588"/>
      <c r="B15447" s="591"/>
      <c r="C15447" s="592"/>
      <c r="D15447" s="220"/>
      <c r="E15447" s="218"/>
      <c r="F15447" s="219"/>
    </row>
    <row r="15448" spans="1:6" ht="15" customHeight="1" x14ac:dyDescent="0.25">
      <c r="A15448" s="588"/>
      <c r="B15448" s="591"/>
      <c r="C15448" s="592"/>
      <c r="D15448" s="220"/>
      <c r="E15448" s="221"/>
      <c r="F15448" s="219"/>
    </row>
    <row r="15449" spans="1:6" ht="15" customHeight="1" x14ac:dyDescent="0.25">
      <c r="A15449" s="589"/>
      <c r="B15449" s="593"/>
      <c r="C15449" s="594"/>
      <c r="D15449" s="222"/>
      <c r="E15449" s="218"/>
      <c r="F15449" s="219"/>
    </row>
    <row r="15450" spans="1:6" ht="15" customHeight="1" x14ac:dyDescent="0.25">
      <c r="A15450" s="585" t="s">
        <v>548</v>
      </c>
      <c r="B15450" s="595"/>
      <c r="C15450" s="596"/>
      <c r="D15450" s="212"/>
      <c r="E15450" s="212"/>
      <c r="F15450" s="214">
        <v>9596.44</v>
      </c>
    </row>
    <row r="15451" spans="1:6" ht="15" customHeight="1" x14ac:dyDescent="0.25">
      <c r="A15451" s="263"/>
      <c r="B15451" s="263"/>
      <c r="C15451" s="264"/>
      <c r="D15451" s="272"/>
      <c r="E15451" s="272"/>
      <c r="F15451" s="272"/>
    </row>
    <row r="15452" spans="1:6" ht="15" customHeight="1" x14ac:dyDescent="0.25">
      <c r="A15452" s="271" t="s">
        <v>578</v>
      </c>
      <c r="B15452" s="271"/>
      <c r="C15452" s="267"/>
      <c r="D15452" s="274"/>
      <c r="E15452" s="274"/>
      <c r="F15452" s="274"/>
    </row>
    <row r="15453" spans="1:6" ht="15" customHeight="1" x14ac:dyDescent="0.25">
      <c r="A15453" s="224" t="s">
        <v>563</v>
      </c>
      <c r="B15453" s="225" t="s">
        <v>579</v>
      </c>
      <c r="C15453" s="225" t="s">
        <v>580</v>
      </c>
      <c r="D15453" s="226" t="s">
        <v>581</v>
      </c>
      <c r="E15453" s="226" t="s">
        <v>575</v>
      </c>
      <c r="F15453" s="226" t="s">
        <v>568</v>
      </c>
    </row>
    <row r="15454" spans="1:6" ht="15" customHeight="1" x14ac:dyDescent="0.25">
      <c r="A15454" s="227" t="s">
        <v>593</v>
      </c>
      <c r="B15454" s="228">
        <v>1</v>
      </c>
      <c r="C15454" s="205">
        <v>32688</v>
      </c>
      <c r="D15454" s="205">
        <v>55569.599999999999</v>
      </c>
      <c r="E15454" s="218">
        <v>0.75</v>
      </c>
      <c r="F15454" s="219">
        <v>73613.33</v>
      </c>
    </row>
    <row r="15455" spans="1:6" ht="15" customHeight="1" x14ac:dyDescent="0.25">
      <c r="A15455" s="227" t="s">
        <v>594</v>
      </c>
      <c r="B15455" s="228">
        <v>1</v>
      </c>
      <c r="C15455" s="205">
        <v>52538</v>
      </c>
      <c r="D15455" s="205">
        <v>89314.6</v>
      </c>
      <c r="E15455" s="218">
        <v>0.75</v>
      </c>
      <c r="F15455" s="219">
        <v>118315.51</v>
      </c>
    </row>
    <row r="15456" spans="1:6" ht="15" customHeight="1" x14ac:dyDescent="0.25">
      <c r="A15456" s="227"/>
      <c r="B15456" s="228"/>
      <c r="C15456" s="205"/>
      <c r="D15456" s="205"/>
      <c r="E15456" s="218"/>
      <c r="F15456" s="219"/>
    </row>
    <row r="15457" spans="1:6" ht="15" customHeight="1" x14ac:dyDescent="0.25">
      <c r="A15457" s="227"/>
      <c r="B15457" s="228"/>
      <c r="C15457" s="205"/>
      <c r="D15457" s="205"/>
      <c r="E15457" s="275"/>
      <c r="F15457" s="219"/>
    </row>
    <row r="15458" spans="1:6" ht="15" customHeight="1" x14ac:dyDescent="0.25">
      <c r="A15458" s="209" t="s">
        <v>548</v>
      </c>
      <c r="B15458" s="229"/>
      <c r="C15458" s="212"/>
      <c r="D15458" s="212"/>
      <c r="E15458" s="212"/>
      <c r="F15458" s="214">
        <v>191928.84</v>
      </c>
    </row>
    <row r="15459" spans="1:6" ht="15" customHeight="1" x14ac:dyDescent="0.25">
      <c r="A15459" s="271"/>
      <c r="B15459" s="276"/>
      <c r="C15459" s="274"/>
      <c r="D15459" s="274"/>
      <c r="E15459" s="274"/>
      <c r="F15459" s="274"/>
    </row>
    <row r="15460" spans="1:6" ht="15" customHeight="1" x14ac:dyDescent="0.25">
      <c r="A15460" s="270" t="s">
        <v>583</v>
      </c>
      <c r="B15460" s="271"/>
      <c r="C15460" s="267"/>
      <c r="D15460" s="267"/>
      <c r="E15460" s="267" t="s">
        <v>584</v>
      </c>
      <c r="F15460" s="267"/>
    </row>
    <row r="15461" spans="1:6" ht="15" customHeight="1" x14ac:dyDescent="0.25">
      <c r="A15461" s="199" t="s">
        <v>563</v>
      </c>
      <c r="B15461" s="200" t="s">
        <v>564</v>
      </c>
      <c r="C15461" s="200" t="s">
        <v>585</v>
      </c>
      <c r="D15461" s="200" t="s">
        <v>586</v>
      </c>
      <c r="E15461" s="225" t="s">
        <v>587</v>
      </c>
      <c r="F15461" s="200" t="s">
        <v>568</v>
      </c>
    </row>
    <row r="15462" spans="1:6" ht="15" customHeight="1" x14ac:dyDescent="0.25">
      <c r="A15462" s="232"/>
      <c r="B15462" s="202"/>
      <c r="C15462" s="205"/>
      <c r="D15462" s="277"/>
      <c r="E15462" s="234"/>
      <c r="F15462" s="211"/>
    </row>
    <row r="15463" spans="1:6" ht="15" customHeight="1" x14ac:dyDescent="0.25">
      <c r="A15463" s="232"/>
      <c r="B15463" s="202"/>
      <c r="C15463" s="218"/>
      <c r="D15463" s="235"/>
      <c r="E15463" s="236"/>
      <c r="F15463" s="211"/>
    </row>
    <row r="15464" spans="1:6" ht="15" customHeight="1" x14ac:dyDescent="0.25">
      <c r="A15464" s="209" t="s">
        <v>548</v>
      </c>
      <c r="B15464" s="230"/>
      <c r="C15464" s="212"/>
      <c r="D15464" s="212"/>
      <c r="E15464" s="213"/>
      <c r="F15464" s="214" t="s">
        <v>1298</v>
      </c>
    </row>
    <row r="15465" spans="1:6" ht="15" customHeight="1" x14ac:dyDescent="0.25">
      <c r="A15465" s="263"/>
      <c r="B15465" s="264"/>
      <c r="C15465" s="272"/>
      <c r="D15465" s="272"/>
      <c r="E15465" s="273"/>
      <c r="F15465" s="272"/>
    </row>
    <row r="15466" spans="1:6" ht="15" customHeight="1" x14ac:dyDescent="0.25">
      <c r="A15466" s="263"/>
      <c r="B15466" s="264"/>
      <c r="C15466" s="272"/>
      <c r="D15466" s="272"/>
      <c r="E15466" s="273"/>
      <c r="F15466" s="272"/>
    </row>
    <row r="15467" spans="1:6" ht="15" customHeight="1" x14ac:dyDescent="0.25">
      <c r="A15467" s="590" t="s">
        <v>588</v>
      </c>
      <c r="B15467" s="597"/>
      <c r="C15467" s="597"/>
      <c r="D15467" s="597"/>
      <c r="E15467" s="598"/>
      <c r="F15467" s="237">
        <v>1061500</v>
      </c>
    </row>
    <row r="15468" spans="1:6" ht="15" customHeight="1" x14ac:dyDescent="0.25">
      <c r="A15468" s="590" t="s">
        <v>589</v>
      </c>
      <c r="B15468" s="597"/>
      <c r="C15468" s="597"/>
      <c r="D15468" s="597"/>
      <c r="E15468" s="598"/>
      <c r="F15468" s="238"/>
    </row>
    <row r="15469" spans="1:6" ht="15" customHeight="1" x14ac:dyDescent="0.25">
      <c r="A15469" s="590" t="s">
        <v>556</v>
      </c>
      <c r="B15469" s="597"/>
      <c r="C15469" s="597"/>
      <c r="D15469" s="597"/>
      <c r="E15469" s="598"/>
      <c r="F15469" s="242"/>
    </row>
    <row r="15470" spans="1:6" ht="15" customHeight="1" x14ac:dyDescent="0.25">
      <c r="A15470" s="81"/>
      <c r="B15470" s="81"/>
      <c r="C15470" s="137"/>
      <c r="D15470" s="81"/>
      <c r="E15470" s="81"/>
      <c r="F15470" s="81"/>
    </row>
    <row r="15471" spans="1:6" ht="15" customHeight="1" x14ac:dyDescent="0.25">
      <c r="A15471" s="134"/>
      <c r="B15471" s="135"/>
      <c r="C15471" s="135"/>
      <c r="D15471" s="135"/>
      <c r="E15471" s="135"/>
      <c r="F15471" s="136"/>
    </row>
    <row r="15472" spans="1:6" ht="15" customHeight="1" x14ac:dyDescent="0.25">
      <c r="A15472" s="134"/>
      <c r="B15472" s="135"/>
      <c r="C15472" s="135"/>
      <c r="D15472" s="135"/>
      <c r="E15472" s="135"/>
      <c r="F15472" s="136"/>
    </row>
    <row r="15473" spans="1:6" ht="15" customHeight="1" x14ac:dyDescent="0.25">
      <c r="A15473" s="134"/>
      <c r="B15473" s="135"/>
      <c r="C15473" s="135"/>
      <c r="D15473" s="135"/>
      <c r="E15473" s="135"/>
      <c r="F15473" s="136"/>
    </row>
    <row r="15474" spans="1:6" ht="15" customHeight="1" thickBot="1" x14ac:dyDescent="0.3">
      <c r="A15474" s="81"/>
      <c r="B15474" s="81"/>
      <c r="C15474" s="81"/>
      <c r="D15474" s="81"/>
      <c r="E15474" s="81"/>
      <c r="F15474" s="81"/>
    </row>
    <row r="15475" spans="1:6" ht="15" customHeight="1" x14ac:dyDescent="0.25">
      <c r="A15475" s="83"/>
      <c r="B15475" s="84"/>
      <c r="C15475" s="85"/>
      <c r="D15475" s="86"/>
      <c r="E15475" s="86"/>
      <c r="F15475" s="87"/>
    </row>
    <row r="15476" spans="1:6" ht="15" customHeight="1" x14ac:dyDescent="0.25">
      <c r="A15476" s="599"/>
      <c r="B15476" s="600"/>
      <c r="C15476" s="600"/>
      <c r="D15476" s="600"/>
      <c r="E15476" s="600"/>
      <c r="F15476" s="601"/>
    </row>
    <row r="15477" spans="1:6" ht="15" customHeight="1" x14ac:dyDescent="0.25">
      <c r="A15477" s="602" t="s">
        <v>561</v>
      </c>
      <c r="B15477" s="600"/>
      <c r="C15477" s="600"/>
      <c r="D15477" s="600"/>
      <c r="E15477" s="600"/>
      <c r="F15477" s="601"/>
    </row>
    <row r="15478" spans="1:6" ht="15" customHeight="1" thickBot="1" x14ac:dyDescent="0.3">
      <c r="A15478" s="603"/>
      <c r="B15478" s="604"/>
      <c r="C15478" s="604"/>
      <c r="D15478" s="604"/>
      <c r="E15478" s="604"/>
      <c r="F15478" s="605"/>
    </row>
    <row r="15479" spans="1:6" ht="15" customHeight="1" x14ac:dyDescent="0.25">
      <c r="A15479" s="88"/>
      <c r="B15479" s="88"/>
      <c r="C15479" s="89"/>
      <c r="D15479" s="89"/>
      <c r="E15479" s="89"/>
      <c r="F15479" s="89"/>
    </row>
    <row r="15480" spans="1:6" ht="15" customHeight="1" x14ac:dyDescent="0.25">
      <c r="A15480" s="90" t="s">
        <v>47</v>
      </c>
      <c r="B15480" s="613" t="s">
        <v>476</v>
      </c>
      <c r="C15480" s="600"/>
      <c r="D15480" s="600"/>
      <c r="E15480" s="600"/>
      <c r="F15480" s="600"/>
    </row>
    <row r="15481" spans="1:6" ht="15" customHeight="1" x14ac:dyDescent="0.25">
      <c r="A15481" s="91"/>
      <c r="B15481" s="91"/>
      <c r="C15481" s="91"/>
      <c r="D15481" s="91"/>
      <c r="E15481" s="91"/>
      <c r="F15481" s="91"/>
    </row>
    <row r="15482" spans="1:6" ht="15" customHeight="1" x14ac:dyDescent="0.25">
      <c r="A15482" s="88" t="s">
        <v>49</v>
      </c>
      <c r="B15482" s="92" t="s">
        <v>99</v>
      </c>
      <c r="C15482" s="89"/>
      <c r="D15482" s="89"/>
      <c r="E15482" s="89"/>
      <c r="F15482" s="93"/>
    </row>
    <row r="15483" spans="1:6" ht="15" customHeight="1" x14ac:dyDescent="0.25">
      <c r="A15483" s="88"/>
      <c r="B15483" s="94"/>
      <c r="C15483" s="89"/>
      <c r="D15483" s="89"/>
      <c r="E15483" s="89"/>
      <c r="F15483" s="93"/>
    </row>
    <row r="15484" spans="1:6" ht="15" customHeight="1" x14ac:dyDescent="0.25">
      <c r="A15484" s="95" t="s">
        <v>562</v>
      </c>
      <c r="B15484" s="96"/>
      <c r="C15484" s="92"/>
      <c r="D15484" s="92"/>
      <c r="E15484" s="92"/>
      <c r="F15484" s="92"/>
    </row>
    <row r="15485" spans="1:6" ht="15" customHeight="1" x14ac:dyDescent="0.25">
      <c r="A15485" s="97" t="s">
        <v>563</v>
      </c>
      <c r="B15485" s="98" t="s">
        <v>564</v>
      </c>
      <c r="C15485" s="98" t="s">
        <v>565</v>
      </c>
      <c r="D15485" s="98" t="s">
        <v>566</v>
      </c>
      <c r="E15485" s="98" t="s">
        <v>567</v>
      </c>
      <c r="F15485" s="98" t="s">
        <v>568</v>
      </c>
    </row>
    <row r="15486" spans="1:6" ht="15" customHeight="1" x14ac:dyDescent="0.25">
      <c r="A15486" s="99" t="s">
        <v>929</v>
      </c>
      <c r="B15486" s="100" t="s">
        <v>99</v>
      </c>
      <c r="C15486" s="101">
        <v>85450</v>
      </c>
      <c r="D15486" s="149">
        <v>4</v>
      </c>
      <c r="E15486" s="102"/>
      <c r="F15486" s="101">
        <f t="shared" ref="F15486:F15491" si="755">C15486*(D15486+(D15486*E15486))</f>
        <v>341800</v>
      </c>
    </row>
    <row r="15487" spans="1:6" ht="15" customHeight="1" x14ac:dyDescent="0.25">
      <c r="A15487" s="99" t="s">
        <v>930</v>
      </c>
      <c r="B15487" s="100" t="s">
        <v>99</v>
      </c>
      <c r="C15487" s="101">
        <v>28000</v>
      </c>
      <c r="D15487" s="149">
        <v>3</v>
      </c>
      <c r="E15487" s="102"/>
      <c r="F15487" s="101">
        <f t="shared" si="755"/>
        <v>84000</v>
      </c>
    </row>
    <row r="15488" spans="1:6" ht="15" customHeight="1" x14ac:dyDescent="0.25">
      <c r="A15488" s="99" t="s">
        <v>931</v>
      </c>
      <c r="B15488" s="100" t="s">
        <v>99</v>
      </c>
      <c r="C15488" s="101">
        <v>22000</v>
      </c>
      <c r="D15488" s="149">
        <v>7.0000000000000007E-2</v>
      </c>
      <c r="E15488" s="102">
        <v>0.05</v>
      </c>
      <c r="F15488" s="101">
        <f t="shared" si="755"/>
        <v>1617.0000000000002</v>
      </c>
    </row>
    <row r="15489" spans="1:6" ht="15" customHeight="1" x14ac:dyDescent="0.25">
      <c r="A15489" s="99" t="s">
        <v>827</v>
      </c>
      <c r="B15489" s="100" t="s">
        <v>651</v>
      </c>
      <c r="C15489" s="101">
        <v>242870</v>
      </c>
      <c r="D15489" s="149">
        <v>1.4999999999999999E-2</v>
      </c>
      <c r="E15489" s="102">
        <v>0.05</v>
      </c>
      <c r="F15489" s="101">
        <f t="shared" si="755"/>
        <v>3825.2024999999999</v>
      </c>
    </row>
    <row r="15490" spans="1:6" ht="15" customHeight="1" x14ac:dyDescent="0.25">
      <c r="A15490" s="99" t="s">
        <v>828</v>
      </c>
      <c r="B15490" s="100" t="s">
        <v>651</v>
      </c>
      <c r="C15490" s="101">
        <v>32850</v>
      </c>
      <c r="D15490" s="149">
        <v>0.14000000000000001</v>
      </c>
      <c r="E15490" s="102">
        <v>0.05</v>
      </c>
      <c r="F15490" s="101">
        <f t="shared" si="755"/>
        <v>4828.9500000000007</v>
      </c>
    </row>
    <row r="15491" spans="1:6" ht="15" customHeight="1" x14ac:dyDescent="0.25">
      <c r="A15491" s="99" t="s">
        <v>932</v>
      </c>
      <c r="B15491" s="100" t="s">
        <v>99</v>
      </c>
      <c r="C15491" s="106">
        <v>26000</v>
      </c>
      <c r="D15491" s="149">
        <v>1</v>
      </c>
      <c r="E15491" s="108"/>
      <c r="F15491" s="101">
        <f t="shared" si="755"/>
        <v>26000</v>
      </c>
    </row>
    <row r="15492" spans="1:6" ht="15" customHeight="1" x14ac:dyDescent="0.25">
      <c r="A15492" s="99"/>
      <c r="B15492" s="100"/>
      <c r="C15492" s="106"/>
      <c r="D15492" s="107"/>
      <c r="E15492" s="108"/>
      <c r="F15492" s="106"/>
    </row>
    <row r="15493" spans="1:6" ht="15" customHeight="1" x14ac:dyDescent="0.25">
      <c r="A15493" s="97" t="s">
        <v>548</v>
      </c>
      <c r="B15493" s="97"/>
      <c r="C15493" s="109"/>
      <c r="D15493" s="110"/>
      <c r="E15493" s="111"/>
      <c r="F15493" s="112">
        <f>SUM(F15486:F15491)</f>
        <v>462071.15250000003</v>
      </c>
    </row>
    <row r="15494" spans="1:6" ht="15" customHeight="1" x14ac:dyDescent="0.25">
      <c r="A15494" s="88"/>
      <c r="B15494" s="88"/>
      <c r="C15494" s="113"/>
      <c r="D15494" s="113"/>
      <c r="E15494" s="114"/>
      <c r="F15494" s="113"/>
    </row>
    <row r="15495" spans="1:6" ht="15" customHeight="1" x14ac:dyDescent="0.25">
      <c r="A15495" s="96" t="s">
        <v>573</v>
      </c>
      <c r="B15495" s="96"/>
      <c r="C15495" s="92"/>
      <c r="D15495" s="92"/>
      <c r="E15495" s="92"/>
      <c r="F15495" s="92"/>
    </row>
    <row r="15496" spans="1:6" ht="15" customHeight="1" x14ac:dyDescent="0.25">
      <c r="A15496" s="611" t="s">
        <v>563</v>
      </c>
      <c r="B15496" s="608"/>
      <c r="C15496" s="609"/>
      <c r="D15496" s="98" t="s">
        <v>574</v>
      </c>
      <c r="E15496" s="98" t="s">
        <v>575</v>
      </c>
      <c r="F15496" s="98" t="s">
        <v>568</v>
      </c>
    </row>
    <row r="15497" spans="1:6" ht="15" customHeight="1" x14ac:dyDescent="0.25">
      <c r="A15497" s="607" t="s">
        <v>577</v>
      </c>
      <c r="B15497" s="608"/>
      <c r="C15497" s="609"/>
      <c r="D15497" s="217">
        <v>3125</v>
      </c>
      <c r="E15497" s="218">
        <v>28</v>
      </c>
      <c r="F15497" s="219">
        <f>+E15497*D15497</f>
        <v>87500</v>
      </c>
    </row>
    <row r="15498" spans="1:6" ht="15" customHeight="1" x14ac:dyDescent="0.25">
      <c r="A15498" s="607" t="s">
        <v>654</v>
      </c>
      <c r="B15498" s="608"/>
      <c r="C15498" s="609"/>
      <c r="D15498" s="220">
        <v>3125</v>
      </c>
      <c r="E15498" s="221">
        <v>11</v>
      </c>
      <c r="F15498" s="219">
        <f t="shared" ref="F15498:F15502" si="756">+E15498*D15498</f>
        <v>34375</v>
      </c>
    </row>
    <row r="15499" spans="1:6" ht="15" customHeight="1" x14ac:dyDescent="0.25">
      <c r="A15499" s="607" t="s">
        <v>655</v>
      </c>
      <c r="B15499" s="608"/>
      <c r="C15499" s="609"/>
      <c r="D15499" s="220">
        <v>1875</v>
      </c>
      <c r="E15499" s="221">
        <v>11</v>
      </c>
      <c r="F15499" s="219">
        <f t="shared" si="756"/>
        <v>20625</v>
      </c>
    </row>
    <row r="15500" spans="1:6" ht="15" customHeight="1" x14ac:dyDescent="0.25">
      <c r="A15500" s="607" t="s">
        <v>933</v>
      </c>
      <c r="B15500" s="608"/>
      <c r="C15500" s="609"/>
      <c r="D15500" s="220">
        <v>1875</v>
      </c>
      <c r="E15500" s="221">
        <v>2.5000000000000001E-2</v>
      </c>
      <c r="F15500" s="219">
        <f t="shared" si="756"/>
        <v>46.875</v>
      </c>
    </row>
    <row r="15501" spans="1:6" ht="15" customHeight="1" x14ac:dyDescent="0.25">
      <c r="A15501" s="607" t="s">
        <v>934</v>
      </c>
      <c r="B15501" s="608"/>
      <c r="C15501" s="609"/>
      <c r="D15501" s="220">
        <f>1800000/45.625</f>
        <v>39452.054794520547</v>
      </c>
      <c r="E15501" s="221">
        <v>0.05</v>
      </c>
      <c r="F15501" s="219">
        <f t="shared" si="756"/>
        <v>1972.6027397260275</v>
      </c>
    </row>
    <row r="15502" spans="1:6" ht="15" customHeight="1" x14ac:dyDescent="0.25">
      <c r="A15502" s="607" t="s">
        <v>935</v>
      </c>
      <c r="B15502" s="608"/>
      <c r="C15502" s="609"/>
      <c r="D15502" s="220">
        <f>1800000/45.625</f>
        <v>39452.054794520547</v>
      </c>
      <c r="E15502" s="221">
        <v>0.05</v>
      </c>
      <c r="F15502" s="219">
        <f t="shared" si="756"/>
        <v>1972.6027397260275</v>
      </c>
    </row>
    <row r="15503" spans="1:6" ht="15" customHeight="1" x14ac:dyDescent="0.25">
      <c r="A15503" s="152"/>
      <c r="B15503" s="153"/>
      <c r="C15503" s="154"/>
      <c r="D15503" s="142"/>
      <c r="E15503" s="105"/>
      <c r="F15503" s="106"/>
    </row>
    <row r="15504" spans="1:6" ht="15" customHeight="1" x14ac:dyDescent="0.25">
      <c r="A15504" s="152"/>
      <c r="B15504" s="153"/>
      <c r="C15504" s="154"/>
      <c r="D15504" s="115"/>
      <c r="E15504" s="107"/>
      <c r="F15504" s="106"/>
    </row>
    <row r="15505" spans="1:6" ht="15" customHeight="1" x14ac:dyDescent="0.25">
      <c r="A15505" s="611" t="s">
        <v>548</v>
      </c>
      <c r="B15505" s="608"/>
      <c r="C15505" s="609"/>
      <c r="D15505" s="110"/>
      <c r="E15505" s="110"/>
      <c r="F15505" s="112">
        <f>SUM(F15497:F15499)</f>
        <v>142500</v>
      </c>
    </row>
    <row r="15506" spans="1:6" ht="15" customHeight="1" x14ac:dyDescent="0.25">
      <c r="A15506" s="88"/>
      <c r="B15506" s="88"/>
      <c r="C15506" s="89"/>
      <c r="D15506" s="113"/>
      <c r="E15506" s="113"/>
      <c r="F15506" s="113"/>
    </row>
    <row r="15507" spans="1:6" ht="15" customHeight="1" x14ac:dyDescent="0.25">
      <c r="A15507" s="96" t="s">
        <v>578</v>
      </c>
      <c r="B15507" s="96"/>
      <c r="C15507" s="92"/>
      <c r="D15507" s="118"/>
      <c r="E15507" s="118"/>
      <c r="F15507" s="118"/>
    </row>
    <row r="15508" spans="1:6" ht="15" customHeight="1" x14ac:dyDescent="0.25">
      <c r="A15508" s="119" t="s">
        <v>563</v>
      </c>
      <c r="B15508" s="120" t="s">
        <v>579</v>
      </c>
      <c r="C15508" s="120" t="s">
        <v>580</v>
      </c>
      <c r="D15508" s="121" t="s">
        <v>581</v>
      </c>
      <c r="E15508" s="121" t="s">
        <v>575</v>
      </c>
      <c r="F15508" s="121" t="s">
        <v>568</v>
      </c>
    </row>
    <row r="15509" spans="1:6" ht="15" customHeight="1" x14ac:dyDescent="0.25">
      <c r="A15509" s="122" t="s">
        <v>936</v>
      </c>
      <c r="B15509" s="127">
        <v>1</v>
      </c>
      <c r="C15509" s="101">
        <v>165000</v>
      </c>
      <c r="D15509" s="101">
        <f t="shared" ref="D15509:D15510" si="757">+C15509*1.7</f>
        <v>280500</v>
      </c>
      <c r="E15509" s="107">
        <v>0.23882929999999999</v>
      </c>
      <c r="F15509" s="106">
        <f t="shared" ref="F15509:F15510" si="758">+B15509*(D15509)/E15509</f>
        <v>1174479.0107411444</v>
      </c>
    </row>
    <row r="15510" spans="1:6" ht="15" customHeight="1" x14ac:dyDescent="0.25">
      <c r="A15510" s="122" t="s">
        <v>937</v>
      </c>
      <c r="B15510" s="127">
        <v>1</v>
      </c>
      <c r="C15510" s="101">
        <v>85000</v>
      </c>
      <c r="D15510" s="101">
        <f t="shared" si="757"/>
        <v>144500</v>
      </c>
      <c r="E15510" s="107">
        <f>E15509</f>
        <v>0.23882929999999999</v>
      </c>
      <c r="F15510" s="106">
        <f t="shared" si="758"/>
        <v>605034.64189695322</v>
      </c>
    </row>
    <row r="15511" spans="1:6" ht="15" customHeight="1" x14ac:dyDescent="0.25">
      <c r="A15511" s="122"/>
      <c r="B15511" s="127"/>
      <c r="C15511" s="101"/>
      <c r="D15511" s="101"/>
      <c r="E15511" s="107"/>
      <c r="F15511" s="106"/>
    </row>
    <row r="15512" spans="1:6" ht="15" customHeight="1" x14ac:dyDescent="0.25">
      <c r="A15512" s="122"/>
      <c r="B15512" s="127"/>
      <c r="C15512" s="101"/>
      <c r="D15512" s="101"/>
      <c r="E15512" s="125"/>
      <c r="F15512" s="106"/>
    </row>
    <row r="15513" spans="1:6" ht="15" customHeight="1" x14ac:dyDescent="0.25">
      <c r="A15513" s="97" t="s">
        <v>548</v>
      </c>
      <c r="B15513" s="128"/>
      <c r="C15513" s="110"/>
      <c r="D15513" s="110"/>
      <c r="E15513" s="110"/>
      <c r="F15513" s="112">
        <f>SUM(F15509:F15512)</f>
        <v>1779513.6526380978</v>
      </c>
    </row>
    <row r="15514" spans="1:6" ht="15" customHeight="1" x14ac:dyDescent="0.25">
      <c r="A15514" s="96"/>
      <c r="B15514" s="129"/>
      <c r="C15514" s="118"/>
      <c r="D15514" s="118"/>
      <c r="E15514" s="118"/>
      <c r="F15514" s="118"/>
    </row>
    <row r="15515" spans="1:6" ht="15" customHeight="1" x14ac:dyDescent="0.25">
      <c r="A15515" s="95" t="s">
        <v>583</v>
      </c>
      <c r="B15515" s="96"/>
      <c r="C15515" s="92"/>
      <c r="D15515" s="92"/>
      <c r="E15515" s="92" t="s">
        <v>584</v>
      </c>
      <c r="F15515" s="92"/>
    </row>
    <row r="15516" spans="1:6" ht="15" customHeight="1" x14ac:dyDescent="0.25">
      <c r="A15516" s="97" t="s">
        <v>563</v>
      </c>
      <c r="B15516" s="98" t="s">
        <v>564</v>
      </c>
      <c r="C15516" s="98" t="s">
        <v>585</v>
      </c>
      <c r="D15516" s="98" t="s">
        <v>586</v>
      </c>
      <c r="E15516" s="120" t="s">
        <v>587</v>
      </c>
      <c r="F15516" s="98" t="s">
        <v>568</v>
      </c>
    </row>
    <row r="15517" spans="1:6" ht="15" customHeight="1" x14ac:dyDescent="0.25">
      <c r="A15517" s="232" t="s">
        <v>1080</v>
      </c>
      <c r="B15517" s="202">
        <v>1</v>
      </c>
      <c r="C15517" s="205">
        <v>200000</v>
      </c>
      <c r="D15517" s="233">
        <v>0.7</v>
      </c>
      <c r="E15517" s="234"/>
      <c r="F15517" s="211">
        <f>+D15517*C15517*B15517</f>
        <v>140000</v>
      </c>
    </row>
    <row r="15518" spans="1:6" ht="15" customHeight="1" x14ac:dyDescent="0.25">
      <c r="A15518" s="103"/>
      <c r="B15518" s="100"/>
      <c r="C15518" s="107"/>
      <c r="D15518" s="107"/>
      <c r="E15518" s="108"/>
      <c r="F15518" s="109"/>
    </row>
    <row r="15519" spans="1:6" ht="15" customHeight="1" x14ac:dyDescent="0.25">
      <c r="A15519" s="97" t="s">
        <v>548</v>
      </c>
      <c r="B15519" s="98"/>
      <c r="C15519" s="110"/>
      <c r="D15519" s="110"/>
      <c r="E15519" s="111"/>
      <c r="F15519" s="112">
        <f>SUM(F15517:F15518)</f>
        <v>140000</v>
      </c>
    </row>
    <row r="15520" spans="1:6" ht="15" customHeight="1" x14ac:dyDescent="0.25">
      <c r="A15520" s="88"/>
      <c r="B15520" s="89"/>
      <c r="C15520" s="113"/>
      <c r="D15520" s="113"/>
      <c r="E15520" s="114"/>
      <c r="F15520" s="113"/>
    </row>
    <row r="15521" spans="1:6" ht="15" customHeight="1" x14ac:dyDescent="0.25">
      <c r="A15521" s="88"/>
      <c r="B15521" s="89"/>
      <c r="C15521" s="113"/>
      <c r="D15521" s="113"/>
      <c r="E15521" s="114"/>
      <c r="F15521" s="113"/>
    </row>
    <row r="15522" spans="1:6" ht="15" customHeight="1" x14ac:dyDescent="0.25">
      <c r="A15522" s="612" t="s">
        <v>588</v>
      </c>
      <c r="B15522" s="608"/>
      <c r="C15522" s="608"/>
      <c r="D15522" s="608"/>
      <c r="E15522" s="609"/>
      <c r="F15522" s="131">
        <f>ROUND(F15493+F15505+F15513+F15519,0)</f>
        <v>2524085</v>
      </c>
    </row>
    <row r="15523" spans="1:6" ht="15" customHeight="1" x14ac:dyDescent="0.25">
      <c r="A15523" s="612" t="s">
        <v>589</v>
      </c>
      <c r="B15523" s="608"/>
      <c r="C15523" s="608"/>
      <c r="D15523" s="608"/>
      <c r="E15523" s="609"/>
      <c r="F15523" s="132"/>
    </row>
    <row r="15524" spans="1:6" ht="15" customHeight="1" x14ac:dyDescent="0.25">
      <c r="A15524" s="612" t="s">
        <v>556</v>
      </c>
      <c r="B15524" s="608"/>
      <c r="C15524" s="608"/>
      <c r="D15524" s="608"/>
      <c r="E15524" s="609"/>
      <c r="F15524" s="133"/>
    </row>
    <row r="15525" spans="1:6" ht="15" customHeight="1" x14ac:dyDescent="0.25">
      <c r="A15525" s="134"/>
      <c r="B15525" s="135"/>
      <c r="C15525" s="135"/>
      <c r="D15525" s="135"/>
      <c r="E15525" s="135"/>
      <c r="F15525" s="136"/>
    </row>
    <row r="15526" spans="1:6" ht="15" customHeight="1" x14ac:dyDescent="0.25">
      <c r="A15526" s="81"/>
      <c r="B15526" s="81"/>
      <c r="C15526" s="137"/>
      <c r="D15526" s="81"/>
      <c r="E15526" s="81"/>
      <c r="F15526" s="81"/>
    </row>
    <row r="15527" spans="1:6" ht="15" customHeight="1" x14ac:dyDescent="0.25">
      <c r="A15527" s="81"/>
      <c r="B15527" s="81"/>
      <c r="C15527" s="137"/>
      <c r="D15527" s="81"/>
      <c r="E15527" s="81"/>
      <c r="F15527" s="81"/>
    </row>
    <row r="15528" spans="1:6" ht="15" customHeight="1" x14ac:dyDescent="0.25">
      <c r="A15528" s="81"/>
      <c r="B15528" s="81"/>
      <c r="C15528" s="137"/>
      <c r="D15528" s="81"/>
      <c r="E15528" s="81"/>
      <c r="F15528" s="81"/>
    </row>
    <row r="15529" spans="1:6" ht="15" customHeight="1" x14ac:dyDescent="0.25">
      <c r="A15529" s="81"/>
      <c r="B15529" s="81"/>
      <c r="C15529" s="137"/>
      <c r="D15529" s="81"/>
      <c r="E15529" s="81"/>
      <c r="F15529" s="81"/>
    </row>
    <row r="15530" spans="1:6" ht="15" customHeight="1" x14ac:dyDescent="0.25">
      <c r="A15530" s="134"/>
      <c r="B15530" s="135"/>
      <c r="C15530" s="135"/>
      <c r="D15530" s="135"/>
      <c r="E15530" s="135"/>
      <c r="F15530" s="136"/>
    </row>
    <row r="15531" spans="1:6" ht="15" customHeight="1" x14ac:dyDescent="0.25">
      <c r="A15531" s="134"/>
      <c r="B15531" s="135"/>
      <c r="C15531" s="135"/>
      <c r="D15531" s="135"/>
      <c r="E15531" s="135"/>
      <c r="F15531" s="136"/>
    </row>
    <row r="15532" spans="1:6" ht="15" customHeight="1" x14ac:dyDescent="0.25">
      <c r="A15532" s="134"/>
      <c r="B15532" s="135"/>
      <c r="C15532" s="135"/>
      <c r="D15532" s="135"/>
      <c r="E15532" s="135"/>
      <c r="F15532" s="135"/>
    </row>
    <row r="15533" spans="1:6" ht="15" customHeight="1" thickBot="1" x14ac:dyDescent="0.3">
      <c r="A15533" s="81"/>
      <c r="B15533" s="81"/>
      <c r="C15533" s="81"/>
      <c r="D15533" s="81"/>
      <c r="E15533" s="81"/>
      <c r="F15533" s="81"/>
    </row>
    <row r="15534" spans="1:6" ht="15" customHeight="1" x14ac:dyDescent="0.25">
      <c r="A15534" s="83"/>
      <c r="B15534" s="84"/>
      <c r="C15534" s="85"/>
      <c r="D15534" s="86"/>
      <c r="E15534" s="86"/>
      <c r="F15534" s="87"/>
    </row>
    <row r="15535" spans="1:6" ht="15" customHeight="1" x14ac:dyDescent="0.25">
      <c r="A15535" s="599"/>
      <c r="B15535" s="600"/>
      <c r="C15535" s="600"/>
      <c r="D15535" s="600"/>
      <c r="E15535" s="600"/>
      <c r="F15535" s="601"/>
    </row>
    <row r="15536" spans="1:6" ht="15" customHeight="1" x14ac:dyDescent="0.25">
      <c r="A15536" s="602" t="s">
        <v>561</v>
      </c>
      <c r="B15536" s="600"/>
      <c r="C15536" s="600"/>
      <c r="D15536" s="600"/>
      <c r="E15536" s="600"/>
      <c r="F15536" s="601"/>
    </row>
    <row r="15537" spans="1:6" ht="15" customHeight="1" thickBot="1" x14ac:dyDescent="0.3">
      <c r="A15537" s="603"/>
      <c r="B15537" s="604"/>
      <c r="C15537" s="604"/>
      <c r="D15537" s="604"/>
      <c r="E15537" s="604"/>
      <c r="F15537" s="605"/>
    </row>
    <row r="15538" spans="1:6" ht="15" customHeight="1" x14ac:dyDescent="0.25">
      <c r="A15538" s="88"/>
      <c r="B15538" s="88"/>
      <c r="C15538" s="89"/>
      <c r="D15538" s="89"/>
      <c r="E15538" s="89"/>
      <c r="F15538" s="89"/>
    </row>
    <row r="15539" spans="1:6" ht="15" customHeight="1" x14ac:dyDescent="0.25">
      <c r="A15539" s="90" t="s">
        <v>47</v>
      </c>
      <c r="B15539" s="613" t="str">
        <f>'Presupuesto Especifico'!C340</f>
        <v xml:space="preserve">Suministro e instalación de salida  110V en tuberia EMT 1/2" y alambre3 nº 12 AWG (F-N-T). Incluye accesorios de fijación, conectores de resorte y derivación en cable encauchetado para alimentacion de luminaria. Altura de luminaria 2,5 - 3 mts libre de halogenos HF </v>
      </c>
      <c r="C15539" s="600"/>
      <c r="D15539" s="600"/>
      <c r="E15539" s="600"/>
      <c r="F15539" s="600"/>
    </row>
    <row r="15540" spans="1:6" ht="15" customHeight="1" x14ac:dyDescent="0.25">
      <c r="A15540" s="91"/>
      <c r="B15540" s="91"/>
      <c r="C15540" s="91"/>
      <c r="D15540" s="91"/>
      <c r="E15540" s="91"/>
      <c r="F15540" s="91"/>
    </row>
    <row r="15541" spans="1:6" ht="15" customHeight="1" x14ac:dyDescent="0.25">
      <c r="A15541" s="88" t="s">
        <v>49</v>
      </c>
      <c r="B15541" s="92" t="s">
        <v>99</v>
      </c>
      <c r="C15541" s="89"/>
      <c r="D15541" s="89"/>
      <c r="E15541" s="89"/>
      <c r="F15541" s="93"/>
    </row>
    <row r="15542" spans="1:6" ht="15" customHeight="1" x14ac:dyDescent="0.25">
      <c r="A15542" s="88"/>
      <c r="B15542" s="94"/>
      <c r="C15542" s="89"/>
      <c r="D15542" s="89"/>
      <c r="E15542" s="89"/>
      <c r="F15542" s="93"/>
    </row>
    <row r="15543" spans="1:6" ht="15" customHeight="1" x14ac:dyDescent="0.25">
      <c r="A15543" s="95" t="s">
        <v>562</v>
      </c>
      <c r="B15543" s="96"/>
      <c r="C15543" s="92"/>
      <c r="D15543" s="92"/>
      <c r="E15543" s="92"/>
      <c r="F15543" s="92"/>
    </row>
    <row r="15544" spans="1:6" ht="15" customHeight="1" x14ac:dyDescent="0.25">
      <c r="A15544" s="97" t="s">
        <v>563</v>
      </c>
      <c r="B15544" s="98" t="s">
        <v>564</v>
      </c>
      <c r="C15544" s="98" t="s">
        <v>565</v>
      </c>
      <c r="D15544" s="98" t="s">
        <v>566</v>
      </c>
      <c r="E15544" s="98" t="s">
        <v>567</v>
      </c>
      <c r="F15544" s="98" t="s">
        <v>568</v>
      </c>
    </row>
    <row r="15545" spans="1:6" ht="15" customHeight="1" x14ac:dyDescent="0.25">
      <c r="A15545" s="99" t="s">
        <v>762</v>
      </c>
      <c r="B15545" s="100" t="s">
        <v>59</v>
      </c>
      <c r="C15545" s="101">
        <v>10150</v>
      </c>
      <c r="D15545" s="149">
        <v>4.5</v>
      </c>
      <c r="E15545" s="102">
        <v>0.05</v>
      </c>
      <c r="F15545" s="101">
        <f t="shared" ref="F15545:F15552" si="759">C15545*(D15545+(D15545*E15545))</f>
        <v>47958.75</v>
      </c>
    </row>
    <row r="15546" spans="1:6" ht="15" customHeight="1" x14ac:dyDescent="0.25">
      <c r="A15546" s="99" t="s">
        <v>938</v>
      </c>
      <c r="B15546" s="100" t="s">
        <v>99</v>
      </c>
      <c r="C15546" s="101">
        <v>2000</v>
      </c>
      <c r="D15546" s="149">
        <v>2</v>
      </c>
      <c r="E15546" s="102"/>
      <c r="F15546" s="101">
        <f t="shared" si="759"/>
        <v>4000</v>
      </c>
    </row>
    <row r="15547" spans="1:6" ht="15" customHeight="1" x14ac:dyDescent="0.25">
      <c r="A15547" s="99" t="s">
        <v>939</v>
      </c>
      <c r="B15547" s="100" t="s">
        <v>99</v>
      </c>
      <c r="C15547" s="101">
        <v>2350</v>
      </c>
      <c r="D15547" s="104">
        <v>1</v>
      </c>
      <c r="E15547" s="102"/>
      <c r="F15547" s="101">
        <f t="shared" si="759"/>
        <v>2350</v>
      </c>
    </row>
    <row r="15548" spans="1:6" ht="15" customHeight="1" x14ac:dyDescent="0.25">
      <c r="A15548" s="99" t="s">
        <v>940</v>
      </c>
      <c r="B15548" s="100" t="s">
        <v>59</v>
      </c>
      <c r="C15548" s="101">
        <v>1150</v>
      </c>
      <c r="D15548" s="104">
        <f>4.5*3</f>
        <v>13.5</v>
      </c>
      <c r="E15548" s="102"/>
      <c r="F15548" s="101">
        <f t="shared" si="759"/>
        <v>15525</v>
      </c>
    </row>
    <row r="15549" spans="1:6" ht="15" customHeight="1" x14ac:dyDescent="0.25">
      <c r="A15549" s="99" t="s">
        <v>858</v>
      </c>
      <c r="B15549" s="100" t="s">
        <v>99</v>
      </c>
      <c r="C15549" s="101">
        <v>2500</v>
      </c>
      <c r="D15549" s="104">
        <v>1</v>
      </c>
      <c r="E15549" s="102"/>
      <c r="F15549" s="101">
        <f t="shared" si="759"/>
        <v>2500</v>
      </c>
    </row>
    <row r="15550" spans="1:6" ht="15" customHeight="1" x14ac:dyDescent="0.25">
      <c r="A15550" s="99" t="s">
        <v>941</v>
      </c>
      <c r="B15550" s="100" t="s">
        <v>99</v>
      </c>
      <c r="C15550" s="101">
        <v>2500</v>
      </c>
      <c r="D15550" s="149">
        <v>1</v>
      </c>
      <c r="E15550" s="102"/>
      <c r="F15550" s="101">
        <f t="shared" si="759"/>
        <v>2500</v>
      </c>
    </row>
    <row r="15551" spans="1:6" ht="15" customHeight="1" x14ac:dyDescent="0.25">
      <c r="A15551" s="99" t="s">
        <v>931</v>
      </c>
      <c r="B15551" s="100" t="s">
        <v>99</v>
      </c>
      <c r="C15551" s="101">
        <v>22000</v>
      </c>
      <c r="D15551" s="149">
        <v>7.0000000000000007E-2</v>
      </c>
      <c r="E15551" s="102">
        <v>0.05</v>
      </c>
      <c r="F15551" s="101">
        <f t="shared" si="759"/>
        <v>1617.0000000000002</v>
      </c>
    </row>
    <row r="15552" spans="1:6" ht="15" customHeight="1" x14ac:dyDescent="0.25">
      <c r="A15552" s="99" t="s">
        <v>942</v>
      </c>
      <c r="B15552" s="100" t="s">
        <v>59</v>
      </c>
      <c r="C15552" s="101">
        <v>2850</v>
      </c>
      <c r="D15552" s="149">
        <v>3</v>
      </c>
      <c r="E15552" s="102">
        <v>0.05</v>
      </c>
      <c r="F15552" s="101">
        <f t="shared" si="759"/>
        <v>8977.5</v>
      </c>
    </row>
    <row r="15553" spans="1:6" ht="15" customHeight="1" x14ac:dyDescent="0.25">
      <c r="A15553" s="99"/>
      <c r="B15553" s="100"/>
      <c r="C15553" s="101"/>
      <c r="D15553" s="149"/>
      <c r="E15553" s="102"/>
      <c r="F15553" s="101"/>
    </row>
    <row r="15554" spans="1:6" ht="15" customHeight="1" x14ac:dyDescent="0.25">
      <c r="A15554" s="99"/>
      <c r="B15554" s="100"/>
      <c r="C15554" s="106"/>
      <c r="D15554" s="107"/>
      <c r="E15554" s="108"/>
      <c r="F15554" s="106"/>
    </row>
    <row r="15555" spans="1:6" ht="15" customHeight="1" x14ac:dyDescent="0.25">
      <c r="A15555" s="97" t="s">
        <v>548</v>
      </c>
      <c r="B15555" s="97"/>
      <c r="C15555" s="109"/>
      <c r="D15555" s="110"/>
      <c r="E15555" s="111"/>
      <c r="F15555" s="112">
        <f>SUM(F15545:F15554)</f>
        <v>85428.25</v>
      </c>
    </row>
    <row r="15556" spans="1:6" ht="15" customHeight="1" x14ac:dyDescent="0.25">
      <c r="A15556" s="88"/>
      <c r="B15556" s="88"/>
      <c r="C15556" s="113"/>
      <c r="D15556" s="113"/>
      <c r="E15556" s="114"/>
      <c r="F15556" s="113"/>
    </row>
    <row r="15557" spans="1:6" ht="15" customHeight="1" x14ac:dyDescent="0.25">
      <c r="A15557" s="96" t="s">
        <v>573</v>
      </c>
      <c r="B15557" s="96"/>
      <c r="C15557" s="92"/>
      <c r="D15557" s="92"/>
      <c r="E15557" s="92"/>
      <c r="F15557" s="92"/>
    </row>
    <row r="15558" spans="1:6" ht="15" customHeight="1" x14ac:dyDescent="0.25">
      <c r="A15558" s="611" t="s">
        <v>563</v>
      </c>
      <c r="B15558" s="608"/>
      <c r="C15558" s="609"/>
      <c r="D15558" s="98" t="s">
        <v>574</v>
      </c>
      <c r="E15558" s="98" t="s">
        <v>575</v>
      </c>
      <c r="F15558" s="98" t="s">
        <v>568</v>
      </c>
    </row>
    <row r="15559" spans="1:6" ht="15" customHeight="1" x14ac:dyDescent="0.25">
      <c r="A15559" s="607" t="s">
        <v>577</v>
      </c>
      <c r="B15559" s="608"/>
      <c r="C15559" s="609"/>
      <c r="D15559" s="116"/>
      <c r="E15559" s="107"/>
      <c r="F15559" s="106">
        <f>+F15576*5%</f>
        <v>1190.4139527935465</v>
      </c>
    </row>
    <row r="15560" spans="1:6" ht="15" customHeight="1" x14ac:dyDescent="0.25">
      <c r="A15560" s="607"/>
      <c r="B15560" s="608"/>
      <c r="C15560" s="609"/>
      <c r="D15560" s="142"/>
      <c r="E15560" s="105"/>
      <c r="F15560" s="106"/>
    </row>
    <row r="15561" spans="1:6" ht="15" customHeight="1" x14ac:dyDescent="0.25">
      <c r="A15561" s="607"/>
      <c r="B15561" s="608"/>
      <c r="C15561" s="609"/>
      <c r="D15561" s="142"/>
      <c r="E15561" s="105"/>
      <c r="F15561" s="106"/>
    </row>
    <row r="15562" spans="1:6" ht="15" customHeight="1" x14ac:dyDescent="0.25">
      <c r="A15562" s="607"/>
      <c r="B15562" s="608"/>
      <c r="C15562" s="609"/>
      <c r="D15562" s="142"/>
      <c r="E15562" s="107"/>
      <c r="F15562" s="106"/>
    </row>
    <row r="15563" spans="1:6" ht="15" customHeight="1" x14ac:dyDescent="0.25">
      <c r="A15563" s="607"/>
      <c r="B15563" s="608"/>
      <c r="C15563" s="609"/>
      <c r="D15563" s="142"/>
      <c r="E15563" s="107"/>
      <c r="F15563" s="106"/>
    </row>
    <row r="15564" spans="1:6" ht="15" customHeight="1" x14ac:dyDescent="0.25">
      <c r="A15564" s="607"/>
      <c r="B15564" s="608"/>
      <c r="C15564" s="609"/>
      <c r="D15564" s="142"/>
      <c r="E15564" s="107"/>
      <c r="F15564" s="106"/>
    </row>
    <row r="15565" spans="1:6" ht="15" customHeight="1" x14ac:dyDescent="0.25">
      <c r="A15565" s="607"/>
      <c r="B15565" s="608"/>
      <c r="C15565" s="609"/>
      <c r="D15565" s="142"/>
      <c r="E15565" s="107"/>
      <c r="F15565" s="106"/>
    </row>
    <row r="15566" spans="1:6" ht="15" customHeight="1" x14ac:dyDescent="0.25">
      <c r="A15566" s="607"/>
      <c r="B15566" s="608"/>
      <c r="C15566" s="609"/>
      <c r="D15566" s="142"/>
      <c r="E15566" s="107"/>
      <c r="F15566" s="106"/>
    </row>
    <row r="15567" spans="1:6" ht="15" customHeight="1" x14ac:dyDescent="0.25">
      <c r="A15567" s="610"/>
      <c r="B15567" s="608"/>
      <c r="C15567" s="609"/>
      <c r="D15567" s="115"/>
      <c r="E15567" s="107"/>
      <c r="F15567" s="106"/>
    </row>
    <row r="15568" spans="1:6" ht="15" customHeight="1" x14ac:dyDescent="0.25">
      <c r="A15568" s="611" t="s">
        <v>548</v>
      </c>
      <c r="B15568" s="608"/>
      <c r="C15568" s="609"/>
      <c r="D15568" s="110"/>
      <c r="E15568" s="110"/>
      <c r="F15568" s="112">
        <f>SUM(F15559:F15566)</f>
        <v>1190.4139527935465</v>
      </c>
    </row>
    <row r="15569" spans="1:6" ht="15" customHeight="1" x14ac:dyDescent="0.25">
      <c r="A15569" s="88"/>
      <c r="B15569" s="88"/>
      <c r="C15569" s="89"/>
      <c r="D15569" s="113"/>
      <c r="E15569" s="113"/>
      <c r="F15569" s="113"/>
    </row>
    <row r="15570" spans="1:6" ht="15" customHeight="1" x14ac:dyDescent="0.25">
      <c r="A15570" s="96" t="s">
        <v>578</v>
      </c>
      <c r="B15570" s="96"/>
      <c r="C15570" s="92"/>
      <c r="D15570" s="118"/>
      <c r="E15570" s="118"/>
      <c r="F15570" s="118"/>
    </row>
    <row r="15571" spans="1:6" ht="15" customHeight="1" x14ac:dyDescent="0.25">
      <c r="A15571" s="119" t="s">
        <v>563</v>
      </c>
      <c r="B15571" s="120" t="s">
        <v>579</v>
      </c>
      <c r="C15571" s="120" t="s">
        <v>580</v>
      </c>
      <c r="D15571" s="121" t="s">
        <v>581</v>
      </c>
      <c r="E15571" s="121" t="s">
        <v>575</v>
      </c>
      <c r="F15571" s="121" t="s">
        <v>568</v>
      </c>
    </row>
    <row r="15572" spans="1:6" ht="15" customHeight="1" x14ac:dyDescent="0.25">
      <c r="A15572" s="122" t="s">
        <v>916</v>
      </c>
      <c r="B15572" s="127">
        <v>1</v>
      </c>
      <c r="C15572" s="101">
        <v>35956.800000000003</v>
      </c>
      <c r="D15572" s="101">
        <f t="shared" ref="D15572:D15573" si="760">+C15572*1.7</f>
        <v>61126.560000000005</v>
      </c>
      <c r="E15572" s="107">
        <v>6.694</v>
      </c>
      <c r="F15572" s="106">
        <f t="shared" ref="F15572:F15573" si="761">+B15572*(D15572)/E15572</f>
        <v>9131.5446668658515</v>
      </c>
    </row>
    <row r="15573" spans="1:6" ht="15" customHeight="1" x14ac:dyDescent="0.25">
      <c r="A15573" s="122" t="s">
        <v>917</v>
      </c>
      <c r="B15573" s="127">
        <v>1</v>
      </c>
      <c r="C15573" s="101">
        <v>57791.8</v>
      </c>
      <c r="D15573" s="101">
        <f t="shared" si="760"/>
        <v>98246.06</v>
      </c>
      <c r="E15573" s="107">
        <f>E15572</f>
        <v>6.694</v>
      </c>
      <c r="F15573" s="106">
        <f t="shared" si="761"/>
        <v>14676.73438900508</v>
      </c>
    </row>
    <row r="15574" spans="1:6" ht="15" customHeight="1" x14ac:dyDescent="0.25">
      <c r="A15574" s="122"/>
      <c r="B15574" s="127"/>
      <c r="C15574" s="101"/>
      <c r="D15574" s="101"/>
      <c r="E15574" s="105"/>
      <c r="F15574" s="106"/>
    </row>
    <row r="15575" spans="1:6" ht="15" customHeight="1" x14ac:dyDescent="0.25">
      <c r="A15575" s="122"/>
      <c r="B15575" s="127"/>
      <c r="C15575" s="101"/>
      <c r="D15575" s="101"/>
      <c r="E15575" s="125"/>
      <c r="F15575" s="106"/>
    </row>
    <row r="15576" spans="1:6" ht="15" customHeight="1" x14ac:dyDescent="0.25">
      <c r="A15576" s="97" t="s">
        <v>548</v>
      </c>
      <c r="B15576" s="128"/>
      <c r="C15576" s="110"/>
      <c r="D15576" s="110"/>
      <c r="E15576" s="110"/>
      <c r="F15576" s="112">
        <f>SUM(F15572:F15575)</f>
        <v>23808.279055870931</v>
      </c>
    </row>
    <row r="15577" spans="1:6" ht="15" customHeight="1" x14ac:dyDescent="0.25">
      <c r="A15577" s="96"/>
      <c r="B15577" s="129"/>
      <c r="C15577" s="118"/>
      <c r="D15577" s="118"/>
      <c r="E15577" s="118"/>
      <c r="F15577" s="118"/>
    </row>
    <row r="15578" spans="1:6" ht="15" customHeight="1" x14ac:dyDescent="0.25">
      <c r="A15578" s="95" t="s">
        <v>583</v>
      </c>
      <c r="B15578" s="96"/>
      <c r="C15578" s="92"/>
      <c r="D15578" s="92"/>
      <c r="E15578" s="92" t="s">
        <v>584</v>
      </c>
      <c r="F15578" s="92"/>
    </row>
    <row r="15579" spans="1:6" ht="15" customHeight="1" x14ac:dyDescent="0.25">
      <c r="A15579" s="97" t="s">
        <v>563</v>
      </c>
      <c r="B15579" s="98" t="s">
        <v>564</v>
      </c>
      <c r="C15579" s="98" t="s">
        <v>585</v>
      </c>
      <c r="D15579" s="98" t="s">
        <v>586</v>
      </c>
      <c r="E15579" s="120" t="s">
        <v>587</v>
      </c>
      <c r="F15579" s="98" t="s">
        <v>568</v>
      </c>
    </row>
    <row r="15580" spans="1:6" ht="15" customHeight="1" x14ac:dyDescent="0.25">
      <c r="A15580" s="232" t="s">
        <v>1080</v>
      </c>
      <c r="B15580" s="202">
        <v>1</v>
      </c>
      <c r="C15580" s="205">
        <v>200000</v>
      </c>
      <c r="D15580" s="233">
        <v>0.03</v>
      </c>
      <c r="E15580" s="234"/>
      <c r="F15580" s="211">
        <f>+D15580*C15580</f>
        <v>6000</v>
      </c>
    </row>
    <row r="15581" spans="1:6" ht="15" customHeight="1" x14ac:dyDescent="0.25">
      <c r="A15581" s="103"/>
      <c r="B15581" s="100"/>
      <c r="C15581" s="107"/>
      <c r="D15581" s="107"/>
      <c r="E15581" s="108"/>
      <c r="F15581" s="109"/>
    </row>
    <row r="15582" spans="1:6" ht="15" customHeight="1" x14ac:dyDescent="0.25">
      <c r="A15582" s="97" t="s">
        <v>548</v>
      </c>
      <c r="B15582" s="98"/>
      <c r="C15582" s="110"/>
      <c r="D15582" s="110"/>
      <c r="E15582" s="111"/>
      <c r="F15582" s="112">
        <f>SUM(F15580:F15581)</f>
        <v>6000</v>
      </c>
    </row>
    <row r="15583" spans="1:6" ht="15" customHeight="1" x14ac:dyDescent="0.25">
      <c r="A15583" s="88"/>
      <c r="B15583" s="89"/>
      <c r="C15583" s="113"/>
      <c r="D15583" s="113"/>
      <c r="E15583" s="114"/>
      <c r="F15583" s="113"/>
    </row>
    <row r="15584" spans="1:6" ht="15" customHeight="1" x14ac:dyDescent="0.25">
      <c r="A15584" s="88"/>
      <c r="B15584" s="89"/>
      <c r="C15584" s="113"/>
      <c r="D15584" s="113"/>
      <c r="E15584" s="114"/>
      <c r="F15584" s="113"/>
    </row>
    <row r="15585" spans="1:6" ht="15" customHeight="1" x14ac:dyDescent="0.25">
      <c r="A15585" s="612" t="s">
        <v>588</v>
      </c>
      <c r="B15585" s="608"/>
      <c r="C15585" s="608"/>
      <c r="D15585" s="608"/>
      <c r="E15585" s="609"/>
      <c r="F15585" s="131">
        <f>ROUND(F15555+F15568+F15576+F15582,0)</f>
        <v>116427</v>
      </c>
    </row>
    <row r="15586" spans="1:6" ht="15" customHeight="1" x14ac:dyDescent="0.25">
      <c r="A15586" s="612" t="s">
        <v>589</v>
      </c>
      <c r="B15586" s="608"/>
      <c r="C15586" s="608"/>
      <c r="D15586" s="608"/>
      <c r="E15586" s="609"/>
      <c r="F15586" s="132"/>
    </row>
    <row r="15587" spans="1:6" ht="15" customHeight="1" x14ac:dyDescent="0.25">
      <c r="A15587" s="146" t="s">
        <v>556</v>
      </c>
      <c r="B15587" s="147"/>
      <c r="C15587" s="147"/>
      <c r="D15587" s="147"/>
      <c r="E15587" s="148"/>
      <c r="F15587" s="133"/>
    </row>
    <row r="15588" spans="1:6" ht="15" customHeight="1" x14ac:dyDescent="0.25">
      <c r="A15588" s="134"/>
      <c r="B15588" s="135"/>
      <c r="C15588" s="135"/>
      <c r="D15588" s="135"/>
      <c r="E15588" s="135"/>
      <c r="F15588" s="136"/>
    </row>
    <row r="15589" spans="1:6" ht="15" customHeight="1" x14ac:dyDescent="0.25">
      <c r="A15589" s="81"/>
      <c r="B15589" s="81"/>
      <c r="C15589" s="137"/>
      <c r="D15589" s="81"/>
      <c r="E15589" s="81"/>
      <c r="F15589" s="81"/>
    </row>
    <row r="15590" spans="1:6" ht="15" customHeight="1" x14ac:dyDescent="0.25">
      <c r="A15590" s="81"/>
      <c r="B15590" s="81"/>
      <c r="C15590" s="137"/>
      <c r="D15590" s="81"/>
      <c r="E15590" s="81"/>
      <c r="F15590" s="81"/>
    </row>
    <row r="15591" spans="1:6" ht="15" customHeight="1" x14ac:dyDescent="0.25">
      <c r="A15591" s="81"/>
      <c r="B15591" s="81"/>
      <c r="C15591" s="137"/>
      <c r="D15591" s="81"/>
      <c r="E15591" s="81"/>
      <c r="F15591" s="81"/>
    </row>
    <row r="15592" spans="1:6" ht="15" customHeight="1" x14ac:dyDescent="0.25">
      <c r="A15592" s="81"/>
      <c r="B15592" s="81"/>
      <c r="C15592" s="137"/>
      <c r="D15592" s="81"/>
      <c r="E15592" s="81"/>
      <c r="F15592" s="81"/>
    </row>
    <row r="15593" spans="1:6" ht="15" customHeight="1" x14ac:dyDescent="0.25">
      <c r="A15593" s="81"/>
      <c r="B15593" s="81"/>
      <c r="C15593" s="137"/>
      <c r="D15593" s="81"/>
      <c r="E15593" s="81"/>
      <c r="F15593" s="81"/>
    </row>
    <row r="15594" spans="1:6" ht="15" customHeight="1" x14ac:dyDescent="0.25">
      <c r="A15594" s="134"/>
      <c r="B15594" s="135"/>
      <c r="C15594" s="135"/>
      <c r="D15594" s="135"/>
      <c r="E15594" s="135"/>
      <c r="F15594" s="136"/>
    </row>
    <row r="15595" spans="1:6" ht="15" customHeight="1" x14ac:dyDescent="0.25">
      <c r="A15595" s="134"/>
      <c r="B15595" s="135"/>
      <c r="C15595" s="135"/>
      <c r="D15595" s="135"/>
      <c r="E15595" s="135"/>
      <c r="F15595" s="136"/>
    </row>
    <row r="15596" spans="1:6" ht="15" customHeight="1" x14ac:dyDescent="0.25">
      <c r="A15596" s="134"/>
      <c r="B15596" s="135"/>
      <c r="C15596" s="135"/>
      <c r="D15596" s="135"/>
      <c r="E15596" s="135"/>
      <c r="F15596" s="135"/>
    </row>
    <row r="15597" spans="1:6" ht="15" customHeight="1" thickBot="1" x14ac:dyDescent="0.3">
      <c r="A15597" s="81"/>
      <c r="B15597" s="81"/>
      <c r="C15597" s="81"/>
      <c r="D15597" s="81"/>
      <c r="E15597" s="81"/>
      <c r="F15597" s="81"/>
    </row>
    <row r="15598" spans="1:6" ht="15" customHeight="1" x14ac:dyDescent="0.25">
      <c r="A15598" s="83"/>
      <c r="B15598" s="84"/>
      <c r="C15598" s="85"/>
      <c r="D15598" s="86"/>
      <c r="E15598" s="86"/>
      <c r="F15598" s="87"/>
    </row>
    <row r="15599" spans="1:6" ht="15" customHeight="1" x14ac:dyDescent="0.25">
      <c r="A15599" s="599"/>
      <c r="B15599" s="600"/>
      <c r="C15599" s="600"/>
      <c r="D15599" s="600"/>
      <c r="E15599" s="600"/>
      <c r="F15599" s="601"/>
    </row>
    <row r="15600" spans="1:6" ht="15" customHeight="1" x14ac:dyDescent="0.25">
      <c r="A15600" s="602" t="s">
        <v>561</v>
      </c>
      <c r="B15600" s="600"/>
      <c r="C15600" s="600"/>
      <c r="D15600" s="600"/>
      <c r="E15600" s="600"/>
      <c r="F15600" s="601"/>
    </row>
    <row r="15601" spans="1:6" ht="15" customHeight="1" thickBot="1" x14ac:dyDescent="0.3">
      <c r="A15601" s="603"/>
      <c r="B15601" s="604"/>
      <c r="C15601" s="604"/>
      <c r="D15601" s="604"/>
      <c r="E15601" s="604"/>
      <c r="F15601" s="605"/>
    </row>
    <row r="15602" spans="1:6" ht="15" customHeight="1" x14ac:dyDescent="0.25">
      <c r="A15602" s="88"/>
      <c r="B15602" s="88"/>
      <c r="C15602" s="89"/>
      <c r="D15602" s="89"/>
      <c r="E15602" s="89"/>
      <c r="F15602" s="89"/>
    </row>
    <row r="15603" spans="1:6" ht="15" customHeight="1" x14ac:dyDescent="0.25">
      <c r="A15603" s="90" t="s">
        <v>47</v>
      </c>
      <c r="B15603" s="613" t="str">
        <f>'Presupuesto Especifico'!C341</f>
        <v xml:space="preserve">Suministro e instalación de salida para  220V en tuberia EMT 1/2" y alambre3 nº 12 AWG (F-N-T). F-F-T THHN/THWN LIBRE DE HALOGENOS HF cable encauchetado para alimentacion de la luminaria altura de instalacion 2,5-3 m </v>
      </c>
      <c r="C15603" s="600"/>
      <c r="D15603" s="600"/>
      <c r="E15603" s="600"/>
      <c r="F15603" s="600"/>
    </row>
    <row r="15604" spans="1:6" ht="15" customHeight="1" x14ac:dyDescent="0.25">
      <c r="A15604" s="91"/>
      <c r="B15604" s="91"/>
      <c r="C15604" s="91"/>
      <c r="D15604" s="91"/>
      <c r="E15604" s="91"/>
      <c r="F15604" s="91"/>
    </row>
    <row r="15605" spans="1:6" ht="15" customHeight="1" x14ac:dyDescent="0.25">
      <c r="A15605" s="88" t="s">
        <v>49</v>
      </c>
      <c r="B15605" s="92" t="s">
        <v>99</v>
      </c>
      <c r="C15605" s="89"/>
      <c r="D15605" s="89"/>
      <c r="E15605" s="89"/>
      <c r="F15605" s="93"/>
    </row>
    <row r="15606" spans="1:6" ht="15" customHeight="1" x14ac:dyDescent="0.25">
      <c r="A15606" s="88"/>
      <c r="B15606" s="94"/>
      <c r="C15606" s="89"/>
      <c r="D15606" s="89"/>
      <c r="E15606" s="89"/>
      <c r="F15606" s="93"/>
    </row>
    <row r="15607" spans="1:6" ht="15" customHeight="1" x14ac:dyDescent="0.25">
      <c r="A15607" s="95" t="s">
        <v>562</v>
      </c>
      <c r="B15607" s="96"/>
      <c r="C15607" s="92"/>
      <c r="D15607" s="92"/>
      <c r="E15607" s="92"/>
      <c r="F15607" s="92"/>
    </row>
    <row r="15608" spans="1:6" ht="15" customHeight="1" x14ac:dyDescent="0.25">
      <c r="A15608" s="97" t="s">
        <v>563</v>
      </c>
      <c r="B15608" s="98" t="s">
        <v>564</v>
      </c>
      <c r="C15608" s="98" t="s">
        <v>565</v>
      </c>
      <c r="D15608" s="98" t="s">
        <v>566</v>
      </c>
      <c r="E15608" s="98" t="s">
        <v>567</v>
      </c>
      <c r="F15608" s="98" t="s">
        <v>568</v>
      </c>
    </row>
    <row r="15609" spans="1:6" ht="15" customHeight="1" x14ac:dyDescent="0.25">
      <c r="A15609" s="99" t="s">
        <v>762</v>
      </c>
      <c r="B15609" s="100" t="s">
        <v>59</v>
      </c>
      <c r="C15609" s="101">
        <v>10150</v>
      </c>
      <c r="D15609" s="149">
        <v>8</v>
      </c>
      <c r="E15609" s="102">
        <v>0.05</v>
      </c>
      <c r="F15609" s="101">
        <f t="shared" ref="F15609:F15616" si="762">C15609*(D15609+(D15609*E15609))</f>
        <v>85260</v>
      </c>
    </row>
    <row r="15610" spans="1:6" ht="15" customHeight="1" x14ac:dyDescent="0.25">
      <c r="A15610" s="99" t="s">
        <v>938</v>
      </c>
      <c r="B15610" s="100" t="s">
        <v>99</v>
      </c>
      <c r="C15610" s="101">
        <v>2000</v>
      </c>
      <c r="D15610" s="149">
        <v>4</v>
      </c>
      <c r="E15610" s="102"/>
      <c r="F15610" s="101">
        <f t="shared" si="762"/>
        <v>8000</v>
      </c>
    </row>
    <row r="15611" spans="1:6" ht="15" customHeight="1" x14ac:dyDescent="0.25">
      <c r="A15611" s="99" t="s">
        <v>939</v>
      </c>
      <c r="B15611" s="100" t="s">
        <v>99</v>
      </c>
      <c r="C15611" s="101">
        <v>2350</v>
      </c>
      <c r="D15611" s="149">
        <v>2</v>
      </c>
      <c r="E15611" s="102"/>
      <c r="F15611" s="101">
        <f t="shared" si="762"/>
        <v>4700</v>
      </c>
    </row>
    <row r="15612" spans="1:6" ht="15" customHeight="1" x14ac:dyDescent="0.25">
      <c r="A15612" s="99" t="s">
        <v>940</v>
      </c>
      <c r="B15612" s="100" t="s">
        <v>59</v>
      </c>
      <c r="C15612" s="101">
        <v>1150</v>
      </c>
      <c r="D15612" s="149">
        <v>24</v>
      </c>
      <c r="E15612" s="102"/>
      <c r="F15612" s="101">
        <f t="shared" si="762"/>
        <v>27600</v>
      </c>
    </row>
    <row r="15613" spans="1:6" ht="15" customHeight="1" x14ac:dyDescent="0.25">
      <c r="A15613" s="99" t="s">
        <v>858</v>
      </c>
      <c r="B15613" s="100" t="s">
        <v>99</v>
      </c>
      <c r="C15613" s="101">
        <v>2500</v>
      </c>
      <c r="D15613" s="149">
        <v>1</v>
      </c>
      <c r="E15613" s="102"/>
      <c r="F15613" s="101">
        <f t="shared" si="762"/>
        <v>2500</v>
      </c>
    </row>
    <row r="15614" spans="1:6" ht="15" customHeight="1" x14ac:dyDescent="0.25">
      <c r="A15614" s="99" t="s">
        <v>941</v>
      </c>
      <c r="B15614" s="100" t="s">
        <v>99</v>
      </c>
      <c r="C15614" s="101">
        <v>2500</v>
      </c>
      <c r="D15614" s="149">
        <v>1</v>
      </c>
      <c r="E15614" s="102"/>
      <c r="F15614" s="101">
        <f t="shared" si="762"/>
        <v>2500</v>
      </c>
    </row>
    <row r="15615" spans="1:6" ht="15" customHeight="1" x14ac:dyDescent="0.25">
      <c r="A15615" s="99" t="s">
        <v>931</v>
      </c>
      <c r="B15615" s="100" t="s">
        <v>99</v>
      </c>
      <c r="C15615" s="101">
        <v>22000</v>
      </c>
      <c r="D15615" s="149">
        <v>0.1</v>
      </c>
      <c r="E15615" s="102">
        <v>0.05</v>
      </c>
      <c r="F15615" s="101">
        <f t="shared" si="762"/>
        <v>2310</v>
      </c>
    </row>
    <row r="15616" spans="1:6" ht="15" customHeight="1" x14ac:dyDescent="0.25">
      <c r="A15616" s="99" t="s">
        <v>943</v>
      </c>
      <c r="B15616" s="100" t="s">
        <v>59</v>
      </c>
      <c r="C15616" s="101">
        <v>6250</v>
      </c>
      <c r="D15616" s="149">
        <v>7</v>
      </c>
      <c r="E15616" s="102">
        <v>0.05</v>
      </c>
      <c r="F15616" s="101">
        <f t="shared" si="762"/>
        <v>45937.5</v>
      </c>
    </row>
    <row r="15617" spans="1:6" ht="15" customHeight="1" x14ac:dyDescent="0.25">
      <c r="A15617" s="99"/>
      <c r="B15617" s="100"/>
      <c r="C15617" s="101"/>
      <c r="D15617" s="149"/>
      <c r="E15617" s="102"/>
      <c r="F15617" s="101"/>
    </row>
    <row r="15618" spans="1:6" ht="15" customHeight="1" x14ac:dyDescent="0.25">
      <c r="A15618" s="99"/>
      <c r="B15618" s="100"/>
      <c r="C15618" s="106"/>
      <c r="D15618" s="107"/>
      <c r="E15618" s="108"/>
      <c r="F15618" s="106"/>
    </row>
    <row r="15619" spans="1:6" ht="15" customHeight="1" x14ac:dyDescent="0.25">
      <c r="A15619" s="97" t="s">
        <v>548</v>
      </c>
      <c r="B15619" s="97"/>
      <c r="C15619" s="109"/>
      <c r="D15619" s="110"/>
      <c r="E15619" s="111"/>
      <c r="F15619" s="112">
        <f>SUM(F15609:F15618)</f>
        <v>178807.5</v>
      </c>
    </row>
    <row r="15620" spans="1:6" ht="15" customHeight="1" x14ac:dyDescent="0.25">
      <c r="A15620" s="88"/>
      <c r="B15620" s="88"/>
      <c r="C15620" s="113"/>
      <c r="D15620" s="113"/>
      <c r="E15620" s="114"/>
      <c r="F15620" s="113"/>
    </row>
    <row r="15621" spans="1:6" ht="15" customHeight="1" x14ac:dyDescent="0.25">
      <c r="A15621" s="96" t="s">
        <v>573</v>
      </c>
      <c r="B15621" s="96"/>
      <c r="C15621" s="92"/>
      <c r="D15621" s="92"/>
      <c r="E15621" s="92"/>
      <c r="F15621" s="92"/>
    </row>
    <row r="15622" spans="1:6" ht="15" customHeight="1" x14ac:dyDescent="0.25">
      <c r="A15622" s="611" t="s">
        <v>563</v>
      </c>
      <c r="B15622" s="608"/>
      <c r="C15622" s="609"/>
      <c r="D15622" s="98" t="s">
        <v>574</v>
      </c>
      <c r="E15622" s="98" t="s">
        <v>575</v>
      </c>
      <c r="F15622" s="98" t="s">
        <v>568</v>
      </c>
    </row>
    <row r="15623" spans="1:6" ht="15" customHeight="1" x14ac:dyDescent="0.25">
      <c r="A15623" s="607" t="s">
        <v>577</v>
      </c>
      <c r="B15623" s="608"/>
      <c r="C15623" s="609"/>
      <c r="D15623" s="116"/>
      <c r="E15623" s="107"/>
      <c r="F15623" s="106">
        <f>+F15640*5%</f>
        <v>1696.3304431865836</v>
      </c>
    </row>
    <row r="15624" spans="1:6" ht="15" customHeight="1" x14ac:dyDescent="0.25">
      <c r="A15624" s="607"/>
      <c r="B15624" s="608"/>
      <c r="C15624" s="609"/>
      <c r="D15624" s="142"/>
      <c r="E15624" s="105"/>
      <c r="F15624" s="106"/>
    </row>
    <row r="15625" spans="1:6" ht="15" customHeight="1" x14ac:dyDescent="0.25">
      <c r="A15625" s="607"/>
      <c r="B15625" s="608"/>
      <c r="C15625" s="609"/>
      <c r="D15625" s="142"/>
      <c r="E15625" s="105"/>
      <c r="F15625" s="106"/>
    </row>
    <row r="15626" spans="1:6" ht="15" customHeight="1" x14ac:dyDescent="0.25">
      <c r="A15626" s="607"/>
      <c r="B15626" s="608"/>
      <c r="C15626" s="609"/>
      <c r="D15626" s="142"/>
      <c r="E15626" s="107"/>
      <c r="F15626" s="106"/>
    </row>
    <row r="15627" spans="1:6" ht="15" customHeight="1" x14ac:dyDescent="0.25">
      <c r="A15627" s="607"/>
      <c r="B15627" s="608"/>
      <c r="C15627" s="609"/>
      <c r="D15627" s="142"/>
      <c r="E15627" s="107"/>
      <c r="F15627" s="106"/>
    </row>
    <row r="15628" spans="1:6" ht="15" customHeight="1" x14ac:dyDescent="0.25">
      <c r="A15628" s="607"/>
      <c r="B15628" s="608"/>
      <c r="C15628" s="609"/>
      <c r="D15628" s="142"/>
      <c r="E15628" s="107"/>
      <c r="F15628" s="106"/>
    </row>
    <row r="15629" spans="1:6" ht="15" customHeight="1" x14ac:dyDescent="0.25">
      <c r="A15629" s="607"/>
      <c r="B15629" s="608"/>
      <c r="C15629" s="609"/>
      <c r="D15629" s="142"/>
      <c r="E15629" s="107"/>
      <c r="F15629" s="106"/>
    </row>
    <row r="15630" spans="1:6" ht="15" customHeight="1" x14ac:dyDescent="0.25">
      <c r="A15630" s="607"/>
      <c r="B15630" s="608"/>
      <c r="C15630" s="609"/>
      <c r="D15630" s="142"/>
      <c r="E15630" s="107"/>
      <c r="F15630" s="106"/>
    </row>
    <row r="15631" spans="1:6" ht="15" customHeight="1" x14ac:dyDescent="0.25">
      <c r="A15631" s="610"/>
      <c r="B15631" s="608"/>
      <c r="C15631" s="609"/>
      <c r="D15631" s="115"/>
      <c r="E15631" s="107"/>
      <c r="F15631" s="106"/>
    </row>
    <row r="15632" spans="1:6" ht="15" customHeight="1" x14ac:dyDescent="0.25">
      <c r="A15632" s="611" t="s">
        <v>548</v>
      </c>
      <c r="B15632" s="608"/>
      <c r="C15632" s="609"/>
      <c r="D15632" s="110"/>
      <c r="E15632" s="110"/>
      <c r="F15632" s="112">
        <f>SUM(F15623:F15630)</f>
        <v>1696.3304431865836</v>
      </c>
    </row>
    <row r="15633" spans="1:6" ht="15" customHeight="1" x14ac:dyDescent="0.25">
      <c r="A15633" s="88"/>
      <c r="B15633" s="88"/>
      <c r="C15633" s="89"/>
      <c r="D15633" s="113"/>
      <c r="E15633" s="113"/>
      <c r="F15633" s="113"/>
    </row>
    <row r="15634" spans="1:6" ht="15" customHeight="1" x14ac:dyDescent="0.25">
      <c r="A15634" s="96" t="s">
        <v>578</v>
      </c>
      <c r="B15634" s="96"/>
      <c r="C15634" s="92"/>
      <c r="D15634" s="118"/>
      <c r="E15634" s="118"/>
      <c r="F15634" s="118"/>
    </row>
    <row r="15635" spans="1:6" ht="15" customHeight="1" x14ac:dyDescent="0.25">
      <c r="A15635" s="119" t="s">
        <v>563</v>
      </c>
      <c r="B15635" s="120" t="s">
        <v>579</v>
      </c>
      <c r="C15635" s="120" t="s">
        <v>580</v>
      </c>
      <c r="D15635" s="121" t="s">
        <v>581</v>
      </c>
      <c r="E15635" s="121" t="s">
        <v>575</v>
      </c>
      <c r="F15635" s="121" t="s">
        <v>568</v>
      </c>
    </row>
    <row r="15636" spans="1:6" ht="15" customHeight="1" x14ac:dyDescent="0.25">
      <c r="A15636" s="122" t="s">
        <v>916</v>
      </c>
      <c r="B15636" s="127">
        <v>1</v>
      </c>
      <c r="C15636" s="101">
        <v>35956.800000000003</v>
      </c>
      <c r="D15636" s="101">
        <f t="shared" ref="D15636:D15637" si="763">+C15636*1.7</f>
        <v>61126.560000000005</v>
      </c>
      <c r="E15636" s="107">
        <v>4.6975699999999998</v>
      </c>
      <c r="F15636" s="106">
        <f t="shared" ref="F15636:F15637" si="764">+B15636*(D15636)/E15636</f>
        <v>13012.378740497748</v>
      </c>
    </row>
    <row r="15637" spans="1:6" ht="15" customHeight="1" x14ac:dyDescent="0.25">
      <c r="A15637" s="122" t="s">
        <v>917</v>
      </c>
      <c r="B15637" s="127">
        <v>1</v>
      </c>
      <c r="C15637" s="101">
        <v>57791.8</v>
      </c>
      <c r="D15637" s="101">
        <f t="shared" si="763"/>
        <v>98246.06</v>
      </c>
      <c r="E15637" s="107">
        <f>E15636</f>
        <v>4.6975699999999998</v>
      </c>
      <c r="F15637" s="106">
        <f t="shared" si="764"/>
        <v>20914.230123233927</v>
      </c>
    </row>
    <row r="15638" spans="1:6" ht="15" customHeight="1" x14ac:dyDescent="0.25">
      <c r="A15638" s="122"/>
      <c r="B15638" s="127"/>
      <c r="C15638" s="101"/>
      <c r="D15638" s="101"/>
      <c r="E15638" s="105"/>
      <c r="F15638" s="106"/>
    </row>
    <row r="15639" spans="1:6" ht="15" customHeight="1" x14ac:dyDescent="0.25">
      <c r="A15639" s="122"/>
      <c r="B15639" s="127"/>
      <c r="C15639" s="101"/>
      <c r="D15639" s="101"/>
      <c r="E15639" s="125"/>
      <c r="F15639" s="106"/>
    </row>
    <row r="15640" spans="1:6" ht="15" customHeight="1" x14ac:dyDescent="0.25">
      <c r="A15640" s="97" t="s">
        <v>548</v>
      </c>
      <c r="B15640" s="128"/>
      <c r="C15640" s="110"/>
      <c r="D15640" s="110"/>
      <c r="E15640" s="110"/>
      <c r="F15640" s="112">
        <f>SUM(F15636:F15639)</f>
        <v>33926.608863731672</v>
      </c>
    </row>
    <row r="15641" spans="1:6" ht="15" customHeight="1" x14ac:dyDescent="0.25">
      <c r="A15641" s="96"/>
      <c r="B15641" s="129"/>
      <c r="C15641" s="118"/>
      <c r="D15641" s="118"/>
      <c r="E15641" s="118"/>
      <c r="F15641" s="118"/>
    </row>
    <row r="15642" spans="1:6" ht="15" customHeight="1" x14ac:dyDescent="0.25">
      <c r="A15642" s="95" t="s">
        <v>583</v>
      </c>
      <c r="B15642" s="96"/>
      <c r="C15642" s="92"/>
      <c r="D15642" s="92"/>
      <c r="E15642" s="92" t="s">
        <v>584</v>
      </c>
      <c r="F15642" s="92"/>
    </row>
    <row r="15643" spans="1:6" ht="15" customHeight="1" x14ac:dyDescent="0.25">
      <c r="A15643" s="97" t="s">
        <v>563</v>
      </c>
      <c r="B15643" s="98" t="s">
        <v>564</v>
      </c>
      <c r="C15643" s="98" t="s">
        <v>585</v>
      </c>
      <c r="D15643" s="98" t="s">
        <v>586</v>
      </c>
      <c r="E15643" s="120" t="s">
        <v>587</v>
      </c>
      <c r="F15643" s="98" t="s">
        <v>568</v>
      </c>
    </row>
    <row r="15644" spans="1:6" ht="15" customHeight="1" x14ac:dyDescent="0.25">
      <c r="A15644" s="103"/>
      <c r="B15644" s="100"/>
      <c r="C15644" s="101"/>
      <c r="D15644" s="140"/>
      <c r="E15644" s="107"/>
      <c r="F15644" s="109"/>
    </row>
    <row r="15645" spans="1:6" ht="15" customHeight="1" x14ac:dyDescent="0.25">
      <c r="A15645" s="103"/>
      <c r="B15645" s="100"/>
      <c r="C15645" s="107"/>
      <c r="D15645" s="107"/>
      <c r="E15645" s="108"/>
      <c r="F15645" s="109"/>
    </row>
    <row r="15646" spans="1:6" ht="15" customHeight="1" x14ac:dyDescent="0.25">
      <c r="A15646" s="97" t="s">
        <v>548</v>
      </c>
      <c r="B15646" s="98"/>
      <c r="C15646" s="110"/>
      <c r="D15646" s="110"/>
      <c r="E15646" s="111"/>
      <c r="F15646" s="112">
        <f>SUM(F15644:F15645)</f>
        <v>0</v>
      </c>
    </row>
    <row r="15647" spans="1:6" ht="15" customHeight="1" x14ac:dyDescent="0.25">
      <c r="A15647" s="88"/>
      <c r="B15647" s="89"/>
      <c r="C15647" s="113"/>
      <c r="D15647" s="113"/>
      <c r="E15647" s="114"/>
      <c r="F15647" s="113"/>
    </row>
    <row r="15648" spans="1:6" ht="15" customHeight="1" x14ac:dyDescent="0.25">
      <c r="A15648" s="88"/>
      <c r="B15648" s="89"/>
      <c r="C15648" s="113"/>
      <c r="D15648" s="113"/>
      <c r="E15648" s="114"/>
      <c r="F15648" s="113"/>
    </row>
    <row r="15649" spans="1:6" ht="15" customHeight="1" x14ac:dyDescent="0.25">
      <c r="A15649" s="612" t="s">
        <v>588</v>
      </c>
      <c r="B15649" s="608"/>
      <c r="C15649" s="608"/>
      <c r="D15649" s="608"/>
      <c r="E15649" s="609"/>
      <c r="F15649" s="131">
        <f>ROUND(F15619+F15632+F15640+F15646,0)</f>
        <v>214430</v>
      </c>
    </row>
    <row r="15650" spans="1:6" ht="15" customHeight="1" x14ac:dyDescent="0.25">
      <c r="A15650" s="612" t="s">
        <v>589</v>
      </c>
      <c r="B15650" s="608"/>
      <c r="C15650" s="608"/>
      <c r="D15650" s="608"/>
      <c r="E15650" s="609"/>
      <c r="F15650" s="132"/>
    </row>
    <row r="15651" spans="1:6" ht="15" customHeight="1" x14ac:dyDescent="0.25">
      <c r="A15651" s="146" t="s">
        <v>556</v>
      </c>
      <c r="B15651" s="147"/>
      <c r="C15651" s="147"/>
      <c r="D15651" s="147"/>
      <c r="E15651" s="148"/>
      <c r="F15651" s="133"/>
    </row>
    <row r="15652" spans="1:6" ht="15" customHeight="1" x14ac:dyDescent="0.25">
      <c r="A15652" s="134"/>
      <c r="B15652" s="135"/>
      <c r="C15652" s="135"/>
      <c r="D15652" s="135"/>
      <c r="E15652" s="135"/>
      <c r="F15652" s="136"/>
    </row>
    <row r="15653" spans="1:6" ht="15" customHeight="1" x14ac:dyDescent="0.25">
      <c r="A15653" s="81"/>
      <c r="B15653" s="81"/>
      <c r="C15653" s="137"/>
      <c r="D15653" s="81"/>
      <c r="E15653" s="81"/>
      <c r="F15653" s="81"/>
    </row>
    <row r="15654" spans="1:6" ht="15" customHeight="1" x14ac:dyDescent="0.25">
      <c r="A15654" s="81"/>
      <c r="B15654" s="81"/>
      <c r="C15654" s="137"/>
      <c r="D15654" s="81"/>
      <c r="E15654" s="81"/>
      <c r="F15654" s="81"/>
    </row>
    <row r="15655" spans="1:6" ht="15" customHeight="1" x14ac:dyDescent="0.25">
      <c r="A15655" s="81"/>
      <c r="B15655" s="81"/>
      <c r="C15655" s="137"/>
      <c r="D15655" s="81"/>
      <c r="E15655" s="81"/>
      <c r="F15655" s="81"/>
    </row>
    <row r="15656" spans="1:6" ht="15" customHeight="1" x14ac:dyDescent="0.25">
      <c r="A15656" s="81"/>
      <c r="B15656" s="81"/>
      <c r="C15656" s="137"/>
      <c r="D15656" s="81"/>
      <c r="E15656" s="81"/>
      <c r="F15656" s="81"/>
    </row>
    <row r="15657" spans="1:6" ht="15" customHeight="1" x14ac:dyDescent="0.25">
      <c r="A15657" s="81"/>
      <c r="B15657" s="81"/>
      <c r="C15657" s="137"/>
      <c r="D15657" s="81"/>
      <c r="E15657" s="81"/>
      <c r="F15657" s="81"/>
    </row>
    <row r="15658" spans="1:6" ht="15" customHeight="1" x14ac:dyDescent="0.25">
      <c r="A15658" s="134"/>
      <c r="B15658" s="135"/>
      <c r="C15658" s="135"/>
      <c r="D15658" s="135"/>
      <c r="E15658" s="135"/>
      <c r="F15658" s="136"/>
    </row>
    <row r="15659" spans="1:6" ht="15" customHeight="1" x14ac:dyDescent="0.25">
      <c r="A15659" s="134"/>
      <c r="B15659" s="135"/>
      <c r="C15659" s="135"/>
      <c r="D15659" s="135"/>
      <c r="E15659" s="135"/>
      <c r="F15659" s="136"/>
    </row>
    <row r="15660" spans="1:6" ht="15" customHeight="1" x14ac:dyDescent="0.25">
      <c r="A15660" s="134"/>
      <c r="B15660" s="135"/>
      <c r="C15660" s="135"/>
      <c r="D15660" s="135"/>
      <c r="E15660" s="135"/>
      <c r="F15660" s="135"/>
    </row>
    <row r="15661" spans="1:6" ht="15" customHeight="1" thickBot="1" x14ac:dyDescent="0.3">
      <c r="A15661" s="81"/>
      <c r="B15661" s="81"/>
      <c r="C15661" s="81"/>
      <c r="D15661" s="81"/>
      <c r="E15661" s="81"/>
      <c r="F15661" s="81"/>
    </row>
    <row r="15662" spans="1:6" ht="15" customHeight="1" x14ac:dyDescent="0.25">
      <c r="A15662" s="83"/>
      <c r="B15662" s="84"/>
      <c r="C15662" s="85"/>
      <c r="D15662" s="86"/>
      <c r="E15662" s="86"/>
      <c r="F15662" s="87"/>
    </row>
    <row r="15663" spans="1:6" ht="15" customHeight="1" x14ac:dyDescent="0.25">
      <c r="A15663" s="599"/>
      <c r="B15663" s="600"/>
      <c r="C15663" s="600"/>
      <c r="D15663" s="600"/>
      <c r="E15663" s="600"/>
      <c r="F15663" s="601"/>
    </row>
    <row r="15664" spans="1:6" ht="15" customHeight="1" x14ac:dyDescent="0.25">
      <c r="A15664" s="602" t="s">
        <v>561</v>
      </c>
      <c r="B15664" s="600"/>
      <c r="C15664" s="600"/>
      <c r="D15664" s="600"/>
      <c r="E15664" s="600"/>
      <c r="F15664" s="601"/>
    </row>
    <row r="15665" spans="1:6" ht="15" customHeight="1" thickBot="1" x14ac:dyDescent="0.3">
      <c r="A15665" s="603"/>
      <c r="B15665" s="604"/>
      <c r="C15665" s="604"/>
      <c r="D15665" s="604"/>
      <c r="E15665" s="604"/>
      <c r="F15665" s="605"/>
    </row>
    <row r="15666" spans="1:6" ht="15" customHeight="1" x14ac:dyDescent="0.25">
      <c r="A15666" s="88"/>
      <c r="B15666" s="88"/>
      <c r="C15666" s="89"/>
      <c r="D15666" s="89"/>
      <c r="E15666" s="89"/>
      <c r="F15666" s="89"/>
    </row>
    <row r="15667" spans="1:6" ht="15" customHeight="1" x14ac:dyDescent="0.25">
      <c r="A15667" s="90" t="s">
        <v>47</v>
      </c>
      <c r="B15667" s="613" t="s">
        <v>479</v>
      </c>
      <c r="C15667" s="600"/>
      <c r="D15667" s="600"/>
      <c r="E15667" s="600"/>
      <c r="F15667" s="600"/>
    </row>
    <row r="15668" spans="1:6" ht="15" customHeight="1" x14ac:dyDescent="0.25">
      <c r="A15668" s="91"/>
      <c r="B15668" s="91"/>
      <c r="C15668" s="91"/>
      <c r="D15668" s="91"/>
      <c r="E15668" s="91"/>
      <c r="F15668" s="91"/>
    </row>
    <row r="15669" spans="1:6" ht="15" customHeight="1" x14ac:dyDescent="0.25">
      <c r="A15669" s="88" t="s">
        <v>49</v>
      </c>
      <c r="B15669" s="92" t="s">
        <v>99</v>
      </c>
      <c r="C15669" s="89"/>
      <c r="D15669" s="89"/>
      <c r="E15669" s="89"/>
      <c r="F15669" s="93"/>
    </row>
    <row r="15670" spans="1:6" ht="15" customHeight="1" x14ac:dyDescent="0.25">
      <c r="A15670" s="88"/>
      <c r="B15670" s="94"/>
      <c r="C15670" s="89"/>
      <c r="D15670" s="89"/>
      <c r="E15670" s="89"/>
      <c r="F15670" s="93"/>
    </row>
    <row r="15671" spans="1:6" ht="15" customHeight="1" x14ac:dyDescent="0.25">
      <c r="A15671" s="95" t="s">
        <v>562</v>
      </c>
      <c r="B15671" s="96"/>
      <c r="C15671" s="92"/>
      <c r="D15671" s="92"/>
      <c r="E15671" s="92"/>
      <c r="F15671" s="92"/>
    </row>
    <row r="15672" spans="1:6" ht="15" customHeight="1" x14ac:dyDescent="0.25">
      <c r="A15672" s="97" t="s">
        <v>563</v>
      </c>
      <c r="B15672" s="98" t="s">
        <v>564</v>
      </c>
      <c r="C15672" s="98" t="s">
        <v>565</v>
      </c>
      <c r="D15672" s="98" t="s">
        <v>566</v>
      </c>
      <c r="E15672" s="98" t="s">
        <v>567</v>
      </c>
      <c r="F15672" s="98" t="s">
        <v>568</v>
      </c>
    </row>
    <row r="15673" spans="1:6" ht="15" customHeight="1" x14ac:dyDescent="0.25">
      <c r="A15673" s="99" t="s">
        <v>944</v>
      </c>
      <c r="B15673" s="100" t="s">
        <v>99</v>
      </c>
      <c r="C15673" s="101">
        <v>115470</v>
      </c>
      <c r="D15673" s="149">
        <v>1</v>
      </c>
      <c r="E15673" s="102"/>
      <c r="F15673" s="101">
        <f>C15673*(D15673+(D15673*E15673))</f>
        <v>115470</v>
      </c>
    </row>
    <row r="15674" spans="1:6" ht="15" customHeight="1" x14ac:dyDescent="0.25">
      <c r="A15674" s="99"/>
      <c r="B15674" s="100"/>
      <c r="C15674" s="101"/>
      <c r="D15674" s="149"/>
      <c r="E15674" s="102"/>
      <c r="F15674" s="101"/>
    </row>
    <row r="15675" spans="1:6" ht="15" customHeight="1" x14ac:dyDescent="0.25">
      <c r="A15675" s="99"/>
      <c r="B15675" s="100"/>
      <c r="C15675" s="101"/>
      <c r="D15675" s="149"/>
      <c r="E15675" s="102"/>
      <c r="F15675" s="101"/>
    </row>
    <row r="15676" spans="1:6" ht="15" customHeight="1" x14ac:dyDescent="0.25">
      <c r="A15676" s="99"/>
      <c r="B15676" s="100"/>
      <c r="C15676" s="101"/>
      <c r="D15676" s="149"/>
      <c r="E15676" s="102"/>
      <c r="F15676" s="101"/>
    </row>
    <row r="15677" spans="1:6" ht="15" customHeight="1" x14ac:dyDescent="0.25">
      <c r="A15677" s="99"/>
      <c r="B15677" s="100"/>
      <c r="C15677" s="101"/>
      <c r="D15677" s="149"/>
      <c r="E15677" s="102"/>
      <c r="F15677" s="101"/>
    </row>
    <row r="15678" spans="1:6" ht="15" customHeight="1" x14ac:dyDescent="0.25">
      <c r="A15678" s="99"/>
      <c r="B15678" s="100"/>
      <c r="C15678" s="101"/>
      <c r="D15678" s="149"/>
      <c r="E15678" s="102"/>
      <c r="F15678" s="101"/>
    </row>
    <row r="15679" spans="1:6" ht="15" customHeight="1" x14ac:dyDescent="0.25">
      <c r="A15679" s="99"/>
      <c r="B15679" s="100"/>
      <c r="C15679" s="101"/>
      <c r="D15679" s="149"/>
      <c r="E15679" s="102"/>
      <c r="F15679" s="101"/>
    </row>
    <row r="15680" spans="1:6" ht="15" customHeight="1" x14ac:dyDescent="0.25">
      <c r="A15680" s="99"/>
      <c r="B15680" s="100"/>
      <c r="C15680" s="101"/>
      <c r="D15680" s="149"/>
      <c r="E15680" s="102"/>
      <c r="F15680" s="101"/>
    </row>
    <row r="15681" spans="1:6" ht="15" customHeight="1" x14ac:dyDescent="0.25">
      <c r="A15681" s="99"/>
      <c r="B15681" s="100"/>
      <c r="C15681" s="101"/>
      <c r="D15681" s="149"/>
      <c r="E15681" s="102"/>
      <c r="F15681" s="101"/>
    </row>
    <row r="15682" spans="1:6" ht="15" customHeight="1" x14ac:dyDescent="0.25">
      <c r="A15682" s="99"/>
      <c r="B15682" s="100"/>
      <c r="C15682" s="106"/>
      <c r="D15682" s="107"/>
      <c r="E15682" s="108"/>
      <c r="F15682" s="106"/>
    </row>
    <row r="15683" spans="1:6" ht="15" customHeight="1" x14ac:dyDescent="0.25">
      <c r="A15683" s="97" t="s">
        <v>548</v>
      </c>
      <c r="B15683" s="97"/>
      <c r="C15683" s="109"/>
      <c r="D15683" s="110"/>
      <c r="E15683" s="111"/>
      <c r="F15683" s="112">
        <f>SUM(F15673:F15682)</f>
        <v>115470</v>
      </c>
    </row>
    <row r="15684" spans="1:6" ht="15" customHeight="1" x14ac:dyDescent="0.25">
      <c r="A15684" s="88"/>
      <c r="B15684" s="88"/>
      <c r="C15684" s="113"/>
      <c r="D15684" s="113"/>
      <c r="E15684" s="114"/>
      <c r="F15684" s="113"/>
    </row>
    <row r="15685" spans="1:6" ht="15" customHeight="1" x14ac:dyDescent="0.25">
      <c r="A15685" s="96" t="s">
        <v>573</v>
      </c>
      <c r="B15685" s="96"/>
      <c r="C15685" s="92"/>
      <c r="D15685" s="92"/>
      <c r="E15685" s="92"/>
      <c r="F15685" s="92"/>
    </row>
    <row r="15686" spans="1:6" ht="15" customHeight="1" x14ac:dyDescent="0.25">
      <c r="A15686" s="611" t="s">
        <v>563</v>
      </c>
      <c r="B15686" s="608"/>
      <c r="C15686" s="609"/>
      <c r="D15686" s="98" t="s">
        <v>574</v>
      </c>
      <c r="E15686" s="98" t="s">
        <v>575</v>
      </c>
      <c r="F15686" s="98" t="s">
        <v>568</v>
      </c>
    </row>
    <row r="15687" spans="1:6" ht="15" customHeight="1" x14ac:dyDescent="0.25">
      <c r="A15687" s="607" t="s">
        <v>577</v>
      </c>
      <c r="B15687" s="608"/>
      <c r="C15687" s="609"/>
      <c r="D15687" s="116"/>
      <c r="E15687" s="107"/>
      <c r="F15687" s="106">
        <f>+F15704*5%</f>
        <v>1115.7266070203441</v>
      </c>
    </row>
    <row r="15688" spans="1:6" ht="15" customHeight="1" x14ac:dyDescent="0.25">
      <c r="A15688" s="607"/>
      <c r="B15688" s="608"/>
      <c r="C15688" s="609"/>
      <c r="D15688" s="142"/>
      <c r="E15688" s="105"/>
      <c r="F15688" s="106"/>
    </row>
    <row r="15689" spans="1:6" ht="15" customHeight="1" x14ac:dyDescent="0.25">
      <c r="A15689" s="607"/>
      <c r="B15689" s="608"/>
      <c r="C15689" s="609"/>
      <c r="D15689" s="142"/>
      <c r="E15689" s="105"/>
      <c r="F15689" s="106"/>
    </row>
    <row r="15690" spans="1:6" ht="15" customHeight="1" x14ac:dyDescent="0.25">
      <c r="A15690" s="607"/>
      <c r="B15690" s="608"/>
      <c r="C15690" s="609"/>
      <c r="D15690" s="142"/>
      <c r="E15690" s="107"/>
      <c r="F15690" s="106"/>
    </row>
    <row r="15691" spans="1:6" ht="15" customHeight="1" x14ac:dyDescent="0.25">
      <c r="A15691" s="607"/>
      <c r="B15691" s="608"/>
      <c r="C15691" s="609"/>
      <c r="D15691" s="142"/>
      <c r="E15691" s="107"/>
      <c r="F15691" s="106"/>
    </row>
    <row r="15692" spans="1:6" ht="15" customHeight="1" x14ac:dyDescent="0.25">
      <c r="A15692" s="607"/>
      <c r="B15692" s="608"/>
      <c r="C15692" s="609"/>
      <c r="D15692" s="142"/>
      <c r="E15692" s="107"/>
      <c r="F15692" s="106"/>
    </row>
    <row r="15693" spans="1:6" ht="15" customHeight="1" x14ac:dyDescent="0.25">
      <c r="A15693" s="607"/>
      <c r="B15693" s="608"/>
      <c r="C15693" s="609"/>
      <c r="D15693" s="142"/>
      <c r="E15693" s="107"/>
      <c r="F15693" s="106"/>
    </row>
    <row r="15694" spans="1:6" ht="15" customHeight="1" x14ac:dyDescent="0.25">
      <c r="A15694" s="607"/>
      <c r="B15694" s="608"/>
      <c r="C15694" s="609"/>
      <c r="D15694" s="142"/>
      <c r="E15694" s="107"/>
      <c r="F15694" s="106"/>
    </row>
    <row r="15695" spans="1:6" ht="15" customHeight="1" x14ac:dyDescent="0.25">
      <c r="A15695" s="610"/>
      <c r="B15695" s="608"/>
      <c r="C15695" s="609"/>
      <c r="D15695" s="115"/>
      <c r="E15695" s="107"/>
      <c r="F15695" s="106"/>
    </row>
    <row r="15696" spans="1:6" ht="15" customHeight="1" x14ac:dyDescent="0.25">
      <c r="A15696" s="611" t="s">
        <v>548</v>
      </c>
      <c r="B15696" s="608"/>
      <c r="C15696" s="609"/>
      <c r="D15696" s="110"/>
      <c r="E15696" s="110"/>
      <c r="F15696" s="112">
        <f>SUM(F15687:F15694)</f>
        <v>1115.7266070203441</v>
      </c>
    </row>
    <row r="15697" spans="1:6" ht="15" customHeight="1" x14ac:dyDescent="0.25">
      <c r="A15697" s="88"/>
      <c r="B15697" s="88"/>
      <c r="C15697" s="89"/>
      <c r="D15697" s="113"/>
      <c r="E15697" s="113"/>
      <c r="F15697" s="113"/>
    </row>
    <row r="15698" spans="1:6" ht="15" customHeight="1" x14ac:dyDescent="0.25">
      <c r="A15698" s="96" t="s">
        <v>578</v>
      </c>
      <c r="B15698" s="96"/>
      <c r="C15698" s="92"/>
      <c r="D15698" s="118"/>
      <c r="E15698" s="118"/>
      <c r="F15698" s="118"/>
    </row>
    <row r="15699" spans="1:6" ht="15" customHeight="1" x14ac:dyDescent="0.25">
      <c r="A15699" s="119" t="s">
        <v>563</v>
      </c>
      <c r="B15699" s="120" t="s">
        <v>579</v>
      </c>
      <c r="C15699" s="120" t="s">
        <v>580</v>
      </c>
      <c r="D15699" s="121" t="s">
        <v>581</v>
      </c>
      <c r="E15699" s="121" t="s">
        <v>575</v>
      </c>
      <c r="F15699" s="121" t="s">
        <v>568</v>
      </c>
    </row>
    <row r="15700" spans="1:6" ht="15" customHeight="1" x14ac:dyDescent="0.25">
      <c r="A15700" s="122" t="s">
        <v>916</v>
      </c>
      <c r="B15700" s="127">
        <v>1</v>
      </c>
      <c r="C15700" s="101">
        <v>35956.800000000003</v>
      </c>
      <c r="D15700" s="101">
        <f t="shared" ref="D15700:D15701" si="765">+C15700*1.7</f>
        <v>61126.560000000005</v>
      </c>
      <c r="E15700" s="107">
        <v>7.1421000000000001</v>
      </c>
      <c r="F15700" s="106">
        <f t="shared" ref="F15700:F15701" si="766">+B15700*(D15700)/E15700</f>
        <v>8558.6256143151186</v>
      </c>
    </row>
    <row r="15701" spans="1:6" ht="15" customHeight="1" x14ac:dyDescent="0.25">
      <c r="A15701" s="122" t="s">
        <v>917</v>
      </c>
      <c r="B15701" s="127">
        <v>1</v>
      </c>
      <c r="C15701" s="101">
        <v>57791.8</v>
      </c>
      <c r="D15701" s="101">
        <f t="shared" si="765"/>
        <v>98246.06</v>
      </c>
      <c r="E15701" s="107">
        <f>E15700</f>
        <v>7.1421000000000001</v>
      </c>
      <c r="F15701" s="106">
        <f t="shared" si="766"/>
        <v>13755.906526091765</v>
      </c>
    </row>
    <row r="15702" spans="1:6" ht="15" customHeight="1" x14ac:dyDescent="0.25">
      <c r="A15702" s="122"/>
      <c r="B15702" s="127"/>
      <c r="C15702" s="101"/>
      <c r="D15702" s="101"/>
      <c r="E15702" s="105"/>
      <c r="F15702" s="106"/>
    </row>
    <row r="15703" spans="1:6" ht="15" customHeight="1" x14ac:dyDescent="0.25">
      <c r="A15703" s="122"/>
      <c r="B15703" s="127"/>
      <c r="C15703" s="101"/>
      <c r="D15703" s="101"/>
      <c r="E15703" s="125"/>
      <c r="F15703" s="106"/>
    </row>
    <row r="15704" spans="1:6" ht="15" customHeight="1" x14ac:dyDescent="0.25">
      <c r="A15704" s="97" t="s">
        <v>548</v>
      </c>
      <c r="B15704" s="128"/>
      <c r="C15704" s="110"/>
      <c r="D15704" s="110"/>
      <c r="E15704" s="110"/>
      <c r="F15704" s="112">
        <f>SUM(F15700:F15703)</f>
        <v>22314.532140406882</v>
      </c>
    </row>
    <row r="15705" spans="1:6" ht="15" customHeight="1" x14ac:dyDescent="0.25">
      <c r="A15705" s="96"/>
      <c r="B15705" s="129"/>
      <c r="C15705" s="118"/>
      <c r="D15705" s="118"/>
      <c r="E15705" s="118"/>
      <c r="F15705" s="118"/>
    </row>
    <row r="15706" spans="1:6" ht="15" customHeight="1" x14ac:dyDescent="0.25">
      <c r="A15706" s="95" t="s">
        <v>583</v>
      </c>
      <c r="B15706" s="96"/>
      <c r="C15706" s="92"/>
      <c r="D15706" s="92"/>
      <c r="E15706" s="92" t="s">
        <v>584</v>
      </c>
      <c r="F15706" s="92"/>
    </row>
    <row r="15707" spans="1:6" ht="15" customHeight="1" x14ac:dyDescent="0.25">
      <c r="A15707" s="97" t="s">
        <v>563</v>
      </c>
      <c r="B15707" s="98" t="s">
        <v>564</v>
      </c>
      <c r="C15707" s="98" t="s">
        <v>585</v>
      </c>
      <c r="D15707" s="98" t="s">
        <v>586</v>
      </c>
      <c r="E15707" s="120" t="s">
        <v>587</v>
      </c>
      <c r="F15707" s="98" t="s">
        <v>568</v>
      </c>
    </row>
    <row r="15708" spans="1:6" ht="15" customHeight="1" x14ac:dyDescent="0.25">
      <c r="A15708" s="103"/>
      <c r="B15708" s="100"/>
      <c r="C15708" s="101"/>
      <c r="D15708" s="140"/>
      <c r="E15708" s="107"/>
      <c r="F15708" s="109"/>
    </row>
    <row r="15709" spans="1:6" ht="15" customHeight="1" x14ac:dyDescent="0.25">
      <c r="A15709" s="103"/>
      <c r="B15709" s="100"/>
      <c r="C15709" s="107"/>
      <c r="D15709" s="107"/>
      <c r="E15709" s="108"/>
      <c r="F15709" s="109"/>
    </row>
    <row r="15710" spans="1:6" ht="15" customHeight="1" x14ac:dyDescent="0.25">
      <c r="A15710" s="97" t="s">
        <v>548</v>
      </c>
      <c r="B15710" s="98"/>
      <c r="C15710" s="110"/>
      <c r="D15710" s="110"/>
      <c r="E15710" s="111"/>
      <c r="F15710" s="112">
        <f>SUM(F15708:F15709)</f>
        <v>0</v>
      </c>
    </row>
    <row r="15711" spans="1:6" ht="15" customHeight="1" x14ac:dyDescent="0.25">
      <c r="A15711" s="88"/>
      <c r="B15711" s="89"/>
      <c r="C15711" s="113"/>
      <c r="D15711" s="113"/>
      <c r="E15711" s="114"/>
      <c r="F15711" s="113"/>
    </row>
    <row r="15712" spans="1:6" ht="15" customHeight="1" x14ac:dyDescent="0.25">
      <c r="A15712" s="88"/>
      <c r="B15712" s="89"/>
      <c r="C15712" s="113"/>
      <c r="D15712" s="113"/>
      <c r="E15712" s="114"/>
      <c r="F15712" s="113"/>
    </row>
    <row r="15713" spans="1:6" ht="15" customHeight="1" x14ac:dyDescent="0.25">
      <c r="A15713" s="612" t="s">
        <v>588</v>
      </c>
      <c r="B15713" s="608"/>
      <c r="C15713" s="608"/>
      <c r="D15713" s="608"/>
      <c r="E15713" s="609"/>
      <c r="F15713" s="131">
        <f>ROUND(F15683+F15696+F15704+F15710,0)</f>
        <v>138900</v>
      </c>
    </row>
    <row r="15714" spans="1:6" ht="15" customHeight="1" x14ac:dyDescent="0.25">
      <c r="A15714" s="612" t="s">
        <v>589</v>
      </c>
      <c r="B15714" s="608"/>
      <c r="C15714" s="608"/>
      <c r="D15714" s="608"/>
      <c r="E15714" s="609"/>
      <c r="F15714" s="132"/>
    </row>
    <row r="15715" spans="1:6" ht="15" customHeight="1" x14ac:dyDescent="0.25">
      <c r="A15715" s="146" t="s">
        <v>556</v>
      </c>
      <c r="B15715" s="147"/>
      <c r="C15715" s="147"/>
      <c r="D15715" s="147"/>
      <c r="E15715" s="148"/>
      <c r="F15715" s="133"/>
    </row>
    <row r="15716" spans="1:6" ht="15" customHeight="1" x14ac:dyDescent="0.25">
      <c r="A15716" s="134"/>
      <c r="B15716" s="135"/>
      <c r="C15716" s="135"/>
      <c r="D15716" s="135"/>
      <c r="E15716" s="135"/>
      <c r="F15716" s="136"/>
    </row>
    <row r="15717" spans="1:6" ht="15" customHeight="1" x14ac:dyDescent="0.25">
      <c r="A15717" s="81"/>
      <c r="B15717" s="81"/>
      <c r="C15717" s="137"/>
      <c r="D15717" s="81"/>
      <c r="E15717" s="81"/>
      <c r="F15717" s="81"/>
    </row>
    <row r="15718" spans="1:6" ht="15" customHeight="1" x14ac:dyDescent="0.25">
      <c r="A15718" s="81"/>
      <c r="B15718" s="81"/>
      <c r="C15718" s="137"/>
      <c r="D15718" s="81"/>
      <c r="E15718" s="81"/>
      <c r="F15718" s="81"/>
    </row>
    <row r="15719" spans="1:6" ht="15" customHeight="1" x14ac:dyDescent="0.25">
      <c r="A15719" s="81"/>
      <c r="B15719" s="81"/>
      <c r="C15719" s="137"/>
      <c r="D15719" s="81"/>
      <c r="E15719" s="81"/>
      <c r="F15719" s="81"/>
    </row>
    <row r="15720" spans="1:6" ht="15" customHeight="1" x14ac:dyDescent="0.25">
      <c r="A15720" s="81"/>
      <c r="B15720" s="81"/>
      <c r="C15720" s="137"/>
      <c r="D15720" s="81"/>
      <c r="E15720" s="81"/>
      <c r="F15720" s="81"/>
    </row>
    <row r="15721" spans="1:6" ht="15" customHeight="1" x14ac:dyDescent="0.25">
      <c r="A15721" s="134"/>
      <c r="B15721" s="135"/>
      <c r="C15721" s="135"/>
      <c r="D15721" s="135"/>
      <c r="E15721" s="135"/>
      <c r="F15721" s="136"/>
    </row>
    <row r="15722" spans="1:6" ht="15" customHeight="1" x14ac:dyDescent="0.25">
      <c r="A15722" s="134"/>
      <c r="B15722" s="135"/>
      <c r="C15722" s="135"/>
      <c r="D15722" s="135"/>
      <c r="E15722" s="135"/>
      <c r="F15722" s="136"/>
    </row>
    <row r="15723" spans="1:6" ht="15" customHeight="1" x14ac:dyDescent="0.25">
      <c r="A15723" s="134"/>
      <c r="B15723" s="135"/>
      <c r="C15723" s="135"/>
      <c r="D15723" s="135"/>
      <c r="E15723" s="135"/>
      <c r="F15723" s="135"/>
    </row>
    <row r="15724" spans="1:6" ht="15" customHeight="1" thickBot="1" x14ac:dyDescent="0.3">
      <c r="A15724" s="81"/>
      <c r="B15724" s="81"/>
      <c r="C15724" s="81"/>
      <c r="D15724" s="81"/>
      <c r="E15724" s="81"/>
      <c r="F15724" s="81"/>
    </row>
    <row r="15725" spans="1:6" ht="15" customHeight="1" x14ac:dyDescent="0.25">
      <c r="A15725" s="83"/>
      <c r="B15725" s="84"/>
      <c r="C15725" s="85"/>
      <c r="D15725" s="86"/>
      <c r="E15725" s="86"/>
      <c r="F15725" s="87"/>
    </row>
    <row r="15726" spans="1:6" ht="15" customHeight="1" x14ac:dyDescent="0.25">
      <c r="A15726" s="599"/>
      <c r="B15726" s="600"/>
      <c r="C15726" s="600"/>
      <c r="D15726" s="600"/>
      <c r="E15726" s="600"/>
      <c r="F15726" s="601"/>
    </row>
    <row r="15727" spans="1:6" ht="15" customHeight="1" x14ac:dyDescent="0.25">
      <c r="A15727" s="602" t="s">
        <v>561</v>
      </c>
      <c r="B15727" s="600"/>
      <c r="C15727" s="600"/>
      <c r="D15727" s="600"/>
      <c r="E15727" s="600"/>
      <c r="F15727" s="601"/>
    </row>
    <row r="15728" spans="1:6" ht="15" customHeight="1" thickBot="1" x14ac:dyDescent="0.3">
      <c r="A15728" s="603"/>
      <c r="B15728" s="604"/>
      <c r="C15728" s="604"/>
      <c r="D15728" s="604"/>
      <c r="E15728" s="604"/>
      <c r="F15728" s="605"/>
    </row>
    <row r="15729" spans="1:6" ht="15" customHeight="1" x14ac:dyDescent="0.25">
      <c r="A15729" s="88"/>
      <c r="B15729" s="88"/>
      <c r="C15729" s="89"/>
      <c r="D15729" s="89"/>
      <c r="E15729" s="89"/>
      <c r="F15729" s="89"/>
    </row>
    <row r="15730" spans="1:6" ht="15" customHeight="1" x14ac:dyDescent="0.25">
      <c r="A15730" s="90" t="s">
        <v>47</v>
      </c>
      <c r="B15730" s="613" t="s">
        <v>480</v>
      </c>
      <c r="C15730" s="600"/>
      <c r="D15730" s="600"/>
      <c r="E15730" s="600"/>
      <c r="F15730" s="600"/>
    </row>
    <row r="15731" spans="1:6" ht="15" customHeight="1" x14ac:dyDescent="0.25">
      <c r="A15731" s="91"/>
      <c r="B15731" s="91"/>
      <c r="C15731" s="91"/>
      <c r="D15731" s="91"/>
      <c r="E15731" s="91"/>
      <c r="F15731" s="91"/>
    </row>
    <row r="15732" spans="1:6" ht="15" customHeight="1" x14ac:dyDescent="0.25">
      <c r="A15732" s="88" t="s">
        <v>49</v>
      </c>
      <c r="B15732" s="92" t="s">
        <v>99</v>
      </c>
      <c r="C15732" s="89"/>
      <c r="D15732" s="89"/>
      <c r="E15732" s="89"/>
      <c r="F15732" s="93"/>
    </row>
    <row r="15733" spans="1:6" ht="15" customHeight="1" x14ac:dyDescent="0.25">
      <c r="A15733" s="88"/>
      <c r="B15733" s="94"/>
      <c r="C15733" s="89"/>
      <c r="D15733" s="89"/>
      <c r="E15733" s="89"/>
      <c r="F15733" s="93"/>
    </row>
    <row r="15734" spans="1:6" ht="15" customHeight="1" x14ac:dyDescent="0.25">
      <c r="A15734" s="95" t="s">
        <v>562</v>
      </c>
      <c r="B15734" s="96"/>
      <c r="C15734" s="92"/>
      <c r="D15734" s="92"/>
      <c r="E15734" s="92"/>
      <c r="F15734" s="92"/>
    </row>
    <row r="15735" spans="1:6" ht="15" customHeight="1" x14ac:dyDescent="0.25">
      <c r="A15735" s="97" t="s">
        <v>563</v>
      </c>
      <c r="B15735" s="98" t="s">
        <v>564</v>
      </c>
      <c r="C15735" s="98" t="s">
        <v>565</v>
      </c>
      <c r="D15735" s="98" t="s">
        <v>566</v>
      </c>
      <c r="E15735" s="98" t="s">
        <v>567</v>
      </c>
      <c r="F15735" s="98" t="s">
        <v>568</v>
      </c>
    </row>
    <row r="15736" spans="1:6" ht="15" customHeight="1" x14ac:dyDescent="0.25">
      <c r="A15736" s="99" t="s">
        <v>945</v>
      </c>
      <c r="B15736" s="100" t="s">
        <v>99</v>
      </c>
      <c r="C15736" s="205">
        <f>41800*2.5</f>
        <v>104500</v>
      </c>
      <c r="D15736" s="149">
        <v>1</v>
      </c>
      <c r="E15736" s="102"/>
      <c r="F15736" s="101">
        <f>C15736*(D15736+(D15736*E15736))</f>
        <v>104500</v>
      </c>
    </row>
    <row r="15737" spans="1:6" ht="15" customHeight="1" x14ac:dyDescent="0.25">
      <c r="A15737" s="99"/>
      <c r="B15737" s="100"/>
      <c r="C15737" s="101"/>
      <c r="D15737" s="149"/>
      <c r="E15737" s="102"/>
      <c r="F15737" s="101"/>
    </row>
    <row r="15738" spans="1:6" ht="15" customHeight="1" x14ac:dyDescent="0.25">
      <c r="A15738" s="99"/>
      <c r="B15738" s="100"/>
      <c r="C15738" s="101"/>
      <c r="D15738" s="149"/>
      <c r="E15738" s="102"/>
      <c r="F15738" s="101"/>
    </row>
    <row r="15739" spans="1:6" ht="15" customHeight="1" x14ac:dyDescent="0.25">
      <c r="A15739" s="99"/>
      <c r="B15739" s="100"/>
      <c r="C15739" s="101"/>
      <c r="D15739" s="149"/>
      <c r="E15739" s="102"/>
      <c r="F15739" s="101"/>
    </row>
    <row r="15740" spans="1:6" ht="15" customHeight="1" x14ac:dyDescent="0.25">
      <c r="A15740" s="99"/>
      <c r="B15740" s="100"/>
      <c r="C15740" s="101"/>
      <c r="D15740" s="149"/>
      <c r="E15740" s="102"/>
      <c r="F15740" s="101"/>
    </row>
    <row r="15741" spans="1:6" ht="15" customHeight="1" x14ac:dyDescent="0.25">
      <c r="A15741" s="99"/>
      <c r="B15741" s="100"/>
      <c r="C15741" s="101"/>
      <c r="D15741" s="149"/>
      <c r="E15741" s="102"/>
      <c r="F15741" s="101"/>
    </row>
    <row r="15742" spans="1:6" ht="15" customHeight="1" x14ac:dyDescent="0.25">
      <c r="A15742" s="99"/>
      <c r="B15742" s="100"/>
      <c r="C15742" s="101"/>
      <c r="D15742" s="149"/>
      <c r="E15742" s="102"/>
      <c r="F15742" s="101"/>
    </row>
    <row r="15743" spans="1:6" ht="15" customHeight="1" x14ac:dyDescent="0.25">
      <c r="A15743" s="99"/>
      <c r="B15743" s="100"/>
      <c r="C15743" s="101"/>
      <c r="D15743" s="149"/>
      <c r="E15743" s="102"/>
      <c r="F15743" s="101"/>
    </row>
    <row r="15744" spans="1:6" ht="15" customHeight="1" x14ac:dyDescent="0.25">
      <c r="A15744" s="99"/>
      <c r="B15744" s="100"/>
      <c r="C15744" s="101"/>
      <c r="D15744" s="149"/>
      <c r="E15744" s="102"/>
      <c r="F15744" s="101"/>
    </row>
    <row r="15745" spans="1:6" ht="15" customHeight="1" x14ac:dyDescent="0.25">
      <c r="A15745" s="99"/>
      <c r="B15745" s="100"/>
      <c r="C15745" s="106"/>
      <c r="D15745" s="107"/>
      <c r="E15745" s="108"/>
      <c r="F15745" s="106"/>
    </row>
    <row r="15746" spans="1:6" ht="15" customHeight="1" x14ac:dyDescent="0.25">
      <c r="A15746" s="97" t="s">
        <v>548</v>
      </c>
      <c r="B15746" s="97"/>
      <c r="C15746" s="109"/>
      <c r="D15746" s="110"/>
      <c r="E15746" s="111"/>
      <c r="F15746" s="112">
        <f>SUM(F15736:F15745)</f>
        <v>104500</v>
      </c>
    </row>
    <row r="15747" spans="1:6" ht="15" customHeight="1" x14ac:dyDescent="0.25">
      <c r="A15747" s="88"/>
      <c r="B15747" s="88"/>
      <c r="C15747" s="113"/>
      <c r="D15747" s="113"/>
      <c r="E15747" s="114"/>
      <c r="F15747" s="113"/>
    </row>
    <row r="15748" spans="1:6" ht="15" customHeight="1" x14ac:dyDescent="0.25">
      <c r="A15748" s="96" t="s">
        <v>573</v>
      </c>
      <c r="B15748" s="96"/>
      <c r="C15748" s="92"/>
      <c r="D15748" s="92"/>
      <c r="E15748" s="92"/>
      <c r="F15748" s="92"/>
    </row>
    <row r="15749" spans="1:6" ht="15" customHeight="1" x14ac:dyDescent="0.25">
      <c r="A15749" s="611" t="s">
        <v>563</v>
      </c>
      <c r="B15749" s="608"/>
      <c r="C15749" s="609"/>
      <c r="D15749" s="98" t="s">
        <v>574</v>
      </c>
      <c r="E15749" s="98" t="s">
        <v>575</v>
      </c>
      <c r="F15749" s="98" t="s">
        <v>568</v>
      </c>
    </row>
    <row r="15750" spans="1:6" ht="15" customHeight="1" x14ac:dyDescent="0.25">
      <c r="A15750" s="607" t="s">
        <v>577</v>
      </c>
      <c r="B15750" s="608"/>
      <c r="C15750" s="609"/>
      <c r="D15750" s="116"/>
      <c r="E15750" s="107"/>
      <c r="F15750" s="106">
        <f>+F15767*5%</f>
        <v>569.18792857142853</v>
      </c>
    </row>
    <row r="15751" spans="1:6" ht="15" customHeight="1" x14ac:dyDescent="0.25">
      <c r="A15751" s="607"/>
      <c r="B15751" s="608"/>
      <c r="C15751" s="609"/>
      <c r="D15751" s="142"/>
      <c r="E15751" s="105"/>
      <c r="F15751" s="106"/>
    </row>
    <row r="15752" spans="1:6" ht="15" customHeight="1" x14ac:dyDescent="0.25">
      <c r="A15752" s="607"/>
      <c r="B15752" s="608"/>
      <c r="C15752" s="609"/>
      <c r="D15752" s="142"/>
      <c r="E15752" s="105"/>
      <c r="F15752" s="106"/>
    </row>
    <row r="15753" spans="1:6" ht="15" customHeight="1" x14ac:dyDescent="0.25">
      <c r="A15753" s="607"/>
      <c r="B15753" s="608"/>
      <c r="C15753" s="609"/>
      <c r="D15753" s="142"/>
      <c r="E15753" s="107"/>
      <c r="F15753" s="106"/>
    </row>
    <row r="15754" spans="1:6" ht="15" customHeight="1" x14ac:dyDescent="0.25">
      <c r="A15754" s="607"/>
      <c r="B15754" s="608"/>
      <c r="C15754" s="609"/>
      <c r="D15754" s="142"/>
      <c r="E15754" s="107"/>
      <c r="F15754" s="106"/>
    </row>
    <row r="15755" spans="1:6" ht="15" customHeight="1" x14ac:dyDescent="0.25">
      <c r="A15755" s="607"/>
      <c r="B15755" s="608"/>
      <c r="C15755" s="609"/>
      <c r="D15755" s="142"/>
      <c r="E15755" s="107"/>
      <c r="F15755" s="106"/>
    </row>
    <row r="15756" spans="1:6" ht="15" customHeight="1" x14ac:dyDescent="0.25">
      <c r="A15756" s="607"/>
      <c r="B15756" s="608"/>
      <c r="C15756" s="609"/>
      <c r="D15756" s="142"/>
      <c r="E15756" s="107"/>
      <c r="F15756" s="106"/>
    </row>
    <row r="15757" spans="1:6" ht="15" customHeight="1" x14ac:dyDescent="0.25">
      <c r="A15757" s="607"/>
      <c r="B15757" s="608"/>
      <c r="C15757" s="609"/>
      <c r="D15757" s="142"/>
      <c r="E15757" s="107"/>
      <c r="F15757" s="106"/>
    </row>
    <row r="15758" spans="1:6" ht="15" customHeight="1" x14ac:dyDescent="0.25">
      <c r="A15758" s="610"/>
      <c r="B15758" s="608"/>
      <c r="C15758" s="609"/>
      <c r="D15758" s="115"/>
      <c r="E15758" s="107"/>
      <c r="F15758" s="106"/>
    </row>
    <row r="15759" spans="1:6" ht="15" customHeight="1" x14ac:dyDescent="0.25">
      <c r="A15759" s="611" t="s">
        <v>548</v>
      </c>
      <c r="B15759" s="608"/>
      <c r="C15759" s="609"/>
      <c r="D15759" s="110"/>
      <c r="E15759" s="110"/>
      <c r="F15759" s="112">
        <f>SUM(F15750:F15757)</f>
        <v>569.18792857142853</v>
      </c>
    </row>
    <row r="15760" spans="1:6" ht="15" customHeight="1" x14ac:dyDescent="0.25">
      <c r="A15760" s="88"/>
      <c r="B15760" s="88"/>
      <c r="C15760" s="89"/>
      <c r="D15760" s="113"/>
      <c r="E15760" s="113"/>
      <c r="F15760" s="113"/>
    </row>
    <row r="15761" spans="1:6" ht="15" customHeight="1" x14ac:dyDescent="0.25">
      <c r="A15761" s="96" t="s">
        <v>578</v>
      </c>
      <c r="B15761" s="96"/>
      <c r="C15761" s="92"/>
      <c r="D15761" s="118"/>
      <c r="E15761" s="118"/>
      <c r="F15761" s="118"/>
    </row>
    <row r="15762" spans="1:6" ht="15" customHeight="1" x14ac:dyDescent="0.25">
      <c r="A15762" s="119" t="s">
        <v>563</v>
      </c>
      <c r="B15762" s="120" t="s">
        <v>579</v>
      </c>
      <c r="C15762" s="120" t="s">
        <v>580</v>
      </c>
      <c r="D15762" s="121" t="s">
        <v>581</v>
      </c>
      <c r="E15762" s="121" t="s">
        <v>575</v>
      </c>
      <c r="F15762" s="121" t="s">
        <v>568</v>
      </c>
    </row>
    <row r="15763" spans="1:6" ht="15" customHeight="1" x14ac:dyDescent="0.25">
      <c r="A15763" s="122" t="s">
        <v>916</v>
      </c>
      <c r="B15763" s="127">
        <v>1</v>
      </c>
      <c r="C15763" s="101">
        <v>35956.800000000003</v>
      </c>
      <c r="D15763" s="101">
        <f t="shared" ref="D15763:D15764" si="767">+C15763*1.7</f>
        <v>61126.560000000005</v>
      </c>
      <c r="E15763" s="107">
        <v>14</v>
      </c>
      <c r="F15763" s="106">
        <f t="shared" ref="F15763:F15764" si="768">+B15763*(D15763)/E15763</f>
        <v>4366.1828571428578</v>
      </c>
    </row>
    <row r="15764" spans="1:6" ht="15" customHeight="1" x14ac:dyDescent="0.25">
      <c r="A15764" s="122" t="s">
        <v>917</v>
      </c>
      <c r="B15764" s="127">
        <v>1</v>
      </c>
      <c r="C15764" s="101">
        <v>57791.8</v>
      </c>
      <c r="D15764" s="101">
        <f t="shared" si="767"/>
        <v>98246.06</v>
      </c>
      <c r="E15764" s="107">
        <f>E15763</f>
        <v>14</v>
      </c>
      <c r="F15764" s="106">
        <f t="shared" si="768"/>
        <v>7017.5757142857137</v>
      </c>
    </row>
    <row r="15765" spans="1:6" ht="15" customHeight="1" x14ac:dyDescent="0.25">
      <c r="A15765" s="122"/>
      <c r="B15765" s="127"/>
      <c r="C15765" s="101"/>
      <c r="D15765" s="101"/>
      <c r="E15765" s="105"/>
      <c r="F15765" s="106"/>
    </row>
    <row r="15766" spans="1:6" ht="15" customHeight="1" x14ac:dyDescent="0.25">
      <c r="A15766" s="122"/>
      <c r="B15766" s="127"/>
      <c r="C15766" s="101"/>
      <c r="D15766" s="101"/>
      <c r="E15766" s="125"/>
      <c r="F15766" s="106"/>
    </row>
    <row r="15767" spans="1:6" ht="15" customHeight="1" x14ac:dyDescent="0.25">
      <c r="A15767" s="97" t="s">
        <v>548</v>
      </c>
      <c r="B15767" s="128"/>
      <c r="C15767" s="110"/>
      <c r="D15767" s="110"/>
      <c r="E15767" s="110"/>
      <c r="F15767" s="112">
        <f>SUM(F15763:F15766)</f>
        <v>11383.758571428571</v>
      </c>
    </row>
    <row r="15768" spans="1:6" ht="15" customHeight="1" x14ac:dyDescent="0.25">
      <c r="A15768" s="96"/>
      <c r="B15768" s="129"/>
      <c r="C15768" s="118"/>
      <c r="D15768" s="118"/>
      <c r="E15768" s="118"/>
      <c r="F15768" s="118"/>
    </row>
    <row r="15769" spans="1:6" ht="15" customHeight="1" x14ac:dyDescent="0.25">
      <c r="A15769" s="95" t="s">
        <v>583</v>
      </c>
      <c r="B15769" s="96"/>
      <c r="C15769" s="92"/>
      <c r="D15769" s="92"/>
      <c r="E15769" s="92" t="s">
        <v>584</v>
      </c>
      <c r="F15769" s="92"/>
    </row>
    <row r="15770" spans="1:6" ht="15" customHeight="1" x14ac:dyDescent="0.25">
      <c r="A15770" s="97" t="s">
        <v>563</v>
      </c>
      <c r="B15770" s="98" t="s">
        <v>564</v>
      </c>
      <c r="C15770" s="98" t="s">
        <v>585</v>
      </c>
      <c r="D15770" s="98" t="s">
        <v>586</v>
      </c>
      <c r="E15770" s="120" t="s">
        <v>587</v>
      </c>
      <c r="F15770" s="98" t="s">
        <v>568</v>
      </c>
    </row>
    <row r="15771" spans="1:6" ht="15" customHeight="1" x14ac:dyDescent="0.25">
      <c r="A15771" s="103"/>
      <c r="B15771" s="100"/>
      <c r="C15771" s="101"/>
      <c r="D15771" s="140"/>
      <c r="E15771" s="107"/>
      <c r="F15771" s="109"/>
    </row>
    <row r="15772" spans="1:6" ht="15" customHeight="1" x14ac:dyDescent="0.25">
      <c r="A15772" s="103"/>
      <c r="B15772" s="100"/>
      <c r="C15772" s="107"/>
      <c r="D15772" s="107"/>
      <c r="E15772" s="108"/>
      <c r="F15772" s="109"/>
    </row>
    <row r="15773" spans="1:6" ht="15" customHeight="1" x14ac:dyDescent="0.25">
      <c r="A15773" s="97" t="s">
        <v>548</v>
      </c>
      <c r="B15773" s="98"/>
      <c r="C15773" s="110"/>
      <c r="D15773" s="110"/>
      <c r="E15773" s="111"/>
      <c r="F15773" s="112">
        <f>SUM(F15771:F15772)</f>
        <v>0</v>
      </c>
    </row>
    <row r="15774" spans="1:6" ht="15" customHeight="1" x14ac:dyDescent="0.25">
      <c r="A15774" s="88"/>
      <c r="B15774" s="89"/>
      <c r="C15774" s="113"/>
      <c r="D15774" s="113"/>
      <c r="E15774" s="114"/>
      <c r="F15774" s="113"/>
    </row>
    <row r="15775" spans="1:6" ht="15" customHeight="1" x14ac:dyDescent="0.25">
      <c r="A15775" s="88"/>
      <c r="B15775" s="89"/>
      <c r="C15775" s="113"/>
      <c r="D15775" s="113"/>
      <c r="E15775" s="114"/>
      <c r="F15775" s="113"/>
    </row>
    <row r="15776" spans="1:6" ht="15" customHeight="1" x14ac:dyDescent="0.25">
      <c r="A15776" s="612" t="s">
        <v>588</v>
      </c>
      <c r="B15776" s="608"/>
      <c r="C15776" s="608"/>
      <c r="D15776" s="608"/>
      <c r="E15776" s="609"/>
      <c r="F15776" s="131">
        <f>ROUND(F15746+F15759+F15767+F15773,0)</f>
        <v>116453</v>
      </c>
    </row>
    <row r="15777" spans="1:6" ht="15" customHeight="1" x14ac:dyDescent="0.25">
      <c r="A15777" s="612" t="s">
        <v>589</v>
      </c>
      <c r="B15777" s="608"/>
      <c r="C15777" s="608"/>
      <c r="D15777" s="608"/>
      <c r="E15777" s="609"/>
      <c r="F15777" s="132"/>
    </row>
    <row r="15778" spans="1:6" ht="15" customHeight="1" x14ac:dyDescent="0.25">
      <c r="A15778" s="146" t="s">
        <v>556</v>
      </c>
      <c r="B15778" s="147"/>
      <c r="C15778" s="147"/>
      <c r="D15778" s="147"/>
      <c r="E15778" s="148"/>
      <c r="F15778" s="133"/>
    </row>
    <row r="15779" spans="1:6" ht="15" customHeight="1" x14ac:dyDescent="0.25">
      <c r="A15779" s="134"/>
      <c r="B15779" s="135"/>
      <c r="C15779" s="135"/>
      <c r="D15779" s="135"/>
      <c r="E15779" s="135"/>
      <c r="F15779" s="136"/>
    </row>
    <row r="15780" spans="1:6" ht="15" customHeight="1" x14ac:dyDescent="0.25">
      <c r="A15780" s="81"/>
      <c r="B15780" s="81"/>
      <c r="C15780" s="137"/>
      <c r="D15780" s="81"/>
      <c r="E15780" s="81"/>
      <c r="F15780" s="81"/>
    </row>
    <row r="15781" spans="1:6" ht="15" customHeight="1" x14ac:dyDescent="0.25">
      <c r="A15781" s="81"/>
      <c r="B15781" s="81"/>
      <c r="C15781" s="137"/>
      <c r="D15781" s="81"/>
      <c r="E15781" s="81"/>
      <c r="F15781" s="81"/>
    </row>
    <row r="15782" spans="1:6" ht="15" customHeight="1" x14ac:dyDescent="0.25">
      <c r="A15782" s="81"/>
      <c r="B15782" s="81"/>
      <c r="C15782" s="137"/>
      <c r="D15782" s="81"/>
      <c r="E15782" s="81"/>
      <c r="F15782" s="81"/>
    </row>
    <row r="15783" spans="1:6" ht="15" customHeight="1" x14ac:dyDescent="0.25">
      <c r="A15783" s="81"/>
      <c r="B15783" s="81"/>
      <c r="C15783" s="137"/>
      <c r="D15783" s="81"/>
      <c r="E15783" s="81"/>
      <c r="F15783" s="81"/>
    </row>
    <row r="15784" spans="1:6" ht="15" customHeight="1" x14ac:dyDescent="0.25">
      <c r="A15784" s="134"/>
      <c r="B15784" s="135"/>
      <c r="C15784" s="135"/>
      <c r="D15784" s="135"/>
      <c r="E15784" s="135"/>
      <c r="F15784" s="136"/>
    </row>
    <row r="15785" spans="1:6" ht="15" customHeight="1" x14ac:dyDescent="0.25">
      <c r="A15785" s="134"/>
      <c r="B15785" s="135"/>
      <c r="C15785" s="135"/>
      <c r="D15785" s="135"/>
      <c r="E15785" s="135"/>
      <c r="F15785" s="136"/>
    </row>
    <row r="15786" spans="1:6" ht="15" customHeight="1" x14ac:dyDescent="0.25">
      <c r="A15786" s="134"/>
      <c r="B15786" s="135"/>
      <c r="C15786" s="135"/>
      <c r="D15786" s="135"/>
      <c r="E15786" s="135"/>
      <c r="F15786" s="135"/>
    </row>
    <row r="15787" spans="1:6" ht="15" customHeight="1" thickBot="1" x14ac:dyDescent="0.3">
      <c r="A15787" s="81"/>
      <c r="B15787" s="81"/>
      <c r="C15787" s="81"/>
      <c r="D15787" s="81"/>
      <c r="E15787" s="81"/>
      <c r="F15787" s="81"/>
    </row>
    <row r="15788" spans="1:6" ht="15" customHeight="1" x14ac:dyDescent="0.25">
      <c r="A15788" s="83"/>
      <c r="B15788" s="84"/>
      <c r="C15788" s="85"/>
      <c r="D15788" s="86"/>
      <c r="E15788" s="86"/>
      <c r="F15788" s="87"/>
    </row>
    <row r="15789" spans="1:6" ht="15" customHeight="1" x14ac:dyDescent="0.25">
      <c r="A15789" s="599"/>
      <c r="B15789" s="600"/>
      <c r="C15789" s="600"/>
      <c r="D15789" s="600"/>
      <c r="E15789" s="600"/>
      <c r="F15789" s="601"/>
    </row>
    <row r="15790" spans="1:6" ht="15" customHeight="1" x14ac:dyDescent="0.25">
      <c r="A15790" s="602" t="s">
        <v>561</v>
      </c>
      <c r="B15790" s="600"/>
      <c r="C15790" s="600"/>
      <c r="D15790" s="600"/>
      <c r="E15790" s="600"/>
      <c r="F15790" s="601"/>
    </row>
    <row r="15791" spans="1:6" ht="15" customHeight="1" thickBot="1" x14ac:dyDescent="0.3">
      <c r="A15791" s="603"/>
      <c r="B15791" s="604"/>
      <c r="C15791" s="604"/>
      <c r="D15791" s="604"/>
      <c r="E15791" s="604"/>
      <c r="F15791" s="605"/>
    </row>
    <row r="15792" spans="1:6" ht="15" customHeight="1" x14ac:dyDescent="0.25">
      <c r="A15792" s="88"/>
      <c r="B15792" s="88"/>
      <c r="C15792" s="89"/>
      <c r="D15792" s="89"/>
      <c r="E15792" s="89"/>
      <c r="F15792" s="89"/>
    </row>
    <row r="15793" spans="1:6" ht="15" customHeight="1" x14ac:dyDescent="0.25">
      <c r="A15793" s="90" t="s">
        <v>47</v>
      </c>
      <c r="B15793" s="613" t="s">
        <v>481</v>
      </c>
      <c r="C15793" s="600"/>
      <c r="D15793" s="600"/>
      <c r="E15793" s="600"/>
      <c r="F15793" s="600"/>
    </row>
    <row r="15794" spans="1:6" ht="15" customHeight="1" x14ac:dyDescent="0.25">
      <c r="A15794" s="91"/>
      <c r="B15794" s="91"/>
      <c r="C15794" s="91"/>
      <c r="D15794" s="91"/>
      <c r="E15794" s="91"/>
      <c r="F15794" s="91"/>
    </row>
    <row r="15795" spans="1:6" ht="15" customHeight="1" x14ac:dyDescent="0.25">
      <c r="A15795" s="88" t="s">
        <v>49</v>
      </c>
      <c r="B15795" s="92" t="s">
        <v>99</v>
      </c>
      <c r="C15795" s="89"/>
      <c r="D15795" s="89"/>
      <c r="E15795" s="89"/>
      <c r="F15795" s="93"/>
    </row>
    <row r="15796" spans="1:6" ht="15" customHeight="1" x14ac:dyDescent="0.25">
      <c r="A15796" s="88"/>
      <c r="B15796" s="94"/>
      <c r="C15796" s="89"/>
      <c r="D15796" s="89"/>
      <c r="E15796" s="89"/>
      <c r="F15796" s="93"/>
    </row>
    <row r="15797" spans="1:6" ht="15" customHeight="1" x14ac:dyDescent="0.25">
      <c r="A15797" s="95" t="s">
        <v>562</v>
      </c>
      <c r="B15797" s="96"/>
      <c r="C15797" s="92"/>
      <c r="D15797" s="92"/>
      <c r="E15797" s="92"/>
      <c r="F15797" s="92"/>
    </row>
    <row r="15798" spans="1:6" ht="15" customHeight="1" x14ac:dyDescent="0.25">
      <c r="A15798" s="97" t="s">
        <v>563</v>
      </c>
      <c r="B15798" s="98" t="s">
        <v>564</v>
      </c>
      <c r="C15798" s="98" t="s">
        <v>565</v>
      </c>
      <c r="D15798" s="98" t="s">
        <v>566</v>
      </c>
      <c r="E15798" s="98" t="s">
        <v>567</v>
      </c>
      <c r="F15798" s="98" t="s">
        <v>568</v>
      </c>
    </row>
    <row r="15799" spans="1:6" ht="15" customHeight="1" x14ac:dyDescent="0.25">
      <c r="A15799" s="99" t="s">
        <v>946</v>
      </c>
      <c r="B15799" s="100" t="s">
        <v>99</v>
      </c>
      <c r="C15799" s="205">
        <f>15800*2.5</f>
        <v>39500</v>
      </c>
      <c r="D15799" s="149">
        <v>1</v>
      </c>
      <c r="E15799" s="102"/>
      <c r="F15799" s="101">
        <f>C15799*(D15799+(D15799*E15799))</f>
        <v>39500</v>
      </c>
    </row>
    <row r="15800" spans="1:6" ht="15" customHeight="1" x14ac:dyDescent="0.25">
      <c r="A15800" s="99"/>
      <c r="B15800" s="100"/>
      <c r="C15800" s="101"/>
      <c r="D15800" s="149"/>
      <c r="E15800" s="102"/>
      <c r="F15800" s="101"/>
    </row>
    <row r="15801" spans="1:6" ht="15" customHeight="1" x14ac:dyDescent="0.25">
      <c r="A15801" s="99"/>
      <c r="B15801" s="100"/>
      <c r="C15801" s="101"/>
      <c r="D15801" s="149"/>
      <c r="E15801" s="102"/>
      <c r="F15801" s="101"/>
    </row>
    <row r="15802" spans="1:6" ht="15" customHeight="1" x14ac:dyDescent="0.25">
      <c r="A15802" s="99"/>
      <c r="B15802" s="100"/>
      <c r="C15802" s="101"/>
      <c r="D15802" s="149"/>
      <c r="E15802" s="102"/>
      <c r="F15802" s="101"/>
    </row>
    <row r="15803" spans="1:6" ht="15" customHeight="1" x14ac:dyDescent="0.25">
      <c r="A15803" s="99"/>
      <c r="B15803" s="100"/>
      <c r="C15803" s="101"/>
      <c r="D15803" s="149"/>
      <c r="E15803" s="102"/>
      <c r="F15803" s="101"/>
    </row>
    <row r="15804" spans="1:6" ht="15" customHeight="1" x14ac:dyDescent="0.25">
      <c r="A15804" s="99"/>
      <c r="B15804" s="100"/>
      <c r="C15804" s="101"/>
      <c r="D15804" s="149"/>
      <c r="E15804" s="102"/>
      <c r="F15804" s="101"/>
    </row>
    <row r="15805" spans="1:6" ht="15" customHeight="1" x14ac:dyDescent="0.25">
      <c r="A15805" s="99"/>
      <c r="B15805" s="100"/>
      <c r="C15805" s="101"/>
      <c r="D15805" s="149"/>
      <c r="E15805" s="102"/>
      <c r="F15805" s="101"/>
    </row>
    <row r="15806" spans="1:6" ht="15" customHeight="1" x14ac:dyDescent="0.25">
      <c r="A15806" s="99"/>
      <c r="B15806" s="100"/>
      <c r="C15806" s="101"/>
      <c r="D15806" s="149"/>
      <c r="E15806" s="102"/>
      <c r="F15806" s="101"/>
    </row>
    <row r="15807" spans="1:6" ht="15" customHeight="1" x14ac:dyDescent="0.25">
      <c r="A15807" s="99"/>
      <c r="B15807" s="100"/>
      <c r="C15807" s="101"/>
      <c r="D15807" s="149"/>
      <c r="E15807" s="102"/>
      <c r="F15807" s="101"/>
    </row>
    <row r="15808" spans="1:6" ht="15" customHeight="1" x14ac:dyDescent="0.25">
      <c r="A15808" s="99"/>
      <c r="B15808" s="100"/>
      <c r="C15808" s="106"/>
      <c r="D15808" s="107"/>
      <c r="E15808" s="108"/>
      <c r="F15808" s="106"/>
    </row>
    <row r="15809" spans="1:6" ht="15" customHeight="1" x14ac:dyDescent="0.25">
      <c r="A15809" s="97" t="s">
        <v>548</v>
      </c>
      <c r="B15809" s="97"/>
      <c r="C15809" s="109"/>
      <c r="D15809" s="110"/>
      <c r="E15809" s="111"/>
      <c r="F15809" s="112">
        <f>SUM(F15799:F15808)</f>
        <v>39500</v>
      </c>
    </row>
    <row r="15810" spans="1:6" ht="15" customHeight="1" x14ac:dyDescent="0.25">
      <c r="A15810" s="88"/>
      <c r="B15810" s="88"/>
      <c r="C15810" s="113"/>
      <c r="D15810" s="113"/>
      <c r="E15810" s="114"/>
      <c r="F15810" s="113"/>
    </row>
    <row r="15811" spans="1:6" ht="15" customHeight="1" x14ac:dyDescent="0.25">
      <c r="A15811" s="96" t="s">
        <v>573</v>
      </c>
      <c r="B15811" s="96"/>
      <c r="C15811" s="92"/>
      <c r="D15811" s="92"/>
      <c r="E15811" s="92"/>
      <c r="F15811" s="92"/>
    </row>
    <row r="15812" spans="1:6" ht="15" customHeight="1" x14ac:dyDescent="0.25">
      <c r="A15812" s="611" t="s">
        <v>563</v>
      </c>
      <c r="B15812" s="608"/>
      <c r="C15812" s="609"/>
      <c r="D15812" s="98" t="s">
        <v>574</v>
      </c>
      <c r="E15812" s="98" t="s">
        <v>575</v>
      </c>
      <c r="F15812" s="98" t="s">
        <v>568</v>
      </c>
    </row>
    <row r="15813" spans="1:6" ht="15" customHeight="1" x14ac:dyDescent="0.25">
      <c r="A15813" s="607" t="s">
        <v>577</v>
      </c>
      <c r="B15813" s="608"/>
      <c r="C15813" s="609"/>
      <c r="D15813" s="116"/>
      <c r="E15813" s="107"/>
      <c r="F15813" s="106">
        <f>+F15830*5%</f>
        <v>227.67517142857142</v>
      </c>
    </row>
    <row r="15814" spans="1:6" ht="15" customHeight="1" x14ac:dyDescent="0.25">
      <c r="A15814" s="607"/>
      <c r="B15814" s="608"/>
      <c r="C15814" s="609"/>
      <c r="D15814" s="142"/>
      <c r="E15814" s="105"/>
      <c r="F15814" s="106"/>
    </row>
    <row r="15815" spans="1:6" ht="15" customHeight="1" x14ac:dyDescent="0.25">
      <c r="A15815" s="607"/>
      <c r="B15815" s="608"/>
      <c r="C15815" s="609"/>
      <c r="D15815" s="142"/>
      <c r="E15815" s="105"/>
      <c r="F15815" s="106"/>
    </row>
    <row r="15816" spans="1:6" ht="15" customHeight="1" x14ac:dyDescent="0.25">
      <c r="A15816" s="607"/>
      <c r="B15816" s="608"/>
      <c r="C15816" s="609"/>
      <c r="D15816" s="142"/>
      <c r="E15816" s="107"/>
      <c r="F15816" s="106"/>
    </row>
    <row r="15817" spans="1:6" ht="15" customHeight="1" x14ac:dyDescent="0.25">
      <c r="A15817" s="607"/>
      <c r="B15817" s="608"/>
      <c r="C15817" s="609"/>
      <c r="D15817" s="142"/>
      <c r="E15817" s="107"/>
      <c r="F15817" s="106"/>
    </row>
    <row r="15818" spans="1:6" ht="15" customHeight="1" x14ac:dyDescent="0.25">
      <c r="A15818" s="607"/>
      <c r="B15818" s="608"/>
      <c r="C15818" s="609"/>
      <c r="D15818" s="142"/>
      <c r="E15818" s="107"/>
      <c r="F15818" s="106"/>
    </row>
    <row r="15819" spans="1:6" ht="15" customHeight="1" x14ac:dyDescent="0.25">
      <c r="A15819" s="607"/>
      <c r="B15819" s="608"/>
      <c r="C15819" s="609"/>
      <c r="D15819" s="142"/>
      <c r="E15819" s="107"/>
      <c r="F15819" s="106"/>
    </row>
    <row r="15820" spans="1:6" ht="15" customHeight="1" x14ac:dyDescent="0.25">
      <c r="A15820" s="607"/>
      <c r="B15820" s="608"/>
      <c r="C15820" s="609"/>
      <c r="D15820" s="142"/>
      <c r="E15820" s="107"/>
      <c r="F15820" s="106"/>
    </row>
    <row r="15821" spans="1:6" ht="15" customHeight="1" x14ac:dyDescent="0.25">
      <c r="A15821" s="610"/>
      <c r="B15821" s="608"/>
      <c r="C15821" s="609"/>
      <c r="D15821" s="115"/>
      <c r="E15821" s="107"/>
      <c r="F15821" s="106"/>
    </row>
    <row r="15822" spans="1:6" ht="15" customHeight="1" x14ac:dyDescent="0.25">
      <c r="A15822" s="611" t="s">
        <v>548</v>
      </c>
      <c r="B15822" s="608"/>
      <c r="C15822" s="609"/>
      <c r="D15822" s="110"/>
      <c r="E15822" s="110"/>
      <c r="F15822" s="112">
        <f>SUM(F15813:F15820)</f>
        <v>227.67517142857142</v>
      </c>
    </row>
    <row r="15823" spans="1:6" ht="15" customHeight="1" x14ac:dyDescent="0.25">
      <c r="A15823" s="88"/>
      <c r="B15823" s="88"/>
      <c r="C15823" s="89"/>
      <c r="D15823" s="113"/>
      <c r="E15823" s="113"/>
      <c r="F15823" s="113"/>
    </row>
    <row r="15824" spans="1:6" ht="15" customHeight="1" x14ac:dyDescent="0.25">
      <c r="A15824" s="96" t="s">
        <v>578</v>
      </c>
      <c r="B15824" s="96"/>
      <c r="C15824" s="92"/>
      <c r="D15824" s="118"/>
      <c r="E15824" s="118"/>
      <c r="F15824" s="118"/>
    </row>
    <row r="15825" spans="1:6" ht="15" customHeight="1" x14ac:dyDescent="0.25">
      <c r="A15825" s="119" t="s">
        <v>563</v>
      </c>
      <c r="B15825" s="120" t="s">
        <v>579</v>
      </c>
      <c r="C15825" s="120" t="s">
        <v>580</v>
      </c>
      <c r="D15825" s="121" t="s">
        <v>581</v>
      </c>
      <c r="E15825" s="121" t="s">
        <v>575</v>
      </c>
      <c r="F15825" s="121" t="s">
        <v>568</v>
      </c>
    </row>
    <row r="15826" spans="1:6" ht="15" customHeight="1" x14ac:dyDescent="0.25">
      <c r="A15826" s="122" t="s">
        <v>916</v>
      </c>
      <c r="B15826" s="127">
        <v>1</v>
      </c>
      <c r="C15826" s="101">
        <v>35956.800000000003</v>
      </c>
      <c r="D15826" s="101">
        <f t="shared" ref="D15826:D15827" si="769">+C15826*1.7</f>
        <v>61126.560000000005</v>
      </c>
      <c r="E15826" s="107">
        <v>35</v>
      </c>
      <c r="F15826" s="106">
        <f t="shared" ref="F15826:F15827" si="770">+B15826*(D15826)/E15826</f>
        <v>1746.4731428571431</v>
      </c>
    </row>
    <row r="15827" spans="1:6" ht="15" customHeight="1" x14ac:dyDescent="0.25">
      <c r="A15827" s="122" t="s">
        <v>917</v>
      </c>
      <c r="B15827" s="127">
        <v>1</v>
      </c>
      <c r="C15827" s="101">
        <v>57791.8</v>
      </c>
      <c r="D15827" s="101">
        <f t="shared" si="769"/>
        <v>98246.06</v>
      </c>
      <c r="E15827" s="107">
        <f>E15826</f>
        <v>35</v>
      </c>
      <c r="F15827" s="106">
        <f t="shared" si="770"/>
        <v>2807.0302857142856</v>
      </c>
    </row>
    <row r="15828" spans="1:6" ht="15" customHeight="1" x14ac:dyDescent="0.25">
      <c r="A15828" s="122"/>
      <c r="B15828" s="127"/>
      <c r="C15828" s="101"/>
      <c r="D15828" s="101"/>
      <c r="E15828" s="105"/>
      <c r="F15828" s="106"/>
    </row>
    <row r="15829" spans="1:6" ht="15" customHeight="1" x14ac:dyDescent="0.25">
      <c r="A15829" s="122"/>
      <c r="B15829" s="127"/>
      <c r="C15829" s="101"/>
      <c r="D15829" s="101"/>
      <c r="E15829" s="125"/>
      <c r="F15829" s="106"/>
    </row>
    <row r="15830" spans="1:6" ht="15" customHeight="1" x14ac:dyDescent="0.25">
      <c r="A15830" s="97" t="s">
        <v>548</v>
      </c>
      <c r="B15830" s="128"/>
      <c r="C15830" s="110"/>
      <c r="D15830" s="110"/>
      <c r="E15830" s="110"/>
      <c r="F15830" s="112">
        <f>SUM(F15826:F15829)</f>
        <v>4553.5034285714282</v>
      </c>
    </row>
    <row r="15831" spans="1:6" ht="15" customHeight="1" x14ac:dyDescent="0.25">
      <c r="A15831" s="96"/>
      <c r="B15831" s="129"/>
      <c r="C15831" s="118"/>
      <c r="D15831" s="118"/>
      <c r="E15831" s="118"/>
      <c r="F15831" s="118"/>
    </row>
    <row r="15832" spans="1:6" ht="15" customHeight="1" x14ac:dyDescent="0.25">
      <c r="A15832" s="95" t="s">
        <v>583</v>
      </c>
      <c r="B15832" s="96"/>
      <c r="C15832" s="92"/>
      <c r="D15832" s="92"/>
      <c r="E15832" s="92" t="s">
        <v>584</v>
      </c>
      <c r="F15832" s="92"/>
    </row>
    <row r="15833" spans="1:6" ht="15" customHeight="1" x14ac:dyDescent="0.25">
      <c r="A15833" s="97" t="s">
        <v>563</v>
      </c>
      <c r="B15833" s="98" t="s">
        <v>564</v>
      </c>
      <c r="C15833" s="98" t="s">
        <v>585</v>
      </c>
      <c r="D15833" s="98" t="s">
        <v>586</v>
      </c>
      <c r="E15833" s="120" t="s">
        <v>587</v>
      </c>
      <c r="F15833" s="98" t="s">
        <v>568</v>
      </c>
    </row>
    <row r="15834" spans="1:6" ht="15" customHeight="1" x14ac:dyDescent="0.25">
      <c r="A15834" s="103"/>
      <c r="B15834" s="100"/>
      <c r="C15834" s="101"/>
      <c r="D15834" s="140"/>
      <c r="E15834" s="107"/>
      <c r="F15834" s="109"/>
    </row>
    <row r="15835" spans="1:6" ht="15" customHeight="1" x14ac:dyDescent="0.25">
      <c r="A15835" s="103"/>
      <c r="B15835" s="100"/>
      <c r="C15835" s="107"/>
      <c r="D15835" s="107"/>
      <c r="E15835" s="108"/>
      <c r="F15835" s="109"/>
    </row>
    <row r="15836" spans="1:6" ht="15" customHeight="1" x14ac:dyDescent="0.25">
      <c r="A15836" s="97" t="s">
        <v>548</v>
      </c>
      <c r="B15836" s="98"/>
      <c r="C15836" s="110"/>
      <c r="D15836" s="110"/>
      <c r="E15836" s="111"/>
      <c r="F15836" s="112">
        <f>SUM(F15834:F15835)</f>
        <v>0</v>
      </c>
    </row>
    <row r="15837" spans="1:6" ht="15" customHeight="1" x14ac:dyDescent="0.25">
      <c r="A15837" s="88"/>
      <c r="B15837" s="89"/>
      <c r="C15837" s="113"/>
      <c r="D15837" s="113"/>
      <c r="E15837" s="114"/>
      <c r="F15837" s="113"/>
    </row>
    <row r="15838" spans="1:6" ht="15" customHeight="1" x14ac:dyDescent="0.25">
      <c r="A15838" s="88"/>
      <c r="B15838" s="89"/>
      <c r="C15838" s="113"/>
      <c r="D15838" s="113"/>
      <c r="E15838" s="114"/>
      <c r="F15838" s="113"/>
    </row>
    <row r="15839" spans="1:6" ht="15" customHeight="1" x14ac:dyDescent="0.25">
      <c r="A15839" s="612" t="s">
        <v>588</v>
      </c>
      <c r="B15839" s="608"/>
      <c r="C15839" s="608"/>
      <c r="D15839" s="608"/>
      <c r="E15839" s="609"/>
      <c r="F15839" s="131">
        <f>ROUND(F15809+F15822+F15830+F15836,0)</f>
        <v>44281</v>
      </c>
    </row>
    <row r="15840" spans="1:6" ht="15" customHeight="1" x14ac:dyDescent="0.25">
      <c r="A15840" s="612" t="s">
        <v>589</v>
      </c>
      <c r="B15840" s="608"/>
      <c r="C15840" s="608"/>
      <c r="D15840" s="608"/>
      <c r="E15840" s="609"/>
      <c r="F15840" s="132"/>
    </row>
    <row r="15841" spans="1:6" ht="15" customHeight="1" x14ac:dyDescent="0.25">
      <c r="A15841" s="146" t="s">
        <v>556</v>
      </c>
      <c r="B15841" s="147"/>
      <c r="C15841" s="147"/>
      <c r="D15841" s="147"/>
      <c r="E15841" s="148"/>
      <c r="F15841" s="133"/>
    </row>
    <row r="15842" spans="1:6" ht="15" customHeight="1" x14ac:dyDescent="0.25">
      <c r="A15842" s="134"/>
      <c r="B15842" s="135"/>
      <c r="C15842" s="135"/>
      <c r="D15842" s="135"/>
      <c r="E15842" s="135"/>
      <c r="F15842" s="136"/>
    </row>
    <row r="15843" spans="1:6" ht="15" customHeight="1" x14ac:dyDescent="0.25">
      <c r="A15843" s="81"/>
      <c r="B15843" s="81"/>
      <c r="C15843" s="137"/>
      <c r="D15843" s="81"/>
      <c r="E15843" s="81"/>
      <c r="F15843" s="81"/>
    </row>
    <row r="15844" spans="1:6" ht="15" customHeight="1" x14ac:dyDescent="0.25">
      <c r="A15844" s="81"/>
      <c r="B15844" s="81"/>
      <c r="C15844" s="137"/>
      <c r="D15844" s="81"/>
      <c r="E15844" s="81"/>
      <c r="F15844" s="81"/>
    </row>
    <row r="15845" spans="1:6" ht="15" customHeight="1" x14ac:dyDescent="0.25">
      <c r="A15845" s="81"/>
      <c r="B15845" s="81"/>
      <c r="C15845" s="137"/>
      <c r="D15845" s="81"/>
      <c r="E15845" s="81"/>
      <c r="F15845" s="81"/>
    </row>
    <row r="15846" spans="1:6" ht="15" customHeight="1" x14ac:dyDescent="0.25">
      <c r="A15846" s="81"/>
      <c r="B15846" s="81"/>
      <c r="C15846" s="137"/>
      <c r="D15846" s="81"/>
      <c r="E15846" s="81"/>
      <c r="F15846" s="81"/>
    </row>
    <row r="15847" spans="1:6" ht="15" customHeight="1" x14ac:dyDescent="0.25">
      <c r="A15847" s="134"/>
      <c r="B15847" s="135"/>
      <c r="C15847" s="135"/>
      <c r="D15847" s="135"/>
      <c r="E15847" s="135"/>
      <c r="F15847" s="136"/>
    </row>
    <row r="15848" spans="1:6" ht="15" customHeight="1" x14ac:dyDescent="0.25">
      <c r="A15848" s="134"/>
      <c r="B15848" s="135"/>
      <c r="C15848" s="135"/>
      <c r="D15848" s="135"/>
      <c r="E15848" s="135"/>
      <c r="F15848" s="136"/>
    </row>
    <row r="15849" spans="1:6" ht="15" customHeight="1" x14ac:dyDescent="0.25">
      <c r="A15849" s="134"/>
      <c r="B15849" s="135"/>
      <c r="C15849" s="135"/>
      <c r="D15849" s="135"/>
      <c r="E15849" s="135"/>
      <c r="F15849" s="135"/>
    </row>
    <row r="15850" spans="1:6" ht="15" customHeight="1" thickBot="1" x14ac:dyDescent="0.3">
      <c r="A15850" s="81"/>
      <c r="B15850" s="81"/>
      <c r="C15850" s="81"/>
      <c r="D15850" s="81"/>
      <c r="E15850" s="81"/>
      <c r="F15850" s="81"/>
    </row>
    <row r="15851" spans="1:6" ht="15" customHeight="1" x14ac:dyDescent="0.25">
      <c r="A15851" s="83"/>
      <c r="B15851" s="84"/>
      <c r="C15851" s="85"/>
      <c r="D15851" s="86"/>
      <c r="E15851" s="86"/>
      <c r="F15851" s="87"/>
    </row>
    <row r="15852" spans="1:6" ht="15" customHeight="1" x14ac:dyDescent="0.25">
      <c r="A15852" s="599"/>
      <c r="B15852" s="600"/>
      <c r="C15852" s="600"/>
      <c r="D15852" s="600"/>
      <c r="E15852" s="600"/>
      <c r="F15852" s="601"/>
    </row>
    <row r="15853" spans="1:6" ht="15" customHeight="1" x14ac:dyDescent="0.25">
      <c r="A15853" s="602" t="s">
        <v>561</v>
      </c>
      <c r="B15853" s="600"/>
      <c r="C15853" s="600"/>
      <c r="D15853" s="600"/>
      <c r="E15853" s="600"/>
      <c r="F15853" s="601"/>
    </row>
    <row r="15854" spans="1:6" ht="15" customHeight="1" thickBot="1" x14ac:dyDescent="0.3">
      <c r="A15854" s="603"/>
      <c r="B15854" s="604"/>
      <c r="C15854" s="604"/>
      <c r="D15854" s="604"/>
      <c r="E15854" s="604"/>
      <c r="F15854" s="605"/>
    </row>
    <row r="15855" spans="1:6" ht="15" customHeight="1" x14ac:dyDescent="0.25">
      <c r="A15855" s="88"/>
      <c r="B15855" s="88"/>
      <c r="C15855" s="89"/>
      <c r="D15855" s="89"/>
      <c r="E15855" s="89"/>
      <c r="F15855" s="89"/>
    </row>
    <row r="15856" spans="1:6" ht="15" customHeight="1" x14ac:dyDescent="0.25">
      <c r="A15856" s="90" t="s">
        <v>47</v>
      </c>
      <c r="B15856" s="613" t="s">
        <v>482</v>
      </c>
      <c r="C15856" s="600"/>
      <c r="D15856" s="600"/>
      <c r="E15856" s="600"/>
      <c r="F15856" s="600"/>
    </row>
    <row r="15857" spans="1:6" ht="15" customHeight="1" x14ac:dyDescent="0.25">
      <c r="A15857" s="91"/>
      <c r="B15857" s="91"/>
      <c r="C15857" s="91"/>
      <c r="D15857" s="91"/>
      <c r="E15857" s="91"/>
      <c r="F15857" s="91"/>
    </row>
    <row r="15858" spans="1:6" ht="15" customHeight="1" x14ac:dyDescent="0.25">
      <c r="A15858" s="88" t="s">
        <v>49</v>
      </c>
      <c r="B15858" s="92" t="s">
        <v>99</v>
      </c>
      <c r="C15858" s="89"/>
      <c r="D15858" s="89"/>
      <c r="E15858" s="89"/>
      <c r="F15858" s="93"/>
    </row>
    <row r="15859" spans="1:6" ht="15" customHeight="1" x14ac:dyDescent="0.25">
      <c r="A15859" s="88"/>
      <c r="B15859" s="94"/>
      <c r="C15859" s="89"/>
      <c r="D15859" s="89"/>
      <c r="E15859" s="89"/>
      <c r="F15859" s="93"/>
    </row>
    <row r="15860" spans="1:6" ht="15" customHeight="1" x14ac:dyDescent="0.25">
      <c r="A15860" s="95" t="s">
        <v>562</v>
      </c>
      <c r="B15860" s="96"/>
      <c r="C15860" s="92"/>
      <c r="D15860" s="92"/>
      <c r="E15860" s="92"/>
      <c r="F15860" s="92"/>
    </row>
    <row r="15861" spans="1:6" ht="15" customHeight="1" x14ac:dyDescent="0.25">
      <c r="A15861" s="97" t="s">
        <v>563</v>
      </c>
      <c r="B15861" s="98" t="s">
        <v>564</v>
      </c>
      <c r="C15861" s="98" t="s">
        <v>565</v>
      </c>
      <c r="D15861" s="98" t="s">
        <v>566</v>
      </c>
      <c r="E15861" s="98" t="s">
        <v>567</v>
      </c>
      <c r="F15861" s="98" t="s">
        <v>568</v>
      </c>
    </row>
    <row r="15862" spans="1:6" ht="15" customHeight="1" x14ac:dyDescent="0.25">
      <c r="A15862" s="99" t="s">
        <v>947</v>
      </c>
      <c r="B15862" s="100" t="s">
        <v>99</v>
      </c>
      <c r="C15862" s="205">
        <f>12800*2.5</f>
        <v>32000</v>
      </c>
      <c r="D15862" s="149">
        <v>1</v>
      </c>
      <c r="E15862" s="102"/>
      <c r="F15862" s="101">
        <f>C15862*(D15862+(D15862*E15862))</f>
        <v>32000</v>
      </c>
    </row>
    <row r="15863" spans="1:6" ht="15" customHeight="1" x14ac:dyDescent="0.25">
      <c r="A15863" s="99"/>
      <c r="B15863" s="100"/>
      <c r="C15863" s="101"/>
      <c r="D15863" s="149"/>
      <c r="E15863" s="102"/>
      <c r="F15863" s="101"/>
    </row>
    <row r="15864" spans="1:6" ht="15" customHeight="1" x14ac:dyDescent="0.25">
      <c r="A15864" s="99"/>
      <c r="B15864" s="100"/>
      <c r="C15864" s="101"/>
      <c r="D15864" s="149"/>
      <c r="E15864" s="102"/>
      <c r="F15864" s="101"/>
    </row>
    <row r="15865" spans="1:6" ht="15" customHeight="1" x14ac:dyDescent="0.25">
      <c r="A15865" s="99"/>
      <c r="B15865" s="100"/>
      <c r="C15865" s="101"/>
      <c r="D15865" s="149"/>
      <c r="E15865" s="102"/>
      <c r="F15865" s="101"/>
    </row>
    <row r="15866" spans="1:6" ht="15" customHeight="1" x14ac:dyDescent="0.25">
      <c r="A15866" s="99"/>
      <c r="B15866" s="100"/>
      <c r="C15866" s="101"/>
      <c r="D15866" s="149"/>
      <c r="E15866" s="102"/>
      <c r="F15866" s="101"/>
    </row>
    <row r="15867" spans="1:6" ht="15" customHeight="1" x14ac:dyDescent="0.25">
      <c r="A15867" s="99"/>
      <c r="B15867" s="100"/>
      <c r="C15867" s="101"/>
      <c r="D15867" s="149"/>
      <c r="E15867" s="102"/>
      <c r="F15867" s="101"/>
    </row>
    <row r="15868" spans="1:6" ht="15" customHeight="1" x14ac:dyDescent="0.25">
      <c r="A15868" s="99"/>
      <c r="B15868" s="100"/>
      <c r="C15868" s="101"/>
      <c r="D15868" s="149"/>
      <c r="E15868" s="102"/>
      <c r="F15868" s="101"/>
    </row>
    <row r="15869" spans="1:6" ht="15" customHeight="1" x14ac:dyDescent="0.25">
      <c r="A15869" s="99"/>
      <c r="B15869" s="100"/>
      <c r="C15869" s="101"/>
      <c r="D15869" s="149"/>
      <c r="E15869" s="102"/>
      <c r="F15869" s="101"/>
    </row>
    <row r="15870" spans="1:6" ht="15" customHeight="1" x14ac:dyDescent="0.25">
      <c r="A15870" s="99"/>
      <c r="B15870" s="100"/>
      <c r="C15870" s="101"/>
      <c r="D15870" s="149"/>
      <c r="E15870" s="102"/>
      <c r="F15870" s="101"/>
    </row>
    <row r="15871" spans="1:6" ht="15" customHeight="1" x14ac:dyDescent="0.25">
      <c r="A15871" s="99"/>
      <c r="B15871" s="100"/>
      <c r="C15871" s="106"/>
      <c r="D15871" s="107"/>
      <c r="E15871" s="108"/>
      <c r="F15871" s="106"/>
    </row>
    <row r="15872" spans="1:6" ht="15" customHeight="1" x14ac:dyDescent="0.25">
      <c r="A15872" s="97" t="s">
        <v>548</v>
      </c>
      <c r="B15872" s="97"/>
      <c r="C15872" s="109"/>
      <c r="D15872" s="110"/>
      <c r="E15872" s="111"/>
      <c r="F15872" s="112">
        <f>SUM(F15862:F15871)</f>
        <v>32000</v>
      </c>
    </row>
    <row r="15873" spans="1:6" ht="15" customHeight="1" x14ac:dyDescent="0.25">
      <c r="A15873" s="88"/>
      <c r="B15873" s="88"/>
      <c r="C15873" s="113"/>
      <c r="D15873" s="113"/>
      <c r="E15873" s="114"/>
      <c r="F15873" s="113"/>
    </row>
    <row r="15874" spans="1:6" ht="15" customHeight="1" x14ac:dyDescent="0.25">
      <c r="A15874" s="96" t="s">
        <v>573</v>
      </c>
      <c r="B15874" s="96"/>
      <c r="C15874" s="92"/>
      <c r="D15874" s="92"/>
      <c r="E15874" s="92"/>
      <c r="F15874" s="92"/>
    </row>
    <row r="15875" spans="1:6" ht="15" customHeight="1" x14ac:dyDescent="0.25">
      <c r="A15875" s="611" t="s">
        <v>563</v>
      </c>
      <c r="B15875" s="608"/>
      <c r="C15875" s="609"/>
      <c r="D15875" s="98" t="s">
        <v>574</v>
      </c>
      <c r="E15875" s="98" t="s">
        <v>575</v>
      </c>
      <c r="F15875" s="98" t="s">
        <v>568</v>
      </c>
    </row>
    <row r="15876" spans="1:6" ht="15" customHeight="1" x14ac:dyDescent="0.25">
      <c r="A15876" s="607" t="s">
        <v>577</v>
      </c>
      <c r="B15876" s="608"/>
      <c r="C15876" s="609"/>
      <c r="D15876" s="116"/>
      <c r="E15876" s="107"/>
      <c r="F15876" s="106">
        <f>+F15893*5%</f>
        <v>442.70172222222232</v>
      </c>
    </row>
    <row r="15877" spans="1:6" ht="15" customHeight="1" x14ac:dyDescent="0.25">
      <c r="A15877" s="607"/>
      <c r="B15877" s="608"/>
      <c r="C15877" s="609"/>
      <c r="D15877" s="142"/>
      <c r="E15877" s="105"/>
      <c r="F15877" s="106"/>
    </row>
    <row r="15878" spans="1:6" ht="15" customHeight="1" x14ac:dyDescent="0.25">
      <c r="A15878" s="607"/>
      <c r="B15878" s="608"/>
      <c r="C15878" s="609"/>
      <c r="D15878" s="142"/>
      <c r="E15878" s="105"/>
      <c r="F15878" s="106"/>
    </row>
    <row r="15879" spans="1:6" ht="15" customHeight="1" x14ac:dyDescent="0.25">
      <c r="A15879" s="607"/>
      <c r="B15879" s="608"/>
      <c r="C15879" s="609"/>
      <c r="D15879" s="142"/>
      <c r="E15879" s="107"/>
      <c r="F15879" s="106"/>
    </row>
    <row r="15880" spans="1:6" ht="15" customHeight="1" x14ac:dyDescent="0.25">
      <c r="A15880" s="607"/>
      <c r="B15880" s="608"/>
      <c r="C15880" s="609"/>
      <c r="D15880" s="142"/>
      <c r="E15880" s="107"/>
      <c r="F15880" s="106"/>
    </row>
    <row r="15881" spans="1:6" ht="15" customHeight="1" x14ac:dyDescent="0.25">
      <c r="A15881" s="607"/>
      <c r="B15881" s="608"/>
      <c r="C15881" s="609"/>
      <c r="D15881" s="142"/>
      <c r="E15881" s="107"/>
      <c r="F15881" s="106"/>
    </row>
    <row r="15882" spans="1:6" ht="15" customHeight="1" x14ac:dyDescent="0.25">
      <c r="A15882" s="607"/>
      <c r="B15882" s="608"/>
      <c r="C15882" s="609"/>
      <c r="D15882" s="142"/>
      <c r="E15882" s="107"/>
      <c r="F15882" s="106"/>
    </row>
    <row r="15883" spans="1:6" ht="15" customHeight="1" x14ac:dyDescent="0.25">
      <c r="A15883" s="607"/>
      <c r="B15883" s="608"/>
      <c r="C15883" s="609"/>
      <c r="D15883" s="142"/>
      <c r="E15883" s="107"/>
      <c r="F15883" s="106"/>
    </row>
    <row r="15884" spans="1:6" ht="15" customHeight="1" x14ac:dyDescent="0.25">
      <c r="A15884" s="610"/>
      <c r="B15884" s="608"/>
      <c r="C15884" s="609"/>
      <c r="D15884" s="115"/>
      <c r="E15884" s="107"/>
      <c r="F15884" s="106"/>
    </row>
    <row r="15885" spans="1:6" ht="15" customHeight="1" x14ac:dyDescent="0.25">
      <c r="A15885" s="611" t="s">
        <v>548</v>
      </c>
      <c r="B15885" s="608"/>
      <c r="C15885" s="609"/>
      <c r="D15885" s="110"/>
      <c r="E15885" s="110"/>
      <c r="F15885" s="112">
        <f>SUM(F15876:F15883)</f>
        <v>442.70172222222232</v>
      </c>
    </row>
    <row r="15886" spans="1:6" ht="15" customHeight="1" x14ac:dyDescent="0.25">
      <c r="A15886" s="88"/>
      <c r="B15886" s="88"/>
      <c r="C15886" s="89"/>
      <c r="D15886" s="113"/>
      <c r="E15886" s="113"/>
      <c r="F15886" s="113"/>
    </row>
    <row r="15887" spans="1:6" ht="15" customHeight="1" x14ac:dyDescent="0.25">
      <c r="A15887" s="96" t="s">
        <v>578</v>
      </c>
      <c r="B15887" s="96"/>
      <c r="C15887" s="92"/>
      <c r="D15887" s="118"/>
      <c r="E15887" s="118"/>
      <c r="F15887" s="118"/>
    </row>
    <row r="15888" spans="1:6" ht="15" customHeight="1" x14ac:dyDescent="0.25">
      <c r="A15888" s="119" t="s">
        <v>563</v>
      </c>
      <c r="B15888" s="120" t="s">
        <v>579</v>
      </c>
      <c r="C15888" s="120" t="s">
        <v>580</v>
      </c>
      <c r="D15888" s="121" t="s">
        <v>581</v>
      </c>
      <c r="E15888" s="121" t="s">
        <v>575</v>
      </c>
      <c r="F15888" s="121" t="s">
        <v>568</v>
      </c>
    </row>
    <row r="15889" spans="1:6" ht="15" customHeight="1" x14ac:dyDescent="0.25">
      <c r="A15889" s="122" t="s">
        <v>916</v>
      </c>
      <c r="B15889" s="127">
        <v>1</v>
      </c>
      <c r="C15889" s="101">
        <v>35956.800000000003</v>
      </c>
      <c r="D15889" s="101">
        <f t="shared" ref="D15889:D15890" si="771">+C15889*1.7</f>
        <v>61126.560000000005</v>
      </c>
      <c r="E15889" s="107">
        <v>18</v>
      </c>
      <c r="F15889" s="106">
        <f t="shared" ref="F15889:F15890" si="772">+B15889*(D15889)/E15889</f>
        <v>3395.92</v>
      </c>
    </row>
    <row r="15890" spans="1:6" ht="15" customHeight="1" x14ac:dyDescent="0.25">
      <c r="A15890" s="122" t="s">
        <v>917</v>
      </c>
      <c r="B15890" s="127">
        <v>1</v>
      </c>
      <c r="C15890" s="101">
        <v>57791.8</v>
      </c>
      <c r="D15890" s="101">
        <f t="shared" si="771"/>
        <v>98246.06</v>
      </c>
      <c r="E15890" s="107">
        <f>E15889</f>
        <v>18</v>
      </c>
      <c r="F15890" s="106">
        <f t="shared" si="772"/>
        <v>5458.1144444444444</v>
      </c>
    </row>
    <row r="15891" spans="1:6" ht="15" customHeight="1" x14ac:dyDescent="0.25">
      <c r="A15891" s="122"/>
      <c r="B15891" s="127"/>
      <c r="C15891" s="101"/>
      <c r="D15891" s="101"/>
      <c r="E15891" s="105"/>
      <c r="F15891" s="106"/>
    </row>
    <row r="15892" spans="1:6" ht="15" customHeight="1" x14ac:dyDescent="0.25">
      <c r="A15892" s="122"/>
      <c r="B15892" s="127"/>
      <c r="C15892" s="101"/>
      <c r="D15892" s="101"/>
      <c r="E15892" s="125"/>
      <c r="F15892" s="106"/>
    </row>
    <row r="15893" spans="1:6" ht="15" customHeight="1" x14ac:dyDescent="0.25">
      <c r="A15893" s="97" t="s">
        <v>548</v>
      </c>
      <c r="B15893" s="128"/>
      <c r="C15893" s="110"/>
      <c r="D15893" s="110"/>
      <c r="E15893" s="110"/>
      <c r="F15893" s="112">
        <f>SUM(F15889:F15892)</f>
        <v>8854.0344444444454</v>
      </c>
    </row>
    <row r="15894" spans="1:6" ht="15" customHeight="1" x14ac:dyDescent="0.25">
      <c r="A15894" s="96"/>
      <c r="B15894" s="129"/>
      <c r="C15894" s="118"/>
      <c r="D15894" s="118"/>
      <c r="E15894" s="118"/>
      <c r="F15894" s="118"/>
    </row>
    <row r="15895" spans="1:6" ht="15" customHeight="1" x14ac:dyDescent="0.25">
      <c r="A15895" s="95" t="s">
        <v>583</v>
      </c>
      <c r="B15895" s="96"/>
      <c r="C15895" s="92"/>
      <c r="D15895" s="92"/>
      <c r="E15895" s="92" t="s">
        <v>584</v>
      </c>
      <c r="F15895" s="92"/>
    </row>
    <row r="15896" spans="1:6" ht="15" customHeight="1" x14ac:dyDescent="0.25">
      <c r="A15896" s="97" t="s">
        <v>563</v>
      </c>
      <c r="B15896" s="98" t="s">
        <v>564</v>
      </c>
      <c r="C15896" s="98" t="s">
        <v>585</v>
      </c>
      <c r="D15896" s="98" t="s">
        <v>586</v>
      </c>
      <c r="E15896" s="120" t="s">
        <v>587</v>
      </c>
      <c r="F15896" s="98" t="s">
        <v>568</v>
      </c>
    </row>
    <row r="15897" spans="1:6" ht="15" customHeight="1" x14ac:dyDescent="0.25">
      <c r="A15897" s="103"/>
      <c r="B15897" s="100"/>
      <c r="C15897" s="101"/>
      <c r="D15897" s="140"/>
      <c r="E15897" s="107"/>
      <c r="F15897" s="109"/>
    </row>
    <row r="15898" spans="1:6" ht="15" customHeight="1" x14ac:dyDescent="0.25">
      <c r="A15898" s="103"/>
      <c r="B15898" s="100"/>
      <c r="C15898" s="107"/>
      <c r="D15898" s="107"/>
      <c r="E15898" s="108"/>
      <c r="F15898" s="109"/>
    </row>
    <row r="15899" spans="1:6" ht="15" customHeight="1" x14ac:dyDescent="0.25">
      <c r="A15899" s="97" t="s">
        <v>548</v>
      </c>
      <c r="B15899" s="98"/>
      <c r="C15899" s="110"/>
      <c r="D15899" s="110"/>
      <c r="E15899" s="111"/>
      <c r="F15899" s="112">
        <f>SUM(F15897:F15898)</f>
        <v>0</v>
      </c>
    </row>
    <row r="15900" spans="1:6" ht="15" customHeight="1" x14ac:dyDescent="0.25">
      <c r="A15900" s="88"/>
      <c r="B15900" s="89"/>
      <c r="C15900" s="113"/>
      <c r="D15900" s="113"/>
      <c r="E15900" s="114"/>
      <c r="F15900" s="113"/>
    </row>
    <row r="15901" spans="1:6" ht="15" customHeight="1" x14ac:dyDescent="0.25">
      <c r="A15901" s="88"/>
      <c r="B15901" s="89"/>
      <c r="C15901" s="113"/>
      <c r="D15901" s="113"/>
      <c r="E15901" s="114"/>
      <c r="F15901" s="113"/>
    </row>
    <row r="15902" spans="1:6" ht="15" customHeight="1" x14ac:dyDescent="0.25">
      <c r="A15902" s="612" t="s">
        <v>588</v>
      </c>
      <c r="B15902" s="608"/>
      <c r="C15902" s="608"/>
      <c r="D15902" s="608"/>
      <c r="E15902" s="609"/>
      <c r="F15902" s="131">
        <f>ROUND(F15872+F15885+F15893+F15899,0)</f>
        <v>41297</v>
      </c>
    </row>
    <row r="15903" spans="1:6" ht="15" customHeight="1" x14ac:dyDescent="0.25">
      <c r="A15903" s="612" t="s">
        <v>589</v>
      </c>
      <c r="B15903" s="608"/>
      <c r="C15903" s="608"/>
      <c r="D15903" s="608"/>
      <c r="E15903" s="609"/>
      <c r="F15903" s="132"/>
    </row>
    <row r="15904" spans="1:6" ht="15" customHeight="1" x14ac:dyDescent="0.25">
      <c r="A15904" s="146" t="s">
        <v>556</v>
      </c>
      <c r="B15904" s="147"/>
      <c r="C15904" s="147"/>
      <c r="D15904" s="147"/>
      <c r="E15904" s="148"/>
      <c r="F15904" s="133"/>
    </row>
    <row r="15905" spans="1:6" ht="15" customHeight="1" x14ac:dyDescent="0.25">
      <c r="A15905" s="134"/>
      <c r="B15905" s="135"/>
      <c r="C15905" s="135"/>
      <c r="D15905" s="135"/>
      <c r="E15905" s="135"/>
      <c r="F15905" s="136"/>
    </row>
    <row r="15906" spans="1:6" ht="15" customHeight="1" x14ac:dyDescent="0.25">
      <c r="A15906" s="81"/>
      <c r="B15906" s="81"/>
      <c r="C15906" s="137"/>
      <c r="D15906" s="81"/>
      <c r="E15906" s="81"/>
      <c r="F15906" s="81"/>
    </row>
    <row r="15907" spans="1:6" ht="15" customHeight="1" x14ac:dyDescent="0.25">
      <c r="A15907" s="81"/>
      <c r="B15907" s="81"/>
      <c r="C15907" s="137"/>
      <c r="D15907" s="81"/>
      <c r="E15907" s="81"/>
      <c r="F15907" s="81"/>
    </row>
    <row r="15908" spans="1:6" ht="15" customHeight="1" x14ac:dyDescent="0.25">
      <c r="A15908" s="81"/>
      <c r="B15908" s="81"/>
      <c r="C15908" s="137"/>
      <c r="D15908" s="81"/>
      <c r="E15908" s="81"/>
      <c r="F15908" s="81"/>
    </row>
    <row r="15909" spans="1:6" ht="15" customHeight="1" x14ac:dyDescent="0.25">
      <c r="A15909" s="81"/>
      <c r="B15909" s="81"/>
      <c r="C15909" s="137"/>
      <c r="D15909" s="81"/>
      <c r="E15909" s="81"/>
      <c r="F15909" s="81"/>
    </row>
    <row r="15910" spans="1:6" ht="15" customHeight="1" x14ac:dyDescent="0.25">
      <c r="A15910" s="134"/>
      <c r="B15910" s="135"/>
      <c r="C15910" s="135"/>
      <c r="D15910" s="135"/>
      <c r="E15910" s="135"/>
      <c r="F15910" s="136"/>
    </row>
    <row r="15911" spans="1:6" ht="15" customHeight="1" x14ac:dyDescent="0.25">
      <c r="A15911" s="134"/>
      <c r="B15911" s="135"/>
      <c r="C15911" s="135"/>
      <c r="D15911" s="135"/>
      <c r="E15911" s="135"/>
      <c r="F15911" s="136"/>
    </row>
    <row r="15912" spans="1:6" ht="15" customHeight="1" x14ac:dyDescent="0.25">
      <c r="A15912" s="134"/>
      <c r="B15912" s="135"/>
      <c r="C15912" s="135"/>
      <c r="D15912" s="135"/>
      <c r="E15912" s="135"/>
      <c r="F15912" s="135"/>
    </row>
    <row r="15913" spans="1:6" ht="15" customHeight="1" thickBot="1" x14ac:dyDescent="0.3">
      <c r="A15913" s="81"/>
      <c r="B15913" s="81"/>
      <c r="C15913" s="81"/>
      <c r="D15913" s="81"/>
      <c r="E15913" s="81"/>
      <c r="F15913" s="81"/>
    </row>
    <row r="15914" spans="1:6" ht="15" customHeight="1" x14ac:dyDescent="0.25">
      <c r="A15914" s="83"/>
      <c r="B15914" s="84"/>
      <c r="C15914" s="85"/>
      <c r="D15914" s="86"/>
      <c r="E15914" s="86"/>
      <c r="F15914" s="87"/>
    </row>
    <row r="15915" spans="1:6" ht="15" customHeight="1" x14ac:dyDescent="0.25">
      <c r="A15915" s="599"/>
      <c r="B15915" s="600"/>
      <c r="C15915" s="600"/>
      <c r="D15915" s="600"/>
      <c r="E15915" s="600"/>
      <c r="F15915" s="601"/>
    </row>
    <row r="15916" spans="1:6" ht="15" customHeight="1" x14ac:dyDescent="0.25">
      <c r="A15916" s="602" t="s">
        <v>561</v>
      </c>
      <c r="B15916" s="600"/>
      <c r="C15916" s="600"/>
      <c r="D15916" s="600"/>
      <c r="E15916" s="600"/>
      <c r="F15916" s="601"/>
    </row>
    <row r="15917" spans="1:6" ht="15" customHeight="1" thickBot="1" x14ac:dyDescent="0.3">
      <c r="A15917" s="603"/>
      <c r="B15917" s="604"/>
      <c r="C15917" s="604"/>
      <c r="D15917" s="604"/>
      <c r="E15917" s="604"/>
      <c r="F15917" s="605"/>
    </row>
    <row r="15918" spans="1:6" ht="15" customHeight="1" x14ac:dyDescent="0.25">
      <c r="A15918" s="88"/>
      <c r="B15918" s="88"/>
      <c r="C15918" s="89"/>
      <c r="D15918" s="89"/>
      <c r="E15918" s="89"/>
      <c r="F15918" s="89"/>
    </row>
    <row r="15919" spans="1:6" ht="15" customHeight="1" x14ac:dyDescent="0.25">
      <c r="A15919" s="90" t="s">
        <v>47</v>
      </c>
      <c r="B15919" s="613" t="str">
        <f>'Presupuesto Especifico'!C348</f>
        <v>Suministro e instalación de luminaria tipo bala 26W 120V hermetica 6500k</v>
      </c>
      <c r="C15919" s="600"/>
      <c r="D15919" s="600"/>
      <c r="E15919" s="600"/>
      <c r="F15919" s="600"/>
    </row>
    <row r="15920" spans="1:6" ht="15" customHeight="1" x14ac:dyDescent="0.25">
      <c r="A15920" s="91"/>
      <c r="B15920" s="91"/>
      <c r="C15920" s="91"/>
      <c r="D15920" s="91"/>
      <c r="E15920" s="91"/>
      <c r="F15920" s="91"/>
    </row>
    <row r="15921" spans="1:6" ht="15" customHeight="1" x14ac:dyDescent="0.25">
      <c r="A15921" s="88" t="s">
        <v>49</v>
      </c>
      <c r="B15921" s="92" t="s">
        <v>99</v>
      </c>
      <c r="C15921" s="89"/>
      <c r="D15921" s="89"/>
      <c r="E15921" s="89"/>
      <c r="F15921" s="93"/>
    </row>
    <row r="15922" spans="1:6" ht="15" customHeight="1" x14ac:dyDescent="0.25">
      <c r="A15922" s="88"/>
      <c r="B15922" s="94"/>
      <c r="C15922" s="89"/>
      <c r="D15922" s="89"/>
      <c r="E15922" s="89"/>
      <c r="F15922" s="93"/>
    </row>
    <row r="15923" spans="1:6" ht="15" customHeight="1" x14ac:dyDescent="0.25">
      <c r="A15923" s="95" t="s">
        <v>562</v>
      </c>
      <c r="B15923" s="96"/>
      <c r="C15923" s="92"/>
      <c r="D15923" s="92"/>
      <c r="E15923" s="92"/>
      <c r="F15923" s="92"/>
    </row>
    <row r="15924" spans="1:6" ht="15" customHeight="1" x14ac:dyDescent="0.25">
      <c r="A15924" s="97" t="s">
        <v>563</v>
      </c>
      <c r="B15924" s="98" t="s">
        <v>564</v>
      </c>
      <c r="C15924" s="98" t="s">
        <v>565</v>
      </c>
      <c r="D15924" s="98" t="s">
        <v>566</v>
      </c>
      <c r="E15924" s="98" t="s">
        <v>567</v>
      </c>
      <c r="F15924" s="98" t="s">
        <v>568</v>
      </c>
    </row>
    <row r="15925" spans="1:6" ht="15" customHeight="1" x14ac:dyDescent="0.25">
      <c r="A15925" s="201" t="s">
        <v>1101</v>
      </c>
      <c r="B15925" s="100" t="s">
        <v>99</v>
      </c>
      <c r="C15925" s="205">
        <f>43000*2.5</f>
        <v>107500</v>
      </c>
      <c r="D15925" s="149">
        <v>1</v>
      </c>
      <c r="E15925" s="102"/>
      <c r="F15925" s="101">
        <f>C15925*(D15925+(D15925*E15925))</f>
        <v>107500</v>
      </c>
    </row>
    <row r="15926" spans="1:6" ht="15" customHeight="1" x14ac:dyDescent="0.25">
      <c r="A15926" s="99"/>
      <c r="B15926" s="100"/>
      <c r="C15926" s="101"/>
      <c r="D15926" s="149"/>
      <c r="E15926" s="102"/>
      <c r="F15926" s="101"/>
    </row>
    <row r="15927" spans="1:6" ht="15" customHeight="1" x14ac:dyDescent="0.25">
      <c r="A15927" s="99"/>
      <c r="B15927" s="100"/>
      <c r="C15927" s="101"/>
      <c r="D15927" s="149"/>
      <c r="E15927" s="102"/>
      <c r="F15927" s="101"/>
    </row>
    <row r="15928" spans="1:6" ht="15" customHeight="1" x14ac:dyDescent="0.25">
      <c r="A15928" s="99"/>
      <c r="B15928" s="100"/>
      <c r="C15928" s="101"/>
      <c r="D15928" s="149"/>
      <c r="E15928" s="102"/>
      <c r="F15928" s="101"/>
    </row>
    <row r="15929" spans="1:6" ht="15" customHeight="1" x14ac:dyDescent="0.25">
      <c r="A15929" s="99"/>
      <c r="B15929" s="100"/>
      <c r="C15929" s="101"/>
      <c r="D15929" s="149"/>
      <c r="E15929" s="102"/>
      <c r="F15929" s="101"/>
    </row>
    <row r="15930" spans="1:6" ht="15" customHeight="1" x14ac:dyDescent="0.25">
      <c r="A15930" s="99"/>
      <c r="B15930" s="100"/>
      <c r="C15930" s="101"/>
      <c r="D15930" s="149"/>
      <c r="E15930" s="102"/>
      <c r="F15930" s="101"/>
    </row>
    <row r="15931" spans="1:6" ht="15" customHeight="1" x14ac:dyDescent="0.25">
      <c r="A15931" s="99"/>
      <c r="B15931" s="100"/>
      <c r="C15931" s="101"/>
      <c r="D15931" s="149"/>
      <c r="E15931" s="102"/>
      <c r="F15931" s="101"/>
    </row>
    <row r="15932" spans="1:6" ht="15" customHeight="1" x14ac:dyDescent="0.25">
      <c r="A15932" s="99"/>
      <c r="B15932" s="100"/>
      <c r="C15932" s="101"/>
      <c r="D15932" s="149"/>
      <c r="E15932" s="102"/>
      <c r="F15932" s="101"/>
    </row>
    <row r="15933" spans="1:6" ht="15" customHeight="1" x14ac:dyDescent="0.25">
      <c r="A15933" s="99"/>
      <c r="B15933" s="100"/>
      <c r="C15933" s="101"/>
      <c r="D15933" s="149"/>
      <c r="E15933" s="102"/>
      <c r="F15933" s="101"/>
    </row>
    <row r="15934" spans="1:6" ht="15" customHeight="1" x14ac:dyDescent="0.25">
      <c r="A15934" s="99"/>
      <c r="B15934" s="100"/>
      <c r="C15934" s="106"/>
      <c r="D15934" s="107"/>
      <c r="E15934" s="108"/>
      <c r="F15934" s="106"/>
    </row>
    <row r="15935" spans="1:6" ht="15" customHeight="1" x14ac:dyDescent="0.25">
      <c r="A15935" s="97" t="s">
        <v>548</v>
      </c>
      <c r="B15935" s="97"/>
      <c r="C15935" s="109"/>
      <c r="D15935" s="110"/>
      <c r="E15935" s="111"/>
      <c r="F15935" s="112">
        <f>SUM(F15925:F15934)</f>
        <v>107500</v>
      </c>
    </row>
    <row r="15936" spans="1:6" ht="15" customHeight="1" x14ac:dyDescent="0.25">
      <c r="A15936" s="88"/>
      <c r="B15936" s="88"/>
      <c r="C15936" s="113"/>
      <c r="D15936" s="113"/>
      <c r="E15936" s="114"/>
      <c r="F15936" s="113"/>
    </row>
    <row r="15937" spans="1:6" ht="15" customHeight="1" x14ac:dyDescent="0.25">
      <c r="A15937" s="96" t="s">
        <v>573</v>
      </c>
      <c r="B15937" s="96"/>
      <c r="C15937" s="92"/>
      <c r="D15937" s="92"/>
      <c r="E15937" s="92"/>
      <c r="F15937" s="92"/>
    </row>
    <row r="15938" spans="1:6" ht="15" customHeight="1" x14ac:dyDescent="0.25">
      <c r="A15938" s="611" t="s">
        <v>563</v>
      </c>
      <c r="B15938" s="608"/>
      <c r="C15938" s="609"/>
      <c r="D15938" s="98" t="s">
        <v>574</v>
      </c>
      <c r="E15938" s="98" t="s">
        <v>575</v>
      </c>
      <c r="F15938" s="98" t="s">
        <v>568</v>
      </c>
    </row>
    <row r="15939" spans="1:6" ht="15" customHeight="1" x14ac:dyDescent="0.25">
      <c r="A15939" s="607" t="s">
        <v>577</v>
      </c>
      <c r="B15939" s="608"/>
      <c r="C15939" s="609"/>
      <c r="D15939" s="116"/>
      <c r="E15939" s="107"/>
      <c r="F15939" s="106">
        <f>+F15956*5%</f>
        <v>2656.2103333333334</v>
      </c>
    </row>
    <row r="15940" spans="1:6" ht="15" customHeight="1" x14ac:dyDescent="0.25">
      <c r="A15940" s="607"/>
      <c r="B15940" s="608"/>
      <c r="C15940" s="609"/>
      <c r="D15940" s="142"/>
      <c r="E15940" s="105"/>
      <c r="F15940" s="106"/>
    </row>
    <row r="15941" spans="1:6" ht="15" customHeight="1" x14ac:dyDescent="0.25">
      <c r="A15941" s="607"/>
      <c r="B15941" s="608"/>
      <c r="C15941" s="609"/>
      <c r="D15941" s="142"/>
      <c r="E15941" s="105"/>
      <c r="F15941" s="106"/>
    </row>
    <row r="15942" spans="1:6" ht="15" customHeight="1" x14ac:dyDescent="0.25">
      <c r="A15942" s="607"/>
      <c r="B15942" s="608"/>
      <c r="C15942" s="609"/>
      <c r="D15942" s="142"/>
      <c r="E15942" s="107"/>
      <c r="F15942" s="106"/>
    </row>
    <row r="15943" spans="1:6" ht="15" customHeight="1" x14ac:dyDescent="0.25">
      <c r="A15943" s="607"/>
      <c r="B15943" s="608"/>
      <c r="C15943" s="609"/>
      <c r="D15943" s="142"/>
      <c r="E15943" s="107"/>
      <c r="F15943" s="106"/>
    </row>
    <row r="15944" spans="1:6" ht="15" customHeight="1" x14ac:dyDescent="0.25">
      <c r="A15944" s="607"/>
      <c r="B15944" s="608"/>
      <c r="C15944" s="609"/>
      <c r="D15944" s="142"/>
      <c r="E15944" s="107"/>
      <c r="F15944" s="106"/>
    </row>
    <row r="15945" spans="1:6" ht="15" customHeight="1" x14ac:dyDescent="0.25">
      <c r="A15945" s="607"/>
      <c r="B15945" s="608"/>
      <c r="C15945" s="609"/>
      <c r="D15945" s="142"/>
      <c r="E15945" s="107"/>
      <c r="F15945" s="106"/>
    </row>
    <row r="15946" spans="1:6" ht="15" customHeight="1" x14ac:dyDescent="0.25">
      <c r="A15946" s="607"/>
      <c r="B15946" s="608"/>
      <c r="C15946" s="609"/>
      <c r="D15946" s="142"/>
      <c r="E15946" s="107"/>
      <c r="F15946" s="106"/>
    </row>
    <row r="15947" spans="1:6" ht="15" customHeight="1" x14ac:dyDescent="0.25">
      <c r="A15947" s="610"/>
      <c r="B15947" s="608"/>
      <c r="C15947" s="609"/>
      <c r="D15947" s="115"/>
      <c r="E15947" s="107"/>
      <c r="F15947" s="106"/>
    </row>
    <row r="15948" spans="1:6" ht="15" customHeight="1" x14ac:dyDescent="0.25">
      <c r="A15948" s="611" t="s">
        <v>548</v>
      </c>
      <c r="B15948" s="608"/>
      <c r="C15948" s="609"/>
      <c r="D15948" s="110"/>
      <c r="E15948" s="110"/>
      <c r="F15948" s="112">
        <f>SUM(F15939:F15946)</f>
        <v>2656.2103333333334</v>
      </c>
    </row>
    <row r="15949" spans="1:6" ht="15" customHeight="1" x14ac:dyDescent="0.25">
      <c r="A15949" s="88"/>
      <c r="B15949" s="88"/>
      <c r="C15949" s="89"/>
      <c r="D15949" s="113"/>
      <c r="E15949" s="113"/>
      <c r="F15949" s="113"/>
    </row>
    <row r="15950" spans="1:6" ht="15" customHeight="1" x14ac:dyDescent="0.25">
      <c r="A15950" s="96" t="s">
        <v>578</v>
      </c>
      <c r="B15950" s="96"/>
      <c r="C15950" s="92"/>
      <c r="D15950" s="118"/>
      <c r="E15950" s="118"/>
      <c r="F15950" s="118"/>
    </row>
    <row r="15951" spans="1:6" ht="15" customHeight="1" x14ac:dyDescent="0.25">
      <c r="A15951" s="119" t="s">
        <v>563</v>
      </c>
      <c r="B15951" s="120" t="s">
        <v>579</v>
      </c>
      <c r="C15951" s="120" t="s">
        <v>580</v>
      </c>
      <c r="D15951" s="121" t="s">
        <v>581</v>
      </c>
      <c r="E15951" s="121" t="s">
        <v>575</v>
      </c>
      <c r="F15951" s="121" t="s">
        <v>568</v>
      </c>
    </row>
    <row r="15952" spans="1:6" ht="15" customHeight="1" x14ac:dyDescent="0.25">
      <c r="A15952" s="122" t="s">
        <v>916</v>
      </c>
      <c r="B15952" s="127">
        <v>1</v>
      </c>
      <c r="C15952" s="101">
        <v>35956.800000000003</v>
      </c>
      <c r="D15952" s="101">
        <f t="shared" ref="D15952:D15953" si="773">+C15952*1.7</f>
        <v>61126.560000000005</v>
      </c>
      <c r="E15952" s="107">
        <v>3</v>
      </c>
      <c r="F15952" s="106">
        <f t="shared" ref="F15952:F15953" si="774">+B15952*(D15952)/E15952</f>
        <v>20375.52</v>
      </c>
    </row>
    <row r="15953" spans="1:6" ht="15" customHeight="1" x14ac:dyDescent="0.25">
      <c r="A15953" s="122" t="s">
        <v>917</v>
      </c>
      <c r="B15953" s="127">
        <v>1</v>
      </c>
      <c r="C15953" s="101">
        <v>57791.8</v>
      </c>
      <c r="D15953" s="101">
        <f t="shared" si="773"/>
        <v>98246.06</v>
      </c>
      <c r="E15953" s="107">
        <f>E15952</f>
        <v>3</v>
      </c>
      <c r="F15953" s="106">
        <f t="shared" si="774"/>
        <v>32748.686666666665</v>
      </c>
    </row>
    <row r="15954" spans="1:6" ht="15" customHeight="1" x14ac:dyDescent="0.25">
      <c r="A15954" s="122"/>
      <c r="B15954" s="127"/>
      <c r="C15954" s="101"/>
      <c r="D15954" s="101"/>
      <c r="E15954" s="105"/>
      <c r="F15954" s="106"/>
    </row>
    <row r="15955" spans="1:6" ht="15" customHeight="1" x14ac:dyDescent="0.25">
      <c r="A15955" s="122"/>
      <c r="B15955" s="127"/>
      <c r="C15955" s="101"/>
      <c r="D15955" s="101"/>
      <c r="E15955" s="125"/>
      <c r="F15955" s="106"/>
    </row>
    <row r="15956" spans="1:6" ht="15" customHeight="1" x14ac:dyDescent="0.25">
      <c r="A15956" s="97" t="s">
        <v>548</v>
      </c>
      <c r="B15956" s="128"/>
      <c r="C15956" s="110"/>
      <c r="D15956" s="110"/>
      <c r="E15956" s="110"/>
      <c r="F15956" s="112">
        <f>SUM(F15952:F15955)</f>
        <v>53124.206666666665</v>
      </c>
    </row>
    <row r="15957" spans="1:6" ht="15" customHeight="1" x14ac:dyDescent="0.25">
      <c r="A15957" s="96"/>
      <c r="B15957" s="129"/>
      <c r="C15957" s="118"/>
      <c r="D15957" s="118"/>
      <c r="E15957" s="118"/>
      <c r="F15957" s="118"/>
    </row>
    <row r="15958" spans="1:6" ht="15" customHeight="1" x14ac:dyDescent="0.25">
      <c r="A15958" s="95" t="s">
        <v>583</v>
      </c>
      <c r="B15958" s="96"/>
      <c r="C15958" s="92"/>
      <c r="D15958" s="92"/>
      <c r="E15958" s="92" t="s">
        <v>584</v>
      </c>
      <c r="F15958" s="92"/>
    </row>
    <row r="15959" spans="1:6" ht="15" customHeight="1" x14ac:dyDescent="0.25">
      <c r="A15959" s="97" t="s">
        <v>563</v>
      </c>
      <c r="B15959" s="98" t="s">
        <v>564</v>
      </c>
      <c r="C15959" s="98" t="s">
        <v>585</v>
      </c>
      <c r="D15959" s="98" t="s">
        <v>586</v>
      </c>
      <c r="E15959" s="120" t="s">
        <v>587</v>
      </c>
      <c r="F15959" s="98" t="s">
        <v>568</v>
      </c>
    </row>
    <row r="15960" spans="1:6" ht="15" customHeight="1" x14ac:dyDescent="0.25">
      <c r="A15960" s="103"/>
      <c r="B15960" s="100"/>
      <c r="C15960" s="101"/>
      <c r="D15960" s="140"/>
      <c r="E15960" s="107"/>
      <c r="F15960" s="109"/>
    </row>
    <row r="15961" spans="1:6" ht="15" customHeight="1" x14ac:dyDescent="0.25">
      <c r="A15961" s="103"/>
      <c r="B15961" s="100"/>
      <c r="C15961" s="107"/>
      <c r="D15961" s="107"/>
      <c r="E15961" s="108"/>
      <c r="F15961" s="109"/>
    </row>
    <row r="15962" spans="1:6" ht="15" customHeight="1" x14ac:dyDescent="0.25">
      <c r="A15962" s="97" t="s">
        <v>548</v>
      </c>
      <c r="B15962" s="98"/>
      <c r="C15962" s="110"/>
      <c r="D15962" s="110"/>
      <c r="E15962" s="111"/>
      <c r="F15962" s="112">
        <f>SUM(F15960:F15961)</f>
        <v>0</v>
      </c>
    </row>
    <row r="15963" spans="1:6" ht="15" customHeight="1" x14ac:dyDescent="0.25">
      <c r="A15963" s="88"/>
      <c r="B15963" s="89"/>
      <c r="C15963" s="113"/>
      <c r="D15963" s="113"/>
      <c r="E15963" s="114"/>
      <c r="F15963" s="113"/>
    </row>
    <row r="15964" spans="1:6" ht="15" customHeight="1" x14ac:dyDescent="0.25">
      <c r="A15964" s="88"/>
      <c r="B15964" s="89"/>
      <c r="C15964" s="113"/>
      <c r="D15964" s="113"/>
      <c r="E15964" s="114"/>
      <c r="F15964" s="113"/>
    </row>
    <row r="15965" spans="1:6" ht="15" customHeight="1" x14ac:dyDescent="0.25">
      <c r="A15965" s="612" t="s">
        <v>588</v>
      </c>
      <c r="B15965" s="608"/>
      <c r="C15965" s="608"/>
      <c r="D15965" s="608"/>
      <c r="E15965" s="609"/>
      <c r="F15965" s="131">
        <f>ROUND(F15935+F15948+F15956+F15962,0)</f>
        <v>163280</v>
      </c>
    </row>
    <row r="15966" spans="1:6" ht="15" customHeight="1" x14ac:dyDescent="0.25">
      <c r="A15966" s="612" t="s">
        <v>589</v>
      </c>
      <c r="B15966" s="608"/>
      <c r="C15966" s="608"/>
      <c r="D15966" s="608"/>
      <c r="E15966" s="609"/>
      <c r="F15966" s="132"/>
    </row>
    <row r="15967" spans="1:6" ht="15" customHeight="1" x14ac:dyDescent="0.25">
      <c r="A15967" s="146" t="s">
        <v>556</v>
      </c>
      <c r="B15967" s="147"/>
      <c r="C15967" s="147"/>
      <c r="D15967" s="147"/>
      <c r="E15967" s="148"/>
      <c r="F15967" s="133"/>
    </row>
    <row r="15968" spans="1:6" ht="15" customHeight="1" x14ac:dyDescent="0.25">
      <c r="A15968" s="134"/>
      <c r="B15968" s="135"/>
      <c r="C15968" s="135"/>
      <c r="D15968" s="135"/>
      <c r="E15968" s="135"/>
      <c r="F15968" s="136"/>
    </row>
    <row r="15969" spans="1:6" ht="15" customHeight="1" x14ac:dyDescent="0.25">
      <c r="A15969" s="81"/>
      <c r="B15969" s="81"/>
      <c r="C15969" s="137"/>
      <c r="D15969" s="81"/>
      <c r="E15969" s="81"/>
      <c r="F15969" s="81"/>
    </row>
    <row r="15970" spans="1:6" ht="15" customHeight="1" x14ac:dyDescent="0.25">
      <c r="A15970" s="81"/>
      <c r="B15970" s="81"/>
      <c r="C15970" s="137"/>
      <c r="D15970" s="81"/>
      <c r="E15970" s="81"/>
      <c r="F15970" s="81"/>
    </row>
    <row r="15971" spans="1:6" ht="15" customHeight="1" x14ac:dyDescent="0.25">
      <c r="A15971" s="81"/>
      <c r="B15971" s="81"/>
      <c r="C15971" s="137"/>
      <c r="D15971" s="81"/>
      <c r="E15971" s="81"/>
      <c r="F15971" s="81"/>
    </row>
    <row r="15972" spans="1:6" ht="15" customHeight="1" x14ac:dyDescent="0.25">
      <c r="A15972" s="81"/>
      <c r="B15972" s="81"/>
      <c r="C15972" s="137"/>
      <c r="D15972" s="81"/>
      <c r="E15972" s="81"/>
      <c r="F15972" s="81"/>
    </row>
    <row r="15973" spans="1:6" ht="15" customHeight="1" x14ac:dyDescent="0.25">
      <c r="A15973" s="134"/>
      <c r="B15973" s="135"/>
      <c r="C15973" s="135"/>
      <c r="D15973" s="135"/>
      <c r="E15973" s="135"/>
      <c r="F15973" s="136"/>
    </row>
    <row r="15974" spans="1:6" ht="15" customHeight="1" x14ac:dyDescent="0.25">
      <c r="A15974" s="134"/>
      <c r="B15974" s="135"/>
      <c r="C15974" s="135"/>
      <c r="D15974" s="135"/>
      <c r="E15974" s="135"/>
      <c r="F15974" s="136"/>
    </row>
    <row r="15975" spans="1:6" ht="15" customHeight="1" x14ac:dyDescent="0.25">
      <c r="A15975" s="134"/>
      <c r="B15975" s="135"/>
      <c r="C15975" s="135"/>
      <c r="D15975" s="135"/>
      <c r="E15975" s="135"/>
      <c r="F15975" s="135"/>
    </row>
    <row r="15976" spans="1:6" ht="15" customHeight="1" thickBot="1" x14ac:dyDescent="0.3">
      <c r="A15976" s="81"/>
      <c r="B15976" s="81"/>
      <c r="C15976" s="81"/>
      <c r="D15976" s="81"/>
      <c r="E15976" s="81"/>
      <c r="F15976" s="81"/>
    </row>
    <row r="15977" spans="1:6" ht="15" customHeight="1" x14ac:dyDescent="0.25">
      <c r="A15977" s="83"/>
      <c r="B15977" s="84"/>
      <c r="C15977" s="85"/>
      <c r="D15977" s="86"/>
      <c r="E15977" s="86"/>
      <c r="F15977" s="87"/>
    </row>
    <row r="15978" spans="1:6" ht="15" customHeight="1" x14ac:dyDescent="0.25">
      <c r="A15978" s="599"/>
      <c r="B15978" s="600"/>
      <c r="C15978" s="600"/>
      <c r="D15978" s="600"/>
      <c r="E15978" s="600"/>
      <c r="F15978" s="601"/>
    </row>
    <row r="15979" spans="1:6" ht="15" customHeight="1" x14ac:dyDescent="0.25">
      <c r="A15979" s="602" t="s">
        <v>561</v>
      </c>
      <c r="B15979" s="600"/>
      <c r="C15979" s="600"/>
      <c r="D15979" s="600"/>
      <c r="E15979" s="600"/>
      <c r="F15979" s="601"/>
    </row>
    <row r="15980" spans="1:6" ht="15" customHeight="1" thickBot="1" x14ac:dyDescent="0.3">
      <c r="A15980" s="603"/>
      <c r="B15980" s="604"/>
      <c r="C15980" s="604"/>
      <c r="D15980" s="604"/>
      <c r="E15980" s="604"/>
      <c r="F15980" s="605"/>
    </row>
    <row r="15981" spans="1:6" ht="15" customHeight="1" x14ac:dyDescent="0.25">
      <c r="A15981" s="88"/>
      <c r="B15981" s="88"/>
      <c r="C15981" s="89"/>
      <c r="D15981" s="89"/>
      <c r="E15981" s="89"/>
      <c r="F15981" s="89"/>
    </row>
    <row r="15982" spans="1:6" ht="15" customHeight="1" x14ac:dyDescent="0.25">
      <c r="A15982" s="90" t="s">
        <v>47</v>
      </c>
      <c r="B15982" s="613" t="str">
        <f>'Presupuesto Especifico'!C349</f>
        <v>Suministro e instalación de LUMINARIA HERMETICA 2X32W LED IP 65 6000K</v>
      </c>
      <c r="C15982" s="600"/>
      <c r="D15982" s="600"/>
      <c r="E15982" s="600"/>
      <c r="F15982" s="600"/>
    </row>
    <row r="15983" spans="1:6" ht="15" customHeight="1" x14ac:dyDescent="0.25">
      <c r="A15983" s="91"/>
      <c r="B15983" s="91"/>
      <c r="C15983" s="91"/>
      <c r="D15983" s="91"/>
      <c r="E15983" s="91"/>
      <c r="F15983" s="91"/>
    </row>
    <row r="15984" spans="1:6" ht="15" customHeight="1" x14ac:dyDescent="0.25">
      <c r="A15984" s="88" t="s">
        <v>49</v>
      </c>
      <c r="B15984" s="92" t="s">
        <v>99</v>
      </c>
      <c r="C15984" s="89"/>
      <c r="D15984" s="89"/>
      <c r="E15984" s="89"/>
      <c r="F15984" s="93"/>
    </row>
    <row r="15985" spans="1:6" ht="15" customHeight="1" x14ac:dyDescent="0.25">
      <c r="A15985" s="88"/>
      <c r="B15985" s="94"/>
      <c r="C15985" s="89"/>
      <c r="D15985" s="89"/>
      <c r="E15985" s="89"/>
      <c r="F15985" s="93"/>
    </row>
    <row r="15986" spans="1:6" ht="15" customHeight="1" x14ac:dyDescent="0.25">
      <c r="A15986" s="95" t="s">
        <v>562</v>
      </c>
      <c r="B15986" s="96"/>
      <c r="C15986" s="92"/>
      <c r="D15986" s="92"/>
      <c r="E15986" s="92"/>
      <c r="F15986" s="92"/>
    </row>
    <row r="15987" spans="1:6" ht="15" customHeight="1" x14ac:dyDescent="0.25">
      <c r="A15987" s="97" t="s">
        <v>563</v>
      </c>
      <c r="B15987" s="98" t="s">
        <v>564</v>
      </c>
      <c r="C15987" s="98" t="s">
        <v>565</v>
      </c>
      <c r="D15987" s="98" t="s">
        <v>566</v>
      </c>
      <c r="E15987" s="98" t="s">
        <v>567</v>
      </c>
      <c r="F15987" s="98" t="s">
        <v>568</v>
      </c>
    </row>
    <row r="15988" spans="1:6" ht="15" customHeight="1" x14ac:dyDescent="0.25">
      <c r="A15988" s="201" t="s">
        <v>1102</v>
      </c>
      <c r="B15988" s="202" t="s">
        <v>279</v>
      </c>
      <c r="C15988" s="205">
        <f>76500*2.5</f>
        <v>191250</v>
      </c>
      <c r="D15988" s="203">
        <v>1</v>
      </c>
      <c r="E15988" s="204">
        <v>0</v>
      </c>
      <c r="F15988" s="205">
        <f>+C15988*D15988</f>
        <v>191250</v>
      </c>
    </row>
    <row r="15989" spans="1:6" ht="15" customHeight="1" x14ac:dyDescent="0.25">
      <c r="A15989" s="201" t="s">
        <v>1103</v>
      </c>
      <c r="B15989" s="202" t="s">
        <v>279</v>
      </c>
      <c r="C15989" s="205">
        <v>12000</v>
      </c>
      <c r="D15989" s="203">
        <v>1</v>
      </c>
      <c r="E15989" s="204">
        <v>0</v>
      </c>
      <c r="F15989" s="205">
        <f>+C15989*D15989</f>
        <v>12000</v>
      </c>
    </row>
    <row r="15990" spans="1:6" ht="15" customHeight="1" x14ac:dyDescent="0.25">
      <c r="A15990" s="99"/>
      <c r="B15990" s="100"/>
      <c r="C15990" s="101"/>
      <c r="D15990" s="149"/>
      <c r="E15990" s="102"/>
      <c r="F15990" s="101"/>
    </row>
    <row r="15991" spans="1:6" ht="15" customHeight="1" x14ac:dyDescent="0.25">
      <c r="A15991" s="99"/>
      <c r="B15991" s="100"/>
      <c r="C15991" s="101"/>
      <c r="D15991" s="149"/>
      <c r="E15991" s="102"/>
      <c r="F15991" s="101"/>
    </row>
    <row r="15992" spans="1:6" ht="15" customHeight="1" x14ac:dyDescent="0.25">
      <c r="A15992" s="99"/>
      <c r="B15992" s="100"/>
      <c r="C15992" s="101"/>
      <c r="D15992" s="149"/>
      <c r="E15992" s="102"/>
      <c r="F15992" s="101"/>
    </row>
    <row r="15993" spans="1:6" ht="15" customHeight="1" x14ac:dyDescent="0.25">
      <c r="A15993" s="99"/>
      <c r="B15993" s="100"/>
      <c r="C15993" s="101"/>
      <c r="D15993" s="149"/>
      <c r="E15993" s="102"/>
      <c r="F15993" s="101"/>
    </row>
    <row r="15994" spans="1:6" ht="15" customHeight="1" x14ac:dyDescent="0.25">
      <c r="A15994" s="99"/>
      <c r="B15994" s="100"/>
      <c r="C15994" s="101"/>
      <c r="D15994" s="149"/>
      <c r="E15994" s="102"/>
      <c r="F15994" s="101"/>
    </row>
    <row r="15995" spans="1:6" ht="15" customHeight="1" x14ac:dyDescent="0.25">
      <c r="A15995" s="99"/>
      <c r="B15995" s="100"/>
      <c r="C15995" s="101"/>
      <c r="D15995" s="149"/>
      <c r="E15995" s="102"/>
      <c r="F15995" s="101"/>
    </row>
    <row r="15996" spans="1:6" ht="15" customHeight="1" x14ac:dyDescent="0.25">
      <c r="A15996" s="99"/>
      <c r="B15996" s="100"/>
      <c r="C15996" s="101"/>
      <c r="D15996" s="149"/>
      <c r="E15996" s="102"/>
      <c r="F15996" s="101"/>
    </row>
    <row r="15997" spans="1:6" ht="15" customHeight="1" x14ac:dyDescent="0.25">
      <c r="A15997" s="99"/>
      <c r="B15997" s="100"/>
      <c r="C15997" s="106"/>
      <c r="D15997" s="107"/>
      <c r="E15997" s="108"/>
      <c r="F15997" s="106"/>
    </row>
    <row r="15998" spans="1:6" ht="15" customHeight="1" x14ac:dyDescent="0.25">
      <c r="A15998" s="97" t="s">
        <v>548</v>
      </c>
      <c r="B15998" s="97"/>
      <c r="C15998" s="109"/>
      <c r="D15998" s="110"/>
      <c r="E15998" s="111"/>
      <c r="F15998" s="112">
        <f>SUM(F15988:F15997)</f>
        <v>203250</v>
      </c>
    </row>
    <row r="15999" spans="1:6" ht="15" customHeight="1" x14ac:dyDescent="0.25">
      <c r="A15999" s="88"/>
      <c r="B15999" s="88"/>
      <c r="C15999" s="113"/>
      <c r="D15999" s="113"/>
      <c r="E15999" s="114"/>
      <c r="F15999" s="113"/>
    </row>
    <row r="16000" spans="1:6" ht="15" customHeight="1" x14ac:dyDescent="0.25">
      <c r="A16000" s="96" t="s">
        <v>573</v>
      </c>
      <c r="B16000" s="96"/>
      <c r="C16000" s="92"/>
      <c r="D16000" s="92"/>
      <c r="E16000" s="92"/>
      <c r="F16000" s="92"/>
    </row>
    <row r="16001" spans="1:6" ht="15" customHeight="1" x14ac:dyDescent="0.25">
      <c r="A16001" s="611" t="s">
        <v>563</v>
      </c>
      <c r="B16001" s="608"/>
      <c r="C16001" s="609"/>
      <c r="D16001" s="98" t="s">
        <v>574</v>
      </c>
      <c r="E16001" s="98" t="s">
        <v>575</v>
      </c>
      <c r="F16001" s="98" t="s">
        <v>568</v>
      </c>
    </row>
    <row r="16002" spans="1:6" ht="15" customHeight="1" x14ac:dyDescent="0.25">
      <c r="A16002" s="607" t="s">
        <v>577</v>
      </c>
      <c r="B16002" s="608"/>
      <c r="C16002" s="609"/>
      <c r="D16002" s="116"/>
      <c r="E16002" s="107"/>
      <c r="F16002" s="106">
        <f>+F16019*5%</f>
        <v>2343.7150000000001</v>
      </c>
    </row>
    <row r="16003" spans="1:6" ht="15" customHeight="1" x14ac:dyDescent="0.25">
      <c r="A16003" s="607"/>
      <c r="B16003" s="608"/>
      <c r="C16003" s="609"/>
      <c r="D16003" s="142"/>
      <c r="E16003" s="105"/>
      <c r="F16003" s="106"/>
    </row>
    <row r="16004" spans="1:6" ht="15" customHeight="1" x14ac:dyDescent="0.25">
      <c r="A16004" s="607"/>
      <c r="B16004" s="608"/>
      <c r="C16004" s="609"/>
      <c r="D16004" s="142"/>
      <c r="E16004" s="105"/>
      <c r="F16004" s="106"/>
    </row>
    <row r="16005" spans="1:6" ht="15" customHeight="1" x14ac:dyDescent="0.25">
      <c r="A16005" s="607"/>
      <c r="B16005" s="608"/>
      <c r="C16005" s="609"/>
      <c r="D16005" s="142"/>
      <c r="E16005" s="107"/>
      <c r="F16005" s="106"/>
    </row>
    <row r="16006" spans="1:6" ht="15" customHeight="1" x14ac:dyDescent="0.25">
      <c r="A16006" s="607"/>
      <c r="B16006" s="608"/>
      <c r="C16006" s="609"/>
      <c r="D16006" s="142"/>
      <c r="E16006" s="107"/>
      <c r="F16006" s="106"/>
    </row>
    <row r="16007" spans="1:6" ht="15" customHeight="1" x14ac:dyDescent="0.25">
      <c r="A16007" s="607"/>
      <c r="B16007" s="608"/>
      <c r="C16007" s="609"/>
      <c r="D16007" s="142"/>
      <c r="E16007" s="107"/>
      <c r="F16007" s="106"/>
    </row>
    <row r="16008" spans="1:6" ht="15" customHeight="1" x14ac:dyDescent="0.25">
      <c r="A16008" s="607"/>
      <c r="B16008" s="608"/>
      <c r="C16008" s="609"/>
      <c r="D16008" s="142"/>
      <c r="E16008" s="107"/>
      <c r="F16008" s="106"/>
    </row>
    <row r="16009" spans="1:6" ht="15" customHeight="1" x14ac:dyDescent="0.25">
      <c r="A16009" s="607"/>
      <c r="B16009" s="608"/>
      <c r="C16009" s="609"/>
      <c r="D16009" s="142"/>
      <c r="E16009" s="107"/>
      <c r="F16009" s="106"/>
    </row>
    <row r="16010" spans="1:6" ht="15" customHeight="1" x14ac:dyDescent="0.25">
      <c r="A16010" s="610"/>
      <c r="B16010" s="608"/>
      <c r="C16010" s="609"/>
      <c r="D16010" s="115"/>
      <c r="E16010" s="107"/>
      <c r="F16010" s="106"/>
    </row>
    <row r="16011" spans="1:6" ht="15" customHeight="1" x14ac:dyDescent="0.25">
      <c r="A16011" s="611" t="s">
        <v>548</v>
      </c>
      <c r="B16011" s="608"/>
      <c r="C16011" s="609"/>
      <c r="D16011" s="110"/>
      <c r="E16011" s="110"/>
      <c r="F16011" s="112">
        <f>SUM(F16002:F16009)</f>
        <v>2343.7150000000001</v>
      </c>
    </row>
    <row r="16012" spans="1:6" ht="15" customHeight="1" x14ac:dyDescent="0.25">
      <c r="A16012" s="88"/>
      <c r="B16012" s="88"/>
      <c r="C16012" s="89"/>
      <c r="D16012" s="113"/>
      <c r="E16012" s="113"/>
      <c r="F16012" s="113"/>
    </row>
    <row r="16013" spans="1:6" ht="15" customHeight="1" x14ac:dyDescent="0.25">
      <c r="A16013" s="96" t="s">
        <v>578</v>
      </c>
      <c r="B16013" s="96"/>
      <c r="C16013" s="92"/>
      <c r="D16013" s="118"/>
      <c r="E16013" s="118"/>
      <c r="F16013" s="118"/>
    </row>
    <row r="16014" spans="1:6" ht="15" customHeight="1" x14ac:dyDescent="0.25">
      <c r="A16014" s="119" t="s">
        <v>563</v>
      </c>
      <c r="B16014" s="120" t="s">
        <v>579</v>
      </c>
      <c r="C16014" s="120" t="s">
        <v>580</v>
      </c>
      <c r="D16014" s="121" t="s">
        <v>581</v>
      </c>
      <c r="E16014" s="121" t="s">
        <v>575</v>
      </c>
      <c r="F16014" s="121" t="s">
        <v>568</v>
      </c>
    </row>
    <row r="16015" spans="1:6" ht="15" customHeight="1" x14ac:dyDescent="0.25">
      <c r="A16015" s="122" t="s">
        <v>916</v>
      </c>
      <c r="B16015" s="127">
        <v>1</v>
      </c>
      <c r="C16015" s="101">
        <v>35956.800000000003</v>
      </c>
      <c r="D16015" s="101">
        <f t="shared" ref="D16015:D16016" si="775">+C16015*1.7</f>
        <v>61126.560000000005</v>
      </c>
      <c r="E16015" s="107">
        <v>3.4</v>
      </c>
      <c r="F16015" s="106">
        <f t="shared" ref="F16015:F16016" si="776">+B16015*(D16015)/E16015</f>
        <v>17978.400000000001</v>
      </c>
    </row>
    <row r="16016" spans="1:6" ht="15" customHeight="1" x14ac:dyDescent="0.25">
      <c r="A16016" s="122" t="s">
        <v>917</v>
      </c>
      <c r="B16016" s="127">
        <v>1</v>
      </c>
      <c r="C16016" s="101">
        <v>57791.8</v>
      </c>
      <c r="D16016" s="101">
        <f t="shared" si="775"/>
        <v>98246.06</v>
      </c>
      <c r="E16016" s="107">
        <f>E16015</f>
        <v>3.4</v>
      </c>
      <c r="F16016" s="106">
        <f t="shared" si="776"/>
        <v>28895.9</v>
      </c>
    </row>
    <row r="16017" spans="1:6" ht="15" customHeight="1" x14ac:dyDescent="0.25">
      <c r="A16017" s="122"/>
      <c r="B16017" s="127"/>
      <c r="C16017" s="101"/>
      <c r="D16017" s="101"/>
      <c r="E16017" s="105"/>
      <c r="F16017" s="106"/>
    </row>
    <row r="16018" spans="1:6" ht="15" customHeight="1" x14ac:dyDescent="0.25">
      <c r="A16018" s="122"/>
      <c r="B16018" s="127"/>
      <c r="C16018" s="101"/>
      <c r="D16018" s="101"/>
      <c r="E16018" s="125"/>
      <c r="F16018" s="106"/>
    </row>
    <row r="16019" spans="1:6" ht="15" customHeight="1" x14ac:dyDescent="0.25">
      <c r="A16019" s="97" t="s">
        <v>548</v>
      </c>
      <c r="B16019" s="128"/>
      <c r="C16019" s="110"/>
      <c r="D16019" s="110"/>
      <c r="E16019" s="110"/>
      <c r="F16019" s="112">
        <f>SUM(F16015:F16018)</f>
        <v>46874.3</v>
      </c>
    </row>
    <row r="16020" spans="1:6" ht="15" customHeight="1" x14ac:dyDescent="0.25">
      <c r="A16020" s="96"/>
      <c r="B16020" s="129"/>
      <c r="C16020" s="118"/>
      <c r="D16020" s="118"/>
      <c r="E16020" s="118"/>
      <c r="F16020" s="118"/>
    </row>
    <row r="16021" spans="1:6" ht="15" customHeight="1" x14ac:dyDescent="0.25">
      <c r="A16021" s="95" t="s">
        <v>583</v>
      </c>
      <c r="B16021" s="96"/>
      <c r="C16021" s="92"/>
      <c r="D16021" s="92"/>
      <c r="E16021" s="92" t="s">
        <v>584</v>
      </c>
      <c r="F16021" s="92"/>
    </row>
    <row r="16022" spans="1:6" ht="15" customHeight="1" x14ac:dyDescent="0.25">
      <c r="A16022" s="97" t="s">
        <v>563</v>
      </c>
      <c r="B16022" s="98" t="s">
        <v>564</v>
      </c>
      <c r="C16022" s="98" t="s">
        <v>585</v>
      </c>
      <c r="D16022" s="98" t="s">
        <v>586</v>
      </c>
      <c r="E16022" s="120" t="s">
        <v>587</v>
      </c>
      <c r="F16022" s="98" t="s">
        <v>568</v>
      </c>
    </row>
    <row r="16023" spans="1:6" ht="15" customHeight="1" x14ac:dyDescent="0.25">
      <c r="A16023" s="103"/>
      <c r="B16023" s="100"/>
      <c r="C16023" s="101"/>
      <c r="D16023" s="140"/>
      <c r="E16023" s="107"/>
      <c r="F16023" s="109"/>
    </row>
    <row r="16024" spans="1:6" ht="15" customHeight="1" x14ac:dyDescent="0.25">
      <c r="A16024" s="103"/>
      <c r="B16024" s="100"/>
      <c r="C16024" s="107"/>
      <c r="D16024" s="107"/>
      <c r="E16024" s="108"/>
      <c r="F16024" s="109"/>
    </row>
    <row r="16025" spans="1:6" ht="15" customHeight="1" x14ac:dyDescent="0.25">
      <c r="A16025" s="97" t="s">
        <v>548</v>
      </c>
      <c r="B16025" s="98"/>
      <c r="C16025" s="110"/>
      <c r="D16025" s="110"/>
      <c r="E16025" s="111"/>
      <c r="F16025" s="112">
        <f>SUM(F16023:F16024)</f>
        <v>0</v>
      </c>
    </row>
    <row r="16026" spans="1:6" ht="15" customHeight="1" x14ac:dyDescent="0.25">
      <c r="A16026" s="88"/>
      <c r="B16026" s="89"/>
      <c r="C16026" s="113"/>
      <c r="D16026" s="113"/>
      <c r="E16026" s="114"/>
      <c r="F16026" s="113"/>
    </row>
    <row r="16027" spans="1:6" ht="15" customHeight="1" x14ac:dyDescent="0.25">
      <c r="A16027" s="88"/>
      <c r="B16027" s="89"/>
      <c r="C16027" s="113"/>
      <c r="D16027" s="113"/>
      <c r="E16027" s="114"/>
      <c r="F16027" s="113"/>
    </row>
    <row r="16028" spans="1:6" ht="15" customHeight="1" x14ac:dyDescent="0.25">
      <c r="A16028" s="612" t="s">
        <v>588</v>
      </c>
      <c r="B16028" s="608"/>
      <c r="C16028" s="608"/>
      <c r="D16028" s="608"/>
      <c r="E16028" s="609"/>
      <c r="F16028" s="131">
        <f>ROUND(F15998+F16011+F16019+F16025,0)</f>
        <v>252468</v>
      </c>
    </row>
    <row r="16029" spans="1:6" ht="15" customHeight="1" x14ac:dyDescent="0.25">
      <c r="A16029" s="612" t="s">
        <v>589</v>
      </c>
      <c r="B16029" s="608"/>
      <c r="C16029" s="608"/>
      <c r="D16029" s="608"/>
      <c r="E16029" s="609"/>
      <c r="F16029" s="132"/>
    </row>
    <row r="16030" spans="1:6" ht="15" customHeight="1" x14ac:dyDescent="0.25">
      <c r="A16030" s="146" t="s">
        <v>556</v>
      </c>
      <c r="B16030" s="147"/>
      <c r="C16030" s="147"/>
      <c r="D16030" s="147"/>
      <c r="E16030" s="148"/>
      <c r="F16030" s="133"/>
    </row>
    <row r="16031" spans="1:6" ht="15" customHeight="1" x14ac:dyDescent="0.25">
      <c r="A16031" s="134"/>
      <c r="B16031" s="135"/>
      <c r="C16031" s="135"/>
      <c r="D16031" s="135"/>
      <c r="E16031" s="135"/>
      <c r="F16031" s="136"/>
    </row>
    <row r="16032" spans="1:6" ht="15" customHeight="1" x14ac:dyDescent="0.25">
      <c r="A16032" s="81"/>
      <c r="B16032" s="81"/>
      <c r="C16032" s="137"/>
      <c r="D16032" s="81"/>
      <c r="E16032" s="81"/>
      <c r="F16032" s="81"/>
    </row>
    <row r="16033" spans="1:6" ht="15" customHeight="1" x14ac:dyDescent="0.25">
      <c r="A16033" s="81"/>
      <c r="B16033" s="81"/>
      <c r="C16033" s="137"/>
      <c r="D16033" s="81"/>
      <c r="E16033" s="81"/>
      <c r="F16033" s="81"/>
    </row>
    <row r="16034" spans="1:6" ht="15" customHeight="1" x14ac:dyDescent="0.25">
      <c r="A16034" s="81"/>
      <c r="B16034" s="81"/>
      <c r="C16034" s="137"/>
      <c r="D16034" s="81"/>
      <c r="E16034" s="81"/>
      <c r="F16034" s="81"/>
    </row>
    <row r="16035" spans="1:6" ht="15" customHeight="1" x14ac:dyDescent="0.25">
      <c r="A16035" s="81"/>
      <c r="B16035" s="81"/>
      <c r="C16035" s="137"/>
      <c r="D16035" s="81"/>
      <c r="E16035" s="81"/>
      <c r="F16035" s="81"/>
    </row>
    <row r="16036" spans="1:6" ht="15" customHeight="1" x14ac:dyDescent="0.25">
      <c r="A16036" s="134"/>
      <c r="B16036" s="135"/>
      <c r="C16036" s="135"/>
      <c r="D16036" s="135"/>
      <c r="E16036" s="135"/>
      <c r="F16036" s="136"/>
    </row>
    <row r="16037" spans="1:6" ht="15" customHeight="1" x14ac:dyDescent="0.25">
      <c r="A16037" s="134"/>
      <c r="B16037" s="135"/>
      <c r="C16037" s="135"/>
      <c r="D16037" s="135"/>
      <c r="E16037" s="135"/>
      <c r="F16037" s="136"/>
    </row>
    <row r="16038" spans="1:6" ht="15" customHeight="1" x14ac:dyDescent="0.25">
      <c r="A16038" s="134"/>
      <c r="B16038" s="135"/>
      <c r="C16038" s="135"/>
      <c r="D16038" s="135"/>
      <c r="E16038" s="135"/>
      <c r="F16038" s="135"/>
    </row>
    <row r="16039" spans="1:6" ht="15" customHeight="1" thickBot="1" x14ac:dyDescent="0.3">
      <c r="A16039" s="81"/>
      <c r="B16039" s="81"/>
      <c r="C16039" s="81"/>
      <c r="D16039" s="81"/>
      <c r="E16039" s="81"/>
      <c r="F16039" s="81"/>
    </row>
    <row r="16040" spans="1:6" ht="15" customHeight="1" x14ac:dyDescent="0.25">
      <c r="A16040" s="83"/>
      <c r="B16040" s="84"/>
      <c r="C16040" s="85"/>
      <c r="D16040" s="86"/>
      <c r="E16040" s="86"/>
      <c r="F16040" s="87"/>
    </row>
    <row r="16041" spans="1:6" ht="15" customHeight="1" x14ac:dyDescent="0.25">
      <c r="A16041" s="599"/>
      <c r="B16041" s="600"/>
      <c r="C16041" s="600"/>
      <c r="D16041" s="600"/>
      <c r="E16041" s="600"/>
      <c r="F16041" s="601"/>
    </row>
    <row r="16042" spans="1:6" ht="15" customHeight="1" x14ac:dyDescent="0.25">
      <c r="A16042" s="602" t="s">
        <v>561</v>
      </c>
      <c r="B16042" s="600"/>
      <c r="C16042" s="600"/>
      <c r="D16042" s="600"/>
      <c r="E16042" s="600"/>
      <c r="F16042" s="601"/>
    </row>
    <row r="16043" spans="1:6" ht="15" customHeight="1" thickBot="1" x14ac:dyDescent="0.3">
      <c r="A16043" s="603"/>
      <c r="B16043" s="604"/>
      <c r="C16043" s="604"/>
      <c r="D16043" s="604"/>
      <c r="E16043" s="604"/>
      <c r="F16043" s="605"/>
    </row>
    <row r="16044" spans="1:6" ht="15" customHeight="1" x14ac:dyDescent="0.25">
      <c r="A16044" s="88"/>
      <c r="B16044" s="88"/>
      <c r="C16044" s="89"/>
      <c r="D16044" s="89"/>
      <c r="E16044" s="89"/>
      <c r="F16044" s="89"/>
    </row>
    <row r="16045" spans="1:6" ht="15" customHeight="1" x14ac:dyDescent="0.25">
      <c r="A16045" s="90" t="s">
        <v>47</v>
      </c>
      <c r="B16045" s="613" t="str">
        <f>'Presupuesto Especifico'!C350</f>
        <v xml:space="preserve">Suministro e instalación de lampara colgante 220V Luminaria led de colgar 100w-100-277v – 14000 lúmenes </v>
      </c>
      <c r="C16045" s="600"/>
      <c r="D16045" s="600"/>
      <c r="E16045" s="600"/>
      <c r="F16045" s="600"/>
    </row>
    <row r="16046" spans="1:6" ht="15" customHeight="1" x14ac:dyDescent="0.25">
      <c r="A16046" s="91"/>
      <c r="B16046" s="91"/>
      <c r="C16046" s="91"/>
      <c r="D16046" s="91"/>
      <c r="E16046" s="91"/>
      <c r="F16046" s="91"/>
    </row>
    <row r="16047" spans="1:6" ht="15" customHeight="1" x14ac:dyDescent="0.25">
      <c r="A16047" s="88" t="s">
        <v>49</v>
      </c>
      <c r="B16047" s="92" t="s">
        <v>99</v>
      </c>
      <c r="C16047" s="89"/>
      <c r="D16047" s="89"/>
      <c r="E16047" s="89"/>
      <c r="F16047" s="93"/>
    </row>
    <row r="16048" spans="1:6" ht="15" customHeight="1" x14ac:dyDescent="0.25">
      <c r="A16048" s="88"/>
      <c r="B16048" s="94"/>
      <c r="C16048" s="89"/>
      <c r="D16048" s="89"/>
      <c r="E16048" s="89"/>
      <c r="F16048" s="93"/>
    </row>
    <row r="16049" spans="1:6" ht="15" customHeight="1" x14ac:dyDescent="0.25">
      <c r="A16049" s="95" t="s">
        <v>562</v>
      </c>
      <c r="B16049" s="96"/>
      <c r="C16049" s="92"/>
      <c r="D16049" s="92"/>
      <c r="E16049" s="92"/>
      <c r="F16049" s="92"/>
    </row>
    <row r="16050" spans="1:6" ht="15" customHeight="1" x14ac:dyDescent="0.25">
      <c r="A16050" s="97" t="s">
        <v>563</v>
      </c>
      <c r="B16050" s="98" t="s">
        <v>564</v>
      </c>
      <c r="C16050" s="98" t="s">
        <v>565</v>
      </c>
      <c r="D16050" s="98" t="s">
        <v>566</v>
      </c>
      <c r="E16050" s="98" t="s">
        <v>567</v>
      </c>
      <c r="F16050" s="98" t="s">
        <v>568</v>
      </c>
    </row>
    <row r="16051" spans="1:6" ht="15" customHeight="1" x14ac:dyDescent="0.25">
      <c r="A16051" s="201" t="s">
        <v>1104</v>
      </c>
      <c r="B16051" s="202" t="s">
        <v>279</v>
      </c>
      <c r="C16051" s="205">
        <f>76500*2.5</f>
        <v>191250</v>
      </c>
      <c r="D16051" s="203">
        <v>1</v>
      </c>
      <c r="E16051" s="204">
        <v>0</v>
      </c>
      <c r="F16051" s="205">
        <f>+C16051*D16051</f>
        <v>191250</v>
      </c>
    </row>
    <row r="16052" spans="1:6" ht="15" customHeight="1" x14ac:dyDescent="0.25">
      <c r="A16052" s="201" t="s">
        <v>1105</v>
      </c>
      <c r="B16052" s="202" t="s">
        <v>59</v>
      </c>
      <c r="C16052" s="205">
        <v>6</v>
      </c>
      <c r="D16052" s="203">
        <v>5000</v>
      </c>
      <c r="E16052" s="204">
        <v>0</v>
      </c>
      <c r="F16052" s="205">
        <f>+C16052*D16052</f>
        <v>30000</v>
      </c>
    </row>
    <row r="16053" spans="1:6" ht="15" customHeight="1" x14ac:dyDescent="0.25">
      <c r="A16053" s="201" t="s">
        <v>1106</v>
      </c>
      <c r="B16053" s="202" t="s">
        <v>279</v>
      </c>
      <c r="C16053" s="205">
        <v>4</v>
      </c>
      <c r="D16053" s="203">
        <v>10000</v>
      </c>
      <c r="E16053" s="204">
        <v>0</v>
      </c>
      <c r="F16053" s="205">
        <f>+C16053*D16053</f>
        <v>40000</v>
      </c>
    </row>
    <row r="16054" spans="1:6" ht="15" customHeight="1" x14ac:dyDescent="0.25">
      <c r="A16054" s="99"/>
      <c r="B16054" s="100"/>
      <c r="C16054" s="101"/>
      <c r="D16054" s="149"/>
      <c r="E16054" s="102"/>
      <c r="F16054" s="101"/>
    </row>
    <row r="16055" spans="1:6" ht="15" customHeight="1" x14ac:dyDescent="0.25">
      <c r="A16055" s="99"/>
      <c r="B16055" s="100"/>
      <c r="C16055" s="101"/>
      <c r="D16055" s="149"/>
      <c r="E16055" s="102"/>
      <c r="F16055" s="101"/>
    </row>
    <row r="16056" spans="1:6" ht="15" customHeight="1" x14ac:dyDescent="0.25">
      <c r="A16056" s="99"/>
      <c r="B16056" s="100"/>
      <c r="C16056" s="101"/>
      <c r="D16056" s="149"/>
      <c r="E16056" s="102"/>
      <c r="F16056" s="101"/>
    </row>
    <row r="16057" spans="1:6" ht="15" customHeight="1" x14ac:dyDescent="0.25">
      <c r="A16057" s="99"/>
      <c r="B16057" s="100"/>
      <c r="C16057" s="101"/>
      <c r="D16057" s="149"/>
      <c r="E16057" s="102"/>
      <c r="F16057" s="101"/>
    </row>
    <row r="16058" spans="1:6" ht="15" customHeight="1" x14ac:dyDescent="0.25">
      <c r="A16058" s="99"/>
      <c r="B16058" s="100"/>
      <c r="C16058" s="101"/>
      <c r="D16058" s="149"/>
      <c r="E16058" s="102"/>
      <c r="F16058" s="101"/>
    </row>
    <row r="16059" spans="1:6" ht="15" customHeight="1" x14ac:dyDescent="0.25">
      <c r="A16059" s="99"/>
      <c r="B16059" s="100"/>
      <c r="C16059" s="101"/>
      <c r="D16059" s="149"/>
      <c r="E16059" s="102"/>
      <c r="F16059" s="101"/>
    </row>
    <row r="16060" spans="1:6" ht="15" customHeight="1" x14ac:dyDescent="0.25">
      <c r="A16060" s="99"/>
      <c r="B16060" s="100"/>
      <c r="C16060" s="106"/>
      <c r="D16060" s="107"/>
      <c r="E16060" s="108"/>
      <c r="F16060" s="106"/>
    </row>
    <row r="16061" spans="1:6" ht="15" customHeight="1" x14ac:dyDescent="0.25">
      <c r="A16061" s="97" t="s">
        <v>548</v>
      </c>
      <c r="B16061" s="97"/>
      <c r="C16061" s="109"/>
      <c r="D16061" s="110"/>
      <c r="E16061" s="111"/>
      <c r="F16061" s="112">
        <f>SUM(F16051:F16060)</f>
        <v>261250</v>
      </c>
    </row>
    <row r="16062" spans="1:6" ht="15" customHeight="1" x14ac:dyDescent="0.25">
      <c r="A16062" s="88"/>
      <c r="B16062" s="88"/>
      <c r="C16062" s="113"/>
      <c r="D16062" s="113"/>
      <c r="E16062" s="114"/>
      <c r="F16062" s="113"/>
    </row>
    <row r="16063" spans="1:6" ht="15" customHeight="1" x14ac:dyDescent="0.25">
      <c r="A16063" s="96" t="s">
        <v>573</v>
      </c>
      <c r="B16063" s="96"/>
      <c r="C16063" s="92"/>
      <c r="D16063" s="92"/>
      <c r="E16063" s="92"/>
      <c r="F16063" s="92"/>
    </row>
    <row r="16064" spans="1:6" ht="15" customHeight="1" x14ac:dyDescent="0.25">
      <c r="A16064" s="611" t="s">
        <v>563</v>
      </c>
      <c r="B16064" s="608"/>
      <c r="C16064" s="609"/>
      <c r="D16064" s="98" t="s">
        <v>574</v>
      </c>
      <c r="E16064" s="98" t="s">
        <v>575</v>
      </c>
      <c r="F16064" s="98" t="s">
        <v>568</v>
      </c>
    </row>
    <row r="16065" spans="1:6" ht="15" customHeight="1" x14ac:dyDescent="0.25">
      <c r="A16065" s="607" t="s">
        <v>577</v>
      </c>
      <c r="B16065" s="608"/>
      <c r="C16065" s="609"/>
      <c r="D16065" s="116"/>
      <c r="E16065" s="107"/>
      <c r="F16065" s="106">
        <f>+F16082*5%</f>
        <v>3320.2629166666666</v>
      </c>
    </row>
    <row r="16066" spans="1:6" ht="15" customHeight="1" x14ac:dyDescent="0.25">
      <c r="A16066" s="607"/>
      <c r="B16066" s="608"/>
      <c r="C16066" s="609"/>
      <c r="D16066" s="142"/>
      <c r="E16066" s="105"/>
      <c r="F16066" s="106"/>
    </row>
    <row r="16067" spans="1:6" ht="15" customHeight="1" x14ac:dyDescent="0.25">
      <c r="A16067" s="607"/>
      <c r="B16067" s="608"/>
      <c r="C16067" s="609"/>
      <c r="D16067" s="142"/>
      <c r="E16067" s="105"/>
      <c r="F16067" s="106"/>
    </row>
    <row r="16068" spans="1:6" ht="15" customHeight="1" x14ac:dyDescent="0.25">
      <c r="A16068" s="607"/>
      <c r="B16068" s="608"/>
      <c r="C16068" s="609"/>
      <c r="D16068" s="142"/>
      <c r="E16068" s="107"/>
      <c r="F16068" s="106"/>
    </row>
    <row r="16069" spans="1:6" ht="15" customHeight="1" x14ac:dyDescent="0.25">
      <c r="A16069" s="607"/>
      <c r="B16069" s="608"/>
      <c r="C16069" s="609"/>
      <c r="D16069" s="142"/>
      <c r="E16069" s="107"/>
      <c r="F16069" s="106"/>
    </row>
    <row r="16070" spans="1:6" ht="15" customHeight="1" x14ac:dyDescent="0.25">
      <c r="A16070" s="607"/>
      <c r="B16070" s="608"/>
      <c r="C16070" s="609"/>
      <c r="D16070" s="142"/>
      <c r="E16070" s="107"/>
      <c r="F16070" s="106"/>
    </row>
    <row r="16071" spans="1:6" ht="15" customHeight="1" x14ac:dyDescent="0.25">
      <c r="A16071" s="607"/>
      <c r="B16071" s="608"/>
      <c r="C16071" s="609"/>
      <c r="D16071" s="142"/>
      <c r="E16071" s="107"/>
      <c r="F16071" s="106"/>
    </row>
    <row r="16072" spans="1:6" ht="15" customHeight="1" x14ac:dyDescent="0.25">
      <c r="A16072" s="607"/>
      <c r="B16072" s="608"/>
      <c r="C16072" s="609"/>
      <c r="D16072" s="142"/>
      <c r="E16072" s="107"/>
      <c r="F16072" s="106"/>
    </row>
    <row r="16073" spans="1:6" ht="15" customHeight="1" x14ac:dyDescent="0.25">
      <c r="A16073" s="610"/>
      <c r="B16073" s="608"/>
      <c r="C16073" s="609"/>
      <c r="D16073" s="115"/>
      <c r="E16073" s="107"/>
      <c r="F16073" s="106"/>
    </row>
    <row r="16074" spans="1:6" ht="15" customHeight="1" x14ac:dyDescent="0.25">
      <c r="A16074" s="611" t="s">
        <v>548</v>
      </c>
      <c r="B16074" s="608"/>
      <c r="C16074" s="609"/>
      <c r="D16074" s="110"/>
      <c r="E16074" s="110"/>
      <c r="F16074" s="112">
        <f>SUM(F16065:F16072)</f>
        <v>3320.2629166666666</v>
      </c>
    </row>
    <row r="16075" spans="1:6" ht="15" customHeight="1" x14ac:dyDescent="0.25">
      <c r="A16075" s="88"/>
      <c r="B16075" s="88"/>
      <c r="C16075" s="89"/>
      <c r="D16075" s="113"/>
      <c r="E16075" s="113"/>
      <c r="F16075" s="113"/>
    </row>
    <row r="16076" spans="1:6" ht="15" customHeight="1" x14ac:dyDescent="0.25">
      <c r="A16076" s="96" t="s">
        <v>578</v>
      </c>
      <c r="B16076" s="96"/>
      <c r="C16076" s="92"/>
      <c r="D16076" s="118"/>
      <c r="E16076" s="118"/>
      <c r="F16076" s="118"/>
    </row>
    <row r="16077" spans="1:6" ht="15" customHeight="1" x14ac:dyDescent="0.25">
      <c r="A16077" s="119" t="s">
        <v>563</v>
      </c>
      <c r="B16077" s="120" t="s">
        <v>579</v>
      </c>
      <c r="C16077" s="120" t="s">
        <v>580</v>
      </c>
      <c r="D16077" s="121" t="s">
        <v>581</v>
      </c>
      <c r="E16077" s="121" t="s">
        <v>575</v>
      </c>
      <c r="F16077" s="121" t="s">
        <v>568</v>
      </c>
    </row>
    <row r="16078" spans="1:6" ht="15" customHeight="1" x14ac:dyDescent="0.25">
      <c r="A16078" s="122" t="s">
        <v>916</v>
      </c>
      <c r="B16078" s="127">
        <v>1</v>
      </c>
      <c r="C16078" s="101">
        <v>35956.800000000003</v>
      </c>
      <c r="D16078" s="101">
        <f t="shared" ref="D16078:D16079" si="777">+C16078*1.7</f>
        <v>61126.560000000005</v>
      </c>
      <c r="E16078" s="107">
        <v>2.4</v>
      </c>
      <c r="F16078" s="106">
        <f t="shared" ref="F16078:F16079" si="778">+B16078*(D16078)/E16078</f>
        <v>25469.4</v>
      </c>
    </row>
    <row r="16079" spans="1:6" ht="15" customHeight="1" x14ac:dyDescent="0.25">
      <c r="A16079" s="122" t="s">
        <v>917</v>
      </c>
      <c r="B16079" s="127">
        <v>1</v>
      </c>
      <c r="C16079" s="101">
        <v>57791.8</v>
      </c>
      <c r="D16079" s="101">
        <f t="shared" si="777"/>
        <v>98246.06</v>
      </c>
      <c r="E16079" s="107">
        <f>E16078</f>
        <v>2.4</v>
      </c>
      <c r="F16079" s="106">
        <f t="shared" si="778"/>
        <v>40935.858333333337</v>
      </c>
    </row>
    <row r="16080" spans="1:6" ht="15" customHeight="1" x14ac:dyDescent="0.25">
      <c r="A16080" s="122"/>
      <c r="B16080" s="127"/>
      <c r="C16080" s="101"/>
      <c r="D16080" s="101"/>
      <c r="E16080" s="105"/>
      <c r="F16080" s="106"/>
    </row>
    <row r="16081" spans="1:6" ht="15" customHeight="1" x14ac:dyDescent="0.25">
      <c r="A16081" s="122"/>
      <c r="B16081" s="127"/>
      <c r="C16081" s="101"/>
      <c r="D16081" s="101"/>
      <c r="E16081" s="125"/>
      <c r="F16081" s="106"/>
    </row>
    <row r="16082" spans="1:6" ht="15" customHeight="1" x14ac:dyDescent="0.25">
      <c r="A16082" s="97" t="s">
        <v>548</v>
      </c>
      <c r="B16082" s="128"/>
      <c r="C16082" s="110"/>
      <c r="D16082" s="110"/>
      <c r="E16082" s="110"/>
      <c r="F16082" s="112">
        <f>SUM(F16078:F16081)</f>
        <v>66405.258333333331</v>
      </c>
    </row>
    <row r="16083" spans="1:6" ht="15" customHeight="1" x14ac:dyDescent="0.25">
      <c r="A16083" s="96"/>
      <c r="B16083" s="129"/>
      <c r="C16083" s="118"/>
      <c r="D16083" s="118"/>
      <c r="E16083" s="118"/>
      <c r="F16083" s="118"/>
    </row>
    <row r="16084" spans="1:6" ht="15" customHeight="1" x14ac:dyDescent="0.25">
      <c r="A16084" s="95" t="s">
        <v>583</v>
      </c>
      <c r="B16084" s="96"/>
      <c r="C16084" s="92"/>
      <c r="D16084" s="92"/>
      <c r="E16084" s="92" t="s">
        <v>584</v>
      </c>
      <c r="F16084" s="92"/>
    </row>
    <row r="16085" spans="1:6" ht="15" customHeight="1" x14ac:dyDescent="0.25">
      <c r="A16085" s="97" t="s">
        <v>563</v>
      </c>
      <c r="B16085" s="98" t="s">
        <v>564</v>
      </c>
      <c r="C16085" s="98" t="s">
        <v>585</v>
      </c>
      <c r="D16085" s="98" t="s">
        <v>586</v>
      </c>
      <c r="E16085" s="120" t="s">
        <v>587</v>
      </c>
      <c r="F16085" s="98" t="s">
        <v>568</v>
      </c>
    </row>
    <row r="16086" spans="1:6" ht="15" customHeight="1" x14ac:dyDescent="0.25">
      <c r="A16086" s="103"/>
      <c r="B16086" s="100"/>
      <c r="C16086" s="101"/>
      <c r="D16086" s="140"/>
      <c r="E16086" s="107"/>
      <c r="F16086" s="109"/>
    </row>
    <row r="16087" spans="1:6" ht="15" customHeight="1" x14ac:dyDescent="0.25">
      <c r="A16087" s="103"/>
      <c r="B16087" s="100"/>
      <c r="C16087" s="107"/>
      <c r="D16087" s="107"/>
      <c r="E16087" s="108"/>
      <c r="F16087" s="109"/>
    </row>
    <row r="16088" spans="1:6" ht="15" customHeight="1" x14ac:dyDescent="0.25">
      <c r="A16088" s="97" t="s">
        <v>548</v>
      </c>
      <c r="B16088" s="98"/>
      <c r="C16088" s="110"/>
      <c r="D16088" s="110"/>
      <c r="E16088" s="111"/>
      <c r="F16088" s="112">
        <f>SUM(F16086:F16087)</f>
        <v>0</v>
      </c>
    </row>
    <row r="16089" spans="1:6" ht="15" customHeight="1" x14ac:dyDescent="0.25">
      <c r="A16089" s="88"/>
      <c r="B16089" s="89"/>
      <c r="C16089" s="113"/>
      <c r="D16089" s="113"/>
      <c r="E16089" s="114"/>
      <c r="F16089" s="113"/>
    </row>
    <row r="16090" spans="1:6" ht="15" customHeight="1" x14ac:dyDescent="0.25">
      <c r="A16090" s="88"/>
      <c r="B16090" s="89"/>
      <c r="C16090" s="113"/>
      <c r="D16090" s="113"/>
      <c r="E16090" s="114"/>
      <c r="F16090" s="113"/>
    </row>
    <row r="16091" spans="1:6" ht="15" customHeight="1" x14ac:dyDescent="0.25">
      <c r="A16091" s="612" t="s">
        <v>588</v>
      </c>
      <c r="B16091" s="608"/>
      <c r="C16091" s="608"/>
      <c r="D16091" s="608"/>
      <c r="E16091" s="609"/>
      <c r="F16091" s="131">
        <f>ROUND(F16061+F16074+F16082+F16088,0)</f>
        <v>330976</v>
      </c>
    </row>
    <row r="16092" spans="1:6" ht="15" customHeight="1" x14ac:dyDescent="0.25">
      <c r="A16092" s="612" t="s">
        <v>589</v>
      </c>
      <c r="B16092" s="608"/>
      <c r="C16092" s="608"/>
      <c r="D16092" s="608"/>
      <c r="E16092" s="609"/>
      <c r="F16092" s="132"/>
    </row>
    <row r="16093" spans="1:6" ht="15" customHeight="1" x14ac:dyDescent="0.25">
      <c r="A16093" s="146" t="s">
        <v>556</v>
      </c>
      <c r="B16093" s="147"/>
      <c r="C16093" s="147"/>
      <c r="D16093" s="147"/>
      <c r="E16093" s="148"/>
      <c r="F16093" s="133"/>
    </row>
    <row r="16094" spans="1:6" ht="15" customHeight="1" x14ac:dyDescent="0.25">
      <c r="A16094" s="134"/>
      <c r="B16094" s="135"/>
      <c r="C16094" s="135"/>
      <c r="D16094" s="135"/>
      <c r="E16094" s="135"/>
      <c r="F16094" s="136"/>
    </row>
    <row r="16095" spans="1:6" ht="15" customHeight="1" x14ac:dyDescent="0.25">
      <c r="A16095" s="81"/>
      <c r="B16095" s="81"/>
      <c r="C16095" s="137"/>
      <c r="D16095" s="81"/>
      <c r="E16095" s="81"/>
      <c r="F16095" s="81"/>
    </row>
    <row r="16096" spans="1:6" ht="15" customHeight="1" x14ac:dyDescent="0.25">
      <c r="A16096" s="81"/>
      <c r="B16096" s="81"/>
      <c r="C16096" s="137"/>
      <c r="D16096" s="81"/>
      <c r="E16096" s="81"/>
      <c r="F16096" s="81"/>
    </row>
    <row r="16097" spans="1:6" ht="15" customHeight="1" x14ac:dyDescent="0.25">
      <c r="A16097" s="81"/>
      <c r="B16097" s="81"/>
      <c r="C16097" s="137"/>
      <c r="D16097" s="81"/>
      <c r="E16097" s="81"/>
      <c r="F16097" s="81"/>
    </row>
    <row r="16098" spans="1:6" ht="15" customHeight="1" x14ac:dyDescent="0.25">
      <c r="A16098" s="81"/>
      <c r="B16098" s="81"/>
      <c r="C16098" s="137"/>
      <c r="D16098" s="81"/>
      <c r="E16098" s="81"/>
      <c r="F16098" s="81"/>
    </row>
    <row r="16099" spans="1:6" ht="15" customHeight="1" x14ac:dyDescent="0.25">
      <c r="A16099" s="134"/>
      <c r="B16099" s="135"/>
      <c r="C16099" s="135"/>
      <c r="D16099" s="135"/>
      <c r="E16099" s="135"/>
      <c r="F16099" s="136"/>
    </row>
    <row r="16100" spans="1:6" ht="15" customHeight="1" x14ac:dyDescent="0.25">
      <c r="A16100" s="134"/>
      <c r="B16100" s="135"/>
      <c r="C16100" s="135"/>
      <c r="D16100" s="135"/>
      <c r="E16100" s="135"/>
      <c r="F16100" s="136"/>
    </row>
    <row r="16101" spans="1:6" ht="15" customHeight="1" x14ac:dyDescent="0.25">
      <c r="A16101" s="134"/>
      <c r="B16101" s="135"/>
      <c r="C16101" s="135"/>
      <c r="D16101" s="135"/>
      <c r="E16101" s="135"/>
      <c r="F16101" s="135"/>
    </row>
    <row r="16102" spans="1:6" ht="15" customHeight="1" thickBot="1" x14ac:dyDescent="0.3">
      <c r="A16102" s="81"/>
      <c r="B16102" s="81"/>
      <c r="C16102" s="81"/>
      <c r="D16102" s="81"/>
      <c r="E16102" s="81"/>
      <c r="F16102" s="81"/>
    </row>
    <row r="16103" spans="1:6" ht="15" customHeight="1" x14ac:dyDescent="0.25">
      <c r="A16103" s="83"/>
      <c r="B16103" s="84"/>
      <c r="C16103" s="85"/>
      <c r="D16103" s="86"/>
      <c r="E16103" s="86"/>
      <c r="F16103" s="87"/>
    </row>
    <row r="16104" spans="1:6" ht="15" customHeight="1" x14ac:dyDescent="0.25">
      <c r="A16104" s="599"/>
      <c r="B16104" s="600"/>
      <c r="C16104" s="600"/>
      <c r="D16104" s="600"/>
      <c r="E16104" s="600"/>
      <c r="F16104" s="601"/>
    </row>
    <row r="16105" spans="1:6" ht="15" customHeight="1" x14ac:dyDescent="0.25">
      <c r="A16105" s="602" t="s">
        <v>561</v>
      </c>
      <c r="B16105" s="600"/>
      <c r="C16105" s="600"/>
      <c r="D16105" s="600"/>
      <c r="E16105" s="600"/>
      <c r="F16105" s="601"/>
    </row>
    <row r="16106" spans="1:6" ht="15" customHeight="1" thickBot="1" x14ac:dyDescent="0.3">
      <c r="A16106" s="603"/>
      <c r="B16106" s="604"/>
      <c r="C16106" s="604"/>
      <c r="D16106" s="604"/>
      <c r="E16106" s="604"/>
      <c r="F16106" s="605"/>
    </row>
    <row r="16107" spans="1:6" ht="15" customHeight="1" x14ac:dyDescent="0.25">
      <c r="A16107" s="88"/>
      <c r="B16107" s="88"/>
      <c r="C16107" s="89"/>
      <c r="D16107" s="89"/>
      <c r="E16107" s="89"/>
      <c r="F16107" s="89"/>
    </row>
    <row r="16108" spans="1:6" ht="15" customHeight="1" x14ac:dyDescent="0.25">
      <c r="A16108" s="90" t="s">
        <v>47</v>
      </c>
      <c r="B16108" s="613" t="str">
        <f>'Presupuesto Especifico'!C351</f>
        <v>Suministro e instalación de lampara lineal de 1,2m tipo LED DE EMPOTRAR 110-220V  conforme RETIE uminaria led lineal de empotrar 100w-100-277v – 14000 lúmenes</v>
      </c>
      <c r="C16108" s="600"/>
      <c r="D16108" s="600"/>
      <c r="E16108" s="600"/>
      <c r="F16108" s="600"/>
    </row>
    <row r="16109" spans="1:6" ht="15" customHeight="1" x14ac:dyDescent="0.25">
      <c r="A16109" s="91"/>
      <c r="B16109" s="91"/>
      <c r="C16109" s="91"/>
      <c r="D16109" s="91"/>
      <c r="E16109" s="91"/>
      <c r="F16109" s="91"/>
    </row>
    <row r="16110" spans="1:6" ht="15" customHeight="1" x14ac:dyDescent="0.25">
      <c r="A16110" s="88" t="s">
        <v>49</v>
      </c>
      <c r="B16110" s="92" t="s">
        <v>99</v>
      </c>
      <c r="C16110" s="89"/>
      <c r="D16110" s="89"/>
      <c r="E16110" s="89"/>
      <c r="F16110" s="93"/>
    </row>
    <row r="16111" spans="1:6" ht="15" customHeight="1" x14ac:dyDescent="0.25">
      <c r="A16111" s="88"/>
      <c r="B16111" s="94"/>
      <c r="C16111" s="89"/>
      <c r="D16111" s="89"/>
      <c r="E16111" s="89"/>
      <c r="F16111" s="93"/>
    </row>
    <row r="16112" spans="1:6" ht="15" customHeight="1" x14ac:dyDescent="0.25">
      <c r="A16112" s="95" t="s">
        <v>562</v>
      </c>
      <c r="B16112" s="96"/>
      <c r="C16112" s="92"/>
      <c r="D16112" s="92"/>
      <c r="E16112" s="92"/>
      <c r="F16112" s="92"/>
    </row>
    <row r="16113" spans="1:6" ht="15" customHeight="1" x14ac:dyDescent="0.25">
      <c r="A16113" s="97" t="s">
        <v>563</v>
      </c>
      <c r="B16113" s="98" t="s">
        <v>564</v>
      </c>
      <c r="C16113" s="98" t="s">
        <v>565</v>
      </c>
      <c r="D16113" s="98" t="s">
        <v>566</v>
      </c>
      <c r="E16113" s="98" t="s">
        <v>567</v>
      </c>
      <c r="F16113" s="98" t="s">
        <v>568</v>
      </c>
    </row>
    <row r="16114" spans="1:6" ht="15" customHeight="1" x14ac:dyDescent="0.25">
      <c r="A16114" s="201" t="s">
        <v>1107</v>
      </c>
      <c r="B16114" s="202" t="s">
        <v>279</v>
      </c>
      <c r="C16114" s="205">
        <f>156500*2.5</f>
        <v>391250</v>
      </c>
      <c r="D16114" s="203">
        <v>1</v>
      </c>
      <c r="E16114" s="204">
        <v>0</v>
      </c>
      <c r="F16114" s="205">
        <f>+C16114*D16114</f>
        <v>391250</v>
      </c>
    </row>
    <row r="16115" spans="1:6" ht="15" customHeight="1" x14ac:dyDescent="0.25">
      <c r="A16115" s="99"/>
      <c r="B16115" s="100"/>
      <c r="C16115" s="101"/>
      <c r="D16115" s="149"/>
      <c r="E16115" s="102"/>
      <c r="F16115" s="101"/>
    </row>
    <row r="16116" spans="1:6" ht="15" customHeight="1" x14ac:dyDescent="0.25">
      <c r="A16116" s="99"/>
      <c r="B16116" s="100"/>
      <c r="C16116" s="101"/>
      <c r="D16116" s="149"/>
      <c r="E16116" s="102"/>
      <c r="F16116" s="101"/>
    </row>
    <row r="16117" spans="1:6" ht="15" customHeight="1" x14ac:dyDescent="0.25">
      <c r="A16117" s="99"/>
      <c r="B16117" s="100"/>
      <c r="C16117" s="101"/>
      <c r="D16117" s="149"/>
      <c r="E16117" s="102"/>
      <c r="F16117" s="101"/>
    </row>
    <row r="16118" spans="1:6" ht="15" customHeight="1" x14ac:dyDescent="0.25">
      <c r="A16118" s="99"/>
      <c r="B16118" s="100"/>
      <c r="C16118" s="101"/>
      <c r="D16118" s="149"/>
      <c r="E16118" s="102"/>
      <c r="F16118" s="101"/>
    </row>
    <row r="16119" spans="1:6" ht="15" customHeight="1" x14ac:dyDescent="0.25">
      <c r="A16119" s="99"/>
      <c r="B16119" s="100"/>
      <c r="C16119" s="101"/>
      <c r="D16119" s="149"/>
      <c r="E16119" s="102"/>
      <c r="F16119" s="101"/>
    </row>
    <row r="16120" spans="1:6" ht="15" customHeight="1" x14ac:dyDescent="0.25">
      <c r="A16120" s="99"/>
      <c r="B16120" s="100"/>
      <c r="C16120" s="101"/>
      <c r="D16120" s="149"/>
      <c r="E16120" s="102"/>
      <c r="F16120" s="101"/>
    </row>
    <row r="16121" spans="1:6" ht="15" customHeight="1" x14ac:dyDescent="0.25">
      <c r="A16121" s="99"/>
      <c r="B16121" s="100"/>
      <c r="C16121" s="101"/>
      <c r="D16121" s="149"/>
      <c r="E16121" s="102"/>
      <c r="F16121" s="101"/>
    </row>
    <row r="16122" spans="1:6" ht="15" customHeight="1" x14ac:dyDescent="0.25">
      <c r="A16122" s="99"/>
      <c r="B16122" s="100"/>
      <c r="C16122" s="101"/>
      <c r="D16122" s="149"/>
      <c r="E16122" s="102"/>
      <c r="F16122" s="101"/>
    </row>
    <row r="16123" spans="1:6" ht="15" customHeight="1" x14ac:dyDescent="0.25">
      <c r="A16123" s="99"/>
      <c r="B16123" s="100"/>
      <c r="C16123" s="106"/>
      <c r="D16123" s="107"/>
      <c r="E16123" s="108"/>
      <c r="F16123" s="106"/>
    </row>
    <row r="16124" spans="1:6" ht="15" customHeight="1" x14ac:dyDescent="0.25">
      <c r="A16124" s="97" t="s">
        <v>548</v>
      </c>
      <c r="B16124" s="97"/>
      <c r="C16124" s="109"/>
      <c r="D16124" s="110"/>
      <c r="E16124" s="111"/>
      <c r="F16124" s="112">
        <f>SUM(F16114:F16123)</f>
        <v>391250</v>
      </c>
    </row>
    <row r="16125" spans="1:6" ht="15" customHeight="1" x14ac:dyDescent="0.25">
      <c r="A16125" s="88"/>
      <c r="B16125" s="88"/>
      <c r="C16125" s="113"/>
      <c r="D16125" s="113"/>
      <c r="E16125" s="114"/>
      <c r="F16125" s="113"/>
    </row>
    <row r="16126" spans="1:6" ht="15" customHeight="1" x14ac:dyDescent="0.25">
      <c r="A16126" s="96" t="s">
        <v>573</v>
      </c>
      <c r="B16126" s="96"/>
      <c r="C16126" s="92"/>
      <c r="D16126" s="92"/>
      <c r="E16126" s="92"/>
      <c r="F16126" s="92"/>
    </row>
    <row r="16127" spans="1:6" ht="15" customHeight="1" x14ac:dyDescent="0.25">
      <c r="A16127" s="611" t="s">
        <v>563</v>
      </c>
      <c r="B16127" s="608"/>
      <c r="C16127" s="609"/>
      <c r="D16127" s="98" t="s">
        <v>574</v>
      </c>
      <c r="E16127" s="98" t="s">
        <v>575</v>
      </c>
      <c r="F16127" s="98" t="s">
        <v>568</v>
      </c>
    </row>
    <row r="16128" spans="1:6" ht="15" customHeight="1" x14ac:dyDescent="0.25">
      <c r="A16128" s="607" t="s">
        <v>577</v>
      </c>
      <c r="B16128" s="608"/>
      <c r="C16128" s="609"/>
      <c r="D16128" s="116"/>
      <c r="E16128" s="107"/>
      <c r="F16128" s="106">
        <f>+F16145*5%</f>
        <v>5312.4206666666669</v>
      </c>
    </row>
    <row r="16129" spans="1:6" ht="15" customHeight="1" x14ac:dyDescent="0.25">
      <c r="A16129" s="607"/>
      <c r="B16129" s="608"/>
      <c r="C16129" s="609"/>
      <c r="D16129" s="142"/>
      <c r="E16129" s="105"/>
      <c r="F16129" s="106"/>
    </row>
    <row r="16130" spans="1:6" ht="15" customHeight="1" x14ac:dyDescent="0.25">
      <c r="A16130" s="607"/>
      <c r="B16130" s="608"/>
      <c r="C16130" s="609"/>
      <c r="D16130" s="142"/>
      <c r="E16130" s="105"/>
      <c r="F16130" s="106"/>
    </row>
    <row r="16131" spans="1:6" ht="15" customHeight="1" x14ac:dyDescent="0.25">
      <c r="A16131" s="607"/>
      <c r="B16131" s="608"/>
      <c r="C16131" s="609"/>
      <c r="D16131" s="142"/>
      <c r="E16131" s="107"/>
      <c r="F16131" s="106"/>
    </row>
    <row r="16132" spans="1:6" ht="15" customHeight="1" x14ac:dyDescent="0.25">
      <c r="A16132" s="607"/>
      <c r="B16132" s="608"/>
      <c r="C16132" s="609"/>
      <c r="D16132" s="142"/>
      <c r="E16132" s="107"/>
      <c r="F16132" s="106"/>
    </row>
    <row r="16133" spans="1:6" ht="15" customHeight="1" x14ac:dyDescent="0.25">
      <c r="A16133" s="607"/>
      <c r="B16133" s="608"/>
      <c r="C16133" s="609"/>
      <c r="D16133" s="142"/>
      <c r="E16133" s="107"/>
      <c r="F16133" s="106"/>
    </row>
    <row r="16134" spans="1:6" ht="15" customHeight="1" x14ac:dyDescent="0.25">
      <c r="A16134" s="607"/>
      <c r="B16134" s="608"/>
      <c r="C16134" s="609"/>
      <c r="D16134" s="142"/>
      <c r="E16134" s="107"/>
      <c r="F16134" s="106"/>
    </row>
    <row r="16135" spans="1:6" ht="15" customHeight="1" x14ac:dyDescent="0.25">
      <c r="A16135" s="607"/>
      <c r="B16135" s="608"/>
      <c r="C16135" s="609"/>
      <c r="D16135" s="142"/>
      <c r="E16135" s="107"/>
      <c r="F16135" s="106"/>
    </row>
    <row r="16136" spans="1:6" ht="15" customHeight="1" x14ac:dyDescent="0.25">
      <c r="A16136" s="610"/>
      <c r="B16136" s="608"/>
      <c r="C16136" s="609"/>
      <c r="D16136" s="115"/>
      <c r="E16136" s="107"/>
      <c r="F16136" s="106"/>
    </row>
    <row r="16137" spans="1:6" ht="15" customHeight="1" x14ac:dyDescent="0.25">
      <c r="A16137" s="611" t="s">
        <v>548</v>
      </c>
      <c r="B16137" s="608"/>
      <c r="C16137" s="609"/>
      <c r="D16137" s="110"/>
      <c r="E16137" s="110"/>
      <c r="F16137" s="112">
        <f>SUM(F16128:F16135)</f>
        <v>5312.4206666666669</v>
      </c>
    </row>
    <row r="16138" spans="1:6" ht="15" customHeight="1" x14ac:dyDescent="0.25">
      <c r="A16138" s="88"/>
      <c r="B16138" s="88"/>
      <c r="C16138" s="89"/>
      <c r="D16138" s="113"/>
      <c r="E16138" s="113"/>
      <c r="F16138" s="113"/>
    </row>
    <row r="16139" spans="1:6" ht="15" customHeight="1" x14ac:dyDescent="0.25">
      <c r="A16139" s="96" t="s">
        <v>578</v>
      </c>
      <c r="B16139" s="96"/>
      <c r="C16139" s="92"/>
      <c r="D16139" s="118"/>
      <c r="E16139" s="118"/>
      <c r="F16139" s="118"/>
    </row>
    <row r="16140" spans="1:6" ht="15" customHeight="1" x14ac:dyDescent="0.25">
      <c r="A16140" s="119" t="s">
        <v>563</v>
      </c>
      <c r="B16140" s="120" t="s">
        <v>579</v>
      </c>
      <c r="C16140" s="120" t="s">
        <v>580</v>
      </c>
      <c r="D16140" s="121" t="s">
        <v>581</v>
      </c>
      <c r="E16140" s="121" t="s">
        <v>575</v>
      </c>
      <c r="F16140" s="121" t="s">
        <v>568</v>
      </c>
    </row>
    <row r="16141" spans="1:6" ht="15" customHeight="1" x14ac:dyDescent="0.25">
      <c r="A16141" s="122" t="s">
        <v>916</v>
      </c>
      <c r="B16141" s="127">
        <v>1</v>
      </c>
      <c r="C16141" s="101">
        <v>35956.800000000003</v>
      </c>
      <c r="D16141" s="101">
        <f t="shared" ref="D16141:D16142" si="779">+C16141*1.7</f>
        <v>61126.560000000005</v>
      </c>
      <c r="E16141" s="107">
        <v>1.5</v>
      </c>
      <c r="F16141" s="106">
        <f t="shared" ref="F16141:F16142" si="780">+B16141*(D16141)/E16141</f>
        <v>40751.040000000001</v>
      </c>
    </row>
    <row r="16142" spans="1:6" ht="15" customHeight="1" x14ac:dyDescent="0.25">
      <c r="A16142" s="122" t="s">
        <v>917</v>
      </c>
      <c r="B16142" s="127">
        <v>1</v>
      </c>
      <c r="C16142" s="101">
        <v>57791.8</v>
      </c>
      <c r="D16142" s="101">
        <f t="shared" si="779"/>
        <v>98246.06</v>
      </c>
      <c r="E16142" s="107">
        <f>E16141</f>
        <v>1.5</v>
      </c>
      <c r="F16142" s="106">
        <f t="shared" si="780"/>
        <v>65497.373333333329</v>
      </c>
    </row>
    <row r="16143" spans="1:6" ht="15" customHeight="1" x14ac:dyDescent="0.25">
      <c r="A16143" s="122"/>
      <c r="B16143" s="127"/>
      <c r="C16143" s="101"/>
      <c r="D16143" s="101"/>
      <c r="E16143" s="105"/>
      <c r="F16143" s="106"/>
    </row>
    <row r="16144" spans="1:6" ht="15" customHeight="1" x14ac:dyDescent="0.25">
      <c r="A16144" s="122"/>
      <c r="B16144" s="127"/>
      <c r="C16144" s="101"/>
      <c r="D16144" s="101"/>
      <c r="E16144" s="125"/>
      <c r="F16144" s="106"/>
    </row>
    <row r="16145" spans="1:6" ht="15" customHeight="1" x14ac:dyDescent="0.25">
      <c r="A16145" s="97" t="s">
        <v>548</v>
      </c>
      <c r="B16145" s="128"/>
      <c r="C16145" s="110"/>
      <c r="D16145" s="110"/>
      <c r="E16145" s="110"/>
      <c r="F16145" s="112">
        <f>SUM(F16141:F16144)</f>
        <v>106248.41333333333</v>
      </c>
    </row>
    <row r="16146" spans="1:6" ht="15" customHeight="1" x14ac:dyDescent="0.25">
      <c r="A16146" s="96"/>
      <c r="B16146" s="129"/>
      <c r="C16146" s="118"/>
      <c r="D16146" s="118"/>
      <c r="E16146" s="118"/>
      <c r="F16146" s="118"/>
    </row>
    <row r="16147" spans="1:6" ht="15" customHeight="1" x14ac:dyDescent="0.25">
      <c r="A16147" s="95" t="s">
        <v>583</v>
      </c>
      <c r="B16147" s="96"/>
      <c r="C16147" s="92"/>
      <c r="D16147" s="92"/>
      <c r="E16147" s="92" t="s">
        <v>584</v>
      </c>
      <c r="F16147" s="92"/>
    </row>
    <row r="16148" spans="1:6" ht="15" customHeight="1" x14ac:dyDescent="0.25">
      <c r="A16148" s="97" t="s">
        <v>563</v>
      </c>
      <c r="B16148" s="98" t="s">
        <v>564</v>
      </c>
      <c r="C16148" s="98" t="s">
        <v>585</v>
      </c>
      <c r="D16148" s="98" t="s">
        <v>586</v>
      </c>
      <c r="E16148" s="120" t="s">
        <v>587</v>
      </c>
      <c r="F16148" s="98" t="s">
        <v>568</v>
      </c>
    </row>
    <row r="16149" spans="1:6" ht="15" customHeight="1" x14ac:dyDescent="0.25">
      <c r="A16149" s="103"/>
      <c r="B16149" s="100"/>
      <c r="C16149" s="101"/>
      <c r="D16149" s="140"/>
      <c r="E16149" s="107"/>
      <c r="F16149" s="109"/>
    </row>
    <row r="16150" spans="1:6" ht="15" customHeight="1" x14ac:dyDescent="0.25">
      <c r="A16150" s="103"/>
      <c r="B16150" s="100"/>
      <c r="C16150" s="107"/>
      <c r="D16150" s="107"/>
      <c r="E16150" s="108"/>
      <c r="F16150" s="109"/>
    </row>
    <row r="16151" spans="1:6" ht="15" customHeight="1" x14ac:dyDescent="0.25">
      <c r="A16151" s="97" t="s">
        <v>548</v>
      </c>
      <c r="B16151" s="98"/>
      <c r="C16151" s="110"/>
      <c r="D16151" s="110"/>
      <c r="E16151" s="111"/>
      <c r="F16151" s="112">
        <f>SUM(F16149:F16150)</f>
        <v>0</v>
      </c>
    </row>
    <row r="16152" spans="1:6" ht="15" customHeight="1" x14ac:dyDescent="0.25">
      <c r="A16152" s="88"/>
      <c r="B16152" s="89"/>
      <c r="C16152" s="113"/>
      <c r="D16152" s="113"/>
      <c r="E16152" s="114"/>
      <c r="F16152" s="113"/>
    </row>
    <row r="16153" spans="1:6" ht="15" customHeight="1" x14ac:dyDescent="0.25">
      <c r="A16153" s="88"/>
      <c r="B16153" s="89"/>
      <c r="C16153" s="113"/>
      <c r="D16153" s="113"/>
      <c r="E16153" s="114"/>
      <c r="F16153" s="113"/>
    </row>
    <row r="16154" spans="1:6" ht="15" customHeight="1" x14ac:dyDescent="0.25">
      <c r="A16154" s="612" t="s">
        <v>588</v>
      </c>
      <c r="B16154" s="608"/>
      <c r="C16154" s="608"/>
      <c r="D16154" s="608"/>
      <c r="E16154" s="609"/>
      <c r="F16154" s="131">
        <f>ROUND(F16124+F16137+F16145+F16151,0)</f>
        <v>502811</v>
      </c>
    </row>
    <row r="16155" spans="1:6" ht="15" customHeight="1" x14ac:dyDescent="0.25">
      <c r="A16155" s="612" t="s">
        <v>589</v>
      </c>
      <c r="B16155" s="608"/>
      <c r="C16155" s="608"/>
      <c r="D16155" s="608"/>
      <c r="E16155" s="609"/>
      <c r="F16155" s="132"/>
    </row>
    <row r="16156" spans="1:6" ht="15" customHeight="1" x14ac:dyDescent="0.25">
      <c r="A16156" s="146" t="s">
        <v>556</v>
      </c>
      <c r="B16156" s="147"/>
      <c r="C16156" s="147"/>
      <c r="D16156" s="147"/>
      <c r="E16156" s="148"/>
      <c r="F16156" s="133"/>
    </row>
    <row r="16157" spans="1:6" ht="15" customHeight="1" x14ac:dyDescent="0.25">
      <c r="A16157" s="134"/>
      <c r="B16157" s="135"/>
      <c r="C16157" s="135"/>
      <c r="D16157" s="135"/>
      <c r="E16157" s="135"/>
      <c r="F16157" s="136"/>
    </row>
    <row r="16158" spans="1:6" ht="15" customHeight="1" x14ac:dyDescent="0.25">
      <c r="A16158" s="81"/>
      <c r="B16158" s="81"/>
      <c r="C16158" s="137"/>
      <c r="D16158" s="81"/>
      <c r="E16158" s="81"/>
      <c r="F16158" s="81"/>
    </row>
    <row r="16159" spans="1:6" ht="15" customHeight="1" x14ac:dyDescent="0.25">
      <c r="A16159" s="81"/>
      <c r="B16159" s="81"/>
      <c r="C16159" s="137"/>
      <c r="D16159" s="81"/>
      <c r="E16159" s="81"/>
      <c r="F16159" s="81"/>
    </row>
    <row r="16160" spans="1:6" ht="15" customHeight="1" x14ac:dyDescent="0.25">
      <c r="A16160" s="81"/>
      <c r="B16160" s="81"/>
      <c r="C16160" s="137"/>
      <c r="D16160" s="81"/>
      <c r="E16160" s="81"/>
      <c r="F16160" s="81"/>
    </row>
    <row r="16161" spans="1:6" ht="15" customHeight="1" x14ac:dyDescent="0.25">
      <c r="A16161" s="81"/>
      <c r="B16161" s="81"/>
      <c r="C16161" s="137"/>
      <c r="D16161" s="81"/>
      <c r="E16161" s="81"/>
      <c r="F16161" s="81"/>
    </row>
    <row r="16162" spans="1:6" ht="15" customHeight="1" x14ac:dyDescent="0.25">
      <c r="A16162" s="134"/>
      <c r="B16162" s="135"/>
      <c r="C16162" s="135"/>
      <c r="D16162" s="135"/>
      <c r="E16162" s="135"/>
      <c r="F16162" s="136"/>
    </row>
    <row r="16163" spans="1:6" ht="15" customHeight="1" x14ac:dyDescent="0.25">
      <c r="A16163" s="134"/>
      <c r="B16163" s="135"/>
      <c r="C16163" s="135"/>
      <c r="D16163" s="135"/>
      <c r="E16163" s="135"/>
      <c r="F16163" s="136"/>
    </row>
    <row r="16164" spans="1:6" ht="15" customHeight="1" x14ac:dyDescent="0.25">
      <c r="A16164" s="134"/>
      <c r="B16164" s="135"/>
      <c r="C16164" s="135"/>
      <c r="D16164" s="135"/>
      <c r="E16164" s="135"/>
      <c r="F16164" s="135"/>
    </row>
    <row r="16165" spans="1:6" ht="15" customHeight="1" thickBot="1" x14ac:dyDescent="0.3">
      <c r="A16165" s="81"/>
      <c r="B16165" s="81"/>
      <c r="C16165" s="81"/>
      <c r="D16165" s="81"/>
      <c r="E16165" s="81"/>
      <c r="F16165" s="81"/>
    </row>
    <row r="16166" spans="1:6" ht="15" customHeight="1" x14ac:dyDescent="0.25">
      <c r="A16166" s="83"/>
      <c r="B16166" s="84"/>
      <c r="C16166" s="85"/>
      <c r="D16166" s="86"/>
      <c r="E16166" s="86"/>
      <c r="F16166" s="87"/>
    </row>
    <row r="16167" spans="1:6" ht="15" customHeight="1" x14ac:dyDescent="0.25">
      <c r="A16167" s="599"/>
      <c r="B16167" s="600"/>
      <c r="C16167" s="600"/>
      <c r="D16167" s="600"/>
      <c r="E16167" s="600"/>
      <c r="F16167" s="601"/>
    </row>
    <row r="16168" spans="1:6" ht="15" customHeight="1" x14ac:dyDescent="0.25">
      <c r="A16168" s="602" t="s">
        <v>561</v>
      </c>
      <c r="B16168" s="600"/>
      <c r="C16168" s="600"/>
      <c r="D16168" s="600"/>
      <c r="E16168" s="600"/>
      <c r="F16168" s="601"/>
    </row>
    <row r="16169" spans="1:6" ht="15" customHeight="1" thickBot="1" x14ac:dyDescent="0.3">
      <c r="A16169" s="603"/>
      <c r="B16169" s="604"/>
      <c r="C16169" s="604"/>
      <c r="D16169" s="604"/>
      <c r="E16169" s="604"/>
      <c r="F16169" s="605"/>
    </row>
    <row r="16170" spans="1:6" ht="15" customHeight="1" x14ac:dyDescent="0.25">
      <c r="A16170" s="88"/>
      <c r="B16170" s="88"/>
      <c r="C16170" s="89"/>
      <c r="D16170" s="89"/>
      <c r="E16170" s="89"/>
      <c r="F16170" s="89"/>
    </row>
    <row r="16171" spans="1:6" ht="15" customHeight="1" x14ac:dyDescent="0.25">
      <c r="A16171" s="90" t="s">
        <v>47</v>
      </c>
      <c r="B16171" s="613" t="str">
        <f>'Presupuesto Especifico'!C352</f>
        <v xml:space="preserve">Suministro e Instalacion de Luminaria LED 40W de 60 cms x 60 cms descolgada luz fria 6000k </v>
      </c>
      <c r="C16171" s="600"/>
      <c r="D16171" s="600"/>
      <c r="E16171" s="600"/>
      <c r="F16171" s="600"/>
    </row>
    <row r="16172" spans="1:6" ht="15" customHeight="1" x14ac:dyDescent="0.25">
      <c r="A16172" s="91"/>
      <c r="B16172" s="91"/>
      <c r="C16172" s="91"/>
      <c r="D16172" s="91"/>
      <c r="E16172" s="91"/>
      <c r="F16172" s="91"/>
    </row>
    <row r="16173" spans="1:6" ht="15" customHeight="1" x14ac:dyDescent="0.25">
      <c r="A16173" s="88" t="s">
        <v>49</v>
      </c>
      <c r="B16173" s="92" t="s">
        <v>99</v>
      </c>
      <c r="C16173" s="89"/>
      <c r="D16173" s="89"/>
      <c r="E16173" s="89"/>
      <c r="F16173" s="93"/>
    </row>
    <row r="16174" spans="1:6" ht="15" customHeight="1" x14ac:dyDescent="0.25">
      <c r="A16174" s="88"/>
      <c r="B16174" s="94"/>
      <c r="C16174" s="89"/>
      <c r="D16174" s="89"/>
      <c r="E16174" s="89"/>
      <c r="F16174" s="93"/>
    </row>
    <row r="16175" spans="1:6" ht="15" customHeight="1" x14ac:dyDescent="0.25">
      <c r="A16175" s="95" t="s">
        <v>562</v>
      </c>
      <c r="B16175" s="96"/>
      <c r="C16175" s="92"/>
      <c r="D16175" s="92"/>
      <c r="E16175" s="92"/>
      <c r="F16175" s="92"/>
    </row>
    <row r="16176" spans="1:6" ht="15" customHeight="1" x14ac:dyDescent="0.25">
      <c r="A16176" s="97" t="s">
        <v>563</v>
      </c>
      <c r="B16176" s="98" t="s">
        <v>564</v>
      </c>
      <c r="C16176" s="98" t="s">
        <v>565</v>
      </c>
      <c r="D16176" s="98" t="s">
        <v>566</v>
      </c>
      <c r="E16176" s="98" t="s">
        <v>567</v>
      </c>
      <c r="F16176" s="98" t="s">
        <v>568</v>
      </c>
    </row>
    <row r="16177" spans="1:6" ht="15" customHeight="1" x14ac:dyDescent="0.25">
      <c r="A16177" s="201" t="s">
        <v>1109</v>
      </c>
      <c r="B16177" s="202" t="s">
        <v>279</v>
      </c>
      <c r="C16177" s="205">
        <v>150000</v>
      </c>
      <c r="D16177" s="203">
        <v>1</v>
      </c>
      <c r="E16177" s="204">
        <v>0</v>
      </c>
      <c r="F16177" s="205">
        <f>+C16177*D16177</f>
        <v>150000</v>
      </c>
    </row>
    <row r="16178" spans="1:6" ht="15" customHeight="1" x14ac:dyDescent="0.25">
      <c r="A16178" s="201" t="s">
        <v>1105</v>
      </c>
      <c r="B16178" s="202" t="s">
        <v>59</v>
      </c>
      <c r="C16178" s="205">
        <v>6</v>
      </c>
      <c r="D16178" s="203">
        <v>2000</v>
      </c>
      <c r="E16178" s="204">
        <v>0</v>
      </c>
      <c r="F16178" s="205">
        <f>+C16178*D16178</f>
        <v>12000</v>
      </c>
    </row>
    <row r="16179" spans="1:6" ht="15" customHeight="1" x14ac:dyDescent="0.25">
      <c r="A16179" s="201" t="s">
        <v>1106</v>
      </c>
      <c r="B16179" s="202" t="s">
        <v>279</v>
      </c>
      <c r="C16179" s="205">
        <v>4</v>
      </c>
      <c r="D16179" s="203">
        <v>5000</v>
      </c>
      <c r="E16179" s="204">
        <v>0</v>
      </c>
      <c r="F16179" s="205">
        <f>+C16179*D16179</f>
        <v>20000</v>
      </c>
    </row>
    <row r="16180" spans="1:6" ht="15" customHeight="1" x14ac:dyDescent="0.25">
      <c r="A16180" s="99"/>
      <c r="B16180" s="100"/>
      <c r="C16180" s="101"/>
      <c r="D16180" s="149"/>
      <c r="E16180" s="102"/>
      <c r="F16180" s="101"/>
    </row>
    <row r="16181" spans="1:6" ht="15" customHeight="1" x14ac:dyDescent="0.25">
      <c r="A16181" s="99"/>
      <c r="B16181" s="100"/>
      <c r="C16181" s="101"/>
      <c r="D16181" s="149"/>
      <c r="E16181" s="102"/>
      <c r="F16181" s="101"/>
    </row>
    <row r="16182" spans="1:6" ht="15" customHeight="1" x14ac:dyDescent="0.25">
      <c r="A16182" s="99"/>
      <c r="B16182" s="100"/>
      <c r="C16182" s="101"/>
      <c r="D16182" s="149"/>
      <c r="E16182" s="102"/>
      <c r="F16182" s="101"/>
    </row>
    <row r="16183" spans="1:6" ht="15" customHeight="1" x14ac:dyDescent="0.25">
      <c r="A16183" s="99"/>
      <c r="B16183" s="100"/>
      <c r="C16183" s="101"/>
      <c r="D16183" s="149"/>
      <c r="E16183" s="102"/>
      <c r="F16183" s="101"/>
    </row>
    <row r="16184" spans="1:6" ht="15" customHeight="1" x14ac:dyDescent="0.25">
      <c r="A16184" s="99"/>
      <c r="B16184" s="100"/>
      <c r="C16184" s="101"/>
      <c r="D16184" s="149"/>
      <c r="E16184" s="102"/>
      <c r="F16184" s="101"/>
    </row>
    <row r="16185" spans="1:6" ht="15" customHeight="1" x14ac:dyDescent="0.25">
      <c r="A16185" s="99"/>
      <c r="B16185" s="100"/>
      <c r="C16185" s="101"/>
      <c r="D16185" s="149"/>
      <c r="E16185" s="102"/>
      <c r="F16185" s="101"/>
    </row>
    <row r="16186" spans="1:6" ht="15" customHeight="1" x14ac:dyDescent="0.25">
      <c r="A16186" s="99"/>
      <c r="B16186" s="100"/>
      <c r="C16186" s="101"/>
      <c r="D16186" s="149"/>
      <c r="E16186" s="102"/>
      <c r="F16186" s="101"/>
    </row>
    <row r="16187" spans="1:6" ht="15" customHeight="1" x14ac:dyDescent="0.25">
      <c r="A16187" s="99"/>
      <c r="B16187" s="100"/>
      <c r="C16187" s="101"/>
      <c r="D16187" s="149"/>
      <c r="E16187" s="102"/>
      <c r="F16187" s="101"/>
    </row>
    <row r="16188" spans="1:6" ht="15" customHeight="1" x14ac:dyDescent="0.25">
      <c r="A16188" s="99"/>
      <c r="B16188" s="100"/>
      <c r="C16188" s="101"/>
      <c r="D16188" s="149"/>
      <c r="E16188" s="102"/>
      <c r="F16188" s="101"/>
    </row>
    <row r="16189" spans="1:6" ht="15" customHeight="1" x14ac:dyDescent="0.25">
      <c r="A16189" s="99"/>
      <c r="B16189" s="100"/>
      <c r="C16189" s="106"/>
      <c r="D16189" s="107"/>
      <c r="E16189" s="108"/>
      <c r="F16189" s="106"/>
    </row>
    <row r="16190" spans="1:6" ht="15" customHeight="1" x14ac:dyDescent="0.25">
      <c r="A16190" s="97" t="s">
        <v>548</v>
      </c>
      <c r="B16190" s="97"/>
      <c r="C16190" s="109"/>
      <c r="D16190" s="110"/>
      <c r="E16190" s="111"/>
      <c r="F16190" s="112">
        <f>SUM(F16177:F16189)</f>
        <v>182000</v>
      </c>
    </row>
    <row r="16191" spans="1:6" ht="15" customHeight="1" x14ac:dyDescent="0.25">
      <c r="A16191" s="88"/>
      <c r="B16191" s="88"/>
      <c r="C16191" s="113"/>
      <c r="D16191" s="113"/>
      <c r="E16191" s="114"/>
      <c r="F16191" s="113"/>
    </row>
    <row r="16192" spans="1:6" ht="15" customHeight="1" x14ac:dyDescent="0.25">
      <c r="A16192" s="96" t="s">
        <v>573</v>
      </c>
      <c r="B16192" s="96"/>
      <c r="C16192" s="92"/>
      <c r="D16192" s="92"/>
      <c r="E16192" s="92"/>
      <c r="F16192" s="92"/>
    </row>
    <row r="16193" spans="1:6" ht="15" customHeight="1" x14ac:dyDescent="0.25">
      <c r="A16193" s="611" t="s">
        <v>563</v>
      </c>
      <c r="B16193" s="608"/>
      <c r="C16193" s="609"/>
      <c r="D16193" s="98" t="s">
        <v>574</v>
      </c>
      <c r="E16193" s="98" t="s">
        <v>575</v>
      </c>
      <c r="F16193" s="98" t="s">
        <v>568</v>
      </c>
    </row>
    <row r="16194" spans="1:6" ht="15" customHeight="1" x14ac:dyDescent="0.25">
      <c r="A16194" s="607" t="s">
        <v>577</v>
      </c>
      <c r="B16194" s="608"/>
      <c r="C16194" s="609"/>
      <c r="D16194" s="116"/>
      <c r="E16194" s="107"/>
      <c r="F16194" s="106">
        <f>+F16211*5%</f>
        <v>2490.1971874999999</v>
      </c>
    </row>
    <row r="16195" spans="1:6" ht="15" customHeight="1" x14ac:dyDescent="0.25">
      <c r="A16195" s="588" t="s">
        <v>1108</v>
      </c>
      <c r="B16195" s="591"/>
      <c r="C16195" s="592"/>
      <c r="D16195" s="217">
        <v>20000</v>
      </c>
      <c r="E16195" s="218">
        <v>1</v>
      </c>
      <c r="F16195" s="219">
        <f>+E16195*D16195</f>
        <v>20000</v>
      </c>
    </row>
    <row r="16196" spans="1:6" ht="15" customHeight="1" x14ac:dyDescent="0.25">
      <c r="A16196" s="607"/>
      <c r="B16196" s="608"/>
      <c r="C16196" s="609"/>
      <c r="D16196" s="142"/>
      <c r="E16196" s="105"/>
      <c r="F16196" s="106"/>
    </row>
    <row r="16197" spans="1:6" ht="15" customHeight="1" x14ac:dyDescent="0.25">
      <c r="A16197" s="607"/>
      <c r="B16197" s="608"/>
      <c r="C16197" s="609"/>
      <c r="D16197" s="142"/>
      <c r="E16197" s="107"/>
      <c r="F16197" s="106"/>
    </row>
    <row r="16198" spans="1:6" ht="15" customHeight="1" x14ac:dyDescent="0.25">
      <c r="A16198" s="607"/>
      <c r="B16198" s="608"/>
      <c r="C16198" s="609"/>
      <c r="D16198" s="142"/>
      <c r="E16198" s="107"/>
      <c r="F16198" s="106"/>
    </row>
    <row r="16199" spans="1:6" ht="15" customHeight="1" x14ac:dyDescent="0.25">
      <c r="A16199" s="607"/>
      <c r="B16199" s="608"/>
      <c r="C16199" s="609"/>
      <c r="D16199" s="142"/>
      <c r="E16199" s="107"/>
      <c r="F16199" s="106"/>
    </row>
    <row r="16200" spans="1:6" ht="15" customHeight="1" x14ac:dyDescent="0.25">
      <c r="A16200" s="607"/>
      <c r="B16200" s="608"/>
      <c r="C16200" s="609"/>
      <c r="D16200" s="142"/>
      <c r="E16200" s="107"/>
      <c r="F16200" s="106"/>
    </row>
    <row r="16201" spans="1:6" ht="15" customHeight="1" x14ac:dyDescent="0.25">
      <c r="A16201" s="607"/>
      <c r="B16201" s="608"/>
      <c r="C16201" s="609"/>
      <c r="D16201" s="142"/>
      <c r="E16201" s="107"/>
      <c r="F16201" s="106"/>
    </row>
    <row r="16202" spans="1:6" ht="15" customHeight="1" x14ac:dyDescent="0.25">
      <c r="A16202" s="610"/>
      <c r="B16202" s="608"/>
      <c r="C16202" s="609"/>
      <c r="D16202" s="115"/>
      <c r="E16202" s="107"/>
      <c r="F16202" s="106"/>
    </row>
    <row r="16203" spans="1:6" ht="15" customHeight="1" x14ac:dyDescent="0.25">
      <c r="A16203" s="611" t="s">
        <v>548</v>
      </c>
      <c r="B16203" s="608"/>
      <c r="C16203" s="609"/>
      <c r="D16203" s="110"/>
      <c r="E16203" s="110"/>
      <c r="F16203" s="112">
        <f>SUM(F16194:F16201)</f>
        <v>22490.197187500002</v>
      </c>
    </row>
    <row r="16204" spans="1:6" ht="15" customHeight="1" x14ac:dyDescent="0.25">
      <c r="A16204" s="88"/>
      <c r="B16204" s="88"/>
      <c r="C16204" s="89"/>
      <c r="D16204" s="113"/>
      <c r="E16204" s="113"/>
      <c r="F16204" s="113"/>
    </row>
    <row r="16205" spans="1:6" ht="15" customHeight="1" x14ac:dyDescent="0.25">
      <c r="A16205" s="96" t="s">
        <v>578</v>
      </c>
      <c r="B16205" s="96"/>
      <c r="C16205" s="92"/>
      <c r="D16205" s="118"/>
      <c r="E16205" s="118"/>
      <c r="F16205" s="118"/>
    </row>
    <row r="16206" spans="1:6" ht="15" customHeight="1" x14ac:dyDescent="0.25">
      <c r="A16206" s="119" t="s">
        <v>563</v>
      </c>
      <c r="B16206" s="120" t="s">
        <v>579</v>
      </c>
      <c r="C16206" s="120" t="s">
        <v>580</v>
      </c>
      <c r="D16206" s="121" t="s">
        <v>581</v>
      </c>
      <c r="E16206" s="121" t="s">
        <v>575</v>
      </c>
      <c r="F16206" s="121" t="s">
        <v>568</v>
      </c>
    </row>
    <row r="16207" spans="1:6" ht="15" customHeight="1" x14ac:dyDescent="0.25">
      <c r="A16207" s="122" t="s">
        <v>916</v>
      </c>
      <c r="B16207" s="127">
        <v>1</v>
      </c>
      <c r="C16207" s="101">
        <v>35956.800000000003</v>
      </c>
      <c r="D16207" s="101">
        <f t="shared" ref="D16207:D16208" si="781">+C16207*1.7</f>
        <v>61126.560000000005</v>
      </c>
      <c r="E16207" s="107">
        <v>3.2</v>
      </c>
      <c r="F16207" s="106">
        <f t="shared" ref="F16207:F16208" si="782">+B16207*(D16207)/E16207</f>
        <v>19102.05</v>
      </c>
    </row>
    <row r="16208" spans="1:6" ht="15" customHeight="1" x14ac:dyDescent="0.25">
      <c r="A16208" s="122" t="s">
        <v>917</v>
      </c>
      <c r="B16208" s="127">
        <v>1</v>
      </c>
      <c r="C16208" s="101">
        <v>57791.8</v>
      </c>
      <c r="D16208" s="101">
        <f t="shared" si="781"/>
        <v>98246.06</v>
      </c>
      <c r="E16208" s="107">
        <f>E16207</f>
        <v>3.2</v>
      </c>
      <c r="F16208" s="106">
        <f t="shared" si="782"/>
        <v>30701.893749999999</v>
      </c>
    </row>
    <row r="16209" spans="1:6" ht="15" customHeight="1" x14ac:dyDescent="0.25">
      <c r="A16209" s="122"/>
      <c r="B16209" s="127"/>
      <c r="C16209" s="101"/>
      <c r="D16209" s="101"/>
      <c r="E16209" s="105"/>
      <c r="F16209" s="106"/>
    </row>
    <row r="16210" spans="1:6" ht="15" customHeight="1" x14ac:dyDescent="0.25">
      <c r="A16210" s="122"/>
      <c r="B16210" s="127"/>
      <c r="C16210" s="101"/>
      <c r="D16210" s="101"/>
      <c r="E16210" s="125"/>
      <c r="F16210" s="106"/>
    </row>
    <row r="16211" spans="1:6" ht="15" customHeight="1" x14ac:dyDescent="0.25">
      <c r="A16211" s="97" t="s">
        <v>548</v>
      </c>
      <c r="B16211" s="128"/>
      <c r="C16211" s="110"/>
      <c r="D16211" s="110"/>
      <c r="E16211" s="110"/>
      <c r="F16211" s="112">
        <f>SUM(F16207:F16210)</f>
        <v>49803.943749999999</v>
      </c>
    </row>
    <row r="16212" spans="1:6" ht="15" customHeight="1" x14ac:dyDescent="0.25">
      <c r="A16212" s="96"/>
      <c r="B16212" s="129"/>
      <c r="C16212" s="118"/>
      <c r="D16212" s="118"/>
      <c r="E16212" s="118"/>
      <c r="F16212" s="118"/>
    </row>
    <row r="16213" spans="1:6" ht="15" customHeight="1" x14ac:dyDescent="0.25">
      <c r="A16213" s="95" t="s">
        <v>583</v>
      </c>
      <c r="B16213" s="96"/>
      <c r="C16213" s="92"/>
      <c r="D16213" s="92"/>
      <c r="E16213" s="92" t="s">
        <v>584</v>
      </c>
      <c r="F16213" s="92"/>
    </row>
    <row r="16214" spans="1:6" ht="15" customHeight="1" x14ac:dyDescent="0.25">
      <c r="A16214" s="97" t="s">
        <v>563</v>
      </c>
      <c r="B16214" s="98" t="s">
        <v>564</v>
      </c>
      <c r="C16214" s="98" t="s">
        <v>585</v>
      </c>
      <c r="D16214" s="98" t="s">
        <v>586</v>
      </c>
      <c r="E16214" s="120" t="s">
        <v>587</v>
      </c>
      <c r="F16214" s="98" t="s">
        <v>568</v>
      </c>
    </row>
    <row r="16215" spans="1:6" ht="15" customHeight="1" x14ac:dyDescent="0.25">
      <c r="A16215" s="103"/>
      <c r="B16215" s="100"/>
      <c r="C16215" s="101"/>
      <c r="D16215" s="140"/>
      <c r="E16215" s="107"/>
      <c r="F16215" s="109"/>
    </row>
    <row r="16216" spans="1:6" ht="15" customHeight="1" x14ac:dyDescent="0.25">
      <c r="A16216" s="103"/>
      <c r="B16216" s="100"/>
      <c r="C16216" s="107"/>
      <c r="D16216" s="107"/>
      <c r="E16216" s="108"/>
      <c r="F16216" s="109"/>
    </row>
    <row r="16217" spans="1:6" ht="15" customHeight="1" x14ac:dyDescent="0.25">
      <c r="A16217" s="97" t="s">
        <v>548</v>
      </c>
      <c r="B16217" s="98"/>
      <c r="C16217" s="110"/>
      <c r="D16217" s="110"/>
      <c r="E16217" s="111"/>
      <c r="F16217" s="112">
        <f>SUM(F16215:F16216)</f>
        <v>0</v>
      </c>
    </row>
    <row r="16218" spans="1:6" ht="15" customHeight="1" x14ac:dyDescent="0.25">
      <c r="A16218" s="88"/>
      <c r="B16218" s="89"/>
      <c r="C16218" s="113"/>
      <c r="D16218" s="113"/>
      <c r="E16218" s="114"/>
      <c r="F16218" s="113"/>
    </row>
    <row r="16219" spans="1:6" ht="15" customHeight="1" x14ac:dyDescent="0.25">
      <c r="A16219" s="88"/>
      <c r="B16219" s="89"/>
      <c r="C16219" s="113"/>
      <c r="D16219" s="113"/>
      <c r="E16219" s="114"/>
      <c r="F16219" s="113"/>
    </row>
    <row r="16220" spans="1:6" ht="15" customHeight="1" x14ac:dyDescent="0.25">
      <c r="A16220" s="612" t="s">
        <v>588</v>
      </c>
      <c r="B16220" s="608"/>
      <c r="C16220" s="608"/>
      <c r="D16220" s="608"/>
      <c r="E16220" s="609"/>
      <c r="F16220" s="131">
        <f>ROUND(F16190+F16203+F16211+F16217,0)</f>
        <v>254294</v>
      </c>
    </row>
    <row r="16221" spans="1:6" ht="15" customHeight="1" x14ac:dyDescent="0.25">
      <c r="A16221" s="612" t="s">
        <v>589</v>
      </c>
      <c r="B16221" s="608"/>
      <c r="C16221" s="608"/>
      <c r="D16221" s="608"/>
      <c r="E16221" s="609"/>
      <c r="F16221" s="132"/>
    </row>
    <row r="16222" spans="1:6" ht="15" customHeight="1" x14ac:dyDescent="0.25">
      <c r="A16222" s="146" t="s">
        <v>556</v>
      </c>
      <c r="B16222" s="147"/>
      <c r="C16222" s="147"/>
      <c r="D16222" s="147"/>
      <c r="E16222" s="148"/>
      <c r="F16222" s="133"/>
    </row>
    <row r="16223" spans="1:6" ht="15" customHeight="1" x14ac:dyDescent="0.25">
      <c r="A16223" s="134"/>
      <c r="B16223" s="135"/>
      <c r="C16223" s="135"/>
      <c r="D16223" s="135"/>
      <c r="E16223" s="135"/>
      <c r="F16223" s="136"/>
    </row>
    <row r="16224" spans="1:6" ht="15" customHeight="1" x14ac:dyDescent="0.25">
      <c r="A16224" s="81"/>
      <c r="B16224" s="81"/>
      <c r="C16224" s="137"/>
      <c r="D16224" s="81"/>
      <c r="E16224" s="81"/>
      <c r="F16224" s="81"/>
    </row>
    <row r="16225" spans="1:6" ht="15" customHeight="1" x14ac:dyDescent="0.25">
      <c r="A16225" s="81"/>
      <c r="B16225" s="81"/>
      <c r="C16225" s="137"/>
      <c r="D16225" s="81"/>
      <c r="E16225" s="81"/>
      <c r="F16225" s="81"/>
    </row>
    <row r="16226" spans="1:6" ht="15" customHeight="1" x14ac:dyDescent="0.25">
      <c r="A16226" s="81"/>
      <c r="B16226" s="81"/>
      <c r="C16226" s="137"/>
      <c r="D16226" s="81"/>
      <c r="E16226" s="81"/>
      <c r="F16226" s="81"/>
    </row>
    <row r="16227" spans="1:6" ht="15" customHeight="1" x14ac:dyDescent="0.25">
      <c r="A16227" s="81"/>
      <c r="B16227" s="81"/>
      <c r="C16227" s="137"/>
      <c r="D16227" s="81"/>
      <c r="E16227" s="81"/>
      <c r="F16227" s="81"/>
    </row>
    <row r="16228" spans="1:6" ht="15" customHeight="1" x14ac:dyDescent="0.25">
      <c r="A16228" s="134"/>
      <c r="B16228" s="135"/>
      <c r="C16228" s="135"/>
      <c r="D16228" s="135"/>
      <c r="E16228" s="135"/>
      <c r="F16228" s="136"/>
    </row>
    <row r="16229" spans="1:6" ht="15" customHeight="1" x14ac:dyDescent="0.25">
      <c r="A16229" s="134"/>
      <c r="B16229" s="135"/>
      <c r="C16229" s="135"/>
      <c r="D16229" s="135"/>
      <c r="E16229" s="135"/>
      <c r="F16229" s="136"/>
    </row>
    <row r="16230" spans="1:6" ht="15" customHeight="1" x14ac:dyDescent="0.25">
      <c r="A16230" s="134"/>
      <c r="B16230" s="135"/>
      <c r="C16230" s="135"/>
      <c r="D16230" s="135"/>
      <c r="E16230" s="135"/>
      <c r="F16230" s="135"/>
    </row>
    <row r="16231" spans="1:6" ht="15" customHeight="1" thickBot="1" x14ac:dyDescent="0.3">
      <c r="A16231" s="81"/>
      <c r="B16231" s="81"/>
      <c r="C16231" s="81"/>
      <c r="D16231" s="81"/>
      <c r="E16231" s="81"/>
      <c r="F16231" s="81"/>
    </row>
    <row r="16232" spans="1:6" ht="15" customHeight="1" x14ac:dyDescent="0.25">
      <c r="A16232" s="83"/>
      <c r="B16232" s="84"/>
      <c r="C16232" s="85"/>
      <c r="D16232" s="86"/>
      <c r="E16232" s="86"/>
      <c r="F16232" s="87"/>
    </row>
    <row r="16233" spans="1:6" ht="15" customHeight="1" x14ac:dyDescent="0.25">
      <c r="A16233" s="599"/>
      <c r="B16233" s="600"/>
      <c r="C16233" s="600"/>
      <c r="D16233" s="600"/>
      <c r="E16233" s="600"/>
      <c r="F16233" s="601"/>
    </row>
    <row r="16234" spans="1:6" ht="15" customHeight="1" x14ac:dyDescent="0.25">
      <c r="A16234" s="602" t="s">
        <v>561</v>
      </c>
      <c r="B16234" s="600"/>
      <c r="C16234" s="600"/>
      <c r="D16234" s="600"/>
      <c r="E16234" s="600"/>
      <c r="F16234" s="601"/>
    </row>
    <row r="16235" spans="1:6" ht="15" customHeight="1" thickBot="1" x14ac:dyDescent="0.3">
      <c r="A16235" s="603"/>
      <c r="B16235" s="604"/>
      <c r="C16235" s="604"/>
      <c r="D16235" s="604"/>
      <c r="E16235" s="604"/>
      <c r="F16235" s="605"/>
    </row>
    <row r="16236" spans="1:6" ht="15" customHeight="1" x14ac:dyDescent="0.25">
      <c r="A16236" s="88"/>
      <c r="B16236" s="88"/>
      <c r="C16236" s="89"/>
      <c r="D16236" s="89"/>
      <c r="E16236" s="89"/>
      <c r="F16236" s="89"/>
    </row>
    <row r="16237" spans="1:6" ht="15" customHeight="1" x14ac:dyDescent="0.25">
      <c r="A16237" s="90" t="s">
        <v>47</v>
      </c>
      <c r="B16237" s="613" t="str">
        <f>'Presupuesto Especifico'!C353</f>
        <v>Suministro e Instalacion de lamparas exteriores Tamaño de la lámpara: L1400 * 540 * H44mm Battary12.6V, 80AH LED: SMD3030,192PCS Altura de instalación: 7-8m Tamaño del agujero: 60mm-100mm  . Incluyen sensores inteligentes o fotoceldas,Panel solar: 18V / 150W</v>
      </c>
      <c r="C16237" s="600"/>
      <c r="D16237" s="600"/>
      <c r="E16237" s="600"/>
      <c r="F16237" s="600"/>
    </row>
    <row r="16238" spans="1:6" ht="15" customHeight="1" x14ac:dyDescent="0.25">
      <c r="A16238" s="91"/>
      <c r="B16238" s="91"/>
      <c r="C16238" s="91"/>
      <c r="D16238" s="91"/>
      <c r="E16238" s="91"/>
      <c r="F16238" s="91"/>
    </row>
    <row r="16239" spans="1:6" ht="15" customHeight="1" x14ac:dyDescent="0.25">
      <c r="A16239" s="88" t="s">
        <v>49</v>
      </c>
      <c r="B16239" s="92" t="s">
        <v>99</v>
      </c>
      <c r="C16239" s="89"/>
      <c r="D16239" s="89"/>
      <c r="E16239" s="89"/>
      <c r="F16239" s="93"/>
    </row>
    <row r="16240" spans="1:6" ht="15" customHeight="1" x14ac:dyDescent="0.25">
      <c r="A16240" s="88"/>
      <c r="B16240" s="94"/>
      <c r="C16240" s="89"/>
      <c r="D16240" s="89"/>
      <c r="E16240" s="89"/>
      <c r="F16240" s="93"/>
    </row>
    <row r="16241" spans="1:6" ht="15" customHeight="1" x14ac:dyDescent="0.25">
      <c r="A16241" s="95" t="s">
        <v>562</v>
      </c>
      <c r="B16241" s="96"/>
      <c r="C16241" s="92"/>
      <c r="D16241" s="92"/>
      <c r="E16241" s="92"/>
      <c r="F16241" s="92"/>
    </row>
    <row r="16242" spans="1:6" ht="15" customHeight="1" x14ac:dyDescent="0.25">
      <c r="A16242" s="97" t="s">
        <v>563</v>
      </c>
      <c r="B16242" s="98" t="s">
        <v>564</v>
      </c>
      <c r="C16242" s="98" t="s">
        <v>565</v>
      </c>
      <c r="D16242" s="98" t="s">
        <v>566</v>
      </c>
      <c r="E16242" s="98" t="s">
        <v>567</v>
      </c>
      <c r="F16242" s="98" t="s">
        <v>568</v>
      </c>
    </row>
    <row r="16243" spans="1:6" ht="15" customHeight="1" x14ac:dyDescent="0.25">
      <c r="A16243" s="99" t="s">
        <v>1114</v>
      </c>
      <c r="B16243" s="100" t="s">
        <v>99</v>
      </c>
      <c r="C16243" s="205">
        <f>575000*2.5</f>
        <v>1437500</v>
      </c>
      <c r="D16243" s="149">
        <v>2</v>
      </c>
      <c r="E16243" s="102">
        <v>0</v>
      </c>
      <c r="F16243" s="101">
        <f>C16243*(D16243+(D16243*E16243))</f>
        <v>2875000</v>
      </c>
    </row>
    <row r="16244" spans="1:6" ht="15" customHeight="1" x14ac:dyDescent="0.25">
      <c r="A16244" s="99" t="s">
        <v>1110</v>
      </c>
      <c r="B16244" s="100" t="s">
        <v>99</v>
      </c>
      <c r="C16244" s="205">
        <v>800000</v>
      </c>
      <c r="D16244" s="149">
        <v>1</v>
      </c>
      <c r="E16244" s="102">
        <v>0</v>
      </c>
      <c r="F16244" s="101">
        <f>C16244*(D16244+(D16244*E16244))</f>
        <v>800000</v>
      </c>
    </row>
    <row r="16245" spans="1:6" ht="15" customHeight="1" x14ac:dyDescent="0.25">
      <c r="A16245" s="201" t="s">
        <v>1111</v>
      </c>
      <c r="B16245" s="202" t="s">
        <v>279</v>
      </c>
      <c r="C16245" s="205">
        <f>146000*2.5</f>
        <v>365000</v>
      </c>
      <c r="D16245" s="203">
        <v>1</v>
      </c>
      <c r="E16245" s="204">
        <v>0</v>
      </c>
      <c r="F16245" s="205">
        <f t="shared" ref="F16245:F16247" si="783">+C16245*D16245</f>
        <v>365000</v>
      </c>
    </row>
    <row r="16246" spans="1:6" ht="15" customHeight="1" x14ac:dyDescent="0.25">
      <c r="A16246" s="201" t="s">
        <v>1112</v>
      </c>
      <c r="B16246" s="202" t="s">
        <v>279</v>
      </c>
      <c r="C16246" s="205">
        <f>22500*2.5</f>
        <v>56250</v>
      </c>
      <c r="D16246" s="203">
        <v>2</v>
      </c>
      <c r="E16246" s="204">
        <v>0</v>
      </c>
      <c r="F16246" s="205">
        <f t="shared" si="783"/>
        <v>112500</v>
      </c>
    </row>
    <row r="16247" spans="1:6" ht="15" customHeight="1" x14ac:dyDescent="0.25">
      <c r="A16247" s="201" t="s">
        <v>1113</v>
      </c>
      <c r="B16247" s="202" t="s">
        <v>279</v>
      </c>
      <c r="C16247" s="205">
        <f>550000*2.5</f>
        <v>1375000</v>
      </c>
      <c r="D16247" s="203">
        <v>1</v>
      </c>
      <c r="E16247" s="204">
        <v>0</v>
      </c>
      <c r="F16247" s="205">
        <f t="shared" si="783"/>
        <v>1375000</v>
      </c>
    </row>
    <row r="16248" spans="1:6" ht="15" customHeight="1" x14ac:dyDescent="0.25">
      <c r="A16248" s="201" t="s">
        <v>1116</v>
      </c>
      <c r="B16248" s="202" t="s">
        <v>279</v>
      </c>
      <c r="C16248" s="205">
        <f>25300*2.5</f>
        <v>63250</v>
      </c>
      <c r="D16248" s="203">
        <v>1</v>
      </c>
      <c r="E16248" s="204">
        <v>0</v>
      </c>
      <c r="F16248" s="205">
        <f>+C16248*D16248</f>
        <v>63250</v>
      </c>
    </row>
    <row r="16249" spans="1:6" ht="15" customHeight="1" x14ac:dyDescent="0.25">
      <c r="A16249" s="99"/>
      <c r="B16249" s="100"/>
      <c r="C16249" s="101"/>
      <c r="D16249" s="149"/>
      <c r="E16249" s="102"/>
      <c r="F16249" s="101"/>
    </row>
    <row r="16250" spans="1:6" ht="15" customHeight="1" x14ac:dyDescent="0.25">
      <c r="A16250" s="99"/>
      <c r="B16250" s="100"/>
      <c r="C16250" s="101"/>
      <c r="D16250" s="149"/>
      <c r="E16250" s="102"/>
      <c r="F16250" s="101"/>
    </row>
    <row r="16251" spans="1:6" ht="15" customHeight="1" x14ac:dyDescent="0.25">
      <c r="A16251" s="99"/>
      <c r="B16251" s="100"/>
      <c r="C16251" s="101"/>
      <c r="D16251" s="149"/>
      <c r="E16251" s="102"/>
      <c r="F16251" s="101"/>
    </row>
    <row r="16252" spans="1:6" ht="15" customHeight="1" x14ac:dyDescent="0.25">
      <c r="A16252" s="99"/>
      <c r="B16252" s="100"/>
      <c r="C16252" s="101"/>
      <c r="D16252" s="149"/>
      <c r="E16252" s="102"/>
      <c r="F16252" s="101"/>
    </row>
    <row r="16253" spans="1:6" ht="15" customHeight="1" x14ac:dyDescent="0.25">
      <c r="A16253" s="99"/>
      <c r="B16253" s="100"/>
      <c r="C16253" s="101"/>
      <c r="D16253" s="149"/>
      <c r="E16253" s="102"/>
      <c r="F16253" s="101"/>
    </row>
    <row r="16254" spans="1:6" ht="15" customHeight="1" x14ac:dyDescent="0.25">
      <c r="A16254" s="99"/>
      <c r="B16254" s="100"/>
      <c r="C16254" s="106"/>
      <c r="D16254" s="107"/>
      <c r="E16254" s="108"/>
      <c r="F16254" s="106"/>
    </row>
    <row r="16255" spans="1:6" ht="15" customHeight="1" x14ac:dyDescent="0.25">
      <c r="A16255" s="97" t="s">
        <v>548</v>
      </c>
      <c r="B16255" s="97"/>
      <c r="C16255" s="109"/>
      <c r="D16255" s="110"/>
      <c r="E16255" s="111"/>
      <c r="F16255" s="112">
        <f>SUM(F16243:F16254)</f>
        <v>5590750</v>
      </c>
    </row>
    <row r="16256" spans="1:6" ht="15" customHeight="1" x14ac:dyDescent="0.25">
      <c r="A16256" s="88"/>
      <c r="B16256" s="88"/>
      <c r="C16256" s="113"/>
      <c r="D16256" s="113"/>
      <c r="E16256" s="114"/>
      <c r="F16256" s="113"/>
    </row>
    <row r="16257" spans="1:6" ht="15" customHeight="1" x14ac:dyDescent="0.25">
      <c r="A16257" s="96" t="s">
        <v>573</v>
      </c>
      <c r="B16257" s="96"/>
      <c r="C16257" s="92"/>
      <c r="D16257" s="92"/>
      <c r="E16257" s="92"/>
      <c r="F16257" s="92"/>
    </row>
    <row r="16258" spans="1:6" ht="15" customHeight="1" x14ac:dyDescent="0.25">
      <c r="A16258" s="611" t="s">
        <v>563</v>
      </c>
      <c r="B16258" s="608"/>
      <c r="C16258" s="609"/>
      <c r="D16258" s="98" t="s">
        <v>574</v>
      </c>
      <c r="E16258" s="98" t="s">
        <v>575</v>
      </c>
      <c r="F16258" s="98" t="s">
        <v>568</v>
      </c>
    </row>
    <row r="16259" spans="1:6" ht="15" customHeight="1" x14ac:dyDescent="0.25">
      <c r="A16259" s="607" t="s">
        <v>577</v>
      </c>
      <c r="B16259" s="608"/>
      <c r="C16259" s="609"/>
      <c r="D16259" s="116"/>
      <c r="E16259" s="107"/>
      <c r="F16259" s="106">
        <f>+F16276*5%</f>
        <v>19921.577499999999</v>
      </c>
    </row>
    <row r="16260" spans="1:6" ht="15" customHeight="1" x14ac:dyDescent="0.25">
      <c r="A16260" s="607"/>
      <c r="B16260" s="608"/>
      <c r="C16260" s="609"/>
      <c r="D16260" s="142"/>
      <c r="E16260" s="105"/>
      <c r="F16260" s="106"/>
    </row>
    <row r="16261" spans="1:6" ht="15" customHeight="1" x14ac:dyDescent="0.25">
      <c r="A16261" s="607"/>
      <c r="B16261" s="608"/>
      <c r="C16261" s="609"/>
      <c r="D16261" s="142"/>
      <c r="E16261" s="105"/>
      <c r="F16261" s="106"/>
    </row>
    <row r="16262" spans="1:6" ht="15" customHeight="1" x14ac:dyDescent="0.25">
      <c r="A16262" s="607"/>
      <c r="B16262" s="608"/>
      <c r="C16262" s="609"/>
      <c r="D16262" s="142"/>
      <c r="E16262" s="107"/>
      <c r="F16262" s="106"/>
    </row>
    <row r="16263" spans="1:6" ht="15" customHeight="1" x14ac:dyDescent="0.25">
      <c r="A16263" s="607"/>
      <c r="B16263" s="608"/>
      <c r="C16263" s="609"/>
      <c r="D16263" s="142"/>
      <c r="E16263" s="107"/>
      <c r="F16263" s="106"/>
    </row>
    <row r="16264" spans="1:6" ht="15" customHeight="1" x14ac:dyDescent="0.25">
      <c r="A16264" s="607"/>
      <c r="B16264" s="608"/>
      <c r="C16264" s="609"/>
      <c r="D16264" s="142"/>
      <c r="E16264" s="107"/>
      <c r="F16264" s="106"/>
    </row>
    <row r="16265" spans="1:6" ht="15" customHeight="1" x14ac:dyDescent="0.25">
      <c r="A16265" s="607"/>
      <c r="B16265" s="608"/>
      <c r="C16265" s="609"/>
      <c r="D16265" s="142"/>
      <c r="E16265" s="107"/>
      <c r="F16265" s="106"/>
    </row>
    <row r="16266" spans="1:6" ht="15" customHeight="1" x14ac:dyDescent="0.25">
      <c r="A16266" s="607"/>
      <c r="B16266" s="608"/>
      <c r="C16266" s="609"/>
      <c r="D16266" s="142"/>
      <c r="E16266" s="107"/>
      <c r="F16266" s="106"/>
    </row>
    <row r="16267" spans="1:6" ht="15" customHeight="1" x14ac:dyDescent="0.25">
      <c r="A16267" s="610"/>
      <c r="B16267" s="608"/>
      <c r="C16267" s="609"/>
      <c r="D16267" s="115"/>
      <c r="E16267" s="107"/>
      <c r="F16267" s="106"/>
    </row>
    <row r="16268" spans="1:6" ht="15" customHeight="1" x14ac:dyDescent="0.25">
      <c r="A16268" s="611" t="s">
        <v>548</v>
      </c>
      <c r="B16268" s="608"/>
      <c r="C16268" s="609"/>
      <c r="D16268" s="110"/>
      <c r="E16268" s="110"/>
      <c r="F16268" s="112">
        <f>SUM(F16259:F16266)</f>
        <v>19921.577499999999</v>
      </c>
    </row>
    <row r="16269" spans="1:6" ht="15" customHeight="1" x14ac:dyDescent="0.25">
      <c r="A16269" s="88"/>
      <c r="B16269" s="88"/>
      <c r="C16269" s="89"/>
      <c r="D16269" s="113"/>
      <c r="E16269" s="113"/>
      <c r="F16269" s="113"/>
    </row>
    <row r="16270" spans="1:6" ht="15" customHeight="1" x14ac:dyDescent="0.25">
      <c r="A16270" s="96" t="s">
        <v>578</v>
      </c>
      <c r="B16270" s="96"/>
      <c r="C16270" s="92"/>
      <c r="D16270" s="118"/>
      <c r="E16270" s="118"/>
      <c r="F16270" s="118"/>
    </row>
    <row r="16271" spans="1:6" ht="15" customHeight="1" x14ac:dyDescent="0.25">
      <c r="A16271" s="119" t="s">
        <v>563</v>
      </c>
      <c r="B16271" s="120" t="s">
        <v>579</v>
      </c>
      <c r="C16271" s="120" t="s">
        <v>580</v>
      </c>
      <c r="D16271" s="121" t="s">
        <v>581</v>
      </c>
      <c r="E16271" s="121" t="s">
        <v>575</v>
      </c>
      <c r="F16271" s="121" t="s">
        <v>568</v>
      </c>
    </row>
    <row r="16272" spans="1:6" ht="15" customHeight="1" x14ac:dyDescent="0.25">
      <c r="A16272" s="122" t="s">
        <v>916</v>
      </c>
      <c r="B16272" s="127">
        <v>1</v>
      </c>
      <c r="C16272" s="101">
        <v>35956.800000000003</v>
      </c>
      <c r="D16272" s="101">
        <f t="shared" ref="D16272:D16273" si="784">+C16272*1.7</f>
        <v>61126.560000000005</v>
      </c>
      <c r="E16272" s="107">
        <v>0.4</v>
      </c>
      <c r="F16272" s="106">
        <f t="shared" ref="F16272:F16273" si="785">+B16272*(D16272)/E16272</f>
        <v>152816.4</v>
      </c>
    </row>
    <row r="16273" spans="1:6" ht="15" customHeight="1" x14ac:dyDescent="0.25">
      <c r="A16273" s="122" t="s">
        <v>917</v>
      </c>
      <c r="B16273" s="127">
        <v>1</v>
      </c>
      <c r="C16273" s="101">
        <v>57791.8</v>
      </c>
      <c r="D16273" s="101">
        <f t="shared" si="784"/>
        <v>98246.06</v>
      </c>
      <c r="E16273" s="107">
        <f>E16272</f>
        <v>0.4</v>
      </c>
      <c r="F16273" s="106">
        <f t="shared" si="785"/>
        <v>245615.15</v>
      </c>
    </row>
    <row r="16274" spans="1:6" ht="15" customHeight="1" x14ac:dyDescent="0.25">
      <c r="A16274" s="122"/>
      <c r="B16274" s="127"/>
      <c r="C16274" s="101"/>
      <c r="D16274" s="101"/>
      <c r="E16274" s="105"/>
      <c r="F16274" s="106"/>
    </row>
    <row r="16275" spans="1:6" ht="15" customHeight="1" x14ac:dyDescent="0.25">
      <c r="A16275" s="122"/>
      <c r="B16275" s="127"/>
      <c r="C16275" s="101"/>
      <c r="D16275" s="101"/>
      <c r="E16275" s="125"/>
      <c r="F16275" s="106"/>
    </row>
    <row r="16276" spans="1:6" ht="15" customHeight="1" x14ac:dyDescent="0.25">
      <c r="A16276" s="97" t="s">
        <v>548</v>
      </c>
      <c r="B16276" s="128"/>
      <c r="C16276" s="110"/>
      <c r="D16276" s="110"/>
      <c r="E16276" s="110"/>
      <c r="F16276" s="112">
        <f>SUM(F16272:F16275)</f>
        <v>398431.55</v>
      </c>
    </row>
    <row r="16277" spans="1:6" ht="15" customHeight="1" x14ac:dyDescent="0.25">
      <c r="A16277" s="96"/>
      <c r="B16277" s="129"/>
      <c r="C16277" s="118"/>
      <c r="D16277" s="118"/>
      <c r="E16277" s="118"/>
      <c r="F16277" s="118"/>
    </row>
    <row r="16278" spans="1:6" ht="15" customHeight="1" x14ac:dyDescent="0.25">
      <c r="A16278" s="95" t="s">
        <v>583</v>
      </c>
      <c r="B16278" s="96"/>
      <c r="C16278" s="92"/>
      <c r="D16278" s="92"/>
      <c r="E16278" s="92" t="s">
        <v>584</v>
      </c>
      <c r="F16278" s="92"/>
    </row>
    <row r="16279" spans="1:6" ht="15" customHeight="1" x14ac:dyDescent="0.25">
      <c r="A16279" s="97" t="s">
        <v>563</v>
      </c>
      <c r="B16279" s="98" t="s">
        <v>564</v>
      </c>
      <c r="C16279" s="98" t="s">
        <v>585</v>
      </c>
      <c r="D16279" s="98" t="s">
        <v>586</v>
      </c>
      <c r="E16279" s="120" t="s">
        <v>587</v>
      </c>
      <c r="F16279" s="98" t="s">
        <v>568</v>
      </c>
    </row>
    <row r="16280" spans="1:6" ht="15" customHeight="1" x14ac:dyDescent="0.25">
      <c r="A16280" s="103"/>
      <c r="B16280" s="100"/>
      <c r="C16280" s="101"/>
      <c r="D16280" s="140"/>
      <c r="E16280" s="107"/>
      <c r="F16280" s="109"/>
    </row>
    <row r="16281" spans="1:6" ht="15" customHeight="1" x14ac:dyDescent="0.25">
      <c r="A16281" s="103"/>
      <c r="B16281" s="100"/>
      <c r="C16281" s="107"/>
      <c r="D16281" s="107"/>
      <c r="E16281" s="108"/>
      <c r="F16281" s="109"/>
    </row>
    <row r="16282" spans="1:6" ht="15" customHeight="1" x14ac:dyDescent="0.25">
      <c r="A16282" s="97" t="s">
        <v>548</v>
      </c>
      <c r="B16282" s="98"/>
      <c r="C16282" s="110"/>
      <c r="D16282" s="110"/>
      <c r="E16282" s="111"/>
      <c r="F16282" s="112">
        <f>SUM(F16280:F16281)</f>
        <v>0</v>
      </c>
    </row>
    <row r="16283" spans="1:6" ht="15" customHeight="1" x14ac:dyDescent="0.25">
      <c r="A16283" s="88"/>
      <c r="B16283" s="89"/>
      <c r="C16283" s="113"/>
      <c r="D16283" s="113"/>
      <c r="E16283" s="114"/>
      <c r="F16283" s="113"/>
    </row>
    <row r="16284" spans="1:6" ht="15" customHeight="1" x14ac:dyDescent="0.25">
      <c r="A16284" s="88"/>
      <c r="B16284" s="89"/>
      <c r="C16284" s="113"/>
      <c r="D16284" s="113"/>
      <c r="E16284" s="114"/>
      <c r="F16284" s="113"/>
    </row>
    <row r="16285" spans="1:6" ht="15" customHeight="1" x14ac:dyDescent="0.25">
      <c r="A16285" s="612" t="s">
        <v>588</v>
      </c>
      <c r="B16285" s="608"/>
      <c r="C16285" s="608"/>
      <c r="D16285" s="608"/>
      <c r="E16285" s="609"/>
      <c r="F16285" s="131">
        <f>ROUND(F16255+F16268+F16276+F16282,0)</f>
        <v>6009103</v>
      </c>
    </row>
    <row r="16286" spans="1:6" ht="15" customHeight="1" x14ac:dyDescent="0.25">
      <c r="A16286" s="612" t="s">
        <v>589</v>
      </c>
      <c r="B16286" s="608"/>
      <c r="C16286" s="608"/>
      <c r="D16286" s="608"/>
      <c r="E16286" s="609"/>
      <c r="F16286" s="132"/>
    </row>
    <row r="16287" spans="1:6" ht="15" customHeight="1" x14ac:dyDescent="0.25">
      <c r="A16287" s="146" t="s">
        <v>556</v>
      </c>
      <c r="B16287" s="147"/>
      <c r="C16287" s="147"/>
      <c r="D16287" s="147"/>
      <c r="E16287" s="148"/>
      <c r="F16287" s="133"/>
    </row>
    <row r="16288" spans="1:6" ht="15" customHeight="1" x14ac:dyDescent="0.25">
      <c r="A16288" s="134"/>
      <c r="B16288" s="135"/>
      <c r="C16288" s="135"/>
      <c r="D16288" s="135"/>
      <c r="E16288" s="135"/>
      <c r="F16288" s="136"/>
    </row>
    <row r="16289" spans="1:6" ht="15" customHeight="1" x14ac:dyDescent="0.25">
      <c r="A16289" s="81"/>
      <c r="B16289" s="81"/>
      <c r="C16289" s="137"/>
      <c r="D16289" s="81"/>
      <c r="E16289" s="81"/>
      <c r="F16289" s="81"/>
    </row>
    <row r="16290" spans="1:6" ht="15" customHeight="1" x14ac:dyDescent="0.25">
      <c r="A16290" s="81"/>
      <c r="B16290" s="81"/>
      <c r="C16290" s="137"/>
      <c r="D16290" s="81"/>
      <c r="E16290" s="81"/>
      <c r="F16290" s="81"/>
    </row>
    <row r="16291" spans="1:6" ht="15" customHeight="1" x14ac:dyDescent="0.25">
      <c r="A16291" s="81"/>
      <c r="B16291" s="81"/>
      <c r="C16291" s="137"/>
      <c r="D16291" s="81"/>
      <c r="E16291" s="81"/>
      <c r="F16291" s="81"/>
    </row>
    <row r="16292" spans="1:6" ht="15" customHeight="1" x14ac:dyDescent="0.25">
      <c r="A16292" s="81"/>
      <c r="B16292" s="81"/>
      <c r="C16292" s="137"/>
      <c r="D16292" s="81"/>
      <c r="E16292" s="81"/>
      <c r="F16292" s="81"/>
    </row>
    <row r="16293" spans="1:6" ht="15" customHeight="1" x14ac:dyDescent="0.25">
      <c r="A16293" s="134"/>
      <c r="B16293" s="135"/>
      <c r="C16293" s="135"/>
      <c r="D16293" s="135"/>
      <c r="E16293" s="135"/>
      <c r="F16293" s="136"/>
    </row>
    <row r="16294" spans="1:6" ht="15" customHeight="1" x14ac:dyDescent="0.25">
      <c r="A16294" s="134"/>
      <c r="B16294" s="135"/>
      <c r="C16294" s="135"/>
      <c r="D16294" s="135"/>
      <c r="E16294" s="135"/>
      <c r="F16294" s="136"/>
    </row>
    <row r="16295" spans="1:6" ht="15" customHeight="1" x14ac:dyDescent="0.25">
      <c r="A16295" s="134"/>
      <c r="B16295" s="135"/>
      <c r="C16295" s="135"/>
      <c r="D16295" s="135"/>
      <c r="E16295" s="135"/>
      <c r="F16295" s="135"/>
    </row>
    <row r="16296" spans="1:6" ht="15" customHeight="1" thickBot="1" x14ac:dyDescent="0.3">
      <c r="A16296" s="81"/>
      <c r="B16296" s="81"/>
      <c r="C16296" s="81"/>
      <c r="D16296" s="81"/>
      <c r="E16296" s="81"/>
      <c r="F16296" s="81"/>
    </row>
    <row r="16297" spans="1:6" ht="15" customHeight="1" x14ac:dyDescent="0.25">
      <c r="A16297" s="83"/>
      <c r="B16297" s="84"/>
      <c r="C16297" s="85"/>
      <c r="D16297" s="86"/>
      <c r="E16297" s="86"/>
      <c r="F16297" s="87"/>
    </row>
    <row r="16298" spans="1:6" ht="15" customHeight="1" x14ac:dyDescent="0.25">
      <c r="A16298" s="599"/>
      <c r="B16298" s="600"/>
      <c r="C16298" s="600"/>
      <c r="D16298" s="600"/>
      <c r="E16298" s="600"/>
      <c r="F16298" s="601"/>
    </row>
    <row r="16299" spans="1:6" ht="15" customHeight="1" x14ac:dyDescent="0.25">
      <c r="A16299" s="602" t="s">
        <v>561</v>
      </c>
      <c r="B16299" s="600"/>
      <c r="C16299" s="600"/>
      <c r="D16299" s="600"/>
      <c r="E16299" s="600"/>
      <c r="F16299" s="601"/>
    </row>
    <row r="16300" spans="1:6" ht="15" customHeight="1" thickBot="1" x14ac:dyDescent="0.3">
      <c r="A16300" s="603"/>
      <c r="B16300" s="604"/>
      <c r="C16300" s="604"/>
      <c r="D16300" s="604"/>
      <c r="E16300" s="604"/>
      <c r="F16300" s="605"/>
    </row>
    <row r="16301" spans="1:6" ht="15" customHeight="1" x14ac:dyDescent="0.25">
      <c r="A16301" s="88"/>
      <c r="B16301" s="88"/>
      <c r="C16301" s="89"/>
      <c r="D16301" s="89"/>
      <c r="E16301" s="89"/>
      <c r="F16301" s="89"/>
    </row>
    <row r="16302" spans="1:6" ht="15" customHeight="1" x14ac:dyDescent="0.25">
      <c r="A16302" s="90" t="s">
        <v>47</v>
      </c>
      <c r="B16302" s="613" t="str">
        <f>'Presupuesto Especifico'!C354</f>
        <v>Suministro e Instalacion Luminaria Tipo Reflector de 2000 W LED Para Escenarios Deportivos sobre cruceta</v>
      </c>
      <c r="C16302" s="600"/>
      <c r="D16302" s="600"/>
      <c r="E16302" s="600"/>
      <c r="F16302" s="600"/>
    </row>
    <row r="16303" spans="1:6" ht="15" customHeight="1" x14ac:dyDescent="0.25">
      <c r="A16303" s="91"/>
      <c r="B16303" s="91"/>
      <c r="C16303" s="91"/>
      <c r="D16303" s="91"/>
      <c r="E16303" s="91"/>
      <c r="F16303" s="91"/>
    </row>
    <row r="16304" spans="1:6" ht="15" customHeight="1" x14ac:dyDescent="0.25">
      <c r="A16304" s="88" t="s">
        <v>49</v>
      </c>
      <c r="B16304" s="92" t="s">
        <v>99</v>
      </c>
      <c r="C16304" s="89"/>
      <c r="D16304" s="89"/>
      <c r="E16304" s="89"/>
      <c r="F16304" s="93"/>
    </row>
    <row r="16305" spans="1:6" ht="15" customHeight="1" x14ac:dyDescent="0.25">
      <c r="A16305" s="88"/>
      <c r="B16305" s="94"/>
      <c r="C16305" s="89"/>
      <c r="D16305" s="89"/>
      <c r="E16305" s="89"/>
      <c r="F16305" s="93"/>
    </row>
    <row r="16306" spans="1:6" ht="15" customHeight="1" x14ac:dyDescent="0.25">
      <c r="A16306" s="95" t="s">
        <v>562</v>
      </c>
      <c r="B16306" s="96"/>
      <c r="C16306" s="92"/>
      <c r="D16306" s="92"/>
      <c r="E16306" s="92"/>
      <c r="F16306" s="92"/>
    </row>
    <row r="16307" spans="1:6" ht="15" customHeight="1" x14ac:dyDescent="0.25">
      <c r="A16307" s="97" t="s">
        <v>563</v>
      </c>
      <c r="B16307" s="98" t="s">
        <v>564</v>
      </c>
      <c r="C16307" s="98" t="s">
        <v>565</v>
      </c>
      <c r="D16307" s="98" t="s">
        <v>566</v>
      </c>
      <c r="E16307" s="98" t="s">
        <v>567</v>
      </c>
      <c r="F16307" s="98" t="s">
        <v>568</v>
      </c>
    </row>
    <row r="16308" spans="1:6" ht="15" customHeight="1" x14ac:dyDescent="0.25">
      <c r="A16308" s="201" t="s">
        <v>1115</v>
      </c>
      <c r="B16308" s="202" t="s">
        <v>279</v>
      </c>
      <c r="C16308" s="205">
        <f>1675000*2.5</f>
        <v>4187500</v>
      </c>
      <c r="D16308" s="203">
        <v>1</v>
      </c>
      <c r="E16308" s="204">
        <v>0</v>
      </c>
      <c r="F16308" s="205">
        <f>+C16308*D16308</f>
        <v>4187500</v>
      </c>
    </row>
    <row r="16309" spans="1:6" ht="15" customHeight="1" x14ac:dyDescent="0.25">
      <c r="A16309" s="201" t="s">
        <v>1116</v>
      </c>
      <c r="B16309" s="202" t="s">
        <v>279</v>
      </c>
      <c r="C16309" s="205">
        <f>25300*2.5</f>
        <v>63250</v>
      </c>
      <c r="D16309" s="203">
        <v>1</v>
      </c>
      <c r="E16309" s="204">
        <v>0</v>
      </c>
      <c r="F16309" s="205">
        <f>+C16309*D16309</f>
        <v>63250</v>
      </c>
    </row>
    <row r="16310" spans="1:6" ht="15" customHeight="1" x14ac:dyDescent="0.25">
      <c r="A16310" s="244"/>
      <c r="B16310" s="245"/>
      <c r="C16310" s="246"/>
      <c r="D16310" s="247"/>
      <c r="E16310" s="248"/>
      <c r="F16310" s="246"/>
    </row>
    <row r="16311" spans="1:6" ht="15" customHeight="1" x14ac:dyDescent="0.25">
      <c r="A16311" s="99"/>
      <c r="B16311" s="100"/>
      <c r="C16311" s="101"/>
      <c r="D16311" s="149"/>
      <c r="E16311" s="102"/>
      <c r="F16311" s="101"/>
    </row>
    <row r="16312" spans="1:6" ht="15" customHeight="1" x14ac:dyDescent="0.25">
      <c r="A16312" s="99"/>
      <c r="B16312" s="100"/>
      <c r="C16312" s="101"/>
      <c r="D16312" s="149"/>
      <c r="E16312" s="102"/>
      <c r="F16312" s="101"/>
    </row>
    <row r="16313" spans="1:6" ht="15" customHeight="1" x14ac:dyDescent="0.25">
      <c r="A16313" s="99"/>
      <c r="B16313" s="100"/>
      <c r="C16313" s="101"/>
      <c r="D16313" s="149"/>
      <c r="E16313" s="102"/>
      <c r="F16313" s="101"/>
    </row>
    <row r="16314" spans="1:6" ht="15" customHeight="1" x14ac:dyDescent="0.25">
      <c r="A16314" s="99"/>
      <c r="B16314" s="100"/>
      <c r="C16314" s="101"/>
      <c r="D16314" s="149"/>
      <c r="E16314" s="102"/>
      <c r="F16314" s="101"/>
    </row>
    <row r="16315" spans="1:6" ht="15" customHeight="1" x14ac:dyDescent="0.25">
      <c r="A16315" s="99"/>
      <c r="B16315" s="100"/>
      <c r="C16315" s="101"/>
      <c r="D16315" s="149"/>
      <c r="E16315" s="102"/>
      <c r="F16315" s="101"/>
    </row>
    <row r="16316" spans="1:6" ht="15" customHeight="1" x14ac:dyDescent="0.25">
      <c r="A16316" s="99"/>
      <c r="B16316" s="100"/>
      <c r="C16316" s="101"/>
      <c r="D16316" s="149"/>
      <c r="E16316" s="102"/>
      <c r="F16316" s="101"/>
    </row>
    <row r="16317" spans="1:6" ht="15" customHeight="1" x14ac:dyDescent="0.25">
      <c r="A16317" s="99"/>
      <c r="B16317" s="100"/>
      <c r="C16317" s="101"/>
      <c r="D16317" s="149"/>
      <c r="E16317" s="102"/>
      <c r="F16317" s="101"/>
    </row>
    <row r="16318" spans="1:6" ht="15" customHeight="1" x14ac:dyDescent="0.25">
      <c r="A16318" s="99"/>
      <c r="B16318" s="100"/>
      <c r="C16318" s="101"/>
      <c r="D16318" s="149"/>
      <c r="E16318" s="102"/>
      <c r="F16318" s="101"/>
    </row>
    <row r="16319" spans="1:6" ht="15" customHeight="1" x14ac:dyDescent="0.25">
      <c r="A16319" s="99"/>
      <c r="B16319" s="100"/>
      <c r="C16319" s="101"/>
      <c r="D16319" s="149"/>
      <c r="E16319" s="102"/>
      <c r="F16319" s="101"/>
    </row>
    <row r="16320" spans="1:6" ht="15" customHeight="1" x14ac:dyDescent="0.25">
      <c r="A16320" s="99"/>
      <c r="B16320" s="100"/>
      <c r="C16320" s="106"/>
      <c r="D16320" s="107"/>
      <c r="E16320" s="108"/>
      <c r="F16320" s="106"/>
    </row>
    <row r="16321" spans="1:6" ht="15" customHeight="1" x14ac:dyDescent="0.25">
      <c r="A16321" s="97" t="s">
        <v>548</v>
      </c>
      <c r="B16321" s="97"/>
      <c r="C16321" s="109"/>
      <c r="D16321" s="110"/>
      <c r="E16321" s="111"/>
      <c r="F16321" s="112">
        <f>SUM(F16308:F16320)</f>
        <v>4250750</v>
      </c>
    </row>
    <row r="16322" spans="1:6" ht="15" customHeight="1" x14ac:dyDescent="0.25">
      <c r="A16322" s="88"/>
      <c r="B16322" s="88"/>
      <c r="C16322" s="113"/>
      <c r="D16322" s="113"/>
      <c r="E16322" s="114"/>
      <c r="F16322" s="113"/>
    </row>
    <row r="16323" spans="1:6" ht="15" customHeight="1" x14ac:dyDescent="0.25">
      <c r="A16323" s="96" t="s">
        <v>573</v>
      </c>
      <c r="B16323" s="96"/>
      <c r="C16323" s="92"/>
      <c r="D16323" s="92"/>
      <c r="E16323" s="92"/>
      <c r="F16323" s="92"/>
    </row>
    <row r="16324" spans="1:6" ht="15" customHeight="1" x14ac:dyDescent="0.25">
      <c r="A16324" s="611" t="s">
        <v>563</v>
      </c>
      <c r="B16324" s="608"/>
      <c r="C16324" s="609"/>
      <c r="D16324" s="98" t="s">
        <v>574</v>
      </c>
      <c r="E16324" s="98" t="s">
        <v>575</v>
      </c>
      <c r="F16324" s="98" t="s">
        <v>568</v>
      </c>
    </row>
    <row r="16325" spans="1:6" ht="15" customHeight="1" x14ac:dyDescent="0.25">
      <c r="A16325" s="588" t="s">
        <v>577</v>
      </c>
      <c r="B16325" s="591"/>
      <c r="C16325" s="592"/>
      <c r="D16325" s="217">
        <v>2500</v>
      </c>
      <c r="E16325" s="218">
        <v>1</v>
      </c>
      <c r="F16325" s="219">
        <f>+E16325*D16325</f>
        <v>2500</v>
      </c>
    </row>
    <row r="16326" spans="1:6" ht="15" customHeight="1" x14ac:dyDescent="0.25">
      <c r="A16326" s="588" t="s">
        <v>1117</v>
      </c>
      <c r="B16326" s="591"/>
      <c r="C16326" s="592"/>
      <c r="D16326" s="217">
        <v>150000</v>
      </c>
      <c r="E16326" s="218">
        <v>3</v>
      </c>
      <c r="F16326" s="219">
        <f>+E16326*D16326</f>
        <v>450000</v>
      </c>
    </row>
    <row r="16327" spans="1:6" ht="15" customHeight="1" x14ac:dyDescent="0.25">
      <c r="A16327" s="607"/>
      <c r="B16327" s="608"/>
      <c r="C16327" s="609"/>
      <c r="D16327" s="142"/>
      <c r="E16327" s="105"/>
      <c r="F16327" s="106"/>
    </row>
    <row r="16328" spans="1:6" ht="15" customHeight="1" x14ac:dyDescent="0.25">
      <c r="A16328" s="607"/>
      <c r="B16328" s="608"/>
      <c r="C16328" s="609"/>
      <c r="D16328" s="142"/>
      <c r="E16328" s="107"/>
      <c r="F16328" s="106"/>
    </row>
    <row r="16329" spans="1:6" ht="15" customHeight="1" x14ac:dyDescent="0.25">
      <c r="A16329" s="607"/>
      <c r="B16329" s="608"/>
      <c r="C16329" s="609"/>
      <c r="D16329" s="142"/>
      <c r="E16329" s="107"/>
      <c r="F16329" s="106"/>
    </row>
    <row r="16330" spans="1:6" ht="15" customHeight="1" x14ac:dyDescent="0.25">
      <c r="A16330" s="607"/>
      <c r="B16330" s="608"/>
      <c r="C16330" s="609"/>
      <c r="D16330" s="142"/>
      <c r="E16330" s="107"/>
      <c r="F16330" s="106"/>
    </row>
    <row r="16331" spans="1:6" ht="15" customHeight="1" x14ac:dyDescent="0.25">
      <c r="A16331" s="607"/>
      <c r="B16331" s="608"/>
      <c r="C16331" s="609"/>
      <c r="D16331" s="142"/>
      <c r="E16331" s="107"/>
      <c r="F16331" s="106"/>
    </row>
    <row r="16332" spans="1:6" ht="15" customHeight="1" x14ac:dyDescent="0.25">
      <c r="A16332" s="607"/>
      <c r="B16332" s="608"/>
      <c r="C16332" s="609"/>
      <c r="D16332" s="142"/>
      <c r="E16332" s="107"/>
      <c r="F16332" s="106"/>
    </row>
    <row r="16333" spans="1:6" ht="15" customHeight="1" x14ac:dyDescent="0.25">
      <c r="A16333" s="610"/>
      <c r="B16333" s="608"/>
      <c r="C16333" s="609"/>
      <c r="D16333" s="115"/>
      <c r="E16333" s="107"/>
      <c r="F16333" s="106"/>
    </row>
    <row r="16334" spans="1:6" ht="15" customHeight="1" x14ac:dyDescent="0.25">
      <c r="A16334" s="611" t="s">
        <v>548</v>
      </c>
      <c r="B16334" s="608"/>
      <c r="C16334" s="609"/>
      <c r="D16334" s="110"/>
      <c r="E16334" s="110"/>
      <c r="F16334" s="112">
        <f>SUM(F16325:F16332)</f>
        <v>452500</v>
      </c>
    </row>
    <row r="16335" spans="1:6" ht="15" customHeight="1" x14ac:dyDescent="0.25">
      <c r="A16335" s="88"/>
      <c r="B16335" s="88"/>
      <c r="C16335" s="89"/>
      <c r="D16335" s="113"/>
      <c r="E16335" s="113"/>
      <c r="F16335" s="113"/>
    </row>
    <row r="16336" spans="1:6" ht="15" customHeight="1" x14ac:dyDescent="0.25">
      <c r="A16336" s="96" t="s">
        <v>578</v>
      </c>
      <c r="B16336" s="96"/>
      <c r="C16336" s="92"/>
      <c r="D16336" s="118"/>
      <c r="E16336" s="118"/>
      <c r="F16336" s="118"/>
    </row>
    <row r="16337" spans="1:6" ht="15" customHeight="1" x14ac:dyDescent="0.25">
      <c r="A16337" s="119" t="s">
        <v>563</v>
      </c>
      <c r="B16337" s="120" t="s">
        <v>579</v>
      </c>
      <c r="C16337" s="120" t="s">
        <v>580</v>
      </c>
      <c r="D16337" s="121" t="s">
        <v>581</v>
      </c>
      <c r="E16337" s="121" t="s">
        <v>575</v>
      </c>
      <c r="F16337" s="121" t="s">
        <v>568</v>
      </c>
    </row>
    <row r="16338" spans="1:6" ht="15" customHeight="1" x14ac:dyDescent="0.25">
      <c r="A16338" s="122" t="s">
        <v>916</v>
      </c>
      <c r="B16338" s="127">
        <v>1</v>
      </c>
      <c r="C16338" s="101">
        <v>35956.800000000003</v>
      </c>
      <c r="D16338" s="101">
        <f t="shared" ref="D16338:D16339" si="786">+C16338*1.7</f>
        <v>61126.560000000005</v>
      </c>
      <c r="E16338" s="107">
        <v>0.4</v>
      </c>
      <c r="F16338" s="106">
        <f t="shared" ref="F16338:F16339" si="787">+B16338*(D16338)/E16338</f>
        <v>152816.4</v>
      </c>
    </row>
    <row r="16339" spans="1:6" ht="15" customHeight="1" x14ac:dyDescent="0.25">
      <c r="A16339" s="122" t="s">
        <v>917</v>
      </c>
      <c r="B16339" s="127">
        <v>1</v>
      </c>
      <c r="C16339" s="101">
        <v>57791.8</v>
      </c>
      <c r="D16339" s="101">
        <f t="shared" si="786"/>
        <v>98246.06</v>
      </c>
      <c r="E16339" s="107">
        <f>E16338</f>
        <v>0.4</v>
      </c>
      <c r="F16339" s="106">
        <f t="shared" si="787"/>
        <v>245615.15</v>
      </c>
    </row>
    <row r="16340" spans="1:6" ht="15" customHeight="1" x14ac:dyDescent="0.25">
      <c r="A16340" s="122"/>
      <c r="B16340" s="127"/>
      <c r="C16340" s="101"/>
      <c r="D16340" s="101"/>
      <c r="E16340" s="105"/>
      <c r="F16340" s="106"/>
    </row>
    <row r="16341" spans="1:6" ht="15" customHeight="1" x14ac:dyDescent="0.25">
      <c r="A16341" s="122"/>
      <c r="B16341" s="127"/>
      <c r="C16341" s="101"/>
      <c r="D16341" s="101"/>
      <c r="E16341" s="125"/>
      <c r="F16341" s="106"/>
    </row>
    <row r="16342" spans="1:6" ht="15" customHeight="1" x14ac:dyDescent="0.25">
      <c r="A16342" s="97" t="s">
        <v>548</v>
      </c>
      <c r="B16342" s="128"/>
      <c r="C16342" s="110"/>
      <c r="D16342" s="110"/>
      <c r="E16342" s="110"/>
      <c r="F16342" s="112">
        <f>SUM(F16338:F16341)</f>
        <v>398431.55</v>
      </c>
    </row>
    <row r="16343" spans="1:6" ht="15" customHeight="1" x14ac:dyDescent="0.25">
      <c r="A16343" s="96"/>
      <c r="B16343" s="129"/>
      <c r="C16343" s="118"/>
      <c r="D16343" s="118"/>
      <c r="E16343" s="118"/>
      <c r="F16343" s="118"/>
    </row>
    <row r="16344" spans="1:6" ht="15" customHeight="1" x14ac:dyDescent="0.25">
      <c r="A16344" s="95" t="s">
        <v>583</v>
      </c>
      <c r="B16344" s="96"/>
      <c r="C16344" s="92"/>
      <c r="D16344" s="92"/>
      <c r="E16344" s="92" t="s">
        <v>584</v>
      </c>
      <c r="F16344" s="92"/>
    </row>
    <row r="16345" spans="1:6" ht="15" customHeight="1" x14ac:dyDescent="0.25">
      <c r="A16345" s="97" t="s">
        <v>563</v>
      </c>
      <c r="B16345" s="98" t="s">
        <v>564</v>
      </c>
      <c r="C16345" s="98" t="s">
        <v>585</v>
      </c>
      <c r="D16345" s="98" t="s">
        <v>586</v>
      </c>
      <c r="E16345" s="120" t="s">
        <v>587</v>
      </c>
      <c r="F16345" s="98" t="s">
        <v>568</v>
      </c>
    </row>
    <row r="16346" spans="1:6" ht="15" customHeight="1" x14ac:dyDescent="0.25">
      <c r="A16346" s="103"/>
      <c r="B16346" s="100"/>
      <c r="C16346" s="101"/>
      <c r="D16346" s="140"/>
      <c r="E16346" s="107"/>
      <c r="F16346" s="109"/>
    </row>
    <row r="16347" spans="1:6" ht="15" customHeight="1" x14ac:dyDescent="0.25">
      <c r="A16347" s="103"/>
      <c r="B16347" s="100"/>
      <c r="C16347" s="107"/>
      <c r="D16347" s="107"/>
      <c r="E16347" s="108"/>
      <c r="F16347" s="109"/>
    </row>
    <row r="16348" spans="1:6" ht="15" customHeight="1" x14ac:dyDescent="0.25">
      <c r="A16348" s="97" t="s">
        <v>548</v>
      </c>
      <c r="B16348" s="98"/>
      <c r="C16348" s="110"/>
      <c r="D16348" s="110"/>
      <c r="E16348" s="111"/>
      <c r="F16348" s="112">
        <f>SUM(F16346:F16347)</f>
        <v>0</v>
      </c>
    </row>
    <row r="16349" spans="1:6" ht="15" customHeight="1" x14ac:dyDescent="0.25">
      <c r="A16349" s="88"/>
      <c r="B16349" s="89"/>
      <c r="C16349" s="113"/>
      <c r="D16349" s="113"/>
      <c r="E16349" s="114"/>
      <c r="F16349" s="113"/>
    </row>
    <row r="16350" spans="1:6" ht="15" customHeight="1" x14ac:dyDescent="0.25">
      <c r="A16350" s="88"/>
      <c r="B16350" s="89"/>
      <c r="C16350" s="113"/>
      <c r="D16350" s="113"/>
      <c r="E16350" s="114"/>
      <c r="F16350" s="113"/>
    </row>
    <row r="16351" spans="1:6" ht="15" customHeight="1" x14ac:dyDescent="0.25">
      <c r="A16351" s="612" t="s">
        <v>588</v>
      </c>
      <c r="B16351" s="608"/>
      <c r="C16351" s="608"/>
      <c r="D16351" s="608"/>
      <c r="E16351" s="609"/>
      <c r="F16351" s="131">
        <f>ROUND(F16321+F16334+F16342+F16348,0)</f>
        <v>5101682</v>
      </c>
    </row>
    <row r="16352" spans="1:6" ht="15" customHeight="1" x14ac:dyDescent="0.25">
      <c r="A16352" s="612" t="s">
        <v>589</v>
      </c>
      <c r="B16352" s="608"/>
      <c r="C16352" s="608"/>
      <c r="D16352" s="608"/>
      <c r="E16352" s="609"/>
      <c r="F16352" s="132"/>
    </row>
    <row r="16353" spans="1:6" ht="15" customHeight="1" x14ac:dyDescent="0.25">
      <c r="A16353" s="146" t="s">
        <v>556</v>
      </c>
      <c r="B16353" s="147"/>
      <c r="C16353" s="147"/>
      <c r="D16353" s="147"/>
      <c r="E16353" s="148"/>
      <c r="F16353" s="133"/>
    </row>
    <row r="16354" spans="1:6" ht="15" customHeight="1" x14ac:dyDescent="0.25">
      <c r="A16354" s="134"/>
      <c r="B16354" s="135"/>
      <c r="C16354" s="135"/>
      <c r="D16354" s="135"/>
      <c r="E16354" s="135"/>
      <c r="F16354" s="136"/>
    </row>
    <row r="16355" spans="1:6" ht="15" customHeight="1" x14ac:dyDescent="0.25">
      <c r="A16355" s="81"/>
      <c r="B16355" s="81"/>
      <c r="C16355" s="137"/>
      <c r="D16355" s="81"/>
      <c r="E16355" s="81"/>
      <c r="F16355" s="81"/>
    </row>
    <row r="16356" spans="1:6" ht="15" customHeight="1" x14ac:dyDescent="0.25">
      <c r="A16356" s="81"/>
      <c r="B16356" s="81"/>
      <c r="C16356" s="137"/>
      <c r="D16356" s="81"/>
      <c r="E16356" s="81"/>
      <c r="F16356" s="81"/>
    </row>
    <row r="16357" spans="1:6" ht="15" customHeight="1" x14ac:dyDescent="0.25">
      <c r="A16357" s="81"/>
      <c r="B16357" s="81"/>
      <c r="C16357" s="137"/>
      <c r="D16357" s="81"/>
      <c r="E16357" s="81"/>
      <c r="F16357" s="81"/>
    </row>
    <row r="16358" spans="1:6" ht="15" customHeight="1" x14ac:dyDescent="0.25">
      <c r="A16358" s="81"/>
      <c r="B16358" s="81"/>
      <c r="C16358" s="137"/>
      <c r="D16358" s="81"/>
      <c r="E16358" s="81"/>
      <c r="F16358" s="81"/>
    </row>
    <row r="16359" spans="1:6" ht="15" customHeight="1" x14ac:dyDescent="0.25">
      <c r="A16359" s="134"/>
      <c r="B16359" s="135"/>
      <c r="C16359" s="135"/>
      <c r="D16359" s="135"/>
      <c r="E16359" s="135"/>
      <c r="F16359" s="136"/>
    </row>
    <row r="16360" spans="1:6" ht="15" customHeight="1" x14ac:dyDescent="0.25">
      <c r="A16360" s="134"/>
      <c r="B16360" s="135"/>
      <c r="C16360" s="135"/>
      <c r="D16360" s="135"/>
      <c r="E16360" s="135"/>
      <c r="F16360" s="136"/>
    </row>
    <row r="16361" spans="1:6" ht="15" customHeight="1" x14ac:dyDescent="0.25">
      <c r="A16361" s="134"/>
      <c r="B16361" s="135"/>
      <c r="C16361" s="135"/>
      <c r="D16361" s="135"/>
      <c r="E16361" s="135"/>
      <c r="F16361" s="135"/>
    </row>
    <row r="16362" spans="1:6" ht="15" customHeight="1" thickBot="1" x14ac:dyDescent="0.3">
      <c r="A16362" s="81"/>
      <c r="B16362" s="81"/>
      <c r="C16362" s="81"/>
      <c r="D16362" s="81"/>
      <c r="E16362" s="81"/>
      <c r="F16362" s="81"/>
    </row>
    <row r="16363" spans="1:6" ht="15" customHeight="1" x14ac:dyDescent="0.25">
      <c r="A16363" s="83"/>
      <c r="B16363" s="84"/>
      <c r="C16363" s="85"/>
      <c r="D16363" s="86"/>
      <c r="E16363" s="86"/>
      <c r="F16363" s="87"/>
    </row>
    <row r="16364" spans="1:6" ht="15" customHeight="1" x14ac:dyDescent="0.25">
      <c r="A16364" s="599"/>
      <c r="B16364" s="600"/>
      <c r="C16364" s="600"/>
      <c r="D16364" s="600"/>
      <c r="E16364" s="600"/>
      <c r="F16364" s="601"/>
    </row>
    <row r="16365" spans="1:6" ht="15" customHeight="1" x14ac:dyDescent="0.25">
      <c r="A16365" s="602" t="s">
        <v>561</v>
      </c>
      <c r="B16365" s="600"/>
      <c r="C16365" s="600"/>
      <c r="D16365" s="600"/>
      <c r="E16365" s="600"/>
      <c r="F16365" s="601"/>
    </row>
    <row r="16366" spans="1:6" ht="15" customHeight="1" thickBot="1" x14ac:dyDescent="0.3">
      <c r="A16366" s="603"/>
      <c r="B16366" s="604"/>
      <c r="C16366" s="604"/>
      <c r="D16366" s="604"/>
      <c r="E16366" s="604"/>
      <c r="F16366" s="605"/>
    </row>
    <row r="16367" spans="1:6" ht="15" customHeight="1" x14ac:dyDescent="0.25">
      <c r="A16367" s="88"/>
      <c r="B16367" s="88"/>
      <c r="C16367" s="89"/>
      <c r="D16367" s="89"/>
      <c r="E16367" s="89"/>
      <c r="F16367" s="89"/>
    </row>
    <row r="16368" spans="1:6" ht="15" customHeight="1" x14ac:dyDescent="0.25">
      <c r="A16368" s="90" t="s">
        <v>47</v>
      </c>
      <c r="B16368" s="613" t="str">
        <f>'Presupuesto Especifico'!C355</f>
        <v>Suministro e Instalacion de Poste de Hormigon Pretensado de 14MT-510 KG-F, Para la Cancha con crucetas (</v>
      </c>
      <c r="C16368" s="600"/>
      <c r="D16368" s="600"/>
      <c r="E16368" s="600"/>
      <c r="F16368" s="600"/>
    </row>
    <row r="16369" spans="1:6" ht="15" customHeight="1" x14ac:dyDescent="0.25">
      <c r="A16369" s="91"/>
      <c r="B16369" s="91"/>
      <c r="C16369" s="91"/>
      <c r="D16369" s="91"/>
      <c r="E16369" s="91"/>
      <c r="F16369" s="91"/>
    </row>
    <row r="16370" spans="1:6" ht="15" customHeight="1" x14ac:dyDescent="0.25">
      <c r="A16370" s="88" t="s">
        <v>49</v>
      </c>
      <c r="B16370" s="92" t="s">
        <v>99</v>
      </c>
      <c r="C16370" s="89"/>
      <c r="D16370" s="89"/>
      <c r="E16370" s="89"/>
      <c r="F16370" s="93"/>
    </row>
    <row r="16371" spans="1:6" ht="15" customHeight="1" x14ac:dyDescent="0.25">
      <c r="A16371" s="88"/>
      <c r="B16371" s="94"/>
      <c r="C16371" s="89"/>
      <c r="D16371" s="89"/>
      <c r="E16371" s="89"/>
      <c r="F16371" s="93"/>
    </row>
    <row r="16372" spans="1:6" ht="15" customHeight="1" x14ac:dyDescent="0.25">
      <c r="A16372" s="95" t="s">
        <v>562</v>
      </c>
      <c r="B16372" s="96"/>
      <c r="C16372" s="92"/>
      <c r="D16372" s="92"/>
      <c r="E16372" s="92"/>
      <c r="F16372" s="92"/>
    </row>
    <row r="16373" spans="1:6" ht="15" customHeight="1" x14ac:dyDescent="0.25">
      <c r="A16373" s="97" t="s">
        <v>563</v>
      </c>
      <c r="B16373" s="98" t="s">
        <v>564</v>
      </c>
      <c r="C16373" s="98" t="s">
        <v>565</v>
      </c>
      <c r="D16373" s="98" t="s">
        <v>566</v>
      </c>
      <c r="E16373" s="98" t="s">
        <v>567</v>
      </c>
      <c r="F16373" s="98" t="s">
        <v>568</v>
      </c>
    </row>
    <row r="16374" spans="1:6" ht="15" customHeight="1" x14ac:dyDescent="0.25">
      <c r="A16374" s="99" t="s">
        <v>948</v>
      </c>
      <c r="B16374" s="100" t="s">
        <v>99</v>
      </c>
      <c r="C16374" s="101">
        <v>2579399</v>
      </c>
      <c r="D16374" s="149">
        <v>1</v>
      </c>
      <c r="E16374" s="102"/>
      <c r="F16374" s="101">
        <f t="shared" ref="F16374:F16375" si="788">C16374*(D16374+(D16374*E16374))</f>
        <v>2579399</v>
      </c>
    </row>
    <row r="16375" spans="1:6" ht="15" customHeight="1" x14ac:dyDescent="0.25">
      <c r="A16375" s="99" t="s">
        <v>644</v>
      </c>
      <c r="B16375" s="100" t="s">
        <v>64</v>
      </c>
      <c r="C16375" s="101">
        <v>408050</v>
      </c>
      <c r="D16375" s="104">
        <v>0.4</v>
      </c>
      <c r="E16375" s="102">
        <v>0.05</v>
      </c>
      <c r="F16375" s="101">
        <f t="shared" si="788"/>
        <v>171381.00000000003</v>
      </c>
    </row>
    <row r="16376" spans="1:6" ht="15" customHeight="1" x14ac:dyDescent="0.25">
      <c r="A16376" s="201" t="s">
        <v>1118</v>
      </c>
      <c r="B16376" s="202" t="s">
        <v>279</v>
      </c>
      <c r="C16376" s="205">
        <f>125000*2.5</f>
        <v>312500</v>
      </c>
      <c r="D16376" s="203">
        <v>1</v>
      </c>
      <c r="E16376" s="204">
        <v>0</v>
      </c>
      <c r="F16376" s="205">
        <f>+C16376*D16376</f>
        <v>312500</v>
      </c>
    </row>
    <row r="16377" spans="1:6" ht="15" customHeight="1" x14ac:dyDescent="0.25">
      <c r="A16377" s="201" t="s">
        <v>1119</v>
      </c>
      <c r="B16377" s="202" t="s">
        <v>279</v>
      </c>
      <c r="C16377" s="205">
        <f>22000*2.5</f>
        <v>55000</v>
      </c>
      <c r="D16377" s="203">
        <v>1</v>
      </c>
      <c r="E16377" s="204">
        <v>0</v>
      </c>
      <c r="F16377" s="205">
        <f>+C16377*D16377</f>
        <v>55000</v>
      </c>
    </row>
    <row r="16378" spans="1:6" ht="15" customHeight="1" x14ac:dyDescent="0.25">
      <c r="A16378" s="99"/>
      <c r="B16378" s="100"/>
      <c r="C16378" s="101"/>
      <c r="D16378" s="149"/>
      <c r="E16378" s="102"/>
      <c r="F16378" s="101"/>
    </row>
    <row r="16379" spans="1:6" ht="15" customHeight="1" x14ac:dyDescent="0.25">
      <c r="A16379" s="99"/>
      <c r="B16379" s="100"/>
      <c r="C16379" s="101"/>
      <c r="D16379" s="149"/>
      <c r="E16379" s="102"/>
      <c r="F16379" s="101"/>
    </row>
    <row r="16380" spans="1:6" ht="15" customHeight="1" x14ac:dyDescent="0.25">
      <c r="A16380" s="99"/>
      <c r="B16380" s="100"/>
      <c r="C16380" s="101"/>
      <c r="D16380" s="149"/>
      <c r="E16380" s="102"/>
      <c r="F16380" s="101"/>
    </row>
    <row r="16381" spans="1:6" ht="15" customHeight="1" x14ac:dyDescent="0.25">
      <c r="A16381" s="99"/>
      <c r="B16381" s="100"/>
      <c r="C16381" s="101"/>
      <c r="D16381" s="149"/>
      <c r="E16381" s="102"/>
      <c r="F16381" s="101"/>
    </row>
    <row r="16382" spans="1:6" ht="15" customHeight="1" x14ac:dyDescent="0.25">
      <c r="A16382" s="99"/>
      <c r="B16382" s="100"/>
      <c r="C16382" s="101"/>
      <c r="D16382" s="149"/>
      <c r="E16382" s="102"/>
      <c r="F16382" s="101"/>
    </row>
    <row r="16383" spans="1:6" ht="15" customHeight="1" x14ac:dyDescent="0.25">
      <c r="A16383" s="99"/>
      <c r="B16383" s="100"/>
      <c r="C16383" s="101"/>
      <c r="D16383" s="149"/>
      <c r="E16383" s="102"/>
      <c r="F16383" s="101"/>
    </row>
    <row r="16384" spans="1:6" ht="15" customHeight="1" x14ac:dyDescent="0.25">
      <c r="A16384" s="99"/>
      <c r="B16384" s="100"/>
      <c r="C16384" s="101"/>
      <c r="D16384" s="149"/>
      <c r="E16384" s="102"/>
      <c r="F16384" s="101"/>
    </row>
    <row r="16385" spans="1:6" ht="15" customHeight="1" x14ac:dyDescent="0.25">
      <c r="A16385" s="99"/>
      <c r="B16385" s="100"/>
      <c r="C16385" s="101"/>
      <c r="D16385" s="149"/>
      <c r="E16385" s="102"/>
      <c r="F16385" s="101"/>
    </row>
    <row r="16386" spans="1:6" ht="15" customHeight="1" x14ac:dyDescent="0.25">
      <c r="A16386" s="99"/>
      <c r="B16386" s="100"/>
      <c r="C16386" s="106"/>
      <c r="D16386" s="107"/>
      <c r="E16386" s="108"/>
      <c r="F16386" s="106"/>
    </row>
    <row r="16387" spans="1:6" ht="15" customHeight="1" x14ac:dyDescent="0.25">
      <c r="A16387" s="97" t="s">
        <v>548</v>
      </c>
      <c r="B16387" s="97"/>
      <c r="C16387" s="109"/>
      <c r="D16387" s="110"/>
      <c r="E16387" s="111"/>
      <c r="F16387" s="112">
        <f>SUM(F16374:F16386)</f>
        <v>3118280</v>
      </c>
    </row>
    <row r="16388" spans="1:6" ht="15" customHeight="1" x14ac:dyDescent="0.25">
      <c r="A16388" s="88"/>
      <c r="B16388" s="88"/>
      <c r="C16388" s="113"/>
      <c r="D16388" s="113"/>
      <c r="E16388" s="114"/>
      <c r="F16388" s="113"/>
    </row>
    <row r="16389" spans="1:6" ht="15" customHeight="1" x14ac:dyDescent="0.25">
      <c r="A16389" s="96" t="s">
        <v>573</v>
      </c>
      <c r="B16389" s="96"/>
      <c r="C16389" s="92"/>
      <c r="D16389" s="92"/>
      <c r="E16389" s="92"/>
      <c r="F16389" s="92"/>
    </row>
    <row r="16390" spans="1:6" ht="15" customHeight="1" x14ac:dyDescent="0.25">
      <c r="A16390" s="611" t="s">
        <v>563</v>
      </c>
      <c r="B16390" s="608"/>
      <c r="C16390" s="609"/>
      <c r="D16390" s="98" t="s">
        <v>574</v>
      </c>
      <c r="E16390" s="98" t="s">
        <v>575</v>
      </c>
      <c r="F16390" s="98" t="s">
        <v>568</v>
      </c>
    </row>
    <row r="16391" spans="1:6" ht="15" customHeight="1" x14ac:dyDescent="0.25">
      <c r="A16391" s="607" t="s">
        <v>577</v>
      </c>
      <c r="B16391" s="608"/>
      <c r="C16391" s="609"/>
      <c r="D16391" s="116"/>
      <c r="E16391" s="107"/>
      <c r="F16391" s="106">
        <f>+F16408*5%</f>
        <v>19921.577499999999</v>
      </c>
    </row>
    <row r="16392" spans="1:6" ht="15" customHeight="1" x14ac:dyDescent="0.25">
      <c r="A16392" s="588" t="s">
        <v>1117</v>
      </c>
      <c r="B16392" s="591"/>
      <c r="C16392" s="592"/>
      <c r="D16392" s="217">
        <v>150000</v>
      </c>
      <c r="E16392" s="218">
        <v>3</v>
      </c>
      <c r="F16392" s="219">
        <f>+E16392*D16392</f>
        <v>450000</v>
      </c>
    </row>
    <row r="16393" spans="1:6" ht="15" customHeight="1" x14ac:dyDescent="0.25">
      <c r="A16393" s="588" t="s">
        <v>1120</v>
      </c>
      <c r="B16393" s="591"/>
      <c r="C16393" s="592"/>
      <c r="D16393" s="217">
        <v>150000</v>
      </c>
      <c r="E16393" s="218">
        <v>3</v>
      </c>
      <c r="F16393" s="219">
        <f>+E16393*D16393</f>
        <v>450000</v>
      </c>
    </row>
    <row r="16394" spans="1:6" ht="15" customHeight="1" x14ac:dyDescent="0.25">
      <c r="A16394" s="588" t="s">
        <v>1121</v>
      </c>
      <c r="B16394" s="591"/>
      <c r="C16394" s="592"/>
      <c r="D16394" s="217">
        <v>300000</v>
      </c>
      <c r="E16394" s="218">
        <v>1</v>
      </c>
      <c r="F16394" s="219">
        <f>+E16394*D16394</f>
        <v>300000</v>
      </c>
    </row>
    <row r="16395" spans="1:6" ht="15" customHeight="1" x14ac:dyDescent="0.25">
      <c r="A16395" s="607"/>
      <c r="B16395" s="608"/>
      <c r="C16395" s="609"/>
      <c r="D16395" s="142"/>
      <c r="E16395" s="107"/>
      <c r="F16395" s="106"/>
    </row>
    <row r="16396" spans="1:6" ht="15" customHeight="1" x14ac:dyDescent="0.25">
      <c r="A16396" s="607"/>
      <c r="B16396" s="608"/>
      <c r="C16396" s="609"/>
      <c r="D16396" s="142"/>
      <c r="E16396" s="107"/>
      <c r="F16396" s="106"/>
    </row>
    <row r="16397" spans="1:6" ht="15" customHeight="1" x14ac:dyDescent="0.25">
      <c r="A16397" s="607"/>
      <c r="B16397" s="608"/>
      <c r="C16397" s="609"/>
      <c r="D16397" s="142"/>
      <c r="E16397" s="107"/>
      <c r="F16397" s="106"/>
    </row>
    <row r="16398" spans="1:6" ht="15" customHeight="1" x14ac:dyDescent="0.25">
      <c r="A16398" s="607"/>
      <c r="B16398" s="608"/>
      <c r="C16398" s="609"/>
      <c r="D16398" s="142"/>
      <c r="E16398" s="107"/>
      <c r="F16398" s="106"/>
    </row>
    <row r="16399" spans="1:6" ht="15" customHeight="1" x14ac:dyDescent="0.25">
      <c r="A16399" s="610"/>
      <c r="B16399" s="608"/>
      <c r="C16399" s="609"/>
      <c r="D16399" s="115"/>
      <c r="E16399" s="107"/>
      <c r="F16399" s="106"/>
    </row>
    <row r="16400" spans="1:6" ht="15" customHeight="1" x14ac:dyDescent="0.25">
      <c r="A16400" s="611" t="s">
        <v>548</v>
      </c>
      <c r="B16400" s="608"/>
      <c r="C16400" s="609"/>
      <c r="D16400" s="110"/>
      <c r="E16400" s="110"/>
      <c r="F16400" s="112">
        <f>SUM(F16391:F16398)</f>
        <v>1219921.5775000001</v>
      </c>
    </row>
    <row r="16401" spans="1:6" ht="15" customHeight="1" x14ac:dyDescent="0.25">
      <c r="A16401" s="88"/>
      <c r="B16401" s="88"/>
      <c r="C16401" s="89"/>
      <c r="D16401" s="113"/>
      <c r="E16401" s="113"/>
      <c r="F16401" s="113"/>
    </row>
    <row r="16402" spans="1:6" ht="15" customHeight="1" x14ac:dyDescent="0.25">
      <c r="A16402" s="96" t="s">
        <v>578</v>
      </c>
      <c r="B16402" s="96"/>
      <c r="C16402" s="92"/>
      <c r="D16402" s="118"/>
      <c r="E16402" s="118"/>
      <c r="F16402" s="118"/>
    </row>
    <row r="16403" spans="1:6" ht="15" customHeight="1" x14ac:dyDescent="0.25">
      <c r="A16403" s="119" t="s">
        <v>563</v>
      </c>
      <c r="B16403" s="120" t="s">
        <v>579</v>
      </c>
      <c r="C16403" s="120" t="s">
        <v>580</v>
      </c>
      <c r="D16403" s="121" t="s">
        <v>581</v>
      </c>
      <c r="E16403" s="121" t="s">
        <v>575</v>
      </c>
      <c r="F16403" s="121" t="s">
        <v>568</v>
      </c>
    </row>
    <row r="16404" spans="1:6" ht="15" customHeight="1" x14ac:dyDescent="0.25">
      <c r="A16404" s="122" t="s">
        <v>916</v>
      </c>
      <c r="B16404" s="127">
        <v>1</v>
      </c>
      <c r="C16404" s="101">
        <v>35956.800000000003</v>
      </c>
      <c r="D16404" s="101">
        <f t="shared" ref="D16404:D16405" si="789">+C16404*1.7</f>
        <v>61126.560000000005</v>
      </c>
      <c r="E16404" s="107">
        <v>0.4</v>
      </c>
      <c r="F16404" s="106">
        <f t="shared" ref="F16404:F16405" si="790">+B16404*(D16404)/E16404</f>
        <v>152816.4</v>
      </c>
    </row>
    <row r="16405" spans="1:6" ht="15" customHeight="1" x14ac:dyDescent="0.25">
      <c r="A16405" s="122" t="s">
        <v>917</v>
      </c>
      <c r="B16405" s="127">
        <v>1</v>
      </c>
      <c r="C16405" s="101">
        <v>57791.8</v>
      </c>
      <c r="D16405" s="101">
        <f t="shared" si="789"/>
        <v>98246.06</v>
      </c>
      <c r="E16405" s="107">
        <f>E16404</f>
        <v>0.4</v>
      </c>
      <c r="F16405" s="106">
        <f t="shared" si="790"/>
        <v>245615.15</v>
      </c>
    </row>
    <row r="16406" spans="1:6" ht="15" customHeight="1" x14ac:dyDescent="0.25">
      <c r="A16406" s="122"/>
      <c r="B16406" s="127"/>
      <c r="C16406" s="101"/>
      <c r="D16406" s="101"/>
      <c r="E16406" s="105"/>
      <c r="F16406" s="106"/>
    </row>
    <row r="16407" spans="1:6" ht="15" customHeight="1" x14ac:dyDescent="0.25">
      <c r="A16407" s="122"/>
      <c r="B16407" s="127"/>
      <c r="C16407" s="101"/>
      <c r="D16407" s="101"/>
      <c r="E16407" s="125"/>
      <c r="F16407" s="106"/>
    </row>
    <row r="16408" spans="1:6" ht="15" customHeight="1" x14ac:dyDescent="0.25">
      <c r="A16408" s="97" t="s">
        <v>548</v>
      </c>
      <c r="B16408" s="128"/>
      <c r="C16408" s="110"/>
      <c r="D16408" s="110"/>
      <c r="E16408" s="110"/>
      <c r="F16408" s="112">
        <f>SUM(F16404:F16407)</f>
        <v>398431.55</v>
      </c>
    </row>
    <row r="16409" spans="1:6" ht="15" customHeight="1" x14ac:dyDescent="0.25">
      <c r="A16409" s="96"/>
      <c r="B16409" s="129"/>
      <c r="C16409" s="118"/>
      <c r="D16409" s="118"/>
      <c r="E16409" s="118"/>
      <c r="F16409" s="118"/>
    </row>
    <row r="16410" spans="1:6" ht="15" customHeight="1" x14ac:dyDescent="0.25">
      <c r="A16410" s="95" t="s">
        <v>583</v>
      </c>
      <c r="B16410" s="96"/>
      <c r="C16410" s="92"/>
      <c r="D16410" s="92"/>
      <c r="E16410" s="92" t="s">
        <v>584</v>
      </c>
      <c r="F16410" s="92"/>
    </row>
    <row r="16411" spans="1:6" ht="15" customHeight="1" x14ac:dyDescent="0.25">
      <c r="A16411" s="97" t="s">
        <v>563</v>
      </c>
      <c r="B16411" s="98" t="s">
        <v>564</v>
      </c>
      <c r="C16411" s="98" t="s">
        <v>585</v>
      </c>
      <c r="D16411" s="98" t="s">
        <v>586</v>
      </c>
      <c r="E16411" s="120" t="s">
        <v>587</v>
      </c>
      <c r="F16411" s="98" t="s">
        <v>568</v>
      </c>
    </row>
    <row r="16412" spans="1:6" ht="15" customHeight="1" x14ac:dyDescent="0.25">
      <c r="A16412" s="103"/>
      <c r="B16412" s="100"/>
      <c r="C16412" s="101"/>
      <c r="D16412" s="140"/>
      <c r="E16412" s="107"/>
      <c r="F16412" s="109"/>
    </row>
    <row r="16413" spans="1:6" ht="15" customHeight="1" x14ac:dyDescent="0.25">
      <c r="A16413" s="103"/>
      <c r="B16413" s="100"/>
      <c r="C16413" s="107"/>
      <c r="D16413" s="107"/>
      <c r="E16413" s="108"/>
      <c r="F16413" s="109"/>
    </row>
    <row r="16414" spans="1:6" ht="15" customHeight="1" x14ac:dyDescent="0.25">
      <c r="A16414" s="97" t="s">
        <v>548</v>
      </c>
      <c r="B16414" s="98"/>
      <c r="C16414" s="110"/>
      <c r="D16414" s="110"/>
      <c r="E16414" s="111"/>
      <c r="F16414" s="112">
        <f>SUM(F16412:F16413)</f>
        <v>0</v>
      </c>
    </row>
    <row r="16415" spans="1:6" ht="15" customHeight="1" x14ac:dyDescent="0.25">
      <c r="A16415" s="88"/>
      <c r="B16415" s="89"/>
      <c r="C16415" s="113"/>
      <c r="D16415" s="113"/>
      <c r="E16415" s="114"/>
      <c r="F16415" s="113"/>
    </row>
    <row r="16416" spans="1:6" ht="15" customHeight="1" x14ac:dyDescent="0.25">
      <c r="A16416" s="88"/>
      <c r="B16416" s="89"/>
      <c r="C16416" s="113"/>
      <c r="D16416" s="113"/>
      <c r="E16416" s="114"/>
      <c r="F16416" s="113"/>
    </row>
    <row r="16417" spans="1:6" ht="15" customHeight="1" x14ac:dyDescent="0.25">
      <c r="A16417" s="612" t="s">
        <v>588</v>
      </c>
      <c r="B16417" s="608"/>
      <c r="C16417" s="608"/>
      <c r="D16417" s="608"/>
      <c r="E16417" s="609"/>
      <c r="F16417" s="131">
        <f>ROUND(F16387+F16400+F16408+F16414,0)</f>
        <v>4736633</v>
      </c>
    </row>
    <row r="16418" spans="1:6" ht="15" customHeight="1" x14ac:dyDescent="0.25">
      <c r="A16418" s="612" t="s">
        <v>589</v>
      </c>
      <c r="B16418" s="608"/>
      <c r="C16418" s="608"/>
      <c r="D16418" s="608"/>
      <c r="E16418" s="609"/>
      <c r="F16418" s="132"/>
    </row>
    <row r="16419" spans="1:6" ht="15" customHeight="1" x14ac:dyDescent="0.25">
      <c r="A16419" s="146" t="s">
        <v>556</v>
      </c>
      <c r="B16419" s="147"/>
      <c r="C16419" s="147"/>
      <c r="D16419" s="147"/>
      <c r="E16419" s="148"/>
      <c r="F16419" s="133"/>
    </row>
    <row r="16420" spans="1:6" ht="15" customHeight="1" x14ac:dyDescent="0.25">
      <c r="A16420" s="134"/>
      <c r="B16420" s="135"/>
      <c r="C16420" s="135"/>
      <c r="D16420" s="135"/>
      <c r="E16420" s="135"/>
      <c r="F16420" s="136"/>
    </row>
    <row r="16421" spans="1:6" ht="15" customHeight="1" x14ac:dyDescent="0.25">
      <c r="A16421" s="81"/>
      <c r="B16421" s="81"/>
      <c r="C16421" s="137"/>
      <c r="D16421" s="81"/>
      <c r="E16421" s="81"/>
      <c r="F16421" s="81"/>
    </row>
    <row r="16422" spans="1:6" ht="15" customHeight="1" x14ac:dyDescent="0.25">
      <c r="A16422" s="81"/>
      <c r="B16422" s="81"/>
      <c r="C16422" s="137"/>
      <c r="D16422" s="81"/>
      <c r="E16422" s="81"/>
      <c r="F16422" s="81"/>
    </row>
    <row r="16423" spans="1:6" ht="15" customHeight="1" x14ac:dyDescent="0.25">
      <c r="A16423" s="81"/>
      <c r="B16423" s="81"/>
      <c r="C16423" s="137"/>
      <c r="D16423" s="81"/>
      <c r="E16423" s="81"/>
      <c r="F16423" s="81"/>
    </row>
    <row r="16424" spans="1:6" ht="15" customHeight="1" x14ac:dyDescent="0.25">
      <c r="A16424" s="81"/>
      <c r="B16424" s="81"/>
      <c r="C16424" s="137"/>
      <c r="D16424" s="81"/>
      <c r="E16424" s="81"/>
      <c r="F16424" s="81"/>
    </row>
    <row r="16425" spans="1:6" ht="15" customHeight="1" x14ac:dyDescent="0.25">
      <c r="A16425" s="134"/>
      <c r="B16425" s="135"/>
      <c r="C16425" s="135"/>
      <c r="D16425" s="135"/>
      <c r="E16425" s="135"/>
      <c r="F16425" s="136"/>
    </row>
    <row r="16426" spans="1:6" ht="15" customHeight="1" x14ac:dyDescent="0.25">
      <c r="A16426" s="134"/>
      <c r="B16426" s="135"/>
      <c r="C16426" s="135"/>
      <c r="D16426" s="135"/>
      <c r="E16426" s="135"/>
      <c r="F16426" s="136"/>
    </row>
    <row r="16427" spans="1:6" ht="15" customHeight="1" x14ac:dyDescent="0.25">
      <c r="A16427" s="134"/>
      <c r="B16427" s="135"/>
      <c r="C16427" s="135"/>
      <c r="D16427" s="135"/>
      <c r="E16427" s="135"/>
      <c r="F16427" s="135"/>
    </row>
    <row r="16428" spans="1:6" ht="15" customHeight="1" thickBot="1" x14ac:dyDescent="0.3">
      <c r="A16428" s="81"/>
      <c r="B16428" s="81"/>
      <c r="C16428" s="81"/>
      <c r="D16428" s="81"/>
      <c r="E16428" s="81"/>
      <c r="F16428" s="81"/>
    </row>
    <row r="16429" spans="1:6" ht="15" customHeight="1" x14ac:dyDescent="0.25">
      <c r="A16429" s="83"/>
      <c r="B16429" s="84"/>
      <c r="C16429" s="85"/>
      <c r="D16429" s="86"/>
      <c r="E16429" s="86"/>
      <c r="F16429" s="87"/>
    </row>
    <row r="16430" spans="1:6" ht="15" customHeight="1" x14ac:dyDescent="0.25">
      <c r="A16430" s="599"/>
      <c r="B16430" s="600"/>
      <c r="C16430" s="600"/>
      <c r="D16430" s="600"/>
      <c r="E16430" s="600"/>
      <c r="F16430" s="601"/>
    </row>
    <row r="16431" spans="1:6" ht="15" customHeight="1" x14ac:dyDescent="0.25">
      <c r="A16431" s="602" t="s">
        <v>561</v>
      </c>
      <c r="B16431" s="600"/>
      <c r="C16431" s="600"/>
      <c r="D16431" s="600"/>
      <c r="E16431" s="600"/>
      <c r="F16431" s="601"/>
    </row>
    <row r="16432" spans="1:6" ht="15" customHeight="1" thickBot="1" x14ac:dyDescent="0.3">
      <c r="A16432" s="603"/>
      <c r="B16432" s="604"/>
      <c r="C16432" s="604"/>
      <c r="D16432" s="604"/>
      <c r="E16432" s="604"/>
      <c r="F16432" s="605"/>
    </row>
    <row r="16433" spans="1:6" ht="15" customHeight="1" x14ac:dyDescent="0.25">
      <c r="A16433" s="88"/>
      <c r="B16433" s="88"/>
      <c r="C16433" s="89"/>
      <c r="D16433" s="89"/>
      <c r="E16433" s="89"/>
      <c r="F16433" s="89"/>
    </row>
    <row r="16434" spans="1:6" ht="15" customHeight="1" x14ac:dyDescent="0.25">
      <c r="A16434" s="90" t="s">
        <v>47</v>
      </c>
      <c r="B16434" s="613" t="s">
        <v>486</v>
      </c>
      <c r="C16434" s="600"/>
      <c r="D16434" s="600"/>
      <c r="E16434" s="600"/>
      <c r="F16434" s="600"/>
    </row>
    <row r="16435" spans="1:6" ht="15" customHeight="1" x14ac:dyDescent="0.25">
      <c r="A16435" s="91"/>
      <c r="B16435" s="91"/>
      <c r="C16435" s="91"/>
      <c r="D16435" s="91"/>
      <c r="E16435" s="91"/>
      <c r="F16435" s="91"/>
    </row>
    <row r="16436" spans="1:6" ht="15" customHeight="1" x14ac:dyDescent="0.25">
      <c r="A16436" s="88" t="s">
        <v>49</v>
      </c>
      <c r="B16436" s="92" t="s">
        <v>99</v>
      </c>
      <c r="C16436" s="89"/>
      <c r="D16436" s="89"/>
      <c r="E16436" s="89"/>
      <c r="F16436" s="93"/>
    </row>
    <row r="16437" spans="1:6" ht="15" customHeight="1" x14ac:dyDescent="0.25">
      <c r="A16437" s="88"/>
      <c r="B16437" s="94"/>
      <c r="C16437" s="89"/>
      <c r="D16437" s="89"/>
      <c r="E16437" s="89"/>
      <c r="F16437" s="93"/>
    </row>
    <row r="16438" spans="1:6" ht="15" customHeight="1" x14ac:dyDescent="0.25">
      <c r="A16438" s="95" t="s">
        <v>562</v>
      </c>
      <c r="B16438" s="96"/>
      <c r="C16438" s="92"/>
      <c r="D16438" s="92"/>
      <c r="E16438" s="92"/>
      <c r="F16438" s="92"/>
    </row>
    <row r="16439" spans="1:6" ht="15" customHeight="1" x14ac:dyDescent="0.25">
      <c r="A16439" s="97" t="s">
        <v>563</v>
      </c>
      <c r="B16439" s="98" t="s">
        <v>564</v>
      </c>
      <c r="C16439" s="98" t="s">
        <v>565</v>
      </c>
      <c r="D16439" s="98" t="s">
        <v>566</v>
      </c>
      <c r="E16439" s="98" t="s">
        <v>567</v>
      </c>
      <c r="F16439" s="98" t="s">
        <v>568</v>
      </c>
    </row>
    <row r="16440" spans="1:6" ht="15" customHeight="1" x14ac:dyDescent="0.25">
      <c r="A16440" s="99" t="s">
        <v>949</v>
      </c>
      <c r="B16440" s="100" t="s">
        <v>99</v>
      </c>
      <c r="C16440" s="101">
        <v>150000</v>
      </c>
      <c r="D16440" s="104">
        <v>3</v>
      </c>
      <c r="E16440" s="102"/>
      <c r="F16440" s="101">
        <f t="shared" ref="F16440:F16443" si="791">C16440*(D16440+(D16440*E16440))</f>
        <v>450000</v>
      </c>
    </row>
    <row r="16441" spans="1:6" ht="15" customHeight="1" x14ac:dyDescent="0.25">
      <c r="A16441" s="99" t="s">
        <v>950</v>
      </c>
      <c r="B16441" s="100" t="s">
        <v>99</v>
      </c>
      <c r="C16441" s="101">
        <v>50000</v>
      </c>
      <c r="D16441" s="104">
        <v>5</v>
      </c>
      <c r="E16441" s="102">
        <v>0.05</v>
      </c>
      <c r="F16441" s="101">
        <f t="shared" si="791"/>
        <v>262500</v>
      </c>
    </row>
    <row r="16442" spans="1:6" ht="15" customHeight="1" x14ac:dyDescent="0.25">
      <c r="A16442" s="99" t="s">
        <v>951</v>
      </c>
      <c r="B16442" s="100" t="s">
        <v>59</v>
      </c>
      <c r="C16442" s="101">
        <v>23000</v>
      </c>
      <c r="D16442" s="104">
        <v>20</v>
      </c>
      <c r="E16442" s="102">
        <v>0.05</v>
      </c>
      <c r="F16442" s="101">
        <f t="shared" si="791"/>
        <v>483000</v>
      </c>
    </row>
    <row r="16443" spans="1:6" ht="15" customHeight="1" x14ac:dyDescent="0.25">
      <c r="A16443" s="99" t="s">
        <v>952</v>
      </c>
      <c r="B16443" s="100" t="s">
        <v>99</v>
      </c>
      <c r="C16443" s="101">
        <v>285000</v>
      </c>
      <c r="D16443" s="104">
        <v>1</v>
      </c>
      <c r="E16443" s="102">
        <v>0.05</v>
      </c>
      <c r="F16443" s="101">
        <f t="shared" si="791"/>
        <v>299250</v>
      </c>
    </row>
    <row r="16444" spans="1:6" ht="15" customHeight="1" x14ac:dyDescent="0.25">
      <c r="A16444" s="201" t="s">
        <v>1122</v>
      </c>
      <c r="B16444" s="202" t="s">
        <v>1123</v>
      </c>
      <c r="C16444" s="205">
        <f>65400*2.5</f>
        <v>163500</v>
      </c>
      <c r="D16444" s="203">
        <v>1</v>
      </c>
      <c r="E16444" s="204">
        <v>0</v>
      </c>
      <c r="F16444" s="205">
        <f>+C16444*D16444</f>
        <v>163500</v>
      </c>
    </row>
    <row r="16445" spans="1:6" ht="15" customHeight="1" x14ac:dyDescent="0.25">
      <c r="A16445" s="99"/>
      <c r="B16445" s="100"/>
      <c r="C16445" s="101"/>
      <c r="D16445" s="149"/>
      <c r="E16445" s="102"/>
      <c r="F16445" s="101"/>
    </row>
    <row r="16446" spans="1:6" ht="15" customHeight="1" x14ac:dyDescent="0.25">
      <c r="A16446" s="99"/>
      <c r="B16446" s="100"/>
      <c r="C16446" s="101"/>
      <c r="D16446" s="149"/>
      <c r="E16446" s="102"/>
      <c r="F16446" s="101"/>
    </row>
    <row r="16447" spans="1:6" ht="15" customHeight="1" x14ac:dyDescent="0.25">
      <c r="A16447" s="99"/>
      <c r="B16447" s="100"/>
      <c r="C16447" s="101"/>
      <c r="D16447" s="149"/>
      <c r="E16447" s="102"/>
      <c r="F16447" s="101"/>
    </row>
    <row r="16448" spans="1:6" ht="15" customHeight="1" x14ac:dyDescent="0.25">
      <c r="A16448" s="99"/>
      <c r="B16448" s="100"/>
      <c r="C16448" s="101"/>
      <c r="D16448" s="149"/>
      <c r="E16448" s="102"/>
      <c r="F16448" s="101"/>
    </row>
    <row r="16449" spans="1:6" ht="15" customHeight="1" x14ac:dyDescent="0.25">
      <c r="A16449" s="99"/>
      <c r="B16449" s="100"/>
      <c r="C16449" s="101"/>
      <c r="D16449" s="149"/>
      <c r="E16449" s="102"/>
      <c r="F16449" s="101"/>
    </row>
    <row r="16450" spans="1:6" ht="15" customHeight="1" x14ac:dyDescent="0.25">
      <c r="A16450" s="99"/>
      <c r="B16450" s="100"/>
      <c r="C16450" s="106"/>
      <c r="D16450" s="107"/>
      <c r="E16450" s="108"/>
      <c r="F16450" s="106"/>
    </row>
    <row r="16451" spans="1:6" ht="15" customHeight="1" x14ac:dyDescent="0.25">
      <c r="A16451" s="97" t="s">
        <v>548</v>
      </c>
      <c r="B16451" s="97"/>
      <c r="C16451" s="109"/>
      <c r="D16451" s="110"/>
      <c r="E16451" s="111"/>
      <c r="F16451" s="112">
        <f>SUM(F16440:F16450)</f>
        <v>1658250</v>
      </c>
    </row>
    <row r="16452" spans="1:6" ht="15" customHeight="1" x14ac:dyDescent="0.25">
      <c r="A16452" s="88"/>
      <c r="B16452" s="88"/>
      <c r="C16452" s="113"/>
      <c r="D16452" s="113"/>
      <c r="E16452" s="114"/>
      <c r="F16452" s="113"/>
    </row>
    <row r="16453" spans="1:6" ht="15" customHeight="1" x14ac:dyDescent="0.25">
      <c r="A16453" s="96" t="s">
        <v>573</v>
      </c>
      <c r="B16453" s="96"/>
      <c r="C16453" s="92"/>
      <c r="D16453" s="92"/>
      <c r="E16453" s="92"/>
      <c r="F16453" s="92"/>
    </row>
    <row r="16454" spans="1:6" ht="15" customHeight="1" x14ac:dyDescent="0.25">
      <c r="A16454" s="611" t="s">
        <v>563</v>
      </c>
      <c r="B16454" s="608"/>
      <c r="C16454" s="609"/>
      <c r="D16454" s="98" t="s">
        <v>574</v>
      </c>
      <c r="E16454" s="98" t="s">
        <v>575</v>
      </c>
      <c r="F16454" s="98" t="s">
        <v>568</v>
      </c>
    </row>
    <row r="16455" spans="1:6" ht="15" customHeight="1" x14ac:dyDescent="0.25">
      <c r="A16455" s="607" t="s">
        <v>577</v>
      </c>
      <c r="B16455" s="608"/>
      <c r="C16455" s="609"/>
      <c r="D16455" s="116"/>
      <c r="E16455" s="107"/>
      <c r="F16455" s="106">
        <f>+F16472*5%</f>
        <v>18769.505266728225</v>
      </c>
    </row>
    <row r="16456" spans="1:6" ht="15" customHeight="1" x14ac:dyDescent="0.25">
      <c r="A16456" s="607"/>
      <c r="B16456" s="608"/>
      <c r="C16456" s="609"/>
      <c r="D16456" s="142"/>
      <c r="E16456" s="105"/>
      <c r="F16456" s="106"/>
    </row>
    <row r="16457" spans="1:6" ht="15" customHeight="1" x14ac:dyDescent="0.25">
      <c r="A16457" s="607"/>
      <c r="B16457" s="608"/>
      <c r="C16457" s="609"/>
      <c r="D16457" s="142"/>
      <c r="E16457" s="105"/>
      <c r="F16457" s="106"/>
    </row>
    <row r="16458" spans="1:6" ht="15" customHeight="1" x14ac:dyDescent="0.25">
      <c r="A16458" s="607"/>
      <c r="B16458" s="608"/>
      <c r="C16458" s="609"/>
      <c r="D16458" s="142"/>
      <c r="E16458" s="107"/>
      <c r="F16458" s="106"/>
    </row>
    <row r="16459" spans="1:6" ht="15" customHeight="1" x14ac:dyDescent="0.25">
      <c r="A16459" s="607"/>
      <c r="B16459" s="608"/>
      <c r="C16459" s="609"/>
      <c r="D16459" s="142"/>
      <c r="E16459" s="107"/>
      <c r="F16459" s="106"/>
    </row>
    <row r="16460" spans="1:6" ht="15" customHeight="1" x14ac:dyDescent="0.25">
      <c r="A16460" s="607"/>
      <c r="B16460" s="608"/>
      <c r="C16460" s="609"/>
      <c r="D16460" s="142"/>
      <c r="E16460" s="107"/>
      <c r="F16460" s="106"/>
    </row>
    <row r="16461" spans="1:6" ht="15" customHeight="1" x14ac:dyDescent="0.25">
      <c r="A16461" s="607"/>
      <c r="B16461" s="608"/>
      <c r="C16461" s="609"/>
      <c r="D16461" s="142"/>
      <c r="E16461" s="107"/>
      <c r="F16461" s="106"/>
    </row>
    <row r="16462" spans="1:6" ht="15" customHeight="1" x14ac:dyDescent="0.25">
      <c r="A16462" s="607"/>
      <c r="B16462" s="608"/>
      <c r="C16462" s="609"/>
      <c r="D16462" s="142"/>
      <c r="E16462" s="107"/>
      <c r="F16462" s="106"/>
    </row>
    <row r="16463" spans="1:6" ht="15" customHeight="1" x14ac:dyDescent="0.25">
      <c r="A16463" s="610"/>
      <c r="B16463" s="608"/>
      <c r="C16463" s="609"/>
      <c r="D16463" s="115"/>
      <c r="E16463" s="107"/>
      <c r="F16463" s="106"/>
    </row>
    <row r="16464" spans="1:6" ht="15" customHeight="1" x14ac:dyDescent="0.25">
      <c r="A16464" s="611" t="s">
        <v>548</v>
      </c>
      <c r="B16464" s="608"/>
      <c r="C16464" s="609"/>
      <c r="D16464" s="110"/>
      <c r="E16464" s="110"/>
      <c r="F16464" s="112">
        <f>SUM(F16455:F16462)</f>
        <v>18769.505266728225</v>
      </c>
    </row>
    <row r="16465" spans="1:6" ht="15" customHeight="1" x14ac:dyDescent="0.25">
      <c r="A16465" s="88"/>
      <c r="B16465" s="88"/>
      <c r="C16465" s="89"/>
      <c r="D16465" s="113"/>
      <c r="E16465" s="113"/>
      <c r="F16465" s="113"/>
    </row>
    <row r="16466" spans="1:6" ht="15" customHeight="1" x14ac:dyDescent="0.25">
      <c r="A16466" s="96" t="s">
        <v>578</v>
      </c>
      <c r="B16466" s="96"/>
      <c r="C16466" s="92"/>
      <c r="D16466" s="118"/>
      <c r="E16466" s="118"/>
      <c r="F16466" s="118"/>
    </row>
    <row r="16467" spans="1:6" ht="15" customHeight="1" x14ac:dyDescent="0.25">
      <c r="A16467" s="119" t="s">
        <v>563</v>
      </c>
      <c r="B16467" s="120" t="s">
        <v>579</v>
      </c>
      <c r="C16467" s="120" t="s">
        <v>580</v>
      </c>
      <c r="D16467" s="121" t="s">
        <v>581</v>
      </c>
      <c r="E16467" s="121" t="s">
        <v>575</v>
      </c>
      <c r="F16467" s="121" t="s">
        <v>568</v>
      </c>
    </row>
    <row r="16468" spans="1:6" ht="15" customHeight="1" x14ac:dyDescent="0.25">
      <c r="A16468" s="122" t="s">
        <v>916</v>
      </c>
      <c r="B16468" s="127">
        <v>1</v>
      </c>
      <c r="C16468" s="101">
        <v>35956.800000000003</v>
      </c>
      <c r="D16468" s="101">
        <f t="shared" ref="D16468:D16469" si="792">+C16468*1.7</f>
        <v>61126.560000000005</v>
      </c>
      <c r="E16468" s="107">
        <v>0.42455199999999998</v>
      </c>
      <c r="F16468" s="106">
        <f t="shared" ref="F16468:F16469" si="793">+B16468*(D16468)/E16468</f>
        <v>143978.97077389815</v>
      </c>
    </row>
    <row r="16469" spans="1:6" ht="15" customHeight="1" x14ac:dyDescent="0.25">
      <c r="A16469" s="122" t="s">
        <v>917</v>
      </c>
      <c r="B16469" s="127">
        <v>1</v>
      </c>
      <c r="C16469" s="101">
        <v>57791.8</v>
      </c>
      <c r="D16469" s="101">
        <f t="shared" si="792"/>
        <v>98246.06</v>
      </c>
      <c r="E16469" s="107">
        <f>E16468</f>
        <v>0.42455199999999998</v>
      </c>
      <c r="F16469" s="106">
        <f t="shared" si="793"/>
        <v>231411.13456066631</v>
      </c>
    </row>
    <row r="16470" spans="1:6" ht="15" customHeight="1" x14ac:dyDescent="0.25">
      <c r="A16470" s="122"/>
      <c r="B16470" s="127"/>
      <c r="C16470" s="101"/>
      <c r="D16470" s="101"/>
      <c r="E16470" s="105"/>
      <c r="F16470" s="106"/>
    </row>
    <row r="16471" spans="1:6" ht="15" customHeight="1" x14ac:dyDescent="0.25">
      <c r="A16471" s="122"/>
      <c r="B16471" s="127"/>
      <c r="C16471" s="101"/>
      <c r="D16471" s="101"/>
      <c r="E16471" s="125"/>
      <c r="F16471" s="106"/>
    </row>
    <row r="16472" spans="1:6" ht="15" customHeight="1" x14ac:dyDescent="0.25">
      <c r="A16472" s="97" t="s">
        <v>548</v>
      </c>
      <c r="B16472" s="128"/>
      <c r="C16472" s="110"/>
      <c r="D16472" s="110"/>
      <c r="E16472" s="110"/>
      <c r="F16472" s="112">
        <f>SUM(F16468:F16471)</f>
        <v>375390.10533456446</v>
      </c>
    </row>
    <row r="16473" spans="1:6" ht="15" customHeight="1" x14ac:dyDescent="0.25">
      <c r="A16473" s="96"/>
      <c r="B16473" s="129"/>
      <c r="C16473" s="118"/>
      <c r="D16473" s="118"/>
      <c r="E16473" s="118"/>
      <c r="F16473" s="118"/>
    </row>
    <row r="16474" spans="1:6" ht="15" customHeight="1" x14ac:dyDescent="0.25">
      <c r="A16474" s="95" t="s">
        <v>583</v>
      </c>
      <c r="B16474" s="96"/>
      <c r="C16474" s="92"/>
      <c r="D16474" s="92"/>
      <c r="E16474" s="92" t="s">
        <v>584</v>
      </c>
      <c r="F16474" s="92"/>
    </row>
    <row r="16475" spans="1:6" ht="15" customHeight="1" x14ac:dyDescent="0.25">
      <c r="A16475" s="97" t="s">
        <v>563</v>
      </c>
      <c r="B16475" s="98" t="s">
        <v>564</v>
      </c>
      <c r="C16475" s="98" t="s">
        <v>585</v>
      </c>
      <c r="D16475" s="98" t="s">
        <v>586</v>
      </c>
      <c r="E16475" s="120" t="s">
        <v>587</v>
      </c>
      <c r="F16475" s="98" t="s">
        <v>568</v>
      </c>
    </row>
    <row r="16476" spans="1:6" ht="15" customHeight="1" x14ac:dyDescent="0.25">
      <c r="A16476" s="103"/>
      <c r="B16476" s="100"/>
      <c r="C16476" s="101"/>
      <c r="D16476" s="140"/>
      <c r="E16476" s="107"/>
      <c r="F16476" s="109"/>
    </row>
    <row r="16477" spans="1:6" ht="15" customHeight="1" x14ac:dyDescent="0.25">
      <c r="A16477" s="103"/>
      <c r="B16477" s="100"/>
      <c r="C16477" s="107"/>
      <c r="D16477" s="107"/>
      <c r="E16477" s="108"/>
      <c r="F16477" s="109"/>
    </row>
    <row r="16478" spans="1:6" ht="15" customHeight="1" x14ac:dyDescent="0.25">
      <c r="A16478" s="97" t="s">
        <v>548</v>
      </c>
      <c r="B16478" s="98"/>
      <c r="C16478" s="110"/>
      <c r="D16478" s="110"/>
      <c r="E16478" s="111"/>
      <c r="F16478" s="112">
        <f>SUM(F16476:F16477)</f>
        <v>0</v>
      </c>
    </row>
    <row r="16479" spans="1:6" ht="15" customHeight="1" x14ac:dyDescent="0.25">
      <c r="A16479" s="88"/>
      <c r="B16479" s="89"/>
      <c r="C16479" s="113"/>
      <c r="D16479" s="113"/>
      <c r="E16479" s="114"/>
      <c r="F16479" s="113"/>
    </row>
    <row r="16480" spans="1:6" ht="15" customHeight="1" x14ac:dyDescent="0.25">
      <c r="A16480" s="88"/>
      <c r="B16480" s="89"/>
      <c r="C16480" s="113"/>
      <c r="D16480" s="113"/>
      <c r="E16480" s="114"/>
      <c r="F16480" s="113"/>
    </row>
    <row r="16481" spans="1:6" ht="15" customHeight="1" x14ac:dyDescent="0.25">
      <c r="A16481" s="612" t="s">
        <v>588</v>
      </c>
      <c r="B16481" s="608"/>
      <c r="C16481" s="608"/>
      <c r="D16481" s="608"/>
      <c r="E16481" s="609"/>
      <c r="F16481" s="131">
        <f>ROUND(F16451+F16464+F16472+F16478,0)</f>
        <v>2052410</v>
      </c>
    </row>
    <row r="16482" spans="1:6" ht="15" customHeight="1" x14ac:dyDescent="0.25">
      <c r="A16482" s="612" t="s">
        <v>589</v>
      </c>
      <c r="B16482" s="608"/>
      <c r="C16482" s="608"/>
      <c r="D16482" s="608"/>
      <c r="E16482" s="609"/>
      <c r="F16482" s="132"/>
    </row>
    <row r="16483" spans="1:6" ht="15" customHeight="1" x14ac:dyDescent="0.25">
      <c r="A16483" s="146" t="s">
        <v>556</v>
      </c>
      <c r="B16483" s="147"/>
      <c r="C16483" s="147"/>
      <c r="D16483" s="147"/>
      <c r="E16483" s="148"/>
      <c r="F16483" s="133"/>
    </row>
    <row r="16484" spans="1:6" ht="15" customHeight="1" x14ac:dyDescent="0.25">
      <c r="A16484" s="134"/>
      <c r="B16484" s="135"/>
      <c r="C16484" s="135"/>
      <c r="D16484" s="135"/>
      <c r="E16484" s="135"/>
      <c r="F16484" s="136"/>
    </row>
    <row r="16485" spans="1:6" ht="15" customHeight="1" x14ac:dyDescent="0.25">
      <c r="A16485" s="81"/>
      <c r="B16485" s="81"/>
      <c r="C16485" s="137"/>
      <c r="D16485" s="81"/>
      <c r="E16485" s="81"/>
      <c r="F16485" s="81"/>
    </row>
    <row r="16486" spans="1:6" ht="15" customHeight="1" x14ac:dyDescent="0.25">
      <c r="A16486" s="81"/>
      <c r="B16486" s="81"/>
      <c r="C16486" s="137"/>
      <c r="D16486" s="81"/>
      <c r="E16486" s="81"/>
      <c r="F16486" s="81"/>
    </row>
    <row r="16487" spans="1:6" ht="15" customHeight="1" x14ac:dyDescent="0.25">
      <c r="A16487" s="81"/>
      <c r="B16487" s="81"/>
      <c r="C16487" s="137"/>
      <c r="D16487" s="81"/>
      <c r="E16487" s="81"/>
      <c r="F16487" s="81"/>
    </row>
    <row r="16488" spans="1:6" ht="15" customHeight="1" x14ac:dyDescent="0.25">
      <c r="A16488" s="81"/>
      <c r="B16488" s="81"/>
      <c r="C16488" s="137"/>
      <c r="D16488" s="81"/>
      <c r="E16488" s="81"/>
      <c r="F16488" s="81"/>
    </row>
    <row r="16489" spans="1:6" ht="15" customHeight="1" x14ac:dyDescent="0.25">
      <c r="A16489" s="134"/>
      <c r="B16489" s="135"/>
      <c r="C16489" s="135"/>
      <c r="D16489" s="135"/>
      <c r="E16489" s="135"/>
      <c r="F16489" s="136"/>
    </row>
    <row r="16490" spans="1:6" ht="15" customHeight="1" x14ac:dyDescent="0.25">
      <c r="A16490" s="134"/>
      <c r="B16490" s="135"/>
      <c r="C16490" s="135"/>
      <c r="D16490" s="135"/>
      <c r="E16490" s="135"/>
      <c r="F16490" s="136"/>
    </row>
    <row r="16491" spans="1:6" ht="15" customHeight="1" x14ac:dyDescent="0.25">
      <c r="A16491" s="134"/>
      <c r="B16491" s="135"/>
      <c r="C16491" s="135"/>
      <c r="D16491" s="135"/>
      <c r="E16491" s="135"/>
      <c r="F16491" s="135"/>
    </row>
    <row r="16492" spans="1:6" ht="15" customHeight="1" thickBot="1" x14ac:dyDescent="0.3">
      <c r="A16492" s="81"/>
      <c r="B16492" s="81"/>
      <c r="C16492" s="81"/>
      <c r="D16492" s="81"/>
      <c r="E16492" s="81"/>
      <c r="F16492" s="81"/>
    </row>
    <row r="16493" spans="1:6" ht="15" customHeight="1" x14ac:dyDescent="0.25">
      <c r="A16493" s="83"/>
      <c r="B16493" s="84"/>
      <c r="C16493" s="85"/>
      <c r="D16493" s="86"/>
      <c r="E16493" s="86"/>
      <c r="F16493" s="87"/>
    </row>
    <row r="16494" spans="1:6" ht="15" customHeight="1" x14ac:dyDescent="0.25">
      <c r="A16494" s="599"/>
      <c r="B16494" s="600"/>
      <c r="C16494" s="600"/>
      <c r="D16494" s="600"/>
      <c r="E16494" s="600"/>
      <c r="F16494" s="601"/>
    </row>
    <row r="16495" spans="1:6" ht="15" customHeight="1" x14ac:dyDescent="0.25">
      <c r="A16495" s="602" t="s">
        <v>561</v>
      </c>
      <c r="B16495" s="600"/>
      <c r="C16495" s="600"/>
      <c r="D16495" s="600"/>
      <c r="E16495" s="600"/>
      <c r="F16495" s="601"/>
    </row>
    <row r="16496" spans="1:6" ht="15" customHeight="1" thickBot="1" x14ac:dyDescent="0.3">
      <c r="A16496" s="603"/>
      <c r="B16496" s="604"/>
      <c r="C16496" s="604"/>
      <c r="D16496" s="604"/>
      <c r="E16496" s="604"/>
      <c r="F16496" s="605"/>
    </row>
    <row r="16497" spans="1:6" ht="15" customHeight="1" x14ac:dyDescent="0.25">
      <c r="A16497" s="88"/>
      <c r="B16497" s="88"/>
      <c r="C16497" s="89"/>
      <c r="D16497" s="89"/>
      <c r="E16497" s="89"/>
      <c r="F16497" s="89"/>
    </row>
    <row r="16498" spans="1:6" ht="15" customHeight="1" x14ac:dyDescent="0.25">
      <c r="A16498" s="90" t="s">
        <v>47</v>
      </c>
      <c r="B16498" s="613" t="s">
        <v>488</v>
      </c>
      <c r="C16498" s="600"/>
      <c r="D16498" s="600"/>
      <c r="E16498" s="600"/>
      <c r="F16498" s="600"/>
    </row>
    <row r="16499" spans="1:6" ht="15" customHeight="1" x14ac:dyDescent="0.25">
      <c r="A16499" s="91"/>
      <c r="B16499" s="91"/>
      <c r="C16499" s="91"/>
      <c r="D16499" s="91"/>
      <c r="E16499" s="91"/>
      <c r="F16499" s="91"/>
    </row>
    <row r="16500" spans="1:6" ht="15" customHeight="1" x14ac:dyDescent="0.25">
      <c r="A16500" s="88" t="s">
        <v>49</v>
      </c>
      <c r="B16500" s="92" t="s">
        <v>99</v>
      </c>
      <c r="C16500" s="89"/>
      <c r="D16500" s="89"/>
      <c r="E16500" s="89"/>
      <c r="F16500" s="93"/>
    </row>
    <row r="16501" spans="1:6" ht="15" customHeight="1" x14ac:dyDescent="0.25">
      <c r="A16501" s="88"/>
      <c r="B16501" s="94"/>
      <c r="C16501" s="89"/>
      <c r="D16501" s="89"/>
      <c r="E16501" s="89"/>
      <c r="F16501" s="93"/>
    </row>
    <row r="16502" spans="1:6" ht="15" customHeight="1" x14ac:dyDescent="0.25">
      <c r="A16502" s="95" t="s">
        <v>562</v>
      </c>
      <c r="B16502" s="96"/>
      <c r="C16502" s="92"/>
      <c r="D16502" s="92"/>
      <c r="E16502" s="92"/>
      <c r="F16502" s="92"/>
    </row>
    <row r="16503" spans="1:6" ht="15" customHeight="1" x14ac:dyDescent="0.25">
      <c r="A16503" s="97" t="s">
        <v>563</v>
      </c>
      <c r="B16503" s="98" t="s">
        <v>564</v>
      </c>
      <c r="C16503" s="98" t="s">
        <v>565</v>
      </c>
      <c r="D16503" s="98" t="s">
        <v>566</v>
      </c>
      <c r="E16503" s="98" t="s">
        <v>567</v>
      </c>
      <c r="F16503" s="98" t="s">
        <v>568</v>
      </c>
    </row>
    <row r="16504" spans="1:6" ht="15" customHeight="1" x14ac:dyDescent="0.25">
      <c r="A16504" s="99" t="s">
        <v>953</v>
      </c>
      <c r="B16504" s="100" t="s">
        <v>99</v>
      </c>
      <c r="C16504" s="101">
        <v>15513</v>
      </c>
      <c r="D16504" s="149">
        <v>1</v>
      </c>
      <c r="E16504" s="102"/>
      <c r="F16504" s="101">
        <f>C16504*(D16504+(D16504*E16504))</f>
        <v>15513</v>
      </c>
    </row>
    <row r="16505" spans="1:6" ht="15" customHeight="1" x14ac:dyDescent="0.25">
      <c r="A16505" s="99"/>
      <c r="B16505" s="100"/>
      <c r="C16505" s="101"/>
      <c r="D16505" s="149"/>
      <c r="E16505" s="102"/>
      <c r="F16505" s="101"/>
    </row>
    <row r="16506" spans="1:6" ht="15" customHeight="1" x14ac:dyDescent="0.25">
      <c r="A16506" s="99"/>
      <c r="B16506" s="100"/>
      <c r="C16506" s="101"/>
      <c r="D16506" s="149"/>
      <c r="E16506" s="102"/>
      <c r="F16506" s="101"/>
    </row>
    <row r="16507" spans="1:6" ht="15" customHeight="1" x14ac:dyDescent="0.25">
      <c r="A16507" s="99"/>
      <c r="B16507" s="100"/>
      <c r="C16507" s="101"/>
      <c r="D16507" s="149"/>
      <c r="E16507" s="102"/>
      <c r="F16507" s="101"/>
    </row>
    <row r="16508" spans="1:6" ht="15" customHeight="1" x14ac:dyDescent="0.25">
      <c r="A16508" s="99"/>
      <c r="B16508" s="100"/>
      <c r="C16508" s="101"/>
      <c r="D16508" s="149"/>
      <c r="E16508" s="102"/>
      <c r="F16508" s="101"/>
    </row>
    <row r="16509" spans="1:6" ht="15" customHeight="1" x14ac:dyDescent="0.25">
      <c r="A16509" s="99"/>
      <c r="B16509" s="100"/>
      <c r="C16509" s="101"/>
      <c r="D16509" s="149"/>
      <c r="E16509" s="102"/>
      <c r="F16509" s="101"/>
    </row>
    <row r="16510" spans="1:6" ht="15" customHeight="1" x14ac:dyDescent="0.25">
      <c r="A16510" s="99"/>
      <c r="B16510" s="100"/>
      <c r="C16510" s="101"/>
      <c r="D16510" s="149"/>
      <c r="E16510" s="102"/>
      <c r="F16510" s="101"/>
    </row>
    <row r="16511" spans="1:6" ht="15" customHeight="1" x14ac:dyDescent="0.25">
      <c r="A16511" s="99"/>
      <c r="B16511" s="100"/>
      <c r="C16511" s="101"/>
      <c r="D16511" s="149"/>
      <c r="E16511" s="102"/>
      <c r="F16511" s="101"/>
    </row>
    <row r="16512" spans="1:6" ht="15" customHeight="1" x14ac:dyDescent="0.25">
      <c r="A16512" s="99"/>
      <c r="B16512" s="100"/>
      <c r="C16512" s="101"/>
      <c r="D16512" s="149"/>
      <c r="E16512" s="102"/>
      <c r="F16512" s="101"/>
    </row>
    <row r="16513" spans="1:6" ht="15" customHeight="1" x14ac:dyDescent="0.25">
      <c r="A16513" s="99"/>
      <c r="B16513" s="100"/>
      <c r="C16513" s="106"/>
      <c r="D16513" s="107"/>
      <c r="E16513" s="108"/>
      <c r="F16513" s="106"/>
    </row>
    <row r="16514" spans="1:6" ht="15" customHeight="1" x14ac:dyDescent="0.25">
      <c r="A16514" s="97" t="s">
        <v>548</v>
      </c>
      <c r="B16514" s="97"/>
      <c r="C16514" s="109"/>
      <c r="D16514" s="110"/>
      <c r="E16514" s="111"/>
      <c r="F16514" s="112">
        <f>SUM(F16504:F16513)</f>
        <v>15513</v>
      </c>
    </row>
    <row r="16515" spans="1:6" ht="15" customHeight="1" x14ac:dyDescent="0.25">
      <c r="A16515" s="88"/>
      <c r="B16515" s="88"/>
      <c r="C16515" s="113"/>
      <c r="D16515" s="113"/>
      <c r="E16515" s="114"/>
      <c r="F16515" s="113"/>
    </row>
    <row r="16516" spans="1:6" ht="15" customHeight="1" x14ac:dyDescent="0.25">
      <c r="A16516" s="96" t="s">
        <v>573</v>
      </c>
      <c r="B16516" s="96"/>
      <c r="C16516" s="92"/>
      <c r="D16516" s="92"/>
      <c r="E16516" s="92"/>
      <c r="F16516" s="92"/>
    </row>
    <row r="16517" spans="1:6" ht="15" customHeight="1" x14ac:dyDescent="0.25">
      <c r="A16517" s="611" t="s">
        <v>563</v>
      </c>
      <c r="B16517" s="608"/>
      <c r="C16517" s="609"/>
      <c r="D16517" s="98" t="s">
        <v>574</v>
      </c>
      <c r="E16517" s="98" t="s">
        <v>575</v>
      </c>
      <c r="F16517" s="98" t="s">
        <v>568</v>
      </c>
    </row>
    <row r="16518" spans="1:6" ht="15" customHeight="1" x14ac:dyDescent="0.25">
      <c r="A16518" s="607" t="s">
        <v>577</v>
      </c>
      <c r="B16518" s="608"/>
      <c r="C16518" s="609"/>
      <c r="D16518" s="116"/>
      <c r="E16518" s="107"/>
      <c r="F16518" s="106">
        <f>+F16535*5%</f>
        <v>442.70172222222232</v>
      </c>
    </row>
    <row r="16519" spans="1:6" ht="15" customHeight="1" x14ac:dyDescent="0.25">
      <c r="A16519" s="607"/>
      <c r="B16519" s="608"/>
      <c r="C16519" s="609"/>
      <c r="D16519" s="142"/>
      <c r="E16519" s="105"/>
      <c r="F16519" s="106"/>
    </row>
    <row r="16520" spans="1:6" ht="15" customHeight="1" x14ac:dyDescent="0.25">
      <c r="A16520" s="607"/>
      <c r="B16520" s="608"/>
      <c r="C16520" s="609"/>
      <c r="D16520" s="142"/>
      <c r="E16520" s="105"/>
      <c r="F16520" s="106"/>
    </row>
    <row r="16521" spans="1:6" ht="15" customHeight="1" x14ac:dyDescent="0.25">
      <c r="A16521" s="607"/>
      <c r="B16521" s="608"/>
      <c r="C16521" s="609"/>
      <c r="D16521" s="142"/>
      <c r="E16521" s="107"/>
      <c r="F16521" s="106"/>
    </row>
    <row r="16522" spans="1:6" ht="15" customHeight="1" x14ac:dyDescent="0.25">
      <c r="A16522" s="607"/>
      <c r="B16522" s="608"/>
      <c r="C16522" s="609"/>
      <c r="D16522" s="142"/>
      <c r="E16522" s="107"/>
      <c r="F16522" s="106"/>
    </row>
    <row r="16523" spans="1:6" ht="15" customHeight="1" x14ac:dyDescent="0.25">
      <c r="A16523" s="607"/>
      <c r="B16523" s="608"/>
      <c r="C16523" s="609"/>
      <c r="D16523" s="142"/>
      <c r="E16523" s="107"/>
      <c r="F16523" s="106"/>
    </row>
    <row r="16524" spans="1:6" ht="15" customHeight="1" x14ac:dyDescent="0.25">
      <c r="A16524" s="607"/>
      <c r="B16524" s="608"/>
      <c r="C16524" s="609"/>
      <c r="D16524" s="142"/>
      <c r="E16524" s="107"/>
      <c r="F16524" s="106"/>
    </row>
    <row r="16525" spans="1:6" ht="15" customHeight="1" x14ac:dyDescent="0.25">
      <c r="A16525" s="607"/>
      <c r="B16525" s="608"/>
      <c r="C16525" s="609"/>
      <c r="D16525" s="142"/>
      <c r="E16525" s="107"/>
      <c r="F16525" s="106"/>
    </row>
    <row r="16526" spans="1:6" ht="15" customHeight="1" x14ac:dyDescent="0.25">
      <c r="A16526" s="610"/>
      <c r="B16526" s="608"/>
      <c r="C16526" s="609"/>
      <c r="D16526" s="115"/>
      <c r="E16526" s="107"/>
      <c r="F16526" s="106"/>
    </row>
    <row r="16527" spans="1:6" ht="15" customHeight="1" x14ac:dyDescent="0.25">
      <c r="A16527" s="611" t="s">
        <v>548</v>
      </c>
      <c r="B16527" s="608"/>
      <c r="C16527" s="609"/>
      <c r="D16527" s="110"/>
      <c r="E16527" s="110"/>
      <c r="F16527" s="112">
        <f>SUM(F16518:F16525)</f>
        <v>442.70172222222232</v>
      </c>
    </row>
    <row r="16528" spans="1:6" ht="15" customHeight="1" x14ac:dyDescent="0.25">
      <c r="A16528" s="88"/>
      <c r="B16528" s="88"/>
      <c r="C16528" s="89"/>
      <c r="D16528" s="113"/>
      <c r="E16528" s="113"/>
      <c r="F16528" s="113"/>
    </row>
    <row r="16529" spans="1:6" ht="15" customHeight="1" x14ac:dyDescent="0.25">
      <c r="A16529" s="96" t="s">
        <v>578</v>
      </c>
      <c r="B16529" s="96"/>
      <c r="C16529" s="92"/>
      <c r="D16529" s="118"/>
      <c r="E16529" s="118"/>
      <c r="F16529" s="118"/>
    </row>
    <row r="16530" spans="1:6" ht="15" customHeight="1" x14ac:dyDescent="0.25">
      <c r="A16530" s="119" t="s">
        <v>563</v>
      </c>
      <c r="B16530" s="120" t="s">
        <v>579</v>
      </c>
      <c r="C16530" s="120" t="s">
        <v>580</v>
      </c>
      <c r="D16530" s="121" t="s">
        <v>581</v>
      </c>
      <c r="E16530" s="121" t="s">
        <v>575</v>
      </c>
      <c r="F16530" s="121" t="s">
        <v>568</v>
      </c>
    </row>
    <row r="16531" spans="1:6" ht="15" customHeight="1" x14ac:dyDescent="0.25">
      <c r="A16531" s="122" t="s">
        <v>916</v>
      </c>
      <c r="B16531" s="127">
        <v>1</v>
      </c>
      <c r="C16531" s="101">
        <v>35956.800000000003</v>
      </c>
      <c r="D16531" s="101">
        <f t="shared" ref="D16531:D16532" si="794">+C16531*1.7</f>
        <v>61126.560000000005</v>
      </c>
      <c r="E16531" s="107">
        <v>18</v>
      </c>
      <c r="F16531" s="106">
        <f t="shared" ref="F16531:F16532" si="795">+B16531*(D16531)/E16531</f>
        <v>3395.92</v>
      </c>
    </row>
    <row r="16532" spans="1:6" ht="15" customHeight="1" x14ac:dyDescent="0.25">
      <c r="A16532" s="122" t="s">
        <v>917</v>
      </c>
      <c r="B16532" s="127">
        <v>1</v>
      </c>
      <c r="C16532" s="101">
        <v>57791.8</v>
      </c>
      <c r="D16532" s="101">
        <f t="shared" si="794"/>
        <v>98246.06</v>
      </c>
      <c r="E16532" s="107">
        <f>E16531</f>
        <v>18</v>
      </c>
      <c r="F16532" s="106">
        <f t="shared" si="795"/>
        <v>5458.1144444444444</v>
      </c>
    </row>
    <row r="16533" spans="1:6" ht="15" customHeight="1" x14ac:dyDescent="0.25">
      <c r="A16533" s="122"/>
      <c r="B16533" s="127"/>
      <c r="C16533" s="101"/>
      <c r="D16533" s="101"/>
      <c r="E16533" s="105"/>
      <c r="F16533" s="106"/>
    </row>
    <row r="16534" spans="1:6" ht="15" customHeight="1" x14ac:dyDescent="0.25">
      <c r="A16534" s="122"/>
      <c r="B16534" s="127"/>
      <c r="C16534" s="101"/>
      <c r="D16534" s="101"/>
      <c r="E16534" s="125"/>
      <c r="F16534" s="106"/>
    </row>
    <row r="16535" spans="1:6" ht="15" customHeight="1" x14ac:dyDescent="0.25">
      <c r="A16535" s="97" t="s">
        <v>548</v>
      </c>
      <c r="B16535" s="128"/>
      <c r="C16535" s="110"/>
      <c r="D16535" s="110"/>
      <c r="E16535" s="110"/>
      <c r="F16535" s="112">
        <f>SUM(F16531:F16534)</f>
        <v>8854.0344444444454</v>
      </c>
    </row>
    <row r="16536" spans="1:6" ht="15" customHeight="1" x14ac:dyDescent="0.25">
      <c r="A16536" s="96"/>
      <c r="B16536" s="129"/>
      <c r="C16536" s="118"/>
      <c r="D16536" s="118"/>
      <c r="E16536" s="118"/>
      <c r="F16536" s="118"/>
    </row>
    <row r="16537" spans="1:6" ht="15" customHeight="1" x14ac:dyDescent="0.25">
      <c r="A16537" s="95" t="s">
        <v>583</v>
      </c>
      <c r="B16537" s="96"/>
      <c r="C16537" s="92"/>
      <c r="D16537" s="92"/>
      <c r="E16537" s="92" t="s">
        <v>584</v>
      </c>
      <c r="F16537" s="92"/>
    </row>
    <row r="16538" spans="1:6" ht="15" customHeight="1" x14ac:dyDescent="0.25">
      <c r="A16538" s="97" t="s">
        <v>563</v>
      </c>
      <c r="B16538" s="98" t="s">
        <v>564</v>
      </c>
      <c r="C16538" s="98" t="s">
        <v>585</v>
      </c>
      <c r="D16538" s="98" t="s">
        <v>586</v>
      </c>
      <c r="E16538" s="120" t="s">
        <v>587</v>
      </c>
      <c r="F16538" s="98" t="s">
        <v>568</v>
      </c>
    </row>
    <row r="16539" spans="1:6" ht="15" customHeight="1" x14ac:dyDescent="0.25">
      <c r="A16539" s="103"/>
      <c r="B16539" s="100"/>
      <c r="C16539" s="101"/>
      <c r="D16539" s="140"/>
      <c r="E16539" s="107"/>
      <c r="F16539" s="109"/>
    </row>
    <row r="16540" spans="1:6" ht="15" customHeight="1" x14ac:dyDescent="0.25">
      <c r="A16540" s="103"/>
      <c r="B16540" s="100"/>
      <c r="C16540" s="107"/>
      <c r="D16540" s="107"/>
      <c r="E16540" s="108"/>
      <c r="F16540" s="109"/>
    </row>
    <row r="16541" spans="1:6" ht="15" customHeight="1" x14ac:dyDescent="0.25">
      <c r="A16541" s="97" t="s">
        <v>548</v>
      </c>
      <c r="B16541" s="98"/>
      <c r="C16541" s="110"/>
      <c r="D16541" s="110"/>
      <c r="E16541" s="111"/>
      <c r="F16541" s="112">
        <f>SUM(F16539:F16540)</f>
        <v>0</v>
      </c>
    </row>
    <row r="16542" spans="1:6" ht="15" customHeight="1" x14ac:dyDescent="0.25">
      <c r="A16542" s="88"/>
      <c r="B16542" s="89"/>
      <c r="C16542" s="113"/>
      <c r="D16542" s="113"/>
      <c r="E16542" s="114"/>
      <c r="F16542" s="113"/>
    </row>
    <row r="16543" spans="1:6" ht="15" customHeight="1" x14ac:dyDescent="0.25">
      <c r="A16543" s="88"/>
      <c r="B16543" s="89"/>
      <c r="C16543" s="113"/>
      <c r="D16543" s="113"/>
      <c r="E16543" s="114"/>
      <c r="F16543" s="113"/>
    </row>
    <row r="16544" spans="1:6" ht="15" customHeight="1" x14ac:dyDescent="0.25">
      <c r="A16544" s="612" t="s">
        <v>588</v>
      </c>
      <c r="B16544" s="608"/>
      <c r="C16544" s="608"/>
      <c r="D16544" s="608"/>
      <c r="E16544" s="609"/>
      <c r="F16544" s="131">
        <f>ROUND(F16514+F16527+F16535+F16541,0)</f>
        <v>24810</v>
      </c>
    </row>
    <row r="16545" spans="1:6" ht="15" customHeight="1" x14ac:dyDescent="0.25">
      <c r="A16545" s="612" t="s">
        <v>589</v>
      </c>
      <c r="B16545" s="608"/>
      <c r="C16545" s="608"/>
      <c r="D16545" s="608"/>
      <c r="E16545" s="609"/>
      <c r="F16545" s="132"/>
    </row>
    <row r="16546" spans="1:6" ht="15" customHeight="1" x14ac:dyDescent="0.25">
      <c r="A16546" s="146" t="s">
        <v>556</v>
      </c>
      <c r="B16546" s="147"/>
      <c r="C16546" s="147"/>
      <c r="D16546" s="147"/>
      <c r="E16546" s="148"/>
      <c r="F16546" s="133"/>
    </row>
    <row r="16547" spans="1:6" ht="15" customHeight="1" x14ac:dyDescent="0.25">
      <c r="A16547" s="134"/>
      <c r="B16547" s="135"/>
      <c r="C16547" s="135"/>
      <c r="D16547" s="135"/>
      <c r="E16547" s="135"/>
      <c r="F16547" s="136"/>
    </row>
    <row r="16548" spans="1:6" ht="15" customHeight="1" x14ac:dyDescent="0.25">
      <c r="A16548" s="81"/>
      <c r="B16548" s="81"/>
      <c r="C16548" s="137"/>
      <c r="D16548" s="81"/>
      <c r="E16548" s="81"/>
      <c r="F16548" s="81"/>
    </row>
    <row r="16549" spans="1:6" ht="15" customHeight="1" x14ac:dyDescent="0.25">
      <c r="A16549" s="81"/>
      <c r="B16549" s="81"/>
      <c r="C16549" s="137"/>
      <c r="D16549" s="81"/>
      <c r="E16549" s="81"/>
      <c r="F16549" s="81"/>
    </row>
    <row r="16550" spans="1:6" ht="15" customHeight="1" x14ac:dyDescent="0.25">
      <c r="A16550" s="81"/>
      <c r="B16550" s="81"/>
      <c r="C16550" s="137"/>
      <c r="D16550" s="81"/>
      <c r="E16550" s="81"/>
      <c r="F16550" s="81"/>
    </row>
    <row r="16551" spans="1:6" ht="15" customHeight="1" x14ac:dyDescent="0.25">
      <c r="A16551" s="81"/>
      <c r="B16551" s="81"/>
      <c r="C16551" s="137"/>
      <c r="D16551" s="81"/>
      <c r="E16551" s="81"/>
      <c r="F16551" s="81"/>
    </row>
    <row r="16552" spans="1:6" ht="15" customHeight="1" x14ac:dyDescent="0.25">
      <c r="A16552" s="134"/>
      <c r="B16552" s="135"/>
      <c r="C16552" s="135"/>
      <c r="D16552" s="135"/>
      <c r="E16552" s="135"/>
      <c r="F16552" s="136"/>
    </row>
    <row r="16553" spans="1:6" ht="15" customHeight="1" x14ac:dyDescent="0.25">
      <c r="A16553" s="134"/>
      <c r="B16553" s="135"/>
      <c r="C16553" s="135"/>
      <c r="D16553" s="135"/>
      <c r="E16553" s="135"/>
      <c r="F16553" s="136"/>
    </row>
    <row r="16554" spans="1:6" ht="15" customHeight="1" x14ac:dyDescent="0.25">
      <c r="A16554" s="134"/>
      <c r="B16554" s="135"/>
      <c r="C16554" s="135"/>
      <c r="D16554" s="135"/>
      <c r="E16554" s="135"/>
      <c r="F16554" s="135"/>
    </row>
    <row r="16555" spans="1:6" ht="15" customHeight="1" thickBot="1" x14ac:dyDescent="0.3">
      <c r="A16555" s="81"/>
      <c r="B16555" s="81"/>
      <c r="C16555" s="81"/>
      <c r="D16555" s="81"/>
      <c r="E16555" s="81"/>
      <c r="F16555" s="81"/>
    </row>
    <row r="16556" spans="1:6" ht="15" customHeight="1" x14ac:dyDescent="0.25">
      <c r="A16556" s="83"/>
      <c r="B16556" s="84"/>
      <c r="C16556" s="85"/>
      <c r="D16556" s="86"/>
      <c r="E16556" s="86"/>
      <c r="F16556" s="87"/>
    </row>
    <row r="16557" spans="1:6" ht="15" customHeight="1" x14ac:dyDescent="0.25">
      <c r="A16557" s="599"/>
      <c r="B16557" s="600"/>
      <c r="C16557" s="600"/>
      <c r="D16557" s="600"/>
      <c r="E16557" s="600"/>
      <c r="F16557" s="601"/>
    </row>
    <row r="16558" spans="1:6" ht="15" customHeight="1" x14ac:dyDescent="0.25">
      <c r="A16558" s="602" t="s">
        <v>561</v>
      </c>
      <c r="B16558" s="600"/>
      <c r="C16558" s="600"/>
      <c r="D16558" s="600"/>
      <c r="E16558" s="600"/>
      <c r="F16558" s="601"/>
    </row>
    <row r="16559" spans="1:6" ht="15" customHeight="1" thickBot="1" x14ac:dyDescent="0.3">
      <c r="A16559" s="603"/>
      <c r="B16559" s="604"/>
      <c r="C16559" s="604"/>
      <c r="D16559" s="604"/>
      <c r="E16559" s="604"/>
      <c r="F16559" s="605"/>
    </row>
    <row r="16560" spans="1:6" ht="15" customHeight="1" x14ac:dyDescent="0.25">
      <c r="A16560" s="88"/>
      <c r="B16560" s="88"/>
      <c r="C16560" s="89"/>
      <c r="D16560" s="89"/>
      <c r="E16560" s="89"/>
      <c r="F16560" s="89"/>
    </row>
    <row r="16561" spans="1:6" ht="15" customHeight="1" x14ac:dyDescent="0.25">
      <c r="A16561" s="90" t="s">
        <v>47</v>
      </c>
      <c r="B16561" s="613" t="s">
        <v>489</v>
      </c>
      <c r="C16561" s="600"/>
      <c r="D16561" s="600"/>
      <c r="E16561" s="600"/>
      <c r="F16561" s="600"/>
    </row>
    <row r="16562" spans="1:6" ht="15" customHeight="1" x14ac:dyDescent="0.25">
      <c r="A16562" s="91"/>
      <c r="B16562" s="91"/>
      <c r="C16562" s="91"/>
      <c r="D16562" s="91"/>
      <c r="E16562" s="91"/>
      <c r="F16562" s="91"/>
    </row>
    <row r="16563" spans="1:6" ht="15" customHeight="1" x14ac:dyDescent="0.25">
      <c r="A16563" s="88" t="s">
        <v>49</v>
      </c>
      <c r="B16563" s="92" t="s">
        <v>99</v>
      </c>
      <c r="C16563" s="89"/>
      <c r="D16563" s="89"/>
      <c r="E16563" s="89"/>
      <c r="F16563" s="93"/>
    </row>
    <row r="16564" spans="1:6" ht="15" customHeight="1" x14ac:dyDescent="0.25">
      <c r="A16564" s="88"/>
      <c r="B16564" s="94"/>
      <c r="C16564" s="89"/>
      <c r="D16564" s="89"/>
      <c r="E16564" s="89"/>
      <c r="F16564" s="93"/>
    </row>
    <row r="16565" spans="1:6" ht="15" customHeight="1" x14ac:dyDescent="0.25">
      <c r="A16565" s="95" t="s">
        <v>562</v>
      </c>
      <c r="B16565" s="96"/>
      <c r="C16565" s="92"/>
      <c r="D16565" s="92"/>
      <c r="E16565" s="92"/>
      <c r="F16565" s="92"/>
    </row>
    <row r="16566" spans="1:6" ht="15" customHeight="1" x14ac:dyDescent="0.25">
      <c r="A16566" s="97" t="s">
        <v>563</v>
      </c>
      <c r="B16566" s="98" t="s">
        <v>564</v>
      </c>
      <c r="C16566" s="98" t="s">
        <v>565</v>
      </c>
      <c r="D16566" s="98" t="s">
        <v>566</v>
      </c>
      <c r="E16566" s="98" t="s">
        <v>567</v>
      </c>
      <c r="F16566" s="98" t="s">
        <v>568</v>
      </c>
    </row>
    <row r="16567" spans="1:6" ht="15" customHeight="1" x14ac:dyDescent="0.25">
      <c r="A16567" s="99" t="s">
        <v>954</v>
      </c>
      <c r="B16567" s="100" t="s">
        <v>99</v>
      </c>
      <c r="C16567" s="101">
        <v>34986</v>
      </c>
      <c r="D16567" s="149">
        <v>1</v>
      </c>
      <c r="E16567" s="102"/>
      <c r="F16567" s="101">
        <f>C16567*(D16567+(D16567*E16567))</f>
        <v>34986</v>
      </c>
    </row>
    <row r="16568" spans="1:6" ht="15" customHeight="1" x14ac:dyDescent="0.25">
      <c r="A16568" s="99"/>
      <c r="B16568" s="100"/>
      <c r="C16568" s="101"/>
      <c r="D16568" s="149"/>
      <c r="E16568" s="102"/>
      <c r="F16568" s="101"/>
    </row>
    <row r="16569" spans="1:6" ht="15" customHeight="1" x14ac:dyDescent="0.25">
      <c r="A16569" s="99"/>
      <c r="B16569" s="100"/>
      <c r="C16569" s="101"/>
      <c r="D16569" s="149"/>
      <c r="E16569" s="102"/>
      <c r="F16569" s="101"/>
    </row>
    <row r="16570" spans="1:6" ht="15" customHeight="1" x14ac:dyDescent="0.25">
      <c r="A16570" s="99"/>
      <c r="B16570" s="100"/>
      <c r="C16570" s="101"/>
      <c r="D16570" s="149"/>
      <c r="E16570" s="102"/>
      <c r="F16570" s="101"/>
    </row>
    <row r="16571" spans="1:6" ht="15" customHeight="1" x14ac:dyDescent="0.25">
      <c r="A16571" s="99"/>
      <c r="B16571" s="100"/>
      <c r="C16571" s="101"/>
      <c r="D16571" s="149"/>
      <c r="E16571" s="102"/>
      <c r="F16571" s="101"/>
    </row>
    <row r="16572" spans="1:6" ht="15" customHeight="1" x14ac:dyDescent="0.25">
      <c r="A16572" s="99"/>
      <c r="B16572" s="100"/>
      <c r="C16572" s="101"/>
      <c r="D16572" s="149"/>
      <c r="E16572" s="102"/>
      <c r="F16572" s="101"/>
    </row>
    <row r="16573" spans="1:6" ht="15" customHeight="1" x14ac:dyDescent="0.25">
      <c r="A16573" s="99"/>
      <c r="B16573" s="100"/>
      <c r="C16573" s="101"/>
      <c r="D16573" s="149"/>
      <c r="E16573" s="102"/>
      <c r="F16573" s="101"/>
    </row>
    <row r="16574" spans="1:6" ht="15" customHeight="1" x14ac:dyDescent="0.25">
      <c r="A16574" s="99"/>
      <c r="B16574" s="100"/>
      <c r="C16574" s="101"/>
      <c r="D16574" s="149"/>
      <c r="E16574" s="102"/>
      <c r="F16574" s="101"/>
    </row>
    <row r="16575" spans="1:6" ht="15" customHeight="1" x14ac:dyDescent="0.25">
      <c r="A16575" s="99"/>
      <c r="B16575" s="100"/>
      <c r="C16575" s="101"/>
      <c r="D16575" s="149"/>
      <c r="E16575" s="102"/>
      <c r="F16575" s="101"/>
    </row>
    <row r="16576" spans="1:6" ht="15" customHeight="1" x14ac:dyDescent="0.25">
      <c r="A16576" s="99"/>
      <c r="B16576" s="100"/>
      <c r="C16576" s="106"/>
      <c r="D16576" s="107"/>
      <c r="E16576" s="108"/>
      <c r="F16576" s="106"/>
    </row>
    <row r="16577" spans="1:6" ht="15" customHeight="1" x14ac:dyDescent="0.25">
      <c r="A16577" s="97" t="s">
        <v>548</v>
      </c>
      <c r="B16577" s="97"/>
      <c r="C16577" s="109"/>
      <c r="D16577" s="110"/>
      <c r="E16577" s="111"/>
      <c r="F16577" s="112">
        <f>SUM(F16567:F16576)</f>
        <v>34986</v>
      </c>
    </row>
    <row r="16578" spans="1:6" ht="15" customHeight="1" x14ac:dyDescent="0.25">
      <c r="A16578" s="88"/>
      <c r="B16578" s="88"/>
      <c r="C16578" s="113"/>
      <c r="D16578" s="113"/>
      <c r="E16578" s="114"/>
      <c r="F16578" s="113"/>
    </row>
    <row r="16579" spans="1:6" ht="15" customHeight="1" x14ac:dyDescent="0.25">
      <c r="A16579" s="96" t="s">
        <v>573</v>
      </c>
      <c r="B16579" s="96"/>
      <c r="C16579" s="92"/>
      <c r="D16579" s="92"/>
      <c r="E16579" s="92"/>
      <c r="F16579" s="92"/>
    </row>
    <row r="16580" spans="1:6" ht="15" customHeight="1" x14ac:dyDescent="0.25">
      <c r="A16580" s="611" t="s">
        <v>563</v>
      </c>
      <c r="B16580" s="608"/>
      <c r="C16580" s="609"/>
      <c r="D16580" s="98" t="s">
        <v>574</v>
      </c>
      <c r="E16580" s="98" t="s">
        <v>575</v>
      </c>
      <c r="F16580" s="98" t="s">
        <v>568</v>
      </c>
    </row>
    <row r="16581" spans="1:6" ht="15" customHeight="1" x14ac:dyDescent="0.25">
      <c r="A16581" s="607" t="s">
        <v>577</v>
      </c>
      <c r="B16581" s="608"/>
      <c r="C16581" s="609"/>
      <c r="D16581" s="116"/>
      <c r="E16581" s="107"/>
      <c r="F16581" s="106">
        <f>+F16598*5%</f>
        <v>468.74300000000005</v>
      </c>
    </row>
    <row r="16582" spans="1:6" ht="15" customHeight="1" x14ac:dyDescent="0.25">
      <c r="A16582" s="607"/>
      <c r="B16582" s="608"/>
      <c r="C16582" s="609"/>
      <c r="D16582" s="142"/>
      <c r="E16582" s="105"/>
      <c r="F16582" s="106"/>
    </row>
    <row r="16583" spans="1:6" ht="15" customHeight="1" x14ac:dyDescent="0.25">
      <c r="A16583" s="607"/>
      <c r="B16583" s="608"/>
      <c r="C16583" s="609"/>
      <c r="D16583" s="142"/>
      <c r="E16583" s="105"/>
      <c r="F16583" s="106"/>
    </row>
    <row r="16584" spans="1:6" ht="15" customHeight="1" x14ac:dyDescent="0.25">
      <c r="A16584" s="607"/>
      <c r="B16584" s="608"/>
      <c r="C16584" s="609"/>
      <c r="D16584" s="142"/>
      <c r="E16584" s="107"/>
      <c r="F16584" s="106"/>
    </row>
    <row r="16585" spans="1:6" ht="15" customHeight="1" x14ac:dyDescent="0.25">
      <c r="A16585" s="607"/>
      <c r="B16585" s="608"/>
      <c r="C16585" s="609"/>
      <c r="D16585" s="142"/>
      <c r="E16585" s="107"/>
      <c r="F16585" s="106"/>
    </row>
    <row r="16586" spans="1:6" ht="15" customHeight="1" x14ac:dyDescent="0.25">
      <c r="A16586" s="607"/>
      <c r="B16586" s="608"/>
      <c r="C16586" s="609"/>
      <c r="D16586" s="142"/>
      <c r="E16586" s="107"/>
      <c r="F16586" s="106"/>
    </row>
    <row r="16587" spans="1:6" ht="15" customHeight="1" x14ac:dyDescent="0.25">
      <c r="A16587" s="607"/>
      <c r="B16587" s="608"/>
      <c r="C16587" s="609"/>
      <c r="D16587" s="142"/>
      <c r="E16587" s="107"/>
      <c r="F16587" s="106"/>
    </row>
    <row r="16588" spans="1:6" ht="15" customHeight="1" x14ac:dyDescent="0.25">
      <c r="A16588" s="607"/>
      <c r="B16588" s="608"/>
      <c r="C16588" s="609"/>
      <c r="D16588" s="142"/>
      <c r="E16588" s="107"/>
      <c r="F16588" s="106"/>
    </row>
    <row r="16589" spans="1:6" ht="15" customHeight="1" x14ac:dyDescent="0.25">
      <c r="A16589" s="610"/>
      <c r="B16589" s="608"/>
      <c r="C16589" s="609"/>
      <c r="D16589" s="115"/>
      <c r="E16589" s="107"/>
      <c r="F16589" s="106"/>
    </row>
    <row r="16590" spans="1:6" ht="15" customHeight="1" x14ac:dyDescent="0.25">
      <c r="A16590" s="611" t="s">
        <v>548</v>
      </c>
      <c r="B16590" s="608"/>
      <c r="C16590" s="609"/>
      <c r="D16590" s="110"/>
      <c r="E16590" s="110"/>
      <c r="F16590" s="112">
        <f>SUM(F16581:F16588)</f>
        <v>468.74300000000005</v>
      </c>
    </row>
    <row r="16591" spans="1:6" ht="15" customHeight="1" x14ac:dyDescent="0.25">
      <c r="A16591" s="88"/>
      <c r="B16591" s="88"/>
      <c r="C16591" s="89"/>
      <c r="D16591" s="113"/>
      <c r="E16591" s="113"/>
      <c r="F16591" s="113"/>
    </row>
    <row r="16592" spans="1:6" ht="15" customHeight="1" x14ac:dyDescent="0.25">
      <c r="A16592" s="96" t="s">
        <v>578</v>
      </c>
      <c r="B16592" s="96"/>
      <c r="C16592" s="92"/>
      <c r="D16592" s="118"/>
      <c r="E16592" s="118"/>
      <c r="F16592" s="118"/>
    </row>
    <row r="16593" spans="1:6" ht="15" customHeight="1" x14ac:dyDescent="0.25">
      <c r="A16593" s="119" t="s">
        <v>563</v>
      </c>
      <c r="B16593" s="120" t="s">
        <v>579</v>
      </c>
      <c r="C16593" s="120" t="s">
        <v>580</v>
      </c>
      <c r="D16593" s="121" t="s">
        <v>581</v>
      </c>
      <c r="E16593" s="121" t="s">
        <v>575</v>
      </c>
      <c r="F16593" s="121" t="s">
        <v>568</v>
      </c>
    </row>
    <row r="16594" spans="1:6" ht="15" customHeight="1" x14ac:dyDescent="0.25">
      <c r="A16594" s="122" t="s">
        <v>916</v>
      </c>
      <c r="B16594" s="127">
        <v>1</v>
      </c>
      <c r="C16594" s="101">
        <v>35956.800000000003</v>
      </c>
      <c r="D16594" s="101">
        <f t="shared" ref="D16594:D16595" si="796">+C16594*1.7</f>
        <v>61126.560000000005</v>
      </c>
      <c r="E16594" s="107">
        <v>17</v>
      </c>
      <c r="F16594" s="106">
        <f t="shared" ref="F16594:F16595" si="797">+B16594*(D16594)/E16594</f>
        <v>3595.6800000000003</v>
      </c>
    </row>
    <row r="16595" spans="1:6" ht="15" customHeight="1" x14ac:dyDescent="0.25">
      <c r="A16595" s="122" t="s">
        <v>917</v>
      </c>
      <c r="B16595" s="127">
        <v>1</v>
      </c>
      <c r="C16595" s="101">
        <v>57791.8</v>
      </c>
      <c r="D16595" s="101">
        <f t="shared" si="796"/>
        <v>98246.06</v>
      </c>
      <c r="E16595" s="107">
        <f>E16594</f>
        <v>17</v>
      </c>
      <c r="F16595" s="106">
        <f t="shared" si="797"/>
        <v>5779.18</v>
      </c>
    </row>
    <row r="16596" spans="1:6" ht="15" customHeight="1" x14ac:dyDescent="0.25">
      <c r="A16596" s="122"/>
      <c r="B16596" s="127"/>
      <c r="C16596" s="101"/>
      <c r="D16596" s="101"/>
      <c r="E16596" s="105"/>
      <c r="F16596" s="106"/>
    </row>
    <row r="16597" spans="1:6" ht="15" customHeight="1" x14ac:dyDescent="0.25">
      <c r="A16597" s="122"/>
      <c r="B16597" s="127"/>
      <c r="C16597" s="101"/>
      <c r="D16597" s="101"/>
      <c r="E16597" s="125"/>
      <c r="F16597" s="106"/>
    </row>
    <row r="16598" spans="1:6" ht="15" customHeight="1" x14ac:dyDescent="0.25">
      <c r="A16598" s="97" t="s">
        <v>548</v>
      </c>
      <c r="B16598" s="128"/>
      <c r="C16598" s="110"/>
      <c r="D16598" s="110"/>
      <c r="E16598" s="110"/>
      <c r="F16598" s="112">
        <f>SUM(F16594:F16597)</f>
        <v>9374.86</v>
      </c>
    </row>
    <row r="16599" spans="1:6" ht="15" customHeight="1" x14ac:dyDescent="0.25">
      <c r="A16599" s="96"/>
      <c r="B16599" s="129"/>
      <c r="C16599" s="118"/>
      <c r="D16599" s="118"/>
      <c r="E16599" s="118"/>
      <c r="F16599" s="118"/>
    </row>
    <row r="16600" spans="1:6" ht="15" customHeight="1" x14ac:dyDescent="0.25">
      <c r="A16600" s="95" t="s">
        <v>583</v>
      </c>
      <c r="B16600" s="96"/>
      <c r="C16600" s="92"/>
      <c r="D16600" s="92"/>
      <c r="E16600" s="92" t="s">
        <v>584</v>
      </c>
      <c r="F16600" s="92"/>
    </row>
    <row r="16601" spans="1:6" ht="15" customHeight="1" x14ac:dyDescent="0.25">
      <c r="A16601" s="97" t="s">
        <v>563</v>
      </c>
      <c r="B16601" s="98" t="s">
        <v>564</v>
      </c>
      <c r="C16601" s="98" t="s">
        <v>585</v>
      </c>
      <c r="D16601" s="98" t="s">
        <v>586</v>
      </c>
      <c r="E16601" s="120" t="s">
        <v>587</v>
      </c>
      <c r="F16601" s="98" t="s">
        <v>568</v>
      </c>
    </row>
    <row r="16602" spans="1:6" ht="15" customHeight="1" x14ac:dyDescent="0.25">
      <c r="A16602" s="103"/>
      <c r="B16602" s="100"/>
      <c r="C16602" s="101"/>
      <c r="D16602" s="140"/>
      <c r="E16602" s="107"/>
      <c r="F16602" s="109"/>
    </row>
    <row r="16603" spans="1:6" ht="15" customHeight="1" x14ac:dyDescent="0.25">
      <c r="A16603" s="103"/>
      <c r="B16603" s="100"/>
      <c r="C16603" s="107"/>
      <c r="D16603" s="107"/>
      <c r="E16603" s="108"/>
      <c r="F16603" s="109"/>
    </row>
    <row r="16604" spans="1:6" ht="15" customHeight="1" x14ac:dyDescent="0.25">
      <c r="A16604" s="97" t="s">
        <v>548</v>
      </c>
      <c r="B16604" s="98"/>
      <c r="C16604" s="110"/>
      <c r="D16604" s="110"/>
      <c r="E16604" s="111"/>
      <c r="F16604" s="112">
        <f>SUM(F16602:F16603)</f>
        <v>0</v>
      </c>
    </row>
    <row r="16605" spans="1:6" ht="15" customHeight="1" x14ac:dyDescent="0.25">
      <c r="A16605" s="88"/>
      <c r="B16605" s="89"/>
      <c r="C16605" s="113"/>
      <c r="D16605" s="113"/>
      <c r="E16605" s="114"/>
      <c r="F16605" s="113"/>
    </row>
    <row r="16606" spans="1:6" ht="15" customHeight="1" x14ac:dyDescent="0.25">
      <c r="A16606" s="88"/>
      <c r="B16606" s="89"/>
      <c r="C16606" s="113"/>
      <c r="D16606" s="113"/>
      <c r="E16606" s="114"/>
      <c r="F16606" s="113"/>
    </row>
    <row r="16607" spans="1:6" ht="15" customHeight="1" x14ac:dyDescent="0.25">
      <c r="A16607" s="612" t="s">
        <v>588</v>
      </c>
      <c r="B16607" s="608"/>
      <c r="C16607" s="608"/>
      <c r="D16607" s="608"/>
      <c r="E16607" s="609"/>
      <c r="F16607" s="131">
        <f>ROUND(F16577+F16590+F16598+F16604,0)</f>
        <v>44830</v>
      </c>
    </row>
    <row r="16608" spans="1:6" ht="15" customHeight="1" x14ac:dyDescent="0.25">
      <c r="A16608" s="612" t="s">
        <v>589</v>
      </c>
      <c r="B16608" s="608"/>
      <c r="C16608" s="608"/>
      <c r="D16608" s="608"/>
      <c r="E16608" s="609"/>
      <c r="F16608" s="132"/>
    </row>
    <row r="16609" spans="1:6" ht="15" customHeight="1" x14ac:dyDescent="0.25">
      <c r="A16609" s="146" t="s">
        <v>556</v>
      </c>
      <c r="B16609" s="147"/>
      <c r="C16609" s="147"/>
      <c r="D16609" s="147"/>
      <c r="E16609" s="148"/>
      <c r="F16609" s="133"/>
    </row>
    <row r="16610" spans="1:6" ht="15" customHeight="1" x14ac:dyDescent="0.25">
      <c r="A16610" s="134"/>
      <c r="B16610" s="135"/>
      <c r="C16610" s="135"/>
      <c r="D16610" s="135"/>
      <c r="E16610" s="135"/>
      <c r="F16610" s="136"/>
    </row>
    <row r="16611" spans="1:6" ht="15" customHeight="1" x14ac:dyDescent="0.25">
      <c r="A16611" s="81"/>
      <c r="B16611" s="81"/>
      <c r="C16611" s="137"/>
      <c r="D16611" s="81"/>
      <c r="E16611" s="81"/>
      <c r="F16611" s="81"/>
    </row>
    <row r="16612" spans="1:6" ht="15" customHeight="1" x14ac:dyDescent="0.25">
      <c r="A16612" s="81"/>
      <c r="B16612" s="81"/>
      <c r="C16612" s="137"/>
      <c r="D16612" s="81"/>
      <c r="E16612" s="81"/>
      <c r="F16612" s="81"/>
    </row>
    <row r="16613" spans="1:6" ht="15" customHeight="1" x14ac:dyDescent="0.25">
      <c r="A16613" s="81"/>
      <c r="B16613" s="81"/>
      <c r="C16613" s="137"/>
      <c r="D16613" s="81"/>
      <c r="E16613" s="81"/>
      <c r="F16613" s="81"/>
    </row>
    <row r="16614" spans="1:6" ht="15" customHeight="1" x14ac:dyDescent="0.25">
      <c r="A16614" s="81"/>
      <c r="B16614" s="81"/>
      <c r="C16614" s="137"/>
      <c r="D16614" s="81"/>
      <c r="E16614" s="81"/>
      <c r="F16614" s="81"/>
    </row>
    <row r="16615" spans="1:6" ht="15" customHeight="1" x14ac:dyDescent="0.25">
      <c r="A16615" s="134"/>
      <c r="B16615" s="135"/>
      <c r="C16615" s="135"/>
      <c r="D16615" s="135"/>
      <c r="E16615" s="135"/>
      <c r="F16615" s="136"/>
    </row>
    <row r="16616" spans="1:6" ht="15" customHeight="1" x14ac:dyDescent="0.25">
      <c r="A16616" s="134"/>
      <c r="B16616" s="135"/>
      <c r="C16616" s="135"/>
      <c r="D16616" s="135"/>
      <c r="E16616" s="135"/>
      <c r="F16616" s="136"/>
    </row>
    <row r="16617" spans="1:6" ht="15" customHeight="1" x14ac:dyDescent="0.25">
      <c r="A16617" s="134"/>
      <c r="B16617" s="135"/>
      <c r="C16617" s="135"/>
      <c r="D16617" s="135"/>
      <c r="E16617" s="135"/>
      <c r="F16617" s="135"/>
    </row>
    <row r="16618" spans="1:6" ht="15" customHeight="1" thickBot="1" x14ac:dyDescent="0.3">
      <c r="A16618" s="81"/>
      <c r="B16618" s="81"/>
      <c r="C16618" s="81"/>
      <c r="D16618" s="81"/>
      <c r="E16618" s="81"/>
      <c r="F16618" s="81"/>
    </row>
    <row r="16619" spans="1:6" ht="15" customHeight="1" x14ac:dyDescent="0.25">
      <c r="A16619" s="83"/>
      <c r="B16619" s="84"/>
      <c r="C16619" s="85"/>
      <c r="D16619" s="86"/>
      <c r="E16619" s="86"/>
      <c r="F16619" s="87"/>
    </row>
    <row r="16620" spans="1:6" ht="15" customHeight="1" x14ac:dyDescent="0.25">
      <c r="A16620" s="599"/>
      <c r="B16620" s="600"/>
      <c r="C16620" s="600"/>
      <c r="D16620" s="600"/>
      <c r="E16620" s="600"/>
      <c r="F16620" s="601"/>
    </row>
    <row r="16621" spans="1:6" ht="15" customHeight="1" x14ac:dyDescent="0.25">
      <c r="A16621" s="602" t="s">
        <v>561</v>
      </c>
      <c r="B16621" s="600"/>
      <c r="C16621" s="600"/>
      <c r="D16621" s="600"/>
      <c r="E16621" s="600"/>
      <c r="F16621" s="601"/>
    </row>
    <row r="16622" spans="1:6" ht="15" customHeight="1" thickBot="1" x14ac:dyDescent="0.3">
      <c r="A16622" s="603"/>
      <c r="B16622" s="604"/>
      <c r="C16622" s="604"/>
      <c r="D16622" s="604"/>
      <c r="E16622" s="604"/>
      <c r="F16622" s="605"/>
    </row>
    <row r="16623" spans="1:6" ht="15" customHeight="1" x14ac:dyDescent="0.25">
      <c r="A16623" s="88"/>
      <c r="B16623" s="88"/>
      <c r="C16623" s="89"/>
      <c r="D16623" s="89"/>
      <c r="E16623" s="89"/>
      <c r="F16623" s="89"/>
    </row>
    <row r="16624" spans="1:6" ht="15" customHeight="1" x14ac:dyDescent="0.25">
      <c r="A16624" s="90" t="s">
        <v>47</v>
      </c>
      <c r="B16624" s="613" t="s">
        <v>491</v>
      </c>
      <c r="C16624" s="600"/>
      <c r="D16624" s="600"/>
      <c r="E16624" s="600"/>
      <c r="F16624" s="600"/>
    </row>
    <row r="16625" spans="1:6" ht="15" customHeight="1" x14ac:dyDescent="0.25">
      <c r="A16625" s="91"/>
      <c r="B16625" s="91"/>
      <c r="C16625" s="91"/>
      <c r="D16625" s="91"/>
      <c r="E16625" s="91"/>
      <c r="F16625" s="91"/>
    </row>
    <row r="16626" spans="1:6" ht="15" customHeight="1" x14ac:dyDescent="0.25">
      <c r="A16626" s="88" t="s">
        <v>49</v>
      </c>
      <c r="B16626" s="92" t="s">
        <v>99</v>
      </c>
      <c r="C16626" s="89"/>
      <c r="D16626" s="89"/>
      <c r="E16626" s="89"/>
      <c r="F16626" s="93"/>
    </row>
    <row r="16627" spans="1:6" ht="15" customHeight="1" x14ac:dyDescent="0.25">
      <c r="A16627" s="88"/>
      <c r="B16627" s="94"/>
      <c r="C16627" s="89"/>
      <c r="D16627" s="89"/>
      <c r="E16627" s="89"/>
      <c r="F16627" s="93"/>
    </row>
    <row r="16628" spans="1:6" ht="15" customHeight="1" x14ac:dyDescent="0.25">
      <c r="A16628" s="95" t="s">
        <v>562</v>
      </c>
      <c r="B16628" s="96"/>
      <c r="C16628" s="92"/>
      <c r="D16628" s="92"/>
      <c r="E16628" s="92"/>
      <c r="F16628" s="92"/>
    </row>
    <row r="16629" spans="1:6" ht="15" customHeight="1" x14ac:dyDescent="0.25">
      <c r="A16629" s="97" t="s">
        <v>563</v>
      </c>
      <c r="B16629" s="98" t="s">
        <v>564</v>
      </c>
      <c r="C16629" s="98" t="s">
        <v>565</v>
      </c>
      <c r="D16629" s="98" t="s">
        <v>566</v>
      </c>
      <c r="E16629" s="98" t="s">
        <v>567</v>
      </c>
      <c r="F16629" s="98" t="s">
        <v>568</v>
      </c>
    </row>
    <row r="16630" spans="1:6" ht="15" customHeight="1" x14ac:dyDescent="0.25">
      <c r="A16630" s="99" t="s">
        <v>1128</v>
      </c>
      <c r="B16630" s="100" t="s">
        <v>99</v>
      </c>
      <c r="C16630" s="205">
        <f>1254999*1.19*2.5</f>
        <v>3733622.0249999994</v>
      </c>
      <c r="D16630" s="149">
        <v>1</v>
      </c>
      <c r="E16630" s="102">
        <v>0</v>
      </c>
      <c r="F16630" s="101">
        <f>C16630*(D16630+(D16630*E16630))</f>
        <v>3733622.0249999994</v>
      </c>
    </row>
    <row r="16631" spans="1:6" ht="15" customHeight="1" x14ac:dyDescent="0.25">
      <c r="A16631" s="99" t="s">
        <v>1124</v>
      </c>
      <c r="B16631" s="100" t="s">
        <v>99</v>
      </c>
      <c r="C16631" s="205">
        <v>800000</v>
      </c>
      <c r="D16631" s="149">
        <v>1</v>
      </c>
      <c r="E16631" s="102">
        <v>0</v>
      </c>
      <c r="F16631" s="101">
        <f t="shared" ref="F16631:F16633" si="798">C16631*(D16631+(D16631*E16631))</f>
        <v>800000</v>
      </c>
    </row>
    <row r="16632" spans="1:6" ht="15" customHeight="1" x14ac:dyDescent="0.25">
      <c r="A16632" s="99" t="s">
        <v>1125</v>
      </c>
      <c r="B16632" s="100" t="s">
        <v>99</v>
      </c>
      <c r="C16632" s="101">
        <v>100000</v>
      </c>
      <c r="D16632" s="149">
        <v>15</v>
      </c>
      <c r="E16632" s="102">
        <v>0</v>
      </c>
      <c r="F16632" s="101">
        <f t="shared" si="798"/>
        <v>1500000</v>
      </c>
    </row>
    <row r="16633" spans="1:6" ht="15" customHeight="1" x14ac:dyDescent="0.25">
      <c r="A16633" s="99" t="s">
        <v>1126</v>
      </c>
      <c r="B16633" s="100" t="s">
        <v>99</v>
      </c>
      <c r="C16633" s="205">
        <v>200000</v>
      </c>
      <c r="D16633" s="149">
        <v>1</v>
      </c>
      <c r="E16633" s="102">
        <v>0</v>
      </c>
      <c r="F16633" s="101">
        <f t="shared" si="798"/>
        <v>200000</v>
      </c>
    </row>
    <row r="16634" spans="1:6" ht="15" customHeight="1" x14ac:dyDescent="0.25">
      <c r="A16634" s="99"/>
      <c r="B16634" s="100"/>
      <c r="C16634" s="101"/>
      <c r="D16634" s="149"/>
      <c r="E16634" s="102"/>
      <c r="F16634" s="101"/>
    </row>
    <row r="16635" spans="1:6" ht="15" customHeight="1" x14ac:dyDescent="0.25">
      <c r="A16635" s="99"/>
      <c r="B16635" s="100"/>
      <c r="C16635" s="101"/>
      <c r="D16635" s="149"/>
      <c r="E16635" s="102"/>
      <c r="F16635" s="101"/>
    </row>
    <row r="16636" spans="1:6" ht="15" customHeight="1" x14ac:dyDescent="0.25">
      <c r="A16636" s="99"/>
      <c r="B16636" s="100"/>
      <c r="C16636" s="101"/>
      <c r="D16636" s="149"/>
      <c r="E16636" s="102"/>
      <c r="F16636" s="101"/>
    </row>
    <row r="16637" spans="1:6" ht="15" customHeight="1" x14ac:dyDescent="0.25">
      <c r="A16637" s="99"/>
      <c r="B16637" s="100"/>
      <c r="C16637" s="101"/>
      <c r="D16637" s="149"/>
      <c r="E16637" s="102"/>
      <c r="F16637" s="101"/>
    </row>
    <row r="16638" spans="1:6" ht="15" customHeight="1" x14ac:dyDescent="0.25">
      <c r="A16638" s="99"/>
      <c r="B16638" s="100"/>
      <c r="C16638" s="101"/>
      <c r="D16638" s="149"/>
      <c r="E16638" s="102"/>
      <c r="F16638" s="101"/>
    </row>
    <row r="16639" spans="1:6" ht="15" customHeight="1" x14ac:dyDescent="0.25">
      <c r="A16639" s="99"/>
      <c r="B16639" s="100"/>
      <c r="C16639" s="106"/>
      <c r="D16639" s="107"/>
      <c r="E16639" s="108"/>
      <c r="F16639" s="106"/>
    </row>
    <row r="16640" spans="1:6" ht="15" customHeight="1" x14ac:dyDescent="0.25">
      <c r="A16640" s="97" t="s">
        <v>548</v>
      </c>
      <c r="B16640" s="97"/>
      <c r="C16640" s="109"/>
      <c r="D16640" s="110"/>
      <c r="E16640" s="111"/>
      <c r="F16640" s="112">
        <f>SUM(F16630:F16639)</f>
        <v>6233622.0249999994</v>
      </c>
    </row>
    <row r="16641" spans="1:6" ht="15" customHeight="1" x14ac:dyDescent="0.25">
      <c r="A16641" s="88"/>
      <c r="B16641" s="88"/>
      <c r="C16641" s="113"/>
      <c r="D16641" s="113"/>
      <c r="E16641" s="114"/>
      <c r="F16641" s="113"/>
    </row>
    <row r="16642" spans="1:6" ht="15" customHeight="1" x14ac:dyDescent="0.25">
      <c r="A16642" s="96" t="s">
        <v>573</v>
      </c>
      <c r="B16642" s="96"/>
      <c r="C16642" s="92"/>
      <c r="D16642" s="92"/>
      <c r="E16642" s="92"/>
      <c r="F16642" s="92"/>
    </row>
    <row r="16643" spans="1:6" ht="15" customHeight="1" x14ac:dyDescent="0.25">
      <c r="A16643" s="611" t="s">
        <v>563</v>
      </c>
      <c r="B16643" s="608"/>
      <c r="C16643" s="609"/>
      <c r="D16643" s="98" t="s">
        <v>574</v>
      </c>
      <c r="E16643" s="98" t="s">
        <v>575</v>
      </c>
      <c r="F16643" s="98" t="s">
        <v>568</v>
      </c>
    </row>
    <row r="16644" spans="1:6" ht="15" customHeight="1" x14ac:dyDescent="0.25">
      <c r="A16644" s="607" t="s">
        <v>577</v>
      </c>
      <c r="B16644" s="608"/>
      <c r="C16644" s="609"/>
      <c r="D16644" s="116"/>
      <c r="E16644" s="107"/>
      <c r="F16644" s="106">
        <f>+F16661*5%</f>
        <v>26562.103333333333</v>
      </c>
    </row>
    <row r="16645" spans="1:6" ht="15" customHeight="1" x14ac:dyDescent="0.25">
      <c r="A16645" s="588" t="s">
        <v>1127</v>
      </c>
      <c r="B16645" s="591"/>
      <c r="C16645" s="592"/>
      <c r="D16645" s="217">
        <v>50000</v>
      </c>
      <c r="E16645" s="218">
        <v>1</v>
      </c>
      <c r="F16645" s="219">
        <f>+E16645*D16645</f>
        <v>50000</v>
      </c>
    </row>
    <row r="16646" spans="1:6" ht="15" customHeight="1" x14ac:dyDescent="0.25">
      <c r="A16646" s="607"/>
      <c r="B16646" s="608"/>
      <c r="C16646" s="609"/>
      <c r="D16646" s="142"/>
      <c r="E16646" s="105"/>
      <c r="F16646" s="106"/>
    </row>
    <row r="16647" spans="1:6" ht="15" customHeight="1" x14ac:dyDescent="0.25">
      <c r="A16647" s="607"/>
      <c r="B16647" s="608"/>
      <c r="C16647" s="609"/>
      <c r="D16647" s="142"/>
      <c r="E16647" s="107"/>
      <c r="F16647" s="106"/>
    </row>
    <row r="16648" spans="1:6" ht="15" customHeight="1" x14ac:dyDescent="0.25">
      <c r="A16648" s="607"/>
      <c r="B16648" s="608"/>
      <c r="C16648" s="609"/>
      <c r="D16648" s="142"/>
      <c r="E16648" s="107"/>
      <c r="F16648" s="106"/>
    </row>
    <row r="16649" spans="1:6" ht="15" customHeight="1" x14ac:dyDescent="0.25">
      <c r="A16649" s="607"/>
      <c r="B16649" s="608"/>
      <c r="C16649" s="609"/>
      <c r="D16649" s="142"/>
      <c r="E16649" s="107"/>
      <c r="F16649" s="106"/>
    </row>
    <row r="16650" spans="1:6" ht="15" customHeight="1" x14ac:dyDescent="0.25">
      <c r="A16650" s="607"/>
      <c r="B16650" s="608"/>
      <c r="C16650" s="609"/>
      <c r="D16650" s="142"/>
      <c r="E16650" s="107"/>
      <c r="F16650" s="106"/>
    </row>
    <row r="16651" spans="1:6" ht="15" customHeight="1" x14ac:dyDescent="0.25">
      <c r="A16651" s="607"/>
      <c r="B16651" s="608"/>
      <c r="C16651" s="609"/>
      <c r="D16651" s="142"/>
      <c r="E16651" s="107"/>
      <c r="F16651" s="106"/>
    </row>
    <row r="16652" spans="1:6" ht="15" customHeight="1" x14ac:dyDescent="0.25">
      <c r="A16652" s="610"/>
      <c r="B16652" s="608"/>
      <c r="C16652" s="609"/>
      <c r="D16652" s="115"/>
      <c r="E16652" s="107"/>
      <c r="F16652" s="106"/>
    </row>
    <row r="16653" spans="1:6" ht="15" customHeight="1" x14ac:dyDescent="0.25">
      <c r="A16653" s="611" t="s">
        <v>548</v>
      </c>
      <c r="B16653" s="608"/>
      <c r="C16653" s="609"/>
      <c r="D16653" s="110"/>
      <c r="E16653" s="110"/>
      <c r="F16653" s="112">
        <f>SUM(F16644:F16651)</f>
        <v>76562.103333333333</v>
      </c>
    </row>
    <row r="16654" spans="1:6" ht="15" customHeight="1" x14ac:dyDescent="0.25">
      <c r="A16654" s="88"/>
      <c r="B16654" s="88"/>
      <c r="C16654" s="89"/>
      <c r="D16654" s="113"/>
      <c r="E16654" s="113"/>
      <c r="F16654" s="113"/>
    </row>
    <row r="16655" spans="1:6" ht="15" customHeight="1" x14ac:dyDescent="0.25">
      <c r="A16655" s="96" t="s">
        <v>578</v>
      </c>
      <c r="B16655" s="96"/>
      <c r="C16655" s="92"/>
      <c r="D16655" s="118"/>
      <c r="E16655" s="118"/>
      <c r="F16655" s="118"/>
    </row>
    <row r="16656" spans="1:6" ht="15" customHeight="1" x14ac:dyDescent="0.25">
      <c r="A16656" s="119" t="s">
        <v>563</v>
      </c>
      <c r="B16656" s="120" t="s">
        <v>579</v>
      </c>
      <c r="C16656" s="120" t="s">
        <v>580</v>
      </c>
      <c r="D16656" s="121" t="s">
        <v>581</v>
      </c>
      <c r="E16656" s="121" t="s">
        <v>575</v>
      </c>
      <c r="F16656" s="121" t="s">
        <v>568</v>
      </c>
    </row>
    <row r="16657" spans="1:6" ht="15" customHeight="1" x14ac:dyDescent="0.25">
      <c r="A16657" s="122" t="s">
        <v>916</v>
      </c>
      <c r="B16657" s="127">
        <v>1</v>
      </c>
      <c r="C16657" s="101">
        <v>35956.800000000003</v>
      </c>
      <c r="D16657" s="101">
        <f t="shared" ref="D16657:D16658" si="799">+C16657*1.7</f>
        <v>61126.560000000005</v>
      </c>
      <c r="E16657" s="107">
        <v>0.3</v>
      </c>
      <c r="F16657" s="106">
        <f t="shared" ref="F16657:F16658" si="800">+B16657*(D16657)/E16657</f>
        <v>203755.2</v>
      </c>
    </row>
    <row r="16658" spans="1:6" ht="15" customHeight="1" x14ac:dyDescent="0.25">
      <c r="A16658" s="122" t="s">
        <v>917</v>
      </c>
      <c r="B16658" s="127">
        <v>1</v>
      </c>
      <c r="C16658" s="101">
        <v>57791.8</v>
      </c>
      <c r="D16658" s="101">
        <f t="shared" si="799"/>
        <v>98246.06</v>
      </c>
      <c r="E16658" s="107">
        <f>E16657</f>
        <v>0.3</v>
      </c>
      <c r="F16658" s="106">
        <f t="shared" si="800"/>
        <v>327486.8666666667</v>
      </c>
    </row>
    <row r="16659" spans="1:6" ht="15" customHeight="1" x14ac:dyDescent="0.25">
      <c r="A16659" s="122"/>
      <c r="B16659" s="127"/>
      <c r="C16659" s="101"/>
      <c r="D16659" s="101"/>
      <c r="E16659" s="105"/>
      <c r="F16659" s="106"/>
    </row>
    <row r="16660" spans="1:6" ht="15" customHeight="1" x14ac:dyDescent="0.25">
      <c r="A16660" s="122"/>
      <c r="B16660" s="127"/>
      <c r="C16660" s="101"/>
      <c r="D16660" s="101"/>
      <c r="E16660" s="125"/>
      <c r="F16660" s="106"/>
    </row>
    <row r="16661" spans="1:6" ht="15" customHeight="1" x14ac:dyDescent="0.25">
      <c r="A16661" s="97" t="s">
        <v>548</v>
      </c>
      <c r="B16661" s="128"/>
      <c r="C16661" s="110"/>
      <c r="D16661" s="110"/>
      <c r="E16661" s="110"/>
      <c r="F16661" s="112">
        <f>SUM(F16657:F16660)</f>
        <v>531242.06666666665</v>
      </c>
    </row>
    <row r="16662" spans="1:6" ht="15" customHeight="1" x14ac:dyDescent="0.25">
      <c r="A16662" s="96"/>
      <c r="B16662" s="129"/>
      <c r="C16662" s="118"/>
      <c r="D16662" s="118"/>
      <c r="E16662" s="118"/>
      <c r="F16662" s="118"/>
    </row>
    <row r="16663" spans="1:6" ht="15" customHeight="1" x14ac:dyDescent="0.25">
      <c r="A16663" s="95" t="s">
        <v>583</v>
      </c>
      <c r="B16663" s="96"/>
      <c r="C16663" s="92"/>
      <c r="D16663" s="92"/>
      <c r="E16663" s="92" t="s">
        <v>584</v>
      </c>
      <c r="F16663" s="92"/>
    </row>
    <row r="16664" spans="1:6" ht="15" customHeight="1" x14ac:dyDescent="0.25">
      <c r="A16664" s="97" t="s">
        <v>563</v>
      </c>
      <c r="B16664" s="98" t="s">
        <v>564</v>
      </c>
      <c r="C16664" s="98" t="s">
        <v>585</v>
      </c>
      <c r="D16664" s="98" t="s">
        <v>586</v>
      </c>
      <c r="E16664" s="120" t="s">
        <v>587</v>
      </c>
      <c r="F16664" s="98" t="s">
        <v>568</v>
      </c>
    </row>
    <row r="16665" spans="1:6" ht="15" customHeight="1" x14ac:dyDescent="0.25">
      <c r="A16665" s="103"/>
      <c r="B16665" s="100"/>
      <c r="C16665" s="101"/>
      <c r="D16665" s="140"/>
      <c r="E16665" s="107"/>
      <c r="F16665" s="109"/>
    </row>
    <row r="16666" spans="1:6" ht="15" customHeight="1" x14ac:dyDescent="0.25">
      <c r="A16666" s="103"/>
      <c r="B16666" s="100"/>
      <c r="C16666" s="107"/>
      <c r="D16666" s="107"/>
      <c r="E16666" s="108"/>
      <c r="F16666" s="109"/>
    </row>
    <row r="16667" spans="1:6" ht="15" customHeight="1" x14ac:dyDescent="0.25">
      <c r="A16667" s="97" t="s">
        <v>548</v>
      </c>
      <c r="B16667" s="98"/>
      <c r="C16667" s="110"/>
      <c r="D16667" s="110"/>
      <c r="E16667" s="111"/>
      <c r="F16667" s="112">
        <f>SUM(F16665:F16666)</f>
        <v>0</v>
      </c>
    </row>
    <row r="16668" spans="1:6" ht="15" customHeight="1" x14ac:dyDescent="0.25">
      <c r="A16668" s="88"/>
      <c r="B16668" s="89"/>
      <c r="C16668" s="113"/>
      <c r="D16668" s="113"/>
      <c r="E16668" s="114"/>
      <c r="F16668" s="113"/>
    </row>
    <row r="16669" spans="1:6" ht="15" customHeight="1" x14ac:dyDescent="0.25">
      <c r="A16669" s="88"/>
      <c r="B16669" s="89"/>
      <c r="C16669" s="113"/>
      <c r="D16669" s="113"/>
      <c r="E16669" s="114"/>
      <c r="F16669" s="113"/>
    </row>
    <row r="16670" spans="1:6" ht="15" customHeight="1" x14ac:dyDescent="0.25">
      <c r="A16670" s="612" t="s">
        <v>588</v>
      </c>
      <c r="B16670" s="608"/>
      <c r="C16670" s="608"/>
      <c r="D16670" s="608"/>
      <c r="E16670" s="609"/>
      <c r="F16670" s="131">
        <f>ROUND(F16640+F16653+F16661+F16667,0)</f>
        <v>6841426</v>
      </c>
    </row>
    <row r="16671" spans="1:6" ht="15" customHeight="1" x14ac:dyDescent="0.25">
      <c r="A16671" s="612" t="s">
        <v>589</v>
      </c>
      <c r="B16671" s="608"/>
      <c r="C16671" s="608"/>
      <c r="D16671" s="608"/>
      <c r="E16671" s="609"/>
      <c r="F16671" s="132"/>
    </row>
    <row r="16672" spans="1:6" ht="15" customHeight="1" x14ac:dyDescent="0.25">
      <c r="A16672" s="146" t="s">
        <v>556</v>
      </c>
      <c r="B16672" s="147"/>
      <c r="C16672" s="147"/>
      <c r="D16672" s="147"/>
      <c r="E16672" s="148"/>
      <c r="F16672" s="133"/>
    </row>
    <row r="16673" spans="1:6" ht="15" customHeight="1" x14ac:dyDescent="0.25">
      <c r="A16673" s="134"/>
      <c r="B16673" s="135"/>
      <c r="C16673" s="135"/>
      <c r="D16673" s="135"/>
      <c r="E16673" s="135"/>
      <c r="F16673" s="136"/>
    </row>
    <row r="16674" spans="1:6" ht="15" customHeight="1" x14ac:dyDescent="0.25">
      <c r="A16674" s="81"/>
      <c r="B16674" s="81"/>
      <c r="C16674" s="137"/>
      <c r="D16674" s="81"/>
      <c r="E16674" s="81"/>
      <c r="F16674" s="81"/>
    </row>
    <row r="16675" spans="1:6" ht="15" customHeight="1" x14ac:dyDescent="0.25">
      <c r="A16675" s="81"/>
      <c r="B16675" s="81"/>
      <c r="C16675" s="137"/>
      <c r="D16675" s="81"/>
      <c r="E16675" s="81"/>
      <c r="F16675" s="81"/>
    </row>
    <row r="16676" spans="1:6" ht="15" customHeight="1" x14ac:dyDescent="0.25">
      <c r="A16676" s="81"/>
      <c r="B16676" s="81"/>
      <c r="C16676" s="137"/>
      <c r="D16676" s="81"/>
      <c r="E16676" s="81"/>
      <c r="F16676" s="81"/>
    </row>
    <row r="16677" spans="1:6" ht="15" customHeight="1" x14ac:dyDescent="0.25">
      <c r="A16677" s="81"/>
      <c r="B16677" s="81"/>
      <c r="C16677" s="137"/>
      <c r="D16677" s="81"/>
      <c r="E16677" s="81"/>
      <c r="F16677" s="81"/>
    </row>
    <row r="16678" spans="1:6" ht="15" customHeight="1" x14ac:dyDescent="0.25">
      <c r="A16678" s="134"/>
      <c r="B16678" s="135"/>
      <c r="C16678" s="135"/>
      <c r="D16678" s="135"/>
      <c r="E16678" s="135"/>
      <c r="F16678" s="136"/>
    </row>
    <row r="16679" spans="1:6" ht="15" customHeight="1" x14ac:dyDescent="0.25">
      <c r="A16679" s="134"/>
      <c r="B16679" s="135"/>
      <c r="C16679" s="135"/>
      <c r="D16679" s="135"/>
      <c r="E16679" s="135"/>
      <c r="F16679" s="136"/>
    </row>
    <row r="16680" spans="1:6" ht="15" customHeight="1" x14ac:dyDescent="0.25">
      <c r="A16680" s="134"/>
      <c r="B16680" s="135"/>
      <c r="C16680" s="135"/>
      <c r="D16680" s="135"/>
      <c r="E16680" s="135"/>
      <c r="F16680" s="135"/>
    </row>
    <row r="16681" spans="1:6" ht="15" customHeight="1" thickBot="1" x14ac:dyDescent="0.3">
      <c r="A16681" s="81"/>
      <c r="B16681" s="81"/>
      <c r="C16681" s="81"/>
      <c r="D16681" s="81"/>
      <c r="E16681" s="81"/>
      <c r="F16681" s="81"/>
    </row>
    <row r="16682" spans="1:6" ht="15" customHeight="1" x14ac:dyDescent="0.25">
      <c r="A16682" s="83"/>
      <c r="B16682" s="84"/>
      <c r="C16682" s="85"/>
      <c r="D16682" s="86"/>
      <c r="E16682" s="86"/>
      <c r="F16682" s="87"/>
    </row>
    <row r="16683" spans="1:6" ht="15" customHeight="1" x14ac:dyDescent="0.25">
      <c r="A16683" s="599"/>
      <c r="B16683" s="600"/>
      <c r="C16683" s="600"/>
      <c r="D16683" s="600"/>
      <c r="E16683" s="600"/>
      <c r="F16683" s="601"/>
    </row>
    <row r="16684" spans="1:6" ht="15" customHeight="1" x14ac:dyDescent="0.25">
      <c r="A16684" s="602" t="s">
        <v>561</v>
      </c>
      <c r="B16684" s="600"/>
      <c r="C16684" s="600"/>
      <c r="D16684" s="600"/>
      <c r="E16684" s="600"/>
      <c r="F16684" s="601"/>
    </row>
    <row r="16685" spans="1:6" ht="15" customHeight="1" thickBot="1" x14ac:dyDescent="0.3">
      <c r="A16685" s="603"/>
      <c r="B16685" s="604"/>
      <c r="C16685" s="604"/>
      <c r="D16685" s="604"/>
      <c r="E16685" s="604"/>
      <c r="F16685" s="605"/>
    </row>
    <row r="16686" spans="1:6" ht="15" customHeight="1" x14ac:dyDescent="0.25">
      <c r="A16686" s="88"/>
      <c r="B16686" s="88"/>
      <c r="C16686" s="89"/>
      <c r="D16686" s="89"/>
      <c r="E16686" s="89"/>
      <c r="F16686" s="89"/>
    </row>
    <row r="16687" spans="1:6" ht="15" customHeight="1" x14ac:dyDescent="0.25">
      <c r="A16687" s="90" t="s">
        <v>47</v>
      </c>
      <c r="B16687" s="613" t="s">
        <v>492</v>
      </c>
      <c r="C16687" s="600"/>
      <c r="D16687" s="600"/>
      <c r="E16687" s="600"/>
      <c r="F16687" s="600"/>
    </row>
    <row r="16688" spans="1:6" ht="15" customHeight="1" x14ac:dyDescent="0.25">
      <c r="A16688" s="91"/>
      <c r="B16688" s="91"/>
      <c r="C16688" s="91"/>
      <c r="D16688" s="91"/>
      <c r="E16688" s="91"/>
      <c r="F16688" s="91"/>
    </row>
    <row r="16689" spans="1:6" ht="15" customHeight="1" x14ac:dyDescent="0.25">
      <c r="A16689" s="88" t="s">
        <v>49</v>
      </c>
      <c r="B16689" s="92" t="s">
        <v>99</v>
      </c>
      <c r="C16689" s="89"/>
      <c r="D16689" s="89"/>
      <c r="E16689" s="89"/>
      <c r="F16689" s="93"/>
    </row>
    <row r="16690" spans="1:6" ht="15" customHeight="1" x14ac:dyDescent="0.25">
      <c r="A16690" s="88"/>
      <c r="B16690" s="94"/>
      <c r="C16690" s="89"/>
      <c r="D16690" s="89"/>
      <c r="E16690" s="89"/>
      <c r="F16690" s="93"/>
    </row>
    <row r="16691" spans="1:6" ht="15" customHeight="1" x14ac:dyDescent="0.25">
      <c r="A16691" s="95" t="s">
        <v>562</v>
      </c>
      <c r="B16691" s="96"/>
      <c r="C16691" s="92"/>
      <c r="D16691" s="92"/>
      <c r="E16691" s="92"/>
      <c r="F16691" s="92"/>
    </row>
    <row r="16692" spans="1:6" ht="15" customHeight="1" x14ac:dyDescent="0.25">
      <c r="A16692" s="97" t="s">
        <v>563</v>
      </c>
      <c r="B16692" s="98" t="s">
        <v>564</v>
      </c>
      <c r="C16692" s="98" t="s">
        <v>565</v>
      </c>
      <c r="D16692" s="98" t="s">
        <v>566</v>
      </c>
      <c r="E16692" s="98" t="s">
        <v>567</v>
      </c>
      <c r="F16692" s="98" t="s">
        <v>568</v>
      </c>
    </row>
    <row r="16693" spans="1:6" ht="15" customHeight="1" x14ac:dyDescent="0.25">
      <c r="A16693" s="201" t="s">
        <v>1130</v>
      </c>
      <c r="B16693" s="202" t="s">
        <v>279</v>
      </c>
      <c r="C16693" s="205">
        <f>145000*2.5</f>
        <v>362500</v>
      </c>
      <c r="D16693" s="203">
        <v>1</v>
      </c>
      <c r="E16693" s="204">
        <v>0</v>
      </c>
      <c r="F16693" s="205">
        <f>+C16693*D16693</f>
        <v>362500</v>
      </c>
    </row>
    <row r="16694" spans="1:6" ht="15" customHeight="1" x14ac:dyDescent="0.25">
      <c r="A16694" s="201" t="s">
        <v>1131</v>
      </c>
      <c r="B16694" s="202" t="s">
        <v>1132</v>
      </c>
      <c r="C16694" s="205">
        <f>45000*2.5</f>
        <v>112500</v>
      </c>
      <c r="D16694" s="203">
        <v>2</v>
      </c>
      <c r="E16694" s="204">
        <v>0</v>
      </c>
      <c r="F16694" s="205">
        <f>+C16694*D16694</f>
        <v>225000</v>
      </c>
    </row>
    <row r="16695" spans="1:6" ht="15" customHeight="1" x14ac:dyDescent="0.25">
      <c r="A16695" s="99"/>
      <c r="B16695" s="100"/>
      <c r="C16695" s="101"/>
      <c r="D16695" s="149"/>
      <c r="E16695" s="102"/>
      <c r="F16695" s="101"/>
    </row>
    <row r="16696" spans="1:6" ht="15" customHeight="1" x14ac:dyDescent="0.25">
      <c r="A16696" s="99"/>
      <c r="B16696" s="100"/>
      <c r="C16696" s="101"/>
      <c r="D16696" s="149"/>
      <c r="E16696" s="102"/>
      <c r="F16696" s="101"/>
    </row>
    <row r="16697" spans="1:6" ht="15" customHeight="1" x14ac:dyDescent="0.25">
      <c r="A16697" s="99"/>
      <c r="B16697" s="100"/>
      <c r="C16697" s="101"/>
      <c r="D16697" s="149"/>
      <c r="E16697" s="102"/>
      <c r="F16697" s="101"/>
    </row>
    <row r="16698" spans="1:6" ht="15" customHeight="1" x14ac:dyDescent="0.25">
      <c r="A16698" s="99"/>
      <c r="B16698" s="100"/>
      <c r="C16698" s="101"/>
      <c r="D16698" s="149"/>
      <c r="E16698" s="102"/>
      <c r="F16698" s="101"/>
    </row>
    <row r="16699" spans="1:6" ht="15" customHeight="1" x14ac:dyDescent="0.25">
      <c r="A16699" s="99"/>
      <c r="B16699" s="100"/>
      <c r="C16699" s="101"/>
      <c r="D16699" s="149"/>
      <c r="E16699" s="102"/>
      <c r="F16699" s="101"/>
    </row>
    <row r="16700" spans="1:6" ht="15" customHeight="1" x14ac:dyDescent="0.25">
      <c r="A16700" s="99"/>
      <c r="B16700" s="100"/>
      <c r="C16700" s="101"/>
      <c r="D16700" s="149"/>
      <c r="E16700" s="102"/>
      <c r="F16700" s="101"/>
    </row>
    <row r="16701" spans="1:6" ht="15" customHeight="1" x14ac:dyDescent="0.25">
      <c r="A16701" s="99"/>
      <c r="B16701" s="100"/>
      <c r="C16701" s="101"/>
      <c r="D16701" s="149"/>
      <c r="E16701" s="102"/>
      <c r="F16701" s="101"/>
    </row>
    <row r="16702" spans="1:6" ht="15" customHeight="1" x14ac:dyDescent="0.25">
      <c r="A16702" s="99"/>
      <c r="B16702" s="100"/>
      <c r="C16702" s="106"/>
      <c r="D16702" s="107"/>
      <c r="E16702" s="108"/>
      <c r="F16702" s="106"/>
    </row>
    <row r="16703" spans="1:6" ht="15" customHeight="1" x14ac:dyDescent="0.25">
      <c r="A16703" s="97" t="s">
        <v>548</v>
      </c>
      <c r="B16703" s="97"/>
      <c r="C16703" s="109"/>
      <c r="D16703" s="110"/>
      <c r="E16703" s="111"/>
      <c r="F16703" s="112">
        <f>SUM(F16693:F16702)</f>
        <v>587500</v>
      </c>
    </row>
    <row r="16704" spans="1:6" ht="15" customHeight="1" x14ac:dyDescent="0.25">
      <c r="A16704" s="88"/>
      <c r="B16704" s="88"/>
      <c r="C16704" s="113"/>
      <c r="D16704" s="113"/>
      <c r="E16704" s="114"/>
      <c r="F16704" s="113"/>
    </row>
    <row r="16705" spans="1:6" ht="15" customHeight="1" x14ac:dyDescent="0.25">
      <c r="A16705" s="96" t="s">
        <v>573</v>
      </c>
      <c r="B16705" s="96"/>
      <c r="C16705" s="92"/>
      <c r="D16705" s="92"/>
      <c r="E16705" s="92"/>
      <c r="F16705" s="92"/>
    </row>
    <row r="16706" spans="1:6" ht="15" customHeight="1" x14ac:dyDescent="0.25">
      <c r="A16706" s="611" t="s">
        <v>563</v>
      </c>
      <c r="B16706" s="608"/>
      <c r="C16706" s="609"/>
      <c r="D16706" s="98" t="s">
        <v>574</v>
      </c>
      <c r="E16706" s="98" t="s">
        <v>575</v>
      </c>
      <c r="F16706" s="98" t="s">
        <v>568</v>
      </c>
    </row>
    <row r="16707" spans="1:6" ht="15" customHeight="1" x14ac:dyDescent="0.25">
      <c r="A16707" s="607" t="s">
        <v>577</v>
      </c>
      <c r="B16707" s="608"/>
      <c r="C16707" s="609"/>
      <c r="D16707" s="116"/>
      <c r="E16707" s="107"/>
      <c r="F16707" s="106">
        <f>+F16724*5%</f>
        <v>1992.1577500000001</v>
      </c>
    </row>
    <row r="16708" spans="1:6" ht="15" customHeight="1" x14ac:dyDescent="0.25">
      <c r="A16708" s="607"/>
      <c r="B16708" s="608"/>
      <c r="C16708" s="609"/>
      <c r="D16708" s="142"/>
      <c r="E16708" s="105"/>
      <c r="F16708" s="106"/>
    </row>
    <row r="16709" spans="1:6" ht="15" customHeight="1" x14ac:dyDescent="0.25">
      <c r="A16709" s="607"/>
      <c r="B16709" s="608"/>
      <c r="C16709" s="609"/>
      <c r="D16709" s="142"/>
      <c r="E16709" s="105"/>
      <c r="F16709" s="106"/>
    </row>
    <row r="16710" spans="1:6" ht="15" customHeight="1" x14ac:dyDescent="0.25">
      <c r="A16710" s="607"/>
      <c r="B16710" s="608"/>
      <c r="C16710" s="609"/>
      <c r="D16710" s="142"/>
      <c r="E16710" s="107"/>
      <c r="F16710" s="106"/>
    </row>
    <row r="16711" spans="1:6" ht="15" customHeight="1" x14ac:dyDescent="0.25">
      <c r="A16711" s="607"/>
      <c r="B16711" s="608"/>
      <c r="C16711" s="609"/>
      <c r="D16711" s="142"/>
      <c r="E16711" s="107"/>
      <c r="F16711" s="106"/>
    </row>
    <row r="16712" spans="1:6" ht="15" customHeight="1" x14ac:dyDescent="0.25">
      <c r="A16712" s="607"/>
      <c r="B16712" s="608"/>
      <c r="C16712" s="609"/>
      <c r="D16712" s="142"/>
      <c r="E16712" s="107"/>
      <c r="F16712" s="106"/>
    </row>
    <row r="16713" spans="1:6" ht="15" customHeight="1" x14ac:dyDescent="0.25">
      <c r="A16713" s="607"/>
      <c r="B16713" s="608"/>
      <c r="C16713" s="609"/>
      <c r="D16713" s="142"/>
      <c r="E16713" s="107"/>
      <c r="F16713" s="106"/>
    </row>
    <row r="16714" spans="1:6" ht="15" customHeight="1" x14ac:dyDescent="0.25">
      <c r="A16714" s="607"/>
      <c r="B16714" s="608"/>
      <c r="C16714" s="609"/>
      <c r="D16714" s="142"/>
      <c r="E16714" s="107"/>
      <c r="F16714" s="106"/>
    </row>
    <row r="16715" spans="1:6" ht="15" customHeight="1" x14ac:dyDescent="0.25">
      <c r="A16715" s="610"/>
      <c r="B16715" s="608"/>
      <c r="C16715" s="609"/>
      <c r="D16715" s="115"/>
      <c r="E16715" s="107"/>
      <c r="F16715" s="106"/>
    </row>
    <row r="16716" spans="1:6" ht="15" customHeight="1" x14ac:dyDescent="0.25">
      <c r="A16716" s="611" t="s">
        <v>548</v>
      </c>
      <c r="B16716" s="608"/>
      <c r="C16716" s="609"/>
      <c r="D16716" s="110"/>
      <c r="E16716" s="110"/>
      <c r="F16716" s="112">
        <f>SUM(F16707:F16714)</f>
        <v>1992.1577500000001</v>
      </c>
    </row>
    <row r="16717" spans="1:6" ht="15" customHeight="1" x14ac:dyDescent="0.25">
      <c r="A16717" s="88"/>
      <c r="B16717" s="88"/>
      <c r="C16717" s="89"/>
      <c r="D16717" s="113"/>
      <c r="E16717" s="113"/>
      <c r="F16717" s="113"/>
    </row>
    <row r="16718" spans="1:6" ht="15" customHeight="1" x14ac:dyDescent="0.25">
      <c r="A16718" s="96" t="s">
        <v>578</v>
      </c>
      <c r="B16718" s="96"/>
      <c r="C16718" s="92"/>
      <c r="D16718" s="118"/>
      <c r="E16718" s="118"/>
      <c r="F16718" s="118"/>
    </row>
    <row r="16719" spans="1:6" ht="15" customHeight="1" x14ac:dyDescent="0.25">
      <c r="A16719" s="119" t="s">
        <v>563</v>
      </c>
      <c r="B16719" s="120" t="s">
        <v>579</v>
      </c>
      <c r="C16719" s="120" t="s">
        <v>580</v>
      </c>
      <c r="D16719" s="121" t="s">
        <v>581</v>
      </c>
      <c r="E16719" s="121" t="s">
        <v>575</v>
      </c>
      <c r="F16719" s="121" t="s">
        <v>568</v>
      </c>
    </row>
    <row r="16720" spans="1:6" ht="15" customHeight="1" x14ac:dyDescent="0.25">
      <c r="A16720" s="122" t="s">
        <v>916</v>
      </c>
      <c r="B16720" s="127">
        <v>1</v>
      </c>
      <c r="C16720" s="101">
        <v>35956.800000000003</v>
      </c>
      <c r="D16720" s="101">
        <f t="shared" ref="D16720:D16721" si="801">+C16720*1.7</f>
        <v>61126.560000000005</v>
      </c>
      <c r="E16720" s="107">
        <v>4</v>
      </c>
      <c r="F16720" s="106">
        <f t="shared" ref="F16720:F16721" si="802">+B16720*(D16720)/E16720</f>
        <v>15281.640000000001</v>
      </c>
    </row>
    <row r="16721" spans="1:6" ht="15" customHeight="1" x14ac:dyDescent="0.25">
      <c r="A16721" s="122" t="s">
        <v>917</v>
      </c>
      <c r="B16721" s="127">
        <v>1</v>
      </c>
      <c r="C16721" s="101">
        <v>57791.8</v>
      </c>
      <c r="D16721" s="101">
        <f t="shared" si="801"/>
        <v>98246.06</v>
      </c>
      <c r="E16721" s="107">
        <f>E16720</f>
        <v>4</v>
      </c>
      <c r="F16721" s="106">
        <f t="shared" si="802"/>
        <v>24561.514999999999</v>
      </c>
    </row>
    <row r="16722" spans="1:6" ht="15" customHeight="1" x14ac:dyDescent="0.25">
      <c r="A16722" s="122"/>
      <c r="B16722" s="127"/>
      <c r="C16722" s="101"/>
      <c r="D16722" s="101"/>
      <c r="E16722" s="105"/>
      <c r="F16722" s="106"/>
    </row>
    <row r="16723" spans="1:6" ht="15" customHeight="1" x14ac:dyDescent="0.25">
      <c r="A16723" s="122"/>
      <c r="B16723" s="127"/>
      <c r="C16723" s="101"/>
      <c r="D16723" s="101"/>
      <c r="E16723" s="125"/>
      <c r="F16723" s="106"/>
    </row>
    <row r="16724" spans="1:6" ht="15" customHeight="1" x14ac:dyDescent="0.25">
      <c r="A16724" s="97" t="s">
        <v>548</v>
      </c>
      <c r="B16724" s="128"/>
      <c r="C16724" s="110"/>
      <c r="D16724" s="110"/>
      <c r="E16724" s="110"/>
      <c r="F16724" s="112">
        <f>SUM(F16720:F16723)</f>
        <v>39843.154999999999</v>
      </c>
    </row>
    <row r="16725" spans="1:6" ht="15" customHeight="1" x14ac:dyDescent="0.25">
      <c r="A16725" s="96"/>
      <c r="B16725" s="129"/>
      <c r="C16725" s="118"/>
      <c r="D16725" s="118"/>
      <c r="E16725" s="118"/>
      <c r="F16725" s="118"/>
    </row>
    <row r="16726" spans="1:6" ht="15" customHeight="1" x14ac:dyDescent="0.25">
      <c r="A16726" s="95" t="s">
        <v>583</v>
      </c>
      <c r="B16726" s="96"/>
      <c r="C16726" s="92"/>
      <c r="D16726" s="92"/>
      <c r="E16726" s="92" t="s">
        <v>584</v>
      </c>
      <c r="F16726" s="92"/>
    </row>
    <row r="16727" spans="1:6" ht="15" customHeight="1" x14ac:dyDescent="0.25">
      <c r="A16727" s="97" t="s">
        <v>563</v>
      </c>
      <c r="B16727" s="98" t="s">
        <v>564</v>
      </c>
      <c r="C16727" s="98" t="s">
        <v>585</v>
      </c>
      <c r="D16727" s="98" t="s">
        <v>586</v>
      </c>
      <c r="E16727" s="120" t="s">
        <v>587</v>
      </c>
      <c r="F16727" s="98" t="s">
        <v>568</v>
      </c>
    </row>
    <row r="16728" spans="1:6" ht="15" customHeight="1" x14ac:dyDescent="0.25">
      <c r="A16728" s="103"/>
      <c r="B16728" s="100"/>
      <c r="C16728" s="101"/>
      <c r="D16728" s="140"/>
      <c r="E16728" s="107"/>
      <c r="F16728" s="109"/>
    </row>
    <row r="16729" spans="1:6" ht="15" customHeight="1" x14ac:dyDescent="0.25">
      <c r="A16729" s="103"/>
      <c r="B16729" s="100"/>
      <c r="C16729" s="107"/>
      <c r="D16729" s="107"/>
      <c r="E16729" s="108"/>
      <c r="F16729" s="109"/>
    </row>
    <row r="16730" spans="1:6" ht="15" customHeight="1" x14ac:dyDescent="0.25">
      <c r="A16730" s="97" t="s">
        <v>548</v>
      </c>
      <c r="B16730" s="98"/>
      <c r="C16730" s="110"/>
      <c r="D16730" s="110"/>
      <c r="E16730" s="111"/>
      <c r="F16730" s="112">
        <f>SUM(F16728:F16729)</f>
        <v>0</v>
      </c>
    </row>
    <row r="16731" spans="1:6" ht="15" customHeight="1" x14ac:dyDescent="0.25">
      <c r="A16731" s="88"/>
      <c r="B16731" s="89"/>
      <c r="C16731" s="113"/>
      <c r="D16731" s="113"/>
      <c r="E16731" s="114"/>
      <c r="F16731" s="113"/>
    </row>
    <row r="16732" spans="1:6" ht="15" customHeight="1" x14ac:dyDescent="0.25">
      <c r="A16732" s="88"/>
      <c r="B16732" s="89"/>
      <c r="C16732" s="113"/>
      <c r="D16732" s="113"/>
      <c r="E16732" s="114"/>
      <c r="F16732" s="113"/>
    </row>
    <row r="16733" spans="1:6" ht="15" customHeight="1" x14ac:dyDescent="0.25">
      <c r="A16733" s="612" t="s">
        <v>588</v>
      </c>
      <c r="B16733" s="608"/>
      <c r="C16733" s="608"/>
      <c r="D16733" s="608"/>
      <c r="E16733" s="609"/>
      <c r="F16733" s="131">
        <f>ROUND(F16703+F16716+F16724+F16730,0)</f>
        <v>629335</v>
      </c>
    </row>
    <row r="16734" spans="1:6" ht="15" customHeight="1" x14ac:dyDescent="0.25">
      <c r="A16734" s="612" t="s">
        <v>589</v>
      </c>
      <c r="B16734" s="608"/>
      <c r="C16734" s="608"/>
      <c r="D16734" s="608"/>
      <c r="E16734" s="609"/>
      <c r="F16734" s="132"/>
    </row>
    <row r="16735" spans="1:6" ht="15" customHeight="1" x14ac:dyDescent="0.25">
      <c r="A16735" s="146" t="s">
        <v>556</v>
      </c>
      <c r="B16735" s="147"/>
      <c r="C16735" s="147"/>
      <c r="D16735" s="147"/>
      <c r="E16735" s="148"/>
      <c r="F16735" s="133"/>
    </row>
    <row r="16736" spans="1:6" ht="15" customHeight="1" x14ac:dyDescent="0.25">
      <c r="A16736" s="134"/>
      <c r="B16736" s="135"/>
      <c r="C16736" s="135"/>
      <c r="D16736" s="135"/>
      <c r="E16736" s="135"/>
      <c r="F16736" s="136"/>
    </row>
    <row r="16737" spans="1:6" ht="15" customHeight="1" x14ac:dyDescent="0.25">
      <c r="A16737" s="81"/>
      <c r="B16737" s="81"/>
      <c r="C16737" s="137"/>
      <c r="D16737" s="81"/>
      <c r="E16737" s="81"/>
      <c r="F16737" s="81"/>
    </row>
    <row r="16738" spans="1:6" ht="15" customHeight="1" x14ac:dyDescent="0.25">
      <c r="A16738" s="81"/>
      <c r="B16738" s="81"/>
      <c r="C16738" s="137"/>
      <c r="D16738" s="81"/>
      <c r="E16738" s="81"/>
      <c r="F16738" s="81"/>
    </row>
    <row r="16739" spans="1:6" ht="15" customHeight="1" x14ac:dyDescent="0.25">
      <c r="A16739" s="81"/>
      <c r="B16739" s="81"/>
      <c r="C16739" s="137"/>
      <c r="D16739" s="81"/>
      <c r="E16739" s="81"/>
      <c r="F16739" s="81"/>
    </row>
    <row r="16740" spans="1:6" ht="15" customHeight="1" x14ac:dyDescent="0.25">
      <c r="A16740" s="81"/>
      <c r="B16740" s="81"/>
      <c r="C16740" s="137"/>
      <c r="D16740" s="81"/>
      <c r="E16740" s="81"/>
      <c r="F16740" s="81"/>
    </row>
    <row r="16741" spans="1:6" ht="15" customHeight="1" x14ac:dyDescent="0.25">
      <c r="A16741" s="134"/>
      <c r="B16741" s="135"/>
      <c r="C16741" s="135"/>
      <c r="D16741" s="135"/>
      <c r="E16741" s="135"/>
      <c r="F16741" s="136"/>
    </row>
    <row r="16742" spans="1:6" ht="15" customHeight="1" x14ac:dyDescent="0.25">
      <c r="A16742" s="134"/>
      <c r="B16742" s="135"/>
      <c r="C16742" s="135"/>
      <c r="D16742" s="135"/>
      <c r="E16742" s="135"/>
      <c r="F16742" s="136"/>
    </row>
    <row r="16743" spans="1:6" ht="15" customHeight="1" x14ac:dyDescent="0.25">
      <c r="A16743" s="134"/>
      <c r="B16743" s="135"/>
      <c r="C16743" s="135"/>
      <c r="D16743" s="135"/>
      <c r="E16743" s="135"/>
      <c r="F16743" s="135"/>
    </row>
    <row r="16744" spans="1:6" ht="15" customHeight="1" thickBot="1" x14ac:dyDescent="0.3">
      <c r="A16744" s="81"/>
      <c r="B16744" s="81"/>
      <c r="C16744" s="81"/>
      <c r="D16744" s="81"/>
      <c r="E16744" s="81"/>
      <c r="F16744" s="81"/>
    </row>
    <row r="16745" spans="1:6" ht="15" customHeight="1" x14ac:dyDescent="0.25">
      <c r="A16745" s="83"/>
      <c r="B16745" s="84"/>
      <c r="C16745" s="85"/>
      <c r="D16745" s="86"/>
      <c r="E16745" s="86"/>
      <c r="F16745" s="87"/>
    </row>
    <row r="16746" spans="1:6" ht="15" customHeight="1" x14ac:dyDescent="0.25">
      <c r="A16746" s="599"/>
      <c r="B16746" s="600"/>
      <c r="C16746" s="600"/>
      <c r="D16746" s="600"/>
      <c r="E16746" s="600"/>
      <c r="F16746" s="601"/>
    </row>
    <row r="16747" spans="1:6" ht="15" customHeight="1" x14ac:dyDescent="0.25">
      <c r="A16747" s="602" t="s">
        <v>561</v>
      </c>
      <c r="B16747" s="600"/>
      <c r="C16747" s="600"/>
      <c r="D16747" s="600"/>
      <c r="E16747" s="600"/>
      <c r="F16747" s="601"/>
    </row>
    <row r="16748" spans="1:6" ht="15" customHeight="1" thickBot="1" x14ac:dyDescent="0.3">
      <c r="A16748" s="603"/>
      <c r="B16748" s="604"/>
      <c r="C16748" s="604"/>
      <c r="D16748" s="604"/>
      <c r="E16748" s="604"/>
      <c r="F16748" s="605"/>
    </row>
    <row r="16749" spans="1:6" ht="15" customHeight="1" x14ac:dyDescent="0.25">
      <c r="A16749" s="88"/>
      <c r="B16749" s="88"/>
      <c r="C16749" s="89"/>
      <c r="D16749" s="89"/>
      <c r="E16749" s="89"/>
      <c r="F16749" s="89"/>
    </row>
    <row r="16750" spans="1:6" ht="15" customHeight="1" x14ac:dyDescent="0.25">
      <c r="A16750" s="90" t="s">
        <v>47</v>
      </c>
      <c r="B16750" s="613" t="s">
        <v>493</v>
      </c>
      <c r="C16750" s="600"/>
      <c r="D16750" s="600"/>
      <c r="E16750" s="600"/>
      <c r="F16750" s="600"/>
    </row>
    <row r="16751" spans="1:6" ht="15" customHeight="1" x14ac:dyDescent="0.25">
      <c r="A16751" s="91"/>
      <c r="B16751" s="91"/>
      <c r="C16751" s="91"/>
      <c r="D16751" s="91"/>
      <c r="E16751" s="91"/>
      <c r="F16751" s="91"/>
    </row>
    <row r="16752" spans="1:6" ht="15" customHeight="1" x14ac:dyDescent="0.25">
      <c r="A16752" s="88" t="s">
        <v>49</v>
      </c>
      <c r="B16752" s="92" t="s">
        <v>99</v>
      </c>
      <c r="C16752" s="89"/>
      <c r="D16752" s="89"/>
      <c r="E16752" s="89"/>
      <c r="F16752" s="93"/>
    </row>
    <row r="16753" spans="1:6" ht="15" customHeight="1" x14ac:dyDescent="0.25">
      <c r="A16753" s="88"/>
      <c r="B16753" s="94"/>
      <c r="C16753" s="89"/>
      <c r="D16753" s="89"/>
      <c r="E16753" s="89"/>
      <c r="F16753" s="93"/>
    </row>
    <row r="16754" spans="1:6" ht="15" customHeight="1" x14ac:dyDescent="0.25">
      <c r="A16754" s="95" t="s">
        <v>562</v>
      </c>
      <c r="B16754" s="96"/>
      <c r="C16754" s="92"/>
      <c r="D16754" s="92"/>
      <c r="E16754" s="92"/>
      <c r="F16754" s="92"/>
    </row>
    <row r="16755" spans="1:6" ht="15" customHeight="1" x14ac:dyDescent="0.25">
      <c r="A16755" s="97" t="s">
        <v>563</v>
      </c>
      <c r="B16755" s="98" t="s">
        <v>564</v>
      </c>
      <c r="C16755" s="98" t="s">
        <v>565</v>
      </c>
      <c r="D16755" s="98" t="s">
        <v>566</v>
      </c>
      <c r="E16755" s="98" t="s">
        <v>567</v>
      </c>
      <c r="F16755" s="98" t="s">
        <v>568</v>
      </c>
    </row>
    <row r="16756" spans="1:6" ht="15" customHeight="1" x14ac:dyDescent="0.25">
      <c r="A16756" s="99" t="s">
        <v>662</v>
      </c>
      <c r="B16756" s="100" t="s">
        <v>64</v>
      </c>
      <c r="C16756" s="101">
        <v>373380</v>
      </c>
      <c r="D16756" s="149">
        <v>1.35</v>
      </c>
      <c r="E16756" s="102">
        <v>0.05</v>
      </c>
      <c r="F16756" s="101">
        <f t="shared" ref="F16756:F16764" si="803">C16756*(D16756+(D16756*E16756))</f>
        <v>529266.15</v>
      </c>
    </row>
    <row r="16757" spans="1:6" ht="15" customHeight="1" x14ac:dyDescent="0.25">
      <c r="A16757" s="99" t="s">
        <v>558</v>
      </c>
      <c r="B16757" s="100" t="s">
        <v>651</v>
      </c>
      <c r="C16757" s="101">
        <v>125350</v>
      </c>
      <c r="D16757" s="149">
        <v>2.5</v>
      </c>
      <c r="E16757" s="102">
        <v>0.05</v>
      </c>
      <c r="F16757" s="101">
        <f t="shared" si="803"/>
        <v>329043.75</v>
      </c>
    </row>
    <row r="16758" spans="1:6" ht="15" customHeight="1" x14ac:dyDescent="0.25">
      <c r="A16758" s="99" t="s">
        <v>675</v>
      </c>
      <c r="B16758" s="100" t="s">
        <v>99</v>
      </c>
      <c r="C16758" s="101">
        <v>12000</v>
      </c>
      <c r="D16758" s="149">
        <v>4</v>
      </c>
      <c r="E16758" s="102">
        <v>0.05</v>
      </c>
      <c r="F16758" s="101">
        <f t="shared" si="803"/>
        <v>50400</v>
      </c>
    </row>
    <row r="16759" spans="1:6" ht="15" customHeight="1" x14ac:dyDescent="0.25">
      <c r="A16759" s="99" t="s">
        <v>676</v>
      </c>
      <c r="B16759" s="100" t="s">
        <v>99</v>
      </c>
      <c r="C16759" s="101">
        <v>12350</v>
      </c>
      <c r="D16759" s="149">
        <v>4</v>
      </c>
      <c r="E16759" s="102">
        <v>0.05</v>
      </c>
      <c r="F16759" s="101">
        <f t="shared" si="803"/>
        <v>51870</v>
      </c>
    </row>
    <row r="16760" spans="1:6" ht="15" customHeight="1" x14ac:dyDescent="0.25">
      <c r="A16760" s="99" t="s">
        <v>677</v>
      </c>
      <c r="B16760" s="100" t="s">
        <v>99</v>
      </c>
      <c r="C16760" s="101">
        <v>4850</v>
      </c>
      <c r="D16760" s="149">
        <v>4</v>
      </c>
      <c r="E16760" s="102">
        <v>0.05</v>
      </c>
      <c r="F16760" s="101">
        <f t="shared" si="803"/>
        <v>20370</v>
      </c>
    </row>
    <row r="16761" spans="1:6" ht="15" customHeight="1" x14ac:dyDescent="0.25">
      <c r="A16761" s="99" t="s">
        <v>670</v>
      </c>
      <c r="B16761" s="100" t="s">
        <v>671</v>
      </c>
      <c r="C16761" s="101">
        <v>45850</v>
      </c>
      <c r="D16761" s="149">
        <v>1.25</v>
      </c>
      <c r="E16761" s="102">
        <v>0.05</v>
      </c>
      <c r="F16761" s="101">
        <f t="shared" si="803"/>
        <v>60178.125</v>
      </c>
    </row>
    <row r="16762" spans="1:6" ht="15" customHeight="1" x14ac:dyDescent="0.25">
      <c r="A16762" s="99" t="s">
        <v>673</v>
      </c>
      <c r="B16762" s="100" t="s">
        <v>671</v>
      </c>
      <c r="C16762" s="101">
        <v>340650</v>
      </c>
      <c r="D16762" s="149">
        <v>1</v>
      </c>
      <c r="E16762" s="102">
        <v>0.05</v>
      </c>
      <c r="F16762" s="101">
        <f t="shared" si="803"/>
        <v>357682.5</v>
      </c>
    </row>
    <row r="16763" spans="1:6" ht="15" customHeight="1" x14ac:dyDescent="0.25">
      <c r="A16763" s="99" t="s">
        <v>955</v>
      </c>
      <c r="B16763" s="100" t="s">
        <v>99</v>
      </c>
      <c r="C16763" s="101">
        <v>90000</v>
      </c>
      <c r="D16763" s="149">
        <v>5</v>
      </c>
      <c r="E16763" s="102"/>
      <c r="F16763" s="101">
        <f t="shared" si="803"/>
        <v>450000</v>
      </c>
    </row>
    <row r="16764" spans="1:6" ht="15" customHeight="1" x14ac:dyDescent="0.25">
      <c r="A16764" s="99" t="s">
        <v>956</v>
      </c>
      <c r="B16764" s="100" t="s">
        <v>99</v>
      </c>
      <c r="C16764" s="101">
        <v>30000</v>
      </c>
      <c r="D16764" s="149">
        <v>5</v>
      </c>
      <c r="E16764" s="102"/>
      <c r="F16764" s="101">
        <f t="shared" si="803"/>
        <v>150000</v>
      </c>
    </row>
    <row r="16765" spans="1:6" ht="15" customHeight="1" x14ac:dyDescent="0.25">
      <c r="A16765" s="99"/>
      <c r="B16765" s="100"/>
      <c r="C16765" s="106"/>
      <c r="D16765" s="107"/>
      <c r="E16765" s="108"/>
      <c r="F16765" s="106"/>
    </row>
    <row r="16766" spans="1:6" ht="15" customHeight="1" x14ac:dyDescent="0.25">
      <c r="A16766" s="97" t="s">
        <v>548</v>
      </c>
      <c r="B16766" s="97"/>
      <c r="C16766" s="109"/>
      <c r="D16766" s="110"/>
      <c r="E16766" s="111"/>
      <c r="F16766" s="112">
        <f>SUM(F16756:F16765)</f>
        <v>1998810.5249999999</v>
      </c>
    </row>
    <row r="16767" spans="1:6" ht="15" customHeight="1" x14ac:dyDescent="0.25">
      <c r="A16767" s="88"/>
      <c r="B16767" s="88"/>
      <c r="C16767" s="113"/>
      <c r="D16767" s="113"/>
      <c r="E16767" s="114"/>
      <c r="F16767" s="113"/>
    </row>
    <row r="16768" spans="1:6" ht="15" customHeight="1" x14ac:dyDescent="0.25">
      <c r="A16768" s="96" t="s">
        <v>573</v>
      </c>
      <c r="B16768" s="96"/>
      <c r="C16768" s="92"/>
      <c r="D16768" s="92"/>
      <c r="E16768" s="92"/>
      <c r="F16768" s="92"/>
    </row>
    <row r="16769" spans="1:6" ht="15" customHeight="1" x14ac:dyDescent="0.25">
      <c r="A16769" s="611" t="s">
        <v>563</v>
      </c>
      <c r="B16769" s="608"/>
      <c r="C16769" s="609"/>
      <c r="D16769" s="98" t="s">
        <v>574</v>
      </c>
      <c r="E16769" s="98" t="s">
        <v>575</v>
      </c>
      <c r="F16769" s="98" t="s">
        <v>568</v>
      </c>
    </row>
    <row r="16770" spans="1:6" ht="15" customHeight="1" x14ac:dyDescent="0.25">
      <c r="A16770" s="607" t="s">
        <v>577</v>
      </c>
      <c r="B16770" s="608"/>
      <c r="C16770" s="609"/>
      <c r="D16770" s="116"/>
      <c r="E16770" s="107"/>
      <c r="F16770" s="106">
        <f>+F16787*5%</f>
        <v>16987.243522101067</v>
      </c>
    </row>
    <row r="16771" spans="1:6" ht="15" customHeight="1" x14ac:dyDescent="0.25">
      <c r="A16771" s="607" t="s">
        <v>657</v>
      </c>
      <c r="B16771" s="608"/>
      <c r="C16771" s="609"/>
      <c r="D16771" s="142">
        <v>1850</v>
      </c>
      <c r="E16771" s="107">
        <v>3.5000000000000003E-2</v>
      </c>
      <c r="F16771" s="106">
        <f>D16771/E16771</f>
        <v>52857.142857142855</v>
      </c>
    </row>
    <row r="16772" spans="1:6" ht="15" customHeight="1" x14ac:dyDescent="0.25">
      <c r="A16772" s="607"/>
      <c r="B16772" s="608"/>
      <c r="C16772" s="609"/>
      <c r="D16772" s="142"/>
      <c r="E16772" s="105"/>
      <c r="F16772" s="106"/>
    </row>
    <row r="16773" spans="1:6" ht="15" customHeight="1" x14ac:dyDescent="0.25">
      <c r="A16773" s="607"/>
      <c r="B16773" s="608"/>
      <c r="C16773" s="609"/>
      <c r="D16773" s="142"/>
      <c r="E16773" s="107"/>
      <c r="F16773" s="106"/>
    </row>
    <row r="16774" spans="1:6" ht="15" customHeight="1" x14ac:dyDescent="0.25">
      <c r="A16774" s="607"/>
      <c r="B16774" s="608"/>
      <c r="C16774" s="609"/>
      <c r="D16774" s="142"/>
      <c r="E16774" s="107"/>
      <c r="F16774" s="106"/>
    </row>
    <row r="16775" spans="1:6" ht="15" customHeight="1" x14ac:dyDescent="0.25">
      <c r="A16775" s="607"/>
      <c r="B16775" s="608"/>
      <c r="C16775" s="609"/>
      <c r="D16775" s="142"/>
      <c r="E16775" s="107"/>
      <c r="F16775" s="106"/>
    </row>
    <row r="16776" spans="1:6" ht="15" customHeight="1" x14ac:dyDescent="0.25">
      <c r="A16776" s="607"/>
      <c r="B16776" s="608"/>
      <c r="C16776" s="609"/>
      <c r="D16776" s="142"/>
      <c r="E16776" s="107"/>
      <c r="F16776" s="106"/>
    </row>
    <row r="16777" spans="1:6" ht="15" customHeight="1" x14ac:dyDescent="0.25">
      <c r="A16777" s="607"/>
      <c r="B16777" s="608"/>
      <c r="C16777" s="609"/>
      <c r="D16777" s="142"/>
      <c r="E16777" s="107"/>
      <c r="F16777" s="106"/>
    </row>
    <row r="16778" spans="1:6" ht="15" customHeight="1" x14ac:dyDescent="0.25">
      <c r="A16778" s="610"/>
      <c r="B16778" s="608"/>
      <c r="C16778" s="609"/>
      <c r="D16778" s="115"/>
      <c r="E16778" s="107"/>
      <c r="F16778" s="106"/>
    </row>
    <row r="16779" spans="1:6" ht="15" customHeight="1" x14ac:dyDescent="0.25">
      <c r="A16779" s="611" t="s">
        <v>548</v>
      </c>
      <c r="B16779" s="608"/>
      <c r="C16779" s="609"/>
      <c r="D16779" s="110"/>
      <c r="E16779" s="110"/>
      <c r="F16779" s="112">
        <f>SUM(F16770:F16777)</f>
        <v>69844.386379243922</v>
      </c>
    </row>
    <row r="16780" spans="1:6" ht="15" customHeight="1" x14ac:dyDescent="0.25">
      <c r="A16780" s="88"/>
      <c r="B16780" s="88"/>
      <c r="C16780" s="89"/>
      <c r="D16780" s="113"/>
      <c r="E16780" s="113"/>
      <c r="F16780" s="113"/>
    </row>
    <row r="16781" spans="1:6" ht="15" customHeight="1" x14ac:dyDescent="0.25">
      <c r="A16781" s="96" t="s">
        <v>578</v>
      </c>
      <c r="B16781" s="96"/>
      <c r="C16781" s="92"/>
      <c r="D16781" s="118"/>
      <c r="E16781" s="118"/>
      <c r="F16781" s="118"/>
    </row>
    <row r="16782" spans="1:6" ht="15" customHeight="1" x14ac:dyDescent="0.25">
      <c r="A16782" s="119" t="s">
        <v>563</v>
      </c>
      <c r="B16782" s="120" t="s">
        <v>579</v>
      </c>
      <c r="C16782" s="120" t="s">
        <v>580</v>
      </c>
      <c r="D16782" s="121" t="s">
        <v>581</v>
      </c>
      <c r="E16782" s="121" t="s">
        <v>575</v>
      </c>
      <c r="F16782" s="121" t="s">
        <v>568</v>
      </c>
    </row>
    <row r="16783" spans="1:6" ht="15" customHeight="1" x14ac:dyDescent="0.25">
      <c r="A16783" s="122" t="s">
        <v>916</v>
      </c>
      <c r="B16783" s="127">
        <v>1</v>
      </c>
      <c r="C16783" s="101">
        <v>35956.800000000003</v>
      </c>
      <c r="D16783" s="101">
        <f t="shared" ref="D16783:D16784" si="804">+C16783*1.7</f>
        <v>61126.560000000005</v>
      </c>
      <c r="E16783" s="107">
        <v>0.46909499999999998</v>
      </c>
      <c r="F16783" s="106">
        <f t="shared" ref="F16783:F16784" si="805">+B16783*(D16783)/E16783</f>
        <v>130307.42173760114</v>
      </c>
    </row>
    <row r="16784" spans="1:6" ht="15" customHeight="1" x14ac:dyDescent="0.25">
      <c r="A16784" s="122" t="s">
        <v>917</v>
      </c>
      <c r="B16784" s="127">
        <v>1</v>
      </c>
      <c r="C16784" s="101">
        <v>57791.8</v>
      </c>
      <c r="D16784" s="101">
        <f t="shared" si="804"/>
        <v>98246.06</v>
      </c>
      <c r="E16784" s="107">
        <f>E16783</f>
        <v>0.46909499999999998</v>
      </c>
      <c r="F16784" s="106">
        <f t="shared" si="805"/>
        <v>209437.44870442021</v>
      </c>
    </row>
    <row r="16785" spans="1:6" ht="15" customHeight="1" x14ac:dyDescent="0.25">
      <c r="A16785" s="122"/>
      <c r="B16785" s="127"/>
      <c r="C16785" s="101"/>
      <c r="D16785" s="101"/>
      <c r="E16785" s="105"/>
      <c r="F16785" s="106"/>
    </row>
    <row r="16786" spans="1:6" ht="15" customHeight="1" x14ac:dyDescent="0.25">
      <c r="A16786" s="122"/>
      <c r="B16786" s="127"/>
      <c r="C16786" s="101"/>
      <c r="D16786" s="101"/>
      <c r="E16786" s="125"/>
      <c r="F16786" s="106"/>
    </row>
    <row r="16787" spans="1:6" ht="15" customHeight="1" x14ac:dyDescent="0.25">
      <c r="A16787" s="97" t="s">
        <v>548</v>
      </c>
      <c r="B16787" s="128"/>
      <c r="C16787" s="110"/>
      <c r="D16787" s="110"/>
      <c r="E16787" s="110"/>
      <c r="F16787" s="112">
        <f>SUM(F16783:F16786)</f>
        <v>339744.87044202135</v>
      </c>
    </row>
    <row r="16788" spans="1:6" ht="15" customHeight="1" x14ac:dyDescent="0.25">
      <c r="A16788" s="96"/>
      <c r="B16788" s="129"/>
      <c r="C16788" s="118"/>
      <c r="D16788" s="118"/>
      <c r="E16788" s="118"/>
      <c r="F16788" s="118"/>
    </row>
    <row r="16789" spans="1:6" ht="15" customHeight="1" x14ac:dyDescent="0.25">
      <c r="A16789" s="95" t="s">
        <v>583</v>
      </c>
      <c r="B16789" s="96"/>
      <c r="C16789" s="92"/>
      <c r="D16789" s="92"/>
      <c r="E16789" s="92" t="s">
        <v>584</v>
      </c>
      <c r="F16789" s="92"/>
    </row>
    <row r="16790" spans="1:6" ht="15" customHeight="1" x14ac:dyDescent="0.25">
      <c r="A16790" s="97" t="s">
        <v>563</v>
      </c>
      <c r="B16790" s="98" t="s">
        <v>564</v>
      </c>
      <c r="C16790" s="98" t="s">
        <v>585</v>
      </c>
      <c r="D16790" s="98" t="s">
        <v>586</v>
      </c>
      <c r="E16790" s="120" t="s">
        <v>587</v>
      </c>
      <c r="F16790" s="98" t="s">
        <v>568</v>
      </c>
    </row>
    <row r="16791" spans="1:6" ht="15" customHeight="1" x14ac:dyDescent="0.25">
      <c r="A16791" s="103"/>
      <c r="B16791" s="100"/>
      <c r="C16791" s="101"/>
      <c r="D16791" s="140"/>
      <c r="E16791" s="107"/>
      <c r="F16791" s="109"/>
    </row>
    <row r="16792" spans="1:6" ht="15" customHeight="1" x14ac:dyDescent="0.25">
      <c r="A16792" s="103"/>
      <c r="B16792" s="100"/>
      <c r="C16792" s="107"/>
      <c r="D16792" s="107"/>
      <c r="E16792" s="108"/>
      <c r="F16792" s="109"/>
    </row>
    <row r="16793" spans="1:6" ht="15" customHeight="1" x14ac:dyDescent="0.25">
      <c r="A16793" s="97" t="s">
        <v>548</v>
      </c>
      <c r="B16793" s="98"/>
      <c r="C16793" s="110"/>
      <c r="D16793" s="110"/>
      <c r="E16793" s="111"/>
      <c r="F16793" s="112">
        <f>SUM(F16791:F16792)</f>
        <v>0</v>
      </c>
    </row>
    <row r="16794" spans="1:6" ht="15" customHeight="1" x14ac:dyDescent="0.25">
      <c r="A16794" s="88"/>
      <c r="B16794" s="89"/>
      <c r="C16794" s="113"/>
      <c r="D16794" s="113"/>
      <c r="E16794" s="114"/>
      <c r="F16794" s="113"/>
    </row>
    <row r="16795" spans="1:6" ht="15" customHeight="1" x14ac:dyDescent="0.25">
      <c r="A16795" s="88"/>
      <c r="B16795" s="89"/>
      <c r="C16795" s="113"/>
      <c r="D16795" s="113"/>
      <c r="E16795" s="114"/>
      <c r="F16795" s="113"/>
    </row>
    <row r="16796" spans="1:6" ht="15" customHeight="1" x14ac:dyDescent="0.25">
      <c r="A16796" s="612" t="s">
        <v>588</v>
      </c>
      <c r="B16796" s="608"/>
      <c r="C16796" s="608"/>
      <c r="D16796" s="608"/>
      <c r="E16796" s="609"/>
      <c r="F16796" s="131">
        <f>ROUND(F16766+F16779+F16787+F16793,0)</f>
        <v>2408400</v>
      </c>
    </row>
    <row r="16797" spans="1:6" ht="15" customHeight="1" x14ac:dyDescent="0.25">
      <c r="A16797" s="612" t="s">
        <v>589</v>
      </c>
      <c r="B16797" s="608"/>
      <c r="C16797" s="608"/>
      <c r="D16797" s="608"/>
      <c r="E16797" s="609"/>
      <c r="F16797" s="132"/>
    </row>
    <row r="16798" spans="1:6" ht="15" customHeight="1" x14ac:dyDescent="0.25">
      <c r="A16798" s="146" t="s">
        <v>556</v>
      </c>
      <c r="B16798" s="147"/>
      <c r="C16798" s="147"/>
      <c r="D16798" s="147"/>
      <c r="E16798" s="148"/>
      <c r="F16798" s="133"/>
    </row>
    <row r="16799" spans="1:6" ht="15" customHeight="1" x14ac:dyDescent="0.25">
      <c r="A16799" s="134"/>
      <c r="B16799" s="135"/>
      <c r="C16799" s="135"/>
      <c r="D16799" s="135"/>
      <c r="E16799" s="135"/>
      <c r="F16799" s="136"/>
    </row>
    <row r="16800" spans="1:6" ht="15" customHeight="1" x14ac:dyDescent="0.25">
      <c r="A16800" s="81"/>
      <c r="B16800" s="81"/>
      <c r="C16800" s="137"/>
      <c r="D16800" s="81"/>
      <c r="E16800" s="81"/>
      <c r="F16800" s="81"/>
    </row>
    <row r="16801" spans="1:6" ht="15" customHeight="1" x14ac:dyDescent="0.25">
      <c r="A16801" s="81"/>
      <c r="B16801" s="81"/>
      <c r="C16801" s="137"/>
      <c r="D16801" s="81"/>
      <c r="E16801" s="81"/>
      <c r="F16801" s="81"/>
    </row>
    <row r="16802" spans="1:6" ht="15" customHeight="1" x14ac:dyDescent="0.25">
      <c r="A16802" s="81"/>
      <c r="B16802" s="81"/>
      <c r="C16802" s="137"/>
      <c r="D16802" s="81"/>
      <c r="E16802" s="81"/>
      <c r="F16802" s="81"/>
    </row>
    <row r="16803" spans="1:6" ht="15" customHeight="1" x14ac:dyDescent="0.25">
      <c r="A16803" s="81"/>
      <c r="B16803" s="81"/>
      <c r="C16803" s="137"/>
      <c r="D16803" s="81"/>
      <c r="E16803" s="81"/>
      <c r="F16803" s="81"/>
    </row>
    <row r="16804" spans="1:6" ht="15" customHeight="1" x14ac:dyDescent="0.25">
      <c r="A16804" s="134"/>
      <c r="B16804" s="135"/>
      <c r="C16804" s="135"/>
      <c r="D16804" s="135"/>
      <c r="E16804" s="135"/>
      <c r="F16804" s="136"/>
    </row>
    <row r="16805" spans="1:6" ht="15" customHeight="1" x14ac:dyDescent="0.25">
      <c r="A16805" s="134"/>
      <c r="B16805" s="135"/>
      <c r="C16805" s="135"/>
      <c r="D16805" s="135"/>
      <c r="E16805" s="135"/>
      <c r="F16805" s="136"/>
    </row>
    <row r="16806" spans="1:6" ht="15" customHeight="1" x14ac:dyDescent="0.25">
      <c r="A16806" s="134"/>
      <c r="B16806" s="135"/>
      <c r="C16806" s="135"/>
      <c r="D16806" s="135"/>
      <c r="E16806" s="135"/>
      <c r="F16806" s="136"/>
    </row>
    <row r="16807" spans="1:6" ht="15" customHeight="1" thickBot="1" x14ac:dyDescent="0.3">
      <c r="A16807" s="81"/>
      <c r="B16807" s="81"/>
      <c r="C16807" s="81"/>
      <c r="D16807" s="81"/>
      <c r="E16807" s="81"/>
      <c r="F16807" s="81"/>
    </row>
    <row r="16808" spans="1:6" ht="15" customHeight="1" x14ac:dyDescent="0.25">
      <c r="A16808" s="83"/>
      <c r="B16808" s="84"/>
      <c r="C16808" s="85"/>
      <c r="D16808" s="86"/>
      <c r="E16808" s="86"/>
      <c r="F16808" s="87"/>
    </row>
    <row r="16809" spans="1:6" ht="15" customHeight="1" x14ac:dyDescent="0.25">
      <c r="A16809" s="599"/>
      <c r="B16809" s="600"/>
      <c r="C16809" s="600"/>
      <c r="D16809" s="600"/>
      <c r="E16809" s="600"/>
      <c r="F16809" s="601"/>
    </row>
    <row r="16810" spans="1:6" ht="15" customHeight="1" x14ac:dyDescent="0.25">
      <c r="A16810" s="602" t="s">
        <v>561</v>
      </c>
      <c r="B16810" s="600"/>
      <c r="C16810" s="600"/>
      <c r="D16810" s="600"/>
      <c r="E16810" s="600"/>
      <c r="F16810" s="601"/>
    </row>
    <row r="16811" spans="1:6" ht="15" customHeight="1" thickBot="1" x14ac:dyDescent="0.3">
      <c r="A16811" s="603"/>
      <c r="B16811" s="604"/>
      <c r="C16811" s="604"/>
      <c r="D16811" s="604"/>
      <c r="E16811" s="604"/>
      <c r="F16811" s="605"/>
    </row>
    <row r="16812" spans="1:6" ht="15" customHeight="1" x14ac:dyDescent="0.25">
      <c r="A16812" s="88"/>
      <c r="B16812" s="88"/>
      <c r="C16812" s="89"/>
      <c r="D16812" s="89"/>
      <c r="E16812" s="89"/>
      <c r="F16812" s="89"/>
    </row>
    <row r="16813" spans="1:6" ht="15" customHeight="1" x14ac:dyDescent="0.25">
      <c r="A16813" s="90" t="s">
        <v>47</v>
      </c>
      <c r="B16813" s="613" t="s">
        <v>495</v>
      </c>
      <c r="C16813" s="600"/>
      <c r="D16813" s="600"/>
      <c r="E16813" s="600"/>
      <c r="F16813" s="600"/>
    </row>
    <row r="16814" spans="1:6" ht="15" customHeight="1" x14ac:dyDescent="0.25">
      <c r="A16814" s="91"/>
      <c r="B16814" s="91"/>
      <c r="C16814" s="91"/>
      <c r="D16814" s="91"/>
      <c r="E16814" s="91"/>
      <c r="F16814" s="91"/>
    </row>
    <row r="16815" spans="1:6" ht="15" customHeight="1" x14ac:dyDescent="0.25">
      <c r="A16815" s="88" t="s">
        <v>49</v>
      </c>
      <c r="B16815" s="92" t="s">
        <v>99</v>
      </c>
      <c r="C16815" s="89"/>
      <c r="D16815" s="89"/>
      <c r="E16815" s="89"/>
      <c r="F16815" s="93"/>
    </row>
    <row r="16816" spans="1:6" ht="15" customHeight="1" x14ac:dyDescent="0.25">
      <c r="A16816" s="88"/>
      <c r="B16816" s="94"/>
      <c r="C16816" s="89"/>
      <c r="D16816" s="89"/>
      <c r="E16816" s="89"/>
      <c r="F16816" s="93"/>
    </row>
    <row r="16817" spans="1:6" ht="15" customHeight="1" x14ac:dyDescent="0.25">
      <c r="A16817" s="95" t="s">
        <v>562</v>
      </c>
      <c r="B16817" s="96"/>
      <c r="C16817" s="92"/>
      <c r="D16817" s="92"/>
      <c r="E16817" s="92"/>
      <c r="F16817" s="92"/>
    </row>
    <row r="16818" spans="1:6" ht="15" customHeight="1" x14ac:dyDescent="0.25">
      <c r="A16818" s="97" t="s">
        <v>563</v>
      </c>
      <c r="B16818" s="98" t="s">
        <v>564</v>
      </c>
      <c r="C16818" s="98" t="s">
        <v>565</v>
      </c>
      <c r="D16818" s="98" t="s">
        <v>566</v>
      </c>
      <c r="E16818" s="98" t="s">
        <v>567</v>
      </c>
      <c r="F16818" s="98" t="s">
        <v>568</v>
      </c>
    </row>
    <row r="16819" spans="1:6" ht="15" customHeight="1" x14ac:dyDescent="0.25">
      <c r="A16819" s="99" t="s">
        <v>931</v>
      </c>
      <c r="B16819" s="100" t="s">
        <v>99</v>
      </c>
      <c r="C16819" s="101">
        <v>22000</v>
      </c>
      <c r="D16819" s="149">
        <v>2</v>
      </c>
      <c r="E16819" s="102">
        <v>0.05</v>
      </c>
      <c r="F16819" s="101">
        <f t="shared" ref="F16819" si="806">C16819*(D16819+(D16819*E16819))</f>
        <v>46200</v>
      </c>
    </row>
    <row r="16820" spans="1:6" ht="15" customHeight="1" x14ac:dyDescent="0.25">
      <c r="A16820" s="201" t="s">
        <v>1133</v>
      </c>
      <c r="B16820" s="202" t="s">
        <v>651</v>
      </c>
      <c r="C16820" s="205">
        <f>145000*2.5</f>
        <v>362500</v>
      </c>
      <c r="D16820" s="203">
        <v>5</v>
      </c>
      <c r="E16820" s="204">
        <v>0</v>
      </c>
      <c r="F16820" s="205">
        <f>+C16820*D16820</f>
        <v>1812500</v>
      </c>
    </row>
    <row r="16821" spans="1:6" ht="15" customHeight="1" x14ac:dyDescent="0.25">
      <c r="A16821" s="201" t="s">
        <v>1134</v>
      </c>
      <c r="B16821" s="202" t="s">
        <v>1135</v>
      </c>
      <c r="C16821" s="205">
        <f>115000*2.5</f>
        <v>287500</v>
      </c>
      <c r="D16821" s="203">
        <v>1</v>
      </c>
      <c r="E16821" s="204">
        <v>0</v>
      </c>
      <c r="F16821" s="205">
        <f>+C16821*D16821</f>
        <v>287500</v>
      </c>
    </row>
    <row r="16822" spans="1:6" ht="15" customHeight="1" x14ac:dyDescent="0.25">
      <c r="A16822" s="99"/>
      <c r="B16822" s="100"/>
      <c r="C16822" s="106"/>
      <c r="D16822" s="149"/>
      <c r="E16822" s="108"/>
      <c r="F16822" s="101"/>
    </row>
    <row r="16823" spans="1:6" ht="15" customHeight="1" x14ac:dyDescent="0.25">
      <c r="A16823" s="99"/>
      <c r="B16823" s="100"/>
      <c r="C16823" s="106"/>
      <c r="D16823" s="107"/>
      <c r="E16823" s="108"/>
      <c r="F16823" s="106"/>
    </row>
    <row r="16824" spans="1:6" ht="15" customHeight="1" x14ac:dyDescent="0.25">
      <c r="A16824" s="97" t="s">
        <v>548</v>
      </c>
      <c r="B16824" s="97"/>
      <c r="C16824" s="109"/>
      <c r="D16824" s="110"/>
      <c r="E16824" s="111"/>
      <c r="F16824" s="112">
        <f>SUM(F16819:F16822)</f>
        <v>2146200</v>
      </c>
    </row>
    <row r="16825" spans="1:6" ht="15" customHeight="1" x14ac:dyDescent="0.25">
      <c r="A16825" s="88"/>
      <c r="B16825" s="88"/>
      <c r="C16825" s="113"/>
      <c r="D16825" s="113"/>
      <c r="E16825" s="114"/>
      <c r="F16825" s="113"/>
    </row>
    <row r="16826" spans="1:6" ht="15" customHeight="1" x14ac:dyDescent="0.25">
      <c r="A16826" s="96" t="s">
        <v>573</v>
      </c>
      <c r="B16826" s="96"/>
      <c r="C16826" s="92"/>
      <c r="D16826" s="92"/>
      <c r="E16826" s="92"/>
      <c r="F16826" s="92"/>
    </row>
    <row r="16827" spans="1:6" ht="15" customHeight="1" x14ac:dyDescent="0.25">
      <c r="A16827" s="611" t="s">
        <v>563</v>
      </c>
      <c r="B16827" s="608"/>
      <c r="C16827" s="609"/>
      <c r="D16827" s="98" t="s">
        <v>574</v>
      </c>
      <c r="E16827" s="98" t="s">
        <v>575</v>
      </c>
      <c r="F16827" s="98" t="s">
        <v>568</v>
      </c>
    </row>
    <row r="16828" spans="1:6" ht="15" customHeight="1" x14ac:dyDescent="0.25">
      <c r="A16828" s="588" t="s">
        <v>1136</v>
      </c>
      <c r="B16828" s="591"/>
      <c r="C16828" s="592"/>
      <c r="D16828" s="217">
        <v>250000</v>
      </c>
      <c r="E16828" s="218">
        <v>1</v>
      </c>
      <c r="F16828" s="219">
        <f t="shared" ref="F16828:F16833" si="807">+E16828*D16828</f>
        <v>250000</v>
      </c>
    </row>
    <row r="16829" spans="1:6" ht="15" customHeight="1" x14ac:dyDescent="0.25">
      <c r="A16829" s="588" t="s">
        <v>1137</v>
      </c>
      <c r="B16829" s="591"/>
      <c r="C16829" s="592"/>
      <c r="D16829" s="217">
        <v>400000</v>
      </c>
      <c r="E16829" s="218">
        <v>1</v>
      </c>
      <c r="F16829" s="219">
        <f t="shared" si="807"/>
        <v>400000</v>
      </c>
    </row>
    <row r="16830" spans="1:6" ht="15" customHeight="1" x14ac:dyDescent="0.25">
      <c r="A16830" s="253" t="s">
        <v>1138</v>
      </c>
      <c r="B16830" s="254"/>
      <c r="C16830" s="255"/>
      <c r="D16830" s="217">
        <v>1000000</v>
      </c>
      <c r="E16830" s="218">
        <v>1</v>
      </c>
      <c r="F16830" s="219">
        <f t="shared" si="807"/>
        <v>1000000</v>
      </c>
    </row>
    <row r="16831" spans="1:6" ht="15" customHeight="1" x14ac:dyDescent="0.25">
      <c r="A16831" s="588" t="s">
        <v>1139</v>
      </c>
      <c r="B16831" s="591"/>
      <c r="C16831" s="592"/>
      <c r="D16831" s="217">
        <v>25000</v>
      </c>
      <c r="E16831" s="218">
        <v>1</v>
      </c>
      <c r="F16831" s="219">
        <f t="shared" si="807"/>
        <v>25000</v>
      </c>
    </row>
    <row r="16832" spans="1:6" ht="15" customHeight="1" x14ac:dyDescent="0.25">
      <c r="A16832" s="588" t="s">
        <v>1140</v>
      </c>
      <c r="B16832" s="591"/>
      <c r="C16832" s="592"/>
      <c r="D16832" s="217">
        <v>10000</v>
      </c>
      <c r="E16832" s="218">
        <v>0.5</v>
      </c>
      <c r="F16832" s="219">
        <f t="shared" si="807"/>
        <v>5000</v>
      </c>
    </row>
    <row r="16833" spans="1:6" ht="15" customHeight="1" x14ac:dyDescent="0.25">
      <c r="A16833" s="588" t="s">
        <v>1141</v>
      </c>
      <c r="B16833" s="591"/>
      <c r="C16833" s="592"/>
      <c r="D16833" s="217">
        <v>30000</v>
      </c>
      <c r="E16833" s="218">
        <v>2</v>
      </c>
      <c r="F16833" s="219">
        <f t="shared" si="807"/>
        <v>60000</v>
      </c>
    </row>
    <row r="16834" spans="1:6" ht="15" customHeight="1" x14ac:dyDescent="0.25">
      <c r="A16834" s="152"/>
      <c r="B16834" s="153"/>
      <c r="C16834" s="154"/>
      <c r="D16834" s="142"/>
      <c r="E16834" s="105"/>
      <c r="F16834" s="106"/>
    </row>
    <row r="16835" spans="1:6" ht="15" customHeight="1" x14ac:dyDescent="0.25">
      <c r="A16835" s="152"/>
      <c r="B16835" s="153"/>
      <c r="C16835" s="154"/>
      <c r="D16835" s="115"/>
      <c r="E16835" s="107"/>
      <c r="F16835" s="106"/>
    </row>
    <row r="16836" spans="1:6" ht="15" customHeight="1" x14ac:dyDescent="0.25">
      <c r="A16836" s="611" t="s">
        <v>548</v>
      </c>
      <c r="B16836" s="608"/>
      <c r="C16836" s="609"/>
      <c r="D16836" s="110"/>
      <c r="E16836" s="110"/>
      <c r="F16836" s="112">
        <f>SUM(F16828:F16833)</f>
        <v>1740000</v>
      </c>
    </row>
    <row r="16837" spans="1:6" ht="15" customHeight="1" x14ac:dyDescent="0.25">
      <c r="A16837" s="88"/>
      <c r="B16837" s="88"/>
      <c r="C16837" s="89"/>
      <c r="D16837" s="113"/>
      <c r="E16837" s="113"/>
      <c r="F16837" s="113"/>
    </row>
    <row r="16838" spans="1:6" ht="15" customHeight="1" x14ac:dyDescent="0.25">
      <c r="A16838" s="96" t="s">
        <v>578</v>
      </c>
      <c r="B16838" s="96"/>
      <c r="C16838" s="92"/>
      <c r="D16838" s="118"/>
      <c r="E16838" s="118"/>
      <c r="F16838" s="118"/>
    </row>
    <row r="16839" spans="1:6" ht="15" customHeight="1" x14ac:dyDescent="0.25">
      <c r="A16839" s="119" t="s">
        <v>563</v>
      </c>
      <c r="B16839" s="120" t="s">
        <v>579</v>
      </c>
      <c r="C16839" s="120" t="s">
        <v>580</v>
      </c>
      <c r="D16839" s="121" t="s">
        <v>581</v>
      </c>
      <c r="E16839" s="121" t="s">
        <v>575</v>
      </c>
      <c r="F16839" s="121" t="s">
        <v>568</v>
      </c>
    </row>
    <row r="16840" spans="1:6" ht="15" customHeight="1" x14ac:dyDescent="0.25">
      <c r="A16840" s="122" t="s">
        <v>936</v>
      </c>
      <c r="B16840" s="127">
        <v>1</v>
      </c>
      <c r="C16840" s="101">
        <v>165000</v>
      </c>
      <c r="D16840" s="101">
        <f t="shared" ref="D16840:D16841" si="808">+C16840*1.7</f>
        <v>280500</v>
      </c>
      <c r="E16840" s="107">
        <v>0.15263094999999999</v>
      </c>
      <c r="F16840" s="106">
        <f t="shared" ref="F16840:F16841" si="809">+B16840*(D16840)/E16840</f>
        <v>1837766.1935537977</v>
      </c>
    </row>
    <row r="16841" spans="1:6" ht="15" customHeight="1" x14ac:dyDescent="0.25">
      <c r="A16841" s="122" t="s">
        <v>937</v>
      </c>
      <c r="B16841" s="127">
        <v>1</v>
      </c>
      <c r="C16841" s="101">
        <v>85000</v>
      </c>
      <c r="D16841" s="101">
        <f t="shared" si="808"/>
        <v>144500</v>
      </c>
      <c r="E16841" s="107">
        <f>E16840</f>
        <v>0.15263094999999999</v>
      </c>
      <c r="F16841" s="106">
        <f t="shared" si="809"/>
        <v>946728.03910347156</v>
      </c>
    </row>
    <row r="16842" spans="1:6" ht="15" customHeight="1" x14ac:dyDescent="0.25">
      <c r="A16842" s="122"/>
      <c r="B16842" s="127"/>
      <c r="C16842" s="101"/>
      <c r="D16842" s="101"/>
      <c r="E16842" s="107"/>
      <c r="F16842" s="106"/>
    </row>
    <row r="16843" spans="1:6" ht="15" customHeight="1" x14ac:dyDescent="0.25">
      <c r="A16843" s="122"/>
      <c r="B16843" s="127"/>
      <c r="C16843" s="101"/>
      <c r="D16843" s="101"/>
      <c r="E16843" s="125"/>
      <c r="F16843" s="106"/>
    </row>
    <row r="16844" spans="1:6" ht="15" customHeight="1" x14ac:dyDescent="0.25">
      <c r="A16844" s="97" t="s">
        <v>548</v>
      </c>
      <c r="B16844" s="128"/>
      <c r="C16844" s="110"/>
      <c r="D16844" s="110"/>
      <c r="E16844" s="110"/>
      <c r="F16844" s="112">
        <f>SUM(F16840:F16843)</f>
        <v>2784494.2326572691</v>
      </c>
    </row>
    <row r="16845" spans="1:6" ht="15" customHeight="1" x14ac:dyDescent="0.25">
      <c r="A16845" s="96"/>
      <c r="B16845" s="129"/>
      <c r="C16845" s="118"/>
      <c r="D16845" s="118"/>
      <c r="E16845" s="118"/>
      <c r="F16845" s="118"/>
    </row>
    <row r="16846" spans="1:6" ht="15" customHeight="1" x14ac:dyDescent="0.25">
      <c r="A16846" s="95" t="s">
        <v>583</v>
      </c>
      <c r="B16846" s="96"/>
      <c r="C16846" s="92"/>
      <c r="D16846" s="92"/>
      <c r="E16846" s="92" t="s">
        <v>584</v>
      </c>
      <c r="F16846" s="92"/>
    </row>
    <row r="16847" spans="1:6" ht="15" customHeight="1" x14ac:dyDescent="0.25">
      <c r="A16847" s="97" t="s">
        <v>563</v>
      </c>
      <c r="B16847" s="98" t="s">
        <v>564</v>
      </c>
      <c r="C16847" s="98" t="s">
        <v>585</v>
      </c>
      <c r="D16847" s="98" t="s">
        <v>586</v>
      </c>
      <c r="E16847" s="120" t="s">
        <v>587</v>
      </c>
      <c r="F16847" s="98" t="s">
        <v>568</v>
      </c>
    </row>
    <row r="16848" spans="1:6" ht="15" customHeight="1" x14ac:dyDescent="0.25">
      <c r="A16848" s="103" t="s">
        <v>604</v>
      </c>
      <c r="B16848" s="100" t="s">
        <v>605</v>
      </c>
      <c r="C16848" s="101">
        <v>1000</v>
      </c>
      <c r="D16848" s="140">
        <v>22</v>
      </c>
      <c r="E16848" s="107">
        <v>5</v>
      </c>
      <c r="F16848" s="109">
        <f>+C16848*D16848*E16848</f>
        <v>110000</v>
      </c>
    </row>
    <row r="16849" spans="1:6" ht="15" customHeight="1" x14ac:dyDescent="0.25">
      <c r="A16849" s="103"/>
      <c r="B16849" s="100"/>
      <c r="C16849" s="107"/>
      <c r="D16849" s="107"/>
      <c r="E16849" s="108"/>
      <c r="F16849" s="109"/>
    </row>
    <row r="16850" spans="1:6" ht="15" customHeight="1" x14ac:dyDescent="0.25">
      <c r="A16850" s="97" t="s">
        <v>548</v>
      </c>
      <c r="B16850" s="98"/>
      <c r="C16850" s="110"/>
      <c r="D16850" s="110"/>
      <c r="E16850" s="111"/>
      <c r="F16850" s="112">
        <f>SUM(F16848:F16849)</f>
        <v>110000</v>
      </c>
    </row>
    <row r="16851" spans="1:6" ht="15" customHeight="1" x14ac:dyDescent="0.25">
      <c r="A16851" s="88"/>
      <c r="B16851" s="89"/>
      <c r="C16851" s="113"/>
      <c r="D16851" s="113"/>
      <c r="E16851" s="114"/>
      <c r="F16851" s="113"/>
    </row>
    <row r="16852" spans="1:6" ht="15" customHeight="1" x14ac:dyDescent="0.25">
      <c r="A16852" s="88"/>
      <c r="B16852" s="89"/>
      <c r="C16852" s="113"/>
      <c r="D16852" s="113"/>
      <c r="E16852" s="114"/>
      <c r="F16852" s="113"/>
    </row>
    <row r="16853" spans="1:6" ht="15" customHeight="1" x14ac:dyDescent="0.25">
      <c r="A16853" s="612" t="s">
        <v>588</v>
      </c>
      <c r="B16853" s="608"/>
      <c r="C16853" s="608"/>
      <c r="D16853" s="608"/>
      <c r="E16853" s="609"/>
      <c r="F16853" s="131">
        <f>ROUND(F16824+F16836+F16844+F16850,0)</f>
        <v>6780694</v>
      </c>
    </row>
    <row r="16854" spans="1:6" ht="15" customHeight="1" x14ac:dyDescent="0.25">
      <c r="A16854" s="612" t="s">
        <v>589</v>
      </c>
      <c r="B16854" s="608"/>
      <c r="C16854" s="608"/>
      <c r="D16854" s="608"/>
      <c r="E16854" s="609"/>
      <c r="F16854" s="132"/>
    </row>
    <row r="16855" spans="1:6" ht="15" customHeight="1" x14ac:dyDescent="0.25">
      <c r="A16855" s="612" t="s">
        <v>556</v>
      </c>
      <c r="B16855" s="608"/>
      <c r="C16855" s="608"/>
      <c r="D16855" s="608"/>
      <c r="E16855" s="609"/>
      <c r="F16855" s="133"/>
    </row>
    <row r="16856" spans="1:6" ht="15" customHeight="1" x14ac:dyDescent="0.25">
      <c r="A16856" s="134"/>
      <c r="B16856" s="135"/>
      <c r="C16856" s="135"/>
      <c r="D16856" s="135"/>
      <c r="E16856" s="135"/>
      <c r="F16856" s="136"/>
    </row>
    <row r="16857" spans="1:6" ht="15" customHeight="1" x14ac:dyDescent="0.25">
      <c r="A16857" s="81"/>
      <c r="B16857" s="81"/>
      <c r="C16857" s="137"/>
      <c r="D16857" s="81"/>
      <c r="E16857" s="81"/>
      <c r="F16857" s="81"/>
    </row>
    <row r="16858" spans="1:6" ht="15" customHeight="1" x14ac:dyDescent="0.25">
      <c r="A16858" s="81"/>
      <c r="B16858" s="81"/>
      <c r="C16858" s="137"/>
      <c r="D16858" s="81"/>
      <c r="E16858" s="81"/>
      <c r="F16858" s="81"/>
    </row>
    <row r="16859" spans="1:6" ht="15" customHeight="1" x14ac:dyDescent="0.25">
      <c r="A16859" s="81"/>
      <c r="B16859" s="81"/>
      <c r="C16859" s="137"/>
      <c r="D16859" s="81"/>
      <c r="E16859" s="81"/>
      <c r="F16859" s="81"/>
    </row>
    <row r="16860" spans="1:6" ht="15" customHeight="1" x14ac:dyDescent="0.25">
      <c r="A16860" s="81"/>
      <c r="B16860" s="81"/>
      <c r="C16860" s="137"/>
      <c r="D16860" s="81"/>
      <c r="E16860" s="81"/>
      <c r="F16860" s="81"/>
    </row>
    <row r="16861" spans="1:6" ht="15" customHeight="1" x14ac:dyDescent="0.25">
      <c r="A16861" s="134"/>
      <c r="B16861" s="135"/>
      <c r="C16861" s="135"/>
      <c r="D16861" s="135"/>
      <c r="E16861" s="135"/>
      <c r="F16861" s="136"/>
    </row>
    <row r="16862" spans="1:6" ht="15" customHeight="1" x14ac:dyDescent="0.25">
      <c r="A16862" s="134"/>
      <c r="B16862" s="135"/>
      <c r="C16862" s="135"/>
      <c r="D16862" s="135"/>
      <c r="E16862" s="135"/>
      <c r="F16862" s="136"/>
    </row>
    <row r="16863" spans="1:6" ht="15" customHeight="1" x14ac:dyDescent="0.25">
      <c r="A16863" s="134"/>
      <c r="B16863" s="135"/>
      <c r="C16863" s="135"/>
      <c r="D16863" s="135"/>
      <c r="E16863" s="135"/>
      <c r="F16863" s="136"/>
    </row>
    <row r="16864" spans="1:6" ht="15" customHeight="1" thickBot="1" x14ac:dyDescent="0.3">
      <c r="A16864" s="81"/>
      <c r="B16864" s="81"/>
      <c r="C16864" s="81"/>
      <c r="D16864" s="81"/>
      <c r="E16864" s="81"/>
      <c r="F16864" s="81"/>
    </row>
    <row r="16865" spans="1:6" ht="15" customHeight="1" x14ac:dyDescent="0.25">
      <c r="A16865" s="83"/>
      <c r="B16865" s="84"/>
      <c r="C16865" s="85"/>
      <c r="D16865" s="86"/>
      <c r="E16865" s="86"/>
      <c r="F16865" s="87"/>
    </row>
    <row r="16866" spans="1:6" ht="15" customHeight="1" x14ac:dyDescent="0.25">
      <c r="A16866" s="599"/>
      <c r="B16866" s="600"/>
      <c r="C16866" s="600"/>
      <c r="D16866" s="600"/>
      <c r="E16866" s="600"/>
      <c r="F16866" s="601"/>
    </row>
    <row r="16867" spans="1:6" ht="15" customHeight="1" x14ac:dyDescent="0.25">
      <c r="A16867" s="602" t="s">
        <v>561</v>
      </c>
      <c r="B16867" s="600"/>
      <c r="C16867" s="600"/>
      <c r="D16867" s="600"/>
      <c r="E16867" s="600"/>
      <c r="F16867" s="601"/>
    </row>
    <row r="16868" spans="1:6" ht="15" customHeight="1" thickBot="1" x14ac:dyDescent="0.3">
      <c r="A16868" s="603"/>
      <c r="B16868" s="604"/>
      <c r="C16868" s="604"/>
      <c r="D16868" s="604"/>
      <c r="E16868" s="604"/>
      <c r="F16868" s="605"/>
    </row>
    <row r="16869" spans="1:6" ht="15" customHeight="1" x14ac:dyDescent="0.25">
      <c r="A16869" s="88"/>
      <c r="B16869" s="88"/>
      <c r="C16869" s="89"/>
      <c r="D16869" s="89"/>
      <c r="E16869" s="89"/>
      <c r="F16869" s="89"/>
    </row>
    <row r="16870" spans="1:6" ht="15" customHeight="1" x14ac:dyDescent="0.25">
      <c r="A16870" s="90" t="s">
        <v>47</v>
      </c>
      <c r="B16870" s="613" t="s">
        <v>496</v>
      </c>
      <c r="C16870" s="600"/>
      <c r="D16870" s="600"/>
      <c r="E16870" s="600"/>
      <c r="F16870" s="600"/>
    </row>
    <row r="16871" spans="1:6" ht="15" customHeight="1" x14ac:dyDescent="0.25">
      <c r="A16871" s="91"/>
      <c r="B16871" s="91"/>
      <c r="C16871" s="91"/>
      <c r="D16871" s="91"/>
      <c r="E16871" s="91"/>
      <c r="F16871" s="91"/>
    </row>
    <row r="16872" spans="1:6" ht="15" customHeight="1" x14ac:dyDescent="0.25">
      <c r="A16872" s="88" t="s">
        <v>49</v>
      </c>
      <c r="B16872" s="92" t="s">
        <v>99</v>
      </c>
      <c r="C16872" s="89"/>
      <c r="D16872" s="89"/>
      <c r="E16872" s="89"/>
      <c r="F16872" s="93"/>
    </row>
    <row r="16873" spans="1:6" ht="15" customHeight="1" x14ac:dyDescent="0.25">
      <c r="A16873" s="88"/>
      <c r="B16873" s="94"/>
      <c r="C16873" s="89"/>
      <c r="D16873" s="89"/>
      <c r="E16873" s="89"/>
      <c r="F16873" s="93"/>
    </row>
    <row r="16874" spans="1:6" ht="15" customHeight="1" x14ac:dyDescent="0.25">
      <c r="A16874" s="95" t="s">
        <v>562</v>
      </c>
      <c r="B16874" s="96"/>
      <c r="C16874" s="92"/>
      <c r="D16874" s="92"/>
      <c r="E16874" s="92"/>
      <c r="F16874" s="92"/>
    </row>
    <row r="16875" spans="1:6" ht="15" customHeight="1" x14ac:dyDescent="0.25">
      <c r="A16875" s="97" t="s">
        <v>563</v>
      </c>
      <c r="B16875" s="98" t="s">
        <v>564</v>
      </c>
      <c r="C16875" s="98" t="s">
        <v>565</v>
      </c>
      <c r="D16875" s="98" t="s">
        <v>566</v>
      </c>
      <c r="E16875" s="98" t="s">
        <v>567</v>
      </c>
      <c r="F16875" s="98" t="s">
        <v>568</v>
      </c>
    </row>
    <row r="16876" spans="1:6" ht="15" customHeight="1" x14ac:dyDescent="0.25">
      <c r="A16876" s="99" t="s">
        <v>931</v>
      </c>
      <c r="B16876" s="100" t="s">
        <v>99</v>
      </c>
      <c r="C16876" s="101">
        <v>22000</v>
      </c>
      <c r="D16876" s="149">
        <v>1.5</v>
      </c>
      <c r="E16876" s="102">
        <v>0.05</v>
      </c>
      <c r="F16876" s="101">
        <f t="shared" ref="F16876" si="810">C16876*(D16876+(D16876*E16876))</f>
        <v>34650</v>
      </c>
    </row>
    <row r="16877" spans="1:6" ht="15" customHeight="1" x14ac:dyDescent="0.25">
      <c r="A16877" s="201" t="s">
        <v>1133</v>
      </c>
      <c r="B16877" s="202" t="s">
        <v>651</v>
      </c>
      <c r="C16877" s="205">
        <f>145000*2.5</f>
        <v>362500</v>
      </c>
      <c r="D16877" s="203">
        <v>4</v>
      </c>
      <c r="E16877" s="204">
        <v>0</v>
      </c>
      <c r="F16877" s="205">
        <f>+C16877*D16877</f>
        <v>1450000</v>
      </c>
    </row>
    <row r="16878" spans="1:6" ht="15" customHeight="1" x14ac:dyDescent="0.25">
      <c r="A16878" s="201" t="s">
        <v>1134</v>
      </c>
      <c r="B16878" s="202" t="s">
        <v>1135</v>
      </c>
      <c r="C16878" s="205">
        <f>115000*2.5</f>
        <v>287500</v>
      </c>
      <c r="D16878" s="203">
        <v>0.7</v>
      </c>
      <c r="E16878" s="204">
        <v>0</v>
      </c>
      <c r="F16878" s="205">
        <f>+C16878*D16878</f>
        <v>201250</v>
      </c>
    </row>
    <row r="16879" spans="1:6" ht="15" customHeight="1" x14ac:dyDescent="0.25">
      <c r="A16879" s="99"/>
      <c r="B16879" s="100"/>
      <c r="C16879" s="106"/>
      <c r="D16879" s="149"/>
      <c r="E16879" s="108"/>
      <c r="F16879" s="101"/>
    </row>
    <row r="16880" spans="1:6" ht="15" customHeight="1" x14ac:dyDescent="0.25">
      <c r="A16880" s="99"/>
      <c r="B16880" s="100"/>
      <c r="C16880" s="106"/>
      <c r="D16880" s="107"/>
      <c r="E16880" s="108"/>
      <c r="F16880" s="106"/>
    </row>
    <row r="16881" spans="1:6" ht="15" customHeight="1" x14ac:dyDescent="0.25">
      <c r="A16881" s="97" t="s">
        <v>548</v>
      </c>
      <c r="B16881" s="97"/>
      <c r="C16881" s="109"/>
      <c r="D16881" s="110"/>
      <c r="E16881" s="111"/>
      <c r="F16881" s="112">
        <f>SUM(F16876:F16879)</f>
        <v>1685900</v>
      </c>
    </row>
    <row r="16882" spans="1:6" ht="15" customHeight="1" x14ac:dyDescent="0.25">
      <c r="A16882" s="88"/>
      <c r="B16882" s="88"/>
      <c r="C16882" s="113"/>
      <c r="D16882" s="113"/>
      <c r="E16882" s="114"/>
      <c r="F16882" s="113"/>
    </row>
    <row r="16883" spans="1:6" ht="15" customHeight="1" x14ac:dyDescent="0.25">
      <c r="A16883" s="96" t="s">
        <v>573</v>
      </c>
      <c r="B16883" s="96"/>
      <c r="C16883" s="92"/>
      <c r="D16883" s="92"/>
      <c r="E16883" s="92"/>
      <c r="F16883" s="92"/>
    </row>
    <row r="16884" spans="1:6" ht="15" customHeight="1" x14ac:dyDescent="0.25">
      <c r="A16884" s="611" t="s">
        <v>563</v>
      </c>
      <c r="B16884" s="608"/>
      <c r="C16884" s="609"/>
      <c r="D16884" s="98" t="s">
        <v>574</v>
      </c>
      <c r="E16884" s="98" t="s">
        <v>575</v>
      </c>
      <c r="F16884" s="98" t="s">
        <v>568</v>
      </c>
    </row>
    <row r="16885" spans="1:6" ht="15" customHeight="1" x14ac:dyDescent="0.25">
      <c r="A16885" s="588" t="s">
        <v>1136</v>
      </c>
      <c r="B16885" s="591"/>
      <c r="C16885" s="592"/>
      <c r="D16885" s="217">
        <v>250000</v>
      </c>
      <c r="E16885" s="218">
        <v>1</v>
      </c>
      <c r="F16885" s="219">
        <f t="shared" ref="F16885:F16890" si="811">+E16885*D16885</f>
        <v>250000</v>
      </c>
    </row>
    <row r="16886" spans="1:6" ht="15" customHeight="1" x14ac:dyDescent="0.25">
      <c r="A16886" s="588" t="s">
        <v>1137</v>
      </c>
      <c r="B16886" s="591"/>
      <c r="C16886" s="592"/>
      <c r="D16886" s="217">
        <v>400000</v>
      </c>
      <c r="E16886" s="218">
        <v>1</v>
      </c>
      <c r="F16886" s="219">
        <f t="shared" si="811"/>
        <v>400000</v>
      </c>
    </row>
    <row r="16887" spans="1:6" ht="15" customHeight="1" x14ac:dyDescent="0.25">
      <c r="A16887" s="253" t="s">
        <v>1138</v>
      </c>
      <c r="B16887" s="254"/>
      <c r="C16887" s="255"/>
      <c r="D16887" s="217">
        <v>1000000</v>
      </c>
      <c r="E16887" s="218">
        <v>1</v>
      </c>
      <c r="F16887" s="219">
        <f t="shared" si="811"/>
        <v>1000000</v>
      </c>
    </row>
    <row r="16888" spans="1:6" ht="15" customHeight="1" x14ac:dyDescent="0.25">
      <c r="A16888" s="588" t="s">
        <v>1139</v>
      </c>
      <c r="B16888" s="591"/>
      <c r="C16888" s="592"/>
      <c r="D16888" s="217">
        <v>25000</v>
      </c>
      <c r="E16888" s="218">
        <v>1</v>
      </c>
      <c r="F16888" s="219">
        <f t="shared" si="811"/>
        <v>25000</v>
      </c>
    </row>
    <row r="16889" spans="1:6" ht="15" customHeight="1" x14ac:dyDescent="0.25">
      <c r="A16889" s="588" t="s">
        <v>1140</v>
      </c>
      <c r="B16889" s="591"/>
      <c r="C16889" s="592"/>
      <c r="D16889" s="217">
        <v>10000</v>
      </c>
      <c r="E16889" s="218">
        <v>0.3</v>
      </c>
      <c r="F16889" s="219">
        <f t="shared" si="811"/>
        <v>3000</v>
      </c>
    </row>
    <row r="16890" spans="1:6" ht="15" customHeight="1" x14ac:dyDescent="0.25">
      <c r="A16890" s="588" t="s">
        <v>1141</v>
      </c>
      <c r="B16890" s="591"/>
      <c r="C16890" s="592"/>
      <c r="D16890" s="217">
        <v>30000</v>
      </c>
      <c r="E16890" s="218">
        <v>1</v>
      </c>
      <c r="F16890" s="219">
        <f t="shared" si="811"/>
        <v>30000</v>
      </c>
    </row>
    <row r="16891" spans="1:6" ht="15" customHeight="1" x14ac:dyDescent="0.25">
      <c r="A16891" s="152"/>
      <c r="B16891" s="153"/>
      <c r="C16891" s="154"/>
      <c r="D16891" s="142"/>
      <c r="E16891" s="105"/>
      <c r="F16891" s="106"/>
    </row>
    <row r="16892" spans="1:6" ht="15" customHeight="1" x14ac:dyDescent="0.25">
      <c r="A16892" s="152"/>
      <c r="B16892" s="153"/>
      <c r="C16892" s="154"/>
      <c r="D16892" s="115"/>
      <c r="E16892" s="107"/>
      <c r="F16892" s="106"/>
    </row>
    <row r="16893" spans="1:6" ht="15" customHeight="1" x14ac:dyDescent="0.25">
      <c r="A16893" s="611" t="s">
        <v>548</v>
      </c>
      <c r="B16893" s="608"/>
      <c r="C16893" s="609"/>
      <c r="D16893" s="110"/>
      <c r="E16893" s="110"/>
      <c r="F16893" s="112">
        <f>SUM(F16885:F16890)</f>
        <v>1708000</v>
      </c>
    </row>
    <row r="16894" spans="1:6" ht="15" customHeight="1" x14ac:dyDescent="0.25">
      <c r="A16894" s="88"/>
      <c r="B16894" s="88"/>
      <c r="C16894" s="89"/>
      <c r="D16894" s="113"/>
      <c r="E16894" s="113"/>
      <c r="F16894" s="113"/>
    </row>
    <row r="16895" spans="1:6" ht="15" customHeight="1" x14ac:dyDescent="0.25">
      <c r="A16895" s="96" t="s">
        <v>578</v>
      </c>
      <c r="B16895" s="96"/>
      <c r="C16895" s="92"/>
      <c r="D16895" s="118"/>
      <c r="E16895" s="118"/>
      <c r="F16895" s="118"/>
    </row>
    <row r="16896" spans="1:6" ht="15" customHeight="1" x14ac:dyDescent="0.25">
      <c r="A16896" s="119" t="s">
        <v>563</v>
      </c>
      <c r="B16896" s="120" t="s">
        <v>579</v>
      </c>
      <c r="C16896" s="120" t="s">
        <v>580</v>
      </c>
      <c r="D16896" s="121" t="s">
        <v>581</v>
      </c>
      <c r="E16896" s="121" t="s">
        <v>575</v>
      </c>
      <c r="F16896" s="121" t="s">
        <v>568</v>
      </c>
    </row>
    <row r="16897" spans="1:6" ht="15" customHeight="1" x14ac:dyDescent="0.25">
      <c r="A16897" s="122" t="s">
        <v>936</v>
      </c>
      <c r="B16897" s="127">
        <v>1</v>
      </c>
      <c r="C16897" s="101">
        <v>165000</v>
      </c>
      <c r="D16897" s="101">
        <f t="shared" ref="D16897:D16898" si="812">+C16897*1.7</f>
        <v>280500</v>
      </c>
      <c r="E16897" s="107">
        <v>0.18029895000000001</v>
      </c>
      <c r="F16897" s="106">
        <f t="shared" ref="F16897:F16898" si="813">+B16897*(D16897)/E16897</f>
        <v>1555749.4927175115</v>
      </c>
    </row>
    <row r="16898" spans="1:6" ht="15" customHeight="1" x14ac:dyDescent="0.25">
      <c r="A16898" s="122" t="s">
        <v>937</v>
      </c>
      <c r="B16898" s="127">
        <v>1</v>
      </c>
      <c r="C16898" s="101">
        <v>85000</v>
      </c>
      <c r="D16898" s="101">
        <f t="shared" si="812"/>
        <v>144500</v>
      </c>
      <c r="E16898" s="107">
        <f>E16897</f>
        <v>0.18029895000000001</v>
      </c>
      <c r="F16898" s="106">
        <f t="shared" si="813"/>
        <v>801446.70836962713</v>
      </c>
    </row>
    <row r="16899" spans="1:6" ht="15" customHeight="1" x14ac:dyDescent="0.25">
      <c r="A16899" s="122"/>
      <c r="B16899" s="127"/>
      <c r="C16899" s="101"/>
      <c r="D16899" s="101"/>
      <c r="E16899" s="107"/>
      <c r="F16899" s="106"/>
    </row>
    <row r="16900" spans="1:6" ht="15" customHeight="1" x14ac:dyDescent="0.25">
      <c r="A16900" s="122"/>
      <c r="B16900" s="127"/>
      <c r="C16900" s="101"/>
      <c r="D16900" s="101"/>
      <c r="E16900" s="125"/>
      <c r="F16900" s="106"/>
    </row>
    <row r="16901" spans="1:6" ht="15" customHeight="1" x14ac:dyDescent="0.25">
      <c r="A16901" s="97" t="s">
        <v>548</v>
      </c>
      <c r="B16901" s="128"/>
      <c r="C16901" s="110"/>
      <c r="D16901" s="110"/>
      <c r="E16901" s="110"/>
      <c r="F16901" s="112">
        <f>SUM(F16897:F16900)</f>
        <v>2357196.2010871386</v>
      </c>
    </row>
    <row r="16902" spans="1:6" ht="15" customHeight="1" x14ac:dyDescent="0.25">
      <c r="A16902" s="96"/>
      <c r="B16902" s="129"/>
      <c r="C16902" s="118"/>
      <c r="D16902" s="118"/>
      <c r="E16902" s="118"/>
      <c r="F16902" s="118"/>
    </row>
    <row r="16903" spans="1:6" ht="15" customHeight="1" x14ac:dyDescent="0.25">
      <c r="A16903" s="95" t="s">
        <v>583</v>
      </c>
      <c r="B16903" s="96"/>
      <c r="C16903" s="92"/>
      <c r="D16903" s="92"/>
      <c r="E16903" s="92" t="s">
        <v>584</v>
      </c>
      <c r="F16903" s="92"/>
    </row>
    <row r="16904" spans="1:6" ht="15" customHeight="1" x14ac:dyDescent="0.25">
      <c r="A16904" s="97" t="s">
        <v>563</v>
      </c>
      <c r="B16904" s="98" t="s">
        <v>564</v>
      </c>
      <c r="C16904" s="98" t="s">
        <v>585</v>
      </c>
      <c r="D16904" s="98" t="s">
        <v>586</v>
      </c>
      <c r="E16904" s="120" t="s">
        <v>587</v>
      </c>
      <c r="F16904" s="98" t="s">
        <v>568</v>
      </c>
    </row>
    <row r="16905" spans="1:6" ht="15" customHeight="1" x14ac:dyDescent="0.25">
      <c r="A16905" s="103" t="s">
        <v>604</v>
      </c>
      <c r="B16905" s="100" t="s">
        <v>605</v>
      </c>
      <c r="C16905" s="101">
        <v>1000</v>
      </c>
      <c r="D16905" s="140">
        <v>22</v>
      </c>
      <c r="E16905" s="107">
        <v>5</v>
      </c>
      <c r="F16905" s="109">
        <f>+C16905*D16905*E16905</f>
        <v>110000</v>
      </c>
    </row>
    <row r="16906" spans="1:6" ht="15" customHeight="1" x14ac:dyDescent="0.25">
      <c r="A16906" s="103"/>
      <c r="B16906" s="100"/>
      <c r="C16906" s="107"/>
      <c r="D16906" s="107"/>
      <c r="E16906" s="108"/>
      <c r="F16906" s="109"/>
    </row>
    <row r="16907" spans="1:6" ht="15" customHeight="1" x14ac:dyDescent="0.25">
      <c r="A16907" s="97" t="s">
        <v>548</v>
      </c>
      <c r="B16907" s="98"/>
      <c r="C16907" s="110"/>
      <c r="D16907" s="110"/>
      <c r="E16907" s="111"/>
      <c r="F16907" s="112">
        <f>SUM(F16905:F16906)</f>
        <v>110000</v>
      </c>
    </row>
    <row r="16908" spans="1:6" ht="15" customHeight="1" x14ac:dyDescent="0.25">
      <c r="A16908" s="88"/>
      <c r="B16908" s="89"/>
      <c r="C16908" s="113"/>
      <c r="D16908" s="113"/>
      <c r="E16908" s="114"/>
      <c r="F16908" s="113"/>
    </row>
    <row r="16909" spans="1:6" ht="15" customHeight="1" x14ac:dyDescent="0.25">
      <c r="A16909" s="88"/>
      <c r="B16909" s="89"/>
      <c r="C16909" s="113"/>
      <c r="D16909" s="113"/>
      <c r="E16909" s="114"/>
      <c r="F16909" s="113"/>
    </row>
    <row r="16910" spans="1:6" ht="15" customHeight="1" x14ac:dyDescent="0.25">
      <c r="A16910" s="612" t="s">
        <v>588</v>
      </c>
      <c r="B16910" s="608"/>
      <c r="C16910" s="608"/>
      <c r="D16910" s="608"/>
      <c r="E16910" s="609"/>
      <c r="F16910" s="131">
        <f>ROUND(F16881+F16893+F16901+F16907,0)</f>
        <v>5861096</v>
      </c>
    </row>
    <row r="16911" spans="1:6" ht="15" customHeight="1" x14ac:dyDescent="0.25">
      <c r="A16911" s="612" t="s">
        <v>589</v>
      </c>
      <c r="B16911" s="608"/>
      <c r="C16911" s="608"/>
      <c r="D16911" s="608"/>
      <c r="E16911" s="609"/>
      <c r="F16911" s="132"/>
    </row>
    <row r="16912" spans="1:6" ht="15" customHeight="1" x14ac:dyDescent="0.25">
      <c r="A16912" s="612" t="s">
        <v>556</v>
      </c>
      <c r="B16912" s="608"/>
      <c r="C16912" s="608"/>
      <c r="D16912" s="608"/>
      <c r="E16912" s="609"/>
      <c r="F16912" s="133"/>
    </row>
    <row r="16913" spans="1:6" ht="15" customHeight="1" x14ac:dyDescent="0.25">
      <c r="A16913" s="134"/>
      <c r="B16913" s="135"/>
      <c r="C16913" s="135"/>
      <c r="D16913" s="135"/>
      <c r="E16913" s="135"/>
      <c r="F16913" s="136"/>
    </row>
    <row r="16914" spans="1:6" ht="15" customHeight="1" x14ac:dyDescent="0.25">
      <c r="A16914" s="81"/>
      <c r="B16914" s="81"/>
      <c r="C16914" s="137"/>
      <c r="D16914" s="81"/>
      <c r="E16914" s="81"/>
      <c r="F16914" s="81"/>
    </row>
    <row r="16915" spans="1:6" ht="15" customHeight="1" x14ac:dyDescent="0.25">
      <c r="A16915" s="81"/>
      <c r="B16915" s="81"/>
      <c r="C16915" s="137"/>
      <c r="D16915" s="81"/>
      <c r="E16915" s="81"/>
      <c r="F16915" s="81"/>
    </row>
    <row r="16916" spans="1:6" ht="15" customHeight="1" x14ac:dyDescent="0.25">
      <c r="A16916" s="81"/>
      <c r="B16916" s="81"/>
      <c r="C16916" s="137"/>
      <c r="D16916" s="81"/>
      <c r="E16916" s="81"/>
      <c r="F16916" s="81"/>
    </row>
    <row r="16917" spans="1:6" ht="15" customHeight="1" x14ac:dyDescent="0.25">
      <c r="A16917" s="81"/>
      <c r="B16917" s="81"/>
      <c r="C16917" s="137"/>
      <c r="D16917" s="81"/>
      <c r="E16917" s="81"/>
      <c r="F16917" s="81"/>
    </row>
    <row r="16918" spans="1:6" ht="15" customHeight="1" x14ac:dyDescent="0.25">
      <c r="A16918" s="134"/>
      <c r="B16918" s="135"/>
      <c r="C16918" s="135"/>
      <c r="D16918" s="135"/>
      <c r="E16918" s="135"/>
      <c r="F16918" s="136"/>
    </row>
    <row r="16919" spans="1:6" ht="15" customHeight="1" x14ac:dyDescent="0.25">
      <c r="A16919" s="134"/>
      <c r="B16919" s="135"/>
      <c r="C16919" s="135"/>
      <c r="D16919" s="135"/>
      <c r="E16919" s="135"/>
      <c r="F16919" s="136"/>
    </row>
    <row r="16920" spans="1:6" ht="15" customHeight="1" x14ac:dyDescent="0.25">
      <c r="A16920" s="134"/>
      <c r="B16920" s="135"/>
      <c r="C16920" s="135"/>
      <c r="D16920" s="135"/>
      <c r="E16920" s="135"/>
      <c r="F16920" s="136"/>
    </row>
    <row r="16921" spans="1:6" ht="15" customHeight="1" thickBot="1" x14ac:dyDescent="0.3">
      <c r="A16921" s="81"/>
      <c r="B16921" s="81"/>
      <c r="C16921" s="81"/>
      <c r="D16921" s="81"/>
      <c r="E16921" s="81"/>
      <c r="F16921" s="81"/>
    </row>
    <row r="16922" spans="1:6" ht="15" customHeight="1" x14ac:dyDescent="0.25">
      <c r="A16922" s="83"/>
      <c r="B16922" s="84"/>
      <c r="C16922" s="85"/>
      <c r="D16922" s="86"/>
      <c r="E16922" s="86"/>
      <c r="F16922" s="87"/>
    </row>
    <row r="16923" spans="1:6" ht="15" customHeight="1" x14ac:dyDescent="0.25">
      <c r="A16923" s="599"/>
      <c r="B16923" s="600"/>
      <c r="C16923" s="600"/>
      <c r="D16923" s="600"/>
      <c r="E16923" s="600"/>
      <c r="F16923" s="601"/>
    </row>
    <row r="16924" spans="1:6" ht="15" customHeight="1" x14ac:dyDescent="0.25">
      <c r="A16924" s="602" t="s">
        <v>561</v>
      </c>
      <c r="B16924" s="600"/>
      <c r="C16924" s="600"/>
      <c r="D16924" s="600"/>
      <c r="E16924" s="600"/>
      <c r="F16924" s="601"/>
    </row>
    <row r="16925" spans="1:6" ht="15" customHeight="1" thickBot="1" x14ac:dyDescent="0.3">
      <c r="A16925" s="603"/>
      <c r="B16925" s="604"/>
      <c r="C16925" s="604"/>
      <c r="D16925" s="604"/>
      <c r="E16925" s="604"/>
      <c r="F16925" s="605"/>
    </row>
    <row r="16926" spans="1:6" ht="15" customHeight="1" x14ac:dyDescent="0.25">
      <c r="A16926" s="88"/>
      <c r="B16926" s="88"/>
      <c r="C16926" s="89"/>
      <c r="D16926" s="89"/>
      <c r="E16926" s="89"/>
      <c r="F16926" s="89"/>
    </row>
    <row r="16927" spans="1:6" ht="15" customHeight="1" x14ac:dyDescent="0.25">
      <c r="A16927" s="90" t="s">
        <v>47</v>
      </c>
      <c r="B16927" s="613" t="s">
        <v>497</v>
      </c>
      <c r="C16927" s="600"/>
      <c r="D16927" s="600"/>
      <c r="E16927" s="600"/>
      <c r="F16927" s="600"/>
    </row>
    <row r="16928" spans="1:6" ht="15" customHeight="1" x14ac:dyDescent="0.25">
      <c r="A16928" s="91"/>
      <c r="B16928" s="91"/>
      <c r="C16928" s="91"/>
      <c r="D16928" s="91"/>
      <c r="E16928" s="91"/>
      <c r="F16928" s="91"/>
    </row>
    <row r="16929" spans="1:6" ht="15" customHeight="1" x14ac:dyDescent="0.25">
      <c r="A16929" s="88" t="s">
        <v>49</v>
      </c>
      <c r="B16929" s="92" t="s">
        <v>99</v>
      </c>
      <c r="C16929" s="89"/>
      <c r="D16929" s="89"/>
      <c r="E16929" s="89"/>
      <c r="F16929" s="93"/>
    </row>
    <row r="16930" spans="1:6" ht="15" customHeight="1" x14ac:dyDescent="0.25">
      <c r="A16930" s="88"/>
      <c r="B16930" s="94"/>
      <c r="C16930" s="89"/>
      <c r="D16930" s="89"/>
      <c r="E16930" s="89"/>
      <c r="F16930" s="93"/>
    </row>
    <row r="16931" spans="1:6" ht="15" customHeight="1" x14ac:dyDescent="0.25">
      <c r="A16931" s="95" t="s">
        <v>562</v>
      </c>
      <c r="B16931" s="96"/>
      <c r="C16931" s="92"/>
      <c r="D16931" s="92"/>
      <c r="E16931" s="92"/>
      <c r="F16931" s="92"/>
    </row>
    <row r="16932" spans="1:6" ht="15" customHeight="1" x14ac:dyDescent="0.25">
      <c r="A16932" s="97" t="s">
        <v>563</v>
      </c>
      <c r="B16932" s="98" t="s">
        <v>564</v>
      </c>
      <c r="C16932" s="98" t="s">
        <v>565</v>
      </c>
      <c r="D16932" s="98" t="s">
        <v>566</v>
      </c>
      <c r="E16932" s="98" t="s">
        <v>567</v>
      </c>
      <c r="F16932" s="98" t="s">
        <v>568</v>
      </c>
    </row>
    <row r="16933" spans="1:6" ht="15" customHeight="1" x14ac:dyDescent="0.25">
      <c r="A16933" s="99" t="s">
        <v>957</v>
      </c>
      <c r="B16933" s="100" t="s">
        <v>99</v>
      </c>
      <c r="C16933" s="101">
        <v>1442187</v>
      </c>
      <c r="D16933" s="149">
        <v>1</v>
      </c>
      <c r="E16933" s="102"/>
      <c r="F16933" s="101">
        <f t="shared" ref="F16933:F16935" si="814">C16933*(D16933+(D16933*E16933))</f>
        <v>1442187</v>
      </c>
    </row>
    <row r="16934" spans="1:6" ht="15" customHeight="1" x14ac:dyDescent="0.25">
      <c r="A16934" s="99"/>
      <c r="B16934" s="100"/>
      <c r="C16934" s="101"/>
      <c r="D16934" s="149"/>
      <c r="E16934" s="102"/>
      <c r="F16934" s="101">
        <f t="shared" si="814"/>
        <v>0</v>
      </c>
    </row>
    <row r="16935" spans="1:6" ht="15" customHeight="1" x14ac:dyDescent="0.25">
      <c r="A16935" s="99"/>
      <c r="B16935" s="100"/>
      <c r="C16935" s="101"/>
      <c r="D16935" s="149"/>
      <c r="E16935" s="102"/>
      <c r="F16935" s="101">
        <f t="shared" si="814"/>
        <v>0</v>
      </c>
    </row>
    <row r="16936" spans="1:6" ht="15" customHeight="1" x14ac:dyDescent="0.25">
      <c r="A16936" s="99"/>
      <c r="B16936" s="100"/>
      <c r="C16936" s="106"/>
      <c r="D16936" s="149"/>
      <c r="E16936" s="108"/>
      <c r="F16936" s="101"/>
    </row>
    <row r="16937" spans="1:6" ht="15" customHeight="1" x14ac:dyDescent="0.25">
      <c r="A16937" s="99"/>
      <c r="B16937" s="100"/>
      <c r="C16937" s="106"/>
      <c r="D16937" s="107"/>
      <c r="E16937" s="108"/>
      <c r="F16937" s="106"/>
    </row>
    <row r="16938" spans="1:6" ht="15" customHeight="1" x14ac:dyDescent="0.25">
      <c r="A16938" s="97" t="s">
        <v>548</v>
      </c>
      <c r="B16938" s="97"/>
      <c r="C16938" s="109"/>
      <c r="D16938" s="110"/>
      <c r="E16938" s="111"/>
      <c r="F16938" s="112">
        <f>SUM(F16933:F16936)</f>
        <v>1442187</v>
      </c>
    </row>
    <row r="16939" spans="1:6" ht="15" customHeight="1" x14ac:dyDescent="0.25">
      <c r="A16939" s="88"/>
      <c r="B16939" s="88"/>
      <c r="C16939" s="113"/>
      <c r="D16939" s="113"/>
      <c r="E16939" s="114"/>
      <c r="F16939" s="113"/>
    </row>
    <row r="16940" spans="1:6" ht="15" customHeight="1" x14ac:dyDescent="0.25">
      <c r="A16940" s="96" t="s">
        <v>573</v>
      </c>
      <c r="B16940" s="96"/>
      <c r="C16940" s="92"/>
      <c r="D16940" s="92"/>
      <c r="E16940" s="92"/>
      <c r="F16940" s="92"/>
    </row>
    <row r="16941" spans="1:6" ht="15" customHeight="1" x14ac:dyDescent="0.25">
      <c r="A16941" s="611" t="s">
        <v>563</v>
      </c>
      <c r="B16941" s="608"/>
      <c r="C16941" s="609"/>
      <c r="D16941" s="98" t="s">
        <v>574</v>
      </c>
      <c r="E16941" s="98" t="s">
        <v>575</v>
      </c>
      <c r="F16941" s="98" t="s">
        <v>568</v>
      </c>
    </row>
    <row r="16942" spans="1:6" ht="15" customHeight="1" x14ac:dyDescent="0.25">
      <c r="A16942" s="607" t="s">
        <v>577</v>
      </c>
      <c r="B16942" s="608"/>
      <c r="C16942" s="609"/>
      <c r="D16942" s="116"/>
      <c r="E16942" s="107"/>
      <c r="F16942" s="106">
        <f>+F16958*5%</f>
        <v>26562.5</v>
      </c>
    </row>
    <row r="16943" spans="1:6" ht="15" customHeight="1" x14ac:dyDescent="0.25">
      <c r="A16943" s="607"/>
      <c r="B16943" s="608"/>
      <c r="C16943" s="609"/>
      <c r="D16943" s="142"/>
      <c r="E16943" s="105"/>
      <c r="F16943" s="106"/>
    </row>
    <row r="16944" spans="1:6" ht="15" customHeight="1" x14ac:dyDescent="0.25">
      <c r="A16944" s="607"/>
      <c r="B16944" s="608"/>
      <c r="C16944" s="609"/>
      <c r="D16944" s="142"/>
      <c r="E16944" s="105"/>
      <c r="F16944" s="106"/>
    </row>
    <row r="16945" spans="1:6" ht="15" customHeight="1" x14ac:dyDescent="0.25">
      <c r="A16945" s="607"/>
      <c r="B16945" s="608"/>
      <c r="C16945" s="609"/>
      <c r="D16945" s="142"/>
      <c r="E16945" s="105"/>
      <c r="F16945" s="106"/>
    </row>
    <row r="16946" spans="1:6" ht="15" customHeight="1" x14ac:dyDescent="0.25">
      <c r="A16946" s="607"/>
      <c r="B16946" s="608"/>
      <c r="C16946" s="609"/>
      <c r="D16946" s="142"/>
      <c r="E16946" s="105"/>
      <c r="F16946" s="106"/>
    </row>
    <row r="16947" spans="1:6" ht="15" customHeight="1" x14ac:dyDescent="0.25">
      <c r="A16947" s="607"/>
      <c r="B16947" s="608"/>
      <c r="C16947" s="609"/>
      <c r="D16947" s="142"/>
      <c r="E16947" s="105"/>
      <c r="F16947" s="106"/>
    </row>
    <row r="16948" spans="1:6" ht="15" customHeight="1" x14ac:dyDescent="0.25">
      <c r="A16948" s="152"/>
      <c r="B16948" s="153"/>
      <c r="C16948" s="154"/>
      <c r="D16948" s="142"/>
      <c r="E16948" s="105"/>
      <c r="F16948" s="106"/>
    </row>
    <row r="16949" spans="1:6" ht="15" customHeight="1" x14ac:dyDescent="0.25">
      <c r="A16949" s="152"/>
      <c r="B16949" s="153"/>
      <c r="C16949" s="154"/>
      <c r="D16949" s="115"/>
      <c r="E16949" s="107"/>
      <c r="F16949" s="106"/>
    </row>
    <row r="16950" spans="1:6" ht="15" customHeight="1" x14ac:dyDescent="0.25">
      <c r="A16950" s="611" t="s">
        <v>548</v>
      </c>
      <c r="B16950" s="608"/>
      <c r="C16950" s="609"/>
      <c r="D16950" s="110"/>
      <c r="E16950" s="110"/>
      <c r="F16950" s="112">
        <f>SUM(F16942:F16947)</f>
        <v>26562.5</v>
      </c>
    </row>
    <row r="16951" spans="1:6" ht="15" customHeight="1" x14ac:dyDescent="0.25">
      <c r="A16951" s="88"/>
      <c r="B16951" s="88"/>
      <c r="C16951" s="89"/>
      <c r="D16951" s="113"/>
      <c r="E16951" s="113"/>
      <c r="F16951" s="113"/>
    </row>
    <row r="16952" spans="1:6" ht="15" customHeight="1" x14ac:dyDescent="0.25">
      <c r="A16952" s="96" t="s">
        <v>578</v>
      </c>
      <c r="B16952" s="96"/>
      <c r="C16952" s="92"/>
      <c r="D16952" s="118"/>
      <c r="E16952" s="118"/>
      <c r="F16952" s="118"/>
    </row>
    <row r="16953" spans="1:6" ht="15" customHeight="1" x14ac:dyDescent="0.25">
      <c r="A16953" s="119" t="s">
        <v>563</v>
      </c>
      <c r="B16953" s="120" t="s">
        <v>579</v>
      </c>
      <c r="C16953" s="120" t="s">
        <v>580</v>
      </c>
      <c r="D16953" s="121" t="s">
        <v>581</v>
      </c>
      <c r="E16953" s="121" t="s">
        <v>575</v>
      </c>
      <c r="F16953" s="121" t="s">
        <v>568</v>
      </c>
    </row>
    <row r="16954" spans="1:6" ht="15" customHeight="1" x14ac:dyDescent="0.25">
      <c r="A16954" s="122" t="s">
        <v>936</v>
      </c>
      <c r="B16954" s="127">
        <v>1</v>
      </c>
      <c r="C16954" s="101">
        <v>165000</v>
      </c>
      <c r="D16954" s="101">
        <f t="shared" ref="D16954:D16955" si="815">+C16954*1.7</f>
        <v>280500</v>
      </c>
      <c r="E16954" s="107">
        <v>0.8</v>
      </c>
      <c r="F16954" s="106">
        <f t="shared" ref="F16954:F16955" si="816">+B16954*(D16954)/E16954</f>
        <v>350625</v>
      </c>
    </row>
    <row r="16955" spans="1:6" ht="15" customHeight="1" x14ac:dyDescent="0.25">
      <c r="A16955" s="122" t="s">
        <v>937</v>
      </c>
      <c r="B16955" s="127">
        <v>1</v>
      </c>
      <c r="C16955" s="101">
        <v>85000</v>
      </c>
      <c r="D16955" s="101">
        <f t="shared" si="815"/>
        <v>144500</v>
      </c>
      <c r="E16955" s="107">
        <f>E16954</f>
        <v>0.8</v>
      </c>
      <c r="F16955" s="106">
        <f t="shared" si="816"/>
        <v>180625</v>
      </c>
    </row>
    <row r="16956" spans="1:6" ht="15" customHeight="1" x14ac:dyDescent="0.25">
      <c r="A16956" s="122"/>
      <c r="B16956" s="127"/>
      <c r="C16956" s="101"/>
      <c r="D16956" s="101"/>
      <c r="E16956" s="107"/>
      <c r="F16956" s="106"/>
    </row>
    <row r="16957" spans="1:6" ht="15" customHeight="1" x14ac:dyDescent="0.25">
      <c r="A16957" s="122"/>
      <c r="B16957" s="127"/>
      <c r="C16957" s="101"/>
      <c r="D16957" s="101"/>
      <c r="E16957" s="125"/>
      <c r="F16957" s="106"/>
    </row>
    <row r="16958" spans="1:6" ht="15" customHeight="1" x14ac:dyDescent="0.25">
      <c r="A16958" s="97" t="s">
        <v>548</v>
      </c>
      <c r="B16958" s="128"/>
      <c r="C16958" s="110"/>
      <c r="D16958" s="110"/>
      <c r="E16958" s="110"/>
      <c r="F16958" s="112">
        <f>SUM(F16954:F16957)</f>
        <v>531250</v>
      </c>
    </row>
    <row r="16959" spans="1:6" ht="15" customHeight="1" x14ac:dyDescent="0.25">
      <c r="A16959" s="96"/>
      <c r="B16959" s="129"/>
      <c r="C16959" s="118"/>
      <c r="D16959" s="118"/>
      <c r="E16959" s="118"/>
      <c r="F16959" s="118"/>
    </row>
    <row r="16960" spans="1:6" ht="15" customHeight="1" x14ac:dyDescent="0.25">
      <c r="A16960" s="95" t="s">
        <v>583</v>
      </c>
      <c r="B16960" s="96"/>
      <c r="C16960" s="92"/>
      <c r="D16960" s="92"/>
      <c r="E16960" s="92" t="s">
        <v>584</v>
      </c>
      <c r="F16960" s="92"/>
    </row>
    <row r="16961" spans="1:6" ht="15" customHeight="1" x14ac:dyDescent="0.25">
      <c r="A16961" s="97" t="s">
        <v>563</v>
      </c>
      <c r="B16961" s="98" t="s">
        <v>564</v>
      </c>
      <c r="C16961" s="98" t="s">
        <v>585</v>
      </c>
      <c r="D16961" s="98" t="s">
        <v>586</v>
      </c>
      <c r="E16961" s="120" t="s">
        <v>587</v>
      </c>
      <c r="F16961" s="98" t="s">
        <v>568</v>
      </c>
    </row>
    <row r="16962" spans="1:6" ht="15" customHeight="1" x14ac:dyDescent="0.25">
      <c r="A16962" s="103"/>
      <c r="B16962" s="100"/>
      <c r="C16962" s="101"/>
      <c r="D16962" s="140"/>
      <c r="E16962" s="107"/>
      <c r="F16962" s="109"/>
    </row>
    <row r="16963" spans="1:6" ht="15" customHeight="1" x14ac:dyDescent="0.25">
      <c r="A16963" s="103"/>
      <c r="B16963" s="100"/>
      <c r="C16963" s="107"/>
      <c r="D16963" s="107"/>
      <c r="E16963" s="108"/>
      <c r="F16963" s="109"/>
    </row>
    <row r="16964" spans="1:6" ht="15" customHeight="1" x14ac:dyDescent="0.25">
      <c r="A16964" s="97" t="s">
        <v>548</v>
      </c>
      <c r="B16964" s="98"/>
      <c r="C16964" s="110"/>
      <c r="D16964" s="110"/>
      <c r="E16964" s="111"/>
      <c r="F16964" s="112">
        <f>SUM(F16962:F16963)</f>
        <v>0</v>
      </c>
    </row>
    <row r="16965" spans="1:6" ht="15" customHeight="1" x14ac:dyDescent="0.25">
      <c r="A16965" s="88"/>
      <c r="B16965" s="89"/>
      <c r="C16965" s="113"/>
      <c r="D16965" s="113"/>
      <c r="E16965" s="114"/>
      <c r="F16965" s="113"/>
    </row>
    <row r="16966" spans="1:6" ht="15" customHeight="1" x14ac:dyDescent="0.25">
      <c r="A16966" s="88"/>
      <c r="B16966" s="89"/>
      <c r="C16966" s="113"/>
      <c r="D16966" s="113"/>
      <c r="E16966" s="114"/>
      <c r="F16966" s="113"/>
    </row>
    <row r="16967" spans="1:6" ht="15" customHeight="1" x14ac:dyDescent="0.25">
      <c r="A16967" s="612" t="s">
        <v>588</v>
      </c>
      <c r="B16967" s="608"/>
      <c r="C16967" s="608"/>
      <c r="D16967" s="608"/>
      <c r="E16967" s="609"/>
      <c r="F16967" s="131">
        <f>ROUND(F16938+F16950+F16958+F16964,0)</f>
        <v>2000000</v>
      </c>
    </row>
    <row r="16968" spans="1:6" ht="15" customHeight="1" x14ac:dyDescent="0.25">
      <c r="A16968" s="612" t="s">
        <v>589</v>
      </c>
      <c r="B16968" s="608"/>
      <c r="C16968" s="608"/>
      <c r="D16968" s="608"/>
      <c r="E16968" s="609"/>
      <c r="F16968" s="132"/>
    </row>
    <row r="16969" spans="1:6" ht="15" customHeight="1" x14ac:dyDescent="0.25">
      <c r="A16969" s="612" t="s">
        <v>556</v>
      </c>
      <c r="B16969" s="608"/>
      <c r="C16969" s="608"/>
      <c r="D16969" s="608"/>
      <c r="E16969" s="609"/>
      <c r="F16969" s="133"/>
    </row>
    <row r="16970" spans="1:6" ht="15" customHeight="1" x14ac:dyDescent="0.25">
      <c r="A16970" s="134"/>
      <c r="B16970" s="135"/>
      <c r="C16970" s="135"/>
      <c r="D16970" s="135"/>
      <c r="E16970" s="135"/>
      <c r="F16970" s="136"/>
    </row>
    <row r="16971" spans="1:6" ht="15" customHeight="1" x14ac:dyDescent="0.25">
      <c r="A16971" s="81"/>
      <c r="B16971" s="81"/>
      <c r="C16971" s="137"/>
      <c r="D16971" s="81"/>
      <c r="E16971" s="81"/>
      <c r="F16971" s="81"/>
    </row>
    <row r="16972" spans="1:6" ht="15" customHeight="1" x14ac:dyDescent="0.25">
      <c r="A16972" s="81"/>
      <c r="B16972" s="81"/>
      <c r="C16972" s="137"/>
      <c r="D16972" s="81"/>
      <c r="E16972" s="81"/>
      <c r="F16972" s="81"/>
    </row>
    <row r="16973" spans="1:6" ht="15" customHeight="1" x14ac:dyDescent="0.25">
      <c r="A16973" s="81"/>
      <c r="B16973" s="81"/>
      <c r="C16973" s="137"/>
      <c r="D16973" s="81"/>
      <c r="E16973" s="81"/>
      <c r="F16973" s="81"/>
    </row>
    <row r="16974" spans="1:6" ht="15" customHeight="1" x14ac:dyDescent="0.25">
      <c r="A16974" s="134"/>
      <c r="B16974" s="135"/>
      <c r="C16974" s="135"/>
      <c r="D16974" s="135"/>
      <c r="E16974" s="135"/>
      <c r="F16974" s="136"/>
    </row>
    <row r="16975" spans="1:6" ht="15" customHeight="1" x14ac:dyDescent="0.25">
      <c r="A16975" s="134"/>
      <c r="B16975" s="135"/>
      <c r="C16975" s="135"/>
      <c r="D16975" s="135"/>
      <c r="E16975" s="135"/>
      <c r="F16975" s="136"/>
    </row>
    <row r="16976" spans="1:6" ht="15" customHeight="1" x14ac:dyDescent="0.25">
      <c r="A16976" s="134"/>
      <c r="B16976" s="135"/>
      <c r="C16976" s="135"/>
      <c r="D16976" s="135"/>
      <c r="E16976" s="135"/>
      <c r="F16976" s="136"/>
    </row>
    <row r="16977" spans="1:6" ht="15" customHeight="1" thickBot="1" x14ac:dyDescent="0.3">
      <c r="A16977" s="81"/>
      <c r="B16977" s="81"/>
      <c r="C16977" s="81"/>
      <c r="D16977" s="81"/>
      <c r="E16977" s="81"/>
      <c r="F16977" s="81"/>
    </row>
    <row r="16978" spans="1:6" ht="15" customHeight="1" x14ac:dyDescent="0.25">
      <c r="A16978" s="83"/>
      <c r="B16978" s="84"/>
      <c r="C16978" s="85"/>
      <c r="D16978" s="86"/>
      <c r="E16978" s="86"/>
      <c r="F16978" s="87"/>
    </row>
    <row r="16979" spans="1:6" ht="15" customHeight="1" x14ac:dyDescent="0.25">
      <c r="A16979" s="599"/>
      <c r="B16979" s="600"/>
      <c r="C16979" s="600"/>
      <c r="D16979" s="600"/>
      <c r="E16979" s="600"/>
      <c r="F16979" s="601"/>
    </row>
    <row r="16980" spans="1:6" ht="15" customHeight="1" x14ac:dyDescent="0.25">
      <c r="A16980" s="602" t="s">
        <v>561</v>
      </c>
      <c r="B16980" s="600"/>
      <c r="C16980" s="600"/>
      <c r="D16980" s="600"/>
      <c r="E16980" s="600"/>
      <c r="F16980" s="601"/>
    </row>
    <row r="16981" spans="1:6" ht="15" customHeight="1" thickBot="1" x14ac:dyDescent="0.3">
      <c r="A16981" s="603"/>
      <c r="B16981" s="604"/>
      <c r="C16981" s="604"/>
      <c r="D16981" s="604"/>
      <c r="E16981" s="604"/>
      <c r="F16981" s="605"/>
    </row>
    <row r="16982" spans="1:6" ht="15" customHeight="1" x14ac:dyDescent="0.25">
      <c r="A16982" s="88"/>
      <c r="B16982" s="88"/>
      <c r="C16982" s="89"/>
      <c r="D16982" s="89"/>
      <c r="E16982" s="89"/>
      <c r="F16982" s="89"/>
    </row>
    <row r="16983" spans="1:6" ht="15" customHeight="1" x14ac:dyDescent="0.25">
      <c r="A16983" s="90" t="s">
        <v>47</v>
      </c>
      <c r="B16983" s="613" t="s">
        <v>498</v>
      </c>
      <c r="C16983" s="600"/>
      <c r="D16983" s="600"/>
      <c r="E16983" s="600"/>
      <c r="F16983" s="600"/>
    </row>
    <row r="16984" spans="1:6" ht="15" customHeight="1" x14ac:dyDescent="0.25">
      <c r="A16984" s="91"/>
      <c r="B16984" s="91"/>
      <c r="C16984" s="91"/>
      <c r="D16984" s="91"/>
      <c r="E16984" s="91"/>
      <c r="F16984" s="91"/>
    </row>
    <row r="16985" spans="1:6" ht="15" customHeight="1" x14ac:dyDescent="0.25">
      <c r="A16985" s="88" t="s">
        <v>49</v>
      </c>
      <c r="B16985" s="92" t="s">
        <v>99</v>
      </c>
      <c r="C16985" s="89"/>
      <c r="D16985" s="89"/>
      <c r="E16985" s="89"/>
      <c r="F16985" s="93"/>
    </row>
    <row r="16986" spans="1:6" ht="15" customHeight="1" x14ac:dyDescent="0.25">
      <c r="A16986" s="88"/>
      <c r="B16986" s="94"/>
      <c r="C16986" s="89"/>
      <c r="D16986" s="89"/>
      <c r="E16986" s="89"/>
      <c r="F16986" s="93"/>
    </row>
    <row r="16987" spans="1:6" ht="15" customHeight="1" x14ac:dyDescent="0.25">
      <c r="A16987" s="95" t="s">
        <v>562</v>
      </c>
      <c r="B16987" s="96"/>
      <c r="C16987" s="92"/>
      <c r="D16987" s="92"/>
      <c r="E16987" s="92"/>
      <c r="F16987" s="92"/>
    </row>
    <row r="16988" spans="1:6" ht="15" customHeight="1" x14ac:dyDescent="0.25">
      <c r="A16988" s="97" t="s">
        <v>563</v>
      </c>
      <c r="B16988" s="98" t="s">
        <v>564</v>
      </c>
      <c r="C16988" s="98" t="s">
        <v>565</v>
      </c>
      <c r="D16988" s="98" t="s">
        <v>566</v>
      </c>
      <c r="E16988" s="98" t="s">
        <v>567</v>
      </c>
      <c r="F16988" s="98" t="s">
        <v>568</v>
      </c>
    </row>
    <row r="16989" spans="1:6" ht="15" customHeight="1" x14ac:dyDescent="0.25">
      <c r="A16989" s="201" t="s">
        <v>1142</v>
      </c>
      <c r="B16989" s="202" t="s">
        <v>1123</v>
      </c>
      <c r="C16989" s="205">
        <f>11345000*1.19*2.5</f>
        <v>33751375</v>
      </c>
      <c r="D16989" s="203">
        <v>1</v>
      </c>
      <c r="E16989" s="204">
        <v>0</v>
      </c>
      <c r="F16989" s="205">
        <f>+C16989*D16989</f>
        <v>33751375</v>
      </c>
    </row>
    <row r="16990" spans="1:6" ht="15" customHeight="1" x14ac:dyDescent="0.25">
      <c r="A16990" s="201" t="s">
        <v>1143</v>
      </c>
      <c r="B16990" s="202" t="s">
        <v>1123</v>
      </c>
      <c r="C16990" s="205">
        <f>115000*2.5</f>
        <v>287500</v>
      </c>
      <c r="D16990" s="203">
        <v>3</v>
      </c>
      <c r="E16990" s="204">
        <v>0</v>
      </c>
      <c r="F16990" s="205">
        <f>+C16990*D16990</f>
        <v>862500</v>
      </c>
    </row>
    <row r="16991" spans="1:6" ht="15" customHeight="1" x14ac:dyDescent="0.25">
      <c r="A16991" s="99"/>
      <c r="B16991" s="100"/>
      <c r="C16991" s="101"/>
      <c r="D16991" s="149"/>
      <c r="E16991" s="102"/>
      <c r="F16991" s="101">
        <f t="shared" ref="F16991" si="817">C16991*(D16991+(D16991*E16991))</f>
        <v>0</v>
      </c>
    </row>
    <row r="16992" spans="1:6" ht="15" customHeight="1" x14ac:dyDescent="0.25">
      <c r="A16992" s="99"/>
      <c r="B16992" s="100"/>
      <c r="C16992" s="106"/>
      <c r="D16992" s="149"/>
      <c r="E16992" s="108"/>
      <c r="F16992" s="101"/>
    </row>
    <row r="16993" spans="1:6" ht="15" customHeight="1" x14ac:dyDescent="0.25">
      <c r="A16993" s="99"/>
      <c r="B16993" s="100"/>
      <c r="C16993" s="106"/>
      <c r="D16993" s="107"/>
      <c r="E16993" s="108"/>
      <c r="F16993" s="106"/>
    </row>
    <row r="16994" spans="1:6" ht="15" customHeight="1" x14ac:dyDescent="0.25">
      <c r="A16994" s="97" t="s">
        <v>548</v>
      </c>
      <c r="B16994" s="97"/>
      <c r="C16994" s="109"/>
      <c r="D16994" s="110"/>
      <c r="E16994" s="111"/>
      <c r="F16994" s="112">
        <f>SUM(F16989:F16992)</f>
        <v>34613875</v>
      </c>
    </row>
    <row r="16995" spans="1:6" ht="15" customHeight="1" x14ac:dyDescent="0.25">
      <c r="A16995" s="88"/>
      <c r="B16995" s="88"/>
      <c r="C16995" s="113"/>
      <c r="D16995" s="113"/>
      <c r="E16995" s="114"/>
      <c r="F16995" s="113"/>
    </row>
    <row r="16996" spans="1:6" ht="15" customHeight="1" x14ac:dyDescent="0.25">
      <c r="A16996" s="96" t="s">
        <v>573</v>
      </c>
      <c r="B16996" s="96"/>
      <c r="C16996" s="92"/>
      <c r="D16996" s="92"/>
      <c r="E16996" s="92"/>
      <c r="F16996" s="92"/>
    </row>
    <row r="16997" spans="1:6" ht="15" customHeight="1" x14ac:dyDescent="0.25">
      <c r="A16997" s="611" t="s">
        <v>563</v>
      </c>
      <c r="B16997" s="608"/>
      <c r="C16997" s="609"/>
      <c r="D16997" s="98" t="s">
        <v>574</v>
      </c>
      <c r="E16997" s="98" t="s">
        <v>575</v>
      </c>
      <c r="F16997" s="98" t="s">
        <v>568</v>
      </c>
    </row>
    <row r="16998" spans="1:6" ht="15" customHeight="1" x14ac:dyDescent="0.25">
      <c r="A16998" s="607" t="s">
        <v>577</v>
      </c>
      <c r="B16998" s="608"/>
      <c r="C16998" s="609"/>
      <c r="D16998" s="116"/>
      <c r="E16998" s="107"/>
      <c r="F16998" s="106">
        <f>+F17014*5%</f>
        <v>82450</v>
      </c>
    </row>
    <row r="16999" spans="1:6" ht="15" customHeight="1" x14ac:dyDescent="0.25">
      <c r="A16999" s="607"/>
      <c r="B16999" s="608"/>
      <c r="C16999" s="609"/>
      <c r="D16999" s="142"/>
      <c r="E16999" s="105"/>
      <c r="F16999" s="106"/>
    </row>
    <row r="17000" spans="1:6" ht="15" customHeight="1" x14ac:dyDescent="0.25">
      <c r="A17000" s="607"/>
      <c r="B17000" s="608"/>
      <c r="C17000" s="609"/>
      <c r="D17000" s="142"/>
      <c r="E17000" s="105"/>
      <c r="F17000" s="106"/>
    </row>
    <row r="17001" spans="1:6" ht="15" customHeight="1" x14ac:dyDescent="0.25">
      <c r="A17001" s="607"/>
      <c r="B17001" s="608"/>
      <c r="C17001" s="609"/>
      <c r="D17001" s="142"/>
      <c r="E17001" s="105"/>
      <c r="F17001" s="106"/>
    </row>
    <row r="17002" spans="1:6" ht="15" customHeight="1" x14ac:dyDescent="0.25">
      <c r="A17002" s="607"/>
      <c r="B17002" s="608"/>
      <c r="C17002" s="609"/>
      <c r="D17002" s="142"/>
      <c r="E17002" s="105"/>
      <c r="F17002" s="106"/>
    </row>
    <row r="17003" spans="1:6" ht="15" customHeight="1" x14ac:dyDescent="0.25">
      <c r="A17003" s="607"/>
      <c r="B17003" s="608"/>
      <c r="C17003" s="609"/>
      <c r="D17003" s="142"/>
      <c r="E17003" s="105"/>
      <c r="F17003" s="106"/>
    </row>
    <row r="17004" spans="1:6" ht="15" customHeight="1" x14ac:dyDescent="0.25">
      <c r="A17004" s="152"/>
      <c r="B17004" s="153"/>
      <c r="C17004" s="154"/>
      <c r="D17004" s="142"/>
      <c r="E17004" s="105"/>
      <c r="F17004" s="106"/>
    </row>
    <row r="17005" spans="1:6" ht="15" customHeight="1" x14ac:dyDescent="0.25">
      <c r="A17005" s="152"/>
      <c r="B17005" s="153"/>
      <c r="C17005" s="154"/>
      <c r="D17005" s="115"/>
      <c r="E17005" s="107"/>
      <c r="F17005" s="106"/>
    </row>
    <row r="17006" spans="1:6" ht="15" customHeight="1" x14ac:dyDescent="0.25">
      <c r="A17006" s="611" t="s">
        <v>548</v>
      </c>
      <c r="B17006" s="608"/>
      <c r="C17006" s="609"/>
      <c r="D17006" s="110"/>
      <c r="E17006" s="110"/>
      <c r="F17006" s="112">
        <f>SUM(F16998:F17003)</f>
        <v>82450</v>
      </c>
    </row>
    <row r="17007" spans="1:6" ht="15" customHeight="1" x14ac:dyDescent="0.25">
      <c r="A17007" s="88"/>
      <c r="B17007" s="88"/>
      <c r="C17007" s="89"/>
      <c r="D17007" s="113"/>
      <c r="E17007" s="113"/>
      <c r="F17007" s="113"/>
    </row>
    <row r="17008" spans="1:6" ht="15" customHeight="1" x14ac:dyDescent="0.25">
      <c r="A17008" s="96" t="s">
        <v>578</v>
      </c>
      <c r="B17008" s="96"/>
      <c r="C17008" s="92"/>
      <c r="D17008" s="118"/>
      <c r="E17008" s="118"/>
      <c r="F17008" s="118"/>
    </row>
    <row r="17009" spans="1:6" ht="15" customHeight="1" x14ac:dyDescent="0.25">
      <c r="A17009" s="119" t="s">
        <v>563</v>
      </c>
      <c r="B17009" s="120" t="s">
        <v>579</v>
      </c>
      <c r="C17009" s="120" t="s">
        <v>580</v>
      </c>
      <c r="D17009" s="121" t="s">
        <v>581</v>
      </c>
      <c r="E17009" s="121" t="s">
        <v>575</v>
      </c>
      <c r="F17009" s="121" t="s">
        <v>568</v>
      </c>
    </row>
    <row r="17010" spans="1:6" ht="15" customHeight="1" x14ac:dyDescent="0.25">
      <c r="A17010" s="227" t="s">
        <v>916</v>
      </c>
      <c r="B17010" s="228">
        <v>1</v>
      </c>
      <c r="C17010" s="205">
        <f>1300000/30</f>
        <v>43333.333333333336</v>
      </c>
      <c r="D17010" s="205">
        <f>+C17010*1.7</f>
        <v>73666.666666666672</v>
      </c>
      <c r="E17010" s="202">
        <v>10</v>
      </c>
      <c r="F17010" s="219">
        <f>+E17010*D17010*B17010</f>
        <v>736666.66666666674</v>
      </c>
    </row>
    <row r="17011" spans="1:6" ht="15" customHeight="1" x14ac:dyDescent="0.25">
      <c r="A17011" s="227" t="s">
        <v>917</v>
      </c>
      <c r="B17011" s="228">
        <v>1</v>
      </c>
      <c r="C17011" s="205">
        <f>1700000/30</f>
        <v>56666.666666666664</v>
      </c>
      <c r="D17011" s="205">
        <f>+C17011*1.7</f>
        <v>96333.333333333328</v>
      </c>
      <c r="E17011" s="202">
        <v>5</v>
      </c>
      <c r="F17011" s="219">
        <f t="shared" ref="F17011:F17013" si="818">+E17011*D17011*B17011</f>
        <v>481666.66666666663</v>
      </c>
    </row>
    <row r="17012" spans="1:6" ht="15" customHeight="1" x14ac:dyDescent="0.25">
      <c r="A17012" s="227" t="s">
        <v>1071</v>
      </c>
      <c r="B17012" s="228">
        <v>1</v>
      </c>
      <c r="C17012" s="205">
        <f>1300000/30</f>
        <v>43333.333333333336</v>
      </c>
      <c r="D17012" s="205">
        <f>+C17012*1.7</f>
        <v>73666.666666666672</v>
      </c>
      <c r="E17012" s="202">
        <v>2</v>
      </c>
      <c r="F17012" s="219">
        <f t="shared" si="818"/>
        <v>147333.33333333334</v>
      </c>
    </row>
    <row r="17013" spans="1:6" ht="15" customHeight="1" x14ac:dyDescent="0.25">
      <c r="A17013" s="227" t="s">
        <v>1072</v>
      </c>
      <c r="B17013" s="228">
        <v>1</v>
      </c>
      <c r="C17013" s="205">
        <f>2500000/30</f>
        <v>83333.333333333328</v>
      </c>
      <c r="D17013" s="205">
        <f>+C17013*1.7</f>
        <v>141666.66666666666</v>
      </c>
      <c r="E17013" s="202">
        <v>2</v>
      </c>
      <c r="F17013" s="219">
        <f t="shared" si="818"/>
        <v>283333.33333333331</v>
      </c>
    </row>
    <row r="17014" spans="1:6" ht="15" customHeight="1" x14ac:dyDescent="0.25">
      <c r="A17014" s="97" t="s">
        <v>548</v>
      </c>
      <c r="B17014" s="128"/>
      <c r="C17014" s="110"/>
      <c r="D17014" s="110"/>
      <c r="E17014" s="110"/>
      <c r="F17014" s="112">
        <f>SUM(F17010:F17013)</f>
        <v>1649000</v>
      </c>
    </row>
    <row r="17015" spans="1:6" ht="15" customHeight="1" x14ac:dyDescent="0.25">
      <c r="A17015" s="96"/>
      <c r="B17015" s="129"/>
      <c r="C17015" s="118"/>
      <c r="D17015" s="118"/>
      <c r="E17015" s="118"/>
      <c r="F17015" s="118"/>
    </row>
    <row r="17016" spans="1:6" ht="15" customHeight="1" x14ac:dyDescent="0.25">
      <c r="A17016" s="95" t="s">
        <v>583</v>
      </c>
      <c r="B17016" s="96"/>
      <c r="C17016" s="92"/>
      <c r="D17016" s="92"/>
      <c r="E17016" s="92" t="s">
        <v>584</v>
      </c>
      <c r="F17016" s="92"/>
    </row>
    <row r="17017" spans="1:6" ht="15" customHeight="1" x14ac:dyDescent="0.25">
      <c r="A17017" s="97" t="s">
        <v>563</v>
      </c>
      <c r="B17017" s="98" t="s">
        <v>564</v>
      </c>
      <c r="C17017" s="98" t="s">
        <v>585</v>
      </c>
      <c r="D17017" s="98" t="s">
        <v>586</v>
      </c>
      <c r="E17017" s="120" t="s">
        <v>587</v>
      </c>
      <c r="F17017" s="98" t="s">
        <v>568</v>
      </c>
    </row>
    <row r="17018" spans="1:6" ht="15" customHeight="1" x14ac:dyDescent="0.25">
      <c r="A17018" s="103"/>
      <c r="B17018" s="100"/>
      <c r="C17018" s="101"/>
      <c r="D17018" s="140"/>
      <c r="E17018" s="107"/>
      <c r="F17018" s="109"/>
    </row>
    <row r="17019" spans="1:6" ht="15" customHeight="1" x14ac:dyDescent="0.25">
      <c r="A17019" s="103"/>
      <c r="B17019" s="100"/>
      <c r="C17019" s="107"/>
      <c r="D17019" s="107"/>
      <c r="E17019" s="108"/>
      <c r="F17019" s="109"/>
    </row>
    <row r="17020" spans="1:6" ht="15" customHeight="1" x14ac:dyDescent="0.25">
      <c r="A17020" s="97" t="s">
        <v>548</v>
      </c>
      <c r="B17020" s="98"/>
      <c r="C17020" s="110"/>
      <c r="D17020" s="110"/>
      <c r="E17020" s="111"/>
      <c r="F17020" s="112">
        <f>SUM(F17018:F17019)</f>
        <v>0</v>
      </c>
    </row>
    <row r="17021" spans="1:6" ht="15" customHeight="1" x14ac:dyDescent="0.25">
      <c r="A17021" s="88"/>
      <c r="B17021" s="89"/>
      <c r="C17021" s="113"/>
      <c r="D17021" s="113"/>
      <c r="E17021" s="114"/>
      <c r="F17021" s="113"/>
    </row>
    <row r="17022" spans="1:6" ht="15" customHeight="1" x14ac:dyDescent="0.25">
      <c r="A17022" s="88"/>
      <c r="B17022" s="89"/>
      <c r="C17022" s="113"/>
      <c r="D17022" s="113"/>
      <c r="E17022" s="114"/>
      <c r="F17022" s="113"/>
    </row>
    <row r="17023" spans="1:6" ht="15" customHeight="1" x14ac:dyDescent="0.25">
      <c r="A17023" s="612" t="s">
        <v>588</v>
      </c>
      <c r="B17023" s="608"/>
      <c r="C17023" s="608"/>
      <c r="D17023" s="608"/>
      <c r="E17023" s="609"/>
      <c r="F17023" s="131">
        <f>ROUND(F16994+F17006+F17014+F17020,0)</f>
        <v>36345325</v>
      </c>
    </row>
    <row r="17024" spans="1:6" ht="15" customHeight="1" x14ac:dyDescent="0.25">
      <c r="A17024" s="612" t="s">
        <v>589</v>
      </c>
      <c r="B17024" s="608"/>
      <c r="C17024" s="608"/>
      <c r="D17024" s="608"/>
      <c r="E17024" s="609"/>
      <c r="F17024" s="132"/>
    </row>
    <row r="17025" spans="1:6" ht="15" customHeight="1" x14ac:dyDescent="0.25">
      <c r="A17025" s="612" t="s">
        <v>556</v>
      </c>
      <c r="B17025" s="608"/>
      <c r="C17025" s="608"/>
      <c r="D17025" s="608"/>
      <c r="E17025" s="609"/>
      <c r="F17025" s="133"/>
    </row>
    <row r="17026" spans="1:6" ht="15" customHeight="1" x14ac:dyDescent="0.25">
      <c r="A17026" s="134"/>
      <c r="B17026" s="135"/>
      <c r="C17026" s="135"/>
      <c r="D17026" s="135"/>
      <c r="E17026" s="135"/>
      <c r="F17026" s="136"/>
    </row>
    <row r="17027" spans="1:6" ht="15" customHeight="1" x14ac:dyDescent="0.25">
      <c r="A17027" s="81"/>
      <c r="B17027" s="81"/>
      <c r="C17027" s="137"/>
      <c r="D17027" s="81"/>
      <c r="E17027" s="81"/>
      <c r="F17027" s="81"/>
    </row>
    <row r="17028" spans="1:6" ht="15" customHeight="1" x14ac:dyDescent="0.25">
      <c r="A17028" s="81"/>
      <c r="B17028" s="81"/>
      <c r="C17028" s="137"/>
      <c r="D17028" s="81"/>
      <c r="E17028" s="81"/>
      <c r="F17028" s="81"/>
    </row>
    <row r="17029" spans="1:6" ht="15" customHeight="1" x14ac:dyDescent="0.25">
      <c r="A17029" s="134"/>
      <c r="B17029" s="135"/>
      <c r="C17029" s="135"/>
      <c r="D17029" s="135"/>
      <c r="E17029" s="135"/>
      <c r="F17029" s="136"/>
    </row>
    <row r="17030" spans="1:6" ht="15" customHeight="1" x14ac:dyDescent="0.25">
      <c r="A17030" s="134"/>
      <c r="B17030" s="135"/>
      <c r="C17030" s="135"/>
      <c r="D17030" s="135"/>
      <c r="E17030" s="135"/>
      <c r="F17030" s="136"/>
    </row>
    <row r="17031" spans="1:6" ht="15" customHeight="1" x14ac:dyDescent="0.25">
      <c r="A17031" s="134"/>
      <c r="B17031" s="135"/>
      <c r="C17031" s="135"/>
      <c r="D17031" s="135"/>
      <c r="E17031" s="135"/>
      <c r="F17031" s="136"/>
    </row>
    <row r="17032" spans="1:6" ht="15" customHeight="1" thickBot="1" x14ac:dyDescent="0.3">
      <c r="A17032" s="81"/>
      <c r="B17032" s="81"/>
      <c r="C17032" s="81"/>
      <c r="D17032" s="81"/>
      <c r="E17032" s="81"/>
      <c r="F17032" s="81"/>
    </row>
    <row r="17033" spans="1:6" ht="15" customHeight="1" x14ac:dyDescent="0.25">
      <c r="A17033" s="83"/>
      <c r="B17033" s="84"/>
      <c r="C17033" s="85"/>
      <c r="D17033" s="86"/>
      <c r="E17033" s="86"/>
      <c r="F17033" s="87"/>
    </row>
    <row r="17034" spans="1:6" ht="15" customHeight="1" x14ac:dyDescent="0.25">
      <c r="A17034" s="599"/>
      <c r="B17034" s="600"/>
      <c r="C17034" s="600"/>
      <c r="D17034" s="600"/>
      <c r="E17034" s="600"/>
      <c r="F17034" s="601"/>
    </row>
    <row r="17035" spans="1:6" ht="15" customHeight="1" x14ac:dyDescent="0.25">
      <c r="A17035" s="602" t="s">
        <v>561</v>
      </c>
      <c r="B17035" s="600"/>
      <c r="C17035" s="600"/>
      <c r="D17035" s="600"/>
      <c r="E17035" s="600"/>
      <c r="F17035" s="601"/>
    </row>
    <row r="17036" spans="1:6" ht="15" customHeight="1" thickBot="1" x14ac:dyDescent="0.3">
      <c r="A17036" s="603"/>
      <c r="B17036" s="604"/>
      <c r="C17036" s="604"/>
      <c r="D17036" s="604"/>
      <c r="E17036" s="604"/>
      <c r="F17036" s="605"/>
    </row>
    <row r="17037" spans="1:6" ht="15" customHeight="1" x14ac:dyDescent="0.25">
      <c r="A17037" s="88"/>
      <c r="B17037" s="88"/>
      <c r="C17037" s="89"/>
      <c r="D17037" s="89"/>
      <c r="E17037" s="89"/>
      <c r="F17037" s="89"/>
    </row>
    <row r="17038" spans="1:6" ht="15" customHeight="1" x14ac:dyDescent="0.25">
      <c r="A17038" s="90" t="s">
        <v>47</v>
      </c>
      <c r="B17038" s="613" t="s">
        <v>499</v>
      </c>
      <c r="C17038" s="600"/>
      <c r="D17038" s="600"/>
      <c r="E17038" s="600"/>
      <c r="F17038" s="600"/>
    </row>
    <row r="17039" spans="1:6" ht="15" customHeight="1" x14ac:dyDescent="0.25">
      <c r="A17039" s="91"/>
      <c r="B17039" s="91"/>
      <c r="C17039" s="91"/>
      <c r="D17039" s="91"/>
      <c r="E17039" s="91"/>
      <c r="F17039" s="91"/>
    </row>
    <row r="17040" spans="1:6" ht="15" customHeight="1" x14ac:dyDescent="0.25">
      <c r="A17040" s="88" t="s">
        <v>49</v>
      </c>
      <c r="B17040" s="92" t="s">
        <v>500</v>
      </c>
      <c r="C17040" s="89"/>
      <c r="D17040" s="89"/>
      <c r="E17040" s="89"/>
      <c r="F17040" s="93"/>
    </row>
    <row r="17041" spans="1:6" ht="15" customHeight="1" x14ac:dyDescent="0.25">
      <c r="A17041" s="88"/>
      <c r="B17041" s="94"/>
      <c r="C17041" s="89"/>
      <c r="D17041" s="89"/>
      <c r="E17041" s="89"/>
      <c r="F17041" s="93"/>
    </row>
    <row r="17042" spans="1:6" ht="15" customHeight="1" x14ac:dyDescent="0.25">
      <c r="A17042" s="95" t="s">
        <v>562</v>
      </c>
      <c r="B17042" s="96"/>
      <c r="C17042" s="92"/>
      <c r="D17042" s="92"/>
      <c r="E17042" s="92"/>
      <c r="F17042" s="92"/>
    </row>
    <row r="17043" spans="1:6" ht="15" customHeight="1" x14ac:dyDescent="0.25">
      <c r="A17043" s="97" t="s">
        <v>563</v>
      </c>
      <c r="B17043" s="98" t="s">
        <v>564</v>
      </c>
      <c r="C17043" s="98" t="s">
        <v>565</v>
      </c>
      <c r="D17043" s="98" t="s">
        <v>566</v>
      </c>
      <c r="E17043" s="98" t="s">
        <v>567</v>
      </c>
      <c r="F17043" s="98" t="s">
        <v>568</v>
      </c>
    </row>
    <row r="17044" spans="1:6" ht="15" customHeight="1" x14ac:dyDescent="0.25">
      <c r="A17044" s="99" t="s">
        <v>958</v>
      </c>
      <c r="B17044" s="100" t="s">
        <v>99</v>
      </c>
      <c r="C17044" s="101">
        <v>1177030</v>
      </c>
      <c r="D17044" s="149">
        <v>1</v>
      </c>
      <c r="E17044" s="102"/>
      <c r="F17044" s="101">
        <f t="shared" ref="F17044:F17046" si="819">C17044*(D17044+(D17044*E17044))</f>
        <v>1177030</v>
      </c>
    </row>
    <row r="17045" spans="1:6" ht="15" customHeight="1" x14ac:dyDescent="0.25">
      <c r="A17045" s="99"/>
      <c r="B17045" s="100"/>
      <c r="C17045" s="101"/>
      <c r="D17045" s="149"/>
      <c r="E17045" s="102"/>
      <c r="F17045" s="101">
        <f t="shared" si="819"/>
        <v>0</v>
      </c>
    </row>
    <row r="17046" spans="1:6" ht="15" customHeight="1" x14ac:dyDescent="0.25">
      <c r="A17046" s="99"/>
      <c r="B17046" s="100"/>
      <c r="C17046" s="101"/>
      <c r="D17046" s="149"/>
      <c r="E17046" s="102"/>
      <c r="F17046" s="101">
        <f t="shared" si="819"/>
        <v>0</v>
      </c>
    </row>
    <row r="17047" spans="1:6" ht="15" customHeight="1" x14ac:dyDescent="0.25">
      <c r="A17047" s="99"/>
      <c r="B17047" s="100"/>
      <c r="C17047" s="106"/>
      <c r="D17047" s="149"/>
      <c r="E17047" s="108"/>
      <c r="F17047" s="101"/>
    </row>
    <row r="17048" spans="1:6" ht="15" customHeight="1" x14ac:dyDescent="0.25">
      <c r="A17048" s="99"/>
      <c r="B17048" s="100"/>
      <c r="C17048" s="106"/>
      <c r="D17048" s="107"/>
      <c r="E17048" s="108"/>
      <c r="F17048" s="106"/>
    </row>
    <row r="17049" spans="1:6" ht="15" customHeight="1" x14ac:dyDescent="0.25">
      <c r="A17049" s="97" t="s">
        <v>548</v>
      </c>
      <c r="B17049" s="97"/>
      <c r="C17049" s="109"/>
      <c r="D17049" s="110"/>
      <c r="E17049" s="111"/>
      <c r="F17049" s="112">
        <f>SUM(F17044:F17047)</f>
        <v>1177030</v>
      </c>
    </row>
    <row r="17050" spans="1:6" ht="15" customHeight="1" x14ac:dyDescent="0.25">
      <c r="A17050" s="88"/>
      <c r="B17050" s="88"/>
      <c r="C17050" s="113"/>
      <c r="D17050" s="113"/>
      <c r="E17050" s="114"/>
      <c r="F17050" s="113"/>
    </row>
    <row r="17051" spans="1:6" ht="15" customHeight="1" x14ac:dyDescent="0.25">
      <c r="A17051" s="96" t="s">
        <v>573</v>
      </c>
      <c r="B17051" s="96"/>
      <c r="C17051" s="92"/>
      <c r="D17051" s="92"/>
      <c r="E17051" s="92"/>
      <c r="F17051" s="92"/>
    </row>
    <row r="17052" spans="1:6" ht="15" customHeight="1" x14ac:dyDescent="0.25">
      <c r="A17052" s="611" t="s">
        <v>563</v>
      </c>
      <c r="B17052" s="608"/>
      <c r="C17052" s="609"/>
      <c r="D17052" s="98" t="s">
        <v>574</v>
      </c>
      <c r="E17052" s="98" t="s">
        <v>575</v>
      </c>
      <c r="F17052" s="98" t="s">
        <v>568</v>
      </c>
    </row>
    <row r="17053" spans="1:6" ht="15" customHeight="1" x14ac:dyDescent="0.25">
      <c r="A17053" s="607" t="s">
        <v>577</v>
      </c>
      <c r="B17053" s="608"/>
      <c r="C17053" s="609"/>
      <c r="D17053" s="116"/>
      <c r="E17053" s="107"/>
      <c r="F17053" s="106">
        <f>+F17069*5%</f>
        <v>7083.333333333333</v>
      </c>
    </row>
    <row r="17054" spans="1:6" ht="15" customHeight="1" x14ac:dyDescent="0.25">
      <c r="A17054" s="588" t="s">
        <v>1144</v>
      </c>
      <c r="B17054" s="591"/>
      <c r="C17054" s="592"/>
      <c r="D17054" s="217">
        <v>150000</v>
      </c>
      <c r="E17054" s="218">
        <v>4</v>
      </c>
      <c r="F17054" s="219">
        <f>+E17054*D17054</f>
        <v>600000</v>
      </c>
    </row>
    <row r="17055" spans="1:6" ht="15" customHeight="1" x14ac:dyDescent="0.25">
      <c r="A17055" s="607"/>
      <c r="B17055" s="608"/>
      <c r="C17055" s="609"/>
      <c r="D17055" s="142"/>
      <c r="E17055" s="105"/>
      <c r="F17055" s="106"/>
    </row>
    <row r="17056" spans="1:6" ht="15" customHeight="1" x14ac:dyDescent="0.25">
      <c r="A17056" s="607"/>
      <c r="B17056" s="608"/>
      <c r="C17056" s="609"/>
      <c r="D17056" s="142"/>
      <c r="E17056" s="105"/>
      <c r="F17056" s="106"/>
    </row>
    <row r="17057" spans="1:6" ht="15" customHeight="1" x14ac:dyDescent="0.25">
      <c r="A17057" s="607"/>
      <c r="B17057" s="608"/>
      <c r="C17057" s="609"/>
      <c r="D17057" s="142"/>
      <c r="E17057" s="105"/>
      <c r="F17057" s="106"/>
    </row>
    <row r="17058" spans="1:6" ht="15" customHeight="1" x14ac:dyDescent="0.25">
      <c r="A17058" s="607"/>
      <c r="B17058" s="608"/>
      <c r="C17058" s="609"/>
      <c r="D17058" s="142"/>
      <c r="E17058" s="105"/>
      <c r="F17058" s="106"/>
    </row>
    <row r="17059" spans="1:6" ht="15" customHeight="1" x14ac:dyDescent="0.25">
      <c r="A17059" s="152"/>
      <c r="B17059" s="153"/>
      <c r="C17059" s="154"/>
      <c r="D17059" s="142"/>
      <c r="E17059" s="105"/>
      <c r="F17059" s="106"/>
    </row>
    <row r="17060" spans="1:6" ht="15" customHeight="1" x14ac:dyDescent="0.25">
      <c r="A17060" s="152"/>
      <c r="B17060" s="153"/>
      <c r="C17060" s="154"/>
      <c r="D17060" s="115"/>
      <c r="E17060" s="107"/>
      <c r="F17060" s="106"/>
    </row>
    <row r="17061" spans="1:6" ht="15" customHeight="1" x14ac:dyDescent="0.25">
      <c r="A17061" s="611" t="s">
        <v>548</v>
      </c>
      <c r="B17061" s="608"/>
      <c r="C17061" s="609"/>
      <c r="D17061" s="110"/>
      <c r="E17061" s="110"/>
      <c r="F17061" s="112">
        <f>SUM(F17053:F17058)</f>
        <v>607083.33333333337</v>
      </c>
    </row>
    <row r="17062" spans="1:6" ht="15" customHeight="1" x14ac:dyDescent="0.25">
      <c r="A17062" s="88"/>
      <c r="B17062" s="88"/>
      <c r="C17062" s="89"/>
      <c r="D17062" s="113"/>
      <c r="E17062" s="113"/>
      <c r="F17062" s="113"/>
    </row>
    <row r="17063" spans="1:6" ht="15" customHeight="1" x14ac:dyDescent="0.25">
      <c r="A17063" s="96" t="s">
        <v>578</v>
      </c>
      <c r="B17063" s="96"/>
      <c r="C17063" s="92"/>
      <c r="D17063" s="118"/>
      <c r="E17063" s="118"/>
      <c r="F17063" s="118"/>
    </row>
    <row r="17064" spans="1:6" ht="15" customHeight="1" x14ac:dyDescent="0.25">
      <c r="A17064" s="119" t="s">
        <v>563</v>
      </c>
      <c r="B17064" s="120" t="s">
        <v>579</v>
      </c>
      <c r="C17064" s="120" t="s">
        <v>580</v>
      </c>
      <c r="D17064" s="121" t="s">
        <v>581</v>
      </c>
      <c r="E17064" s="121" t="s">
        <v>575</v>
      </c>
      <c r="F17064" s="121" t="s">
        <v>568</v>
      </c>
    </row>
    <row r="17065" spans="1:6" ht="15" customHeight="1" x14ac:dyDescent="0.25">
      <c r="A17065" s="122" t="s">
        <v>936</v>
      </c>
      <c r="B17065" s="127">
        <v>1</v>
      </c>
      <c r="C17065" s="101">
        <v>165000</v>
      </c>
      <c r="D17065" s="101">
        <f t="shared" ref="D17065:D17066" si="820">+C17065*1.7</f>
        <v>280500</v>
      </c>
      <c r="E17065" s="107">
        <v>3</v>
      </c>
      <c r="F17065" s="106">
        <f t="shared" ref="F17065:F17066" si="821">+B17065*(D17065)/E17065</f>
        <v>93500</v>
      </c>
    </row>
    <row r="17066" spans="1:6" ht="15" customHeight="1" x14ac:dyDescent="0.25">
      <c r="A17066" s="122" t="s">
        <v>937</v>
      </c>
      <c r="B17066" s="127">
        <v>1</v>
      </c>
      <c r="C17066" s="101">
        <v>85000</v>
      </c>
      <c r="D17066" s="101">
        <f t="shared" si="820"/>
        <v>144500</v>
      </c>
      <c r="E17066" s="107">
        <f>E17065</f>
        <v>3</v>
      </c>
      <c r="F17066" s="106">
        <f t="shared" si="821"/>
        <v>48166.666666666664</v>
      </c>
    </row>
    <row r="17067" spans="1:6" ht="15" customHeight="1" x14ac:dyDescent="0.25">
      <c r="A17067" s="122"/>
      <c r="B17067" s="127"/>
      <c r="C17067" s="101"/>
      <c r="D17067" s="101"/>
      <c r="E17067" s="107"/>
      <c r="F17067" s="106"/>
    </row>
    <row r="17068" spans="1:6" ht="15" customHeight="1" x14ac:dyDescent="0.25">
      <c r="A17068" s="122"/>
      <c r="B17068" s="127"/>
      <c r="C17068" s="101"/>
      <c r="D17068" s="101"/>
      <c r="E17068" s="125"/>
      <c r="F17068" s="106"/>
    </row>
    <row r="17069" spans="1:6" ht="15" customHeight="1" x14ac:dyDescent="0.25">
      <c r="A17069" s="97" t="s">
        <v>548</v>
      </c>
      <c r="B17069" s="128"/>
      <c r="C17069" s="110"/>
      <c r="D17069" s="110"/>
      <c r="E17069" s="110"/>
      <c r="F17069" s="112">
        <f>SUM(F17065:F17068)</f>
        <v>141666.66666666666</v>
      </c>
    </row>
    <row r="17070" spans="1:6" ht="15" customHeight="1" x14ac:dyDescent="0.25">
      <c r="A17070" s="96"/>
      <c r="B17070" s="129"/>
      <c r="C17070" s="118"/>
      <c r="D17070" s="118"/>
      <c r="E17070" s="118"/>
      <c r="F17070" s="118"/>
    </row>
    <row r="17071" spans="1:6" ht="15" customHeight="1" x14ac:dyDescent="0.25">
      <c r="A17071" s="95" t="s">
        <v>583</v>
      </c>
      <c r="B17071" s="96"/>
      <c r="C17071" s="92"/>
      <c r="D17071" s="92"/>
      <c r="E17071" s="92" t="s">
        <v>584</v>
      </c>
      <c r="F17071" s="92"/>
    </row>
    <row r="17072" spans="1:6" ht="15" customHeight="1" x14ac:dyDescent="0.25">
      <c r="A17072" s="97" t="s">
        <v>563</v>
      </c>
      <c r="B17072" s="98" t="s">
        <v>564</v>
      </c>
      <c r="C17072" s="98" t="s">
        <v>585</v>
      </c>
      <c r="D17072" s="98" t="s">
        <v>586</v>
      </c>
      <c r="E17072" s="120" t="s">
        <v>587</v>
      </c>
      <c r="F17072" s="98" t="s">
        <v>568</v>
      </c>
    </row>
    <row r="17073" spans="1:6" ht="15" customHeight="1" x14ac:dyDescent="0.25">
      <c r="A17073" s="103"/>
      <c r="B17073" s="100"/>
      <c r="C17073" s="101"/>
      <c r="D17073" s="140"/>
      <c r="E17073" s="107"/>
      <c r="F17073" s="109"/>
    </row>
    <row r="17074" spans="1:6" ht="15" customHeight="1" x14ac:dyDescent="0.25">
      <c r="A17074" s="103"/>
      <c r="B17074" s="100"/>
      <c r="C17074" s="107"/>
      <c r="D17074" s="107"/>
      <c r="E17074" s="108"/>
      <c r="F17074" s="109"/>
    </row>
    <row r="17075" spans="1:6" ht="15" customHeight="1" x14ac:dyDescent="0.25">
      <c r="A17075" s="97" t="s">
        <v>548</v>
      </c>
      <c r="B17075" s="98"/>
      <c r="C17075" s="110"/>
      <c r="D17075" s="110"/>
      <c r="E17075" s="111"/>
      <c r="F17075" s="112">
        <f>SUM(F17073:F17074)</f>
        <v>0</v>
      </c>
    </row>
    <row r="17076" spans="1:6" ht="15" customHeight="1" x14ac:dyDescent="0.25">
      <c r="A17076" s="88"/>
      <c r="B17076" s="89"/>
      <c r="C17076" s="113"/>
      <c r="D17076" s="113"/>
      <c r="E17076" s="114"/>
      <c r="F17076" s="113"/>
    </row>
    <row r="17077" spans="1:6" ht="15" customHeight="1" x14ac:dyDescent="0.25">
      <c r="A17077" s="88"/>
      <c r="B17077" s="89"/>
      <c r="C17077" s="113"/>
      <c r="D17077" s="113"/>
      <c r="E17077" s="114"/>
      <c r="F17077" s="113"/>
    </row>
    <row r="17078" spans="1:6" ht="15" customHeight="1" x14ac:dyDescent="0.25">
      <c r="A17078" s="612" t="s">
        <v>588</v>
      </c>
      <c r="B17078" s="608"/>
      <c r="C17078" s="608"/>
      <c r="D17078" s="608"/>
      <c r="E17078" s="609"/>
      <c r="F17078" s="131">
        <f>ROUND(F17049+F17061+F17069+F17075,0)</f>
        <v>1925780</v>
      </c>
    </row>
    <row r="17079" spans="1:6" ht="15" customHeight="1" x14ac:dyDescent="0.25">
      <c r="A17079" s="612" t="s">
        <v>589</v>
      </c>
      <c r="B17079" s="608"/>
      <c r="C17079" s="608"/>
      <c r="D17079" s="608"/>
      <c r="E17079" s="609"/>
      <c r="F17079" s="132"/>
    </row>
    <row r="17080" spans="1:6" ht="15" customHeight="1" x14ac:dyDescent="0.25">
      <c r="A17080" s="612" t="s">
        <v>556</v>
      </c>
      <c r="B17080" s="608"/>
      <c r="C17080" s="608"/>
      <c r="D17080" s="608"/>
      <c r="E17080" s="609"/>
      <c r="F17080" s="133"/>
    </row>
    <row r="17081" spans="1:6" ht="15" customHeight="1" x14ac:dyDescent="0.25">
      <c r="A17081" s="134"/>
      <c r="B17081" s="135"/>
      <c r="C17081" s="135"/>
      <c r="D17081" s="135"/>
      <c r="E17081" s="135"/>
      <c r="F17081" s="136"/>
    </row>
    <row r="17082" spans="1:6" ht="15" customHeight="1" x14ac:dyDescent="0.25">
      <c r="A17082" s="81"/>
      <c r="B17082" s="81"/>
      <c r="C17082" s="137"/>
      <c r="D17082" s="81"/>
      <c r="E17082" s="81"/>
      <c r="F17082" s="81"/>
    </row>
    <row r="17083" spans="1:6" ht="15" customHeight="1" x14ac:dyDescent="0.25">
      <c r="A17083" s="81"/>
      <c r="B17083" s="81"/>
      <c r="C17083" s="137"/>
      <c r="D17083" s="81"/>
      <c r="E17083" s="81"/>
      <c r="F17083" s="81"/>
    </row>
    <row r="17084" spans="1:6" ht="15" customHeight="1" x14ac:dyDescent="0.25">
      <c r="A17084" s="134"/>
      <c r="B17084" s="135"/>
      <c r="C17084" s="135"/>
      <c r="D17084" s="135"/>
      <c r="E17084" s="135"/>
      <c r="F17084" s="136"/>
    </row>
    <row r="17085" spans="1:6" ht="15" customHeight="1" x14ac:dyDescent="0.25">
      <c r="A17085" s="134"/>
      <c r="B17085" s="135"/>
      <c r="C17085" s="135"/>
      <c r="D17085" s="135"/>
      <c r="E17085" s="135"/>
      <c r="F17085" s="136"/>
    </row>
    <row r="17086" spans="1:6" ht="15" customHeight="1" x14ac:dyDescent="0.25">
      <c r="A17086" s="134"/>
      <c r="B17086" s="135"/>
      <c r="C17086" s="135"/>
      <c r="D17086" s="135"/>
      <c r="E17086" s="135"/>
      <c r="F17086" s="136"/>
    </row>
    <row r="17087" spans="1:6" ht="15" customHeight="1" thickBot="1" x14ac:dyDescent="0.3">
      <c r="A17087" s="81"/>
      <c r="B17087" s="81"/>
      <c r="C17087" s="81"/>
      <c r="D17087" s="81"/>
      <c r="E17087" s="81"/>
      <c r="F17087" s="81"/>
    </row>
    <row r="17088" spans="1:6" ht="15" customHeight="1" x14ac:dyDescent="0.25">
      <c r="A17088" s="83"/>
      <c r="B17088" s="84"/>
      <c r="C17088" s="85"/>
      <c r="D17088" s="86"/>
      <c r="E17088" s="86"/>
      <c r="F17088" s="87"/>
    </row>
    <row r="17089" spans="1:6" ht="15" customHeight="1" x14ac:dyDescent="0.25">
      <c r="A17089" s="599"/>
      <c r="B17089" s="600"/>
      <c r="C17089" s="600"/>
      <c r="D17089" s="600"/>
      <c r="E17089" s="600"/>
      <c r="F17089" s="601"/>
    </row>
    <row r="17090" spans="1:6" ht="15" customHeight="1" x14ac:dyDescent="0.25">
      <c r="A17090" s="602" t="s">
        <v>561</v>
      </c>
      <c r="B17090" s="600"/>
      <c r="C17090" s="600"/>
      <c r="D17090" s="600"/>
      <c r="E17090" s="600"/>
      <c r="F17090" s="601"/>
    </row>
    <row r="17091" spans="1:6" ht="15" customHeight="1" thickBot="1" x14ac:dyDescent="0.3">
      <c r="A17091" s="603"/>
      <c r="B17091" s="604"/>
      <c r="C17091" s="604"/>
      <c r="D17091" s="604"/>
      <c r="E17091" s="604"/>
      <c r="F17091" s="605"/>
    </row>
    <row r="17092" spans="1:6" ht="15" customHeight="1" x14ac:dyDescent="0.25">
      <c r="A17092" s="88"/>
      <c r="B17092" s="88"/>
      <c r="C17092" s="89"/>
      <c r="D17092" s="89"/>
      <c r="E17092" s="89"/>
      <c r="F17092" s="89"/>
    </row>
    <row r="17093" spans="1:6" ht="15" customHeight="1" x14ac:dyDescent="0.25">
      <c r="A17093" s="90" t="s">
        <v>47</v>
      </c>
      <c r="B17093" s="613" t="s">
        <v>501</v>
      </c>
      <c r="C17093" s="600"/>
      <c r="D17093" s="600"/>
      <c r="E17093" s="600"/>
      <c r="F17093" s="600"/>
    </row>
    <row r="17094" spans="1:6" ht="15" customHeight="1" x14ac:dyDescent="0.25">
      <c r="A17094" s="91"/>
      <c r="B17094" s="91"/>
      <c r="C17094" s="91"/>
      <c r="D17094" s="91"/>
      <c r="E17094" s="91"/>
      <c r="F17094" s="91"/>
    </row>
    <row r="17095" spans="1:6" ht="15" customHeight="1" x14ac:dyDescent="0.25">
      <c r="A17095" s="88" t="s">
        <v>49</v>
      </c>
      <c r="B17095" s="92" t="s">
        <v>500</v>
      </c>
      <c r="C17095" s="89"/>
      <c r="D17095" s="89"/>
      <c r="E17095" s="89"/>
      <c r="F17095" s="93"/>
    </row>
    <row r="17096" spans="1:6" ht="15" customHeight="1" x14ac:dyDescent="0.25">
      <c r="A17096" s="88"/>
      <c r="B17096" s="94"/>
      <c r="C17096" s="89"/>
      <c r="D17096" s="89"/>
      <c r="E17096" s="89"/>
      <c r="F17096" s="93"/>
    </row>
    <row r="17097" spans="1:6" ht="15" customHeight="1" x14ac:dyDescent="0.25">
      <c r="A17097" s="95" t="s">
        <v>562</v>
      </c>
      <c r="B17097" s="96"/>
      <c r="C17097" s="92"/>
      <c r="D17097" s="92"/>
      <c r="E17097" s="92"/>
      <c r="F17097" s="92"/>
    </row>
    <row r="17098" spans="1:6" ht="15" customHeight="1" x14ac:dyDescent="0.25">
      <c r="A17098" s="97" t="s">
        <v>563</v>
      </c>
      <c r="B17098" s="98" t="s">
        <v>564</v>
      </c>
      <c r="C17098" s="98" t="s">
        <v>565</v>
      </c>
      <c r="D17098" s="98" t="s">
        <v>566</v>
      </c>
      <c r="E17098" s="98" t="s">
        <v>567</v>
      </c>
      <c r="F17098" s="98" t="s">
        <v>568</v>
      </c>
    </row>
    <row r="17099" spans="1:6" ht="15" customHeight="1" x14ac:dyDescent="0.25">
      <c r="A17099" s="201" t="s">
        <v>1145</v>
      </c>
      <c r="B17099" s="202" t="s">
        <v>1123</v>
      </c>
      <c r="C17099" s="205">
        <f>478000*1.19*2.5</f>
        <v>1422050</v>
      </c>
      <c r="D17099" s="203">
        <v>1</v>
      </c>
      <c r="E17099" s="204">
        <v>0</v>
      </c>
      <c r="F17099" s="205">
        <f>+C17099*D17099</f>
        <v>1422050</v>
      </c>
    </row>
    <row r="17100" spans="1:6" ht="15" customHeight="1" x14ac:dyDescent="0.25">
      <c r="A17100" s="99"/>
      <c r="B17100" s="100"/>
      <c r="C17100" s="101"/>
      <c r="D17100" s="149"/>
      <c r="E17100" s="102"/>
      <c r="F17100" s="101">
        <f t="shared" ref="F17100:F17101" si="822">C17100*(D17100+(D17100*E17100))</f>
        <v>0</v>
      </c>
    </row>
    <row r="17101" spans="1:6" ht="15" customHeight="1" x14ac:dyDescent="0.25">
      <c r="A17101" s="99"/>
      <c r="B17101" s="100"/>
      <c r="C17101" s="101"/>
      <c r="D17101" s="149"/>
      <c r="E17101" s="102"/>
      <c r="F17101" s="101">
        <f t="shared" si="822"/>
        <v>0</v>
      </c>
    </row>
    <row r="17102" spans="1:6" ht="15" customHeight="1" x14ac:dyDescent="0.25">
      <c r="A17102" s="99"/>
      <c r="B17102" s="100"/>
      <c r="C17102" s="106"/>
      <c r="D17102" s="149"/>
      <c r="E17102" s="108"/>
      <c r="F17102" s="101"/>
    </row>
    <row r="17103" spans="1:6" ht="15" customHeight="1" x14ac:dyDescent="0.25">
      <c r="A17103" s="99"/>
      <c r="B17103" s="100"/>
      <c r="C17103" s="106"/>
      <c r="D17103" s="107"/>
      <c r="E17103" s="108"/>
      <c r="F17103" s="106"/>
    </row>
    <row r="17104" spans="1:6" ht="15" customHeight="1" x14ac:dyDescent="0.25">
      <c r="A17104" s="97" t="s">
        <v>548</v>
      </c>
      <c r="B17104" s="97"/>
      <c r="C17104" s="109"/>
      <c r="D17104" s="110"/>
      <c r="E17104" s="111"/>
      <c r="F17104" s="112">
        <f>SUM(F17099:F17102)</f>
        <v>1422050</v>
      </c>
    </row>
    <row r="17105" spans="1:6" ht="15" customHeight="1" x14ac:dyDescent="0.25">
      <c r="A17105" s="88"/>
      <c r="B17105" s="88"/>
      <c r="C17105" s="113"/>
      <c r="D17105" s="113"/>
      <c r="E17105" s="114"/>
      <c r="F17105" s="113"/>
    </row>
    <row r="17106" spans="1:6" ht="15" customHeight="1" x14ac:dyDescent="0.25">
      <c r="A17106" s="96" t="s">
        <v>573</v>
      </c>
      <c r="B17106" s="96"/>
      <c r="C17106" s="92"/>
      <c r="D17106" s="92"/>
      <c r="E17106" s="92"/>
      <c r="F17106" s="92"/>
    </row>
    <row r="17107" spans="1:6" ht="15" customHeight="1" x14ac:dyDescent="0.25">
      <c r="A17107" s="611" t="s">
        <v>563</v>
      </c>
      <c r="B17107" s="608"/>
      <c r="C17107" s="609"/>
      <c r="D17107" s="98" t="s">
        <v>574</v>
      </c>
      <c r="E17107" s="98" t="s">
        <v>575</v>
      </c>
      <c r="F17107" s="98" t="s">
        <v>568</v>
      </c>
    </row>
    <row r="17108" spans="1:6" ht="15" customHeight="1" x14ac:dyDescent="0.25">
      <c r="A17108" s="607" t="s">
        <v>577</v>
      </c>
      <c r="B17108" s="608"/>
      <c r="C17108" s="609"/>
      <c r="D17108" s="116"/>
      <c r="E17108" s="107"/>
      <c r="F17108" s="106">
        <f>+F17124*5%</f>
        <v>10625</v>
      </c>
    </row>
    <row r="17109" spans="1:6" ht="15" customHeight="1" x14ac:dyDescent="0.25">
      <c r="A17109" s="607"/>
      <c r="B17109" s="608"/>
      <c r="C17109" s="609"/>
      <c r="D17109" s="142"/>
      <c r="E17109" s="105"/>
      <c r="F17109" s="106"/>
    </row>
    <row r="17110" spans="1:6" ht="15" customHeight="1" x14ac:dyDescent="0.25">
      <c r="A17110" s="607"/>
      <c r="B17110" s="608"/>
      <c r="C17110" s="609"/>
      <c r="D17110" s="142"/>
      <c r="E17110" s="105"/>
      <c r="F17110" s="106"/>
    </row>
    <row r="17111" spans="1:6" ht="15" customHeight="1" x14ac:dyDescent="0.25">
      <c r="A17111" s="607"/>
      <c r="B17111" s="608"/>
      <c r="C17111" s="609"/>
      <c r="D17111" s="142"/>
      <c r="E17111" s="105"/>
      <c r="F17111" s="106"/>
    </row>
    <row r="17112" spans="1:6" ht="15" customHeight="1" x14ac:dyDescent="0.25">
      <c r="A17112" s="607"/>
      <c r="B17112" s="608"/>
      <c r="C17112" s="609"/>
      <c r="D17112" s="142"/>
      <c r="E17112" s="105"/>
      <c r="F17112" s="106"/>
    </row>
    <row r="17113" spans="1:6" ht="15" customHeight="1" x14ac:dyDescent="0.25">
      <c r="A17113" s="607"/>
      <c r="B17113" s="608"/>
      <c r="C17113" s="609"/>
      <c r="D17113" s="142"/>
      <c r="E17113" s="105"/>
      <c r="F17113" s="106"/>
    </row>
    <row r="17114" spans="1:6" ht="15" customHeight="1" x14ac:dyDescent="0.25">
      <c r="A17114" s="152"/>
      <c r="B17114" s="153"/>
      <c r="C17114" s="154"/>
      <c r="D17114" s="142"/>
      <c r="E17114" s="105"/>
      <c r="F17114" s="106"/>
    </row>
    <row r="17115" spans="1:6" ht="15" customHeight="1" x14ac:dyDescent="0.25">
      <c r="A17115" s="152"/>
      <c r="B17115" s="153"/>
      <c r="C17115" s="154"/>
      <c r="D17115" s="115"/>
      <c r="E17115" s="107"/>
      <c r="F17115" s="106"/>
    </row>
    <row r="17116" spans="1:6" ht="15" customHeight="1" x14ac:dyDescent="0.25">
      <c r="A17116" s="611" t="s">
        <v>548</v>
      </c>
      <c r="B17116" s="608"/>
      <c r="C17116" s="609"/>
      <c r="D17116" s="110"/>
      <c r="E17116" s="110"/>
      <c r="F17116" s="112">
        <f>SUM(F17108:F17113)</f>
        <v>10625</v>
      </c>
    </row>
    <row r="17117" spans="1:6" ht="15" customHeight="1" x14ac:dyDescent="0.25">
      <c r="A17117" s="88"/>
      <c r="B17117" s="88"/>
      <c r="C17117" s="89"/>
      <c r="D17117" s="113"/>
      <c r="E17117" s="113"/>
      <c r="F17117" s="113"/>
    </row>
    <row r="17118" spans="1:6" ht="15" customHeight="1" x14ac:dyDescent="0.25">
      <c r="A17118" s="96" t="s">
        <v>578</v>
      </c>
      <c r="B17118" s="96"/>
      <c r="C17118" s="92"/>
      <c r="D17118" s="118"/>
      <c r="E17118" s="118"/>
      <c r="F17118" s="118"/>
    </row>
    <row r="17119" spans="1:6" ht="15" customHeight="1" x14ac:dyDescent="0.25">
      <c r="A17119" s="119" t="s">
        <v>563</v>
      </c>
      <c r="B17119" s="120" t="s">
        <v>579</v>
      </c>
      <c r="C17119" s="120" t="s">
        <v>580</v>
      </c>
      <c r="D17119" s="121" t="s">
        <v>581</v>
      </c>
      <c r="E17119" s="121" t="s">
        <v>575</v>
      </c>
      <c r="F17119" s="121" t="s">
        <v>568</v>
      </c>
    </row>
    <row r="17120" spans="1:6" ht="15" customHeight="1" x14ac:dyDescent="0.25">
      <c r="A17120" s="122" t="s">
        <v>936</v>
      </c>
      <c r="B17120" s="127">
        <v>1</v>
      </c>
      <c r="C17120" s="101">
        <v>165000</v>
      </c>
      <c r="D17120" s="101">
        <f t="shared" ref="D17120:D17121" si="823">+C17120*1.7</f>
        <v>280500</v>
      </c>
      <c r="E17120" s="107">
        <v>2</v>
      </c>
      <c r="F17120" s="106">
        <f t="shared" ref="F17120:F17121" si="824">+B17120*(D17120)/E17120</f>
        <v>140250</v>
      </c>
    </row>
    <row r="17121" spans="1:6" ht="15" customHeight="1" x14ac:dyDescent="0.25">
      <c r="A17121" s="122" t="s">
        <v>937</v>
      </c>
      <c r="B17121" s="127">
        <v>1</v>
      </c>
      <c r="C17121" s="101">
        <v>85000</v>
      </c>
      <c r="D17121" s="101">
        <f t="shared" si="823"/>
        <v>144500</v>
      </c>
      <c r="E17121" s="107">
        <f>E17120</f>
        <v>2</v>
      </c>
      <c r="F17121" s="106">
        <f t="shared" si="824"/>
        <v>72250</v>
      </c>
    </row>
    <row r="17122" spans="1:6" ht="15" customHeight="1" x14ac:dyDescent="0.25">
      <c r="A17122" s="122"/>
      <c r="B17122" s="127"/>
      <c r="C17122" s="101"/>
      <c r="D17122" s="101"/>
      <c r="E17122" s="107"/>
      <c r="F17122" s="106"/>
    </row>
    <row r="17123" spans="1:6" ht="15" customHeight="1" x14ac:dyDescent="0.25">
      <c r="A17123" s="122"/>
      <c r="B17123" s="127"/>
      <c r="C17123" s="101"/>
      <c r="D17123" s="101"/>
      <c r="E17123" s="125"/>
      <c r="F17123" s="106"/>
    </row>
    <row r="17124" spans="1:6" ht="15" customHeight="1" x14ac:dyDescent="0.25">
      <c r="A17124" s="97" t="s">
        <v>548</v>
      </c>
      <c r="B17124" s="128"/>
      <c r="C17124" s="110"/>
      <c r="D17124" s="110"/>
      <c r="E17124" s="110"/>
      <c r="F17124" s="112">
        <f>SUM(F17120:F17123)</f>
        <v>212500</v>
      </c>
    </row>
    <row r="17125" spans="1:6" ht="15" customHeight="1" x14ac:dyDescent="0.25">
      <c r="A17125" s="96"/>
      <c r="B17125" s="129"/>
      <c r="C17125" s="118"/>
      <c r="D17125" s="118"/>
      <c r="E17125" s="118"/>
      <c r="F17125" s="118"/>
    </row>
    <row r="17126" spans="1:6" ht="15" customHeight="1" x14ac:dyDescent="0.25">
      <c r="A17126" s="95" t="s">
        <v>583</v>
      </c>
      <c r="B17126" s="96"/>
      <c r="C17126" s="92"/>
      <c r="D17126" s="92"/>
      <c r="E17126" s="92" t="s">
        <v>584</v>
      </c>
      <c r="F17126" s="92"/>
    </row>
    <row r="17127" spans="1:6" ht="15" customHeight="1" x14ac:dyDescent="0.25">
      <c r="A17127" s="97" t="s">
        <v>563</v>
      </c>
      <c r="B17127" s="98" t="s">
        <v>564</v>
      </c>
      <c r="C17127" s="98" t="s">
        <v>585</v>
      </c>
      <c r="D17127" s="98" t="s">
        <v>586</v>
      </c>
      <c r="E17127" s="120" t="s">
        <v>587</v>
      </c>
      <c r="F17127" s="98" t="s">
        <v>568</v>
      </c>
    </row>
    <row r="17128" spans="1:6" ht="15" customHeight="1" x14ac:dyDescent="0.25">
      <c r="A17128" s="103"/>
      <c r="B17128" s="100"/>
      <c r="C17128" s="101"/>
      <c r="D17128" s="140"/>
      <c r="E17128" s="107"/>
      <c r="F17128" s="109"/>
    </row>
    <row r="17129" spans="1:6" ht="15" customHeight="1" x14ac:dyDescent="0.25">
      <c r="A17129" s="103"/>
      <c r="B17129" s="100"/>
      <c r="C17129" s="107"/>
      <c r="D17129" s="107"/>
      <c r="E17129" s="108"/>
      <c r="F17129" s="109"/>
    </row>
    <row r="17130" spans="1:6" ht="15" customHeight="1" x14ac:dyDescent="0.25">
      <c r="A17130" s="97" t="s">
        <v>548</v>
      </c>
      <c r="B17130" s="98"/>
      <c r="C17130" s="110"/>
      <c r="D17130" s="110"/>
      <c r="E17130" s="111"/>
      <c r="F17130" s="112">
        <f>SUM(F17128:F17129)</f>
        <v>0</v>
      </c>
    </row>
    <row r="17131" spans="1:6" ht="15" customHeight="1" x14ac:dyDescent="0.25">
      <c r="A17131" s="88"/>
      <c r="B17131" s="89"/>
      <c r="C17131" s="113"/>
      <c r="D17131" s="113"/>
      <c r="E17131" s="114"/>
      <c r="F17131" s="113"/>
    </row>
    <row r="17132" spans="1:6" ht="15" customHeight="1" x14ac:dyDescent="0.25">
      <c r="A17132" s="88"/>
      <c r="B17132" s="89"/>
      <c r="C17132" s="113"/>
      <c r="D17132" s="113"/>
      <c r="E17132" s="114"/>
      <c r="F17132" s="113"/>
    </row>
    <row r="17133" spans="1:6" ht="15" customHeight="1" x14ac:dyDescent="0.25">
      <c r="A17133" s="612" t="s">
        <v>588</v>
      </c>
      <c r="B17133" s="608"/>
      <c r="C17133" s="608"/>
      <c r="D17133" s="608"/>
      <c r="E17133" s="609"/>
      <c r="F17133" s="131">
        <f>ROUND(F17104+F17116+F17124+F17130,0)</f>
        <v>1645175</v>
      </c>
    </row>
    <row r="17134" spans="1:6" ht="15" customHeight="1" x14ac:dyDescent="0.25">
      <c r="A17134" s="612" t="s">
        <v>589</v>
      </c>
      <c r="B17134" s="608"/>
      <c r="C17134" s="608"/>
      <c r="D17134" s="608"/>
      <c r="E17134" s="609"/>
      <c r="F17134" s="132"/>
    </row>
    <row r="17135" spans="1:6" ht="15" customHeight="1" x14ac:dyDescent="0.25">
      <c r="A17135" s="612" t="s">
        <v>556</v>
      </c>
      <c r="B17135" s="608"/>
      <c r="C17135" s="608"/>
      <c r="D17135" s="608"/>
      <c r="E17135" s="609"/>
      <c r="F17135" s="133"/>
    </row>
    <row r="17136" spans="1:6" ht="15" customHeight="1" x14ac:dyDescent="0.25">
      <c r="A17136" s="134"/>
      <c r="B17136" s="135"/>
      <c r="C17136" s="135"/>
      <c r="D17136" s="135"/>
      <c r="E17136" s="135"/>
      <c r="F17136" s="136"/>
    </row>
    <row r="17137" spans="1:6" ht="15" customHeight="1" x14ac:dyDescent="0.25">
      <c r="A17137" s="81"/>
      <c r="B17137" s="81"/>
      <c r="C17137" s="137"/>
      <c r="D17137" s="81"/>
      <c r="E17137" s="81"/>
      <c r="F17137" s="81"/>
    </row>
    <row r="17138" spans="1:6" ht="15" customHeight="1" x14ac:dyDescent="0.25">
      <c r="A17138" s="81"/>
      <c r="B17138" s="81"/>
      <c r="C17138" s="137"/>
      <c r="D17138" s="81"/>
      <c r="E17138" s="81"/>
      <c r="F17138" s="81"/>
    </row>
    <row r="17139" spans="1:6" ht="15" customHeight="1" x14ac:dyDescent="0.25">
      <c r="A17139" s="81"/>
      <c r="B17139" s="81"/>
      <c r="C17139" s="137"/>
      <c r="D17139" s="81"/>
      <c r="E17139" s="81"/>
      <c r="F17139" s="81"/>
    </row>
    <row r="17140" spans="1:6" ht="15" customHeight="1" x14ac:dyDescent="0.25">
      <c r="A17140" s="134"/>
      <c r="B17140" s="135"/>
      <c r="C17140" s="135"/>
      <c r="D17140" s="135"/>
      <c r="E17140" s="135"/>
      <c r="F17140" s="136"/>
    </row>
    <row r="17141" spans="1:6" ht="15" customHeight="1" x14ac:dyDescent="0.25">
      <c r="A17141" s="134"/>
      <c r="B17141" s="135"/>
      <c r="C17141" s="135"/>
      <c r="D17141" s="135"/>
      <c r="E17141" s="135"/>
      <c r="F17141" s="136"/>
    </row>
    <row r="17142" spans="1:6" ht="15" customHeight="1" x14ac:dyDescent="0.25">
      <c r="A17142" s="134"/>
      <c r="B17142" s="135"/>
      <c r="C17142" s="135"/>
      <c r="D17142" s="135"/>
      <c r="E17142" s="135"/>
      <c r="F17142" s="135"/>
    </row>
    <row r="17143" spans="1:6" ht="15" customHeight="1" thickBot="1" x14ac:dyDescent="0.3">
      <c r="A17143" s="81"/>
      <c r="B17143" s="81"/>
      <c r="C17143" s="81"/>
      <c r="D17143" s="81"/>
      <c r="E17143" s="81"/>
      <c r="F17143" s="81"/>
    </row>
    <row r="17144" spans="1:6" ht="15" customHeight="1" x14ac:dyDescent="0.25">
      <c r="A17144" s="83"/>
      <c r="B17144" s="84"/>
      <c r="C17144" s="85"/>
      <c r="D17144" s="86"/>
      <c r="E17144" s="86"/>
      <c r="F17144" s="87"/>
    </row>
    <row r="17145" spans="1:6" ht="15" customHeight="1" x14ac:dyDescent="0.25">
      <c r="A17145" s="599"/>
      <c r="B17145" s="600"/>
      <c r="C17145" s="600"/>
      <c r="D17145" s="600"/>
      <c r="E17145" s="600"/>
      <c r="F17145" s="601"/>
    </row>
    <row r="17146" spans="1:6" ht="15" customHeight="1" x14ac:dyDescent="0.25">
      <c r="A17146" s="602" t="s">
        <v>561</v>
      </c>
      <c r="B17146" s="600"/>
      <c r="C17146" s="600"/>
      <c r="D17146" s="600"/>
      <c r="E17146" s="600"/>
      <c r="F17146" s="601"/>
    </row>
    <row r="17147" spans="1:6" ht="15" customHeight="1" thickBot="1" x14ac:dyDescent="0.3">
      <c r="A17147" s="603"/>
      <c r="B17147" s="604"/>
      <c r="C17147" s="604"/>
      <c r="D17147" s="604"/>
      <c r="E17147" s="604"/>
      <c r="F17147" s="605"/>
    </row>
    <row r="17148" spans="1:6" ht="15" customHeight="1" x14ac:dyDescent="0.25">
      <c r="A17148" s="88"/>
      <c r="B17148" s="88"/>
      <c r="C17148" s="89"/>
      <c r="D17148" s="89"/>
      <c r="E17148" s="89"/>
      <c r="F17148" s="89"/>
    </row>
    <row r="17149" spans="1:6" ht="15" customHeight="1" x14ac:dyDescent="0.25">
      <c r="A17149" s="90" t="s">
        <v>47</v>
      </c>
      <c r="B17149" s="613" t="s">
        <v>502</v>
      </c>
      <c r="C17149" s="600"/>
      <c r="D17149" s="600"/>
      <c r="E17149" s="600"/>
      <c r="F17149" s="600"/>
    </row>
    <row r="17150" spans="1:6" ht="15" customHeight="1" x14ac:dyDescent="0.25">
      <c r="A17150" s="91"/>
      <c r="B17150" s="91"/>
      <c r="C17150" s="91"/>
      <c r="D17150" s="91"/>
      <c r="E17150" s="91"/>
      <c r="F17150" s="91"/>
    </row>
    <row r="17151" spans="1:6" ht="15" customHeight="1" x14ac:dyDescent="0.25">
      <c r="A17151" s="88" t="s">
        <v>49</v>
      </c>
      <c r="B17151" s="92" t="s">
        <v>99</v>
      </c>
      <c r="C17151" s="89"/>
      <c r="D17151" s="89"/>
      <c r="E17151" s="89"/>
      <c r="F17151" s="93"/>
    </row>
    <row r="17152" spans="1:6" ht="15" customHeight="1" x14ac:dyDescent="0.25">
      <c r="A17152" s="88"/>
      <c r="B17152" s="94"/>
      <c r="C17152" s="89"/>
      <c r="D17152" s="89"/>
      <c r="E17152" s="89"/>
      <c r="F17152" s="93"/>
    </row>
    <row r="17153" spans="1:6" ht="15" customHeight="1" x14ac:dyDescent="0.25">
      <c r="A17153" s="95" t="s">
        <v>562</v>
      </c>
      <c r="B17153" s="96"/>
      <c r="C17153" s="92"/>
      <c r="D17153" s="92"/>
      <c r="E17153" s="92"/>
      <c r="F17153" s="92"/>
    </row>
    <row r="17154" spans="1:6" ht="15" customHeight="1" x14ac:dyDescent="0.25">
      <c r="A17154" s="97" t="s">
        <v>563</v>
      </c>
      <c r="B17154" s="98" t="s">
        <v>564</v>
      </c>
      <c r="C17154" s="98" t="s">
        <v>565</v>
      </c>
      <c r="D17154" s="98" t="s">
        <v>566</v>
      </c>
      <c r="E17154" s="98" t="s">
        <v>567</v>
      </c>
      <c r="F17154" s="98" t="s">
        <v>568</v>
      </c>
    </row>
    <row r="17155" spans="1:6" ht="15" customHeight="1" x14ac:dyDescent="0.25">
      <c r="A17155" s="201" t="s">
        <v>1147</v>
      </c>
      <c r="B17155" s="202" t="s">
        <v>651</v>
      </c>
      <c r="C17155" s="205">
        <f>120000*2.5</f>
        <v>300000</v>
      </c>
      <c r="D17155" s="203">
        <v>4</v>
      </c>
      <c r="E17155" s="204">
        <v>0</v>
      </c>
      <c r="F17155" s="205">
        <f t="shared" ref="F17155:F17157" si="825">+C17155*D17155</f>
        <v>1200000</v>
      </c>
    </row>
    <row r="17156" spans="1:6" ht="15" customHeight="1" x14ac:dyDescent="0.25">
      <c r="A17156" s="201" t="s">
        <v>1148</v>
      </c>
      <c r="B17156" s="202" t="s">
        <v>117</v>
      </c>
      <c r="C17156" s="205">
        <v>5000</v>
      </c>
      <c r="D17156" s="203">
        <v>20</v>
      </c>
      <c r="E17156" s="204">
        <v>0</v>
      </c>
      <c r="F17156" s="205">
        <f t="shared" si="825"/>
        <v>100000</v>
      </c>
    </row>
    <row r="17157" spans="1:6" ht="15" customHeight="1" x14ac:dyDescent="0.25">
      <c r="A17157" s="201" t="s">
        <v>1149</v>
      </c>
      <c r="B17157" s="202" t="s">
        <v>279</v>
      </c>
      <c r="C17157" s="205">
        <v>1450</v>
      </c>
      <c r="D17157" s="203">
        <v>500</v>
      </c>
      <c r="E17157" s="204">
        <v>0</v>
      </c>
      <c r="F17157" s="205">
        <f t="shared" si="825"/>
        <v>725000</v>
      </c>
    </row>
    <row r="17158" spans="1:6" ht="15" customHeight="1" x14ac:dyDescent="0.25">
      <c r="A17158" s="201" t="s">
        <v>1150</v>
      </c>
      <c r="B17158" s="202" t="s">
        <v>1123</v>
      </c>
      <c r="C17158" s="205">
        <f>115000*2.5</f>
        <v>287500</v>
      </c>
      <c r="D17158" s="203">
        <v>3</v>
      </c>
      <c r="E17158" s="204">
        <v>0</v>
      </c>
      <c r="F17158" s="205">
        <f>+C17158*D17158</f>
        <v>862500</v>
      </c>
    </row>
    <row r="17159" spans="1:6" ht="15" customHeight="1" x14ac:dyDescent="0.25">
      <c r="A17159" s="99"/>
      <c r="B17159" s="100"/>
      <c r="C17159" s="101"/>
      <c r="D17159" s="149"/>
      <c r="E17159" s="102"/>
      <c r="F17159" s="101"/>
    </row>
    <row r="17160" spans="1:6" ht="15" customHeight="1" x14ac:dyDescent="0.25">
      <c r="A17160" s="99"/>
      <c r="B17160" s="100"/>
      <c r="C17160" s="106"/>
      <c r="D17160" s="107"/>
      <c r="E17160" s="108"/>
      <c r="F17160" s="106"/>
    </row>
    <row r="17161" spans="1:6" ht="15" customHeight="1" x14ac:dyDescent="0.25">
      <c r="A17161" s="97" t="s">
        <v>548</v>
      </c>
      <c r="B17161" s="97"/>
      <c r="C17161" s="109"/>
      <c r="D17161" s="110"/>
      <c r="E17161" s="111"/>
      <c r="F17161" s="112">
        <f>SUM(F17155:F17160)</f>
        <v>2887500</v>
      </c>
    </row>
    <row r="17162" spans="1:6" ht="15" customHeight="1" x14ac:dyDescent="0.25">
      <c r="A17162" s="88"/>
      <c r="B17162" s="88"/>
      <c r="C17162" s="113"/>
      <c r="D17162" s="113"/>
      <c r="E17162" s="114"/>
      <c r="F17162" s="113"/>
    </row>
    <row r="17163" spans="1:6" ht="15" customHeight="1" x14ac:dyDescent="0.25">
      <c r="A17163" s="96" t="s">
        <v>573</v>
      </c>
      <c r="B17163" s="96"/>
      <c r="C17163" s="92"/>
      <c r="D17163" s="92"/>
      <c r="E17163" s="92"/>
      <c r="F17163" s="92"/>
    </row>
    <row r="17164" spans="1:6" ht="15" customHeight="1" x14ac:dyDescent="0.25">
      <c r="A17164" s="611" t="s">
        <v>563</v>
      </c>
      <c r="B17164" s="608"/>
      <c r="C17164" s="609"/>
      <c r="D17164" s="98" t="s">
        <v>574</v>
      </c>
      <c r="E17164" s="98" t="s">
        <v>575</v>
      </c>
      <c r="F17164" s="98" t="s">
        <v>568</v>
      </c>
    </row>
    <row r="17165" spans="1:6" ht="15" customHeight="1" x14ac:dyDescent="0.25">
      <c r="A17165" s="607" t="s">
        <v>577</v>
      </c>
      <c r="B17165" s="608"/>
      <c r="C17165" s="609"/>
      <c r="D17165" s="116"/>
      <c r="E17165" s="107"/>
      <c r="F17165" s="106">
        <f>+F17182*5%</f>
        <v>265766.66666666669</v>
      </c>
    </row>
    <row r="17166" spans="1:6" ht="15" customHeight="1" x14ac:dyDescent="0.25">
      <c r="A17166" s="607" t="s">
        <v>657</v>
      </c>
      <c r="B17166" s="608"/>
      <c r="C17166" s="609"/>
      <c r="D17166" s="142">
        <v>1850</v>
      </c>
      <c r="E17166" s="107">
        <v>0.02</v>
      </c>
      <c r="F17166" s="106">
        <f>D17166/E17166</f>
        <v>92500</v>
      </c>
    </row>
    <row r="17167" spans="1:6" ht="15" customHeight="1" x14ac:dyDescent="0.25">
      <c r="A17167" s="588" t="s">
        <v>1151</v>
      </c>
      <c r="B17167" s="591"/>
      <c r="C17167" s="592"/>
      <c r="D17167" s="217">
        <v>150000</v>
      </c>
      <c r="E17167" s="218">
        <v>6</v>
      </c>
      <c r="F17167" s="256">
        <f>D17167*E17167</f>
        <v>900000</v>
      </c>
    </row>
    <row r="17168" spans="1:6" ht="15" customHeight="1" x14ac:dyDescent="0.25">
      <c r="A17168" s="588" t="s">
        <v>1152</v>
      </c>
      <c r="B17168" s="591"/>
      <c r="C17168" s="592"/>
      <c r="D17168" s="217">
        <v>60000</v>
      </c>
      <c r="E17168" s="218">
        <v>6</v>
      </c>
      <c r="F17168" s="256">
        <f>D17168*E17168</f>
        <v>360000</v>
      </c>
    </row>
    <row r="17169" spans="1:6" ht="15" customHeight="1" x14ac:dyDescent="0.25">
      <c r="A17169" s="253" t="s">
        <v>1153</v>
      </c>
      <c r="B17169" s="254"/>
      <c r="C17169" s="255"/>
      <c r="D17169" s="217">
        <v>140000</v>
      </c>
      <c r="E17169" s="218">
        <v>1</v>
      </c>
      <c r="F17169" s="256">
        <f>D17169*E17169</f>
        <v>140000</v>
      </c>
    </row>
    <row r="17170" spans="1:6" ht="15" customHeight="1" x14ac:dyDescent="0.25">
      <c r="A17170" s="607"/>
      <c r="B17170" s="608"/>
      <c r="C17170" s="609"/>
      <c r="D17170" s="142"/>
      <c r="E17170" s="107"/>
      <c r="F17170" s="106"/>
    </row>
    <row r="17171" spans="1:6" ht="15" customHeight="1" x14ac:dyDescent="0.25">
      <c r="A17171" s="607"/>
      <c r="B17171" s="608"/>
      <c r="C17171" s="609"/>
      <c r="D17171" s="142"/>
      <c r="E17171" s="107"/>
      <c r="F17171" s="106"/>
    </row>
    <row r="17172" spans="1:6" ht="15" customHeight="1" x14ac:dyDescent="0.25">
      <c r="A17172" s="607"/>
      <c r="B17172" s="608"/>
      <c r="C17172" s="609"/>
      <c r="D17172" s="142"/>
      <c r="E17172" s="107"/>
      <c r="F17172" s="106"/>
    </row>
    <row r="17173" spans="1:6" ht="15" customHeight="1" x14ac:dyDescent="0.25">
      <c r="A17173" s="610"/>
      <c r="B17173" s="608"/>
      <c r="C17173" s="609"/>
      <c r="D17173" s="115"/>
      <c r="E17173" s="107"/>
      <c r="F17173" s="106"/>
    </row>
    <row r="17174" spans="1:6" ht="15" customHeight="1" x14ac:dyDescent="0.25">
      <c r="A17174" s="611" t="s">
        <v>548</v>
      </c>
      <c r="B17174" s="608"/>
      <c r="C17174" s="609"/>
      <c r="D17174" s="110"/>
      <c r="E17174" s="110"/>
      <c r="F17174" s="112">
        <f>SUM(F17165:F17172)</f>
        <v>1758266.6666666667</v>
      </c>
    </row>
    <row r="17175" spans="1:6" ht="15" customHeight="1" x14ac:dyDescent="0.25">
      <c r="A17175" s="88"/>
      <c r="B17175" s="88"/>
      <c r="C17175" s="89"/>
      <c r="D17175" s="113"/>
      <c r="E17175" s="113"/>
      <c r="F17175" s="113"/>
    </row>
    <row r="17176" spans="1:6" ht="15" customHeight="1" x14ac:dyDescent="0.25">
      <c r="A17176" s="96" t="s">
        <v>578</v>
      </c>
      <c r="B17176" s="96"/>
      <c r="C17176" s="92"/>
      <c r="D17176" s="118"/>
      <c r="E17176" s="118"/>
      <c r="F17176" s="118"/>
    </row>
    <row r="17177" spans="1:6" ht="15" customHeight="1" x14ac:dyDescent="0.25">
      <c r="A17177" s="119" t="s">
        <v>563</v>
      </c>
      <c r="B17177" s="120" t="s">
        <v>579</v>
      </c>
      <c r="C17177" s="120" t="s">
        <v>580</v>
      </c>
      <c r="D17177" s="121" t="s">
        <v>581</v>
      </c>
      <c r="E17177" s="121" t="s">
        <v>575</v>
      </c>
      <c r="F17177" s="121" t="s">
        <v>568</v>
      </c>
    </row>
    <row r="17178" spans="1:6" ht="15" customHeight="1" x14ac:dyDescent="0.25">
      <c r="A17178" s="227" t="s">
        <v>916</v>
      </c>
      <c r="B17178" s="228">
        <v>3</v>
      </c>
      <c r="C17178" s="205">
        <f>1300000/30</f>
        <v>43333.333333333336</v>
      </c>
      <c r="D17178" s="205">
        <f>+C17178*1.7</f>
        <v>73666.666666666672</v>
      </c>
      <c r="E17178" s="202">
        <v>10</v>
      </c>
      <c r="F17178" s="219">
        <f>+E17178*D17178*B17178</f>
        <v>2210000</v>
      </c>
    </row>
    <row r="17179" spans="1:6" ht="15" customHeight="1" x14ac:dyDescent="0.25">
      <c r="A17179" s="227" t="s">
        <v>917</v>
      </c>
      <c r="B17179" s="228">
        <v>3</v>
      </c>
      <c r="C17179" s="205">
        <f>1700000/30</f>
        <v>56666.666666666664</v>
      </c>
      <c r="D17179" s="205">
        <f>+C17179*1.7</f>
        <v>96333.333333333328</v>
      </c>
      <c r="E17179" s="202">
        <v>10</v>
      </c>
      <c r="F17179" s="219">
        <f t="shared" ref="F17179:F17181" si="826">+E17179*D17179*B17179</f>
        <v>2890000</v>
      </c>
    </row>
    <row r="17180" spans="1:6" ht="15" customHeight="1" x14ac:dyDescent="0.25">
      <c r="A17180" s="227" t="s">
        <v>1071</v>
      </c>
      <c r="B17180" s="228">
        <v>1</v>
      </c>
      <c r="C17180" s="205">
        <f>1300000/30</f>
        <v>43333.333333333336</v>
      </c>
      <c r="D17180" s="205">
        <f>+C17180*1.7</f>
        <v>73666.666666666672</v>
      </c>
      <c r="E17180" s="202">
        <v>1</v>
      </c>
      <c r="F17180" s="219">
        <f t="shared" si="826"/>
        <v>73666.666666666672</v>
      </c>
    </row>
    <row r="17181" spans="1:6" ht="15" customHeight="1" x14ac:dyDescent="0.25">
      <c r="A17181" s="227" t="s">
        <v>1072</v>
      </c>
      <c r="B17181" s="228">
        <v>1</v>
      </c>
      <c r="C17181" s="205">
        <f>2500000/30</f>
        <v>83333.333333333328</v>
      </c>
      <c r="D17181" s="205">
        <f>+C17181*1.7</f>
        <v>141666.66666666666</v>
      </c>
      <c r="E17181" s="202">
        <v>1</v>
      </c>
      <c r="F17181" s="219">
        <f t="shared" si="826"/>
        <v>141666.66666666666</v>
      </c>
    </row>
    <row r="17182" spans="1:6" ht="15" customHeight="1" x14ac:dyDescent="0.25">
      <c r="A17182" s="97" t="s">
        <v>548</v>
      </c>
      <c r="B17182" s="128"/>
      <c r="C17182" s="110"/>
      <c r="D17182" s="110"/>
      <c r="E17182" s="110"/>
      <c r="F17182" s="112">
        <f>SUM(F17178:F17181)</f>
        <v>5315333.333333334</v>
      </c>
    </row>
    <row r="17183" spans="1:6" ht="15" customHeight="1" x14ac:dyDescent="0.25">
      <c r="A17183" s="96"/>
      <c r="B17183" s="129"/>
      <c r="C17183" s="118"/>
      <c r="D17183" s="118"/>
      <c r="E17183" s="118"/>
      <c r="F17183" s="118"/>
    </row>
    <row r="17184" spans="1:6" ht="15" customHeight="1" x14ac:dyDescent="0.25">
      <c r="A17184" s="95" t="s">
        <v>583</v>
      </c>
      <c r="B17184" s="96"/>
      <c r="C17184" s="92"/>
      <c r="D17184" s="92"/>
      <c r="E17184" s="92" t="s">
        <v>584</v>
      </c>
      <c r="F17184" s="92"/>
    </row>
    <row r="17185" spans="1:6" ht="15" customHeight="1" x14ac:dyDescent="0.25">
      <c r="A17185" s="97" t="s">
        <v>563</v>
      </c>
      <c r="B17185" s="98" t="s">
        <v>564</v>
      </c>
      <c r="C17185" s="98" t="s">
        <v>585</v>
      </c>
      <c r="D17185" s="98" t="s">
        <v>586</v>
      </c>
      <c r="E17185" s="120" t="s">
        <v>587</v>
      </c>
      <c r="F17185" s="98" t="s">
        <v>568</v>
      </c>
    </row>
    <row r="17186" spans="1:6" ht="15" customHeight="1" x14ac:dyDescent="0.25">
      <c r="A17186" s="103"/>
      <c r="B17186" s="100"/>
      <c r="C17186" s="101"/>
      <c r="D17186" s="140"/>
      <c r="E17186" s="107"/>
      <c r="F17186" s="109"/>
    </row>
    <row r="17187" spans="1:6" ht="15" customHeight="1" x14ac:dyDescent="0.25">
      <c r="A17187" s="103"/>
      <c r="B17187" s="100"/>
      <c r="C17187" s="107"/>
      <c r="D17187" s="107"/>
      <c r="E17187" s="108"/>
      <c r="F17187" s="109"/>
    </row>
    <row r="17188" spans="1:6" ht="15" customHeight="1" x14ac:dyDescent="0.25">
      <c r="A17188" s="97" t="s">
        <v>548</v>
      </c>
      <c r="B17188" s="98"/>
      <c r="C17188" s="110"/>
      <c r="D17188" s="110"/>
      <c r="E17188" s="111"/>
      <c r="F17188" s="112">
        <f>SUM(F17186:F17187)</f>
        <v>0</v>
      </c>
    </row>
    <row r="17189" spans="1:6" ht="15" customHeight="1" x14ac:dyDescent="0.25">
      <c r="A17189" s="88"/>
      <c r="B17189" s="89"/>
      <c r="C17189" s="113"/>
      <c r="D17189" s="113"/>
      <c r="E17189" s="114"/>
      <c r="F17189" s="113"/>
    </row>
    <row r="17190" spans="1:6" ht="15" customHeight="1" x14ac:dyDescent="0.25">
      <c r="A17190" s="88"/>
      <c r="B17190" s="89"/>
      <c r="C17190" s="113"/>
      <c r="D17190" s="113"/>
      <c r="E17190" s="114"/>
      <c r="F17190" s="113"/>
    </row>
    <row r="17191" spans="1:6" ht="15" customHeight="1" x14ac:dyDescent="0.25">
      <c r="A17191" s="612" t="s">
        <v>588</v>
      </c>
      <c r="B17191" s="608"/>
      <c r="C17191" s="608"/>
      <c r="D17191" s="608"/>
      <c r="E17191" s="609"/>
      <c r="F17191" s="131">
        <f>ROUND(F17161+F17174+F17182+F17188,0)</f>
        <v>9961100</v>
      </c>
    </row>
    <row r="17192" spans="1:6" ht="15" customHeight="1" x14ac:dyDescent="0.25">
      <c r="A17192" s="612" t="s">
        <v>589</v>
      </c>
      <c r="B17192" s="608"/>
      <c r="C17192" s="608"/>
      <c r="D17192" s="608"/>
      <c r="E17192" s="609"/>
      <c r="F17192" s="132"/>
    </row>
    <row r="17193" spans="1:6" ht="15" customHeight="1" x14ac:dyDescent="0.25">
      <c r="A17193" s="146" t="s">
        <v>556</v>
      </c>
      <c r="B17193" s="147"/>
      <c r="C17193" s="147"/>
      <c r="D17193" s="147"/>
      <c r="E17193" s="148"/>
      <c r="F17193" s="133"/>
    </row>
    <row r="17194" spans="1:6" ht="15" customHeight="1" x14ac:dyDescent="0.25">
      <c r="A17194" s="134"/>
      <c r="B17194" s="135"/>
      <c r="C17194" s="135"/>
      <c r="D17194" s="135"/>
      <c r="E17194" s="135"/>
      <c r="F17194" s="136"/>
    </row>
    <row r="17195" spans="1:6" ht="15" customHeight="1" x14ac:dyDescent="0.25">
      <c r="A17195" s="81"/>
      <c r="B17195" s="81"/>
      <c r="C17195" s="137"/>
      <c r="D17195" s="81"/>
      <c r="E17195" s="81"/>
      <c r="F17195" s="81"/>
    </row>
    <row r="17196" spans="1:6" ht="15" customHeight="1" x14ac:dyDescent="0.25">
      <c r="A17196" s="81"/>
      <c r="B17196" s="81"/>
      <c r="C17196" s="137"/>
      <c r="D17196" s="81"/>
      <c r="E17196" s="81"/>
      <c r="F17196" s="81"/>
    </row>
    <row r="17197" spans="1:6" ht="15" customHeight="1" x14ac:dyDescent="0.25">
      <c r="A17197" s="81"/>
      <c r="B17197" s="81"/>
      <c r="C17197" s="137"/>
      <c r="D17197" s="81"/>
      <c r="E17197" s="81"/>
      <c r="F17197" s="81"/>
    </row>
    <row r="17198" spans="1:6" ht="15" customHeight="1" x14ac:dyDescent="0.25">
      <c r="A17198" s="81"/>
      <c r="B17198" s="81"/>
      <c r="C17198" s="137"/>
      <c r="D17198" s="81"/>
      <c r="E17198" s="81"/>
      <c r="F17198" s="81"/>
    </row>
    <row r="17199" spans="1:6" ht="15" customHeight="1" x14ac:dyDescent="0.25">
      <c r="A17199" s="134"/>
      <c r="B17199" s="135"/>
      <c r="C17199" s="135"/>
      <c r="D17199" s="135"/>
      <c r="E17199" s="135"/>
      <c r="F17199" s="136"/>
    </row>
    <row r="17200" spans="1:6" ht="15" customHeight="1" x14ac:dyDescent="0.25">
      <c r="A17200" s="134"/>
      <c r="B17200" s="135"/>
      <c r="C17200" s="135"/>
      <c r="D17200" s="135"/>
      <c r="E17200" s="135"/>
      <c r="F17200" s="136"/>
    </row>
    <row r="17201" spans="1:6" ht="15" customHeight="1" x14ac:dyDescent="0.25">
      <c r="A17201" s="134"/>
      <c r="B17201" s="135"/>
      <c r="C17201" s="135"/>
      <c r="D17201" s="135"/>
      <c r="E17201" s="135"/>
      <c r="F17201" s="135"/>
    </row>
    <row r="17202" spans="1:6" ht="15" customHeight="1" thickBot="1" x14ac:dyDescent="0.3">
      <c r="A17202" s="81"/>
      <c r="B17202" s="81"/>
      <c r="C17202" s="81"/>
      <c r="D17202" s="81"/>
      <c r="E17202" s="81"/>
      <c r="F17202" s="81"/>
    </row>
    <row r="17203" spans="1:6" ht="15" customHeight="1" x14ac:dyDescent="0.25">
      <c r="A17203" s="83"/>
      <c r="B17203" s="84"/>
      <c r="C17203" s="85"/>
      <c r="D17203" s="86"/>
      <c r="E17203" s="86"/>
      <c r="F17203" s="87"/>
    </row>
    <row r="17204" spans="1:6" ht="15" customHeight="1" x14ac:dyDescent="0.25">
      <c r="A17204" s="599"/>
      <c r="B17204" s="600"/>
      <c r="C17204" s="600"/>
      <c r="D17204" s="600"/>
      <c r="E17204" s="600"/>
      <c r="F17204" s="601"/>
    </row>
    <row r="17205" spans="1:6" ht="15" customHeight="1" x14ac:dyDescent="0.25">
      <c r="A17205" s="602" t="s">
        <v>561</v>
      </c>
      <c r="B17205" s="600"/>
      <c r="C17205" s="600"/>
      <c r="D17205" s="600"/>
      <c r="E17205" s="600"/>
      <c r="F17205" s="601"/>
    </row>
    <row r="17206" spans="1:6" ht="15" customHeight="1" thickBot="1" x14ac:dyDescent="0.3">
      <c r="A17206" s="603"/>
      <c r="B17206" s="604"/>
      <c r="C17206" s="604"/>
      <c r="D17206" s="604"/>
      <c r="E17206" s="604"/>
      <c r="F17206" s="605"/>
    </row>
    <row r="17207" spans="1:6" ht="15" customHeight="1" x14ac:dyDescent="0.25">
      <c r="A17207" s="88"/>
      <c r="B17207" s="88"/>
      <c r="C17207" s="89"/>
      <c r="D17207" s="89"/>
      <c r="E17207" s="89"/>
      <c r="F17207" s="89"/>
    </row>
    <row r="17208" spans="1:6" ht="15" customHeight="1" x14ac:dyDescent="0.25">
      <c r="A17208" s="190" t="s">
        <v>1154</v>
      </c>
      <c r="B17208" s="606" t="s">
        <v>1165</v>
      </c>
      <c r="C17208" s="606"/>
      <c r="D17208" s="606"/>
      <c r="E17208" s="606"/>
      <c r="F17208" s="606"/>
    </row>
    <row r="17209" spans="1:6" ht="15" customHeight="1" x14ac:dyDescent="0.25">
      <c r="A17209" s="191"/>
      <c r="B17209" s="191"/>
      <c r="C17209" s="191"/>
      <c r="D17209" s="191"/>
      <c r="E17209" s="191"/>
      <c r="F17209" s="191"/>
    </row>
    <row r="17210" spans="1:6" ht="15" customHeight="1" x14ac:dyDescent="0.25">
      <c r="A17210" s="192" t="s">
        <v>49</v>
      </c>
      <c r="B17210" s="193" t="s">
        <v>59</v>
      </c>
      <c r="C17210" s="194"/>
      <c r="D17210" s="194"/>
      <c r="E17210" s="194" t="s">
        <v>963</v>
      </c>
      <c r="F17210" s="195"/>
    </row>
    <row r="17211" spans="1:6" ht="15" customHeight="1" x14ac:dyDescent="0.25">
      <c r="A17211" s="192"/>
      <c r="B17211" s="196"/>
      <c r="C17211" s="194"/>
      <c r="D17211" s="194"/>
      <c r="E17211" s="194"/>
      <c r="F17211" s="195"/>
    </row>
    <row r="17212" spans="1:6" ht="15" customHeight="1" x14ac:dyDescent="0.25">
      <c r="A17212" s="197" t="s">
        <v>562</v>
      </c>
      <c r="B17212" s="198"/>
      <c r="C17212" s="193"/>
      <c r="D17212" s="193"/>
      <c r="E17212" s="193"/>
      <c r="F17212" s="193"/>
    </row>
    <row r="17213" spans="1:6" ht="15" customHeight="1" x14ac:dyDescent="0.25">
      <c r="A17213" s="199" t="s">
        <v>563</v>
      </c>
      <c r="B17213" s="200" t="s">
        <v>564</v>
      </c>
      <c r="C17213" s="200" t="s">
        <v>565</v>
      </c>
      <c r="D17213" s="200" t="s">
        <v>566</v>
      </c>
      <c r="E17213" s="200" t="s">
        <v>567</v>
      </c>
      <c r="F17213" s="200" t="s">
        <v>568</v>
      </c>
    </row>
    <row r="17214" spans="1:6" ht="15" customHeight="1" x14ac:dyDescent="0.25">
      <c r="A17214" s="201" t="s">
        <v>1155</v>
      </c>
      <c r="B17214" s="202" t="s">
        <v>59</v>
      </c>
      <c r="C17214" s="205">
        <f>65000*1.19*2.5</f>
        <v>193375</v>
      </c>
      <c r="D17214" s="203">
        <v>1</v>
      </c>
      <c r="E17214" s="204">
        <v>0</v>
      </c>
      <c r="F17214" s="205">
        <f t="shared" ref="F17214:F17219" si="827">+C17214*D17214</f>
        <v>193375</v>
      </c>
    </row>
    <row r="17215" spans="1:6" ht="15" customHeight="1" x14ac:dyDescent="0.25">
      <c r="A17215" s="201" t="s">
        <v>1156</v>
      </c>
      <c r="B17215" s="202" t="s">
        <v>1123</v>
      </c>
      <c r="C17215" s="205">
        <f>45600*2.5</f>
        <v>114000</v>
      </c>
      <c r="D17215" s="203">
        <v>2</v>
      </c>
      <c r="E17215" s="204">
        <v>0</v>
      </c>
      <c r="F17215" s="205">
        <f t="shared" si="827"/>
        <v>228000</v>
      </c>
    </row>
    <row r="17216" spans="1:6" ht="15" customHeight="1" x14ac:dyDescent="0.25">
      <c r="A17216" s="201" t="s">
        <v>1157</v>
      </c>
      <c r="B17216" s="202" t="s">
        <v>1123</v>
      </c>
      <c r="C17216" s="205">
        <f>4500*2.5</f>
        <v>11250</v>
      </c>
      <c r="D17216" s="203">
        <v>2</v>
      </c>
      <c r="E17216" s="204">
        <v>0</v>
      </c>
      <c r="F17216" s="205">
        <f t="shared" si="827"/>
        <v>22500</v>
      </c>
    </row>
    <row r="17217" spans="1:6" ht="15" customHeight="1" x14ac:dyDescent="0.25">
      <c r="A17217" s="201" t="s">
        <v>1158</v>
      </c>
      <c r="B17217" s="202" t="s">
        <v>59</v>
      </c>
      <c r="C17217" s="205">
        <f>11500*2.5</f>
        <v>28750</v>
      </c>
      <c r="D17217" s="203">
        <v>30</v>
      </c>
      <c r="E17217" s="204">
        <v>0</v>
      </c>
      <c r="F17217" s="205">
        <f t="shared" si="827"/>
        <v>862500</v>
      </c>
    </row>
    <row r="17218" spans="1:6" ht="15" customHeight="1" x14ac:dyDescent="0.25">
      <c r="A17218" s="201" t="s">
        <v>1159</v>
      </c>
      <c r="B17218" s="202" t="s">
        <v>59</v>
      </c>
      <c r="C17218" s="205">
        <f>9150*2.5</f>
        <v>22875</v>
      </c>
      <c r="D17218" s="203">
        <v>30</v>
      </c>
      <c r="E17218" s="204">
        <v>0</v>
      </c>
      <c r="F17218" s="205">
        <f t="shared" si="827"/>
        <v>686250</v>
      </c>
    </row>
    <row r="17219" spans="1:6" ht="15" customHeight="1" x14ac:dyDescent="0.25">
      <c r="A17219" s="201" t="s">
        <v>1160</v>
      </c>
      <c r="B17219" s="202" t="s">
        <v>1161</v>
      </c>
      <c r="C17219" s="205">
        <f>5000*2.5</f>
        <v>12500</v>
      </c>
      <c r="D17219" s="203">
        <v>20</v>
      </c>
      <c r="E17219" s="204">
        <v>0</v>
      </c>
      <c r="F17219" s="205">
        <f t="shared" si="827"/>
        <v>250000</v>
      </c>
    </row>
    <row r="17220" spans="1:6" ht="15" customHeight="1" x14ac:dyDescent="0.25">
      <c r="A17220" s="201"/>
      <c r="B17220" s="202"/>
      <c r="C17220" s="205"/>
      <c r="D17220" s="203"/>
      <c r="E17220" s="204"/>
      <c r="F17220" s="205"/>
    </row>
    <row r="17221" spans="1:6" ht="15" customHeight="1" x14ac:dyDescent="0.25">
      <c r="A17221" s="201"/>
      <c r="B17221" s="202"/>
      <c r="C17221" s="205"/>
      <c r="D17221" s="203"/>
      <c r="E17221" s="204"/>
      <c r="F17221" s="205"/>
    </row>
    <row r="17222" spans="1:6" ht="15" customHeight="1" x14ac:dyDescent="0.25">
      <c r="A17222" s="201"/>
      <c r="B17222" s="202"/>
      <c r="C17222" s="205"/>
      <c r="D17222" s="203"/>
      <c r="E17222" s="204"/>
      <c r="F17222" s="205"/>
    </row>
    <row r="17223" spans="1:6" ht="15" customHeight="1" x14ac:dyDescent="0.25">
      <c r="A17223" s="209" t="s">
        <v>548</v>
      </c>
      <c r="B17223" s="210"/>
      <c r="C17223" s="211"/>
      <c r="D17223" s="212"/>
      <c r="E17223" s="213"/>
      <c r="F17223" s="214">
        <f>SUM(F17214:F17222)</f>
        <v>2242625</v>
      </c>
    </row>
    <row r="17224" spans="1:6" ht="15" customHeight="1" x14ac:dyDescent="0.25">
      <c r="A17224" s="192"/>
      <c r="B17224" s="192"/>
      <c r="C17224" s="215"/>
      <c r="D17224" s="215"/>
      <c r="E17224" s="216"/>
      <c r="F17224" s="215"/>
    </row>
    <row r="17225" spans="1:6" ht="15" customHeight="1" x14ac:dyDescent="0.25">
      <c r="A17225" s="198" t="s">
        <v>573</v>
      </c>
      <c r="B17225" s="198"/>
      <c r="C17225" s="193"/>
      <c r="D17225" s="193"/>
      <c r="E17225" s="193"/>
      <c r="F17225" s="193"/>
    </row>
    <row r="17226" spans="1:6" ht="15" customHeight="1" x14ac:dyDescent="0.25">
      <c r="A17226" s="585" t="s">
        <v>563</v>
      </c>
      <c r="B17226" s="595"/>
      <c r="C17226" s="596"/>
      <c r="D17226" s="200" t="s">
        <v>574</v>
      </c>
      <c r="E17226" s="200" t="s">
        <v>575</v>
      </c>
      <c r="F17226" s="200" t="s">
        <v>568</v>
      </c>
    </row>
    <row r="17227" spans="1:6" ht="15" customHeight="1" x14ac:dyDescent="0.25">
      <c r="A17227" s="588" t="s">
        <v>1162</v>
      </c>
      <c r="B17227" s="591"/>
      <c r="C17227" s="592"/>
      <c r="D17227" s="217">
        <v>50000</v>
      </c>
      <c r="E17227" s="218">
        <v>0.25</v>
      </c>
      <c r="F17227" s="219">
        <f>+E17227*D17227</f>
        <v>12500</v>
      </c>
    </row>
    <row r="17228" spans="1:6" ht="15" customHeight="1" x14ac:dyDescent="0.25">
      <c r="A17228" s="588" t="s">
        <v>1163</v>
      </c>
      <c r="B17228" s="591"/>
      <c r="C17228" s="592"/>
      <c r="D17228" s="217">
        <v>50000</v>
      </c>
      <c r="E17228" s="218">
        <v>0.25</v>
      </c>
      <c r="F17228" s="219">
        <f>+E17228*D17228</f>
        <v>12500</v>
      </c>
    </row>
    <row r="17229" spans="1:6" ht="15" customHeight="1" x14ac:dyDescent="0.25">
      <c r="A17229" s="253" t="s">
        <v>1164</v>
      </c>
      <c r="B17229" s="254"/>
      <c r="C17229" s="255"/>
      <c r="D17229" s="217">
        <v>400000</v>
      </c>
      <c r="E17229" s="218">
        <v>1</v>
      </c>
      <c r="F17229" s="219">
        <f>+E17229*D17229</f>
        <v>400000</v>
      </c>
    </row>
    <row r="17230" spans="1:6" ht="15" customHeight="1" x14ac:dyDescent="0.25">
      <c r="A17230" s="588"/>
      <c r="B17230" s="591"/>
      <c r="C17230" s="592"/>
      <c r="D17230" s="217"/>
      <c r="E17230" s="218"/>
      <c r="F17230" s="219"/>
    </row>
    <row r="17231" spans="1:6" ht="15" customHeight="1" x14ac:dyDescent="0.25">
      <c r="A17231" s="588"/>
      <c r="B17231" s="591"/>
      <c r="C17231" s="592"/>
      <c r="D17231" s="217"/>
      <c r="E17231" s="218"/>
      <c r="F17231" s="219"/>
    </row>
    <row r="17232" spans="1:6" ht="15" customHeight="1" x14ac:dyDescent="0.25">
      <c r="A17232" s="588"/>
      <c r="B17232" s="591"/>
      <c r="C17232" s="592"/>
      <c r="D17232" s="217"/>
      <c r="E17232" s="218"/>
      <c r="F17232" s="219"/>
    </row>
    <row r="17233" spans="1:6" ht="15" customHeight="1" x14ac:dyDescent="0.25">
      <c r="A17233" s="588"/>
      <c r="B17233" s="591"/>
      <c r="C17233" s="592"/>
      <c r="D17233" s="220"/>
      <c r="E17233" s="218"/>
      <c r="F17233" s="219"/>
    </row>
    <row r="17234" spans="1:6" ht="15" customHeight="1" x14ac:dyDescent="0.25">
      <c r="A17234" s="589"/>
      <c r="B17234" s="593"/>
      <c r="C17234" s="594"/>
      <c r="D17234" s="222"/>
      <c r="E17234" s="218"/>
      <c r="F17234" s="219"/>
    </row>
    <row r="17235" spans="1:6" ht="15" customHeight="1" x14ac:dyDescent="0.25">
      <c r="A17235" s="585" t="s">
        <v>548</v>
      </c>
      <c r="B17235" s="595"/>
      <c r="C17235" s="596"/>
      <c r="D17235" s="212"/>
      <c r="E17235" s="212"/>
      <c r="F17235" s="214">
        <f>SUM(F17227:F17234)</f>
        <v>425000</v>
      </c>
    </row>
    <row r="17236" spans="1:6" ht="15" customHeight="1" x14ac:dyDescent="0.25">
      <c r="A17236" s="192"/>
      <c r="B17236" s="192"/>
      <c r="C17236" s="194"/>
      <c r="D17236" s="215"/>
      <c r="E17236" s="215"/>
      <c r="F17236" s="215"/>
    </row>
    <row r="17237" spans="1:6" ht="15" customHeight="1" x14ac:dyDescent="0.25">
      <c r="A17237" s="198" t="s">
        <v>578</v>
      </c>
      <c r="B17237" s="198"/>
      <c r="C17237" s="193"/>
      <c r="D17237" s="223"/>
      <c r="E17237" s="223"/>
      <c r="F17237" s="223"/>
    </row>
    <row r="17238" spans="1:6" ht="15" customHeight="1" x14ac:dyDescent="0.25">
      <c r="A17238" s="224" t="s">
        <v>563</v>
      </c>
      <c r="B17238" s="225" t="s">
        <v>579</v>
      </c>
      <c r="C17238" s="225" t="s">
        <v>580</v>
      </c>
      <c r="D17238" s="226" t="s">
        <v>581</v>
      </c>
      <c r="E17238" s="226" t="s">
        <v>575</v>
      </c>
      <c r="F17238" s="226" t="s">
        <v>568</v>
      </c>
    </row>
    <row r="17239" spans="1:6" ht="15" customHeight="1" x14ac:dyDescent="0.25">
      <c r="A17239" s="227" t="s">
        <v>916</v>
      </c>
      <c r="B17239" s="228">
        <v>3</v>
      </c>
      <c r="C17239" s="205">
        <f>1300000/30</f>
        <v>43333.333333333336</v>
      </c>
      <c r="D17239" s="205">
        <f>+C17239*1.7</f>
        <v>73666.666666666672</v>
      </c>
      <c r="E17239" s="202">
        <v>10</v>
      </c>
      <c r="F17239" s="219">
        <f>+E17239*D17239*B17239</f>
        <v>2210000</v>
      </c>
    </row>
    <row r="17240" spans="1:6" ht="15" customHeight="1" x14ac:dyDescent="0.25">
      <c r="A17240" s="227" t="s">
        <v>917</v>
      </c>
      <c r="B17240" s="228">
        <v>2</v>
      </c>
      <c r="C17240" s="205">
        <f>1700000/30</f>
        <v>56666.666666666664</v>
      </c>
      <c r="D17240" s="205">
        <f>+C17240*1.7</f>
        <v>96333.333333333328</v>
      </c>
      <c r="E17240" s="202">
        <v>6</v>
      </c>
      <c r="F17240" s="219">
        <f t="shared" ref="F17240:F17242" si="828">+E17240*D17240*B17240</f>
        <v>1156000</v>
      </c>
    </row>
    <row r="17241" spans="1:6" ht="15" customHeight="1" x14ac:dyDescent="0.25">
      <c r="A17241" s="227" t="s">
        <v>1071</v>
      </c>
      <c r="B17241" s="228">
        <v>1</v>
      </c>
      <c r="C17241" s="205">
        <f>1300000/30</f>
        <v>43333.333333333336</v>
      </c>
      <c r="D17241" s="205">
        <f>+C17241*1.7</f>
        <v>73666.666666666672</v>
      </c>
      <c r="E17241" s="202">
        <v>6</v>
      </c>
      <c r="F17241" s="219">
        <f t="shared" si="828"/>
        <v>442000</v>
      </c>
    </row>
    <row r="17242" spans="1:6" ht="15" customHeight="1" x14ac:dyDescent="0.25">
      <c r="A17242" s="227" t="s">
        <v>1072</v>
      </c>
      <c r="B17242" s="228">
        <v>1</v>
      </c>
      <c r="C17242" s="205">
        <f>2500000/30</f>
        <v>83333.333333333328</v>
      </c>
      <c r="D17242" s="205">
        <f>+C17242*1.7</f>
        <v>141666.66666666666</v>
      </c>
      <c r="E17242" s="202">
        <v>3</v>
      </c>
      <c r="F17242" s="219">
        <f t="shared" si="828"/>
        <v>425000</v>
      </c>
    </row>
    <row r="17243" spans="1:6" ht="15" customHeight="1" x14ac:dyDescent="0.25">
      <c r="A17243" s="209" t="s">
        <v>548</v>
      </c>
      <c r="B17243" s="229"/>
      <c r="C17243" s="212"/>
      <c r="D17243" s="212"/>
      <c r="E17243" s="202"/>
      <c r="F17243" s="214">
        <f>SUM(F17239:F17242)</f>
        <v>4233000</v>
      </c>
    </row>
    <row r="17244" spans="1:6" ht="15" customHeight="1" x14ac:dyDescent="0.25">
      <c r="A17244" s="198"/>
      <c r="B17244" s="231"/>
      <c r="C17244" s="223"/>
      <c r="D17244" s="223"/>
      <c r="E17244" s="223"/>
      <c r="F17244" s="223"/>
    </row>
    <row r="17245" spans="1:6" ht="15" customHeight="1" x14ac:dyDescent="0.25">
      <c r="A17245" s="197" t="s">
        <v>583</v>
      </c>
      <c r="B17245" s="198"/>
      <c r="C17245" s="193"/>
      <c r="D17245" s="193"/>
      <c r="E17245" s="193" t="s">
        <v>584</v>
      </c>
      <c r="F17245" s="193"/>
    </row>
    <row r="17246" spans="1:6" ht="15" customHeight="1" x14ac:dyDescent="0.25">
      <c r="A17246" s="199" t="s">
        <v>563</v>
      </c>
      <c r="B17246" s="200" t="s">
        <v>564</v>
      </c>
      <c r="C17246" s="200" t="s">
        <v>585</v>
      </c>
      <c r="D17246" s="200" t="s">
        <v>586</v>
      </c>
      <c r="E17246" s="225" t="s">
        <v>587</v>
      </c>
      <c r="F17246" s="200" t="s">
        <v>568</v>
      </c>
    </row>
    <row r="17247" spans="1:6" ht="15" customHeight="1" x14ac:dyDescent="0.25">
      <c r="A17247" s="232"/>
      <c r="B17247" s="202"/>
      <c r="C17247" s="205"/>
      <c r="D17247" s="233"/>
      <c r="E17247" s="234"/>
      <c r="F17247" s="211"/>
    </row>
    <row r="17248" spans="1:6" ht="15" customHeight="1" x14ac:dyDescent="0.25">
      <c r="A17248" s="232"/>
      <c r="B17248" s="202"/>
      <c r="C17248" s="218"/>
      <c r="D17248" s="235"/>
      <c r="E17248" s="236"/>
      <c r="F17248" s="211"/>
    </row>
    <row r="17249" spans="1:6" ht="15" customHeight="1" x14ac:dyDescent="0.25">
      <c r="A17249" s="209" t="s">
        <v>548</v>
      </c>
      <c r="B17249" s="230"/>
      <c r="C17249" s="212"/>
      <c r="D17249" s="212"/>
      <c r="E17249" s="213"/>
      <c r="F17249" s="214">
        <f>SUM(F17247:F17248)</f>
        <v>0</v>
      </c>
    </row>
    <row r="17250" spans="1:6" ht="15" customHeight="1" x14ac:dyDescent="0.25">
      <c r="A17250" s="192"/>
      <c r="B17250" s="194"/>
      <c r="C17250" s="215"/>
      <c r="D17250" s="215"/>
      <c r="E17250" s="216"/>
      <c r="F17250" s="215"/>
    </row>
    <row r="17251" spans="1:6" ht="15" customHeight="1" x14ac:dyDescent="0.25">
      <c r="A17251" s="192"/>
      <c r="B17251" s="194"/>
      <c r="C17251" s="215"/>
      <c r="D17251" s="215"/>
      <c r="E17251" s="216"/>
      <c r="F17251" s="215"/>
    </row>
    <row r="17252" spans="1:6" ht="15" customHeight="1" x14ac:dyDescent="0.25">
      <c r="A17252" s="590" t="s">
        <v>588</v>
      </c>
      <c r="B17252" s="597"/>
      <c r="C17252" s="597"/>
      <c r="D17252" s="597"/>
      <c r="E17252" s="598"/>
      <c r="F17252" s="237">
        <f>SUM(+F17249+F17243+F17235+F17223)</f>
        <v>6900625</v>
      </c>
    </row>
    <row r="17253" spans="1:6" ht="15" customHeight="1" x14ac:dyDescent="0.25">
      <c r="A17253" s="134"/>
      <c r="B17253" s="135"/>
      <c r="C17253" s="135"/>
      <c r="D17253" s="135"/>
      <c r="E17253" s="135"/>
      <c r="F17253" s="136"/>
    </row>
    <row r="17254" spans="1:6" ht="15" customHeight="1" thickBot="1" x14ac:dyDescent="0.3">
      <c r="A17254" s="188"/>
      <c r="B17254" s="135"/>
      <c r="C17254" s="135"/>
      <c r="D17254" s="135"/>
      <c r="E17254" s="135"/>
      <c r="F17254" s="136"/>
    </row>
    <row r="17255" spans="1:6" ht="15" customHeight="1" x14ac:dyDescent="0.25">
      <c r="A17255" s="83"/>
      <c r="B17255" s="84"/>
      <c r="C17255" s="85"/>
      <c r="D17255" s="86"/>
      <c r="E17255" s="86"/>
      <c r="F17255" s="87"/>
    </row>
    <row r="17256" spans="1:6" ht="15" customHeight="1" x14ac:dyDescent="0.25">
      <c r="A17256" s="599"/>
      <c r="B17256" s="600"/>
      <c r="C17256" s="600"/>
      <c r="D17256" s="600"/>
      <c r="E17256" s="600"/>
      <c r="F17256" s="601"/>
    </row>
    <row r="17257" spans="1:6" ht="15" customHeight="1" x14ac:dyDescent="0.25">
      <c r="A17257" s="602" t="s">
        <v>561</v>
      </c>
      <c r="B17257" s="600"/>
      <c r="C17257" s="600"/>
      <c r="D17257" s="600"/>
      <c r="E17257" s="600"/>
      <c r="F17257" s="601"/>
    </row>
    <row r="17258" spans="1:6" ht="15" customHeight="1" thickBot="1" x14ac:dyDescent="0.3">
      <c r="A17258" s="603"/>
      <c r="B17258" s="604"/>
      <c r="C17258" s="604"/>
      <c r="D17258" s="604"/>
      <c r="E17258" s="604"/>
      <c r="F17258" s="605"/>
    </row>
    <row r="17259" spans="1:6" ht="15" customHeight="1" x14ac:dyDescent="0.25">
      <c r="A17259" s="190" t="s">
        <v>1167</v>
      </c>
      <c r="B17259" s="606" t="s">
        <v>1170</v>
      </c>
      <c r="C17259" s="606"/>
      <c r="D17259" s="606"/>
      <c r="E17259" s="606"/>
      <c r="F17259" s="606"/>
    </row>
    <row r="17260" spans="1:6" ht="15" customHeight="1" x14ac:dyDescent="0.25">
      <c r="A17260" s="191"/>
      <c r="B17260" s="191"/>
      <c r="C17260" s="191"/>
      <c r="D17260" s="191"/>
      <c r="E17260" s="191"/>
      <c r="F17260" s="191"/>
    </row>
    <row r="17261" spans="1:6" ht="15" customHeight="1" x14ac:dyDescent="0.25">
      <c r="A17261" s="192" t="s">
        <v>49</v>
      </c>
      <c r="B17261" s="193" t="s">
        <v>59</v>
      </c>
      <c r="C17261" s="194"/>
      <c r="D17261" s="194"/>
      <c r="E17261" s="194" t="s">
        <v>963</v>
      </c>
      <c r="F17261" s="195"/>
    </row>
    <row r="17262" spans="1:6" ht="15" customHeight="1" x14ac:dyDescent="0.25">
      <c r="A17262" s="192"/>
      <c r="B17262" s="196"/>
      <c r="C17262" s="194"/>
      <c r="D17262" s="194"/>
      <c r="E17262" s="194"/>
      <c r="F17262" s="195"/>
    </row>
    <row r="17263" spans="1:6" ht="15" customHeight="1" x14ac:dyDescent="0.25">
      <c r="A17263" s="197" t="s">
        <v>562</v>
      </c>
      <c r="B17263" s="198"/>
      <c r="C17263" s="193"/>
      <c r="D17263" s="193"/>
      <c r="E17263" s="193"/>
      <c r="F17263" s="193"/>
    </row>
    <row r="17264" spans="1:6" ht="15" customHeight="1" x14ac:dyDescent="0.25">
      <c r="A17264" s="199" t="s">
        <v>563</v>
      </c>
      <c r="B17264" s="200" t="s">
        <v>564</v>
      </c>
      <c r="C17264" s="200" t="s">
        <v>565</v>
      </c>
      <c r="D17264" s="200" t="s">
        <v>566</v>
      </c>
      <c r="E17264" s="200" t="s">
        <v>567</v>
      </c>
      <c r="F17264" s="200" t="s">
        <v>568</v>
      </c>
    </row>
    <row r="17265" spans="1:6" ht="15" customHeight="1" x14ac:dyDescent="0.25">
      <c r="A17265" s="201" t="s">
        <v>1168</v>
      </c>
      <c r="B17265" s="202" t="s">
        <v>559</v>
      </c>
      <c r="C17265" s="205">
        <f>2674500*1.19*2.5</f>
        <v>7956637.5</v>
      </c>
      <c r="D17265" s="203">
        <v>1</v>
      </c>
      <c r="E17265" s="204">
        <v>0</v>
      </c>
      <c r="F17265" s="205">
        <f>+C17265*D17265</f>
        <v>7956637.5</v>
      </c>
    </row>
    <row r="17266" spans="1:6" ht="15" customHeight="1" x14ac:dyDescent="0.25">
      <c r="A17266" s="201" t="s">
        <v>1169</v>
      </c>
      <c r="B17266" s="202" t="s">
        <v>559</v>
      </c>
      <c r="C17266" s="205">
        <f>456700*2.5</f>
        <v>1141750</v>
      </c>
      <c r="D17266" s="203">
        <v>1</v>
      </c>
      <c r="E17266" s="204">
        <v>0</v>
      </c>
      <c r="F17266" s="205">
        <f>+C17266*D17266</f>
        <v>1141750</v>
      </c>
    </row>
    <row r="17267" spans="1:6" ht="15" customHeight="1" x14ac:dyDescent="0.25">
      <c r="A17267" s="201" t="s">
        <v>1158</v>
      </c>
      <c r="B17267" s="202" t="s">
        <v>59</v>
      </c>
      <c r="C17267" s="205">
        <f>11500*2.5</f>
        <v>28750</v>
      </c>
      <c r="D17267" s="203">
        <v>30</v>
      </c>
      <c r="E17267" s="204">
        <v>0</v>
      </c>
      <c r="F17267" s="205">
        <f>+C17267*D17267</f>
        <v>862500</v>
      </c>
    </row>
    <row r="17268" spans="1:6" ht="15" customHeight="1" x14ac:dyDescent="0.25">
      <c r="A17268" s="201" t="s">
        <v>1159</v>
      </c>
      <c r="B17268" s="202" t="s">
        <v>59</v>
      </c>
      <c r="C17268" s="205">
        <f>9150*2.5</f>
        <v>22875</v>
      </c>
      <c r="D17268" s="203">
        <v>5</v>
      </c>
      <c r="E17268" s="204">
        <v>0</v>
      </c>
      <c r="F17268" s="205">
        <f>+C17268*D17268</f>
        <v>114375</v>
      </c>
    </row>
    <row r="17269" spans="1:6" ht="15" customHeight="1" x14ac:dyDescent="0.25">
      <c r="A17269" s="201"/>
      <c r="B17269" s="202"/>
      <c r="C17269" s="205"/>
      <c r="D17269" s="203"/>
      <c r="E17269" s="204"/>
      <c r="F17269" s="205"/>
    </row>
    <row r="17270" spans="1:6" ht="15" customHeight="1" x14ac:dyDescent="0.25">
      <c r="A17270" s="201"/>
      <c r="B17270" s="202"/>
      <c r="C17270" s="205"/>
      <c r="D17270" s="203"/>
      <c r="E17270" s="204"/>
      <c r="F17270" s="205"/>
    </row>
    <row r="17271" spans="1:6" ht="15" customHeight="1" x14ac:dyDescent="0.25">
      <c r="A17271" s="201"/>
      <c r="B17271" s="202"/>
      <c r="C17271" s="205"/>
      <c r="D17271" s="203"/>
      <c r="E17271" s="204"/>
      <c r="F17271" s="205"/>
    </row>
    <row r="17272" spans="1:6" ht="15" customHeight="1" x14ac:dyDescent="0.25">
      <c r="A17272" s="201"/>
      <c r="B17272" s="202"/>
      <c r="C17272" s="205"/>
      <c r="D17272" s="203"/>
      <c r="E17272" s="204"/>
      <c r="F17272" s="205"/>
    </row>
    <row r="17273" spans="1:6" ht="15" customHeight="1" x14ac:dyDescent="0.25">
      <c r="A17273" s="209" t="s">
        <v>548</v>
      </c>
      <c r="B17273" s="210"/>
      <c r="C17273" s="211"/>
      <c r="D17273" s="212"/>
      <c r="E17273" s="213"/>
      <c r="F17273" s="214">
        <f>SUM(F17265:F17272)</f>
        <v>10075262.5</v>
      </c>
    </row>
    <row r="17274" spans="1:6" ht="15" customHeight="1" x14ac:dyDescent="0.25">
      <c r="A17274" s="192"/>
      <c r="B17274" s="192"/>
      <c r="C17274" s="215"/>
      <c r="D17274" s="215"/>
      <c r="E17274" s="216"/>
      <c r="F17274" s="215"/>
    </row>
    <row r="17275" spans="1:6" ht="15" customHeight="1" x14ac:dyDescent="0.25">
      <c r="A17275" s="198" t="s">
        <v>573</v>
      </c>
      <c r="B17275" s="198"/>
      <c r="C17275" s="193"/>
      <c r="D17275" s="193"/>
      <c r="E17275" s="193"/>
      <c r="F17275" s="193"/>
    </row>
    <row r="17276" spans="1:6" ht="15" customHeight="1" x14ac:dyDescent="0.25">
      <c r="A17276" s="585" t="s">
        <v>563</v>
      </c>
      <c r="B17276" s="595"/>
      <c r="C17276" s="596"/>
      <c r="D17276" s="200" t="s">
        <v>574</v>
      </c>
      <c r="E17276" s="200" t="s">
        <v>575</v>
      </c>
      <c r="F17276" s="200" t="s">
        <v>568</v>
      </c>
    </row>
    <row r="17277" spans="1:6" ht="15" customHeight="1" x14ac:dyDescent="0.25">
      <c r="A17277" s="588" t="s">
        <v>1162</v>
      </c>
      <c r="B17277" s="591"/>
      <c r="C17277" s="592"/>
      <c r="D17277" s="217">
        <v>50000</v>
      </c>
      <c r="E17277" s="218">
        <v>0.25</v>
      </c>
      <c r="F17277" s="219">
        <f>+E17277*D17277</f>
        <v>12500</v>
      </c>
    </row>
    <row r="17278" spans="1:6" ht="15" customHeight="1" x14ac:dyDescent="0.25">
      <c r="A17278" s="588" t="s">
        <v>1163</v>
      </c>
      <c r="B17278" s="591"/>
      <c r="C17278" s="592"/>
      <c r="D17278" s="217">
        <v>50000</v>
      </c>
      <c r="E17278" s="218">
        <v>0.25</v>
      </c>
      <c r="F17278" s="219">
        <f>+E17278*D17278</f>
        <v>12500</v>
      </c>
    </row>
    <row r="17279" spans="1:6" ht="15" customHeight="1" x14ac:dyDescent="0.25">
      <c r="A17279" s="253" t="s">
        <v>1164</v>
      </c>
      <c r="B17279" s="254"/>
      <c r="C17279" s="255"/>
      <c r="D17279" s="217">
        <v>50000</v>
      </c>
      <c r="E17279" s="218">
        <v>0.25</v>
      </c>
      <c r="F17279" s="219">
        <f>+E17279*D17279</f>
        <v>12500</v>
      </c>
    </row>
    <row r="17280" spans="1:6" ht="15" customHeight="1" x14ac:dyDescent="0.25">
      <c r="A17280" s="588"/>
      <c r="B17280" s="591"/>
      <c r="C17280" s="592"/>
      <c r="D17280" s="217"/>
      <c r="E17280" s="218"/>
      <c r="F17280" s="219"/>
    </row>
    <row r="17281" spans="1:6" ht="15" customHeight="1" x14ac:dyDescent="0.25">
      <c r="A17281" s="588"/>
      <c r="B17281" s="591"/>
      <c r="C17281" s="592"/>
      <c r="D17281" s="217"/>
      <c r="E17281" s="218"/>
      <c r="F17281" s="219"/>
    </row>
    <row r="17282" spans="1:6" ht="15" customHeight="1" x14ac:dyDescent="0.25">
      <c r="A17282" s="588"/>
      <c r="B17282" s="591"/>
      <c r="C17282" s="592"/>
      <c r="D17282" s="217"/>
      <c r="E17282" s="218"/>
      <c r="F17282" s="219"/>
    </row>
    <row r="17283" spans="1:6" ht="15" customHeight="1" x14ac:dyDescent="0.25">
      <c r="A17283" s="588"/>
      <c r="B17283" s="591"/>
      <c r="C17283" s="592"/>
      <c r="D17283" s="220"/>
      <c r="E17283" s="218"/>
      <c r="F17283" s="219"/>
    </row>
    <row r="17284" spans="1:6" ht="15" customHeight="1" x14ac:dyDescent="0.25">
      <c r="A17284" s="589"/>
      <c r="B17284" s="593"/>
      <c r="C17284" s="594"/>
      <c r="D17284" s="222"/>
      <c r="E17284" s="218"/>
      <c r="F17284" s="219"/>
    </row>
    <row r="17285" spans="1:6" ht="15" customHeight="1" x14ac:dyDescent="0.25">
      <c r="A17285" s="585" t="s">
        <v>548</v>
      </c>
      <c r="B17285" s="595"/>
      <c r="C17285" s="596"/>
      <c r="D17285" s="212"/>
      <c r="E17285" s="212"/>
      <c r="F17285" s="214">
        <f>SUM(F17277:F17284)</f>
        <v>37500</v>
      </c>
    </row>
    <row r="17286" spans="1:6" ht="15" customHeight="1" x14ac:dyDescent="0.25">
      <c r="A17286" s="192"/>
      <c r="B17286" s="192"/>
      <c r="C17286" s="194"/>
      <c r="D17286" s="215"/>
      <c r="E17286" s="215"/>
      <c r="F17286" s="215"/>
    </row>
    <row r="17287" spans="1:6" ht="15" customHeight="1" x14ac:dyDescent="0.25">
      <c r="A17287" s="198" t="s">
        <v>578</v>
      </c>
      <c r="B17287" s="198"/>
      <c r="C17287" s="193"/>
      <c r="D17287" s="223"/>
      <c r="E17287" s="223"/>
      <c r="F17287" s="223"/>
    </row>
    <row r="17288" spans="1:6" ht="15" customHeight="1" x14ac:dyDescent="0.25">
      <c r="A17288" s="224" t="s">
        <v>563</v>
      </c>
      <c r="B17288" s="225" t="s">
        <v>579</v>
      </c>
      <c r="C17288" s="225" t="s">
        <v>580</v>
      </c>
      <c r="D17288" s="226" t="s">
        <v>581</v>
      </c>
      <c r="E17288" s="226" t="s">
        <v>575</v>
      </c>
      <c r="F17288" s="226" t="s">
        <v>568</v>
      </c>
    </row>
    <row r="17289" spans="1:6" ht="15" customHeight="1" x14ac:dyDescent="0.25">
      <c r="A17289" s="227" t="s">
        <v>916</v>
      </c>
      <c r="B17289" s="228">
        <v>1</v>
      </c>
      <c r="C17289" s="205">
        <f>1300000/30</f>
        <v>43333.333333333336</v>
      </c>
      <c r="D17289" s="205">
        <f>+C17289*1.7</f>
        <v>73666.666666666672</v>
      </c>
      <c r="E17289" s="202">
        <v>9</v>
      </c>
      <c r="F17289" s="219">
        <f>+E17289*D17289*B17289</f>
        <v>663000</v>
      </c>
    </row>
    <row r="17290" spans="1:6" ht="15" customHeight="1" x14ac:dyDescent="0.25">
      <c r="A17290" s="227" t="s">
        <v>917</v>
      </c>
      <c r="B17290" s="228">
        <v>1</v>
      </c>
      <c r="C17290" s="205">
        <f>1700000/30</f>
        <v>56666.666666666664</v>
      </c>
      <c r="D17290" s="205">
        <f>+C17290*1.7</f>
        <v>96333.333333333328</v>
      </c>
      <c r="E17290" s="202">
        <v>5</v>
      </c>
      <c r="F17290" s="219">
        <f t="shared" ref="F17290:F17292" si="829">+E17290*D17290*B17290</f>
        <v>481666.66666666663</v>
      </c>
    </row>
    <row r="17291" spans="1:6" ht="15" customHeight="1" x14ac:dyDescent="0.25">
      <c r="A17291" s="227" t="s">
        <v>1071</v>
      </c>
      <c r="B17291" s="228">
        <v>1</v>
      </c>
      <c r="C17291" s="205">
        <f>1300000/30</f>
        <v>43333.333333333336</v>
      </c>
      <c r="D17291" s="205">
        <f>+C17291*1.7</f>
        <v>73666.666666666672</v>
      </c>
      <c r="E17291" s="202">
        <v>5</v>
      </c>
      <c r="F17291" s="219">
        <f t="shared" si="829"/>
        <v>368333.33333333337</v>
      </c>
    </row>
    <row r="17292" spans="1:6" ht="15" customHeight="1" x14ac:dyDescent="0.25">
      <c r="A17292" s="227" t="s">
        <v>1072</v>
      </c>
      <c r="B17292" s="228">
        <v>1</v>
      </c>
      <c r="C17292" s="205">
        <f>2500000/30</f>
        <v>83333.333333333328</v>
      </c>
      <c r="D17292" s="205">
        <f>+C17292*1.7</f>
        <v>141666.66666666666</v>
      </c>
      <c r="E17292" s="202">
        <v>2</v>
      </c>
      <c r="F17292" s="219">
        <f t="shared" si="829"/>
        <v>283333.33333333331</v>
      </c>
    </row>
    <row r="17293" spans="1:6" ht="15" customHeight="1" x14ac:dyDescent="0.25">
      <c r="A17293" s="209" t="s">
        <v>548</v>
      </c>
      <c r="B17293" s="229"/>
      <c r="C17293" s="212"/>
      <c r="D17293" s="212"/>
      <c r="E17293" s="202"/>
      <c r="F17293" s="214">
        <f>SUM(F17289:F17292)</f>
        <v>1796333.3333333333</v>
      </c>
    </row>
    <row r="17294" spans="1:6" ht="15" customHeight="1" x14ac:dyDescent="0.25">
      <c r="A17294" s="198"/>
      <c r="B17294" s="231"/>
      <c r="C17294" s="223"/>
      <c r="D17294" s="223"/>
      <c r="E17294" s="223"/>
      <c r="F17294" s="223"/>
    </row>
    <row r="17295" spans="1:6" ht="15" customHeight="1" x14ac:dyDescent="0.25">
      <c r="A17295" s="197" t="s">
        <v>583</v>
      </c>
      <c r="B17295" s="198"/>
      <c r="C17295" s="193"/>
      <c r="D17295" s="193"/>
      <c r="E17295" s="193" t="s">
        <v>584</v>
      </c>
      <c r="F17295" s="193"/>
    </row>
    <row r="17296" spans="1:6" ht="15" customHeight="1" x14ac:dyDescent="0.25">
      <c r="A17296" s="199" t="s">
        <v>563</v>
      </c>
      <c r="B17296" s="200" t="s">
        <v>564</v>
      </c>
      <c r="C17296" s="200" t="s">
        <v>585</v>
      </c>
      <c r="D17296" s="200" t="s">
        <v>586</v>
      </c>
      <c r="E17296" s="225" t="s">
        <v>587</v>
      </c>
      <c r="F17296" s="200" t="s">
        <v>568</v>
      </c>
    </row>
    <row r="17297" spans="1:6" ht="15" customHeight="1" x14ac:dyDescent="0.25">
      <c r="A17297" s="232"/>
      <c r="B17297" s="202"/>
      <c r="C17297" s="205"/>
      <c r="D17297" s="233"/>
      <c r="E17297" s="234"/>
      <c r="F17297" s="211"/>
    </row>
    <row r="17298" spans="1:6" ht="15" customHeight="1" x14ac:dyDescent="0.25">
      <c r="A17298" s="232"/>
      <c r="B17298" s="202"/>
      <c r="C17298" s="218"/>
      <c r="D17298" s="235"/>
      <c r="E17298" s="236"/>
      <c r="F17298" s="211"/>
    </row>
    <row r="17299" spans="1:6" ht="15" customHeight="1" x14ac:dyDescent="0.25">
      <c r="A17299" s="209" t="s">
        <v>548</v>
      </c>
      <c r="B17299" s="230"/>
      <c r="C17299" s="212"/>
      <c r="D17299" s="212"/>
      <c r="E17299" s="213"/>
      <c r="F17299" s="214">
        <f>SUM(F17297:F17298)</f>
        <v>0</v>
      </c>
    </row>
    <row r="17300" spans="1:6" ht="15" customHeight="1" x14ac:dyDescent="0.25">
      <c r="A17300" s="192"/>
      <c r="B17300" s="194"/>
      <c r="C17300" s="215"/>
      <c r="D17300" s="215"/>
      <c r="E17300" s="216"/>
      <c r="F17300" s="215"/>
    </row>
    <row r="17301" spans="1:6" ht="15" customHeight="1" x14ac:dyDescent="0.25">
      <c r="A17301" s="192"/>
      <c r="B17301" s="194"/>
      <c r="C17301" s="215"/>
      <c r="D17301" s="215"/>
      <c r="E17301" s="216"/>
      <c r="F17301" s="215"/>
    </row>
    <row r="17302" spans="1:6" ht="15" customHeight="1" x14ac:dyDescent="0.25">
      <c r="A17302" s="590" t="s">
        <v>588</v>
      </c>
      <c r="B17302" s="597"/>
      <c r="C17302" s="597"/>
      <c r="D17302" s="597"/>
      <c r="E17302" s="598"/>
      <c r="F17302" s="237">
        <f>SUM(+F17299+F17293+F17285+F17273)</f>
        <v>11909095.833333334</v>
      </c>
    </row>
    <row r="17303" spans="1:6" ht="15" customHeight="1" x14ac:dyDescent="0.25">
      <c r="A17303" s="590" t="s">
        <v>589</v>
      </c>
      <c r="B17303" s="597"/>
      <c r="C17303" s="597"/>
      <c r="D17303" s="597"/>
      <c r="E17303" s="598"/>
      <c r="F17303" s="238"/>
    </row>
    <row r="17304" spans="1:6" ht="15" customHeight="1" x14ac:dyDescent="0.25">
      <c r="A17304" s="239" t="s">
        <v>556</v>
      </c>
      <c r="B17304" s="240"/>
      <c r="C17304" s="240"/>
      <c r="D17304" s="240"/>
      <c r="E17304" s="241"/>
      <c r="F17304" s="242"/>
    </row>
    <row r="17306" spans="1:6" ht="15" customHeight="1" thickBot="1" x14ac:dyDescent="0.3"/>
    <row r="17307" spans="1:6" ht="15" customHeight="1" x14ac:dyDescent="0.25">
      <c r="A17307" s="83"/>
      <c r="B17307" s="84"/>
      <c r="C17307" s="85"/>
      <c r="D17307" s="86"/>
      <c r="E17307" s="86"/>
      <c r="F17307" s="87"/>
    </row>
    <row r="17308" spans="1:6" ht="15" customHeight="1" x14ac:dyDescent="0.25">
      <c r="A17308" s="599"/>
      <c r="B17308" s="600"/>
      <c r="C17308" s="600"/>
      <c r="D17308" s="600"/>
      <c r="E17308" s="600"/>
      <c r="F17308" s="601"/>
    </row>
    <row r="17309" spans="1:6" ht="15" customHeight="1" x14ac:dyDescent="0.25">
      <c r="A17309" s="602" t="s">
        <v>561</v>
      </c>
      <c r="B17309" s="600"/>
      <c r="C17309" s="600"/>
      <c r="D17309" s="600"/>
      <c r="E17309" s="600"/>
      <c r="F17309" s="601"/>
    </row>
    <row r="17310" spans="1:6" ht="15" customHeight="1" thickBot="1" x14ac:dyDescent="0.3">
      <c r="A17310" s="603"/>
      <c r="B17310" s="604"/>
      <c r="C17310" s="604"/>
      <c r="D17310" s="604"/>
      <c r="E17310" s="604"/>
      <c r="F17310" s="605"/>
    </row>
    <row r="17312" spans="1:6" ht="15" customHeight="1" x14ac:dyDescent="0.25">
      <c r="A17312" s="190" t="s">
        <v>1171</v>
      </c>
      <c r="B17312" s="606" t="s">
        <v>1188</v>
      </c>
      <c r="C17312" s="606"/>
      <c r="D17312" s="606"/>
      <c r="E17312" s="606"/>
      <c r="F17312" s="606"/>
    </row>
    <row r="17313" spans="1:6" ht="15" customHeight="1" x14ac:dyDescent="0.25">
      <c r="A17313" s="191"/>
      <c r="B17313" s="191"/>
      <c r="C17313" s="191"/>
      <c r="D17313" s="191"/>
      <c r="E17313" s="191"/>
      <c r="F17313" s="191"/>
    </row>
    <row r="17314" spans="1:6" ht="15" customHeight="1" x14ac:dyDescent="0.25">
      <c r="A17314" s="192" t="s">
        <v>49</v>
      </c>
      <c r="B17314" s="193" t="s">
        <v>59</v>
      </c>
      <c r="C17314" s="194"/>
      <c r="D17314" s="194"/>
      <c r="E17314" s="194" t="s">
        <v>963</v>
      </c>
      <c r="F17314" s="195"/>
    </row>
    <row r="17315" spans="1:6" ht="15" customHeight="1" x14ac:dyDescent="0.25">
      <c r="A17315" s="192"/>
      <c r="B17315" s="196"/>
      <c r="C17315" s="194"/>
      <c r="D17315" s="194"/>
      <c r="E17315" s="194"/>
      <c r="F17315" s="195"/>
    </row>
    <row r="17316" spans="1:6" ht="15" customHeight="1" x14ac:dyDescent="0.25">
      <c r="A17316" s="197" t="s">
        <v>562</v>
      </c>
      <c r="B17316" s="198"/>
      <c r="C17316" s="193"/>
      <c r="D17316" s="193"/>
      <c r="E17316" s="193"/>
      <c r="F17316" s="193"/>
    </row>
    <row r="17317" spans="1:6" ht="15" customHeight="1" x14ac:dyDescent="0.25">
      <c r="A17317" s="199" t="s">
        <v>563</v>
      </c>
      <c r="B17317" s="200" t="s">
        <v>564</v>
      </c>
      <c r="C17317" s="200" t="s">
        <v>565</v>
      </c>
      <c r="D17317" s="200" t="s">
        <v>566</v>
      </c>
      <c r="E17317" s="200" t="s">
        <v>567</v>
      </c>
      <c r="F17317" s="200" t="s">
        <v>568</v>
      </c>
    </row>
    <row r="17318" spans="1:6" ht="15" customHeight="1" x14ac:dyDescent="0.25">
      <c r="A17318" s="201" t="s">
        <v>1172</v>
      </c>
      <c r="B17318" s="202" t="s">
        <v>279</v>
      </c>
      <c r="C17318" s="205">
        <f>234000*1.19*2.5</f>
        <v>696150</v>
      </c>
      <c r="D17318" s="203">
        <v>6</v>
      </c>
      <c r="E17318" s="204">
        <v>0</v>
      </c>
      <c r="F17318" s="205">
        <f t="shared" ref="F17318:F17325" si="830">+C17318*D17318</f>
        <v>4176900</v>
      </c>
    </row>
    <row r="17319" spans="1:6" ht="15" customHeight="1" x14ac:dyDescent="0.25">
      <c r="A17319" s="201" t="s">
        <v>1173</v>
      </c>
      <c r="B17319" s="202" t="s">
        <v>279</v>
      </c>
      <c r="C17319" s="205">
        <f>150000*2.5</f>
        <v>375000</v>
      </c>
      <c r="D17319" s="203">
        <v>12</v>
      </c>
      <c r="E17319" s="204">
        <v>0</v>
      </c>
      <c r="F17319" s="205">
        <f t="shared" si="830"/>
        <v>4500000</v>
      </c>
    </row>
    <row r="17320" spans="1:6" ht="15" customHeight="1" x14ac:dyDescent="0.25">
      <c r="A17320" s="201" t="s">
        <v>1174</v>
      </c>
      <c r="B17320" s="202" t="s">
        <v>279</v>
      </c>
      <c r="C17320" s="205">
        <f>15000*2.5</f>
        <v>37500</v>
      </c>
      <c r="D17320" s="203">
        <v>12</v>
      </c>
      <c r="E17320" s="204">
        <v>0</v>
      </c>
      <c r="F17320" s="205">
        <f t="shared" si="830"/>
        <v>450000</v>
      </c>
    </row>
    <row r="17321" spans="1:6" ht="15" customHeight="1" x14ac:dyDescent="0.25">
      <c r="A17321" s="201" t="s">
        <v>1158</v>
      </c>
      <c r="B17321" s="202" t="s">
        <v>59</v>
      </c>
      <c r="C17321" s="205">
        <f>11500*2.5</f>
        <v>28750</v>
      </c>
      <c r="D17321" s="203">
        <v>80</v>
      </c>
      <c r="E17321" s="204">
        <v>0</v>
      </c>
      <c r="F17321" s="205">
        <f t="shared" si="830"/>
        <v>2300000</v>
      </c>
    </row>
    <row r="17322" spans="1:6" ht="15" customHeight="1" x14ac:dyDescent="0.25">
      <c r="A17322" s="201" t="s">
        <v>1175</v>
      </c>
      <c r="B17322" s="202" t="s">
        <v>279</v>
      </c>
      <c r="C17322" s="205">
        <f>56000*2.5</f>
        <v>140000</v>
      </c>
      <c r="D17322" s="203">
        <v>12</v>
      </c>
      <c r="E17322" s="204">
        <v>0</v>
      </c>
      <c r="F17322" s="205">
        <f t="shared" si="830"/>
        <v>1680000</v>
      </c>
    </row>
    <row r="17323" spans="1:6" ht="15" customHeight="1" x14ac:dyDescent="0.25">
      <c r="A17323" s="201" t="s">
        <v>1176</v>
      </c>
      <c r="B17323" s="202" t="s">
        <v>279</v>
      </c>
      <c r="C17323" s="205">
        <f>46000*2.5</f>
        <v>115000</v>
      </c>
      <c r="D17323" s="203">
        <v>12</v>
      </c>
      <c r="E17323" s="204">
        <v>0</v>
      </c>
      <c r="F17323" s="205">
        <f t="shared" si="830"/>
        <v>1380000</v>
      </c>
    </row>
    <row r="17324" spans="1:6" ht="15" customHeight="1" x14ac:dyDescent="0.25">
      <c r="A17324" s="201" t="s">
        <v>1147</v>
      </c>
      <c r="B17324" s="202" t="s">
        <v>651</v>
      </c>
      <c r="C17324" s="205">
        <f>120000*2.5</f>
        <v>300000</v>
      </c>
      <c r="D17324" s="203">
        <v>4</v>
      </c>
      <c r="E17324" s="204">
        <v>0</v>
      </c>
      <c r="F17324" s="205">
        <f t="shared" si="830"/>
        <v>1200000</v>
      </c>
    </row>
    <row r="17325" spans="1:6" ht="15" customHeight="1" x14ac:dyDescent="0.25">
      <c r="A17325" s="201" t="s">
        <v>1148</v>
      </c>
      <c r="B17325" s="202" t="s">
        <v>117</v>
      </c>
      <c r="C17325" s="205">
        <v>5000</v>
      </c>
      <c r="D17325" s="203">
        <v>20</v>
      </c>
      <c r="E17325" s="204">
        <v>0</v>
      </c>
      <c r="F17325" s="205">
        <f t="shared" si="830"/>
        <v>100000</v>
      </c>
    </row>
    <row r="17326" spans="1:6" ht="15" customHeight="1" x14ac:dyDescent="0.25">
      <c r="A17326" s="201"/>
      <c r="B17326" s="202"/>
      <c r="C17326" s="205"/>
      <c r="D17326" s="203"/>
      <c r="E17326" s="204"/>
      <c r="F17326" s="205"/>
    </row>
    <row r="17327" spans="1:6" ht="15" customHeight="1" x14ac:dyDescent="0.25">
      <c r="A17327" s="209" t="s">
        <v>548</v>
      </c>
      <c r="B17327" s="210"/>
      <c r="C17327" s="211"/>
      <c r="D17327" s="212"/>
      <c r="E17327" s="213"/>
      <c r="F17327" s="214">
        <f>SUM(F17318:F17326)</f>
        <v>15786900</v>
      </c>
    </row>
    <row r="17328" spans="1:6" ht="15" customHeight="1" x14ac:dyDescent="0.25">
      <c r="A17328" s="192"/>
      <c r="B17328" s="192"/>
      <c r="C17328" s="215"/>
      <c r="D17328" s="215"/>
      <c r="E17328" s="216"/>
      <c r="F17328" s="215"/>
    </row>
    <row r="17329" spans="1:6" ht="15" customHeight="1" x14ac:dyDescent="0.25">
      <c r="A17329" s="198" t="s">
        <v>573</v>
      </c>
      <c r="B17329" s="198"/>
      <c r="C17329" s="193"/>
      <c r="D17329" s="193"/>
      <c r="E17329" s="193"/>
      <c r="F17329" s="193"/>
    </row>
    <row r="17330" spans="1:6" ht="15" customHeight="1" x14ac:dyDescent="0.25">
      <c r="A17330" s="585" t="s">
        <v>563</v>
      </c>
      <c r="B17330" s="595"/>
      <c r="C17330" s="596"/>
      <c r="D17330" s="200" t="s">
        <v>574</v>
      </c>
      <c r="E17330" s="200" t="s">
        <v>575</v>
      </c>
      <c r="F17330" s="200" t="s">
        <v>568</v>
      </c>
    </row>
    <row r="17331" spans="1:6" ht="15" customHeight="1" x14ac:dyDescent="0.25">
      <c r="A17331" s="588" t="s">
        <v>1177</v>
      </c>
      <c r="B17331" s="591"/>
      <c r="C17331" s="592"/>
      <c r="D17331" s="217">
        <v>250000</v>
      </c>
      <c r="E17331" s="218">
        <v>10</v>
      </c>
      <c r="F17331" s="219">
        <f>+E17331*D17331</f>
        <v>2500000</v>
      </c>
    </row>
    <row r="17332" spans="1:6" ht="15" customHeight="1" x14ac:dyDescent="0.25">
      <c r="A17332" s="588" t="s">
        <v>1178</v>
      </c>
      <c r="B17332" s="591"/>
      <c r="C17332" s="592"/>
      <c r="D17332" s="217">
        <v>150000</v>
      </c>
      <c r="E17332" s="218">
        <v>10</v>
      </c>
      <c r="F17332" s="219">
        <f>+E17332*D17332</f>
        <v>1500000</v>
      </c>
    </row>
    <row r="17333" spans="1:6" ht="15" customHeight="1" x14ac:dyDescent="0.25">
      <c r="A17333" s="588"/>
      <c r="B17333" s="591"/>
      <c r="C17333" s="592"/>
      <c r="D17333" s="217"/>
      <c r="E17333" s="218"/>
      <c r="F17333" s="219"/>
    </row>
    <row r="17334" spans="1:6" ht="15" customHeight="1" x14ac:dyDescent="0.25">
      <c r="A17334" s="588"/>
      <c r="B17334" s="591"/>
      <c r="C17334" s="592"/>
      <c r="D17334" s="217"/>
      <c r="E17334" s="218"/>
      <c r="F17334" s="219"/>
    </row>
    <row r="17335" spans="1:6" ht="15" customHeight="1" x14ac:dyDescent="0.25">
      <c r="A17335" s="588"/>
      <c r="B17335" s="591"/>
      <c r="C17335" s="592"/>
      <c r="D17335" s="217"/>
      <c r="E17335" s="218"/>
      <c r="F17335" s="219"/>
    </row>
    <row r="17336" spans="1:6" ht="15" customHeight="1" x14ac:dyDescent="0.25">
      <c r="A17336" s="588"/>
      <c r="B17336" s="591"/>
      <c r="C17336" s="592"/>
      <c r="D17336" s="220"/>
      <c r="E17336" s="218"/>
      <c r="F17336" s="219"/>
    </row>
    <row r="17337" spans="1:6" ht="15" customHeight="1" x14ac:dyDescent="0.25">
      <c r="A17337" s="589"/>
      <c r="B17337" s="593"/>
      <c r="C17337" s="594"/>
      <c r="D17337" s="222"/>
      <c r="E17337" s="218"/>
      <c r="F17337" s="219"/>
    </row>
    <row r="17338" spans="1:6" ht="15" customHeight="1" x14ac:dyDescent="0.25">
      <c r="A17338" s="585" t="s">
        <v>548</v>
      </c>
      <c r="B17338" s="595"/>
      <c r="C17338" s="596"/>
      <c r="D17338" s="212"/>
      <c r="E17338" s="212"/>
      <c r="F17338" s="214">
        <f>SUM(F17331:F17337)</f>
        <v>4000000</v>
      </c>
    </row>
    <row r="17339" spans="1:6" ht="15" customHeight="1" x14ac:dyDescent="0.25">
      <c r="A17339" s="192"/>
      <c r="B17339" s="192"/>
      <c r="C17339" s="194"/>
      <c r="D17339" s="215"/>
      <c r="E17339" s="215"/>
      <c r="F17339" s="215"/>
    </row>
    <row r="17340" spans="1:6" ht="15" customHeight="1" x14ac:dyDescent="0.25">
      <c r="A17340" s="198" t="s">
        <v>578</v>
      </c>
      <c r="B17340" s="198"/>
      <c r="C17340" s="193"/>
      <c r="D17340" s="223"/>
      <c r="E17340" s="223"/>
      <c r="F17340" s="223"/>
    </row>
    <row r="17341" spans="1:6" ht="15" customHeight="1" x14ac:dyDescent="0.25">
      <c r="A17341" s="224" t="s">
        <v>563</v>
      </c>
      <c r="B17341" s="225" t="s">
        <v>579</v>
      </c>
      <c r="C17341" s="225" t="s">
        <v>580</v>
      </c>
      <c r="D17341" s="226" t="s">
        <v>581</v>
      </c>
      <c r="E17341" s="226" t="s">
        <v>575</v>
      </c>
      <c r="F17341" s="226" t="s">
        <v>568</v>
      </c>
    </row>
    <row r="17342" spans="1:6" ht="15" customHeight="1" x14ac:dyDescent="0.25">
      <c r="A17342" s="227" t="s">
        <v>916</v>
      </c>
      <c r="B17342" s="228">
        <v>1</v>
      </c>
      <c r="C17342" s="205">
        <f>1300000/30</f>
        <v>43333.333333333336</v>
      </c>
      <c r="D17342" s="205">
        <f>+C17342*1.7</f>
        <v>73666.666666666672</v>
      </c>
      <c r="E17342" s="202">
        <v>9</v>
      </c>
      <c r="F17342" s="219">
        <f>+E17342*D17342*B17342</f>
        <v>663000</v>
      </c>
    </row>
    <row r="17343" spans="1:6" ht="15" customHeight="1" x14ac:dyDescent="0.25">
      <c r="A17343" s="227" t="s">
        <v>917</v>
      </c>
      <c r="B17343" s="228">
        <v>1</v>
      </c>
      <c r="C17343" s="205">
        <f>1700000/30</f>
        <v>56666.666666666664</v>
      </c>
      <c r="D17343" s="205">
        <f>+C17343*1.7</f>
        <v>96333.333333333328</v>
      </c>
      <c r="E17343" s="202">
        <v>5</v>
      </c>
      <c r="F17343" s="219">
        <f t="shared" ref="F17343:F17345" si="831">+E17343*D17343*B17343</f>
        <v>481666.66666666663</v>
      </c>
    </row>
    <row r="17344" spans="1:6" ht="15" customHeight="1" x14ac:dyDescent="0.25">
      <c r="A17344" s="227" t="s">
        <v>1071</v>
      </c>
      <c r="B17344" s="228">
        <v>1</v>
      </c>
      <c r="C17344" s="205">
        <f>1300000/30</f>
        <v>43333.333333333336</v>
      </c>
      <c r="D17344" s="205">
        <f>+C17344*1.7</f>
        <v>73666.666666666672</v>
      </c>
      <c r="E17344" s="202">
        <v>5</v>
      </c>
      <c r="F17344" s="219">
        <f t="shared" si="831"/>
        <v>368333.33333333337</v>
      </c>
    </row>
    <row r="17345" spans="1:6" ht="15" customHeight="1" x14ac:dyDescent="0.25">
      <c r="A17345" s="227" t="s">
        <v>1072</v>
      </c>
      <c r="B17345" s="228">
        <v>1</v>
      </c>
      <c r="C17345" s="205">
        <f>2500000/30</f>
        <v>83333.333333333328</v>
      </c>
      <c r="D17345" s="205">
        <f>+C17345*1.7</f>
        <v>141666.66666666666</v>
      </c>
      <c r="E17345" s="202">
        <v>2</v>
      </c>
      <c r="F17345" s="219">
        <f t="shared" si="831"/>
        <v>283333.33333333331</v>
      </c>
    </row>
    <row r="17346" spans="1:6" ht="15" customHeight="1" x14ac:dyDescent="0.25">
      <c r="A17346" s="209" t="s">
        <v>548</v>
      </c>
      <c r="B17346" s="229"/>
      <c r="C17346" s="212"/>
      <c r="D17346" s="212"/>
      <c r="E17346" s="202"/>
      <c r="F17346" s="214">
        <f>SUM(F17342:F17345)</f>
        <v>1796333.3333333333</v>
      </c>
    </row>
    <row r="17347" spans="1:6" ht="15" customHeight="1" x14ac:dyDescent="0.25">
      <c r="A17347" s="198"/>
      <c r="B17347" s="231"/>
      <c r="C17347" s="223"/>
      <c r="D17347" s="223"/>
      <c r="E17347" s="223"/>
      <c r="F17347" s="223"/>
    </row>
    <row r="17348" spans="1:6" ht="15" customHeight="1" x14ac:dyDescent="0.25">
      <c r="A17348" s="197" t="s">
        <v>583</v>
      </c>
      <c r="B17348" s="198"/>
      <c r="C17348" s="193"/>
      <c r="D17348" s="193"/>
      <c r="E17348" s="193" t="s">
        <v>584</v>
      </c>
      <c r="F17348" s="193"/>
    </row>
    <row r="17349" spans="1:6" ht="15" customHeight="1" x14ac:dyDescent="0.25">
      <c r="A17349" s="199" t="s">
        <v>563</v>
      </c>
      <c r="B17349" s="200" t="s">
        <v>564</v>
      </c>
      <c r="C17349" s="200" t="s">
        <v>585</v>
      </c>
      <c r="D17349" s="200" t="s">
        <v>586</v>
      </c>
      <c r="E17349" s="225" t="s">
        <v>587</v>
      </c>
      <c r="F17349" s="200" t="s">
        <v>568</v>
      </c>
    </row>
    <row r="17350" spans="1:6" ht="15" customHeight="1" x14ac:dyDescent="0.25">
      <c r="A17350" s="232"/>
      <c r="B17350" s="202"/>
      <c r="C17350" s="205"/>
      <c r="D17350" s="233"/>
      <c r="E17350" s="234"/>
      <c r="F17350" s="211"/>
    </row>
    <row r="17351" spans="1:6" ht="15" customHeight="1" x14ac:dyDescent="0.25">
      <c r="A17351" s="232"/>
      <c r="B17351" s="202"/>
      <c r="C17351" s="218"/>
      <c r="D17351" s="235"/>
      <c r="E17351" s="236"/>
      <c r="F17351" s="211"/>
    </row>
    <row r="17352" spans="1:6" ht="15" customHeight="1" x14ac:dyDescent="0.25">
      <c r="A17352" s="209" t="s">
        <v>548</v>
      </c>
      <c r="B17352" s="230"/>
      <c r="C17352" s="212"/>
      <c r="D17352" s="212"/>
      <c r="E17352" s="213"/>
      <c r="F17352" s="214">
        <f>SUM(F17350:F17351)</f>
        <v>0</v>
      </c>
    </row>
    <row r="17353" spans="1:6" ht="15" customHeight="1" x14ac:dyDescent="0.25">
      <c r="A17353" s="192"/>
      <c r="B17353" s="194"/>
      <c r="C17353" s="215"/>
      <c r="D17353" s="215"/>
      <c r="E17353" s="216"/>
      <c r="F17353" s="215"/>
    </row>
    <row r="17354" spans="1:6" ht="15" customHeight="1" x14ac:dyDescent="0.25">
      <c r="A17354" s="192"/>
      <c r="B17354" s="194"/>
      <c r="C17354" s="215"/>
      <c r="D17354" s="215"/>
      <c r="E17354" s="216"/>
      <c r="F17354" s="215"/>
    </row>
    <row r="17355" spans="1:6" ht="15" customHeight="1" x14ac:dyDescent="0.25">
      <c r="A17355" s="590" t="s">
        <v>588</v>
      </c>
      <c r="B17355" s="597"/>
      <c r="C17355" s="597"/>
      <c r="D17355" s="597"/>
      <c r="E17355" s="598"/>
      <c r="F17355" s="237">
        <f>SUM(+F17352+F17346+F17338+F17327)</f>
        <v>21583233.333333332</v>
      </c>
    </row>
    <row r="17357" spans="1:6" ht="15" customHeight="1" thickBot="1" x14ac:dyDescent="0.3"/>
    <row r="17358" spans="1:6" ht="15" customHeight="1" x14ac:dyDescent="0.25">
      <c r="A17358" s="83"/>
      <c r="B17358" s="84"/>
      <c r="C17358" s="85"/>
      <c r="D17358" s="86"/>
      <c r="E17358" s="86"/>
      <c r="F17358" s="87"/>
    </row>
    <row r="17359" spans="1:6" ht="15" customHeight="1" x14ac:dyDescent="0.25">
      <c r="A17359" s="599"/>
      <c r="B17359" s="600"/>
      <c r="C17359" s="600"/>
      <c r="D17359" s="600"/>
      <c r="E17359" s="600"/>
      <c r="F17359" s="601"/>
    </row>
    <row r="17360" spans="1:6" ht="15" customHeight="1" x14ac:dyDescent="0.25">
      <c r="A17360" s="602" t="s">
        <v>561</v>
      </c>
      <c r="B17360" s="600"/>
      <c r="C17360" s="600"/>
      <c r="D17360" s="600"/>
      <c r="E17360" s="600"/>
      <c r="F17360" s="601"/>
    </row>
    <row r="17361" spans="1:6" ht="15" customHeight="1" thickBot="1" x14ac:dyDescent="0.3">
      <c r="A17361" s="603"/>
      <c r="B17361" s="604"/>
      <c r="C17361" s="604"/>
      <c r="D17361" s="604"/>
      <c r="E17361" s="604"/>
      <c r="F17361" s="605"/>
    </row>
    <row r="17363" spans="1:6" ht="15" customHeight="1" x14ac:dyDescent="0.25">
      <c r="A17363" s="190" t="s">
        <v>1179</v>
      </c>
      <c r="B17363" s="606" t="s">
        <v>1187</v>
      </c>
      <c r="C17363" s="606"/>
      <c r="D17363" s="606"/>
      <c r="E17363" s="606"/>
      <c r="F17363" s="606"/>
    </row>
    <row r="17364" spans="1:6" ht="15" customHeight="1" x14ac:dyDescent="0.25">
      <c r="A17364" s="191"/>
      <c r="B17364" s="191"/>
      <c r="C17364" s="191"/>
      <c r="D17364" s="191"/>
      <c r="E17364" s="191"/>
      <c r="F17364" s="191"/>
    </row>
    <row r="17365" spans="1:6" ht="15" customHeight="1" x14ac:dyDescent="0.25">
      <c r="A17365" s="192" t="s">
        <v>49</v>
      </c>
      <c r="B17365" s="193" t="s">
        <v>59</v>
      </c>
      <c r="C17365" s="194"/>
      <c r="D17365" s="194"/>
      <c r="E17365" s="194" t="s">
        <v>963</v>
      </c>
      <c r="F17365" s="195"/>
    </row>
    <row r="17366" spans="1:6" ht="15" customHeight="1" x14ac:dyDescent="0.25">
      <c r="A17366" s="192"/>
      <c r="B17366" s="196"/>
      <c r="C17366" s="194"/>
      <c r="D17366" s="194"/>
      <c r="E17366" s="194"/>
      <c r="F17366" s="195"/>
    </row>
    <row r="17367" spans="1:6" ht="15" customHeight="1" x14ac:dyDescent="0.25">
      <c r="A17367" s="197" t="s">
        <v>562</v>
      </c>
      <c r="B17367" s="198"/>
      <c r="C17367" s="193"/>
      <c r="D17367" s="193"/>
      <c r="E17367" s="193"/>
      <c r="F17367" s="193"/>
    </row>
    <row r="17368" spans="1:6" ht="15" customHeight="1" x14ac:dyDescent="0.25">
      <c r="A17368" s="199" t="s">
        <v>563</v>
      </c>
      <c r="B17368" s="200" t="s">
        <v>564</v>
      </c>
      <c r="C17368" s="200" t="s">
        <v>565</v>
      </c>
      <c r="D17368" s="200" t="s">
        <v>566</v>
      </c>
      <c r="E17368" s="200" t="s">
        <v>567</v>
      </c>
      <c r="F17368" s="200" t="s">
        <v>568</v>
      </c>
    </row>
    <row r="17369" spans="1:6" ht="15" customHeight="1" x14ac:dyDescent="0.25">
      <c r="A17369" s="201" t="s">
        <v>1180</v>
      </c>
      <c r="B17369" s="202" t="s">
        <v>279</v>
      </c>
      <c r="C17369" s="205">
        <f>78900*2.5</f>
        <v>197250</v>
      </c>
      <c r="D17369" s="203">
        <v>1</v>
      </c>
      <c r="E17369" s="204">
        <v>0</v>
      </c>
      <c r="F17369" s="205">
        <f t="shared" ref="F17369:F17374" si="832">+C17369*D17369</f>
        <v>197250</v>
      </c>
    </row>
    <row r="17370" spans="1:6" ht="15" customHeight="1" x14ac:dyDescent="0.25">
      <c r="A17370" s="201" t="s">
        <v>1181</v>
      </c>
      <c r="B17370" s="202" t="s">
        <v>59</v>
      </c>
      <c r="C17370" s="205">
        <f>6500*2.5</f>
        <v>16250</v>
      </c>
      <c r="D17370" s="203">
        <v>5</v>
      </c>
      <c r="E17370" s="204">
        <v>0</v>
      </c>
      <c r="F17370" s="205">
        <f t="shared" si="832"/>
        <v>81250</v>
      </c>
    </row>
    <row r="17371" spans="1:6" ht="15" customHeight="1" x14ac:dyDescent="0.25">
      <c r="A17371" s="201" t="s">
        <v>1182</v>
      </c>
      <c r="B17371" s="202" t="s">
        <v>279</v>
      </c>
      <c r="C17371" s="205">
        <v>800</v>
      </c>
      <c r="D17371" s="203">
        <v>15</v>
      </c>
      <c r="E17371" s="204">
        <v>0</v>
      </c>
      <c r="F17371" s="205">
        <f t="shared" si="832"/>
        <v>12000</v>
      </c>
    </row>
    <row r="17372" spans="1:6" ht="15" customHeight="1" x14ac:dyDescent="0.25">
      <c r="A17372" s="201" t="s">
        <v>1183</v>
      </c>
      <c r="B17372" s="202" t="s">
        <v>279</v>
      </c>
      <c r="C17372" s="205">
        <f>7500*2.5</f>
        <v>18750</v>
      </c>
      <c r="D17372" s="203">
        <v>5</v>
      </c>
      <c r="E17372" s="204">
        <v>0</v>
      </c>
      <c r="F17372" s="205">
        <f t="shared" si="832"/>
        <v>93750</v>
      </c>
    </row>
    <row r="17373" spans="1:6" ht="15" customHeight="1" x14ac:dyDescent="0.25">
      <c r="A17373" s="201" t="s">
        <v>1184</v>
      </c>
      <c r="B17373" s="202" t="s">
        <v>59</v>
      </c>
      <c r="C17373" s="205">
        <f>2500*2.5</f>
        <v>6250</v>
      </c>
      <c r="D17373" s="203">
        <v>20</v>
      </c>
      <c r="E17373" s="204">
        <v>0</v>
      </c>
      <c r="F17373" s="205">
        <f t="shared" si="832"/>
        <v>125000</v>
      </c>
    </row>
    <row r="17374" spans="1:6" ht="15" customHeight="1" x14ac:dyDescent="0.25">
      <c r="A17374" s="201" t="s">
        <v>1185</v>
      </c>
      <c r="B17374" s="202" t="s">
        <v>279</v>
      </c>
      <c r="C17374" s="205">
        <f>2500*2.5</f>
        <v>6250</v>
      </c>
      <c r="D17374" s="203">
        <v>1</v>
      </c>
      <c r="E17374" s="204">
        <v>0</v>
      </c>
      <c r="F17374" s="205">
        <f t="shared" si="832"/>
        <v>6250</v>
      </c>
    </row>
    <row r="17375" spans="1:6" ht="15" customHeight="1" x14ac:dyDescent="0.25">
      <c r="A17375" s="201"/>
      <c r="B17375" s="202"/>
      <c r="C17375" s="205"/>
      <c r="D17375" s="203"/>
      <c r="E17375" s="204"/>
      <c r="F17375" s="205"/>
    </row>
    <row r="17376" spans="1:6" ht="15" customHeight="1" x14ac:dyDescent="0.25">
      <c r="A17376" s="201"/>
      <c r="B17376" s="202"/>
      <c r="C17376" s="205"/>
      <c r="D17376" s="203"/>
      <c r="E17376" s="204"/>
      <c r="F17376" s="205"/>
    </row>
    <row r="17377" spans="1:6" ht="15" customHeight="1" x14ac:dyDescent="0.25">
      <c r="A17377" s="201"/>
      <c r="B17377" s="202"/>
      <c r="C17377" s="205"/>
      <c r="D17377" s="203"/>
      <c r="E17377" s="204"/>
      <c r="F17377" s="205"/>
    </row>
    <row r="17378" spans="1:6" ht="15" customHeight="1" x14ac:dyDescent="0.25">
      <c r="A17378" s="201"/>
      <c r="B17378" s="202"/>
      <c r="C17378" s="205"/>
      <c r="D17378" s="203"/>
      <c r="E17378" s="204"/>
      <c r="F17378" s="205"/>
    </row>
    <row r="17379" spans="1:6" ht="15" customHeight="1" x14ac:dyDescent="0.25">
      <c r="A17379" s="209" t="s">
        <v>548</v>
      </c>
      <c r="B17379" s="210"/>
      <c r="C17379" s="211"/>
      <c r="D17379" s="212"/>
      <c r="E17379" s="213"/>
      <c r="F17379" s="214">
        <f>SUM(F17369:F17378)</f>
        <v>515500</v>
      </c>
    </row>
    <row r="17380" spans="1:6" ht="15" customHeight="1" x14ac:dyDescent="0.25">
      <c r="A17380" s="192"/>
      <c r="B17380" s="192"/>
      <c r="C17380" s="215"/>
      <c r="D17380" s="215"/>
      <c r="E17380" s="216"/>
      <c r="F17380" s="215"/>
    </row>
    <row r="17381" spans="1:6" ht="15" customHeight="1" x14ac:dyDescent="0.25">
      <c r="A17381" s="198" t="s">
        <v>573</v>
      </c>
      <c r="B17381" s="198"/>
      <c r="C17381" s="193"/>
      <c r="D17381" s="193"/>
      <c r="E17381" s="193"/>
      <c r="F17381" s="193"/>
    </row>
    <row r="17382" spans="1:6" ht="15" customHeight="1" x14ac:dyDescent="0.25">
      <c r="A17382" s="585" t="s">
        <v>563</v>
      </c>
      <c r="B17382" s="595"/>
      <c r="C17382" s="596"/>
      <c r="D17382" s="200" t="s">
        <v>574</v>
      </c>
      <c r="E17382" s="200" t="s">
        <v>575</v>
      </c>
      <c r="F17382" s="200" t="s">
        <v>568</v>
      </c>
    </row>
    <row r="17383" spans="1:6" ht="15" customHeight="1" x14ac:dyDescent="0.25">
      <c r="A17383" s="588" t="s">
        <v>1186</v>
      </c>
      <c r="B17383" s="591"/>
      <c r="C17383" s="592"/>
      <c r="D17383" s="217">
        <v>3125</v>
      </c>
      <c r="E17383" s="218">
        <v>2</v>
      </c>
      <c r="F17383" s="219">
        <f>+E17383*D17383</f>
        <v>6250</v>
      </c>
    </row>
    <row r="17384" spans="1:6" ht="15" customHeight="1" x14ac:dyDescent="0.25">
      <c r="A17384" s="588"/>
      <c r="B17384" s="591"/>
      <c r="C17384" s="592"/>
      <c r="D17384" s="217"/>
      <c r="E17384" s="218"/>
      <c r="F17384" s="219"/>
    </row>
    <row r="17385" spans="1:6" ht="15" customHeight="1" x14ac:dyDescent="0.25">
      <c r="A17385" s="588"/>
      <c r="B17385" s="591"/>
      <c r="C17385" s="592"/>
      <c r="D17385" s="217"/>
      <c r="E17385" s="218"/>
      <c r="F17385" s="219"/>
    </row>
    <row r="17386" spans="1:6" ht="15" customHeight="1" x14ac:dyDescent="0.25">
      <c r="A17386" s="588"/>
      <c r="B17386" s="591"/>
      <c r="C17386" s="592"/>
      <c r="D17386" s="217"/>
      <c r="E17386" s="218"/>
      <c r="F17386" s="219"/>
    </row>
    <row r="17387" spans="1:6" ht="15" customHeight="1" x14ac:dyDescent="0.25">
      <c r="A17387" s="588"/>
      <c r="B17387" s="591"/>
      <c r="C17387" s="592"/>
      <c r="D17387" s="217"/>
      <c r="E17387" s="218"/>
      <c r="F17387" s="219"/>
    </row>
    <row r="17388" spans="1:6" ht="15" customHeight="1" x14ac:dyDescent="0.25">
      <c r="A17388" s="588"/>
      <c r="B17388" s="591"/>
      <c r="C17388" s="592"/>
      <c r="D17388" s="220"/>
      <c r="E17388" s="218"/>
      <c r="F17388" s="219"/>
    </row>
    <row r="17389" spans="1:6" ht="15" customHeight="1" x14ac:dyDescent="0.25">
      <c r="A17389" s="589"/>
      <c r="B17389" s="593"/>
      <c r="C17389" s="594"/>
      <c r="D17389" s="222"/>
      <c r="E17389" s="218"/>
      <c r="F17389" s="219"/>
    </row>
    <row r="17390" spans="1:6" ht="15" customHeight="1" x14ac:dyDescent="0.25">
      <c r="A17390" s="585" t="s">
        <v>548</v>
      </c>
      <c r="B17390" s="595"/>
      <c r="C17390" s="596"/>
      <c r="D17390" s="212"/>
      <c r="E17390" s="212"/>
      <c r="F17390" s="214">
        <f>SUM(F17383:F17389)</f>
        <v>6250</v>
      </c>
    </row>
    <row r="17391" spans="1:6" ht="15" customHeight="1" x14ac:dyDescent="0.25">
      <c r="A17391" s="192"/>
      <c r="B17391" s="192"/>
      <c r="C17391" s="194"/>
      <c r="D17391" s="215"/>
      <c r="E17391" s="215"/>
      <c r="F17391" s="215"/>
    </row>
    <row r="17392" spans="1:6" ht="15" customHeight="1" x14ac:dyDescent="0.25">
      <c r="A17392" s="198" t="s">
        <v>578</v>
      </c>
      <c r="B17392" s="198"/>
      <c r="C17392" s="193"/>
      <c r="D17392" s="223"/>
      <c r="E17392" s="223"/>
      <c r="F17392" s="223"/>
    </row>
    <row r="17393" spans="1:6" ht="15" customHeight="1" x14ac:dyDescent="0.25">
      <c r="A17393" s="224" t="s">
        <v>563</v>
      </c>
      <c r="B17393" s="225" t="s">
        <v>579</v>
      </c>
      <c r="C17393" s="225" t="s">
        <v>580</v>
      </c>
      <c r="D17393" s="226" t="s">
        <v>581</v>
      </c>
      <c r="E17393" s="226" t="s">
        <v>575</v>
      </c>
      <c r="F17393" s="226" t="s">
        <v>568</v>
      </c>
    </row>
    <row r="17394" spans="1:6" ht="15" customHeight="1" x14ac:dyDescent="0.25">
      <c r="A17394" s="227" t="s">
        <v>916</v>
      </c>
      <c r="B17394" s="228">
        <v>1</v>
      </c>
      <c r="C17394" s="205">
        <f>1300000/30</f>
        <v>43333.333333333336</v>
      </c>
      <c r="D17394" s="205">
        <f>+C17394*1.7</f>
        <v>73666.666666666672</v>
      </c>
      <c r="E17394" s="202">
        <v>1</v>
      </c>
      <c r="F17394" s="219">
        <f>+E17394*D17394*B17394</f>
        <v>73666.666666666672</v>
      </c>
    </row>
    <row r="17395" spans="1:6" ht="15" customHeight="1" x14ac:dyDescent="0.25">
      <c r="A17395" s="227" t="s">
        <v>917</v>
      </c>
      <c r="B17395" s="228">
        <v>1</v>
      </c>
      <c r="C17395" s="205">
        <f>1700000/30</f>
        <v>56666.666666666664</v>
      </c>
      <c r="D17395" s="205">
        <f>+C17395*1.7</f>
        <v>96333.333333333328</v>
      </c>
      <c r="E17395" s="202">
        <v>1</v>
      </c>
      <c r="F17395" s="219">
        <f t="shared" ref="F17395:F17397" si="833">+E17395*D17395*B17395</f>
        <v>96333.333333333328</v>
      </c>
    </row>
    <row r="17396" spans="1:6" ht="15" customHeight="1" x14ac:dyDescent="0.25">
      <c r="A17396" s="227" t="s">
        <v>1071</v>
      </c>
      <c r="B17396" s="228">
        <v>1</v>
      </c>
      <c r="C17396" s="205">
        <f>1300000/30</f>
        <v>43333.333333333336</v>
      </c>
      <c r="D17396" s="205">
        <f>+C17396*1.7</f>
        <v>73666.666666666672</v>
      </c>
      <c r="E17396" s="202">
        <v>0.3</v>
      </c>
      <c r="F17396" s="219">
        <f t="shared" si="833"/>
        <v>22100</v>
      </c>
    </row>
    <row r="17397" spans="1:6" ht="15" customHeight="1" x14ac:dyDescent="0.25">
      <c r="A17397" s="227" t="s">
        <v>1072</v>
      </c>
      <c r="B17397" s="228">
        <v>1</v>
      </c>
      <c r="C17397" s="205">
        <f>2500000/30</f>
        <v>83333.333333333328</v>
      </c>
      <c r="D17397" s="205">
        <f>+C17397*1.7</f>
        <v>141666.66666666666</v>
      </c>
      <c r="E17397" s="202">
        <v>0.3</v>
      </c>
      <c r="F17397" s="219">
        <f t="shared" si="833"/>
        <v>42499.999999999993</v>
      </c>
    </row>
    <row r="17398" spans="1:6" ht="15" customHeight="1" x14ac:dyDescent="0.25">
      <c r="A17398" s="209" t="s">
        <v>548</v>
      </c>
      <c r="B17398" s="229"/>
      <c r="C17398" s="212"/>
      <c r="D17398" s="212"/>
      <c r="E17398" s="202"/>
      <c r="F17398" s="214">
        <f>SUM(F17394:F17397)</f>
        <v>234600</v>
      </c>
    </row>
    <row r="17399" spans="1:6" ht="15" customHeight="1" x14ac:dyDescent="0.25">
      <c r="A17399" s="198"/>
      <c r="B17399" s="231"/>
      <c r="C17399" s="223"/>
      <c r="D17399" s="223"/>
      <c r="E17399" s="223"/>
      <c r="F17399" s="223"/>
    </row>
    <row r="17400" spans="1:6" ht="15" customHeight="1" x14ac:dyDescent="0.25">
      <c r="A17400" s="197" t="s">
        <v>583</v>
      </c>
      <c r="B17400" s="198"/>
      <c r="C17400" s="193"/>
      <c r="D17400" s="193"/>
      <c r="E17400" s="193" t="s">
        <v>584</v>
      </c>
      <c r="F17400" s="193"/>
    </row>
    <row r="17401" spans="1:6" ht="15" customHeight="1" x14ac:dyDescent="0.25">
      <c r="A17401" s="199" t="s">
        <v>563</v>
      </c>
      <c r="B17401" s="200" t="s">
        <v>564</v>
      </c>
      <c r="C17401" s="200" t="s">
        <v>585</v>
      </c>
      <c r="D17401" s="200" t="s">
        <v>586</v>
      </c>
      <c r="E17401" s="225" t="s">
        <v>587</v>
      </c>
      <c r="F17401" s="200" t="s">
        <v>568</v>
      </c>
    </row>
    <row r="17402" spans="1:6" ht="15" customHeight="1" x14ac:dyDescent="0.25">
      <c r="A17402" s="232"/>
      <c r="B17402" s="202"/>
      <c r="C17402" s="205"/>
      <c r="D17402" s="233"/>
      <c r="E17402" s="234"/>
      <c r="F17402" s="211"/>
    </row>
    <row r="17403" spans="1:6" ht="15" customHeight="1" x14ac:dyDescent="0.25">
      <c r="A17403" s="232"/>
      <c r="B17403" s="202"/>
      <c r="C17403" s="218"/>
      <c r="D17403" s="235"/>
      <c r="E17403" s="236"/>
      <c r="F17403" s="211"/>
    </row>
    <row r="17404" spans="1:6" ht="15" customHeight="1" x14ac:dyDescent="0.25">
      <c r="A17404" s="209" t="s">
        <v>548</v>
      </c>
      <c r="B17404" s="230"/>
      <c r="C17404" s="212"/>
      <c r="D17404" s="212"/>
      <c r="E17404" s="213"/>
      <c r="F17404" s="214">
        <f>SUM(F17402:F17403)</f>
        <v>0</v>
      </c>
    </row>
    <row r="17405" spans="1:6" ht="15" customHeight="1" x14ac:dyDescent="0.25">
      <c r="A17405" s="192"/>
      <c r="B17405" s="194"/>
      <c r="C17405" s="215"/>
      <c r="D17405" s="215"/>
      <c r="E17405" s="216"/>
      <c r="F17405" s="215"/>
    </row>
    <row r="17406" spans="1:6" ht="15" customHeight="1" x14ac:dyDescent="0.25">
      <c r="A17406" s="192"/>
      <c r="B17406" s="194"/>
      <c r="C17406" s="215"/>
      <c r="D17406" s="215"/>
      <c r="E17406" s="216"/>
      <c r="F17406" s="215"/>
    </row>
    <row r="17407" spans="1:6" ht="15" customHeight="1" x14ac:dyDescent="0.25">
      <c r="A17407" s="590" t="s">
        <v>588</v>
      </c>
      <c r="B17407" s="597"/>
      <c r="C17407" s="597"/>
      <c r="D17407" s="597"/>
      <c r="E17407" s="598"/>
      <c r="F17407" s="237">
        <f>SUM(+F17404+F17398+F17390+F17379)</f>
        <v>756350</v>
      </c>
    </row>
    <row r="17408" spans="1:6" ht="15" customHeight="1" x14ac:dyDescent="0.25">
      <c r="A17408" s="590" t="s">
        <v>589</v>
      </c>
      <c r="B17408" s="597"/>
      <c r="C17408" s="597"/>
      <c r="D17408" s="597"/>
      <c r="E17408" s="598"/>
      <c r="F17408" s="238"/>
    </row>
    <row r="17409" spans="1:6" ht="15" customHeight="1" x14ac:dyDescent="0.25">
      <c r="A17409" s="239" t="s">
        <v>556</v>
      </c>
      <c r="B17409" s="240"/>
      <c r="C17409" s="240"/>
      <c r="D17409" s="240"/>
      <c r="E17409" s="241"/>
      <c r="F17409" s="242"/>
    </row>
  </sheetData>
  <mergeCells count="4314">
    <mergeCell ref="A12293:C12293"/>
    <mergeCell ref="A12294:C12294"/>
    <mergeCell ref="A12295:C12295"/>
    <mergeCell ref="A12296:C12296"/>
    <mergeCell ref="A12314:E12314"/>
    <mergeCell ref="A12315:E12315"/>
    <mergeCell ref="A12207:F12207"/>
    <mergeCell ref="A12208:F12208"/>
    <mergeCell ref="B12210:F12210"/>
    <mergeCell ref="A12226:C12226"/>
    <mergeCell ref="A12227:C12227"/>
    <mergeCell ref="A12228:C12228"/>
    <mergeCell ref="A12229:C12229"/>
    <mergeCell ref="A12230:C12230"/>
    <mergeCell ref="A12231:C12231"/>
    <mergeCell ref="A12232:C12232"/>
    <mergeCell ref="A12250:E12250"/>
    <mergeCell ref="A12251:E12251"/>
    <mergeCell ref="A12270:F12270"/>
    <mergeCell ref="A12271:F12271"/>
    <mergeCell ref="A12272:F12272"/>
    <mergeCell ref="B12274:F12274"/>
    <mergeCell ref="A12290:C12290"/>
    <mergeCell ref="A12122:E12122"/>
    <mergeCell ref="A12141:F12141"/>
    <mergeCell ref="A12142:F12142"/>
    <mergeCell ref="A12143:F12143"/>
    <mergeCell ref="B12145:F12145"/>
    <mergeCell ref="A12161:C12161"/>
    <mergeCell ref="A12162:C12162"/>
    <mergeCell ref="A12163:C12163"/>
    <mergeCell ref="A12164:C12164"/>
    <mergeCell ref="A12165:C12165"/>
    <mergeCell ref="A12166:C12166"/>
    <mergeCell ref="A12167:C12167"/>
    <mergeCell ref="A12185:E12185"/>
    <mergeCell ref="A12186:E12186"/>
    <mergeCell ref="A12206:F12206"/>
    <mergeCell ref="A12291:C12291"/>
    <mergeCell ref="A12292:C12292"/>
    <mergeCell ref="A12036:C12036"/>
    <mergeCell ref="A12037:C12037"/>
    <mergeCell ref="A12038:C12038"/>
    <mergeCell ref="A12056:E12056"/>
    <mergeCell ref="A12057:E12057"/>
    <mergeCell ref="A12077:F12077"/>
    <mergeCell ref="A12078:F12078"/>
    <mergeCell ref="A12079:F12079"/>
    <mergeCell ref="B12081:F12081"/>
    <mergeCell ref="A12097:C12097"/>
    <mergeCell ref="A12098:C12098"/>
    <mergeCell ref="A12099:C12099"/>
    <mergeCell ref="A12100:C12100"/>
    <mergeCell ref="A12101:C12101"/>
    <mergeCell ref="A12102:C12102"/>
    <mergeCell ref="A12103:C12103"/>
    <mergeCell ref="A12121:E12121"/>
    <mergeCell ref="A11967:C11967"/>
    <mergeCell ref="A11968:C11968"/>
    <mergeCell ref="A11969:C11969"/>
    <mergeCell ref="A11970:C11970"/>
    <mergeCell ref="A11971:C11971"/>
    <mergeCell ref="A11972:C11972"/>
    <mergeCell ref="A11973:C11973"/>
    <mergeCell ref="A11991:E11991"/>
    <mergeCell ref="A11992:E11992"/>
    <mergeCell ref="A12012:F12012"/>
    <mergeCell ref="A12013:F12013"/>
    <mergeCell ref="A12014:F12014"/>
    <mergeCell ref="B12016:F12016"/>
    <mergeCell ref="A12032:C12032"/>
    <mergeCell ref="A12033:C12033"/>
    <mergeCell ref="A12034:C12034"/>
    <mergeCell ref="A12035:C12035"/>
    <mergeCell ref="A11883:F11883"/>
    <mergeCell ref="A11884:F11884"/>
    <mergeCell ref="A11885:F11885"/>
    <mergeCell ref="B11887:F11887"/>
    <mergeCell ref="A11903:C11903"/>
    <mergeCell ref="A11904:C11904"/>
    <mergeCell ref="A11905:C11905"/>
    <mergeCell ref="A11906:C11906"/>
    <mergeCell ref="A11907:C11907"/>
    <mergeCell ref="A11908:C11908"/>
    <mergeCell ref="A11909:C11909"/>
    <mergeCell ref="A11927:E11927"/>
    <mergeCell ref="A11928:E11928"/>
    <mergeCell ref="A11947:F11947"/>
    <mergeCell ref="A11948:F11948"/>
    <mergeCell ref="A11949:F11949"/>
    <mergeCell ref="B11951:F11951"/>
    <mergeCell ref="A11779:C11779"/>
    <mergeCell ref="A11780:C11780"/>
    <mergeCell ref="A11797:E11797"/>
    <mergeCell ref="A11798:E11798"/>
    <mergeCell ref="A11818:F11818"/>
    <mergeCell ref="A11819:F11819"/>
    <mergeCell ref="A11820:F11820"/>
    <mergeCell ref="B11822:F11822"/>
    <mergeCell ref="A11838:C11838"/>
    <mergeCell ref="A11839:C11839"/>
    <mergeCell ref="A11840:C11840"/>
    <mergeCell ref="A11841:C11841"/>
    <mergeCell ref="A11842:C11842"/>
    <mergeCell ref="A11843:C11843"/>
    <mergeCell ref="A11844:C11844"/>
    <mergeCell ref="A11862:E11862"/>
    <mergeCell ref="A11863:E11863"/>
    <mergeCell ref="A11711:C11711"/>
    <mergeCell ref="A11712:C11712"/>
    <mergeCell ref="A11713:C11713"/>
    <mergeCell ref="A11714:C11714"/>
    <mergeCell ref="A11715:C11715"/>
    <mergeCell ref="A11716:C11716"/>
    <mergeCell ref="A11733:E11733"/>
    <mergeCell ref="A11734:E11734"/>
    <mergeCell ref="A11754:F11754"/>
    <mergeCell ref="A11755:F11755"/>
    <mergeCell ref="A11756:F11756"/>
    <mergeCell ref="B11758:F11758"/>
    <mergeCell ref="A11774:C11774"/>
    <mergeCell ref="A11775:C11775"/>
    <mergeCell ref="A11776:C11776"/>
    <mergeCell ref="A11777:C11777"/>
    <mergeCell ref="A11778:C11778"/>
    <mergeCell ref="A11627:F11627"/>
    <mergeCell ref="A11628:F11628"/>
    <mergeCell ref="B11630:F11630"/>
    <mergeCell ref="A11646:C11646"/>
    <mergeCell ref="A11647:C11647"/>
    <mergeCell ref="A11648:C11648"/>
    <mergeCell ref="A11649:C11649"/>
    <mergeCell ref="A11650:C11650"/>
    <mergeCell ref="A11651:C11651"/>
    <mergeCell ref="A11652:C11652"/>
    <mergeCell ref="A11670:E11670"/>
    <mergeCell ref="A11671:E11671"/>
    <mergeCell ref="A11690:F11690"/>
    <mergeCell ref="A11691:F11691"/>
    <mergeCell ref="A11692:F11692"/>
    <mergeCell ref="B11694:F11694"/>
    <mergeCell ref="A11710:C11710"/>
    <mergeCell ref="A11522:C11522"/>
    <mergeCell ref="A11539:E11539"/>
    <mergeCell ref="A11540:E11540"/>
    <mergeCell ref="A11561:F11561"/>
    <mergeCell ref="A11562:F11562"/>
    <mergeCell ref="A11563:F11563"/>
    <mergeCell ref="B11565:F11565"/>
    <mergeCell ref="A11581:C11581"/>
    <mergeCell ref="A11582:C11582"/>
    <mergeCell ref="A11583:C11583"/>
    <mergeCell ref="A11584:C11584"/>
    <mergeCell ref="A11585:C11585"/>
    <mergeCell ref="A11586:C11586"/>
    <mergeCell ref="A11587:C11587"/>
    <mergeCell ref="A11605:E11605"/>
    <mergeCell ref="A11606:E11606"/>
    <mergeCell ref="A11626:F11626"/>
    <mergeCell ref="A11454:C11454"/>
    <mergeCell ref="A11455:C11455"/>
    <mergeCell ref="A11456:C11456"/>
    <mergeCell ref="A11457:C11457"/>
    <mergeCell ref="A11458:C11458"/>
    <mergeCell ref="A11476:E11476"/>
    <mergeCell ref="A11477:E11477"/>
    <mergeCell ref="A11496:F11496"/>
    <mergeCell ref="A11497:F11497"/>
    <mergeCell ref="A11498:F11498"/>
    <mergeCell ref="B11500:F11500"/>
    <mergeCell ref="A11516:C11516"/>
    <mergeCell ref="A11517:C11517"/>
    <mergeCell ref="A11518:C11518"/>
    <mergeCell ref="A11519:C11519"/>
    <mergeCell ref="A11520:C11520"/>
    <mergeCell ref="A11521:C11521"/>
    <mergeCell ref="A11368:F11368"/>
    <mergeCell ref="B11370:F11370"/>
    <mergeCell ref="A11386:C11386"/>
    <mergeCell ref="A11387:C11387"/>
    <mergeCell ref="A11388:C11388"/>
    <mergeCell ref="A11389:C11389"/>
    <mergeCell ref="A11390:C11390"/>
    <mergeCell ref="A11391:C11391"/>
    <mergeCell ref="A11392:C11392"/>
    <mergeCell ref="A11410:E11410"/>
    <mergeCell ref="A11411:E11411"/>
    <mergeCell ref="A11432:F11432"/>
    <mergeCell ref="A11433:F11433"/>
    <mergeCell ref="A11434:F11434"/>
    <mergeCell ref="B11436:F11436"/>
    <mergeCell ref="A11452:C11452"/>
    <mergeCell ref="A11453:C11453"/>
    <mergeCell ref="A11280:E11280"/>
    <mergeCell ref="A11281:E11281"/>
    <mergeCell ref="A11301:F11301"/>
    <mergeCell ref="A11302:F11302"/>
    <mergeCell ref="A11303:F11303"/>
    <mergeCell ref="B11305:F11305"/>
    <mergeCell ref="A11321:C11321"/>
    <mergeCell ref="A11322:C11322"/>
    <mergeCell ref="A11323:C11323"/>
    <mergeCell ref="A11324:C11324"/>
    <mergeCell ref="A11325:C11325"/>
    <mergeCell ref="A11326:C11326"/>
    <mergeCell ref="A11327:C11327"/>
    <mergeCell ref="A11345:E11345"/>
    <mergeCell ref="A11346:E11346"/>
    <mergeCell ref="A11366:F11366"/>
    <mergeCell ref="A11367:F11367"/>
    <mergeCell ref="A11196:C11196"/>
    <mergeCell ref="A11197:C11197"/>
    <mergeCell ref="A11198:C11198"/>
    <mergeCell ref="A11199:C11199"/>
    <mergeCell ref="A11216:E11216"/>
    <mergeCell ref="A11217:E11217"/>
    <mergeCell ref="A11236:F11236"/>
    <mergeCell ref="A11237:F11237"/>
    <mergeCell ref="A11238:F11238"/>
    <mergeCell ref="B11240:F11240"/>
    <mergeCell ref="A11256:C11256"/>
    <mergeCell ref="A11257:C11257"/>
    <mergeCell ref="A11258:C11258"/>
    <mergeCell ref="A11259:C11259"/>
    <mergeCell ref="A11260:C11260"/>
    <mergeCell ref="A11261:C11261"/>
    <mergeCell ref="A11262:C11262"/>
    <mergeCell ref="B11115:F11115"/>
    <mergeCell ref="A11131:C11131"/>
    <mergeCell ref="A11132:C11132"/>
    <mergeCell ref="A11133:C11133"/>
    <mergeCell ref="A11134:C11134"/>
    <mergeCell ref="A11135:C11135"/>
    <mergeCell ref="A11136:C11136"/>
    <mergeCell ref="A11137:C11137"/>
    <mergeCell ref="A11154:E11154"/>
    <mergeCell ref="A11155:E11155"/>
    <mergeCell ref="A11173:F11173"/>
    <mergeCell ref="A11174:F11174"/>
    <mergeCell ref="A11175:F11175"/>
    <mergeCell ref="B11177:F11177"/>
    <mergeCell ref="A11193:C11193"/>
    <mergeCell ref="A11194:C11194"/>
    <mergeCell ref="A11195:C11195"/>
    <mergeCell ref="A11032:E11032"/>
    <mergeCell ref="A11050:F11050"/>
    <mergeCell ref="A11051:F11051"/>
    <mergeCell ref="A11052:F11052"/>
    <mergeCell ref="B11054:F11054"/>
    <mergeCell ref="A11070:C11070"/>
    <mergeCell ref="A11071:C11071"/>
    <mergeCell ref="A11072:C11072"/>
    <mergeCell ref="A11073:C11073"/>
    <mergeCell ref="A11074:C11074"/>
    <mergeCell ref="A11075:C11075"/>
    <mergeCell ref="A11076:C11076"/>
    <mergeCell ref="A11093:E11093"/>
    <mergeCell ref="A11094:E11094"/>
    <mergeCell ref="A11111:F11111"/>
    <mergeCell ref="A11112:F11112"/>
    <mergeCell ref="A11113:F11113"/>
    <mergeCell ref="A10951:C10951"/>
    <mergeCell ref="A10952:C10952"/>
    <mergeCell ref="A10953:C10953"/>
    <mergeCell ref="A10970:E10970"/>
    <mergeCell ref="A10971:E10971"/>
    <mergeCell ref="A10988:F10988"/>
    <mergeCell ref="A10989:F10989"/>
    <mergeCell ref="A10990:F10990"/>
    <mergeCell ref="B10992:F10992"/>
    <mergeCell ref="A11008:C11008"/>
    <mergeCell ref="A11009:C11009"/>
    <mergeCell ref="A11010:C11010"/>
    <mergeCell ref="A11011:C11011"/>
    <mergeCell ref="A11012:C11012"/>
    <mergeCell ref="A11013:C11013"/>
    <mergeCell ref="A11014:C11014"/>
    <mergeCell ref="A11031:E11031"/>
    <mergeCell ref="A10887:C10887"/>
    <mergeCell ref="A10888:C10888"/>
    <mergeCell ref="A10889:C10889"/>
    <mergeCell ref="A10890:C10890"/>
    <mergeCell ref="A10891:C10891"/>
    <mergeCell ref="A10892:C10892"/>
    <mergeCell ref="A10893:C10893"/>
    <mergeCell ref="A10910:E10910"/>
    <mergeCell ref="A10911:E10911"/>
    <mergeCell ref="A10927:F10927"/>
    <mergeCell ref="A10928:F10928"/>
    <mergeCell ref="A10929:F10929"/>
    <mergeCell ref="B10931:F10931"/>
    <mergeCell ref="A10947:C10947"/>
    <mergeCell ref="A10948:C10948"/>
    <mergeCell ref="A10949:C10949"/>
    <mergeCell ref="A10950:C10950"/>
    <mergeCell ref="A10807:F10807"/>
    <mergeCell ref="A10808:F10808"/>
    <mergeCell ref="A10809:F10809"/>
    <mergeCell ref="B10811:F10811"/>
    <mergeCell ref="A10827:C10827"/>
    <mergeCell ref="A10828:C10828"/>
    <mergeCell ref="A10829:C10829"/>
    <mergeCell ref="A10830:C10830"/>
    <mergeCell ref="A10831:C10831"/>
    <mergeCell ref="A10832:C10832"/>
    <mergeCell ref="A10833:C10833"/>
    <mergeCell ref="A10850:E10850"/>
    <mergeCell ref="A10851:E10851"/>
    <mergeCell ref="A10867:F10867"/>
    <mergeCell ref="A10868:F10868"/>
    <mergeCell ref="A10869:F10869"/>
    <mergeCell ref="B10871:F10871"/>
    <mergeCell ref="A10708:C10708"/>
    <mergeCell ref="A10709:C10709"/>
    <mergeCell ref="A10726:E10726"/>
    <mergeCell ref="A10727:E10727"/>
    <mergeCell ref="A10748:F10748"/>
    <mergeCell ref="A10749:F10749"/>
    <mergeCell ref="A10750:F10750"/>
    <mergeCell ref="B10752:F10752"/>
    <mergeCell ref="A10768:C10768"/>
    <mergeCell ref="A10769:C10769"/>
    <mergeCell ref="A10770:C10770"/>
    <mergeCell ref="A10771:C10771"/>
    <mergeCell ref="A10772:C10772"/>
    <mergeCell ref="A10773:C10773"/>
    <mergeCell ref="A10774:C10774"/>
    <mergeCell ref="A10791:E10791"/>
    <mergeCell ref="A10792:E10792"/>
    <mergeCell ref="A10639:C10639"/>
    <mergeCell ref="A10640:C10640"/>
    <mergeCell ref="A10641:C10641"/>
    <mergeCell ref="A10642:C10642"/>
    <mergeCell ref="A10643:C10643"/>
    <mergeCell ref="A10644:C10644"/>
    <mergeCell ref="A10661:E10661"/>
    <mergeCell ref="A10662:E10662"/>
    <mergeCell ref="A10683:F10683"/>
    <mergeCell ref="A10684:F10684"/>
    <mergeCell ref="A10685:F10685"/>
    <mergeCell ref="B10687:F10687"/>
    <mergeCell ref="A10703:C10703"/>
    <mergeCell ref="A10704:C10704"/>
    <mergeCell ref="A10705:C10705"/>
    <mergeCell ref="A10706:C10706"/>
    <mergeCell ref="A10707:C10707"/>
    <mergeCell ref="A10556:F10556"/>
    <mergeCell ref="A10557:F10557"/>
    <mergeCell ref="B10559:F10559"/>
    <mergeCell ref="A10575:C10575"/>
    <mergeCell ref="A10576:C10576"/>
    <mergeCell ref="A10577:C10577"/>
    <mergeCell ref="A10578:C10578"/>
    <mergeCell ref="A10579:C10579"/>
    <mergeCell ref="A10580:C10580"/>
    <mergeCell ref="A10581:C10581"/>
    <mergeCell ref="A10598:E10598"/>
    <mergeCell ref="A10599:E10599"/>
    <mergeCell ref="A10618:F10618"/>
    <mergeCell ref="A10619:F10619"/>
    <mergeCell ref="A10620:F10620"/>
    <mergeCell ref="B10622:F10622"/>
    <mergeCell ref="A10638:C10638"/>
    <mergeCell ref="A10455:C10455"/>
    <mergeCell ref="A10472:E10472"/>
    <mergeCell ref="A10473:E10473"/>
    <mergeCell ref="A10492:F10492"/>
    <mergeCell ref="A10493:F10493"/>
    <mergeCell ref="A10494:F10494"/>
    <mergeCell ref="B10496:F10496"/>
    <mergeCell ref="A10512:C10512"/>
    <mergeCell ref="A10513:C10513"/>
    <mergeCell ref="A10514:C10514"/>
    <mergeCell ref="A10515:C10515"/>
    <mergeCell ref="A10516:C10516"/>
    <mergeCell ref="A10517:C10517"/>
    <mergeCell ref="A10518:C10518"/>
    <mergeCell ref="A10535:E10535"/>
    <mergeCell ref="A10536:E10536"/>
    <mergeCell ref="A10555:F10555"/>
    <mergeCell ref="A9962:E9962"/>
    <mergeCell ref="A9981:F9981"/>
    <mergeCell ref="A9982:F9982"/>
    <mergeCell ref="A9983:F9983"/>
    <mergeCell ref="B9985:F9985"/>
    <mergeCell ref="A9999:C9999"/>
    <mergeCell ref="A10000:C10000"/>
    <mergeCell ref="A10001:C10001"/>
    <mergeCell ref="A10002:C10002"/>
    <mergeCell ref="A10003:C10003"/>
    <mergeCell ref="A10004:C10004"/>
    <mergeCell ref="A10005:C10005"/>
    <mergeCell ref="A10022:E10022"/>
    <mergeCell ref="A10023:E10023"/>
    <mergeCell ref="A10367:F10367"/>
    <mergeCell ref="A10368:F10368"/>
    <mergeCell ref="A10369:F10369"/>
    <mergeCell ref="A10039:F10039"/>
    <mergeCell ref="A10040:F10040"/>
    <mergeCell ref="B10042:F10042"/>
    <mergeCell ref="A10057:C10057"/>
    <mergeCell ref="A10058:C10058"/>
    <mergeCell ref="A10059:C10059"/>
    <mergeCell ref="A10038:F10038"/>
    <mergeCell ref="A10114:C10114"/>
    <mergeCell ref="A10115:C10115"/>
    <mergeCell ref="A10116:C10116"/>
    <mergeCell ref="A10117:C10117"/>
    <mergeCell ref="A10118:C10118"/>
    <mergeCell ref="A10135:E10135"/>
    <mergeCell ref="A10093:F10093"/>
    <mergeCell ref="A10094:F10094"/>
    <mergeCell ref="A9881:C9881"/>
    <mergeCell ref="A9882:C9882"/>
    <mergeCell ref="A9883:C9883"/>
    <mergeCell ref="A9900:E9900"/>
    <mergeCell ref="A9901:E9901"/>
    <mergeCell ref="A9920:F9920"/>
    <mergeCell ref="A9921:F9921"/>
    <mergeCell ref="A9922:F9922"/>
    <mergeCell ref="B9924:F9924"/>
    <mergeCell ref="A9938:C9938"/>
    <mergeCell ref="A9939:C9939"/>
    <mergeCell ref="A9940:C9940"/>
    <mergeCell ref="A9941:C9941"/>
    <mergeCell ref="A9942:C9942"/>
    <mergeCell ref="A9943:C9943"/>
    <mergeCell ref="A9944:C9944"/>
    <mergeCell ref="A9961:E9961"/>
    <mergeCell ref="A9816:C9816"/>
    <mergeCell ref="A9817:C9817"/>
    <mergeCell ref="A9818:C9818"/>
    <mergeCell ref="A9819:C9819"/>
    <mergeCell ref="A9820:C9820"/>
    <mergeCell ref="A9821:C9821"/>
    <mergeCell ref="A9822:C9822"/>
    <mergeCell ref="A9839:E9839"/>
    <mergeCell ref="A9840:E9840"/>
    <mergeCell ref="A9859:F9859"/>
    <mergeCell ref="A9860:F9860"/>
    <mergeCell ref="A9861:F9861"/>
    <mergeCell ref="B9863:F9863"/>
    <mergeCell ref="A9877:C9877"/>
    <mergeCell ref="A9878:C9878"/>
    <mergeCell ref="A9879:C9879"/>
    <mergeCell ref="A9880:C9880"/>
    <mergeCell ref="A9740:F9740"/>
    <mergeCell ref="A9741:F9741"/>
    <mergeCell ref="B9743:F9743"/>
    <mergeCell ref="A9757:C9757"/>
    <mergeCell ref="A9758:C9758"/>
    <mergeCell ref="A9759:C9759"/>
    <mergeCell ref="A9760:C9760"/>
    <mergeCell ref="A9761:C9761"/>
    <mergeCell ref="A9762:C9762"/>
    <mergeCell ref="A9763:C9763"/>
    <mergeCell ref="A9780:E9780"/>
    <mergeCell ref="A9781:E9781"/>
    <mergeCell ref="A9782:E9782"/>
    <mergeCell ref="A9798:F9798"/>
    <mergeCell ref="A9799:F9799"/>
    <mergeCell ref="A9800:F9800"/>
    <mergeCell ref="B9802:F9802"/>
    <mergeCell ref="A9665:E9665"/>
    <mergeCell ref="A9666:E9666"/>
    <mergeCell ref="A9680:F9680"/>
    <mergeCell ref="A9681:F9681"/>
    <mergeCell ref="A9682:F9682"/>
    <mergeCell ref="B9684:F9684"/>
    <mergeCell ref="A9698:C9698"/>
    <mergeCell ref="A9699:C9699"/>
    <mergeCell ref="A9700:C9700"/>
    <mergeCell ref="A9701:C9701"/>
    <mergeCell ref="A9702:C9702"/>
    <mergeCell ref="A9703:C9703"/>
    <mergeCell ref="A9704:C9704"/>
    <mergeCell ref="A9721:E9721"/>
    <mergeCell ref="A9722:E9722"/>
    <mergeCell ref="A9723:E9723"/>
    <mergeCell ref="A9739:F9739"/>
    <mergeCell ref="A9589:C9589"/>
    <mergeCell ref="A9590:C9590"/>
    <mergeCell ref="A9607:E9607"/>
    <mergeCell ref="A9608:E9608"/>
    <mergeCell ref="A9609:E9609"/>
    <mergeCell ref="A9623:F9623"/>
    <mergeCell ref="A9624:F9624"/>
    <mergeCell ref="A9625:F9625"/>
    <mergeCell ref="B9627:F9627"/>
    <mergeCell ref="A9641:C9641"/>
    <mergeCell ref="A9642:C9642"/>
    <mergeCell ref="A9643:C9643"/>
    <mergeCell ref="A9644:C9644"/>
    <mergeCell ref="A9645:C9645"/>
    <mergeCell ref="A9646:C9646"/>
    <mergeCell ref="A9647:C9647"/>
    <mergeCell ref="A9664:E9664"/>
    <mergeCell ref="A9529:C9529"/>
    <mergeCell ref="A9530:C9530"/>
    <mergeCell ref="A9531:C9531"/>
    <mergeCell ref="A9532:C9532"/>
    <mergeCell ref="A9533:C9533"/>
    <mergeCell ref="A9550:E9550"/>
    <mergeCell ref="A9551:E9551"/>
    <mergeCell ref="A9552:E9552"/>
    <mergeCell ref="A9566:F9566"/>
    <mergeCell ref="A9567:F9567"/>
    <mergeCell ref="A9568:F9568"/>
    <mergeCell ref="B9570:F9570"/>
    <mergeCell ref="A9584:C9584"/>
    <mergeCell ref="A9585:C9585"/>
    <mergeCell ref="A9586:C9586"/>
    <mergeCell ref="A9587:C9587"/>
    <mergeCell ref="A9588:C9588"/>
    <mergeCell ref="B9457:F9457"/>
    <mergeCell ref="A9471:C9471"/>
    <mergeCell ref="A9472:C9472"/>
    <mergeCell ref="A9473:C9473"/>
    <mergeCell ref="A9474:C9474"/>
    <mergeCell ref="A9475:C9475"/>
    <mergeCell ref="A9476:C9476"/>
    <mergeCell ref="A9477:C9477"/>
    <mergeCell ref="A9494:E9494"/>
    <mergeCell ref="A9495:E9495"/>
    <mergeCell ref="A9496:E9496"/>
    <mergeCell ref="A9509:F9509"/>
    <mergeCell ref="A9510:F9510"/>
    <mergeCell ref="A9511:F9511"/>
    <mergeCell ref="B9513:F9513"/>
    <mergeCell ref="A9527:C9527"/>
    <mergeCell ref="A9528:C9528"/>
    <mergeCell ref="A9397:F9397"/>
    <mergeCell ref="A9398:F9398"/>
    <mergeCell ref="A9399:F9399"/>
    <mergeCell ref="B9401:F9401"/>
    <mergeCell ref="A9415:C9415"/>
    <mergeCell ref="A9416:C9416"/>
    <mergeCell ref="A9417:C9417"/>
    <mergeCell ref="A9418:C9418"/>
    <mergeCell ref="A9419:C9419"/>
    <mergeCell ref="A9420:C9420"/>
    <mergeCell ref="A9421:C9421"/>
    <mergeCell ref="A9438:E9438"/>
    <mergeCell ref="A9439:E9439"/>
    <mergeCell ref="A9440:E9440"/>
    <mergeCell ref="A9453:F9453"/>
    <mergeCell ref="A9454:F9454"/>
    <mergeCell ref="A9455:F9455"/>
    <mergeCell ref="A9329:E9329"/>
    <mergeCell ref="A9330:E9330"/>
    <mergeCell ref="A9331:E9331"/>
    <mergeCell ref="A9342:F9342"/>
    <mergeCell ref="A9343:F9343"/>
    <mergeCell ref="A9344:F9344"/>
    <mergeCell ref="B9346:F9346"/>
    <mergeCell ref="A9360:C9360"/>
    <mergeCell ref="A9361:C9361"/>
    <mergeCell ref="A9362:C9362"/>
    <mergeCell ref="A9363:C9363"/>
    <mergeCell ref="A9364:C9364"/>
    <mergeCell ref="A9365:C9365"/>
    <mergeCell ref="A9366:C9366"/>
    <mergeCell ref="A9383:E9383"/>
    <mergeCell ref="A9384:E9384"/>
    <mergeCell ref="A9385:E9385"/>
    <mergeCell ref="A9256:C9256"/>
    <mergeCell ref="A9257:C9257"/>
    <mergeCell ref="A9258:C9258"/>
    <mergeCell ref="A9275:E9275"/>
    <mergeCell ref="A9276:E9276"/>
    <mergeCell ref="A9277:E9277"/>
    <mergeCell ref="A9288:F9288"/>
    <mergeCell ref="A9289:F9289"/>
    <mergeCell ref="A9290:F9290"/>
    <mergeCell ref="B9292:F9292"/>
    <mergeCell ref="A9306:C9306"/>
    <mergeCell ref="A9307:C9307"/>
    <mergeCell ref="A9308:C9308"/>
    <mergeCell ref="A9309:C9309"/>
    <mergeCell ref="A9310:C9310"/>
    <mergeCell ref="A9311:C9311"/>
    <mergeCell ref="A9312:C9312"/>
    <mergeCell ref="A9199:C9199"/>
    <mergeCell ref="A9200:C9200"/>
    <mergeCell ref="A9201:C9201"/>
    <mergeCell ref="A9202:C9202"/>
    <mergeCell ref="A9203:C9203"/>
    <mergeCell ref="A9204:C9204"/>
    <mergeCell ref="A9221:E9221"/>
    <mergeCell ref="A9222:E9222"/>
    <mergeCell ref="A9223:E9223"/>
    <mergeCell ref="A9234:F9234"/>
    <mergeCell ref="A9235:F9235"/>
    <mergeCell ref="A9236:F9236"/>
    <mergeCell ref="B9238:F9238"/>
    <mergeCell ref="A9252:C9252"/>
    <mergeCell ref="A9253:C9253"/>
    <mergeCell ref="A9254:C9254"/>
    <mergeCell ref="A9255:C9255"/>
    <mergeCell ref="D6001:E6001"/>
    <mergeCell ref="A6002:F6002"/>
    <mergeCell ref="D6007:E6007"/>
    <mergeCell ref="D6014:E6014"/>
    <mergeCell ref="B9134:F9134"/>
    <mergeCell ref="A9148:C9148"/>
    <mergeCell ref="A9149:C9149"/>
    <mergeCell ref="A9150:C9150"/>
    <mergeCell ref="A9151:C9151"/>
    <mergeCell ref="A9168:E9168"/>
    <mergeCell ref="A9169:E9169"/>
    <mergeCell ref="A9170:E9170"/>
    <mergeCell ref="A9180:F9180"/>
    <mergeCell ref="A9181:F9181"/>
    <mergeCell ref="A9182:F9182"/>
    <mergeCell ref="B9184:F9184"/>
    <mergeCell ref="A9198:C9198"/>
    <mergeCell ref="D5792:E5792"/>
    <mergeCell ref="D5799:E5799"/>
    <mergeCell ref="A5879:F5879"/>
    <mergeCell ref="A5881:E5881"/>
    <mergeCell ref="A5882:F5882"/>
    <mergeCell ref="A5883:F5883"/>
    <mergeCell ref="D5890:E5890"/>
    <mergeCell ref="A5891:F5891"/>
    <mergeCell ref="D5896:E5896"/>
    <mergeCell ref="D5903:E5903"/>
    <mergeCell ref="D5909:E5909"/>
    <mergeCell ref="A5910:D5910"/>
    <mergeCell ref="A5914:F5914"/>
    <mergeCell ref="A5915:F5915"/>
    <mergeCell ref="A5918:F5918"/>
    <mergeCell ref="A5919:F5919"/>
    <mergeCell ref="D5929:E5929"/>
    <mergeCell ref="D5510:E5510"/>
    <mergeCell ref="A5511:F5511"/>
    <mergeCell ref="D5516:E5516"/>
    <mergeCell ref="D5523:E5523"/>
    <mergeCell ref="D5529:E5529"/>
    <mergeCell ref="A5530:D5530"/>
    <mergeCell ref="A5533:F5533"/>
    <mergeCell ref="A5534:F5534"/>
    <mergeCell ref="A5537:F5537"/>
    <mergeCell ref="A5538:F5538"/>
    <mergeCell ref="D5545:E5545"/>
    <mergeCell ref="A5546:F5546"/>
    <mergeCell ref="D5551:E5551"/>
    <mergeCell ref="D5558:E5558"/>
    <mergeCell ref="D5564:E5564"/>
    <mergeCell ref="D5634:E5634"/>
    <mergeCell ref="A5635:D5635"/>
    <mergeCell ref="A5370:F5370"/>
    <mergeCell ref="D5375:E5375"/>
    <mergeCell ref="D5382:E5382"/>
    <mergeCell ref="D5388:E5388"/>
    <mergeCell ref="A5389:D5389"/>
    <mergeCell ref="A5392:F5392"/>
    <mergeCell ref="A5393:F5393"/>
    <mergeCell ref="A5396:F5396"/>
    <mergeCell ref="A5397:F5397"/>
    <mergeCell ref="D5404:E5404"/>
    <mergeCell ref="A5405:F5405"/>
    <mergeCell ref="D5410:E5410"/>
    <mergeCell ref="D5417:E5417"/>
    <mergeCell ref="D5423:E5423"/>
    <mergeCell ref="A5424:D5424"/>
    <mergeCell ref="A5502:F5502"/>
    <mergeCell ref="A5503:F5503"/>
    <mergeCell ref="A5186:F5186"/>
    <mergeCell ref="D5193:E5193"/>
    <mergeCell ref="A5194:F5194"/>
    <mergeCell ref="D5199:E5199"/>
    <mergeCell ref="D5242:E5242"/>
    <mergeCell ref="D5248:E5248"/>
    <mergeCell ref="A5249:D5249"/>
    <mergeCell ref="A5252:F5252"/>
    <mergeCell ref="A5253:F5253"/>
    <mergeCell ref="A5256:F5256"/>
    <mergeCell ref="A5257:F5257"/>
    <mergeCell ref="D5264:E5264"/>
    <mergeCell ref="A5265:F5265"/>
    <mergeCell ref="D5270:E5270"/>
    <mergeCell ref="D5277:E5277"/>
    <mergeCell ref="D5283:E5283"/>
    <mergeCell ref="A5284:D5284"/>
    <mergeCell ref="A3:F3"/>
    <mergeCell ref="A4:F4"/>
    <mergeCell ref="A5:F5"/>
    <mergeCell ref="B7:F7"/>
    <mergeCell ref="A22:C22"/>
    <mergeCell ref="A23:C23"/>
    <mergeCell ref="A76:C76"/>
    <mergeCell ref="A77:C77"/>
    <mergeCell ref="A78:C78"/>
    <mergeCell ref="A95:E95"/>
    <mergeCell ref="A96:E96"/>
    <mergeCell ref="A97:E97"/>
    <mergeCell ref="A55:F55"/>
    <mergeCell ref="A56:F56"/>
    <mergeCell ref="A57:F57"/>
    <mergeCell ref="B59:F59"/>
    <mergeCell ref="A74:C74"/>
    <mergeCell ref="A75:C75"/>
    <mergeCell ref="A24:C24"/>
    <mergeCell ref="A25:C25"/>
    <mergeCell ref="A26:C26"/>
    <mergeCell ref="A43:E43"/>
    <mergeCell ref="A44:E44"/>
    <mergeCell ref="A45:E45"/>
    <mergeCell ref="A173:F173"/>
    <mergeCell ref="A174:F174"/>
    <mergeCell ref="A175:F175"/>
    <mergeCell ref="B177:F177"/>
    <mergeCell ref="A193:C193"/>
    <mergeCell ref="A194:C194"/>
    <mergeCell ref="A138:C138"/>
    <mergeCell ref="A139:C139"/>
    <mergeCell ref="A140:C140"/>
    <mergeCell ref="A157:E157"/>
    <mergeCell ref="A158:E158"/>
    <mergeCell ref="A159:E159"/>
    <mergeCell ref="A110:F110"/>
    <mergeCell ref="A111:F111"/>
    <mergeCell ref="A112:F112"/>
    <mergeCell ref="B114:F114"/>
    <mergeCell ref="A136:C136"/>
    <mergeCell ref="A137:C137"/>
    <mergeCell ref="A253:C253"/>
    <mergeCell ref="A254:C254"/>
    <mergeCell ref="A255:C255"/>
    <mergeCell ref="A256:C256"/>
    <mergeCell ref="A273:E273"/>
    <mergeCell ref="A274:E274"/>
    <mergeCell ref="A217:E217"/>
    <mergeCell ref="A232:F232"/>
    <mergeCell ref="A233:F233"/>
    <mergeCell ref="A234:F234"/>
    <mergeCell ref="B236:F236"/>
    <mergeCell ref="A252:C252"/>
    <mergeCell ref="A195:C195"/>
    <mergeCell ref="A196:C196"/>
    <mergeCell ref="A197:C197"/>
    <mergeCell ref="A198:C198"/>
    <mergeCell ref="A215:E215"/>
    <mergeCell ref="A216:E216"/>
    <mergeCell ref="A332:E332"/>
    <mergeCell ref="A333:E333"/>
    <mergeCell ref="A349:F349"/>
    <mergeCell ref="A350:F350"/>
    <mergeCell ref="A351:F351"/>
    <mergeCell ref="B353:F353"/>
    <mergeCell ref="A310:C310"/>
    <mergeCell ref="A311:C311"/>
    <mergeCell ref="A312:C312"/>
    <mergeCell ref="A313:C313"/>
    <mergeCell ref="A314:C314"/>
    <mergeCell ref="A331:E331"/>
    <mergeCell ref="A275:E275"/>
    <mergeCell ref="A289:F289"/>
    <mergeCell ref="A290:F290"/>
    <mergeCell ref="A291:F291"/>
    <mergeCell ref="B293:F293"/>
    <mergeCell ref="A309:C309"/>
    <mergeCell ref="B409:F409"/>
    <mergeCell ref="A425:C425"/>
    <mergeCell ref="A426:C426"/>
    <mergeCell ref="A427:C427"/>
    <mergeCell ref="A428:C428"/>
    <mergeCell ref="A429:C429"/>
    <mergeCell ref="A391:E391"/>
    <mergeCell ref="A392:E392"/>
    <mergeCell ref="A393:E393"/>
    <mergeCell ref="A405:F405"/>
    <mergeCell ref="A406:F406"/>
    <mergeCell ref="A407:F407"/>
    <mergeCell ref="A369:C369"/>
    <mergeCell ref="A370:C370"/>
    <mergeCell ref="A371:C371"/>
    <mergeCell ref="A372:C372"/>
    <mergeCell ref="A373:C373"/>
    <mergeCell ref="A374:C374"/>
    <mergeCell ref="A486:C486"/>
    <mergeCell ref="A487:C487"/>
    <mergeCell ref="A504:E504"/>
    <mergeCell ref="A505:E505"/>
    <mergeCell ref="A506:E506"/>
    <mergeCell ref="A520:F520"/>
    <mergeCell ref="A464:F464"/>
    <mergeCell ref="B466:F466"/>
    <mergeCell ref="A482:C482"/>
    <mergeCell ref="A483:C483"/>
    <mergeCell ref="A484:C484"/>
    <mergeCell ref="A485:C485"/>
    <mergeCell ref="A430:C430"/>
    <mergeCell ref="A447:E447"/>
    <mergeCell ref="A448:E448"/>
    <mergeCell ref="A449:E449"/>
    <mergeCell ref="A462:F462"/>
    <mergeCell ref="A463:F463"/>
    <mergeCell ref="A577:F577"/>
    <mergeCell ref="A578:F578"/>
    <mergeCell ref="A579:F579"/>
    <mergeCell ref="B581:F581"/>
    <mergeCell ref="A597:C597"/>
    <mergeCell ref="A598:C598"/>
    <mergeCell ref="A543:C543"/>
    <mergeCell ref="A544:C544"/>
    <mergeCell ref="A545:C545"/>
    <mergeCell ref="A562:E562"/>
    <mergeCell ref="A563:E563"/>
    <mergeCell ref="A564:E564"/>
    <mergeCell ref="A521:F521"/>
    <mergeCell ref="A522:F522"/>
    <mergeCell ref="B524:F524"/>
    <mergeCell ref="A540:C540"/>
    <mergeCell ref="A541:C541"/>
    <mergeCell ref="A542:C542"/>
    <mergeCell ref="A654:C654"/>
    <mergeCell ref="A655:C655"/>
    <mergeCell ref="A656:C656"/>
    <mergeCell ref="A657:C657"/>
    <mergeCell ref="A658:C658"/>
    <mergeCell ref="A675:E675"/>
    <mergeCell ref="A621:E621"/>
    <mergeCell ref="A633:F633"/>
    <mergeCell ref="A634:F634"/>
    <mergeCell ref="A635:F635"/>
    <mergeCell ref="B637:F637"/>
    <mergeCell ref="A653:C653"/>
    <mergeCell ref="A599:C599"/>
    <mergeCell ref="A600:C600"/>
    <mergeCell ref="A601:C601"/>
    <mergeCell ref="A602:C602"/>
    <mergeCell ref="A619:E619"/>
    <mergeCell ref="A620:E620"/>
    <mergeCell ref="A732:E732"/>
    <mergeCell ref="A733:E733"/>
    <mergeCell ref="A734:E734"/>
    <mergeCell ref="A804:F804"/>
    <mergeCell ref="A805:F805"/>
    <mergeCell ref="A806:F806"/>
    <mergeCell ref="A710:C710"/>
    <mergeCell ref="A711:C711"/>
    <mergeCell ref="A712:C712"/>
    <mergeCell ref="A713:C713"/>
    <mergeCell ref="A714:C714"/>
    <mergeCell ref="A715:C715"/>
    <mergeCell ref="A676:E676"/>
    <mergeCell ref="A677:E677"/>
    <mergeCell ref="A690:F690"/>
    <mergeCell ref="A691:F691"/>
    <mergeCell ref="A692:F692"/>
    <mergeCell ref="B694:F694"/>
    <mergeCell ref="A747:F747"/>
    <mergeCell ref="A748:F748"/>
    <mergeCell ref="A749:F749"/>
    <mergeCell ref="B751:F751"/>
    <mergeCell ref="A767:C767"/>
    <mergeCell ref="A768:C768"/>
    <mergeCell ref="A769:C769"/>
    <mergeCell ref="A770:C770"/>
    <mergeCell ref="A771:C771"/>
    <mergeCell ref="A772:C772"/>
    <mergeCell ref="A789:E789"/>
    <mergeCell ref="A790:E790"/>
    <mergeCell ref="A791:E791"/>
    <mergeCell ref="A863:F863"/>
    <mergeCell ref="B865:F865"/>
    <mergeCell ref="A889:C889"/>
    <mergeCell ref="A890:C890"/>
    <mergeCell ref="A891:C891"/>
    <mergeCell ref="A892:C892"/>
    <mergeCell ref="A829:C829"/>
    <mergeCell ref="A846:E846"/>
    <mergeCell ref="A847:E847"/>
    <mergeCell ref="A848:E848"/>
    <mergeCell ref="A861:F861"/>
    <mergeCell ref="A862:F862"/>
    <mergeCell ref="B808:F808"/>
    <mergeCell ref="A824:C824"/>
    <mergeCell ref="A825:C825"/>
    <mergeCell ref="A826:C826"/>
    <mergeCell ref="A827:C827"/>
    <mergeCell ref="A828:C828"/>
    <mergeCell ref="A949:C949"/>
    <mergeCell ref="A950:C950"/>
    <mergeCell ref="A951:C951"/>
    <mergeCell ref="A968:E968"/>
    <mergeCell ref="A969:E969"/>
    <mergeCell ref="A970:E970"/>
    <mergeCell ref="A927:F927"/>
    <mergeCell ref="A928:F928"/>
    <mergeCell ref="B930:F930"/>
    <mergeCell ref="A946:C946"/>
    <mergeCell ref="A947:C947"/>
    <mergeCell ref="A948:C948"/>
    <mergeCell ref="A893:C893"/>
    <mergeCell ref="A894:C894"/>
    <mergeCell ref="A911:E911"/>
    <mergeCell ref="A912:E912"/>
    <mergeCell ref="A913:E913"/>
    <mergeCell ref="A926:F926"/>
    <mergeCell ref="A1027:E1027"/>
    <mergeCell ref="A1039:F1039"/>
    <mergeCell ref="A1040:F1040"/>
    <mergeCell ref="A1041:F1041"/>
    <mergeCell ref="B1043:F1043"/>
    <mergeCell ref="A1059:C1059"/>
    <mergeCell ref="A1005:C1005"/>
    <mergeCell ref="A1006:C1006"/>
    <mergeCell ref="A1007:C1007"/>
    <mergeCell ref="A1008:C1008"/>
    <mergeCell ref="A1025:E1025"/>
    <mergeCell ref="A1026:E1026"/>
    <mergeCell ref="A983:F983"/>
    <mergeCell ref="A984:F984"/>
    <mergeCell ref="A985:F985"/>
    <mergeCell ref="B987:F987"/>
    <mergeCell ref="A1003:C1003"/>
    <mergeCell ref="A1004:C1004"/>
    <mergeCell ref="A1115:C1115"/>
    <mergeCell ref="A1116:C1116"/>
    <mergeCell ref="A1117:C1117"/>
    <mergeCell ref="A1118:C1118"/>
    <mergeCell ref="A1119:C1119"/>
    <mergeCell ref="A1120:C1120"/>
    <mergeCell ref="A1082:E1082"/>
    <mergeCell ref="A1083:E1083"/>
    <mergeCell ref="A1095:F1095"/>
    <mergeCell ref="A1096:F1096"/>
    <mergeCell ref="A1097:F1097"/>
    <mergeCell ref="B1099:F1099"/>
    <mergeCell ref="A1060:C1060"/>
    <mergeCell ref="A1061:C1061"/>
    <mergeCell ref="A1062:C1062"/>
    <mergeCell ref="A1063:C1063"/>
    <mergeCell ref="A1064:C1064"/>
    <mergeCell ref="A1081:E1081"/>
    <mergeCell ref="A1177:C1177"/>
    <mergeCell ref="A1194:E1194"/>
    <mergeCell ref="A1195:E1195"/>
    <mergeCell ref="A1208:F1208"/>
    <mergeCell ref="A1209:F1209"/>
    <mergeCell ref="A1210:F1210"/>
    <mergeCell ref="B1156:F1156"/>
    <mergeCell ref="A1172:C1172"/>
    <mergeCell ref="A1173:C1173"/>
    <mergeCell ref="A1174:C1174"/>
    <mergeCell ref="A1175:C1175"/>
    <mergeCell ref="A1176:C1176"/>
    <mergeCell ref="A1137:E1137"/>
    <mergeCell ref="A1138:E1138"/>
    <mergeCell ref="A1139:E1139"/>
    <mergeCell ref="A1152:F1152"/>
    <mergeCell ref="A1153:F1153"/>
    <mergeCell ref="A1154:F1154"/>
    <mergeCell ref="B1268:F1268"/>
    <mergeCell ref="A1284:C1284"/>
    <mergeCell ref="A1285:C1285"/>
    <mergeCell ref="A1286:C1286"/>
    <mergeCell ref="A1287:C1287"/>
    <mergeCell ref="A1288:C1288"/>
    <mergeCell ref="A1233:C1233"/>
    <mergeCell ref="A1250:E1250"/>
    <mergeCell ref="A1251:E1251"/>
    <mergeCell ref="A1264:F1264"/>
    <mergeCell ref="A1265:F1265"/>
    <mergeCell ref="A1266:F1266"/>
    <mergeCell ref="B1212:F1212"/>
    <mergeCell ref="A1228:C1228"/>
    <mergeCell ref="A1229:C1229"/>
    <mergeCell ref="A1230:C1230"/>
    <mergeCell ref="A1231:C1231"/>
    <mergeCell ref="A1232:C1232"/>
    <mergeCell ref="A1345:C1345"/>
    <mergeCell ref="A1346:C1346"/>
    <mergeCell ref="A1347:C1347"/>
    <mergeCell ref="A1364:E1364"/>
    <mergeCell ref="A1365:E1365"/>
    <mergeCell ref="A1379:F1379"/>
    <mergeCell ref="A1323:F1323"/>
    <mergeCell ref="B1325:F1325"/>
    <mergeCell ref="A1341:C1341"/>
    <mergeCell ref="A1342:C1342"/>
    <mergeCell ref="A1343:C1343"/>
    <mergeCell ref="A1344:C1344"/>
    <mergeCell ref="A1289:C1289"/>
    <mergeCell ref="A1290:C1290"/>
    <mergeCell ref="A1307:E1307"/>
    <mergeCell ref="A1308:E1308"/>
    <mergeCell ref="A1321:F1321"/>
    <mergeCell ref="A1322:F1322"/>
    <mergeCell ref="A1437:F1437"/>
    <mergeCell ref="A1438:F1438"/>
    <mergeCell ref="A1439:F1439"/>
    <mergeCell ref="B1441:F1441"/>
    <mergeCell ref="A1457:C1457"/>
    <mergeCell ref="A1458:C1458"/>
    <mergeCell ref="A1402:C1402"/>
    <mergeCell ref="A1403:C1403"/>
    <mergeCell ref="A1404:C1404"/>
    <mergeCell ref="A1405:C1405"/>
    <mergeCell ref="A1422:E1422"/>
    <mergeCell ref="A1423:E1423"/>
    <mergeCell ref="A1380:F1380"/>
    <mergeCell ref="A1381:F1381"/>
    <mergeCell ref="B1383:F1383"/>
    <mergeCell ref="A1399:C1399"/>
    <mergeCell ref="A1400:C1400"/>
    <mergeCell ref="A1401:C1401"/>
    <mergeCell ref="A1516:C1516"/>
    <mergeCell ref="A1517:C1517"/>
    <mergeCell ref="A1518:C1518"/>
    <mergeCell ref="A1519:C1519"/>
    <mergeCell ref="A1520:C1520"/>
    <mergeCell ref="A1521:C1521"/>
    <mergeCell ref="A1481:E1481"/>
    <mergeCell ref="A1495:F1495"/>
    <mergeCell ref="A1496:F1496"/>
    <mergeCell ref="A1497:F1497"/>
    <mergeCell ref="B1499:F1499"/>
    <mergeCell ref="A1515:C1515"/>
    <mergeCell ref="A1459:C1459"/>
    <mergeCell ref="A1460:C1460"/>
    <mergeCell ref="A1461:C1461"/>
    <mergeCell ref="A1462:C1462"/>
    <mergeCell ref="A1463:C1463"/>
    <mergeCell ref="A1480:E1480"/>
    <mergeCell ref="A1579:C1579"/>
    <mergeCell ref="A1596:E1596"/>
    <mergeCell ref="A1597:E1597"/>
    <mergeCell ref="A1610:F1610"/>
    <mergeCell ref="A1611:F1611"/>
    <mergeCell ref="A1612:F1612"/>
    <mergeCell ref="A1573:C1573"/>
    <mergeCell ref="A1574:C1574"/>
    <mergeCell ref="A1575:C1575"/>
    <mergeCell ref="A1576:C1576"/>
    <mergeCell ref="A1577:C1577"/>
    <mergeCell ref="A1578:C1578"/>
    <mergeCell ref="A1538:E1538"/>
    <mergeCell ref="A1539:E1539"/>
    <mergeCell ref="A1553:F1553"/>
    <mergeCell ref="A1554:F1554"/>
    <mergeCell ref="A1555:F1555"/>
    <mergeCell ref="B1557:F1557"/>
    <mergeCell ref="A1670:F1670"/>
    <mergeCell ref="B1672:F1672"/>
    <mergeCell ref="A1688:C1688"/>
    <mergeCell ref="A1689:C1689"/>
    <mergeCell ref="A1690:C1690"/>
    <mergeCell ref="A1691:C1691"/>
    <mergeCell ref="A1635:C1635"/>
    <mergeCell ref="A1636:C1636"/>
    <mergeCell ref="A1653:E1653"/>
    <mergeCell ref="A1654:E1654"/>
    <mergeCell ref="A1668:F1668"/>
    <mergeCell ref="A1669:F1669"/>
    <mergeCell ref="B1614:F1614"/>
    <mergeCell ref="A1630:C1630"/>
    <mergeCell ref="A1631:C1631"/>
    <mergeCell ref="A1632:C1632"/>
    <mergeCell ref="A1633:C1633"/>
    <mergeCell ref="A1634:C1634"/>
    <mergeCell ref="A1749:C1749"/>
    <mergeCell ref="A1750:C1750"/>
    <mergeCell ref="A1751:C1751"/>
    <mergeCell ref="A1752:C1752"/>
    <mergeCell ref="A1769:E1769"/>
    <mergeCell ref="A1770:E1770"/>
    <mergeCell ref="A1727:F1727"/>
    <mergeCell ref="A1728:F1728"/>
    <mergeCell ref="B1730:F1730"/>
    <mergeCell ref="A1746:C1746"/>
    <mergeCell ref="A1747:C1747"/>
    <mergeCell ref="A1748:C1748"/>
    <mergeCell ref="A1692:C1692"/>
    <mergeCell ref="A1693:C1693"/>
    <mergeCell ref="A1694:C1694"/>
    <mergeCell ref="A1711:E1711"/>
    <mergeCell ref="A1712:E1712"/>
    <mergeCell ref="A1726:F1726"/>
    <mergeCell ref="A1829:E1829"/>
    <mergeCell ref="A1843:F1843"/>
    <mergeCell ref="A1844:F1844"/>
    <mergeCell ref="A1845:F1845"/>
    <mergeCell ref="B1847:F1847"/>
    <mergeCell ref="A1863:C1863"/>
    <mergeCell ref="A1807:C1807"/>
    <mergeCell ref="A1808:C1808"/>
    <mergeCell ref="A1809:C1809"/>
    <mergeCell ref="A1810:C1810"/>
    <mergeCell ref="A1811:C1811"/>
    <mergeCell ref="A1828:E1828"/>
    <mergeCell ref="A1785:F1785"/>
    <mergeCell ref="A1786:F1786"/>
    <mergeCell ref="A1787:F1787"/>
    <mergeCell ref="B1789:F1789"/>
    <mergeCell ref="A1805:C1805"/>
    <mergeCell ref="A1806:C1806"/>
    <mergeCell ref="A1905:F1905"/>
    <mergeCell ref="A1906:F1906"/>
    <mergeCell ref="A1907:F1907"/>
    <mergeCell ref="B1909:F1909"/>
    <mergeCell ref="A1925:C1925"/>
    <mergeCell ref="A1926:C1926"/>
    <mergeCell ref="A1870:C1870"/>
    <mergeCell ref="A1871:C1871"/>
    <mergeCell ref="A1872:C1872"/>
    <mergeCell ref="A1873:C1873"/>
    <mergeCell ref="A1890:E1890"/>
    <mergeCell ref="A1891:E1891"/>
    <mergeCell ref="A1864:C1864"/>
    <mergeCell ref="A1865:C1865"/>
    <mergeCell ref="A1866:C1866"/>
    <mergeCell ref="A1867:C1867"/>
    <mergeCell ref="A1868:C1868"/>
    <mergeCell ref="A1869:C1869"/>
    <mergeCell ref="A1968:F1968"/>
    <mergeCell ref="A1969:F1969"/>
    <mergeCell ref="B1971:F1971"/>
    <mergeCell ref="A1987:C1987"/>
    <mergeCell ref="A1988:C1988"/>
    <mergeCell ref="A1989:C1989"/>
    <mergeCell ref="A1933:C1933"/>
    <mergeCell ref="A1934:C1934"/>
    <mergeCell ref="A1935:C1935"/>
    <mergeCell ref="A1952:E1952"/>
    <mergeCell ref="A1953:E1953"/>
    <mergeCell ref="A1967:F1967"/>
    <mergeCell ref="A1927:C1927"/>
    <mergeCell ref="A1928:C1928"/>
    <mergeCell ref="A1929:C1929"/>
    <mergeCell ref="A1930:C1930"/>
    <mergeCell ref="A1931:C1931"/>
    <mergeCell ref="A1932:C1932"/>
    <mergeCell ref="A2048:C2048"/>
    <mergeCell ref="A2049:C2049"/>
    <mergeCell ref="A2050:C2050"/>
    <mergeCell ref="A2051:C2051"/>
    <mergeCell ref="A2052:C2052"/>
    <mergeCell ref="A2069:E2069"/>
    <mergeCell ref="A2026:F2026"/>
    <mergeCell ref="A2027:F2027"/>
    <mergeCell ref="A2028:F2028"/>
    <mergeCell ref="B2030:F2030"/>
    <mergeCell ref="A2046:C2046"/>
    <mergeCell ref="A2047:C2047"/>
    <mergeCell ref="A1990:C1990"/>
    <mergeCell ref="A1991:C1991"/>
    <mergeCell ref="A1992:C1992"/>
    <mergeCell ref="A1993:C1993"/>
    <mergeCell ref="A2010:E2010"/>
    <mergeCell ref="A2011:E2011"/>
    <mergeCell ref="A2128:E2128"/>
    <mergeCell ref="A2129:E2129"/>
    <mergeCell ref="A2143:F2143"/>
    <mergeCell ref="A2144:F2144"/>
    <mergeCell ref="A2145:F2145"/>
    <mergeCell ref="B2147:F2147"/>
    <mergeCell ref="A2106:C2106"/>
    <mergeCell ref="A2107:C2107"/>
    <mergeCell ref="A2108:C2108"/>
    <mergeCell ref="A2109:C2109"/>
    <mergeCell ref="A2110:C2110"/>
    <mergeCell ref="A2111:C2111"/>
    <mergeCell ref="A2070:E2070"/>
    <mergeCell ref="A2085:F2085"/>
    <mergeCell ref="A2086:F2086"/>
    <mergeCell ref="A2087:F2087"/>
    <mergeCell ref="B2089:F2089"/>
    <mergeCell ref="A2105:C2105"/>
    <mergeCell ref="B2205:F2205"/>
    <mergeCell ref="A2221:C2221"/>
    <mergeCell ref="A2222:C2222"/>
    <mergeCell ref="A2223:C2223"/>
    <mergeCell ref="A2224:C2224"/>
    <mergeCell ref="A2225:C2225"/>
    <mergeCell ref="A2169:C2169"/>
    <mergeCell ref="A2186:E2186"/>
    <mergeCell ref="A2187:E2187"/>
    <mergeCell ref="A2201:F2201"/>
    <mergeCell ref="A2202:F2202"/>
    <mergeCell ref="A2203:F2203"/>
    <mergeCell ref="A2163:C2163"/>
    <mergeCell ref="A2164:C2164"/>
    <mergeCell ref="A2165:C2165"/>
    <mergeCell ref="A2166:C2166"/>
    <mergeCell ref="A2167:C2167"/>
    <mergeCell ref="A2168:C2168"/>
    <mergeCell ref="A2282:C2282"/>
    <mergeCell ref="A2283:C2283"/>
    <mergeCell ref="A2284:C2284"/>
    <mergeCell ref="A2301:E2301"/>
    <mergeCell ref="A2302:E2302"/>
    <mergeCell ref="A2317:F2317"/>
    <mergeCell ref="A2261:F2261"/>
    <mergeCell ref="B2263:F2263"/>
    <mergeCell ref="A2278:C2278"/>
    <mergeCell ref="A2279:C2279"/>
    <mergeCell ref="A2280:C2280"/>
    <mergeCell ref="A2281:C2281"/>
    <mergeCell ref="A2226:C2226"/>
    <mergeCell ref="A2227:C2227"/>
    <mergeCell ref="A2244:E2244"/>
    <mergeCell ref="A2245:E2245"/>
    <mergeCell ref="A2259:F2259"/>
    <mergeCell ref="A2260:F2260"/>
    <mergeCell ref="A2374:F2374"/>
    <mergeCell ref="A2375:F2375"/>
    <mergeCell ref="A2376:F2376"/>
    <mergeCell ref="B2378:F2378"/>
    <mergeCell ref="A2393:C2393"/>
    <mergeCell ref="A2394:C2394"/>
    <mergeCell ref="A2339:C2339"/>
    <mergeCell ref="A2340:C2340"/>
    <mergeCell ref="A2341:C2341"/>
    <mergeCell ref="A2342:C2342"/>
    <mergeCell ref="A2359:E2359"/>
    <mergeCell ref="A2360:E2360"/>
    <mergeCell ref="A2318:F2318"/>
    <mergeCell ref="A2319:F2319"/>
    <mergeCell ref="B2321:F2321"/>
    <mergeCell ref="A2336:C2336"/>
    <mergeCell ref="A2337:C2337"/>
    <mergeCell ref="A2338:C2338"/>
    <mergeCell ref="A2451:C2451"/>
    <mergeCell ref="A2452:C2452"/>
    <mergeCell ref="A2453:C2453"/>
    <mergeCell ref="A2454:C2454"/>
    <mergeCell ref="A2455:C2455"/>
    <mergeCell ref="A2456:C2456"/>
    <mergeCell ref="A2417:E2417"/>
    <mergeCell ref="A2431:F2431"/>
    <mergeCell ref="A2432:F2432"/>
    <mergeCell ref="A2433:F2433"/>
    <mergeCell ref="B2435:F2435"/>
    <mergeCell ref="A2450:C2450"/>
    <mergeCell ref="A2395:C2395"/>
    <mergeCell ref="A2396:C2396"/>
    <mergeCell ref="A2397:C2397"/>
    <mergeCell ref="A2398:C2398"/>
    <mergeCell ref="A2399:C2399"/>
    <mergeCell ref="A2416:E2416"/>
    <mergeCell ref="A2513:C2513"/>
    <mergeCell ref="A2530:E2530"/>
    <mergeCell ref="A2531:E2531"/>
    <mergeCell ref="A2544:F2544"/>
    <mergeCell ref="A2545:F2545"/>
    <mergeCell ref="A2546:F2546"/>
    <mergeCell ref="A2507:C2507"/>
    <mergeCell ref="A2508:C2508"/>
    <mergeCell ref="A2509:C2509"/>
    <mergeCell ref="A2510:C2510"/>
    <mergeCell ref="A2511:C2511"/>
    <mergeCell ref="A2512:C2512"/>
    <mergeCell ref="A2473:E2473"/>
    <mergeCell ref="A2474:E2474"/>
    <mergeCell ref="A2488:F2488"/>
    <mergeCell ref="A2489:F2489"/>
    <mergeCell ref="A2490:F2490"/>
    <mergeCell ref="B2492:F2492"/>
    <mergeCell ref="A2603:F2603"/>
    <mergeCell ref="B2605:F2605"/>
    <mergeCell ref="A2620:C2620"/>
    <mergeCell ref="A2621:C2621"/>
    <mergeCell ref="A2622:C2622"/>
    <mergeCell ref="A2623:C2623"/>
    <mergeCell ref="A2568:C2568"/>
    <mergeCell ref="A2569:C2569"/>
    <mergeCell ref="A2586:E2586"/>
    <mergeCell ref="A2587:E2587"/>
    <mergeCell ref="A2601:F2601"/>
    <mergeCell ref="A2602:F2602"/>
    <mergeCell ref="B2548:F2548"/>
    <mergeCell ref="A2563:C2563"/>
    <mergeCell ref="A2564:C2564"/>
    <mergeCell ref="A2565:C2565"/>
    <mergeCell ref="A2566:C2566"/>
    <mergeCell ref="A2567:C2567"/>
    <mergeCell ref="A2680:C2680"/>
    <mergeCell ref="A2681:C2681"/>
    <mergeCell ref="A2682:C2682"/>
    <mergeCell ref="A2683:C2683"/>
    <mergeCell ref="A2700:E2700"/>
    <mergeCell ref="A2701:E2701"/>
    <mergeCell ref="A2659:F2659"/>
    <mergeCell ref="A2660:F2660"/>
    <mergeCell ref="B2662:F2662"/>
    <mergeCell ref="A2677:C2677"/>
    <mergeCell ref="A2678:C2678"/>
    <mergeCell ref="A2679:C2679"/>
    <mergeCell ref="A2624:C2624"/>
    <mergeCell ref="A2625:C2625"/>
    <mergeCell ref="A2626:C2626"/>
    <mergeCell ref="A2643:E2643"/>
    <mergeCell ref="A2644:E2644"/>
    <mergeCell ref="A2658:F2658"/>
    <mergeCell ref="A2758:E2758"/>
    <mergeCell ref="A2772:F2772"/>
    <mergeCell ref="A2773:F2773"/>
    <mergeCell ref="A2774:F2774"/>
    <mergeCell ref="B2776:F2776"/>
    <mergeCell ref="A2791:C2791"/>
    <mergeCell ref="A2736:C2736"/>
    <mergeCell ref="A2737:C2737"/>
    <mergeCell ref="A2738:C2738"/>
    <mergeCell ref="A2739:C2739"/>
    <mergeCell ref="A2740:C2740"/>
    <mergeCell ref="A2757:E2757"/>
    <mergeCell ref="A2715:F2715"/>
    <mergeCell ref="A2716:F2716"/>
    <mergeCell ref="A2717:F2717"/>
    <mergeCell ref="B2719:F2719"/>
    <mergeCell ref="A2734:C2734"/>
    <mergeCell ref="A2735:C2735"/>
    <mergeCell ref="A2848:C2848"/>
    <mergeCell ref="A2849:C2849"/>
    <mergeCell ref="A2850:C2850"/>
    <mergeCell ref="A2851:C2851"/>
    <mergeCell ref="A2852:C2852"/>
    <mergeCell ref="A2853:C2853"/>
    <mergeCell ref="A2814:E2814"/>
    <mergeCell ref="A2815:E2815"/>
    <mergeCell ref="A2829:F2829"/>
    <mergeCell ref="A2830:F2830"/>
    <mergeCell ref="A2831:F2831"/>
    <mergeCell ref="B2833:F2833"/>
    <mergeCell ref="A2792:C2792"/>
    <mergeCell ref="A2793:C2793"/>
    <mergeCell ref="A2794:C2794"/>
    <mergeCell ref="A2795:C2795"/>
    <mergeCell ref="A2796:C2796"/>
    <mergeCell ref="A2797:C2797"/>
    <mergeCell ref="A2909:C2909"/>
    <mergeCell ref="A2910:C2910"/>
    <mergeCell ref="A2927:E2927"/>
    <mergeCell ref="A2928:E2928"/>
    <mergeCell ref="A2942:F2942"/>
    <mergeCell ref="A2943:F2943"/>
    <mergeCell ref="B2889:F2889"/>
    <mergeCell ref="A2904:C2904"/>
    <mergeCell ref="A2905:C2905"/>
    <mergeCell ref="A2906:C2906"/>
    <mergeCell ref="A2907:C2907"/>
    <mergeCell ref="A2908:C2908"/>
    <mergeCell ref="A2854:C2854"/>
    <mergeCell ref="A2871:E2871"/>
    <mergeCell ref="A2872:E2872"/>
    <mergeCell ref="A2885:F2885"/>
    <mergeCell ref="A2886:F2886"/>
    <mergeCell ref="A2887:F2887"/>
    <mergeCell ref="A3001:F3001"/>
    <mergeCell ref="A3002:F3002"/>
    <mergeCell ref="B3004:F3004"/>
    <mergeCell ref="A3023:C3023"/>
    <mergeCell ref="A3024:C3024"/>
    <mergeCell ref="A3025:C3025"/>
    <mergeCell ref="A2966:C2966"/>
    <mergeCell ref="A2967:C2967"/>
    <mergeCell ref="A2968:C2968"/>
    <mergeCell ref="A2985:E2985"/>
    <mergeCell ref="A2986:E2986"/>
    <mergeCell ref="A3000:F3000"/>
    <mergeCell ref="A2944:F2944"/>
    <mergeCell ref="B2946:F2946"/>
    <mergeCell ref="A2962:C2962"/>
    <mergeCell ref="A2963:C2963"/>
    <mergeCell ref="A2964:C2964"/>
    <mergeCell ref="A2965:C2965"/>
    <mergeCell ref="A3087:C3087"/>
    <mergeCell ref="A3088:C3088"/>
    <mergeCell ref="A3089:C3089"/>
    <mergeCell ref="A3090:C3090"/>
    <mergeCell ref="A3091:C3091"/>
    <mergeCell ref="A3108:E3108"/>
    <mergeCell ref="A3061:F3061"/>
    <mergeCell ref="A3062:F3062"/>
    <mergeCell ref="A3063:F3063"/>
    <mergeCell ref="B3065:F3065"/>
    <mergeCell ref="A3085:C3085"/>
    <mergeCell ref="A3086:C3086"/>
    <mergeCell ref="A3026:C3026"/>
    <mergeCell ref="A3027:C3027"/>
    <mergeCell ref="A3028:C3028"/>
    <mergeCell ref="A3029:C3029"/>
    <mergeCell ref="A3046:E3046"/>
    <mergeCell ref="A3047:E3047"/>
    <mergeCell ref="A3165:E3165"/>
    <mergeCell ref="A3166:E3166"/>
    <mergeCell ref="A3230:F3230"/>
    <mergeCell ref="A3231:F3231"/>
    <mergeCell ref="A3232:F3232"/>
    <mergeCell ref="B3234:F3234"/>
    <mergeCell ref="A3143:C3143"/>
    <mergeCell ref="A3144:C3144"/>
    <mergeCell ref="A3145:C3145"/>
    <mergeCell ref="A3146:C3146"/>
    <mergeCell ref="A3147:C3147"/>
    <mergeCell ref="A3148:C3148"/>
    <mergeCell ref="A3109:E3109"/>
    <mergeCell ref="A3124:F3124"/>
    <mergeCell ref="A3125:F3125"/>
    <mergeCell ref="A3126:F3126"/>
    <mergeCell ref="B3128:F3128"/>
    <mergeCell ref="A3142:C3142"/>
    <mergeCell ref="A3174:F3174"/>
    <mergeCell ref="A3175:F3175"/>
    <mergeCell ref="A3176:F3176"/>
    <mergeCell ref="B3178:F3178"/>
    <mergeCell ref="A3192:C3192"/>
    <mergeCell ref="A3193:C3193"/>
    <mergeCell ref="A3194:C3194"/>
    <mergeCell ref="A3195:C3195"/>
    <mergeCell ref="A3196:C3196"/>
    <mergeCell ref="A3197:C3197"/>
    <mergeCell ref="A3198:C3198"/>
    <mergeCell ref="A3215:E3215"/>
    <mergeCell ref="A3216:E3216"/>
    <mergeCell ref="B3290:F3290"/>
    <mergeCell ref="A3304:C3304"/>
    <mergeCell ref="A3305:C3305"/>
    <mergeCell ref="A3306:C3306"/>
    <mergeCell ref="A3307:C3307"/>
    <mergeCell ref="A3308:C3308"/>
    <mergeCell ref="A3253:C3253"/>
    <mergeCell ref="A3270:E3270"/>
    <mergeCell ref="A3271:E3271"/>
    <mergeCell ref="A3286:F3286"/>
    <mergeCell ref="A3287:F3287"/>
    <mergeCell ref="A3288:F3288"/>
    <mergeCell ref="A3247:C3247"/>
    <mergeCell ref="A3248:C3248"/>
    <mergeCell ref="A3249:C3249"/>
    <mergeCell ref="A3250:C3250"/>
    <mergeCell ref="A3251:C3251"/>
    <mergeCell ref="A3252:C3252"/>
    <mergeCell ref="A3364:C3364"/>
    <mergeCell ref="A3365:C3365"/>
    <mergeCell ref="A3366:C3366"/>
    <mergeCell ref="A3383:E3383"/>
    <mergeCell ref="A3384:E3384"/>
    <mergeCell ref="A3398:F3398"/>
    <mergeCell ref="A3344:F3344"/>
    <mergeCell ref="B3346:F3346"/>
    <mergeCell ref="A3360:C3360"/>
    <mergeCell ref="A3361:C3361"/>
    <mergeCell ref="A3362:C3362"/>
    <mergeCell ref="A3363:C3363"/>
    <mergeCell ref="A3309:C3309"/>
    <mergeCell ref="A3310:C3310"/>
    <mergeCell ref="A3327:E3327"/>
    <mergeCell ref="A3328:E3328"/>
    <mergeCell ref="A3342:F3342"/>
    <mergeCell ref="A3343:F3343"/>
    <mergeCell ref="A3454:F3454"/>
    <mergeCell ref="A3455:F3455"/>
    <mergeCell ref="A3456:F3456"/>
    <mergeCell ref="B3458:F3458"/>
    <mergeCell ref="A3472:C3472"/>
    <mergeCell ref="A3473:C3473"/>
    <mergeCell ref="A3419:C3419"/>
    <mergeCell ref="A3420:C3420"/>
    <mergeCell ref="A3421:C3421"/>
    <mergeCell ref="A3422:C3422"/>
    <mergeCell ref="A3439:E3439"/>
    <mergeCell ref="A3440:E3440"/>
    <mergeCell ref="A3399:F3399"/>
    <mergeCell ref="A3400:F3400"/>
    <mergeCell ref="B3402:F3402"/>
    <mergeCell ref="A3416:C3416"/>
    <mergeCell ref="A3417:C3417"/>
    <mergeCell ref="A3418:C3418"/>
    <mergeCell ref="A3528:C3528"/>
    <mergeCell ref="A3529:C3529"/>
    <mergeCell ref="A3530:C3530"/>
    <mergeCell ref="A3531:C3531"/>
    <mergeCell ref="A3532:C3532"/>
    <mergeCell ref="A3533:C3533"/>
    <mergeCell ref="A3496:E3496"/>
    <mergeCell ref="A3509:F3509"/>
    <mergeCell ref="A3510:F3510"/>
    <mergeCell ref="A3511:F3511"/>
    <mergeCell ref="B3513:F3513"/>
    <mergeCell ref="A3527:C3527"/>
    <mergeCell ref="A3474:C3474"/>
    <mergeCell ref="A3475:C3475"/>
    <mergeCell ref="A3476:C3476"/>
    <mergeCell ref="A3477:C3477"/>
    <mergeCell ref="A3478:C3478"/>
    <mergeCell ref="A3495:E3495"/>
    <mergeCell ref="A3588:C3588"/>
    <mergeCell ref="A3605:E3605"/>
    <mergeCell ref="A3606:E3606"/>
    <mergeCell ref="A3619:F3619"/>
    <mergeCell ref="A3620:F3620"/>
    <mergeCell ref="A3621:F3621"/>
    <mergeCell ref="A3582:C3582"/>
    <mergeCell ref="A3583:C3583"/>
    <mergeCell ref="A3584:C3584"/>
    <mergeCell ref="A3585:C3585"/>
    <mergeCell ref="A3586:C3586"/>
    <mergeCell ref="A3587:C3587"/>
    <mergeCell ref="A3550:E3550"/>
    <mergeCell ref="A3551:E3551"/>
    <mergeCell ref="A3564:F3564"/>
    <mergeCell ref="A3565:F3565"/>
    <mergeCell ref="A3566:F3566"/>
    <mergeCell ref="B3568:F3568"/>
    <mergeCell ref="A3677:F3677"/>
    <mergeCell ref="B3679:F3679"/>
    <mergeCell ref="A3693:C3693"/>
    <mergeCell ref="A3694:C3694"/>
    <mergeCell ref="A3695:C3695"/>
    <mergeCell ref="A3696:C3696"/>
    <mergeCell ref="A3642:C3642"/>
    <mergeCell ref="A3643:C3643"/>
    <mergeCell ref="A3660:E3660"/>
    <mergeCell ref="A3661:E3661"/>
    <mergeCell ref="A3675:F3675"/>
    <mergeCell ref="A3676:F3676"/>
    <mergeCell ref="B3623:F3623"/>
    <mergeCell ref="A3637:C3637"/>
    <mergeCell ref="A3638:C3638"/>
    <mergeCell ref="A3639:C3639"/>
    <mergeCell ref="A3640:C3640"/>
    <mergeCell ref="A3641:C3641"/>
    <mergeCell ref="A3753:C3753"/>
    <mergeCell ref="A3754:C3754"/>
    <mergeCell ref="A3755:C3755"/>
    <mergeCell ref="A3756:C3756"/>
    <mergeCell ref="A3773:E3773"/>
    <mergeCell ref="A3774:E3774"/>
    <mergeCell ref="A3733:F3733"/>
    <mergeCell ref="A3734:F3734"/>
    <mergeCell ref="B3736:F3736"/>
    <mergeCell ref="A3750:C3750"/>
    <mergeCell ref="A3751:C3751"/>
    <mergeCell ref="A3752:C3752"/>
    <mergeCell ref="A3697:C3697"/>
    <mergeCell ref="A3698:C3698"/>
    <mergeCell ref="A3699:C3699"/>
    <mergeCell ref="A3716:E3716"/>
    <mergeCell ref="A3717:E3717"/>
    <mergeCell ref="A3732:F3732"/>
    <mergeCell ref="A3832:E3832"/>
    <mergeCell ref="A3846:F3846"/>
    <mergeCell ref="A3847:F3847"/>
    <mergeCell ref="A3848:F3848"/>
    <mergeCell ref="B3850:F3850"/>
    <mergeCell ref="A3865:C3865"/>
    <mergeCell ref="A3810:C3810"/>
    <mergeCell ref="A3811:C3811"/>
    <mergeCell ref="A3812:C3812"/>
    <mergeCell ref="A3813:C3813"/>
    <mergeCell ref="A3814:C3814"/>
    <mergeCell ref="A3831:E3831"/>
    <mergeCell ref="A3789:F3789"/>
    <mergeCell ref="A3790:F3790"/>
    <mergeCell ref="A3791:F3791"/>
    <mergeCell ref="B3793:F3793"/>
    <mergeCell ref="A3808:C3808"/>
    <mergeCell ref="A3809:C3809"/>
    <mergeCell ref="A3922:C3922"/>
    <mergeCell ref="A3923:C3923"/>
    <mergeCell ref="A3924:C3924"/>
    <mergeCell ref="A3925:C3925"/>
    <mergeCell ref="A3926:C3926"/>
    <mergeCell ref="A3927:C3927"/>
    <mergeCell ref="A3888:E3888"/>
    <mergeCell ref="A3889:E3889"/>
    <mergeCell ref="A3903:F3903"/>
    <mergeCell ref="A3904:F3904"/>
    <mergeCell ref="A3905:F3905"/>
    <mergeCell ref="B3907:F3907"/>
    <mergeCell ref="A3866:C3866"/>
    <mergeCell ref="A3867:C3867"/>
    <mergeCell ref="A3868:C3868"/>
    <mergeCell ref="A3869:C3869"/>
    <mergeCell ref="A3870:C3870"/>
    <mergeCell ref="A3871:C3871"/>
    <mergeCell ref="A3998:E3998"/>
    <mergeCell ref="A3999:E3999"/>
    <mergeCell ref="A4000:E4000"/>
    <mergeCell ref="A4012:F4012"/>
    <mergeCell ref="A4013:F4013"/>
    <mergeCell ref="A4014:F4014"/>
    <mergeCell ref="B3962:F3962"/>
    <mergeCell ref="A3977:C3977"/>
    <mergeCell ref="A3978:C3978"/>
    <mergeCell ref="A3979:C3979"/>
    <mergeCell ref="A3980:C3980"/>
    <mergeCell ref="A3981:C3981"/>
    <mergeCell ref="A3928:C3928"/>
    <mergeCell ref="A3945:E3945"/>
    <mergeCell ref="A3946:E3946"/>
    <mergeCell ref="A3958:F3958"/>
    <mergeCell ref="A3959:F3959"/>
    <mergeCell ref="A3960:F3960"/>
    <mergeCell ref="B4071:F4071"/>
    <mergeCell ref="A4086:C4086"/>
    <mergeCell ref="A4087:C4087"/>
    <mergeCell ref="A4088:C4088"/>
    <mergeCell ref="A4089:C4089"/>
    <mergeCell ref="A4090:C4090"/>
    <mergeCell ref="A4052:E4052"/>
    <mergeCell ref="A4053:E4053"/>
    <mergeCell ref="A4054:E4054"/>
    <mergeCell ref="A4067:F4067"/>
    <mergeCell ref="A4068:F4068"/>
    <mergeCell ref="A4069:F4069"/>
    <mergeCell ref="B4016:F4016"/>
    <mergeCell ref="A4031:C4031"/>
    <mergeCell ref="A4032:C4032"/>
    <mergeCell ref="A4033:C4033"/>
    <mergeCell ref="A4034:C4034"/>
    <mergeCell ref="A4035:C4035"/>
    <mergeCell ref="A4162:E4162"/>
    <mergeCell ref="A4163:E4163"/>
    <mergeCell ref="A4164:E4164"/>
    <mergeCell ref="A4177:F4177"/>
    <mergeCell ref="A4178:F4178"/>
    <mergeCell ref="A4179:F4179"/>
    <mergeCell ref="B4126:F4126"/>
    <mergeCell ref="A4141:C4141"/>
    <mergeCell ref="A4142:C4142"/>
    <mergeCell ref="A4143:C4143"/>
    <mergeCell ref="A4144:C4144"/>
    <mergeCell ref="A4145:C4145"/>
    <mergeCell ref="A4107:E4107"/>
    <mergeCell ref="A4108:E4108"/>
    <mergeCell ref="A4109:E4109"/>
    <mergeCell ref="A4122:F4122"/>
    <mergeCell ref="A4123:F4123"/>
    <mergeCell ref="A4124:F4124"/>
    <mergeCell ref="B4236:F4236"/>
    <mergeCell ref="A4251:C4251"/>
    <mergeCell ref="A4252:C4252"/>
    <mergeCell ref="A4253:C4253"/>
    <mergeCell ref="A4254:C4254"/>
    <mergeCell ref="A4255:C4255"/>
    <mergeCell ref="A4217:E4217"/>
    <mergeCell ref="A4218:E4218"/>
    <mergeCell ref="A4219:E4219"/>
    <mergeCell ref="A4232:F4232"/>
    <mergeCell ref="A4233:F4233"/>
    <mergeCell ref="A4234:F4234"/>
    <mergeCell ref="B4181:F4181"/>
    <mergeCell ref="A4196:C4196"/>
    <mergeCell ref="A4197:C4197"/>
    <mergeCell ref="A4198:C4198"/>
    <mergeCell ref="A4199:C4199"/>
    <mergeCell ref="A4200:C4200"/>
    <mergeCell ref="A4326:E4326"/>
    <mergeCell ref="A4327:E4327"/>
    <mergeCell ref="A4328:E4328"/>
    <mergeCell ref="A4341:F4341"/>
    <mergeCell ref="A4342:F4342"/>
    <mergeCell ref="A4343:F4343"/>
    <mergeCell ref="B4290:F4290"/>
    <mergeCell ref="A4305:C4305"/>
    <mergeCell ref="A4306:C4306"/>
    <mergeCell ref="A4307:C4307"/>
    <mergeCell ref="A4308:C4308"/>
    <mergeCell ref="A4309:C4309"/>
    <mergeCell ref="A4272:E4272"/>
    <mergeCell ref="A4273:E4273"/>
    <mergeCell ref="A4274:E4274"/>
    <mergeCell ref="A4286:F4286"/>
    <mergeCell ref="A4287:F4287"/>
    <mergeCell ref="A4288:F4288"/>
    <mergeCell ref="B4400:F4400"/>
    <mergeCell ref="A4415:C4415"/>
    <mergeCell ref="A4416:C4416"/>
    <mergeCell ref="A4417:C4417"/>
    <mergeCell ref="A4418:C4418"/>
    <mergeCell ref="A4419:C4419"/>
    <mergeCell ref="A4381:E4381"/>
    <mergeCell ref="A4382:E4382"/>
    <mergeCell ref="A4383:E4383"/>
    <mergeCell ref="A4396:F4396"/>
    <mergeCell ref="A4397:F4397"/>
    <mergeCell ref="A4398:F4398"/>
    <mergeCell ref="B4345:F4345"/>
    <mergeCell ref="A4360:C4360"/>
    <mergeCell ref="A4361:C4361"/>
    <mergeCell ref="A4362:C4362"/>
    <mergeCell ref="A4363:C4363"/>
    <mergeCell ref="A4364:C4364"/>
    <mergeCell ref="A4493:E4493"/>
    <mergeCell ref="A4494:E4494"/>
    <mergeCell ref="A4495:E4495"/>
    <mergeCell ref="A4508:F4508"/>
    <mergeCell ref="A4509:F4509"/>
    <mergeCell ref="A4510:F4510"/>
    <mergeCell ref="B4455:F4455"/>
    <mergeCell ref="A4472:C4472"/>
    <mergeCell ref="A4473:C4473"/>
    <mergeCell ref="A4474:C4474"/>
    <mergeCell ref="A4475:C4475"/>
    <mergeCell ref="A4476:C4476"/>
    <mergeCell ref="A4436:E4436"/>
    <mergeCell ref="A4437:E4437"/>
    <mergeCell ref="A4438:E4438"/>
    <mergeCell ref="A4451:F4451"/>
    <mergeCell ref="A4452:F4452"/>
    <mergeCell ref="A4453:F4453"/>
    <mergeCell ref="A4636:C4636"/>
    <mergeCell ref="A4637:C4637"/>
    <mergeCell ref="A4638:C4638"/>
    <mergeCell ref="A4639:C4639"/>
    <mergeCell ref="B4570:F4570"/>
    <mergeCell ref="A4584:C4584"/>
    <mergeCell ref="A4585:C4585"/>
    <mergeCell ref="A4586:C4586"/>
    <mergeCell ref="A4587:C4587"/>
    <mergeCell ref="A4588:C4588"/>
    <mergeCell ref="A4550:E4550"/>
    <mergeCell ref="A4551:E4551"/>
    <mergeCell ref="A4552:E4552"/>
    <mergeCell ref="A4566:F4566"/>
    <mergeCell ref="A4567:F4567"/>
    <mergeCell ref="A4568:F4568"/>
    <mergeCell ref="B4512:F4512"/>
    <mergeCell ref="A4529:C4529"/>
    <mergeCell ref="A4530:C4530"/>
    <mergeCell ref="A4531:C4531"/>
    <mergeCell ref="A4532:C4532"/>
    <mergeCell ref="A4533:C4533"/>
    <mergeCell ref="B4731:F4731"/>
    <mergeCell ref="A4745:C4745"/>
    <mergeCell ref="A4746:C4746"/>
    <mergeCell ref="A4747:C4747"/>
    <mergeCell ref="A4748:C4748"/>
    <mergeCell ref="A4749:C4749"/>
    <mergeCell ref="A4711:E4711"/>
    <mergeCell ref="A4712:E4712"/>
    <mergeCell ref="A4713:E4713"/>
    <mergeCell ref="A4727:F4727"/>
    <mergeCell ref="A4728:F4728"/>
    <mergeCell ref="A4729:F4729"/>
    <mergeCell ref="A4617:F4617"/>
    <mergeCell ref="A4618:F4618"/>
    <mergeCell ref="A4619:F4619"/>
    <mergeCell ref="A4605:E4605"/>
    <mergeCell ref="A4606:E4606"/>
    <mergeCell ref="A4607:E4607"/>
    <mergeCell ref="B4676:F4676"/>
    <mergeCell ref="A4690:C4690"/>
    <mergeCell ref="A4691:C4691"/>
    <mergeCell ref="A4692:C4692"/>
    <mergeCell ref="A4693:C4693"/>
    <mergeCell ref="A4694:C4694"/>
    <mergeCell ref="A4656:E4656"/>
    <mergeCell ref="A4657:E4657"/>
    <mergeCell ref="A4658:E4658"/>
    <mergeCell ref="A4672:F4672"/>
    <mergeCell ref="A4673:F4673"/>
    <mergeCell ref="A4674:F4674"/>
    <mergeCell ref="B4621:F4621"/>
    <mergeCell ref="A4635:C4635"/>
    <mergeCell ref="A4821:E4821"/>
    <mergeCell ref="A4822:E4822"/>
    <mergeCell ref="A4823:E4823"/>
    <mergeCell ref="A4837:F4837"/>
    <mergeCell ref="A4838:F4838"/>
    <mergeCell ref="A4839:F4839"/>
    <mergeCell ref="B4786:F4786"/>
    <mergeCell ref="A4800:C4800"/>
    <mergeCell ref="A4801:C4801"/>
    <mergeCell ref="A4802:C4802"/>
    <mergeCell ref="A4803:C4803"/>
    <mergeCell ref="A4804:C4804"/>
    <mergeCell ref="A4766:E4766"/>
    <mergeCell ref="A4767:E4767"/>
    <mergeCell ref="A4768:E4768"/>
    <mergeCell ref="A4782:F4782"/>
    <mergeCell ref="A4783:F4783"/>
    <mergeCell ref="A4784:F4784"/>
    <mergeCell ref="B4895:F4895"/>
    <mergeCell ref="A4909:C4909"/>
    <mergeCell ref="A4910:C4910"/>
    <mergeCell ref="A4911:C4911"/>
    <mergeCell ref="A4912:C4912"/>
    <mergeCell ref="A4913:C4913"/>
    <mergeCell ref="A4876:E4876"/>
    <mergeCell ref="A4877:E4877"/>
    <mergeCell ref="A4878:E4878"/>
    <mergeCell ref="A4891:F4891"/>
    <mergeCell ref="A4892:F4892"/>
    <mergeCell ref="A4893:F4893"/>
    <mergeCell ref="B4841:F4841"/>
    <mergeCell ref="A4855:C4855"/>
    <mergeCell ref="A4856:C4856"/>
    <mergeCell ref="A4857:C4857"/>
    <mergeCell ref="A4858:C4858"/>
    <mergeCell ref="A4859:C4859"/>
    <mergeCell ref="A4984:E4984"/>
    <mergeCell ref="A4985:E4985"/>
    <mergeCell ref="A4986:E4986"/>
    <mergeCell ref="A4999:F4999"/>
    <mergeCell ref="A5000:F5000"/>
    <mergeCell ref="A5001:F5001"/>
    <mergeCell ref="B4949:F4949"/>
    <mergeCell ref="A4963:C4963"/>
    <mergeCell ref="A4964:C4964"/>
    <mergeCell ref="A4965:C4965"/>
    <mergeCell ref="A4966:C4966"/>
    <mergeCell ref="A4967:C4967"/>
    <mergeCell ref="A4930:E4930"/>
    <mergeCell ref="A4931:E4931"/>
    <mergeCell ref="A4932:E4932"/>
    <mergeCell ref="A4945:F4945"/>
    <mergeCell ref="A4946:F4946"/>
    <mergeCell ref="A4947:F4947"/>
    <mergeCell ref="B5057:F5057"/>
    <mergeCell ref="A5071:C5071"/>
    <mergeCell ref="A5072:C5072"/>
    <mergeCell ref="A5073:C5073"/>
    <mergeCell ref="A5074:C5074"/>
    <mergeCell ref="A5075:C5075"/>
    <mergeCell ref="A5038:E5038"/>
    <mergeCell ref="A5039:E5039"/>
    <mergeCell ref="A5040:E5040"/>
    <mergeCell ref="A5053:F5053"/>
    <mergeCell ref="A5054:F5054"/>
    <mergeCell ref="A5055:F5055"/>
    <mergeCell ref="B5003:F5003"/>
    <mergeCell ref="A5017:C5017"/>
    <mergeCell ref="A5018:C5018"/>
    <mergeCell ref="A5019:C5019"/>
    <mergeCell ref="A5020:C5020"/>
    <mergeCell ref="A5021:C5021"/>
    <mergeCell ref="A5141:E5141"/>
    <mergeCell ref="A5142:E5142"/>
    <mergeCell ref="A5143:E5143"/>
    <mergeCell ref="B5106:F5106"/>
    <mergeCell ref="A5120:C5120"/>
    <mergeCell ref="A5121:C5121"/>
    <mergeCell ref="A5122:C5122"/>
    <mergeCell ref="A5123:C5123"/>
    <mergeCell ref="A5124:C5124"/>
    <mergeCell ref="A5092:E5092"/>
    <mergeCell ref="A5093:E5093"/>
    <mergeCell ref="A5094:E5094"/>
    <mergeCell ref="A5102:F5102"/>
    <mergeCell ref="A5103:F5103"/>
    <mergeCell ref="A5104:F5104"/>
    <mergeCell ref="A5217:F5217"/>
    <mergeCell ref="D5206:E5206"/>
    <mergeCell ref="D5212:E5212"/>
    <mergeCell ref="A5213:D5213"/>
    <mergeCell ref="A5146:F5146"/>
    <mergeCell ref="A5147:F5147"/>
    <mergeCell ref="A5150:F5150"/>
    <mergeCell ref="A5151:F5151"/>
    <mergeCell ref="D5158:E5158"/>
    <mergeCell ref="A5159:F5159"/>
    <mergeCell ref="D5164:E5164"/>
    <mergeCell ref="D5171:E5171"/>
    <mergeCell ref="D5177:E5177"/>
    <mergeCell ref="A5178:D5178"/>
    <mergeCell ref="A5181:F5181"/>
    <mergeCell ref="A5182:F5182"/>
    <mergeCell ref="A5185:F5185"/>
    <mergeCell ref="A5218:F5218"/>
    <mergeCell ref="A5221:F5221"/>
    <mergeCell ref="A5222:F5222"/>
    <mergeCell ref="D5229:E5229"/>
    <mergeCell ref="A5230:F5230"/>
    <mergeCell ref="D5235:E5235"/>
    <mergeCell ref="D5299:E5299"/>
    <mergeCell ref="A5300:F5300"/>
    <mergeCell ref="D5305:E5305"/>
    <mergeCell ref="D5312:E5312"/>
    <mergeCell ref="A5327:F5327"/>
    <mergeCell ref="D5318:E5318"/>
    <mergeCell ref="A5319:D5319"/>
    <mergeCell ref="A5322:F5322"/>
    <mergeCell ref="A5323:F5323"/>
    <mergeCell ref="A5326:F5326"/>
    <mergeCell ref="D5334:E5334"/>
    <mergeCell ref="A5287:F5287"/>
    <mergeCell ref="A5288:F5288"/>
    <mergeCell ref="A5291:F5291"/>
    <mergeCell ref="A5292:F5292"/>
    <mergeCell ref="A5335:F5335"/>
    <mergeCell ref="D5340:E5340"/>
    <mergeCell ref="D5347:E5347"/>
    <mergeCell ref="D5353:E5353"/>
    <mergeCell ref="A5354:D5354"/>
    <mergeCell ref="A5357:F5357"/>
    <mergeCell ref="A5358:F5358"/>
    <mergeCell ref="A5361:F5361"/>
    <mergeCell ref="A5441:F5441"/>
    <mergeCell ref="A5428:F5428"/>
    <mergeCell ref="A5429:F5429"/>
    <mergeCell ref="A5432:F5432"/>
    <mergeCell ref="A5433:F5433"/>
    <mergeCell ref="D5440:E5440"/>
    <mergeCell ref="A5498:F5498"/>
    <mergeCell ref="A5499:F5499"/>
    <mergeCell ref="D5446:E5446"/>
    <mergeCell ref="D5453:E5453"/>
    <mergeCell ref="D5459:E5459"/>
    <mergeCell ref="A5460:D5460"/>
    <mergeCell ref="A5463:F5463"/>
    <mergeCell ref="A5464:F5464"/>
    <mergeCell ref="A5467:F5467"/>
    <mergeCell ref="A5468:F5468"/>
    <mergeCell ref="D5475:E5475"/>
    <mergeCell ref="A5476:F5476"/>
    <mergeCell ref="D5481:E5481"/>
    <mergeCell ref="D5488:E5488"/>
    <mergeCell ref="D5494:E5494"/>
    <mergeCell ref="A5495:D5495"/>
    <mergeCell ref="A5362:F5362"/>
    <mergeCell ref="D5369:E5369"/>
    <mergeCell ref="A5565:D5565"/>
    <mergeCell ref="A5568:F5568"/>
    <mergeCell ref="A5569:F5569"/>
    <mergeCell ref="A5572:F5572"/>
    <mergeCell ref="A5573:F5573"/>
    <mergeCell ref="D5580:E5580"/>
    <mergeCell ref="A5581:F5581"/>
    <mergeCell ref="D5586:E5586"/>
    <mergeCell ref="D5593:E5593"/>
    <mergeCell ref="D5599:E5599"/>
    <mergeCell ref="A5600:D5600"/>
    <mergeCell ref="A5603:F5603"/>
    <mergeCell ref="A5604:F5604"/>
    <mergeCell ref="A5607:F5607"/>
    <mergeCell ref="A5608:F5608"/>
    <mergeCell ref="D5615:E5615"/>
    <mergeCell ref="A5616:F5616"/>
    <mergeCell ref="D5621:E5621"/>
    <mergeCell ref="D5628:E5628"/>
    <mergeCell ref="A5686:F5686"/>
    <mergeCell ref="D5691:E5691"/>
    <mergeCell ref="D5698:E5698"/>
    <mergeCell ref="D5704:E5704"/>
    <mergeCell ref="A5705:D5705"/>
    <mergeCell ref="A5709:F5709"/>
    <mergeCell ref="A5710:F5710"/>
    <mergeCell ref="A5713:F5713"/>
    <mergeCell ref="A5714:F5714"/>
    <mergeCell ref="D5718:E5718"/>
    <mergeCell ref="A5719:F5719"/>
    <mergeCell ref="D5724:E5724"/>
    <mergeCell ref="D5731:E5731"/>
    <mergeCell ref="D5737:E5737"/>
    <mergeCell ref="A5738:D5738"/>
    <mergeCell ref="A5639:F5639"/>
    <mergeCell ref="A5640:F5640"/>
    <mergeCell ref="A5643:F5643"/>
    <mergeCell ref="A5644:F5644"/>
    <mergeCell ref="D5651:E5651"/>
    <mergeCell ref="A5652:F5652"/>
    <mergeCell ref="D5657:E5657"/>
    <mergeCell ref="D5664:E5664"/>
    <mergeCell ref="D5670:E5670"/>
    <mergeCell ref="A5671:D5671"/>
    <mergeCell ref="A5674:F5674"/>
    <mergeCell ref="A5675:F5675"/>
    <mergeCell ref="A5678:F5678"/>
    <mergeCell ref="A5679:F5679"/>
    <mergeCell ref="D5685:E5685"/>
    <mergeCell ref="A5742:F5742"/>
    <mergeCell ref="D5805:E5805"/>
    <mergeCell ref="A5806:D5806"/>
    <mergeCell ref="A5810:F5810"/>
    <mergeCell ref="A5811:F5811"/>
    <mergeCell ref="A5814:F5814"/>
    <mergeCell ref="A5815:F5815"/>
    <mergeCell ref="D5820:E5820"/>
    <mergeCell ref="A5821:F5821"/>
    <mergeCell ref="D5826:E5826"/>
    <mergeCell ref="D5833:E5833"/>
    <mergeCell ref="D5839:E5839"/>
    <mergeCell ref="A5840:D5840"/>
    <mergeCell ref="A5844:F5844"/>
    <mergeCell ref="A5845:F5845"/>
    <mergeCell ref="A5848:F5848"/>
    <mergeCell ref="A5849:F5849"/>
    <mergeCell ref="A5743:F5743"/>
    <mergeCell ref="A5746:F5746"/>
    <mergeCell ref="A5747:F5747"/>
    <mergeCell ref="D5752:E5752"/>
    <mergeCell ref="A5753:F5753"/>
    <mergeCell ref="D5758:E5758"/>
    <mergeCell ref="D5765:E5765"/>
    <mergeCell ref="D5771:E5771"/>
    <mergeCell ref="A5772:D5772"/>
    <mergeCell ref="A5776:F5776"/>
    <mergeCell ref="A5777:F5777"/>
    <mergeCell ref="A5780:F5780"/>
    <mergeCell ref="A5781:F5781"/>
    <mergeCell ref="D5786:E5786"/>
    <mergeCell ref="A5787:F5787"/>
    <mergeCell ref="D5854:E5854"/>
    <mergeCell ref="A5855:F5855"/>
    <mergeCell ref="D5860:E5860"/>
    <mergeCell ref="D5867:E5867"/>
    <mergeCell ref="D5873:E5873"/>
    <mergeCell ref="A5874:D5874"/>
    <mergeCell ref="A5878:F5878"/>
    <mergeCell ref="A5954:F5954"/>
    <mergeCell ref="D5942:E5942"/>
    <mergeCell ref="D5948:E5948"/>
    <mergeCell ref="A5949:D5949"/>
    <mergeCell ref="A5953:F5953"/>
    <mergeCell ref="D6020:E6020"/>
    <mergeCell ref="A6021:D6021"/>
    <mergeCell ref="A6025:F6025"/>
    <mergeCell ref="A6026:F6026"/>
    <mergeCell ref="A6029:F6029"/>
    <mergeCell ref="A5930:F5930"/>
    <mergeCell ref="D5935:E5935"/>
    <mergeCell ref="A5957:F5957"/>
    <mergeCell ref="A5958:F5958"/>
    <mergeCell ref="D5965:E5965"/>
    <mergeCell ref="A5966:F5966"/>
    <mergeCell ref="D5971:E5971"/>
    <mergeCell ref="D5978:E5978"/>
    <mergeCell ref="D5984:E5984"/>
    <mergeCell ref="A5985:D5985"/>
    <mergeCell ref="A5989:F5989"/>
    <mergeCell ref="A5990:F5990"/>
    <mergeCell ref="A5992:E5992"/>
    <mergeCell ref="A5993:F5993"/>
    <mergeCell ref="A5994:F5994"/>
    <mergeCell ref="A6030:F6030"/>
    <mergeCell ref="A6069:F6069"/>
    <mergeCell ref="A6087:C6087"/>
    <mergeCell ref="A6088:C6088"/>
    <mergeCell ref="A6089:C6089"/>
    <mergeCell ref="A6068:F6068"/>
    <mergeCell ref="D6035:E6035"/>
    <mergeCell ref="A6036:F6036"/>
    <mergeCell ref="D6041:E6041"/>
    <mergeCell ref="D6048:E6048"/>
    <mergeCell ref="D6054:E6054"/>
    <mergeCell ref="A6055:D6055"/>
    <mergeCell ref="A6067:F6067"/>
    <mergeCell ref="B6071:F6071"/>
    <mergeCell ref="A6086:C6086"/>
    <mergeCell ref="A6112:E6112"/>
    <mergeCell ref="A6113:E6113"/>
    <mergeCell ref="A6090:C6090"/>
    <mergeCell ref="A6091:C6091"/>
    <mergeCell ref="A6092:C6092"/>
    <mergeCell ref="A6093:C6093"/>
    <mergeCell ref="A6094:C6094"/>
    <mergeCell ref="A6111:E6111"/>
    <mergeCell ref="A6165:E6165"/>
    <mergeCell ref="A6166:E6166"/>
    <mergeCell ref="A6167:E6167"/>
    <mergeCell ref="A6143:C6143"/>
    <mergeCell ref="A6144:C6144"/>
    <mergeCell ref="A6145:C6145"/>
    <mergeCell ref="A6146:C6146"/>
    <mergeCell ref="A6147:C6147"/>
    <mergeCell ref="A6148:C6148"/>
    <mergeCell ref="A6124:F6124"/>
    <mergeCell ref="A6125:F6125"/>
    <mergeCell ref="B6127:F6127"/>
    <mergeCell ref="A6140:C6140"/>
    <mergeCell ref="A6141:C6141"/>
    <mergeCell ref="A6142:C6142"/>
    <mergeCell ref="A6123:F6123"/>
    <mergeCell ref="A6194:C6194"/>
    <mergeCell ref="A6195:C6195"/>
    <mergeCell ref="A6212:E6212"/>
    <mergeCell ref="A6213:E6213"/>
    <mergeCell ref="A6214:E6214"/>
    <mergeCell ref="A6225:F6225"/>
    <mergeCell ref="A6188:C6188"/>
    <mergeCell ref="A6189:C6189"/>
    <mergeCell ref="A6190:C6190"/>
    <mergeCell ref="A6191:C6191"/>
    <mergeCell ref="A6192:C6192"/>
    <mergeCell ref="A6193:C6193"/>
    <mergeCell ref="A6171:F6171"/>
    <mergeCell ref="A6172:F6172"/>
    <mergeCell ref="A6173:F6173"/>
    <mergeCell ref="B6175:F6175"/>
    <mergeCell ref="A6187:C6187"/>
    <mergeCell ref="A6266:E6266"/>
    <mergeCell ref="A6267:E6267"/>
    <mergeCell ref="A6268:E6268"/>
    <mergeCell ref="A6279:F6279"/>
    <mergeCell ref="A6280:F6280"/>
    <mergeCell ref="A6281:F6281"/>
    <mergeCell ref="A6244:C6244"/>
    <mergeCell ref="A6245:C6245"/>
    <mergeCell ref="A6246:C6246"/>
    <mergeCell ref="A6247:C6247"/>
    <mergeCell ref="A6248:C6248"/>
    <mergeCell ref="A6249:C6249"/>
    <mergeCell ref="A6226:F6226"/>
    <mergeCell ref="A6227:F6227"/>
    <mergeCell ref="B6229:F6229"/>
    <mergeCell ref="A6241:C6241"/>
    <mergeCell ref="A6242:C6242"/>
    <mergeCell ref="A6243:C6243"/>
    <mergeCell ref="A6328:E6328"/>
    <mergeCell ref="A6339:F6339"/>
    <mergeCell ref="A6340:F6340"/>
    <mergeCell ref="A6341:F6341"/>
    <mergeCell ref="B6343:F6343"/>
    <mergeCell ref="A6359:C6359"/>
    <mergeCell ref="A6306:C6306"/>
    <mergeCell ref="A6307:C6307"/>
    <mergeCell ref="A6308:C6308"/>
    <mergeCell ref="A6309:C6309"/>
    <mergeCell ref="A6326:E6326"/>
    <mergeCell ref="A6327:E6327"/>
    <mergeCell ref="B6283:F6283"/>
    <mergeCell ref="A6301:C6301"/>
    <mergeCell ref="A6302:C6302"/>
    <mergeCell ref="A6303:C6303"/>
    <mergeCell ref="A6304:C6304"/>
    <mergeCell ref="A6305:C6305"/>
    <mergeCell ref="A6358:C6358"/>
    <mergeCell ref="A6398:F6398"/>
    <mergeCell ref="A6418:C6418"/>
    <mergeCell ref="A6419:C6419"/>
    <mergeCell ref="A6420:C6420"/>
    <mergeCell ref="A6366:C6366"/>
    <mergeCell ref="A6384:E6384"/>
    <mergeCell ref="A6385:E6385"/>
    <mergeCell ref="A6397:F6397"/>
    <mergeCell ref="A6360:C6360"/>
    <mergeCell ref="A6361:C6361"/>
    <mergeCell ref="A6362:C6362"/>
    <mergeCell ref="A6363:C6363"/>
    <mergeCell ref="A6364:C6364"/>
    <mergeCell ref="A6365:C6365"/>
    <mergeCell ref="A6383:E6383"/>
    <mergeCell ref="A6396:F6396"/>
    <mergeCell ref="B6400:F6400"/>
    <mergeCell ref="A6416:C6416"/>
    <mergeCell ref="A6417:C6417"/>
    <mergeCell ref="B6455:F6455"/>
    <mergeCell ref="A6471:C6471"/>
    <mergeCell ref="A6472:C6472"/>
    <mergeCell ref="A6473:C6473"/>
    <mergeCell ref="A6474:C6474"/>
    <mergeCell ref="A6475:C6475"/>
    <mergeCell ref="A6443:E6443"/>
    <mergeCell ref="A6451:F6451"/>
    <mergeCell ref="A6452:F6452"/>
    <mergeCell ref="A6453:F6453"/>
    <mergeCell ref="A6421:C6421"/>
    <mergeCell ref="A6422:C6422"/>
    <mergeCell ref="A6423:C6423"/>
    <mergeCell ref="A6424:C6424"/>
    <mergeCell ref="A6441:E6441"/>
    <mergeCell ref="A6442:E6442"/>
    <mergeCell ref="A6530:C6530"/>
    <mergeCell ref="A6531:C6531"/>
    <mergeCell ref="A6532:C6532"/>
    <mergeCell ref="A6533:C6533"/>
    <mergeCell ref="A6534:C6534"/>
    <mergeCell ref="A6535:C6535"/>
    <mergeCell ref="A6498:E6498"/>
    <mergeCell ref="A6509:F6509"/>
    <mergeCell ref="A6510:F6510"/>
    <mergeCell ref="A6511:F6511"/>
    <mergeCell ref="B6513:F6513"/>
    <mergeCell ref="A6529:C6529"/>
    <mergeCell ref="A6476:C6476"/>
    <mergeCell ref="A6477:C6477"/>
    <mergeCell ref="A6478:C6478"/>
    <mergeCell ref="A6479:C6479"/>
    <mergeCell ref="A6496:E6496"/>
    <mergeCell ref="A6497:E6497"/>
    <mergeCell ref="A6592:C6592"/>
    <mergeCell ref="A6593:C6593"/>
    <mergeCell ref="A6594:C6594"/>
    <mergeCell ref="A6595:C6595"/>
    <mergeCell ref="A6596:C6596"/>
    <mergeCell ref="A6613:E6613"/>
    <mergeCell ref="A6568:F6568"/>
    <mergeCell ref="A6569:F6569"/>
    <mergeCell ref="B6571:F6571"/>
    <mergeCell ref="A6589:C6589"/>
    <mergeCell ref="A6590:C6590"/>
    <mergeCell ref="A6591:C6591"/>
    <mergeCell ref="A6536:C6536"/>
    <mergeCell ref="A6537:C6537"/>
    <mergeCell ref="A6554:E6554"/>
    <mergeCell ref="A6555:E6555"/>
    <mergeCell ref="A6556:E6556"/>
    <mergeCell ref="A6567:F6567"/>
    <mergeCell ref="A6652:C6652"/>
    <mergeCell ref="A6653:C6653"/>
    <mergeCell ref="A6670:E6670"/>
    <mergeCell ref="A6671:E6671"/>
    <mergeCell ref="A6672:E6672"/>
    <mergeCell ref="A6683:F6683"/>
    <mergeCell ref="A6646:C6646"/>
    <mergeCell ref="A6647:C6647"/>
    <mergeCell ref="A6648:C6648"/>
    <mergeCell ref="A6649:C6649"/>
    <mergeCell ref="A6650:C6650"/>
    <mergeCell ref="A6651:C6651"/>
    <mergeCell ref="A6614:E6614"/>
    <mergeCell ref="A6615:E6615"/>
    <mergeCell ref="A6626:F6626"/>
    <mergeCell ref="A6627:F6627"/>
    <mergeCell ref="A6628:F6628"/>
    <mergeCell ref="B6630:F6630"/>
    <mergeCell ref="A6728:E6728"/>
    <mergeCell ref="A6729:E6729"/>
    <mergeCell ref="A6740:F6740"/>
    <mergeCell ref="A6741:F6741"/>
    <mergeCell ref="A6742:F6742"/>
    <mergeCell ref="B6744:F6744"/>
    <mergeCell ref="A6706:C6706"/>
    <mergeCell ref="A6707:C6707"/>
    <mergeCell ref="A6708:C6708"/>
    <mergeCell ref="A6709:C6709"/>
    <mergeCell ref="A6710:C6710"/>
    <mergeCell ref="A6727:E6727"/>
    <mergeCell ref="A6684:F6684"/>
    <mergeCell ref="A6685:F6685"/>
    <mergeCell ref="B6687:F6687"/>
    <mergeCell ref="A6703:C6703"/>
    <mergeCell ref="A6704:C6704"/>
    <mergeCell ref="A6705:C6705"/>
    <mergeCell ref="A6797:F6797"/>
    <mergeCell ref="A6798:F6798"/>
    <mergeCell ref="A6799:F6799"/>
    <mergeCell ref="B6801:F6801"/>
    <mergeCell ref="A6815:C6815"/>
    <mergeCell ref="A6816:C6816"/>
    <mergeCell ref="A6764:C6764"/>
    <mergeCell ref="A6766:C6766"/>
    <mergeCell ref="A6767:C6767"/>
    <mergeCell ref="A6784:E6784"/>
    <mergeCell ref="A6785:E6785"/>
    <mergeCell ref="A6786:E6786"/>
    <mergeCell ref="A6758:C6758"/>
    <mergeCell ref="A6759:C6759"/>
    <mergeCell ref="A6760:C6760"/>
    <mergeCell ref="A6761:C6761"/>
    <mergeCell ref="A6762:C6762"/>
    <mergeCell ref="A6763:C6763"/>
    <mergeCell ref="A6870:C6870"/>
    <mergeCell ref="A6871:C6871"/>
    <mergeCell ref="A6872:C6872"/>
    <mergeCell ref="A6873:C6873"/>
    <mergeCell ref="A6874:C6874"/>
    <mergeCell ref="A6876:C6876"/>
    <mergeCell ref="A6840:E6840"/>
    <mergeCell ref="A6841:E6841"/>
    <mergeCell ref="A6852:F6852"/>
    <mergeCell ref="A6853:F6853"/>
    <mergeCell ref="A6854:F6854"/>
    <mergeCell ref="B6856:F6856"/>
    <mergeCell ref="A6817:C6817"/>
    <mergeCell ref="A6818:C6818"/>
    <mergeCell ref="A6819:C6819"/>
    <mergeCell ref="A6821:C6821"/>
    <mergeCell ref="A6822:C6822"/>
    <mergeCell ref="A6839:E6839"/>
    <mergeCell ref="A6929:C6929"/>
    <mergeCell ref="A6931:C6931"/>
    <mergeCell ref="A6932:C6932"/>
    <mergeCell ref="A6949:E6949"/>
    <mergeCell ref="A6950:E6950"/>
    <mergeCell ref="A6951:E6951"/>
    <mergeCell ref="A6909:F6909"/>
    <mergeCell ref="B6911:F6911"/>
    <mergeCell ref="A6925:C6925"/>
    <mergeCell ref="A6926:C6926"/>
    <mergeCell ref="A6927:C6927"/>
    <mergeCell ref="A6928:C6928"/>
    <mergeCell ref="A6877:C6877"/>
    <mergeCell ref="A6894:E6894"/>
    <mergeCell ref="A6895:E6895"/>
    <mergeCell ref="A6896:E6896"/>
    <mergeCell ref="A6907:F6907"/>
    <mergeCell ref="A6908:F6908"/>
    <mergeCell ref="A6989:C6989"/>
    <mergeCell ref="A7006:E7006"/>
    <mergeCell ref="A7007:E7007"/>
    <mergeCell ref="A7008:E7008"/>
    <mergeCell ref="A7019:F7019"/>
    <mergeCell ref="A7020:F7020"/>
    <mergeCell ref="A6983:C6983"/>
    <mergeCell ref="A6984:C6984"/>
    <mergeCell ref="A6985:C6985"/>
    <mergeCell ref="A6986:C6986"/>
    <mergeCell ref="A6987:C6987"/>
    <mergeCell ref="A6988:C6988"/>
    <mergeCell ref="A6962:F6962"/>
    <mergeCell ref="A6963:F6963"/>
    <mergeCell ref="A6964:F6964"/>
    <mergeCell ref="B6966:F6966"/>
    <mergeCell ref="A6981:C6981"/>
    <mergeCell ref="A6982:C6982"/>
    <mergeCell ref="A7061:E7061"/>
    <mergeCell ref="A7062:E7062"/>
    <mergeCell ref="A7073:F7073"/>
    <mergeCell ref="A7074:F7074"/>
    <mergeCell ref="A7075:F7075"/>
    <mergeCell ref="B7077:F7077"/>
    <mergeCell ref="A7039:C7039"/>
    <mergeCell ref="A7040:C7040"/>
    <mergeCell ref="A7041:C7041"/>
    <mergeCell ref="A7042:C7042"/>
    <mergeCell ref="A7043:C7043"/>
    <mergeCell ref="A7060:E7060"/>
    <mergeCell ref="A7021:F7021"/>
    <mergeCell ref="B7023:F7023"/>
    <mergeCell ref="A7035:C7035"/>
    <mergeCell ref="A7036:C7036"/>
    <mergeCell ref="A7037:C7037"/>
    <mergeCell ref="A7038:C7038"/>
    <mergeCell ref="A7127:F7127"/>
    <mergeCell ref="A7128:F7128"/>
    <mergeCell ref="A7129:F7129"/>
    <mergeCell ref="B7131:F7131"/>
    <mergeCell ref="A7145:C7145"/>
    <mergeCell ref="A7146:C7146"/>
    <mergeCell ref="A7095:C7095"/>
    <mergeCell ref="A7096:C7096"/>
    <mergeCell ref="A7097:C7097"/>
    <mergeCell ref="A7114:E7114"/>
    <mergeCell ref="A7115:E7115"/>
    <mergeCell ref="A7116:E7116"/>
    <mergeCell ref="A7089:C7089"/>
    <mergeCell ref="A7090:C7090"/>
    <mergeCell ref="A7091:C7091"/>
    <mergeCell ref="A7092:C7092"/>
    <mergeCell ref="A7093:C7093"/>
    <mergeCell ref="A7094:C7094"/>
    <mergeCell ref="A7185:F7185"/>
    <mergeCell ref="B7187:F7187"/>
    <mergeCell ref="A7201:C7201"/>
    <mergeCell ref="A7202:C7202"/>
    <mergeCell ref="A7203:C7203"/>
    <mergeCell ref="A7204:C7204"/>
    <mergeCell ref="A7153:C7153"/>
    <mergeCell ref="A7170:E7170"/>
    <mergeCell ref="A7171:E7171"/>
    <mergeCell ref="A7172:E7172"/>
    <mergeCell ref="A7183:F7183"/>
    <mergeCell ref="A7184:F7184"/>
    <mergeCell ref="A7147:C7147"/>
    <mergeCell ref="A7148:C7148"/>
    <mergeCell ref="A7149:C7149"/>
    <mergeCell ref="A7150:C7150"/>
    <mergeCell ref="A7151:C7151"/>
    <mergeCell ref="A7152:C7152"/>
    <mergeCell ref="A7257:C7257"/>
    <mergeCell ref="A7258:C7258"/>
    <mergeCell ref="A7259:C7259"/>
    <mergeCell ref="A7260:C7260"/>
    <mergeCell ref="A7261:C7261"/>
    <mergeCell ref="A7262:C7262"/>
    <mergeCell ref="A7227:E7227"/>
    <mergeCell ref="A7228:E7228"/>
    <mergeCell ref="A7239:F7239"/>
    <mergeCell ref="A7240:F7240"/>
    <mergeCell ref="A7241:F7241"/>
    <mergeCell ref="B7243:F7243"/>
    <mergeCell ref="A7205:C7205"/>
    <mergeCell ref="A7206:C7206"/>
    <mergeCell ref="A7207:C7207"/>
    <mergeCell ref="A7208:C7208"/>
    <mergeCell ref="A7209:C7209"/>
    <mergeCell ref="A7226:E7226"/>
    <mergeCell ref="A7315:C7315"/>
    <mergeCell ref="A7316:C7316"/>
    <mergeCell ref="A7317:C7317"/>
    <mergeCell ref="A7318:C7318"/>
    <mergeCell ref="A7319:C7319"/>
    <mergeCell ref="A7320:C7320"/>
    <mergeCell ref="A7295:F7295"/>
    <mergeCell ref="A7296:F7296"/>
    <mergeCell ref="A7297:F7297"/>
    <mergeCell ref="B7299:F7299"/>
    <mergeCell ref="A7313:C7313"/>
    <mergeCell ref="A7314:C7314"/>
    <mergeCell ref="A7263:C7263"/>
    <mergeCell ref="A7264:C7264"/>
    <mergeCell ref="A7265:C7265"/>
    <mergeCell ref="A7282:E7282"/>
    <mergeCell ref="A7283:E7283"/>
    <mergeCell ref="A7284:E7284"/>
    <mergeCell ref="A7373:C7373"/>
    <mergeCell ref="A7374:C7374"/>
    <mergeCell ref="A7375:C7375"/>
    <mergeCell ref="A7376:C7376"/>
    <mergeCell ref="A7377:C7377"/>
    <mergeCell ref="A7394:E7394"/>
    <mergeCell ref="A7353:F7353"/>
    <mergeCell ref="B7355:F7355"/>
    <mergeCell ref="A7369:C7369"/>
    <mergeCell ref="A7370:C7370"/>
    <mergeCell ref="A7371:C7371"/>
    <mergeCell ref="A7372:C7372"/>
    <mergeCell ref="A7321:C7321"/>
    <mergeCell ref="A7338:E7338"/>
    <mergeCell ref="A7339:E7339"/>
    <mergeCell ref="A7340:E7340"/>
    <mergeCell ref="A7351:F7351"/>
    <mergeCell ref="A7352:F7352"/>
    <mergeCell ref="A7431:C7431"/>
    <mergeCell ref="A7432:C7432"/>
    <mergeCell ref="A7433:C7433"/>
    <mergeCell ref="A7450:E7450"/>
    <mergeCell ref="A7451:E7451"/>
    <mergeCell ref="A7452:E7452"/>
    <mergeCell ref="A7425:C7425"/>
    <mergeCell ref="A7426:C7426"/>
    <mergeCell ref="A7427:C7427"/>
    <mergeCell ref="A7428:C7428"/>
    <mergeCell ref="A7429:C7429"/>
    <mergeCell ref="A7430:C7430"/>
    <mergeCell ref="A7395:E7395"/>
    <mergeCell ref="A7396:E7396"/>
    <mergeCell ref="A7407:F7407"/>
    <mergeCell ref="A7408:F7408"/>
    <mergeCell ref="A7409:F7409"/>
    <mergeCell ref="B7411:F7411"/>
    <mergeCell ref="A7489:C7489"/>
    <mergeCell ref="A7506:E7506"/>
    <mergeCell ref="A7507:E7507"/>
    <mergeCell ref="A7508:E7508"/>
    <mergeCell ref="A7519:F7519"/>
    <mergeCell ref="A7520:F7520"/>
    <mergeCell ref="A7483:C7483"/>
    <mergeCell ref="A7484:C7484"/>
    <mergeCell ref="A7485:C7485"/>
    <mergeCell ref="A7486:C7486"/>
    <mergeCell ref="A7487:C7487"/>
    <mergeCell ref="A7488:C7488"/>
    <mergeCell ref="A7463:F7463"/>
    <mergeCell ref="A7464:F7464"/>
    <mergeCell ref="A7465:F7465"/>
    <mergeCell ref="B7467:F7467"/>
    <mergeCell ref="A7481:C7481"/>
    <mergeCell ref="A7482:C7482"/>
    <mergeCell ref="A7563:E7563"/>
    <mergeCell ref="A7564:E7564"/>
    <mergeCell ref="A7575:F7575"/>
    <mergeCell ref="A7576:F7576"/>
    <mergeCell ref="A7577:F7577"/>
    <mergeCell ref="B7579:F7579"/>
    <mergeCell ref="A7541:C7541"/>
    <mergeCell ref="A7542:C7542"/>
    <mergeCell ref="A7543:C7543"/>
    <mergeCell ref="A7544:C7544"/>
    <mergeCell ref="A7545:C7545"/>
    <mergeCell ref="A7562:E7562"/>
    <mergeCell ref="A7521:F7521"/>
    <mergeCell ref="B7523:F7523"/>
    <mergeCell ref="A7537:C7537"/>
    <mergeCell ref="A7538:C7538"/>
    <mergeCell ref="A7539:C7539"/>
    <mergeCell ref="A7540:C7540"/>
    <mergeCell ref="A7630:F7630"/>
    <mergeCell ref="A7631:F7631"/>
    <mergeCell ref="A7632:F7632"/>
    <mergeCell ref="B7634:F7634"/>
    <mergeCell ref="A7647:C7647"/>
    <mergeCell ref="A7648:C7648"/>
    <mergeCell ref="A7598:C7598"/>
    <mergeCell ref="A7599:C7599"/>
    <mergeCell ref="A7600:C7600"/>
    <mergeCell ref="A7617:E7617"/>
    <mergeCell ref="A7618:E7618"/>
    <mergeCell ref="A7619:E7619"/>
    <mergeCell ref="A7592:C7592"/>
    <mergeCell ref="A7593:C7593"/>
    <mergeCell ref="A7594:C7594"/>
    <mergeCell ref="A7595:C7595"/>
    <mergeCell ref="A7596:C7596"/>
    <mergeCell ref="A7597:C7597"/>
    <mergeCell ref="A7688:F7688"/>
    <mergeCell ref="B7690:F7690"/>
    <mergeCell ref="A7705:C7705"/>
    <mergeCell ref="A7706:C7706"/>
    <mergeCell ref="A7707:C7707"/>
    <mergeCell ref="A7708:C7708"/>
    <mergeCell ref="A7655:C7655"/>
    <mergeCell ref="A7672:E7672"/>
    <mergeCell ref="A7673:E7673"/>
    <mergeCell ref="A7674:E7674"/>
    <mergeCell ref="A7686:F7686"/>
    <mergeCell ref="A7687:F7687"/>
    <mergeCell ref="A7649:C7649"/>
    <mergeCell ref="A7650:C7650"/>
    <mergeCell ref="A7651:C7651"/>
    <mergeCell ref="A7652:C7652"/>
    <mergeCell ref="A7653:C7653"/>
    <mergeCell ref="A7654:C7654"/>
    <mergeCell ref="A7761:C7761"/>
    <mergeCell ref="A7762:C7762"/>
    <mergeCell ref="A7763:C7763"/>
    <mergeCell ref="A7764:C7764"/>
    <mergeCell ref="A7765:C7765"/>
    <mergeCell ref="A7766:C7766"/>
    <mergeCell ref="A7731:E7731"/>
    <mergeCell ref="A7732:E7732"/>
    <mergeCell ref="A7743:F7743"/>
    <mergeCell ref="A7744:F7744"/>
    <mergeCell ref="A7745:F7745"/>
    <mergeCell ref="B7747:F7747"/>
    <mergeCell ref="A7709:C7709"/>
    <mergeCell ref="A7710:C7710"/>
    <mergeCell ref="A7711:C7711"/>
    <mergeCell ref="A7712:C7712"/>
    <mergeCell ref="A7713:C7713"/>
    <mergeCell ref="A7730:E7730"/>
    <mergeCell ref="A7820:C7820"/>
    <mergeCell ref="A7821:C7821"/>
    <mergeCell ref="A7822:C7822"/>
    <mergeCell ref="A7823:C7823"/>
    <mergeCell ref="A7824:C7824"/>
    <mergeCell ref="A7825:C7825"/>
    <mergeCell ref="A7800:F7800"/>
    <mergeCell ref="A7801:F7801"/>
    <mergeCell ref="A7802:F7802"/>
    <mergeCell ref="B7804:F7804"/>
    <mergeCell ref="A7818:C7818"/>
    <mergeCell ref="A7819:C7819"/>
    <mergeCell ref="A7767:C7767"/>
    <mergeCell ref="A7768:C7768"/>
    <mergeCell ref="A7769:C7769"/>
    <mergeCell ref="A7786:E7786"/>
    <mergeCell ref="A7787:E7787"/>
    <mergeCell ref="A7788:E7788"/>
    <mergeCell ref="A7879:C7879"/>
    <mergeCell ref="A7880:C7880"/>
    <mergeCell ref="A7881:C7881"/>
    <mergeCell ref="A7882:C7882"/>
    <mergeCell ref="A7883:C7883"/>
    <mergeCell ref="A7900:E7900"/>
    <mergeCell ref="A7859:F7859"/>
    <mergeCell ref="B7861:F7861"/>
    <mergeCell ref="A7875:C7875"/>
    <mergeCell ref="A7876:C7876"/>
    <mergeCell ref="A7877:C7877"/>
    <mergeCell ref="A7878:C7878"/>
    <mergeCell ref="A7826:C7826"/>
    <mergeCell ref="A7843:E7843"/>
    <mergeCell ref="A7844:E7844"/>
    <mergeCell ref="A7845:E7845"/>
    <mergeCell ref="A7857:F7857"/>
    <mergeCell ref="A7858:F7858"/>
    <mergeCell ref="A7938:C7938"/>
    <mergeCell ref="A7939:C7939"/>
    <mergeCell ref="A7940:C7940"/>
    <mergeCell ref="A7957:E7957"/>
    <mergeCell ref="A7958:E7958"/>
    <mergeCell ref="A7959:E7959"/>
    <mergeCell ref="A7932:C7932"/>
    <mergeCell ref="A7933:C7933"/>
    <mergeCell ref="A7934:C7934"/>
    <mergeCell ref="A7935:C7935"/>
    <mergeCell ref="A7936:C7936"/>
    <mergeCell ref="A7937:C7937"/>
    <mergeCell ref="A7901:E7901"/>
    <mergeCell ref="A7902:E7902"/>
    <mergeCell ref="A7914:F7914"/>
    <mergeCell ref="A7915:F7915"/>
    <mergeCell ref="A7916:F7916"/>
    <mergeCell ref="B7918:F7918"/>
    <mergeCell ref="A7997:C7997"/>
    <mergeCell ref="A8014:E8014"/>
    <mergeCell ref="A8015:E8015"/>
    <mergeCell ref="A8016:E8016"/>
    <mergeCell ref="A8028:F8028"/>
    <mergeCell ref="A8029:F8029"/>
    <mergeCell ref="A7991:C7991"/>
    <mergeCell ref="A7992:C7992"/>
    <mergeCell ref="A7993:C7993"/>
    <mergeCell ref="A7994:C7994"/>
    <mergeCell ref="A7995:C7995"/>
    <mergeCell ref="A7996:C7996"/>
    <mergeCell ref="A7971:F7971"/>
    <mergeCell ref="A7972:F7972"/>
    <mergeCell ref="A7973:F7973"/>
    <mergeCell ref="B7975:F7975"/>
    <mergeCell ref="A7989:C7989"/>
    <mergeCell ref="A7990:C7990"/>
    <mergeCell ref="A8086:F8086"/>
    <mergeCell ref="A8087:F8087"/>
    <mergeCell ref="B8089:F8089"/>
    <mergeCell ref="A8105:C8105"/>
    <mergeCell ref="A8106:C8106"/>
    <mergeCell ref="A8107:C8107"/>
    <mergeCell ref="A8052:C8052"/>
    <mergeCell ref="A8053:C8053"/>
    <mergeCell ref="A8070:E8070"/>
    <mergeCell ref="A8071:E8071"/>
    <mergeCell ref="A8072:E8072"/>
    <mergeCell ref="A8085:F8085"/>
    <mergeCell ref="A8030:F8030"/>
    <mergeCell ref="B8032:F8032"/>
    <mergeCell ref="A8048:C8048"/>
    <mergeCell ref="A8049:C8049"/>
    <mergeCell ref="A8050:C8050"/>
    <mergeCell ref="A8051:C8051"/>
    <mergeCell ref="A8164:C8164"/>
    <mergeCell ref="A8165:C8165"/>
    <mergeCell ref="A8166:C8166"/>
    <mergeCell ref="A8167:C8167"/>
    <mergeCell ref="A8184:E8184"/>
    <mergeCell ref="A8185:E8185"/>
    <mergeCell ref="A8142:F8142"/>
    <mergeCell ref="A8143:F8143"/>
    <mergeCell ref="A8144:F8144"/>
    <mergeCell ref="B8146:F8146"/>
    <mergeCell ref="A8162:C8162"/>
    <mergeCell ref="A8163:C8163"/>
    <mergeCell ref="A8108:C8108"/>
    <mergeCell ref="A8109:C8109"/>
    <mergeCell ref="A8110:C8110"/>
    <mergeCell ref="A8127:E8127"/>
    <mergeCell ref="A8128:E8128"/>
    <mergeCell ref="A8129:E8129"/>
    <mergeCell ref="A8241:E8241"/>
    <mergeCell ref="A8242:E8242"/>
    <mergeCell ref="A8253:F8253"/>
    <mergeCell ref="A8254:F8254"/>
    <mergeCell ref="A8255:F8255"/>
    <mergeCell ref="B8257:F8257"/>
    <mergeCell ref="A8219:C8219"/>
    <mergeCell ref="A8220:C8220"/>
    <mergeCell ref="A8221:C8221"/>
    <mergeCell ref="A8222:C8222"/>
    <mergeCell ref="A8223:C8223"/>
    <mergeCell ref="A8240:E8240"/>
    <mergeCell ref="A8186:E8186"/>
    <mergeCell ref="A8198:F8198"/>
    <mergeCell ref="A8199:F8199"/>
    <mergeCell ref="A8200:F8200"/>
    <mergeCell ref="B8202:F8202"/>
    <mergeCell ref="A8218:C8218"/>
    <mergeCell ref="B8312:F8312"/>
    <mergeCell ref="A8328:C8328"/>
    <mergeCell ref="A8329:C8329"/>
    <mergeCell ref="A8330:C8330"/>
    <mergeCell ref="A8331:C8331"/>
    <mergeCell ref="A8332:C8332"/>
    <mergeCell ref="A8295:E8295"/>
    <mergeCell ref="A8296:E8296"/>
    <mergeCell ref="A8297:E8297"/>
    <mergeCell ref="A8308:F8308"/>
    <mergeCell ref="A8309:F8309"/>
    <mergeCell ref="A8310:F8310"/>
    <mergeCell ref="A8273:C8273"/>
    <mergeCell ref="A8274:C8274"/>
    <mergeCell ref="A8275:C8275"/>
    <mergeCell ref="A8276:C8276"/>
    <mergeCell ref="A8277:C8277"/>
    <mergeCell ref="A8278:C8278"/>
    <mergeCell ref="A8387:C8387"/>
    <mergeCell ref="A8388:C8388"/>
    <mergeCell ref="A8405:E8405"/>
    <mergeCell ref="A8406:E8406"/>
    <mergeCell ref="A8407:E8407"/>
    <mergeCell ref="A8419:F8419"/>
    <mergeCell ref="A8365:F8365"/>
    <mergeCell ref="B8367:F8367"/>
    <mergeCell ref="A8383:C8383"/>
    <mergeCell ref="A8384:C8384"/>
    <mergeCell ref="A8385:C8385"/>
    <mergeCell ref="A8386:C8386"/>
    <mergeCell ref="A8333:C8333"/>
    <mergeCell ref="A8350:E8350"/>
    <mergeCell ref="A8351:E8351"/>
    <mergeCell ref="A8352:E8352"/>
    <mergeCell ref="A8363:F8363"/>
    <mergeCell ref="A8364:F8364"/>
    <mergeCell ref="A8475:F8475"/>
    <mergeCell ref="A8476:F8476"/>
    <mergeCell ref="A8477:F8477"/>
    <mergeCell ref="B8479:F8479"/>
    <mergeCell ref="A8494:C8494"/>
    <mergeCell ref="A8495:C8495"/>
    <mergeCell ref="A8441:C8441"/>
    <mergeCell ref="A8442:C8442"/>
    <mergeCell ref="A8443:C8443"/>
    <mergeCell ref="A8444:C8444"/>
    <mergeCell ref="A8461:E8461"/>
    <mergeCell ref="A8462:E8462"/>
    <mergeCell ref="A8420:F8420"/>
    <mergeCell ref="A8421:F8421"/>
    <mergeCell ref="B8423:F8423"/>
    <mergeCell ref="A8438:C8438"/>
    <mergeCell ref="A8439:C8439"/>
    <mergeCell ref="A8440:C8440"/>
    <mergeCell ref="A8551:C8551"/>
    <mergeCell ref="A8552:C8552"/>
    <mergeCell ref="A8553:C8553"/>
    <mergeCell ref="A8554:C8554"/>
    <mergeCell ref="A8555:C8555"/>
    <mergeCell ref="A8556:C8556"/>
    <mergeCell ref="A8518:E8518"/>
    <mergeCell ref="A8531:F8531"/>
    <mergeCell ref="A8532:F8532"/>
    <mergeCell ref="A8533:F8533"/>
    <mergeCell ref="B8535:F8535"/>
    <mergeCell ref="A8550:C8550"/>
    <mergeCell ref="A8496:C8496"/>
    <mergeCell ref="A8497:C8497"/>
    <mergeCell ref="A8498:C8498"/>
    <mergeCell ref="A8499:C8499"/>
    <mergeCell ref="A8500:C8500"/>
    <mergeCell ref="A8517:E8517"/>
    <mergeCell ref="A8612:C8612"/>
    <mergeCell ref="A8629:E8629"/>
    <mergeCell ref="A8630:E8630"/>
    <mergeCell ref="A8643:F8643"/>
    <mergeCell ref="A8644:F8644"/>
    <mergeCell ref="A8645:F8645"/>
    <mergeCell ref="A8606:C8606"/>
    <mergeCell ref="A8607:C8607"/>
    <mergeCell ref="A8608:C8608"/>
    <mergeCell ref="A8609:C8609"/>
    <mergeCell ref="A8610:C8610"/>
    <mergeCell ref="A8611:C8611"/>
    <mergeCell ref="A8573:E8573"/>
    <mergeCell ref="A8574:E8574"/>
    <mergeCell ref="A8587:F8587"/>
    <mergeCell ref="A8588:F8588"/>
    <mergeCell ref="A8589:F8589"/>
    <mergeCell ref="B8591:F8591"/>
    <mergeCell ref="A8701:F8701"/>
    <mergeCell ref="B8703:F8703"/>
    <mergeCell ref="A8718:C8718"/>
    <mergeCell ref="A8719:C8719"/>
    <mergeCell ref="A8720:C8720"/>
    <mergeCell ref="A8721:C8721"/>
    <mergeCell ref="A8667:C8667"/>
    <mergeCell ref="A8668:C8668"/>
    <mergeCell ref="A8685:E8685"/>
    <mergeCell ref="A8686:E8686"/>
    <mergeCell ref="A8699:F8699"/>
    <mergeCell ref="A8700:F8700"/>
    <mergeCell ref="B8647:F8647"/>
    <mergeCell ref="A8662:C8662"/>
    <mergeCell ref="A8663:C8663"/>
    <mergeCell ref="A8664:C8664"/>
    <mergeCell ref="A8665:C8665"/>
    <mergeCell ref="A8666:C8666"/>
    <mergeCell ref="A8778:C8778"/>
    <mergeCell ref="A8779:C8779"/>
    <mergeCell ref="A8780:C8780"/>
    <mergeCell ref="A8781:C8781"/>
    <mergeCell ref="A8798:E8798"/>
    <mergeCell ref="A8799:E8799"/>
    <mergeCell ref="A8757:F8757"/>
    <mergeCell ref="A8758:F8758"/>
    <mergeCell ref="B8760:F8760"/>
    <mergeCell ref="A8775:C8775"/>
    <mergeCell ref="A8776:C8776"/>
    <mergeCell ref="A8777:C8777"/>
    <mergeCell ref="A8722:C8722"/>
    <mergeCell ref="A8723:C8723"/>
    <mergeCell ref="A8724:C8724"/>
    <mergeCell ref="A8741:E8741"/>
    <mergeCell ref="A8742:E8742"/>
    <mergeCell ref="A8756:F8756"/>
    <mergeCell ref="A8856:E8856"/>
    <mergeCell ref="A8870:F8870"/>
    <mergeCell ref="A8871:F8871"/>
    <mergeCell ref="A8872:F8872"/>
    <mergeCell ref="B8874:F8874"/>
    <mergeCell ref="A8889:C8889"/>
    <mergeCell ref="A8834:C8834"/>
    <mergeCell ref="A8835:C8835"/>
    <mergeCell ref="A8836:C8836"/>
    <mergeCell ref="A8837:C8837"/>
    <mergeCell ref="A8838:C8838"/>
    <mergeCell ref="A8855:E8855"/>
    <mergeCell ref="A8813:F8813"/>
    <mergeCell ref="A8814:F8814"/>
    <mergeCell ref="A8815:F8815"/>
    <mergeCell ref="B8817:F8817"/>
    <mergeCell ref="A8832:C8832"/>
    <mergeCell ref="A8833:C8833"/>
    <mergeCell ref="A8946:C8946"/>
    <mergeCell ref="A8947:C8947"/>
    <mergeCell ref="A8948:C8948"/>
    <mergeCell ref="A8949:C8949"/>
    <mergeCell ref="A8950:C8950"/>
    <mergeCell ref="A8951:C8951"/>
    <mergeCell ref="A8912:E8912"/>
    <mergeCell ref="A8913:E8913"/>
    <mergeCell ref="A8927:F8927"/>
    <mergeCell ref="A8928:F8928"/>
    <mergeCell ref="A8929:F8929"/>
    <mergeCell ref="B8931:F8931"/>
    <mergeCell ref="A8890:C8890"/>
    <mergeCell ref="A8891:C8891"/>
    <mergeCell ref="A8892:C8892"/>
    <mergeCell ref="A8893:C8893"/>
    <mergeCell ref="A8894:C8894"/>
    <mergeCell ref="A8895:C8895"/>
    <mergeCell ref="A8952:C8952"/>
    <mergeCell ref="A8969:E8969"/>
    <mergeCell ref="A8970:E8970"/>
    <mergeCell ref="A9079:F9079"/>
    <mergeCell ref="A9080:F9080"/>
    <mergeCell ref="A9081:F9081"/>
    <mergeCell ref="B9083:F9083"/>
    <mergeCell ref="A9098:C9098"/>
    <mergeCell ref="A9099:C9099"/>
    <mergeCell ref="A9100:C9100"/>
    <mergeCell ref="A9101:C9101"/>
    <mergeCell ref="A9118:E9118"/>
    <mergeCell ref="A9119:E9119"/>
    <mergeCell ref="A9120:E9120"/>
    <mergeCell ref="A9130:F9130"/>
    <mergeCell ref="A9131:F9131"/>
    <mergeCell ref="A9132:F9132"/>
    <mergeCell ref="A8980:F8980"/>
    <mergeCell ref="A8981:F8981"/>
    <mergeCell ref="A8982:F8982"/>
    <mergeCell ref="B8984:F8984"/>
    <mergeCell ref="A9019:E9019"/>
    <mergeCell ref="A9020:E9020"/>
    <mergeCell ref="A9021:E9021"/>
    <mergeCell ref="A9031:F9031"/>
    <mergeCell ref="A9032:F9032"/>
    <mergeCell ref="A9033:F9033"/>
    <mergeCell ref="B9035:F9035"/>
    <mergeCell ref="A10095:F10095"/>
    <mergeCell ref="B10097:F10097"/>
    <mergeCell ref="A10112:C10112"/>
    <mergeCell ref="A10113:C10113"/>
    <mergeCell ref="A10060:C10060"/>
    <mergeCell ref="A10061:C10061"/>
    <mergeCell ref="A10062:C10062"/>
    <mergeCell ref="A10063:C10063"/>
    <mergeCell ref="A10080:E10080"/>
    <mergeCell ref="A10081:E10081"/>
    <mergeCell ref="A10190:E10190"/>
    <mergeCell ref="A10191:E10191"/>
    <mergeCell ref="A10203:F10203"/>
    <mergeCell ref="A10204:F10204"/>
    <mergeCell ref="A10205:F10205"/>
    <mergeCell ref="B10207:F10207"/>
    <mergeCell ref="A10168:C10168"/>
    <mergeCell ref="A10169:C10169"/>
    <mergeCell ref="A10170:C10170"/>
    <mergeCell ref="A10171:C10171"/>
    <mergeCell ref="A10172:C10172"/>
    <mergeCell ref="A10173:C10173"/>
    <mergeCell ref="A10136:E10136"/>
    <mergeCell ref="A10148:F10148"/>
    <mergeCell ref="A10149:F10149"/>
    <mergeCell ref="A10150:F10150"/>
    <mergeCell ref="B10152:F10152"/>
    <mergeCell ref="A10167:C10167"/>
    <mergeCell ref="A10279:C10279"/>
    <mergeCell ref="A10281:C10281"/>
    <mergeCell ref="A10282:C10282"/>
    <mergeCell ref="A10283:C10283"/>
    <mergeCell ref="A10284:C10284"/>
    <mergeCell ref="A10258:F10258"/>
    <mergeCell ref="B10260:F10260"/>
    <mergeCell ref="A10275:C10275"/>
    <mergeCell ref="A10276:C10276"/>
    <mergeCell ref="A10277:C10277"/>
    <mergeCell ref="A10278:C10278"/>
    <mergeCell ref="A10256:F10256"/>
    <mergeCell ref="A10257:F10257"/>
    <mergeCell ref="A10228:C10228"/>
    <mergeCell ref="A10245:E10245"/>
    <mergeCell ref="A10246:E10246"/>
    <mergeCell ref="A10222:C10222"/>
    <mergeCell ref="A10223:C10223"/>
    <mergeCell ref="A10224:C10224"/>
    <mergeCell ref="A10225:C10225"/>
    <mergeCell ref="A10226:C10226"/>
    <mergeCell ref="A10227:C10227"/>
    <mergeCell ref="A10340:C10340"/>
    <mergeCell ref="A10341:C10341"/>
    <mergeCell ref="A10342:C10342"/>
    <mergeCell ref="A10343:C10343"/>
    <mergeCell ref="A10344:C10344"/>
    <mergeCell ref="B10319:F10319"/>
    <mergeCell ref="A10334:C10334"/>
    <mergeCell ref="A10335:C10335"/>
    <mergeCell ref="A10336:C10336"/>
    <mergeCell ref="A10337:C10337"/>
    <mergeCell ref="A10338:C10338"/>
    <mergeCell ref="A10285:C10285"/>
    <mergeCell ref="A10302:E10302"/>
    <mergeCell ref="A10303:E10303"/>
    <mergeCell ref="A10315:F10315"/>
    <mergeCell ref="A10316:F10316"/>
    <mergeCell ref="A10317:F10317"/>
    <mergeCell ref="A12344:C12344"/>
    <mergeCell ref="A12345:C12345"/>
    <mergeCell ref="A12346:C12346"/>
    <mergeCell ref="A12347:C12347"/>
    <mergeCell ref="A12348:C12348"/>
    <mergeCell ref="A12349:C12349"/>
    <mergeCell ref="A10361:E10361"/>
    <mergeCell ref="A10362:E10362"/>
    <mergeCell ref="A12325:F12325"/>
    <mergeCell ref="A12326:F12326"/>
    <mergeCell ref="A12327:F12327"/>
    <mergeCell ref="B12329:F12329"/>
    <mergeCell ref="A10390:C10390"/>
    <mergeCell ref="A10391:C10391"/>
    <mergeCell ref="A10392:C10392"/>
    <mergeCell ref="A10393:C10393"/>
    <mergeCell ref="A10410:E10410"/>
    <mergeCell ref="A10411:E10411"/>
    <mergeCell ref="A10429:F10429"/>
    <mergeCell ref="A10430:F10430"/>
    <mergeCell ref="A10431:F10431"/>
    <mergeCell ref="B10433:F10433"/>
    <mergeCell ref="A10449:C10449"/>
    <mergeCell ref="A10450:C10450"/>
    <mergeCell ref="A10451:C10451"/>
    <mergeCell ref="A10452:C10452"/>
    <mergeCell ref="B10371:F10371"/>
    <mergeCell ref="A10387:C10387"/>
    <mergeCell ref="A10388:C10388"/>
    <mergeCell ref="A10389:C10389"/>
    <mergeCell ref="A10453:C10453"/>
    <mergeCell ref="A10454:C10454"/>
    <mergeCell ref="A12406:C12406"/>
    <mergeCell ref="A12407:C12407"/>
    <mergeCell ref="A12408:C12408"/>
    <mergeCell ref="A12409:C12409"/>
    <mergeCell ref="A12410:C12410"/>
    <mergeCell ref="A12411:C12411"/>
    <mergeCell ref="A12372:E12372"/>
    <mergeCell ref="A12384:F12384"/>
    <mergeCell ref="A12385:F12385"/>
    <mergeCell ref="A12386:F12386"/>
    <mergeCell ref="B12388:F12388"/>
    <mergeCell ref="A12405:C12405"/>
    <mergeCell ref="A12350:C12350"/>
    <mergeCell ref="A12351:C12351"/>
    <mergeCell ref="A12352:C12352"/>
    <mergeCell ref="A12353:C12353"/>
    <mergeCell ref="A12354:C12354"/>
    <mergeCell ref="A12371:E12371"/>
    <mergeCell ref="A12473:C12473"/>
    <mergeCell ref="A12474:C12474"/>
    <mergeCell ref="A12475:C12475"/>
    <mergeCell ref="A12476:C12476"/>
    <mergeCell ref="A12477:C12477"/>
    <mergeCell ref="A12478:C12478"/>
    <mergeCell ref="A12445:F12445"/>
    <mergeCell ref="A12446:F12446"/>
    <mergeCell ref="A12447:F12447"/>
    <mergeCell ref="B12449:F12449"/>
    <mergeCell ref="A12471:C12471"/>
    <mergeCell ref="A12472:C12472"/>
    <mergeCell ref="A12412:C12412"/>
    <mergeCell ref="A12413:C12413"/>
    <mergeCell ref="A12414:C12414"/>
    <mergeCell ref="A12415:C12415"/>
    <mergeCell ref="A12432:E12432"/>
    <mergeCell ref="A12433:E12433"/>
    <mergeCell ref="A12535:C12535"/>
    <mergeCell ref="A12536:C12536"/>
    <mergeCell ref="A12537:C12537"/>
    <mergeCell ref="A12538:C12538"/>
    <mergeCell ref="A12539:C12539"/>
    <mergeCell ref="A12540:C12540"/>
    <mergeCell ref="A12512:F12512"/>
    <mergeCell ref="A12513:F12513"/>
    <mergeCell ref="B12515:F12515"/>
    <mergeCell ref="A12532:C12532"/>
    <mergeCell ref="A12533:C12533"/>
    <mergeCell ref="A12534:C12534"/>
    <mergeCell ref="A12479:C12479"/>
    <mergeCell ref="A12480:C12480"/>
    <mergeCell ref="A12481:C12481"/>
    <mergeCell ref="A12498:E12498"/>
    <mergeCell ref="A12499:E12499"/>
    <mergeCell ref="A12511:F12511"/>
    <mergeCell ref="A12597:C12597"/>
    <mergeCell ref="A12598:C12598"/>
    <mergeCell ref="A12599:C12599"/>
    <mergeCell ref="A12600:C12600"/>
    <mergeCell ref="A12601:C12601"/>
    <mergeCell ref="A12602:C12602"/>
    <mergeCell ref="A12574:F12574"/>
    <mergeCell ref="B12576:F12576"/>
    <mergeCell ref="A12593:C12593"/>
    <mergeCell ref="A12594:C12594"/>
    <mergeCell ref="A12595:C12595"/>
    <mergeCell ref="A12596:C12596"/>
    <mergeCell ref="A12541:C12541"/>
    <mergeCell ref="A12542:C12542"/>
    <mergeCell ref="A12559:E12559"/>
    <mergeCell ref="A12560:E12560"/>
    <mergeCell ref="A12572:F12572"/>
    <mergeCell ref="A12573:F12573"/>
    <mergeCell ref="A12659:C12659"/>
    <mergeCell ref="A12660:C12660"/>
    <mergeCell ref="A12661:C12661"/>
    <mergeCell ref="A12662:C12662"/>
    <mergeCell ref="A12663:C12663"/>
    <mergeCell ref="A12664:C12664"/>
    <mergeCell ref="B12637:F12637"/>
    <mergeCell ref="A12654:C12654"/>
    <mergeCell ref="A12655:C12655"/>
    <mergeCell ref="A12656:C12656"/>
    <mergeCell ref="A12657:C12657"/>
    <mergeCell ref="A12658:C12658"/>
    <mergeCell ref="A12603:C12603"/>
    <mergeCell ref="A12620:E12620"/>
    <mergeCell ref="A12621:E12621"/>
    <mergeCell ref="A12633:F12633"/>
    <mergeCell ref="A12634:F12634"/>
    <mergeCell ref="A12635:F12635"/>
    <mergeCell ref="A12721:C12721"/>
    <mergeCell ref="A12722:C12722"/>
    <mergeCell ref="A12723:C12723"/>
    <mergeCell ref="A12724:C12724"/>
    <mergeCell ref="A12725:C12725"/>
    <mergeCell ref="A12742:E12742"/>
    <mergeCell ref="A12715:C12715"/>
    <mergeCell ref="A12716:C12716"/>
    <mergeCell ref="A12717:C12717"/>
    <mergeCell ref="A12718:C12718"/>
    <mergeCell ref="A12719:C12719"/>
    <mergeCell ref="A12720:C12720"/>
    <mergeCell ref="A12681:E12681"/>
    <mergeCell ref="A12682:E12682"/>
    <mergeCell ref="A12694:F12694"/>
    <mergeCell ref="A12695:F12695"/>
    <mergeCell ref="A12696:F12696"/>
    <mergeCell ref="B12698:F12698"/>
    <mergeCell ref="A12784:C12784"/>
    <mergeCell ref="A12785:C12785"/>
    <mergeCell ref="A12786:C12786"/>
    <mergeCell ref="A12787:C12787"/>
    <mergeCell ref="A12804:E12804"/>
    <mergeCell ref="A12805:E12805"/>
    <mergeCell ref="A12778:C12778"/>
    <mergeCell ref="A12779:C12779"/>
    <mergeCell ref="A12780:C12780"/>
    <mergeCell ref="A12781:C12781"/>
    <mergeCell ref="A12782:C12782"/>
    <mergeCell ref="A12783:C12783"/>
    <mergeCell ref="A12743:E12743"/>
    <mergeCell ref="A12756:F12756"/>
    <mergeCell ref="A12757:F12757"/>
    <mergeCell ref="A12758:F12758"/>
    <mergeCell ref="B12760:F12760"/>
    <mergeCell ref="A12777:C12777"/>
    <mergeCell ref="A12847:C12847"/>
    <mergeCell ref="A12848:C12848"/>
    <mergeCell ref="A12849:C12849"/>
    <mergeCell ref="A12866:E12866"/>
    <mergeCell ref="A12867:E12867"/>
    <mergeCell ref="A12880:F12880"/>
    <mergeCell ref="A12841:C12841"/>
    <mergeCell ref="A12842:C12842"/>
    <mergeCell ref="A12843:C12843"/>
    <mergeCell ref="A12844:C12844"/>
    <mergeCell ref="A12845:C12845"/>
    <mergeCell ref="A12846:C12846"/>
    <mergeCell ref="A12818:F12818"/>
    <mergeCell ref="A12819:F12819"/>
    <mergeCell ref="A12820:F12820"/>
    <mergeCell ref="B12822:F12822"/>
    <mergeCell ref="A12839:C12839"/>
    <mergeCell ref="A12840:C12840"/>
    <mergeCell ref="A12910:C12910"/>
    <mergeCell ref="A12911:C12911"/>
    <mergeCell ref="A12928:E12928"/>
    <mergeCell ref="A12929:E12929"/>
    <mergeCell ref="A12941:F12941"/>
    <mergeCell ref="A12942:F12942"/>
    <mergeCell ref="A12904:C12904"/>
    <mergeCell ref="A12905:C12905"/>
    <mergeCell ref="A12906:C12906"/>
    <mergeCell ref="A12907:C12907"/>
    <mergeCell ref="A12908:C12908"/>
    <mergeCell ref="A12909:C12909"/>
    <mergeCell ref="A12881:F12881"/>
    <mergeCell ref="A12882:F12882"/>
    <mergeCell ref="B12884:F12884"/>
    <mergeCell ref="A12901:C12901"/>
    <mergeCell ref="A12902:C12902"/>
    <mergeCell ref="A12903:C12903"/>
    <mergeCell ref="A12972:C12972"/>
    <mergeCell ref="A12989:E12989"/>
    <mergeCell ref="A12990:E12990"/>
    <mergeCell ref="A13002:F13002"/>
    <mergeCell ref="A13003:F13003"/>
    <mergeCell ref="A13004:F13004"/>
    <mergeCell ref="A12966:C12966"/>
    <mergeCell ref="A12967:C12967"/>
    <mergeCell ref="A12968:C12968"/>
    <mergeCell ref="A12969:C12969"/>
    <mergeCell ref="A12970:C12970"/>
    <mergeCell ref="A12971:C12971"/>
    <mergeCell ref="A12943:F12943"/>
    <mergeCell ref="B12945:F12945"/>
    <mergeCell ref="A12962:C12962"/>
    <mergeCell ref="A12963:C12963"/>
    <mergeCell ref="A12964:C12964"/>
    <mergeCell ref="A12965:C12965"/>
    <mergeCell ref="A13050:E13050"/>
    <mergeCell ref="A13051:E13051"/>
    <mergeCell ref="A13063:F13063"/>
    <mergeCell ref="A13064:F13064"/>
    <mergeCell ref="A13065:F13065"/>
    <mergeCell ref="B13067:F13067"/>
    <mergeCell ref="A13028:C13028"/>
    <mergeCell ref="A13029:C13029"/>
    <mergeCell ref="A13030:C13030"/>
    <mergeCell ref="A13031:C13031"/>
    <mergeCell ref="A13032:C13032"/>
    <mergeCell ref="A13033:C13033"/>
    <mergeCell ref="B13006:F13006"/>
    <mergeCell ref="A13023:C13023"/>
    <mergeCell ref="A13024:C13024"/>
    <mergeCell ref="A13025:C13025"/>
    <mergeCell ref="A13026:C13026"/>
    <mergeCell ref="A13027:C13027"/>
    <mergeCell ref="A13112:E13112"/>
    <mergeCell ref="A13124:F13124"/>
    <mergeCell ref="A13125:F13125"/>
    <mergeCell ref="A13126:F13126"/>
    <mergeCell ref="B13128:F13128"/>
    <mergeCell ref="A13145:C13145"/>
    <mergeCell ref="A13090:C13090"/>
    <mergeCell ref="A13091:C13091"/>
    <mergeCell ref="A13092:C13092"/>
    <mergeCell ref="A13093:C13093"/>
    <mergeCell ref="A13094:C13094"/>
    <mergeCell ref="A13111:E13111"/>
    <mergeCell ref="A13084:C13084"/>
    <mergeCell ref="A13085:C13085"/>
    <mergeCell ref="A13086:C13086"/>
    <mergeCell ref="A13087:C13087"/>
    <mergeCell ref="A13088:C13088"/>
    <mergeCell ref="A13089:C13089"/>
    <mergeCell ref="A13185:F13185"/>
    <mergeCell ref="A13186:F13186"/>
    <mergeCell ref="A13187:F13187"/>
    <mergeCell ref="B13189:F13189"/>
    <mergeCell ref="A13206:C13206"/>
    <mergeCell ref="A13207:C13207"/>
    <mergeCell ref="A13152:C13152"/>
    <mergeCell ref="A13153:C13153"/>
    <mergeCell ref="A13154:C13154"/>
    <mergeCell ref="A13155:C13155"/>
    <mergeCell ref="A13172:E13172"/>
    <mergeCell ref="A13173:E13173"/>
    <mergeCell ref="A13146:C13146"/>
    <mergeCell ref="A13147:C13147"/>
    <mergeCell ref="A13148:C13148"/>
    <mergeCell ref="A13149:C13149"/>
    <mergeCell ref="A13150:C13150"/>
    <mergeCell ref="A13151:C13151"/>
    <mergeCell ref="A13247:F13247"/>
    <mergeCell ref="A13248:F13248"/>
    <mergeCell ref="B13250:F13250"/>
    <mergeCell ref="A13267:C13267"/>
    <mergeCell ref="A13268:C13268"/>
    <mergeCell ref="A13269:C13269"/>
    <mergeCell ref="A13214:C13214"/>
    <mergeCell ref="A13215:C13215"/>
    <mergeCell ref="A13216:C13216"/>
    <mergeCell ref="A13233:E13233"/>
    <mergeCell ref="A13234:E13234"/>
    <mergeCell ref="A13246:F13246"/>
    <mergeCell ref="A13208:C13208"/>
    <mergeCell ref="A13209:C13209"/>
    <mergeCell ref="A13210:C13210"/>
    <mergeCell ref="A13211:C13211"/>
    <mergeCell ref="A13212:C13212"/>
    <mergeCell ref="A13213:C13213"/>
    <mergeCell ref="A13310:F13310"/>
    <mergeCell ref="B13312:F13312"/>
    <mergeCell ref="A13329:C13329"/>
    <mergeCell ref="A13330:C13330"/>
    <mergeCell ref="A13331:C13331"/>
    <mergeCell ref="A13332:C13332"/>
    <mergeCell ref="A13276:C13276"/>
    <mergeCell ref="A13277:C13277"/>
    <mergeCell ref="A13294:E13294"/>
    <mergeCell ref="A13295:E13295"/>
    <mergeCell ref="A13308:F13308"/>
    <mergeCell ref="A13309:F13309"/>
    <mergeCell ref="A13270:C13270"/>
    <mergeCell ref="A13271:C13271"/>
    <mergeCell ref="A13272:C13272"/>
    <mergeCell ref="A13273:C13273"/>
    <mergeCell ref="A13274:C13274"/>
    <mergeCell ref="A13275:C13275"/>
    <mergeCell ref="B13374:F13374"/>
    <mergeCell ref="A13391:C13391"/>
    <mergeCell ref="A13392:C13392"/>
    <mergeCell ref="A13393:C13393"/>
    <mergeCell ref="A13394:C13394"/>
    <mergeCell ref="A13395:C13395"/>
    <mergeCell ref="A13339:C13339"/>
    <mergeCell ref="A13356:E13356"/>
    <mergeCell ref="A13357:E13357"/>
    <mergeCell ref="A13370:F13370"/>
    <mergeCell ref="A13371:F13371"/>
    <mergeCell ref="A13372:F13372"/>
    <mergeCell ref="A13333:C13333"/>
    <mergeCell ref="A13334:C13334"/>
    <mergeCell ref="A13335:C13335"/>
    <mergeCell ref="A13336:C13336"/>
    <mergeCell ref="A13337:C13337"/>
    <mergeCell ref="A13338:C13338"/>
    <mergeCell ref="A13453:C13453"/>
    <mergeCell ref="A13454:C13454"/>
    <mergeCell ref="A13455:C13455"/>
    <mergeCell ref="A13456:C13456"/>
    <mergeCell ref="A13457:C13457"/>
    <mergeCell ref="A13458:C13458"/>
    <mergeCell ref="A13418:E13418"/>
    <mergeCell ref="A13419:E13419"/>
    <mergeCell ref="A13432:F13432"/>
    <mergeCell ref="A13433:F13433"/>
    <mergeCell ref="A13434:F13434"/>
    <mergeCell ref="B13436:F13436"/>
    <mergeCell ref="A13396:C13396"/>
    <mergeCell ref="A13397:C13397"/>
    <mergeCell ref="A13398:C13398"/>
    <mergeCell ref="A13399:C13399"/>
    <mergeCell ref="A13400:C13400"/>
    <mergeCell ref="A13401:C13401"/>
    <mergeCell ref="A13516:C13516"/>
    <mergeCell ref="A13517:C13517"/>
    <mergeCell ref="A13518:C13518"/>
    <mergeCell ref="A13519:C13519"/>
    <mergeCell ref="A13520:C13520"/>
    <mergeCell ref="A13521:C13521"/>
    <mergeCell ref="A13481:E13481"/>
    <mergeCell ref="A13494:F13494"/>
    <mergeCell ref="A13495:F13495"/>
    <mergeCell ref="A13496:F13496"/>
    <mergeCell ref="B13498:F13498"/>
    <mergeCell ref="A13515:C13515"/>
    <mergeCell ref="A13459:C13459"/>
    <mergeCell ref="A13460:C13460"/>
    <mergeCell ref="A13461:C13461"/>
    <mergeCell ref="A13462:C13462"/>
    <mergeCell ref="A13463:C13463"/>
    <mergeCell ref="A13480:E13480"/>
    <mergeCell ref="A13579:C13579"/>
    <mergeCell ref="A13580:C13580"/>
    <mergeCell ref="A13581:C13581"/>
    <mergeCell ref="A13582:C13582"/>
    <mergeCell ref="A13583:C13583"/>
    <mergeCell ref="A13584:C13584"/>
    <mergeCell ref="A13556:F13556"/>
    <mergeCell ref="A13557:F13557"/>
    <mergeCell ref="A13558:F13558"/>
    <mergeCell ref="B13560:F13560"/>
    <mergeCell ref="A13577:C13577"/>
    <mergeCell ref="A13578:C13578"/>
    <mergeCell ref="A13522:C13522"/>
    <mergeCell ref="A13523:C13523"/>
    <mergeCell ref="A13524:C13524"/>
    <mergeCell ref="A13525:C13525"/>
    <mergeCell ref="A13542:E13542"/>
    <mergeCell ref="A13543:E13543"/>
    <mergeCell ref="A13641:C13641"/>
    <mergeCell ref="A13642:C13642"/>
    <mergeCell ref="A13643:C13643"/>
    <mergeCell ref="A13644:C13644"/>
    <mergeCell ref="A13645:C13645"/>
    <mergeCell ref="A13646:C13646"/>
    <mergeCell ref="A13618:F13618"/>
    <mergeCell ref="A13619:F13619"/>
    <mergeCell ref="B13621:F13621"/>
    <mergeCell ref="A13638:C13638"/>
    <mergeCell ref="A13639:C13639"/>
    <mergeCell ref="A13640:C13640"/>
    <mergeCell ref="A13585:C13585"/>
    <mergeCell ref="A13586:C13586"/>
    <mergeCell ref="A13587:C13587"/>
    <mergeCell ref="A13604:E13604"/>
    <mergeCell ref="A13605:E13605"/>
    <mergeCell ref="A13617:F13617"/>
    <mergeCell ref="A13703:C13703"/>
    <mergeCell ref="A13704:C13704"/>
    <mergeCell ref="A13705:C13705"/>
    <mergeCell ref="A13706:C13706"/>
    <mergeCell ref="A13707:C13707"/>
    <mergeCell ref="A13708:C13708"/>
    <mergeCell ref="A13680:F13680"/>
    <mergeCell ref="B13682:F13682"/>
    <mergeCell ref="A13699:C13699"/>
    <mergeCell ref="A13700:C13700"/>
    <mergeCell ref="A13701:C13701"/>
    <mergeCell ref="A13702:C13702"/>
    <mergeCell ref="A13647:C13647"/>
    <mergeCell ref="A13648:C13648"/>
    <mergeCell ref="A13665:E13665"/>
    <mergeCell ref="A13666:E13666"/>
    <mergeCell ref="A13678:F13678"/>
    <mergeCell ref="A13679:F13679"/>
    <mergeCell ref="A13765:C13765"/>
    <mergeCell ref="A13766:C13766"/>
    <mergeCell ref="A13767:C13767"/>
    <mergeCell ref="A13768:C13768"/>
    <mergeCell ref="A13769:C13769"/>
    <mergeCell ref="A13770:C13770"/>
    <mergeCell ref="B13743:F13743"/>
    <mergeCell ref="A13760:C13760"/>
    <mergeCell ref="A13761:C13761"/>
    <mergeCell ref="A13762:C13762"/>
    <mergeCell ref="A13763:C13763"/>
    <mergeCell ref="A13764:C13764"/>
    <mergeCell ref="A13709:C13709"/>
    <mergeCell ref="A13726:E13726"/>
    <mergeCell ref="A13727:E13727"/>
    <mergeCell ref="A13739:F13739"/>
    <mergeCell ref="A13740:F13740"/>
    <mergeCell ref="A13741:F13741"/>
    <mergeCell ref="A13827:C13827"/>
    <mergeCell ref="A13828:C13828"/>
    <mergeCell ref="A13829:C13829"/>
    <mergeCell ref="A13830:C13830"/>
    <mergeCell ref="A13831:C13831"/>
    <mergeCell ref="A13848:E13848"/>
    <mergeCell ref="A13821:C13821"/>
    <mergeCell ref="A13822:C13822"/>
    <mergeCell ref="A13823:C13823"/>
    <mergeCell ref="A13824:C13824"/>
    <mergeCell ref="A13825:C13825"/>
    <mergeCell ref="A13826:C13826"/>
    <mergeCell ref="A13787:E13787"/>
    <mergeCell ref="A13788:E13788"/>
    <mergeCell ref="A13800:F13800"/>
    <mergeCell ref="A13801:F13801"/>
    <mergeCell ref="A13802:F13802"/>
    <mergeCell ref="B13804:F13804"/>
    <mergeCell ref="A13889:C13889"/>
    <mergeCell ref="A13890:C13890"/>
    <mergeCell ref="A13891:C13891"/>
    <mergeCell ref="A13892:C13892"/>
    <mergeCell ref="A13909:E13909"/>
    <mergeCell ref="A13910:E13910"/>
    <mergeCell ref="A13883:C13883"/>
    <mergeCell ref="A13884:C13884"/>
    <mergeCell ref="A13885:C13885"/>
    <mergeCell ref="A13886:C13886"/>
    <mergeCell ref="A13887:C13887"/>
    <mergeCell ref="A13888:C13888"/>
    <mergeCell ref="A13849:E13849"/>
    <mergeCell ref="A13861:F13861"/>
    <mergeCell ref="A13862:F13862"/>
    <mergeCell ref="A13863:F13863"/>
    <mergeCell ref="B13865:F13865"/>
    <mergeCell ref="A13882:C13882"/>
    <mergeCell ref="A13951:C13951"/>
    <mergeCell ref="A13952:C13952"/>
    <mergeCell ref="A13953:C13953"/>
    <mergeCell ref="A13970:E13970"/>
    <mergeCell ref="A13971:E13971"/>
    <mergeCell ref="A13983:F13983"/>
    <mergeCell ref="A13945:C13945"/>
    <mergeCell ref="A13946:C13946"/>
    <mergeCell ref="A13947:C13947"/>
    <mergeCell ref="A13948:C13948"/>
    <mergeCell ref="A13949:C13949"/>
    <mergeCell ref="A13950:C13950"/>
    <mergeCell ref="A13922:F13922"/>
    <mergeCell ref="A13923:F13923"/>
    <mergeCell ref="A13924:F13924"/>
    <mergeCell ref="B13926:F13926"/>
    <mergeCell ref="A13943:C13943"/>
    <mergeCell ref="A13944:C13944"/>
    <mergeCell ref="A14013:C14013"/>
    <mergeCell ref="A14014:C14014"/>
    <mergeCell ref="A14031:E14031"/>
    <mergeCell ref="A14032:E14032"/>
    <mergeCell ref="A14044:F14044"/>
    <mergeCell ref="A14045:F14045"/>
    <mergeCell ref="A14007:C14007"/>
    <mergeCell ref="A14008:C14008"/>
    <mergeCell ref="A14009:C14009"/>
    <mergeCell ref="A14010:C14010"/>
    <mergeCell ref="A14011:C14011"/>
    <mergeCell ref="A14012:C14012"/>
    <mergeCell ref="A13984:F13984"/>
    <mergeCell ref="A13985:F13985"/>
    <mergeCell ref="B13987:F13987"/>
    <mergeCell ref="A14004:C14004"/>
    <mergeCell ref="A14005:C14005"/>
    <mergeCell ref="A14006:C14006"/>
    <mergeCell ref="A14075:C14075"/>
    <mergeCell ref="A14092:E14092"/>
    <mergeCell ref="A14093:E14093"/>
    <mergeCell ref="A14105:F14105"/>
    <mergeCell ref="A14106:F14106"/>
    <mergeCell ref="A14107:F14107"/>
    <mergeCell ref="A14069:C14069"/>
    <mergeCell ref="A14070:C14070"/>
    <mergeCell ref="A14071:C14071"/>
    <mergeCell ref="A14072:C14072"/>
    <mergeCell ref="A14073:C14073"/>
    <mergeCell ref="A14074:C14074"/>
    <mergeCell ref="A14046:F14046"/>
    <mergeCell ref="B14048:F14048"/>
    <mergeCell ref="A14065:C14065"/>
    <mergeCell ref="A14066:C14066"/>
    <mergeCell ref="A14067:C14067"/>
    <mergeCell ref="A14068:C14068"/>
    <mergeCell ref="A14153:E14153"/>
    <mergeCell ref="A14154:E14154"/>
    <mergeCell ref="A14166:F14166"/>
    <mergeCell ref="A14167:F14167"/>
    <mergeCell ref="A14168:F14168"/>
    <mergeCell ref="B14170:F14170"/>
    <mergeCell ref="A14131:C14131"/>
    <mergeCell ref="A14132:C14132"/>
    <mergeCell ref="A14133:C14133"/>
    <mergeCell ref="A14134:C14134"/>
    <mergeCell ref="A14135:C14135"/>
    <mergeCell ref="A14136:C14136"/>
    <mergeCell ref="B14109:F14109"/>
    <mergeCell ref="A14126:C14126"/>
    <mergeCell ref="A14127:C14127"/>
    <mergeCell ref="A14128:C14128"/>
    <mergeCell ref="A14129:C14129"/>
    <mergeCell ref="A14130:C14130"/>
    <mergeCell ref="A14215:E14215"/>
    <mergeCell ref="A14227:F14227"/>
    <mergeCell ref="A14228:F14228"/>
    <mergeCell ref="A14229:F14229"/>
    <mergeCell ref="B14231:F14231"/>
    <mergeCell ref="A14248:C14248"/>
    <mergeCell ref="A14193:C14193"/>
    <mergeCell ref="A14194:C14194"/>
    <mergeCell ref="A14195:C14195"/>
    <mergeCell ref="A14196:C14196"/>
    <mergeCell ref="A14197:C14197"/>
    <mergeCell ref="A14214:E14214"/>
    <mergeCell ref="A14187:C14187"/>
    <mergeCell ref="A14188:C14188"/>
    <mergeCell ref="A14189:C14189"/>
    <mergeCell ref="A14190:C14190"/>
    <mergeCell ref="A14191:C14191"/>
    <mergeCell ref="A14192:C14192"/>
    <mergeCell ref="A14288:F14288"/>
    <mergeCell ref="A14289:F14289"/>
    <mergeCell ref="A14290:F14290"/>
    <mergeCell ref="B14292:F14292"/>
    <mergeCell ref="A14309:C14309"/>
    <mergeCell ref="A14310:C14310"/>
    <mergeCell ref="A14255:C14255"/>
    <mergeCell ref="A14256:C14256"/>
    <mergeCell ref="A14257:C14257"/>
    <mergeCell ref="A14258:C14258"/>
    <mergeCell ref="A14275:E14275"/>
    <mergeCell ref="A14276:E14276"/>
    <mergeCell ref="A14249:C14249"/>
    <mergeCell ref="A14250:C14250"/>
    <mergeCell ref="A14251:C14251"/>
    <mergeCell ref="A14252:C14252"/>
    <mergeCell ref="A14253:C14253"/>
    <mergeCell ref="A14254:C14254"/>
    <mergeCell ref="A14350:F14350"/>
    <mergeCell ref="A14351:F14351"/>
    <mergeCell ref="B14353:F14353"/>
    <mergeCell ref="A14370:C14370"/>
    <mergeCell ref="A14371:C14371"/>
    <mergeCell ref="A14372:C14372"/>
    <mergeCell ref="A14317:C14317"/>
    <mergeCell ref="A14318:C14318"/>
    <mergeCell ref="A14319:C14319"/>
    <mergeCell ref="A14336:E14336"/>
    <mergeCell ref="A14337:E14337"/>
    <mergeCell ref="A14349:F14349"/>
    <mergeCell ref="A14311:C14311"/>
    <mergeCell ref="A14312:C14312"/>
    <mergeCell ref="A14313:C14313"/>
    <mergeCell ref="A14314:C14314"/>
    <mergeCell ref="A14315:C14315"/>
    <mergeCell ref="A14316:C14316"/>
    <mergeCell ref="A14411:F14411"/>
    <mergeCell ref="B14413:F14413"/>
    <mergeCell ref="A14430:C14430"/>
    <mergeCell ref="A14431:C14431"/>
    <mergeCell ref="A14432:C14432"/>
    <mergeCell ref="A14433:C14433"/>
    <mergeCell ref="A14379:C14379"/>
    <mergeCell ref="A14380:C14380"/>
    <mergeCell ref="A14397:E14397"/>
    <mergeCell ref="A14398:E14398"/>
    <mergeCell ref="A14409:F14409"/>
    <mergeCell ref="A14410:F14410"/>
    <mergeCell ref="A14373:C14373"/>
    <mergeCell ref="A14374:C14374"/>
    <mergeCell ref="A14375:C14375"/>
    <mergeCell ref="A14376:C14376"/>
    <mergeCell ref="A14377:C14377"/>
    <mergeCell ref="A14378:C14378"/>
    <mergeCell ref="B14474:F14474"/>
    <mergeCell ref="A14491:C14491"/>
    <mergeCell ref="A14492:C14492"/>
    <mergeCell ref="A14493:C14493"/>
    <mergeCell ref="A14494:C14494"/>
    <mergeCell ref="A14495:C14495"/>
    <mergeCell ref="A14440:C14440"/>
    <mergeCell ref="A14457:E14457"/>
    <mergeCell ref="A14458:E14458"/>
    <mergeCell ref="A14470:F14470"/>
    <mergeCell ref="A14471:F14471"/>
    <mergeCell ref="A14472:F14472"/>
    <mergeCell ref="A14434:C14434"/>
    <mergeCell ref="A14435:C14435"/>
    <mergeCell ref="A14436:C14436"/>
    <mergeCell ref="A14437:C14437"/>
    <mergeCell ref="A14438:C14438"/>
    <mergeCell ref="A14439:C14439"/>
    <mergeCell ref="A14552:C14552"/>
    <mergeCell ref="A14553:C14553"/>
    <mergeCell ref="A14554:C14554"/>
    <mergeCell ref="A14555:C14555"/>
    <mergeCell ref="A14556:C14556"/>
    <mergeCell ref="A14557:C14557"/>
    <mergeCell ref="A14518:E14518"/>
    <mergeCell ref="A14519:E14519"/>
    <mergeCell ref="A14531:F14531"/>
    <mergeCell ref="A14532:F14532"/>
    <mergeCell ref="A14533:F14533"/>
    <mergeCell ref="B14535:F14535"/>
    <mergeCell ref="A14496:C14496"/>
    <mergeCell ref="A14497:C14497"/>
    <mergeCell ref="A14498:C14498"/>
    <mergeCell ref="A14499:C14499"/>
    <mergeCell ref="A14500:C14500"/>
    <mergeCell ref="A14501:C14501"/>
    <mergeCell ref="A14614:C14614"/>
    <mergeCell ref="A14615:C14615"/>
    <mergeCell ref="A14616:C14616"/>
    <mergeCell ref="A14617:C14617"/>
    <mergeCell ref="A14618:C14618"/>
    <mergeCell ref="A14619:C14619"/>
    <mergeCell ref="A14580:E14580"/>
    <mergeCell ref="A14592:F14592"/>
    <mergeCell ref="A14593:F14593"/>
    <mergeCell ref="A14594:F14594"/>
    <mergeCell ref="B14596:F14596"/>
    <mergeCell ref="A14613:C14613"/>
    <mergeCell ref="A14558:C14558"/>
    <mergeCell ref="A14559:C14559"/>
    <mergeCell ref="A14560:C14560"/>
    <mergeCell ref="A14561:C14561"/>
    <mergeCell ref="A14562:C14562"/>
    <mergeCell ref="A14579:E14579"/>
    <mergeCell ref="A14676:C14676"/>
    <mergeCell ref="A14677:C14677"/>
    <mergeCell ref="A14678:C14678"/>
    <mergeCell ref="A14679:C14679"/>
    <mergeCell ref="A14680:C14680"/>
    <mergeCell ref="A14681:C14681"/>
    <mergeCell ref="A14653:F14653"/>
    <mergeCell ref="A14654:F14654"/>
    <mergeCell ref="A14655:F14655"/>
    <mergeCell ref="B14657:F14657"/>
    <mergeCell ref="A14674:C14674"/>
    <mergeCell ref="A14675:C14675"/>
    <mergeCell ref="A14620:C14620"/>
    <mergeCell ref="A14621:C14621"/>
    <mergeCell ref="A14622:C14622"/>
    <mergeCell ref="A14623:C14623"/>
    <mergeCell ref="A14640:E14640"/>
    <mergeCell ref="A14641:E14641"/>
    <mergeCell ref="A14738:C14738"/>
    <mergeCell ref="A14739:C14739"/>
    <mergeCell ref="A14740:C14740"/>
    <mergeCell ref="A14741:C14741"/>
    <mergeCell ref="A14742:C14742"/>
    <mergeCell ref="A14743:C14743"/>
    <mergeCell ref="A14715:F14715"/>
    <mergeCell ref="A14716:F14716"/>
    <mergeCell ref="B14718:F14718"/>
    <mergeCell ref="A14735:C14735"/>
    <mergeCell ref="A14736:C14736"/>
    <mergeCell ref="A14737:C14737"/>
    <mergeCell ref="A14682:C14682"/>
    <mergeCell ref="A14683:C14683"/>
    <mergeCell ref="A14684:C14684"/>
    <mergeCell ref="A14701:E14701"/>
    <mergeCell ref="A14702:E14702"/>
    <mergeCell ref="A14714:F14714"/>
    <mergeCell ref="A14801:C14801"/>
    <mergeCell ref="A14802:C14802"/>
    <mergeCell ref="A14803:C14803"/>
    <mergeCell ref="A14804:C14804"/>
    <mergeCell ref="A14805:C14805"/>
    <mergeCell ref="A14777:F14777"/>
    <mergeCell ref="B14779:F14779"/>
    <mergeCell ref="A14807:C14807"/>
    <mergeCell ref="A14808:C14808"/>
    <mergeCell ref="A14809:C14809"/>
    <mergeCell ref="A14810:C14810"/>
    <mergeCell ref="A14811:C14811"/>
    <mergeCell ref="A14830:E14830"/>
    <mergeCell ref="A14831:E14831"/>
    <mergeCell ref="A14744:C14744"/>
    <mergeCell ref="A14745:C14745"/>
    <mergeCell ref="A14762:E14762"/>
    <mergeCell ref="A14763:E14763"/>
    <mergeCell ref="A14775:F14775"/>
    <mergeCell ref="A14776:F14776"/>
    <mergeCell ref="A14862:C14862"/>
    <mergeCell ref="A14863:C14863"/>
    <mergeCell ref="A14864:C14864"/>
    <mergeCell ref="A14865:C14865"/>
    <mergeCell ref="A14866:C14866"/>
    <mergeCell ref="A14915:C14915"/>
    <mergeCell ref="A14916:C14916"/>
    <mergeCell ref="B14841:F14841"/>
    <mergeCell ref="A14857:C14857"/>
    <mergeCell ref="A14858:C14858"/>
    <mergeCell ref="A14859:C14859"/>
    <mergeCell ref="A14860:C14860"/>
    <mergeCell ref="A14861:C14861"/>
    <mergeCell ref="A14883:E14883"/>
    <mergeCell ref="A14806:C14806"/>
    <mergeCell ref="A14837:F14837"/>
    <mergeCell ref="A14838:F14838"/>
    <mergeCell ref="A14839:F14839"/>
    <mergeCell ref="A14951:F14951"/>
    <mergeCell ref="A14952:F14952"/>
    <mergeCell ref="A14953:F14953"/>
    <mergeCell ref="B14955:F14955"/>
    <mergeCell ref="A14974:C14974"/>
    <mergeCell ref="A14923:C14923"/>
    <mergeCell ref="A14924:C14924"/>
    <mergeCell ref="A14917:C14917"/>
    <mergeCell ref="A14918:C14918"/>
    <mergeCell ref="A14919:C14919"/>
    <mergeCell ref="A14920:C14920"/>
    <mergeCell ref="A14921:C14921"/>
    <mergeCell ref="A14922:C14922"/>
    <mergeCell ref="A14884:E14884"/>
    <mergeCell ref="A14897:F14897"/>
    <mergeCell ref="A14898:F14898"/>
    <mergeCell ref="A14899:F14899"/>
    <mergeCell ref="B14901:F14901"/>
    <mergeCell ref="A15035:C15035"/>
    <mergeCell ref="A15036:C15036"/>
    <mergeCell ref="A15037:C15037"/>
    <mergeCell ref="A15038:C15038"/>
    <mergeCell ref="A15039:C15039"/>
    <mergeCell ref="A15040:C15040"/>
    <mergeCell ref="A15014:F15014"/>
    <mergeCell ref="A15015:F15015"/>
    <mergeCell ref="A15016:F15016"/>
    <mergeCell ref="B15018:F15018"/>
    <mergeCell ref="A14981:C14981"/>
    <mergeCell ref="A14982:C14982"/>
    <mergeCell ref="A14983:C14983"/>
    <mergeCell ref="A14984:C14984"/>
    <mergeCell ref="A15001:E15001"/>
    <mergeCell ref="A15002:E15002"/>
    <mergeCell ref="A14975:C14975"/>
    <mergeCell ref="A14976:C14976"/>
    <mergeCell ref="A14977:C14977"/>
    <mergeCell ref="A14978:C14978"/>
    <mergeCell ref="A14979:C14979"/>
    <mergeCell ref="A14980:C14980"/>
    <mergeCell ref="A15101:C15101"/>
    <mergeCell ref="A15102:C15102"/>
    <mergeCell ref="A15120:E15120"/>
    <mergeCell ref="A15133:F15133"/>
    <mergeCell ref="A15134:F15134"/>
    <mergeCell ref="A15095:C15095"/>
    <mergeCell ref="A15096:C15096"/>
    <mergeCell ref="A15097:C15097"/>
    <mergeCell ref="A15098:C15098"/>
    <mergeCell ref="A15099:C15099"/>
    <mergeCell ref="A15100:C15100"/>
    <mergeCell ref="A15074:F15074"/>
    <mergeCell ref="A15075:F15075"/>
    <mergeCell ref="B15077:F15077"/>
    <mergeCell ref="A15094:C15094"/>
    <mergeCell ref="A15041:C15041"/>
    <mergeCell ref="A15042:C15042"/>
    <mergeCell ref="A15043:C15043"/>
    <mergeCell ref="A15061:E15061"/>
    <mergeCell ref="A15073:F15073"/>
    <mergeCell ref="A15165:C15165"/>
    <mergeCell ref="A15182:E15182"/>
    <mergeCell ref="A15183:E15183"/>
    <mergeCell ref="A15195:F15195"/>
    <mergeCell ref="A15196:F15196"/>
    <mergeCell ref="A15197:F15197"/>
    <mergeCell ref="A15159:C15159"/>
    <mergeCell ref="A15160:C15160"/>
    <mergeCell ref="A15161:C15161"/>
    <mergeCell ref="A15162:C15162"/>
    <mergeCell ref="A15163:C15163"/>
    <mergeCell ref="A15164:C15164"/>
    <mergeCell ref="A15135:F15135"/>
    <mergeCell ref="B15137:F15137"/>
    <mergeCell ref="A15155:C15155"/>
    <mergeCell ref="A15156:C15156"/>
    <mergeCell ref="A15157:C15157"/>
    <mergeCell ref="A15158:C15158"/>
    <mergeCell ref="A15247:E15247"/>
    <mergeCell ref="A15248:E15248"/>
    <mergeCell ref="A15261:F15261"/>
    <mergeCell ref="A15262:F15262"/>
    <mergeCell ref="A15263:F15263"/>
    <mergeCell ref="B15265:F15265"/>
    <mergeCell ref="A15225:C15225"/>
    <mergeCell ref="A15226:C15226"/>
    <mergeCell ref="A15227:C15227"/>
    <mergeCell ref="A15228:C15228"/>
    <mergeCell ref="A15229:C15229"/>
    <mergeCell ref="A15230:C15230"/>
    <mergeCell ref="B15199:F15199"/>
    <mergeCell ref="A15220:C15220"/>
    <mergeCell ref="A15221:C15221"/>
    <mergeCell ref="A15222:C15222"/>
    <mergeCell ref="A15223:C15223"/>
    <mergeCell ref="A15224:C15224"/>
    <mergeCell ref="B15319:F15319"/>
    <mergeCell ref="A15334:C15334"/>
    <mergeCell ref="A15335:C15335"/>
    <mergeCell ref="A15336:C15336"/>
    <mergeCell ref="A15337:C15337"/>
    <mergeCell ref="A15338:C15338"/>
    <mergeCell ref="A15302:E15302"/>
    <mergeCell ref="A15303:E15303"/>
    <mergeCell ref="A15304:E15304"/>
    <mergeCell ref="A15315:F15315"/>
    <mergeCell ref="A15316:F15316"/>
    <mergeCell ref="A15317:F15317"/>
    <mergeCell ref="A15280:C15280"/>
    <mergeCell ref="A15281:C15281"/>
    <mergeCell ref="A15282:C15282"/>
    <mergeCell ref="A15283:C15283"/>
    <mergeCell ref="A15284:C15284"/>
    <mergeCell ref="A15285:C15285"/>
    <mergeCell ref="A15392:C15392"/>
    <mergeCell ref="A15393:C15393"/>
    <mergeCell ref="A15410:E15410"/>
    <mergeCell ref="A15411:E15411"/>
    <mergeCell ref="A15412:E15412"/>
    <mergeCell ref="A15423:F15423"/>
    <mergeCell ref="A15371:F15371"/>
    <mergeCell ref="B15373:F15373"/>
    <mergeCell ref="A15388:C15388"/>
    <mergeCell ref="A15389:C15389"/>
    <mergeCell ref="A15390:C15390"/>
    <mergeCell ref="A15391:C15391"/>
    <mergeCell ref="A15339:C15339"/>
    <mergeCell ref="A15356:E15356"/>
    <mergeCell ref="A15357:E15357"/>
    <mergeCell ref="A15358:E15358"/>
    <mergeCell ref="A15369:F15369"/>
    <mergeCell ref="A15370:F15370"/>
    <mergeCell ref="A15476:F15476"/>
    <mergeCell ref="A15477:F15477"/>
    <mergeCell ref="A15478:F15478"/>
    <mergeCell ref="B15480:F15480"/>
    <mergeCell ref="A15496:C15496"/>
    <mergeCell ref="A15497:C15497"/>
    <mergeCell ref="A15444:C15444"/>
    <mergeCell ref="A15445:C15445"/>
    <mergeCell ref="A15446:C15446"/>
    <mergeCell ref="A15449:C15449"/>
    <mergeCell ref="A15450:C15450"/>
    <mergeCell ref="A15467:E15467"/>
    <mergeCell ref="A15468:E15468"/>
    <mergeCell ref="A15469:E15469"/>
    <mergeCell ref="A15424:F15424"/>
    <mergeCell ref="A15425:F15425"/>
    <mergeCell ref="B15427:F15427"/>
    <mergeCell ref="A15442:C15442"/>
    <mergeCell ref="A15443:C15443"/>
    <mergeCell ref="B15539:F15539"/>
    <mergeCell ref="A15558:C15558"/>
    <mergeCell ref="A15559:C15559"/>
    <mergeCell ref="A15560:C15560"/>
    <mergeCell ref="A15561:C15561"/>
    <mergeCell ref="A15562:C15562"/>
    <mergeCell ref="A15522:E15522"/>
    <mergeCell ref="A15523:E15523"/>
    <mergeCell ref="A15524:E15524"/>
    <mergeCell ref="A15535:F15535"/>
    <mergeCell ref="A15536:F15536"/>
    <mergeCell ref="A15537:F15537"/>
    <mergeCell ref="A15498:C15498"/>
    <mergeCell ref="A15499:C15499"/>
    <mergeCell ref="A15500:C15500"/>
    <mergeCell ref="A15501:C15501"/>
    <mergeCell ref="A15502:C15502"/>
    <mergeCell ref="A15505:C15505"/>
    <mergeCell ref="A15622:C15622"/>
    <mergeCell ref="A15623:C15623"/>
    <mergeCell ref="A15624:C15624"/>
    <mergeCell ref="A15625:C15625"/>
    <mergeCell ref="A15626:C15626"/>
    <mergeCell ref="A15627:C15627"/>
    <mergeCell ref="A15585:E15585"/>
    <mergeCell ref="A15586:E15586"/>
    <mergeCell ref="A15599:F15599"/>
    <mergeCell ref="A15600:F15600"/>
    <mergeCell ref="A15601:F15601"/>
    <mergeCell ref="B15603:F15603"/>
    <mergeCell ref="A15563:C15563"/>
    <mergeCell ref="A15564:C15564"/>
    <mergeCell ref="A15565:C15565"/>
    <mergeCell ref="A15566:C15566"/>
    <mergeCell ref="A15567:C15567"/>
    <mergeCell ref="A15568:C15568"/>
    <mergeCell ref="A15687:C15687"/>
    <mergeCell ref="A15688:C15688"/>
    <mergeCell ref="A15689:C15689"/>
    <mergeCell ref="A15690:C15690"/>
    <mergeCell ref="A15691:C15691"/>
    <mergeCell ref="A15692:C15692"/>
    <mergeCell ref="A15650:E15650"/>
    <mergeCell ref="A15663:F15663"/>
    <mergeCell ref="A15664:F15664"/>
    <mergeCell ref="A15665:F15665"/>
    <mergeCell ref="B15667:F15667"/>
    <mergeCell ref="A15686:C15686"/>
    <mergeCell ref="A15628:C15628"/>
    <mergeCell ref="A15629:C15629"/>
    <mergeCell ref="A15630:C15630"/>
    <mergeCell ref="A15631:C15631"/>
    <mergeCell ref="A15632:C15632"/>
    <mergeCell ref="A15649:E15649"/>
    <mergeCell ref="A15751:C15751"/>
    <mergeCell ref="A15752:C15752"/>
    <mergeCell ref="A15753:C15753"/>
    <mergeCell ref="A15754:C15754"/>
    <mergeCell ref="A15755:C15755"/>
    <mergeCell ref="A15756:C15756"/>
    <mergeCell ref="A15726:F15726"/>
    <mergeCell ref="A15727:F15727"/>
    <mergeCell ref="A15728:F15728"/>
    <mergeCell ref="B15730:F15730"/>
    <mergeCell ref="A15749:C15749"/>
    <mergeCell ref="A15750:C15750"/>
    <mergeCell ref="A15693:C15693"/>
    <mergeCell ref="A15694:C15694"/>
    <mergeCell ref="A15695:C15695"/>
    <mergeCell ref="A15696:C15696"/>
    <mergeCell ref="A15713:E15713"/>
    <mergeCell ref="A15714:E15714"/>
    <mergeCell ref="A15815:C15815"/>
    <mergeCell ref="A15816:C15816"/>
    <mergeCell ref="A15817:C15817"/>
    <mergeCell ref="A15818:C15818"/>
    <mergeCell ref="A15819:C15819"/>
    <mergeCell ref="A15820:C15820"/>
    <mergeCell ref="A15790:F15790"/>
    <mergeCell ref="A15791:F15791"/>
    <mergeCell ref="B15793:F15793"/>
    <mergeCell ref="A15812:C15812"/>
    <mergeCell ref="A15813:C15813"/>
    <mergeCell ref="A15814:C15814"/>
    <mergeCell ref="A15757:C15757"/>
    <mergeCell ref="A15758:C15758"/>
    <mergeCell ref="A15759:C15759"/>
    <mergeCell ref="A15776:E15776"/>
    <mergeCell ref="A15777:E15777"/>
    <mergeCell ref="A15789:F15789"/>
    <mergeCell ref="A15879:C15879"/>
    <mergeCell ref="A15880:C15880"/>
    <mergeCell ref="A15881:C15881"/>
    <mergeCell ref="A15882:C15882"/>
    <mergeCell ref="A15883:C15883"/>
    <mergeCell ref="A15884:C15884"/>
    <mergeCell ref="A15854:F15854"/>
    <mergeCell ref="B15856:F15856"/>
    <mergeCell ref="A15875:C15875"/>
    <mergeCell ref="A15876:C15876"/>
    <mergeCell ref="A15877:C15877"/>
    <mergeCell ref="A15878:C15878"/>
    <mergeCell ref="A15821:C15821"/>
    <mergeCell ref="A15822:C15822"/>
    <mergeCell ref="A15839:E15839"/>
    <mergeCell ref="A15840:E15840"/>
    <mergeCell ref="A15852:F15852"/>
    <mergeCell ref="A15853:F15853"/>
    <mergeCell ref="A15943:C15943"/>
    <mergeCell ref="A15944:C15944"/>
    <mergeCell ref="A15945:C15945"/>
    <mergeCell ref="A15946:C15946"/>
    <mergeCell ref="A15947:C15947"/>
    <mergeCell ref="A15948:C15948"/>
    <mergeCell ref="B15919:F15919"/>
    <mergeCell ref="A15938:C15938"/>
    <mergeCell ref="A15939:C15939"/>
    <mergeCell ref="A15940:C15940"/>
    <mergeCell ref="A15941:C15941"/>
    <mergeCell ref="A15942:C15942"/>
    <mergeCell ref="A15885:C15885"/>
    <mergeCell ref="A15902:E15902"/>
    <mergeCell ref="A15903:E15903"/>
    <mergeCell ref="A15915:F15915"/>
    <mergeCell ref="A15916:F15916"/>
    <mergeCell ref="A15917:F15917"/>
    <mergeCell ref="A16007:C16007"/>
    <mergeCell ref="A16008:C16008"/>
    <mergeCell ref="A16009:C16009"/>
    <mergeCell ref="A16010:C16010"/>
    <mergeCell ref="A16011:C16011"/>
    <mergeCell ref="A16028:E16028"/>
    <mergeCell ref="A16001:C16001"/>
    <mergeCell ref="A16002:C16002"/>
    <mergeCell ref="A16003:C16003"/>
    <mergeCell ref="A16004:C16004"/>
    <mergeCell ref="A16005:C16005"/>
    <mergeCell ref="A16006:C16006"/>
    <mergeCell ref="A15965:E15965"/>
    <mergeCell ref="A15966:E15966"/>
    <mergeCell ref="A15978:F15978"/>
    <mergeCell ref="A15979:F15979"/>
    <mergeCell ref="A15980:F15980"/>
    <mergeCell ref="B15982:F15982"/>
    <mergeCell ref="A16071:C16071"/>
    <mergeCell ref="A16072:C16072"/>
    <mergeCell ref="A16073:C16073"/>
    <mergeCell ref="A16074:C16074"/>
    <mergeCell ref="A16091:E16091"/>
    <mergeCell ref="A16092:E16092"/>
    <mergeCell ref="A16065:C16065"/>
    <mergeCell ref="A16066:C16066"/>
    <mergeCell ref="A16067:C16067"/>
    <mergeCell ref="A16068:C16068"/>
    <mergeCell ref="A16069:C16069"/>
    <mergeCell ref="A16070:C16070"/>
    <mergeCell ref="A16029:E16029"/>
    <mergeCell ref="A16041:F16041"/>
    <mergeCell ref="A16042:F16042"/>
    <mergeCell ref="A16043:F16043"/>
    <mergeCell ref="B16045:F16045"/>
    <mergeCell ref="A16064:C16064"/>
    <mergeCell ref="A16135:C16135"/>
    <mergeCell ref="A16136:C16136"/>
    <mergeCell ref="A16137:C16137"/>
    <mergeCell ref="A16154:E16154"/>
    <mergeCell ref="A16155:E16155"/>
    <mergeCell ref="A16167:F16167"/>
    <mergeCell ref="A16129:C16129"/>
    <mergeCell ref="A16130:C16130"/>
    <mergeCell ref="A16131:C16131"/>
    <mergeCell ref="A16132:C16132"/>
    <mergeCell ref="A16133:C16133"/>
    <mergeCell ref="A16134:C16134"/>
    <mergeCell ref="A16104:F16104"/>
    <mergeCell ref="A16105:F16105"/>
    <mergeCell ref="A16106:F16106"/>
    <mergeCell ref="B16108:F16108"/>
    <mergeCell ref="A16127:C16127"/>
    <mergeCell ref="A16128:C16128"/>
    <mergeCell ref="A16202:C16202"/>
    <mergeCell ref="A16203:C16203"/>
    <mergeCell ref="A16220:E16220"/>
    <mergeCell ref="A16221:E16221"/>
    <mergeCell ref="A16233:F16233"/>
    <mergeCell ref="A16234:F16234"/>
    <mergeCell ref="A16196:C16196"/>
    <mergeCell ref="A16197:C16197"/>
    <mergeCell ref="A16198:C16198"/>
    <mergeCell ref="A16199:C16199"/>
    <mergeCell ref="A16200:C16200"/>
    <mergeCell ref="A16201:C16201"/>
    <mergeCell ref="A16168:F16168"/>
    <mergeCell ref="A16169:F16169"/>
    <mergeCell ref="B16171:F16171"/>
    <mergeCell ref="A16193:C16193"/>
    <mergeCell ref="A16194:C16194"/>
    <mergeCell ref="A16195:C16195"/>
    <mergeCell ref="A16268:C16268"/>
    <mergeCell ref="A16285:E16285"/>
    <mergeCell ref="A16286:E16286"/>
    <mergeCell ref="A16298:F16298"/>
    <mergeCell ref="A16299:F16299"/>
    <mergeCell ref="A16300:F16300"/>
    <mergeCell ref="A16262:C16262"/>
    <mergeCell ref="A16263:C16263"/>
    <mergeCell ref="A16264:C16264"/>
    <mergeCell ref="A16265:C16265"/>
    <mergeCell ref="A16266:C16266"/>
    <mergeCell ref="A16267:C16267"/>
    <mergeCell ref="A16235:F16235"/>
    <mergeCell ref="B16237:F16237"/>
    <mergeCell ref="A16258:C16258"/>
    <mergeCell ref="A16259:C16259"/>
    <mergeCell ref="A16260:C16260"/>
    <mergeCell ref="A16261:C16261"/>
    <mergeCell ref="A16351:E16351"/>
    <mergeCell ref="A16352:E16352"/>
    <mergeCell ref="A16364:F16364"/>
    <mergeCell ref="A16365:F16365"/>
    <mergeCell ref="A16366:F16366"/>
    <mergeCell ref="B16368:F16368"/>
    <mergeCell ref="A16329:C16329"/>
    <mergeCell ref="A16330:C16330"/>
    <mergeCell ref="A16331:C16331"/>
    <mergeCell ref="A16332:C16332"/>
    <mergeCell ref="A16333:C16333"/>
    <mergeCell ref="A16334:C16334"/>
    <mergeCell ref="B16302:F16302"/>
    <mergeCell ref="A16324:C16324"/>
    <mergeCell ref="A16325:C16325"/>
    <mergeCell ref="A16326:C16326"/>
    <mergeCell ref="A16327:C16327"/>
    <mergeCell ref="A16328:C16328"/>
    <mergeCell ref="A16418:E16418"/>
    <mergeCell ref="A16430:F16430"/>
    <mergeCell ref="A16431:F16431"/>
    <mergeCell ref="A16432:F16432"/>
    <mergeCell ref="B16434:F16434"/>
    <mergeCell ref="A16454:C16454"/>
    <mergeCell ref="A16396:C16396"/>
    <mergeCell ref="A16397:C16397"/>
    <mergeCell ref="A16398:C16398"/>
    <mergeCell ref="A16399:C16399"/>
    <mergeCell ref="A16400:C16400"/>
    <mergeCell ref="A16417:E16417"/>
    <mergeCell ref="A16390:C16390"/>
    <mergeCell ref="A16391:C16391"/>
    <mergeCell ref="A16392:C16392"/>
    <mergeCell ref="A16393:C16393"/>
    <mergeCell ref="A16394:C16394"/>
    <mergeCell ref="A16395:C16395"/>
    <mergeCell ref="A16494:F16494"/>
    <mergeCell ref="A16495:F16495"/>
    <mergeCell ref="A16496:F16496"/>
    <mergeCell ref="B16498:F16498"/>
    <mergeCell ref="A16517:C16517"/>
    <mergeCell ref="A16518:C16518"/>
    <mergeCell ref="A16461:C16461"/>
    <mergeCell ref="A16462:C16462"/>
    <mergeCell ref="A16463:C16463"/>
    <mergeCell ref="A16464:C16464"/>
    <mergeCell ref="A16481:E16481"/>
    <mergeCell ref="A16482:E16482"/>
    <mergeCell ref="A16455:C16455"/>
    <mergeCell ref="A16456:C16456"/>
    <mergeCell ref="A16457:C16457"/>
    <mergeCell ref="A16458:C16458"/>
    <mergeCell ref="A16459:C16459"/>
    <mergeCell ref="A16460:C16460"/>
    <mergeCell ref="A16558:F16558"/>
    <mergeCell ref="A16559:F16559"/>
    <mergeCell ref="B16561:F16561"/>
    <mergeCell ref="A16580:C16580"/>
    <mergeCell ref="A16581:C16581"/>
    <mergeCell ref="A16582:C16582"/>
    <mergeCell ref="A16525:C16525"/>
    <mergeCell ref="A16526:C16526"/>
    <mergeCell ref="A16527:C16527"/>
    <mergeCell ref="A16544:E16544"/>
    <mergeCell ref="A16545:E16545"/>
    <mergeCell ref="A16557:F16557"/>
    <mergeCell ref="A16519:C16519"/>
    <mergeCell ref="A16520:C16520"/>
    <mergeCell ref="A16521:C16521"/>
    <mergeCell ref="A16522:C16522"/>
    <mergeCell ref="A16523:C16523"/>
    <mergeCell ref="A16524:C16524"/>
    <mergeCell ref="A16622:F16622"/>
    <mergeCell ref="B16624:F16624"/>
    <mergeCell ref="A16643:C16643"/>
    <mergeCell ref="A16644:C16644"/>
    <mergeCell ref="A16645:C16645"/>
    <mergeCell ref="A16646:C16646"/>
    <mergeCell ref="A16589:C16589"/>
    <mergeCell ref="A16590:C16590"/>
    <mergeCell ref="A16607:E16607"/>
    <mergeCell ref="A16608:E16608"/>
    <mergeCell ref="A16620:F16620"/>
    <mergeCell ref="A16621:F16621"/>
    <mergeCell ref="A16583:C16583"/>
    <mergeCell ref="A16584:C16584"/>
    <mergeCell ref="A16585:C16585"/>
    <mergeCell ref="A16586:C16586"/>
    <mergeCell ref="A16587:C16587"/>
    <mergeCell ref="A16588:C16588"/>
    <mergeCell ref="B16687:F16687"/>
    <mergeCell ref="A16706:C16706"/>
    <mergeCell ref="A16707:C16707"/>
    <mergeCell ref="A16708:C16708"/>
    <mergeCell ref="A16709:C16709"/>
    <mergeCell ref="A16710:C16710"/>
    <mergeCell ref="A16653:C16653"/>
    <mergeCell ref="A16670:E16670"/>
    <mergeCell ref="A16671:E16671"/>
    <mergeCell ref="A16683:F16683"/>
    <mergeCell ref="A16684:F16684"/>
    <mergeCell ref="A16685:F16685"/>
    <mergeCell ref="A16647:C16647"/>
    <mergeCell ref="A16648:C16648"/>
    <mergeCell ref="A16649:C16649"/>
    <mergeCell ref="A16650:C16650"/>
    <mergeCell ref="A16651:C16651"/>
    <mergeCell ref="A16652:C16652"/>
    <mergeCell ref="A16769:C16769"/>
    <mergeCell ref="A16770:C16770"/>
    <mergeCell ref="A16771:C16771"/>
    <mergeCell ref="A16772:C16772"/>
    <mergeCell ref="A16773:C16773"/>
    <mergeCell ref="A16774:C16774"/>
    <mergeCell ref="A16733:E16733"/>
    <mergeCell ref="A16734:E16734"/>
    <mergeCell ref="A16746:F16746"/>
    <mergeCell ref="A16747:F16747"/>
    <mergeCell ref="A16748:F16748"/>
    <mergeCell ref="B16750:F16750"/>
    <mergeCell ref="A16711:C16711"/>
    <mergeCell ref="A16712:C16712"/>
    <mergeCell ref="A16713:C16713"/>
    <mergeCell ref="A16714:C16714"/>
    <mergeCell ref="A16715:C16715"/>
    <mergeCell ref="A16716:C16716"/>
    <mergeCell ref="A16828:C16828"/>
    <mergeCell ref="A16829:C16829"/>
    <mergeCell ref="A16831:C16831"/>
    <mergeCell ref="A16832:C16832"/>
    <mergeCell ref="A16833:C16833"/>
    <mergeCell ref="A16797:E16797"/>
    <mergeCell ref="A16809:F16809"/>
    <mergeCell ref="A16810:F16810"/>
    <mergeCell ref="A16811:F16811"/>
    <mergeCell ref="B16813:F16813"/>
    <mergeCell ref="A16827:C16827"/>
    <mergeCell ref="A16775:C16775"/>
    <mergeCell ref="A16776:C16776"/>
    <mergeCell ref="A16777:C16777"/>
    <mergeCell ref="A16778:C16778"/>
    <mergeCell ref="A16779:C16779"/>
    <mergeCell ref="A16796:E16796"/>
    <mergeCell ref="A16888:C16888"/>
    <mergeCell ref="A16889:C16889"/>
    <mergeCell ref="A16890:C16890"/>
    <mergeCell ref="A16893:C16893"/>
    <mergeCell ref="A16910:E16910"/>
    <mergeCell ref="A16911:E16911"/>
    <mergeCell ref="A16868:F16868"/>
    <mergeCell ref="B16870:F16870"/>
    <mergeCell ref="A16884:C16884"/>
    <mergeCell ref="A16885:C16885"/>
    <mergeCell ref="A16886:C16886"/>
    <mergeCell ref="A16836:C16836"/>
    <mergeCell ref="A16853:E16853"/>
    <mergeCell ref="A16854:E16854"/>
    <mergeCell ref="A16855:E16855"/>
    <mergeCell ref="A16866:F16866"/>
    <mergeCell ref="A16867:F16867"/>
    <mergeCell ref="A16950:C16950"/>
    <mergeCell ref="A16967:E16967"/>
    <mergeCell ref="A16968:E16968"/>
    <mergeCell ref="A16969:E16969"/>
    <mergeCell ref="A16979:F16979"/>
    <mergeCell ref="A16980:F16980"/>
    <mergeCell ref="A16942:C16942"/>
    <mergeCell ref="A16943:C16943"/>
    <mergeCell ref="A16944:C16944"/>
    <mergeCell ref="A16945:C16945"/>
    <mergeCell ref="A16946:C16946"/>
    <mergeCell ref="A16947:C16947"/>
    <mergeCell ref="A16912:E16912"/>
    <mergeCell ref="A16923:F16923"/>
    <mergeCell ref="A16924:F16924"/>
    <mergeCell ref="A16925:F16925"/>
    <mergeCell ref="B16927:F16927"/>
    <mergeCell ref="A16941:C16941"/>
    <mergeCell ref="A17025:E17025"/>
    <mergeCell ref="A17034:F17034"/>
    <mergeCell ref="A17035:F17035"/>
    <mergeCell ref="A17036:F17036"/>
    <mergeCell ref="B17038:F17038"/>
    <mergeCell ref="A17052:C17052"/>
    <mergeCell ref="A17001:C17001"/>
    <mergeCell ref="A17002:C17002"/>
    <mergeCell ref="A17003:C17003"/>
    <mergeCell ref="A17006:C17006"/>
    <mergeCell ref="A17023:E17023"/>
    <mergeCell ref="A17024:E17024"/>
    <mergeCell ref="A16981:F16981"/>
    <mergeCell ref="B16983:F16983"/>
    <mergeCell ref="A16997:C16997"/>
    <mergeCell ref="A16998:C16998"/>
    <mergeCell ref="A16999:C16999"/>
    <mergeCell ref="A17000:C17000"/>
    <mergeCell ref="A17091:F17091"/>
    <mergeCell ref="B17093:F17093"/>
    <mergeCell ref="A17107:C17107"/>
    <mergeCell ref="A17108:C17108"/>
    <mergeCell ref="A17109:C17109"/>
    <mergeCell ref="A17110:C17110"/>
    <mergeCell ref="A17061:C17061"/>
    <mergeCell ref="A17078:E17078"/>
    <mergeCell ref="A17079:E17079"/>
    <mergeCell ref="A17080:E17080"/>
    <mergeCell ref="A17089:F17089"/>
    <mergeCell ref="A17090:F17090"/>
    <mergeCell ref="A17053:C17053"/>
    <mergeCell ref="A17054:C17054"/>
    <mergeCell ref="A17055:C17055"/>
    <mergeCell ref="A17056:C17056"/>
    <mergeCell ref="A17057:C17057"/>
    <mergeCell ref="A17058:C17058"/>
    <mergeCell ref="A17232:C17232"/>
    <mergeCell ref="A17233:C17233"/>
    <mergeCell ref="A17226:C17226"/>
    <mergeCell ref="A17227:C17227"/>
    <mergeCell ref="A17228:C17228"/>
    <mergeCell ref="A17230:C17230"/>
    <mergeCell ref="B17208:F17208"/>
    <mergeCell ref="A17171:C17171"/>
    <mergeCell ref="A17172:C17172"/>
    <mergeCell ref="A17173:C17173"/>
    <mergeCell ref="A17174:C17174"/>
    <mergeCell ref="A17191:E17191"/>
    <mergeCell ref="A17192:E17192"/>
    <mergeCell ref="A17165:C17165"/>
    <mergeCell ref="A15447:C15447"/>
    <mergeCell ref="A15448:C15448"/>
    <mergeCell ref="A17166:C17166"/>
    <mergeCell ref="A17167:C17167"/>
    <mergeCell ref="A17168:C17168"/>
    <mergeCell ref="A17170:C17170"/>
    <mergeCell ref="A17135:E17135"/>
    <mergeCell ref="A17145:F17145"/>
    <mergeCell ref="A17146:F17146"/>
    <mergeCell ref="A17147:F17147"/>
    <mergeCell ref="B17149:F17149"/>
    <mergeCell ref="A17164:C17164"/>
    <mergeCell ref="A17111:C17111"/>
    <mergeCell ref="A17112:C17112"/>
    <mergeCell ref="A17113:C17113"/>
    <mergeCell ref="A17116:C17116"/>
    <mergeCell ref="A17133:E17133"/>
    <mergeCell ref="A17134:E17134"/>
    <mergeCell ref="A17283:C17283"/>
    <mergeCell ref="A17284:C17284"/>
    <mergeCell ref="A17285:C17285"/>
    <mergeCell ref="A17302:E17302"/>
    <mergeCell ref="A17303:E17303"/>
    <mergeCell ref="A17204:F17204"/>
    <mergeCell ref="A17205:F17205"/>
    <mergeCell ref="A17206:F17206"/>
    <mergeCell ref="A17256:F17256"/>
    <mergeCell ref="A17257:F17257"/>
    <mergeCell ref="A17258:F17258"/>
    <mergeCell ref="A17308:F17308"/>
    <mergeCell ref="A17309:F17309"/>
    <mergeCell ref="A17310:F17310"/>
    <mergeCell ref="B17312:F17312"/>
    <mergeCell ref="A17330:C17330"/>
    <mergeCell ref="A14941:E14941"/>
    <mergeCell ref="A14942:E14942"/>
    <mergeCell ref="A15044:C15044"/>
    <mergeCell ref="A15062:E15062"/>
    <mergeCell ref="A15103:C15103"/>
    <mergeCell ref="A15121:E15121"/>
    <mergeCell ref="A17234:C17234"/>
    <mergeCell ref="A17235:C17235"/>
    <mergeCell ref="A17252:E17252"/>
    <mergeCell ref="B17259:F17259"/>
    <mergeCell ref="A17276:C17276"/>
    <mergeCell ref="A17277:C17277"/>
    <mergeCell ref="A17278:C17278"/>
    <mergeCell ref="A17280:C17280"/>
    <mergeCell ref="A17281:C17281"/>
    <mergeCell ref="A17231:C17231"/>
    <mergeCell ref="A9049:C9049"/>
    <mergeCell ref="A9050:C9050"/>
    <mergeCell ref="A9051:C9051"/>
    <mergeCell ref="A9052:C9052"/>
    <mergeCell ref="A9069:E9069"/>
    <mergeCell ref="A9070:E9070"/>
    <mergeCell ref="A9071:E9071"/>
    <mergeCell ref="A17386:C17386"/>
    <mergeCell ref="A17387:C17387"/>
    <mergeCell ref="A17388:C17388"/>
    <mergeCell ref="A17389:C17389"/>
    <mergeCell ref="A17390:C17390"/>
    <mergeCell ref="A17407:E17407"/>
    <mergeCell ref="A17408:E17408"/>
    <mergeCell ref="A17331:C17331"/>
    <mergeCell ref="A17332:C17332"/>
    <mergeCell ref="A17333:C17333"/>
    <mergeCell ref="A17334:C17334"/>
    <mergeCell ref="A17335:C17335"/>
    <mergeCell ref="A17336:C17336"/>
    <mergeCell ref="A17337:C17337"/>
    <mergeCell ref="A17338:C17338"/>
    <mergeCell ref="A17355:E17355"/>
    <mergeCell ref="A17359:F17359"/>
    <mergeCell ref="A17360:F17360"/>
    <mergeCell ref="A17361:F17361"/>
    <mergeCell ref="B17363:F17363"/>
    <mergeCell ref="A17382:C17382"/>
    <mergeCell ref="A17383:C17383"/>
    <mergeCell ref="A17384:C17384"/>
    <mergeCell ref="A17385:C17385"/>
    <mergeCell ref="A17282:C17282"/>
  </mergeCells>
  <printOptions horizontalCentered="1" verticalCentered="1"/>
  <pageMargins left="0.31496062992125984" right="0.31496062992125984" top="0.35433070866141736" bottom="0.35433070866141736" header="0" footer="0"/>
  <pageSetup orientation="portrait"/>
  <rowBreaks count="225" manualBreakCount="225">
    <brk id="512" man="1"/>
    <brk id="10031" man="1"/>
    <brk id="1088" man="1"/>
    <brk id="12438" man="1"/>
    <brk id="4663" man="1"/>
    <brk id="13976" man="1"/>
    <brk id="1602" man="1"/>
    <brk id="8580" man="1"/>
    <brk id="15007" man="1"/>
    <brk id="16034" man="1"/>
    <brk id="8077" man="1"/>
    <brk id="4225" man="1"/>
    <brk id="7568" man="1"/>
    <brk id="16550" man="1"/>
    <brk id="15528" man="1"/>
    <brk id="2135" man="1"/>
    <brk id="13486" man="1"/>
    <brk id="2650" man="1"/>
    <brk id="3723" man="1"/>
    <brk id="7066" man="1"/>
    <brk id="6560" man="1"/>
    <brk id="6116" man="1"/>
    <brk id="3221" man="1"/>
    <brk id="14524" man="1"/>
    <brk id="17083" man="1"/>
    <brk id="49" man="1"/>
    <brk id="12995" man="1"/>
    <brk id="570" man="1"/>
    <brk id="10086" man="1"/>
    <brk id="4718" man="1"/>
    <brk id="1144" man="1"/>
    <brk id="1660" man="1"/>
    <brk id="8636" man="1"/>
    <brk id="14037" man="1"/>
    <brk id="12504" man="1"/>
    <brk id="4278" man="1"/>
    <brk id="7622" man="1"/>
    <brk id="8134" man="1"/>
    <brk id="15066" man="1"/>
    <brk id="16097" man="1"/>
    <brk id="7120" man="1"/>
    <brk id="2193" man="1"/>
    <brk id="16613" man="1"/>
    <brk id="3780" man="1"/>
    <brk id="2707" man="1"/>
    <brk id="15592" man="1"/>
    <brk id="13549" man="1"/>
    <brk id="6619" man="1"/>
    <brk id="3277" man="1"/>
    <brk id="101" man="1"/>
    <brk id="17138" man="1"/>
    <brk id="14585" man="1"/>
    <brk id="13056" man="1"/>
    <brk id="625" man="1"/>
    <brk id="10141" man="1"/>
    <brk id="4773" man="1"/>
    <brk id="1201" man="1"/>
    <brk id="8691" man="1"/>
    <brk id="1718" man="1"/>
    <brk id="4333" man="1"/>
    <brk id="14098" man="1"/>
    <brk id="12565" man="1"/>
    <brk id="7679" man="1"/>
    <brk id="8191" man="1"/>
    <brk id="15126" man="1"/>
    <brk id="7176" man="1"/>
    <brk id="2250" man="1"/>
    <brk id="16160" man="1"/>
    <brk id="2764" man="1"/>
    <brk id="3838" man="1"/>
    <brk id="16676" man="1"/>
    <brk id="13610" man="1"/>
    <brk id="15656" man="1"/>
    <brk id="6676" man="1"/>
    <brk id="3334" man="1"/>
    <brk id="17197" man="1"/>
    <brk id="165" man="1"/>
    <brk id="14646" man="1"/>
    <brk id="682" man="1"/>
    <brk id="10196" man="1"/>
    <brk id="4829" man="1"/>
    <brk id="13117" man="1"/>
    <brk id="1257" man="1"/>
    <brk id="8748" man="1"/>
    <brk id="1777" man="1"/>
    <brk id="4388" man="1"/>
    <brk id="8246" man="1"/>
    <brk id="7735" man="1"/>
    <brk id="14159" man="1"/>
    <brk id="12626" man="1"/>
    <brk id="15188" man="1"/>
    <brk id="7232" man="1"/>
    <brk id="2309" man="1"/>
    <brk id="2821" man="1"/>
    <brk id="3895" man="1"/>
    <brk id="6218" man="1"/>
    <brk id="3390" man="1"/>
    <brk id="16226" man="1"/>
    <brk id="6733" man="1"/>
    <brk id="16739" man="1"/>
    <brk id="13671" man="1"/>
    <brk id="15719" man="1"/>
    <brk id="222" man="1"/>
    <brk id="796" man="1"/>
    <brk id="4883" man="1"/>
    <brk id="14707" man="1"/>
    <brk id="1313" man="1"/>
    <brk id="13178" man="1"/>
    <brk id="8805" man="1"/>
    <brk id="4443" man="1"/>
    <brk id="1835" man="1"/>
    <brk id="8301" man="1"/>
    <brk id="7792" man="1"/>
    <brk id="14220" man="1"/>
    <brk id="7288" man="1"/>
    <brk id="12687" man="1"/>
    <brk id="2365" man="1"/>
    <brk id="2877" man="1"/>
    <brk id="3951" man="1"/>
    <brk id="6272" man="1"/>
    <brk id="15254" man="1"/>
    <brk id="3446" man="1"/>
    <brk id="6790" man="1"/>
    <brk id="13732" man="1"/>
    <brk id="16802" man="1"/>
    <brk id="279" man="1"/>
    <brk id="16291" man="1"/>
    <brk id="15782" man="1"/>
    <brk id="10249" man="1"/>
    <brk id="4937" man="1"/>
    <brk id="853" man="1"/>
    <brk id="14767" man="1"/>
    <brk id="1371" man="1"/>
    <brk id="8862" man="1"/>
    <brk id="13238" man="1"/>
    <brk id="4500" man="1"/>
    <brk id="8356" man="1"/>
    <brk id="1897" man="1"/>
    <brk id="7849" man="1"/>
    <brk id="7344" man="1"/>
    <brk id="4004" man="1"/>
    <brk id="14282" man="1"/>
    <brk id="2934" man="1"/>
    <brk id="12748" man="1"/>
    <brk id="15308" man="1"/>
    <brk id="2423" man="1"/>
    <brk id="6332" man="1"/>
    <brk id="3502" man="1"/>
    <brk id="6845" man="1"/>
    <brk id="16859" man="1"/>
    <brk id="4991" man="1"/>
    <brk id="13793" man="1"/>
    <brk id="339" man="1"/>
    <brk id="10308" man="1"/>
    <brk id="15845" man="1"/>
    <brk id="16357" man="1"/>
    <brk id="1429" man="1"/>
    <brk id="918" man="1"/>
    <brk id="14829" man="1"/>
    <brk id="8919" man="1"/>
    <brk id="4557" man="1"/>
    <brk id="8412" man="1"/>
    <brk id="13300" man="1"/>
    <brk id="7906" man="1"/>
    <brk id="1958" man="1"/>
    <brk id="7400" man="1"/>
    <brk id="4059" man="1"/>
    <brk id="15362" man="1"/>
    <brk id="2480" man="1"/>
    <brk id="2992" man="1"/>
    <brk id="14343" man="1"/>
    <brk id="6390" man="1"/>
    <brk id="12810" man="1"/>
    <brk id="3557" man="1"/>
    <brk id="6900" man="1"/>
    <brk id="5045" man="1"/>
    <brk id="16917" man="1"/>
    <brk id="397" man="1"/>
    <brk id="13854" man="1"/>
    <brk id="12318" man="1"/>
    <brk id="975" man="1"/>
    <brk id="1487" man="1"/>
    <brk id="15908" man="1"/>
    <brk id="10028" man="1"/>
    <brk id="14890" man="1"/>
    <brk id="16424" man="1"/>
    <brk id="8468" man="1"/>
    <brk id="13362" man="1"/>
    <brk id="7963" man="1"/>
    <brk id="4114" man="1"/>
    <brk id="7456" man="1"/>
    <brk id="2017" man="1"/>
    <brk id="15416" man="1"/>
    <brk id="2536" man="1"/>
    <brk id="3611" man="1"/>
    <brk id="6954" man="1"/>
    <brk id="14402" man="1"/>
    <brk id="3052" man="1"/>
    <brk id="6444" man="1"/>
    <brk id="12873" man="1"/>
    <brk id="16973" man="1"/>
    <brk id="453" man="1"/>
    <brk id="12377" man="1"/>
    <brk id="13915" man="1"/>
    <brk id="1031" man="1"/>
    <brk id="1546" man="1"/>
    <brk id="8524" man="1"/>
    <brk id="15971" man="1"/>
    <brk id="14944" man="1"/>
    <brk id="16487" man="1"/>
    <brk id="8020" man="1"/>
    <brk id="4169" man="1"/>
    <brk id="7512" man="1"/>
    <brk id="15469" man="1"/>
    <brk id="13424" man="1"/>
    <brk id="2076" man="1"/>
    <brk id="2593" man="1"/>
    <brk id="3666" man="1"/>
    <brk id="7012" man="1"/>
    <brk id="6502" man="1"/>
    <brk id="6114" man="1"/>
    <brk id="14463" man="1"/>
    <brk id="3115" man="1"/>
    <brk id="12934" man="1"/>
    <brk id="1702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371</vt:i4>
      </vt:variant>
    </vt:vector>
  </HeadingPairs>
  <TitlesOfParts>
    <vt:vector size="376" baseType="lpstr">
      <vt:lpstr>Resumen caso 2</vt:lpstr>
      <vt:lpstr>Resumen caso ideal</vt:lpstr>
      <vt:lpstr>Presupuesto Especifico</vt:lpstr>
      <vt:lpstr>Presupuesto Interventoria</vt:lpstr>
      <vt:lpstr>APU</vt:lpstr>
      <vt:lpstr>APU!DIRECTO1</vt:lpstr>
      <vt:lpstr>APU!DIRECTO10</vt:lpstr>
      <vt:lpstr>APU!DIRECTO100</vt:lpstr>
      <vt:lpstr>APU!DIRECTO101</vt:lpstr>
      <vt:lpstr>APU!DIRECTO103</vt:lpstr>
      <vt:lpstr>APU!DIRECTO104</vt:lpstr>
      <vt:lpstr>APU!DIRECTO105</vt:lpstr>
      <vt:lpstr>APU!DIRECTO11</vt:lpstr>
      <vt:lpstr>APU!DIRECTO12</vt:lpstr>
      <vt:lpstr>APU!DIRECTO124</vt:lpstr>
      <vt:lpstr>APU!DIRECTO125</vt:lpstr>
      <vt:lpstr>APU!DIRECTO126</vt:lpstr>
      <vt:lpstr>APU!DIRECTO127</vt:lpstr>
      <vt:lpstr>APU!DIRECTO128</vt:lpstr>
      <vt:lpstr>APU!DIRECTO129</vt:lpstr>
      <vt:lpstr>APU!DIRECTO13</vt:lpstr>
      <vt:lpstr>APU!DIRECTO130</vt:lpstr>
      <vt:lpstr>APU!DIRECTO131</vt:lpstr>
      <vt:lpstr>APU!DIRECTO132</vt:lpstr>
      <vt:lpstr>APU!DIRECTO133</vt:lpstr>
      <vt:lpstr>APU!DIRECTO134</vt:lpstr>
      <vt:lpstr>APU!DIRECTO14</vt:lpstr>
      <vt:lpstr>APU!DIRECTO15</vt:lpstr>
      <vt:lpstr>APU!DIRECTO16</vt:lpstr>
      <vt:lpstr>APU!DIRECTO17</vt:lpstr>
      <vt:lpstr>APU!DIRECTO18</vt:lpstr>
      <vt:lpstr>APU!DIRECTO2</vt:lpstr>
      <vt:lpstr>APU!DIRECTO2.10</vt:lpstr>
      <vt:lpstr>APU!DIRECTO2.11</vt:lpstr>
      <vt:lpstr>APU!DIRECTO2.12</vt:lpstr>
      <vt:lpstr>APU!DIRECTO2.9</vt:lpstr>
      <vt:lpstr>APU!DIRECTO21</vt:lpstr>
      <vt:lpstr>APU!DIRECTO22</vt:lpstr>
      <vt:lpstr>APU!DIRECTO23</vt:lpstr>
      <vt:lpstr>APU!DIRECTO24</vt:lpstr>
      <vt:lpstr>APU!DIRECTO25</vt:lpstr>
      <vt:lpstr>APU!DIRECTO26</vt:lpstr>
      <vt:lpstr>APU!DIRECTO27</vt:lpstr>
      <vt:lpstr>APU!DIRECTO28</vt:lpstr>
      <vt:lpstr>APU!DIRECTO29</vt:lpstr>
      <vt:lpstr>APU!DIRECTO3</vt:lpstr>
      <vt:lpstr>APU!DIRECTO3.15</vt:lpstr>
      <vt:lpstr>APU!DIRECTO3.16</vt:lpstr>
      <vt:lpstr>APU!DIRECTO3.17</vt:lpstr>
      <vt:lpstr>APU!DIRECTO3.18</vt:lpstr>
      <vt:lpstr>APU!DIRECTO3.19</vt:lpstr>
      <vt:lpstr>APU!DIRECTO3.20</vt:lpstr>
      <vt:lpstr>APU!DIRECTO3.21</vt:lpstr>
      <vt:lpstr>APU!DIRECTO3.22</vt:lpstr>
      <vt:lpstr>APU!DIRECTO3.23</vt:lpstr>
      <vt:lpstr>APU!DIRECTO3.24</vt:lpstr>
      <vt:lpstr>APU!DIRECTO3.25</vt:lpstr>
      <vt:lpstr>APU!DIRECTO3.26</vt:lpstr>
      <vt:lpstr>APU!DIRECTO3.27</vt:lpstr>
      <vt:lpstr>APU!DIRECTO3.28</vt:lpstr>
      <vt:lpstr>APU!DIRECTO30</vt:lpstr>
      <vt:lpstr>APU!DIRECTO31</vt:lpstr>
      <vt:lpstr>APU!DIRECTO32</vt:lpstr>
      <vt:lpstr>APU!DIRECTO33</vt:lpstr>
      <vt:lpstr>APU!DIRECTO34</vt:lpstr>
      <vt:lpstr>APU!DIRECTO35</vt:lpstr>
      <vt:lpstr>APU!DIRECTO36</vt:lpstr>
      <vt:lpstr>APU!DIRECTO37</vt:lpstr>
      <vt:lpstr>APU!DIRECTO38</vt:lpstr>
      <vt:lpstr>APU!DIRECTO39</vt:lpstr>
      <vt:lpstr>APU!DIRECTO4</vt:lpstr>
      <vt:lpstr>APU!DIRECTO4.20</vt:lpstr>
      <vt:lpstr>APU!DIRECTO4.21</vt:lpstr>
      <vt:lpstr>APU!DIRECTO4.22</vt:lpstr>
      <vt:lpstr>APU!DIRECTO4.23</vt:lpstr>
      <vt:lpstr>APU!DIRECTO4.25</vt:lpstr>
      <vt:lpstr>APU!DIRECTO4.26</vt:lpstr>
      <vt:lpstr>APU!DIRECTO4.27</vt:lpstr>
      <vt:lpstr>APU!DIRECTO4.28</vt:lpstr>
      <vt:lpstr>APU!DIRECTO4.29</vt:lpstr>
      <vt:lpstr>APU!DIRECTO4.30</vt:lpstr>
      <vt:lpstr>APU!DIRECTO4.31</vt:lpstr>
      <vt:lpstr>APU!DIRECTO4.32</vt:lpstr>
      <vt:lpstr>APU!DIRECTO4.33</vt:lpstr>
      <vt:lpstr>APU!DIRECTO4.34</vt:lpstr>
      <vt:lpstr>APU!DIRECTO4.35</vt:lpstr>
      <vt:lpstr>APU!DIRECTO4.36</vt:lpstr>
      <vt:lpstr>APU!DIRECTO4.37</vt:lpstr>
      <vt:lpstr>APU!DIRECTO4.38</vt:lpstr>
      <vt:lpstr>APU!DIRECTO4.39</vt:lpstr>
      <vt:lpstr>APU!DIRECTO4.40</vt:lpstr>
      <vt:lpstr>APU!DIRECTO4.41</vt:lpstr>
      <vt:lpstr>APU!DIRECTO4.42</vt:lpstr>
      <vt:lpstr>APU!DIRECTO4.43</vt:lpstr>
      <vt:lpstr>APU!DIRECTO4.44</vt:lpstr>
      <vt:lpstr>APU!DIRECTO4.45</vt:lpstr>
      <vt:lpstr>APU!DIRECTO4.46</vt:lpstr>
      <vt:lpstr>APU!DIRECTO4.47</vt:lpstr>
      <vt:lpstr>APU!DIRECTO4.48</vt:lpstr>
      <vt:lpstr>APU!DIRECTO4.49</vt:lpstr>
      <vt:lpstr>APU!DIRECTO4.50</vt:lpstr>
      <vt:lpstr>APU!DIRECTO4.51</vt:lpstr>
      <vt:lpstr>APU!DIRECTO4.52</vt:lpstr>
      <vt:lpstr>APU!DIRECTO40</vt:lpstr>
      <vt:lpstr>APU!DIRECTO41</vt:lpstr>
      <vt:lpstr>APU!DIRECTO42</vt:lpstr>
      <vt:lpstr>APU!DIRECTO43</vt:lpstr>
      <vt:lpstr>APU!DIRECTO44</vt:lpstr>
      <vt:lpstr>APU!DIRECTO45</vt:lpstr>
      <vt:lpstr>APU!DIRECTO46</vt:lpstr>
      <vt:lpstr>APU!DIRECTO47</vt:lpstr>
      <vt:lpstr>APU!DIRECTO48</vt:lpstr>
      <vt:lpstr>APU!DIRECTO49</vt:lpstr>
      <vt:lpstr>APU!DIRECTO5</vt:lpstr>
      <vt:lpstr>APU!DIRECTO5.100</vt:lpstr>
      <vt:lpstr>APU!DIRECTO5.101</vt:lpstr>
      <vt:lpstr>APU!DIRECTO5.104</vt:lpstr>
      <vt:lpstr>APU!DIRECTO5.105</vt:lpstr>
      <vt:lpstr>APU!DIRECTO5.106</vt:lpstr>
      <vt:lpstr>APU!DIRECTO5.107</vt:lpstr>
      <vt:lpstr>APU!DIRECTO5.108</vt:lpstr>
      <vt:lpstr>APU!DIRECTO5.109</vt:lpstr>
      <vt:lpstr>APU!DIRECTO5.111</vt:lpstr>
      <vt:lpstr>APU!DIRECTO5.112</vt:lpstr>
      <vt:lpstr>APU!DIRECTO5.113</vt:lpstr>
      <vt:lpstr>APU!DIRECTO5.114</vt:lpstr>
      <vt:lpstr>APU!DIRECTO5.115</vt:lpstr>
      <vt:lpstr>APU!DIRECTO5.53</vt:lpstr>
      <vt:lpstr>APU!DIRECTO5.54</vt:lpstr>
      <vt:lpstr>APU!DIRECTO5.55</vt:lpstr>
      <vt:lpstr>APU!DIRECTO5.56</vt:lpstr>
      <vt:lpstr>APU!DIRECTO5.57</vt:lpstr>
      <vt:lpstr>APU!DIRECTO5.58</vt:lpstr>
      <vt:lpstr>APU!DIRECTO5.59</vt:lpstr>
      <vt:lpstr>APU!DIRECTO5.60</vt:lpstr>
      <vt:lpstr>APU!DIRECTO5.61</vt:lpstr>
      <vt:lpstr>APU!DIRECTO5.62</vt:lpstr>
      <vt:lpstr>APU!DIRECTO5.63</vt:lpstr>
      <vt:lpstr>APU!DIRECTO5.64</vt:lpstr>
      <vt:lpstr>APU!DIRECTO5.65</vt:lpstr>
      <vt:lpstr>APU!DIRECTO5.66</vt:lpstr>
      <vt:lpstr>APU!DIRECTO5.67</vt:lpstr>
      <vt:lpstr>APU!DIRECTO5.68</vt:lpstr>
      <vt:lpstr>APU!DIRECTO5.71</vt:lpstr>
      <vt:lpstr>APU!DIRECTO5.72</vt:lpstr>
      <vt:lpstr>APU!DIRECTO5.73</vt:lpstr>
      <vt:lpstr>APU!DIRECTO5.74</vt:lpstr>
      <vt:lpstr>APU!DIRECTO5.77</vt:lpstr>
      <vt:lpstr>APU!DIRECTO5.78</vt:lpstr>
      <vt:lpstr>APU!DIRECTO5.79</vt:lpstr>
      <vt:lpstr>APU!DIRECTO5.80</vt:lpstr>
      <vt:lpstr>APU!DIRECTO5.82</vt:lpstr>
      <vt:lpstr>APU!DIRECTO5.83</vt:lpstr>
      <vt:lpstr>APU!DIRECTO5.84</vt:lpstr>
      <vt:lpstr>APU!DIRECTO5.85</vt:lpstr>
      <vt:lpstr>APU!DIRECTO5.86</vt:lpstr>
      <vt:lpstr>APU!DIRECTO5.87</vt:lpstr>
      <vt:lpstr>APU!DIRECTO5.88</vt:lpstr>
      <vt:lpstr>APU!DIRECTO5.89</vt:lpstr>
      <vt:lpstr>APU!DIRECTO5.90</vt:lpstr>
      <vt:lpstr>APU!DIRECTO5.91</vt:lpstr>
      <vt:lpstr>APU!DIRECTO5.92</vt:lpstr>
      <vt:lpstr>APU!DIRECTO5.93</vt:lpstr>
      <vt:lpstr>APU!DIRECTO5.94</vt:lpstr>
      <vt:lpstr>APU!DIRECTO5.95</vt:lpstr>
      <vt:lpstr>APU!DIRECTO5.96</vt:lpstr>
      <vt:lpstr>APU!DIRECTO5.97</vt:lpstr>
      <vt:lpstr>APU!DIRECTO5.98</vt:lpstr>
      <vt:lpstr>APU!DIRECTO5.99</vt:lpstr>
      <vt:lpstr>APU!DIRECTO50</vt:lpstr>
      <vt:lpstr>APU!DIRECTO51</vt:lpstr>
      <vt:lpstr>APU!DIRECTO52</vt:lpstr>
      <vt:lpstr>APU!DIRECTO53</vt:lpstr>
      <vt:lpstr>APU!DIRECTO54</vt:lpstr>
      <vt:lpstr>APU!DIRECTO55</vt:lpstr>
      <vt:lpstr>APU!DIRECTO56</vt:lpstr>
      <vt:lpstr>APU!DIRECTO57</vt:lpstr>
      <vt:lpstr>APU!DIRECTO58</vt:lpstr>
      <vt:lpstr>APU!DIRECTO59</vt:lpstr>
      <vt:lpstr>APU!DIRECTO6</vt:lpstr>
      <vt:lpstr>APU!DIRECTO60</vt:lpstr>
      <vt:lpstr>APU!DIRECTO61</vt:lpstr>
      <vt:lpstr>APU!DIRECTO62</vt:lpstr>
      <vt:lpstr>APU!DIRECTO63</vt:lpstr>
      <vt:lpstr>APU!DIRECTO64</vt:lpstr>
      <vt:lpstr>APU!DIRECTO65</vt:lpstr>
      <vt:lpstr>APU!DIRECTO66</vt:lpstr>
      <vt:lpstr>APU!DIRECTO67</vt:lpstr>
      <vt:lpstr>APU!DIRECTO68</vt:lpstr>
      <vt:lpstr>APU!DIRECTO69</vt:lpstr>
      <vt:lpstr>APU!DIRECTO7</vt:lpstr>
      <vt:lpstr>APU!DIRECTO7.12</vt:lpstr>
      <vt:lpstr>APU!DIRECTO7.13</vt:lpstr>
      <vt:lpstr>APU!DIRECTO7.14</vt:lpstr>
      <vt:lpstr>APU!DIRECTO7.15</vt:lpstr>
      <vt:lpstr>APU!DIRECTO7.16</vt:lpstr>
      <vt:lpstr>APU!DIRECTO7.17</vt:lpstr>
      <vt:lpstr>APU!DIRECTO7.18</vt:lpstr>
      <vt:lpstr>APU!DIRECTO7.19</vt:lpstr>
      <vt:lpstr>APU!DIRECTO7.20</vt:lpstr>
      <vt:lpstr>APU!DIRECTO7.21</vt:lpstr>
      <vt:lpstr>APU!DIRECTO7.22</vt:lpstr>
      <vt:lpstr>APU!DIRECTO7.23</vt:lpstr>
      <vt:lpstr>APU!DIRECTO7.24</vt:lpstr>
      <vt:lpstr>APU!DIRECTO7.25</vt:lpstr>
      <vt:lpstr>APU!DIRECTO7.26</vt:lpstr>
      <vt:lpstr>APU!DIRECTO7.27</vt:lpstr>
      <vt:lpstr>APU!DIRECTO7.28</vt:lpstr>
      <vt:lpstr>APU!DIRECTO7.29</vt:lpstr>
      <vt:lpstr>APU!DIRECTO7.30</vt:lpstr>
      <vt:lpstr>APU!DIRECTO7.31</vt:lpstr>
      <vt:lpstr>APU!DIRECTO7.32</vt:lpstr>
      <vt:lpstr>APU!DIRECTO7.33</vt:lpstr>
      <vt:lpstr>APU!DIRECTO7.34</vt:lpstr>
      <vt:lpstr>APU!DIRECTO7.35</vt:lpstr>
      <vt:lpstr>APU!DIRECTO7.36</vt:lpstr>
      <vt:lpstr>APU!DIRECTO7.37</vt:lpstr>
      <vt:lpstr>APU!DIRECTO7.38</vt:lpstr>
      <vt:lpstr>APU!DIRECTO7.39</vt:lpstr>
      <vt:lpstr>APU!DIRECTO7.40</vt:lpstr>
      <vt:lpstr>APU!DIRECTO7.41</vt:lpstr>
      <vt:lpstr>APU!DIRECTO7.42</vt:lpstr>
      <vt:lpstr>APU!DIRECTO7.43</vt:lpstr>
      <vt:lpstr>APU!DIRECTO7.44</vt:lpstr>
      <vt:lpstr>APU!DIRECTO70</vt:lpstr>
      <vt:lpstr>APU!DIRECTO71</vt:lpstr>
      <vt:lpstr>APU!DIRECTO72</vt:lpstr>
      <vt:lpstr>APU!DIRECTO74</vt:lpstr>
      <vt:lpstr>APU!DIRECTO75</vt:lpstr>
      <vt:lpstr>APU!DIRECTO76</vt:lpstr>
      <vt:lpstr>APU!DIRECTO77</vt:lpstr>
      <vt:lpstr>APU!DIRECTO78</vt:lpstr>
      <vt:lpstr>APU!DIRECTO79</vt:lpstr>
      <vt:lpstr>APU!DIRECTO8</vt:lpstr>
      <vt:lpstr>APU!DIRECTO80</vt:lpstr>
      <vt:lpstr>APU!DIRECTO81</vt:lpstr>
      <vt:lpstr>APU!DIRECTO82</vt:lpstr>
      <vt:lpstr>APU!DIRECTO9</vt:lpstr>
      <vt:lpstr>APU!DIRECTO9.1</vt:lpstr>
      <vt:lpstr>APU!DIRECTO9.2</vt:lpstr>
      <vt:lpstr>APU!DIRECTO9.3</vt:lpstr>
      <vt:lpstr>APU!DIRECTO9.4</vt:lpstr>
      <vt:lpstr>APU!DIRECTO9.5</vt:lpstr>
      <vt:lpstr>APU!ITEM2.10</vt:lpstr>
      <vt:lpstr>APU!ITEM2.11</vt:lpstr>
      <vt:lpstr>APU!ITEM2.12</vt:lpstr>
      <vt:lpstr>APU!ITEM3.15</vt:lpstr>
      <vt:lpstr>APU!ITEM3.16</vt:lpstr>
      <vt:lpstr>APU!ITEM3.17</vt:lpstr>
      <vt:lpstr>APU!ITEM3.18</vt:lpstr>
      <vt:lpstr>APU!ITEM3.19</vt:lpstr>
      <vt:lpstr>APU!ITEM3.20</vt:lpstr>
      <vt:lpstr>APU!ITEM3.21</vt:lpstr>
      <vt:lpstr>APU!ITEM3.22</vt:lpstr>
      <vt:lpstr>APU!ITEM3.23</vt:lpstr>
      <vt:lpstr>APU!ITEM4.21</vt:lpstr>
      <vt:lpstr>APU!ITEM4.22</vt:lpstr>
      <vt:lpstr>APU!ITEM4.23</vt:lpstr>
      <vt:lpstr>APU!ITEM4.24</vt:lpstr>
      <vt:lpstr>APU!ITEM4.26</vt:lpstr>
      <vt:lpstr>APU!ITEM4.27</vt:lpstr>
      <vt:lpstr>APU!ITEM4.28</vt:lpstr>
      <vt:lpstr>APU!ITEM4.29</vt:lpstr>
      <vt:lpstr>APU!ITEM4.30</vt:lpstr>
      <vt:lpstr>APU!ITEM4.31</vt:lpstr>
      <vt:lpstr>APU!ITEM4.32</vt:lpstr>
      <vt:lpstr>APU!ITEM4.33</vt:lpstr>
      <vt:lpstr>APU!ITEM4.34</vt:lpstr>
      <vt:lpstr>APU!ITEM4.35</vt:lpstr>
      <vt:lpstr>APU!ITEM4.36</vt:lpstr>
      <vt:lpstr>APU!ITEM4.37</vt:lpstr>
      <vt:lpstr>APU!ITEM4.38</vt:lpstr>
      <vt:lpstr>APU!ITEM4.39</vt:lpstr>
      <vt:lpstr>APU!ITEM4.40</vt:lpstr>
      <vt:lpstr>APU!ITEM4.41</vt:lpstr>
      <vt:lpstr>APU!ITEM4.42</vt:lpstr>
      <vt:lpstr>APU!ITEM4.43</vt:lpstr>
      <vt:lpstr>APU!ITEM4.44</vt:lpstr>
      <vt:lpstr>APU!ITEM4.45</vt:lpstr>
      <vt:lpstr>APU!ITEM4.46</vt:lpstr>
      <vt:lpstr>APU!ITEM5.100</vt:lpstr>
      <vt:lpstr>APU!ITEM5.101</vt:lpstr>
      <vt:lpstr>APU!ITEM5.104</vt:lpstr>
      <vt:lpstr>APU!ITEM5.105</vt:lpstr>
      <vt:lpstr>APU!ITEM5.106</vt:lpstr>
      <vt:lpstr>APU!ITEM5.107</vt:lpstr>
      <vt:lpstr>APU!ITEM5.108</vt:lpstr>
      <vt:lpstr>APU!ITEM5.109</vt:lpstr>
      <vt:lpstr>APU!ITEM5.111</vt:lpstr>
      <vt:lpstr>APU!ITEM5.112</vt:lpstr>
      <vt:lpstr>APU!ITEM5.113</vt:lpstr>
      <vt:lpstr>APU!ITEM5.114</vt:lpstr>
      <vt:lpstr>APU!ITEM5.115</vt:lpstr>
      <vt:lpstr>APU!ITEM5.53</vt:lpstr>
      <vt:lpstr>APU!ITEM5.54</vt:lpstr>
      <vt:lpstr>APU!ITEM5.55</vt:lpstr>
      <vt:lpstr>APU!ITEM5.56</vt:lpstr>
      <vt:lpstr>APU!ITEM5.57</vt:lpstr>
      <vt:lpstr>APU!ITEM5.58</vt:lpstr>
      <vt:lpstr>APU!ITEM5.59</vt:lpstr>
      <vt:lpstr>APU!ITEM5.60</vt:lpstr>
      <vt:lpstr>APU!ITEM5.61</vt:lpstr>
      <vt:lpstr>APU!ITEM5.62</vt:lpstr>
      <vt:lpstr>APU!ITEM5.63</vt:lpstr>
      <vt:lpstr>APU!ITEM5.64</vt:lpstr>
      <vt:lpstr>APU!ITEM5.65</vt:lpstr>
      <vt:lpstr>APU!ITEM5.66</vt:lpstr>
      <vt:lpstr>APU!ITEM5.67</vt:lpstr>
      <vt:lpstr>APU!ITEM5.68</vt:lpstr>
      <vt:lpstr>APU!ITEM5.69</vt:lpstr>
      <vt:lpstr>APU!ITEM5.70</vt:lpstr>
      <vt:lpstr>APU!ITEM5.71</vt:lpstr>
      <vt:lpstr>APU!ITEM5.72</vt:lpstr>
      <vt:lpstr>APU!ITEM5.73</vt:lpstr>
      <vt:lpstr>APU!ITEM5.74</vt:lpstr>
      <vt:lpstr>APU!ITEM5.77</vt:lpstr>
      <vt:lpstr>APU!ITEM5.78</vt:lpstr>
      <vt:lpstr>APU!ITEM5.79</vt:lpstr>
      <vt:lpstr>APU!ITEM5.80</vt:lpstr>
      <vt:lpstr>APU!ITEM5.82</vt:lpstr>
      <vt:lpstr>APU!ITEM5.83</vt:lpstr>
      <vt:lpstr>APU!ITEM5.84</vt:lpstr>
      <vt:lpstr>APU!ITEM5.85</vt:lpstr>
      <vt:lpstr>APU!ITEM5.86</vt:lpstr>
      <vt:lpstr>APU!ITEM5.87</vt:lpstr>
      <vt:lpstr>APU!ITEM5.88</vt:lpstr>
      <vt:lpstr>APU!ITEM5.89</vt:lpstr>
      <vt:lpstr>APU!ITEM5.90</vt:lpstr>
      <vt:lpstr>APU!ITEM5.91</vt:lpstr>
      <vt:lpstr>APU!ITEM5.92</vt:lpstr>
      <vt:lpstr>APU!ITEM5.93</vt:lpstr>
      <vt:lpstr>APU!ITEM5.94</vt:lpstr>
      <vt:lpstr>APU!ITEM5.95</vt:lpstr>
      <vt:lpstr>APU!ITEM5.96</vt:lpstr>
      <vt:lpstr>APU!ITEM5.97</vt:lpstr>
      <vt:lpstr>APU!ITEM5.98</vt:lpstr>
      <vt:lpstr>APU!ITEM5.99</vt:lpstr>
      <vt:lpstr>APU!ITEM7.1</vt:lpstr>
      <vt:lpstr>APU!ITEM7.10</vt:lpstr>
      <vt:lpstr>APU!ITEM7.11</vt:lpstr>
      <vt:lpstr>APU!ITEM7.12</vt:lpstr>
      <vt:lpstr>APU!ITEM7.13</vt:lpstr>
      <vt:lpstr>APU!ITEM7.14</vt:lpstr>
      <vt:lpstr>APU!ITEM7.15</vt:lpstr>
      <vt:lpstr>APU!ITEM7.16</vt:lpstr>
      <vt:lpstr>APU!ITEM7.17</vt:lpstr>
      <vt:lpstr>APU!ITEM7.18</vt:lpstr>
      <vt:lpstr>APU!ITEM7.19</vt:lpstr>
      <vt:lpstr>APU!ITEM7.2</vt:lpstr>
      <vt:lpstr>APU!ITEM7.20</vt:lpstr>
      <vt:lpstr>APU!ITEM7.21</vt:lpstr>
      <vt:lpstr>APU!ITEM7.22</vt:lpstr>
      <vt:lpstr>APU!ITEM7.23</vt:lpstr>
      <vt:lpstr>APU!ITEM7.24</vt:lpstr>
      <vt:lpstr>APU!ITEM7.25</vt:lpstr>
      <vt:lpstr>APU!ITEM7.26</vt:lpstr>
      <vt:lpstr>APU!ITEM7.27</vt:lpstr>
      <vt:lpstr>APU!ITEM7.28</vt:lpstr>
      <vt:lpstr>APU!ITEM7.29</vt:lpstr>
      <vt:lpstr>APU!ITEM7.3</vt:lpstr>
      <vt:lpstr>APU!ITEM7.30</vt:lpstr>
      <vt:lpstr>APU!ITEM7.31</vt:lpstr>
      <vt:lpstr>APU!ITEM7.32</vt:lpstr>
      <vt:lpstr>APU!ITEM7.33</vt:lpstr>
      <vt:lpstr>APU!ITEM7.34</vt:lpstr>
      <vt:lpstr>APU!ITEM7.35</vt:lpstr>
      <vt:lpstr>APU!ITEM7.4</vt:lpstr>
      <vt:lpstr>APU!ITEM7.5</vt:lpstr>
      <vt:lpstr>APU!ITEM7.6</vt:lpstr>
      <vt:lpstr>APU!ITEM7.7</vt:lpstr>
      <vt:lpstr>APU!ITEM7.8</vt:lpstr>
      <vt:lpstr>APU!ITEM7.9</vt:lpstr>
      <vt:lpstr>'Presupuesto Interventoria'!solver_adj</vt:lpstr>
      <vt:lpstr>'Presupuesto Interventoria'!solver_lhs1</vt:lpstr>
      <vt:lpstr>'Presupuesto Interventoria'!solver_opt</vt:lpstr>
      <vt:lpstr>'Presupuesto Interventoria'!solver_rhs1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Concejo</cp:lastModifiedBy>
  <cp:lastPrinted>2020-10-08T18:26:48Z</cp:lastPrinted>
  <dcterms:created xsi:type="dcterms:W3CDTF">2020-06-24T23:13:05Z</dcterms:created>
  <dcterms:modified xsi:type="dcterms:W3CDTF">2020-11-10T20:28:53Z</dcterms:modified>
</cp:coreProperties>
</file>